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92.168.4.177\Temp\ГИС\ДЛЯ САЙТА\ЭСС на 01.06.2026\"/>
    </mc:Choice>
  </mc:AlternateContent>
  <bookViews>
    <workbookView xWindow="0" yWindow="0" windowWidth="28800" windowHeight="11865" tabRatio="649" firstSheet="2" activeTab="2"/>
  </bookViews>
  <sheets>
    <sheet name="2021" sheetId="24" state="hidden" r:id="rId1"/>
    <sheet name="2022" sheetId="49" state="hidden" r:id="rId2"/>
    <sheet name="С 01.06.2026" sheetId="71" r:id="rId3"/>
  </sheets>
  <externalReferences>
    <externalReference r:id="rId4"/>
  </externalReferences>
  <definedNames>
    <definedName name="_xlnm._FilterDatabase" localSheetId="0" hidden="1">'2021'!$A$6:$FW$337</definedName>
    <definedName name="_xlnm._FilterDatabase" localSheetId="1" hidden="1">'2022'!$A$6:$GS$339</definedName>
  </definedNames>
  <calcPr calcId="162913" fullPrecision="0"/>
  <fileRecoveryPr autoRecover="0"/>
</workbook>
</file>

<file path=xl/calcChain.xml><?xml version="1.0" encoding="utf-8"?>
<calcChain xmlns="http://schemas.openxmlformats.org/spreadsheetml/2006/main">
  <c r="FH322" i="49" l="1"/>
  <c r="FH324" i="49"/>
  <c r="CC322" i="49"/>
  <c r="CC324" i="49"/>
  <c r="CF322" i="49"/>
  <c r="CF324" i="49"/>
  <c r="CW322" i="49"/>
  <c r="CW324" i="49"/>
  <c r="EG322" i="49"/>
  <c r="EG324" i="49"/>
  <c r="EN326" i="49"/>
  <c r="EN327" i="49"/>
  <c r="FA322" i="49"/>
  <c r="FE322" i="49"/>
  <c r="FE324" i="49"/>
  <c r="FI322" i="49"/>
  <c r="FK322" i="49"/>
  <c r="FK324" i="49"/>
  <c r="S7" i="49"/>
  <c r="AB7" i="49"/>
  <c r="AP7" i="49"/>
  <c r="AW7" i="49"/>
  <c r="AX7" i="49"/>
  <c r="Q8" i="49"/>
  <c r="S8" i="49"/>
  <c r="AB8" i="49"/>
  <c r="AP8" i="49"/>
  <c r="AQ8" i="49"/>
  <c r="AW8" i="49"/>
  <c r="AX8" i="49"/>
  <c r="S9" i="49"/>
  <c r="AB9" i="49"/>
  <c r="AP9" i="49"/>
  <c r="AW9" i="49"/>
  <c r="AX9" i="49"/>
  <c r="S10" i="49"/>
  <c r="AB10" i="49"/>
  <c r="BM10" i="49"/>
  <c r="AH10" i="49"/>
  <c r="AP10" i="49"/>
  <c r="AW10" i="49"/>
  <c r="AX10" i="49"/>
  <c r="P11" i="49"/>
  <c r="S11" i="49"/>
  <c r="AB11" i="49"/>
  <c r="BI11" i="49"/>
  <c r="AP11" i="49"/>
  <c r="AW11" i="49"/>
  <c r="AX11" i="49"/>
  <c r="S12" i="49"/>
  <c r="AB12" i="49"/>
  <c r="BQ12" i="49"/>
  <c r="AP12" i="49"/>
  <c r="AW12" i="49"/>
  <c r="AX12" i="49"/>
  <c r="S13" i="49"/>
  <c r="AB13" i="49"/>
  <c r="BP13" i="49"/>
  <c r="AP13" i="49"/>
  <c r="AW13" i="49"/>
  <c r="AX13" i="49"/>
  <c r="S14" i="49"/>
  <c r="AB14" i="49"/>
  <c r="BM14" i="49"/>
  <c r="AP14" i="49"/>
  <c r="AW14" i="49"/>
  <c r="AX14" i="49"/>
  <c r="S15" i="49"/>
  <c r="AB15" i="49"/>
  <c r="BR15" i="49"/>
  <c r="AP15" i="49"/>
  <c r="AW15" i="49"/>
  <c r="AX15" i="49"/>
  <c r="S16" i="49"/>
  <c r="AB16" i="49"/>
  <c r="AE16" i="49"/>
  <c r="AP16" i="49"/>
  <c r="AQ16" i="49"/>
  <c r="AW16" i="49"/>
  <c r="AX16" i="49"/>
  <c r="S17" i="49"/>
  <c r="AB17" i="49"/>
  <c r="BK17" i="49"/>
  <c r="AP17" i="49"/>
  <c r="AQ17" i="49"/>
  <c r="AG17" i="49"/>
  <c r="AW17" i="49"/>
  <c r="AX17" i="49"/>
  <c r="S18" i="49"/>
  <c r="AB18" i="49"/>
  <c r="AP18" i="49"/>
  <c r="AW18" i="49"/>
  <c r="BT18" i="49"/>
  <c r="AX18" i="49"/>
  <c r="S19" i="49"/>
  <c r="AB19" i="49"/>
  <c r="AC19" i="49"/>
  <c r="AP19" i="49"/>
  <c r="AW19" i="49"/>
  <c r="AX19" i="49"/>
  <c r="S20" i="49"/>
  <c r="AB20" i="49"/>
  <c r="BE20" i="49"/>
  <c r="AP20" i="49"/>
  <c r="AW20" i="49"/>
  <c r="AX20" i="49"/>
  <c r="S21" i="49"/>
  <c r="AB21" i="49"/>
  <c r="BO21" i="49"/>
  <c r="AP21" i="49"/>
  <c r="AW21" i="49"/>
  <c r="AX21" i="49"/>
  <c r="S22" i="49"/>
  <c r="AB22" i="49"/>
  <c r="BM22" i="49"/>
  <c r="AP22" i="49"/>
  <c r="AW22" i="49"/>
  <c r="AX22" i="49"/>
  <c r="P23" i="49"/>
  <c r="Q23" i="49"/>
  <c r="S23" i="49"/>
  <c r="AB23" i="49"/>
  <c r="AP23" i="49"/>
  <c r="AW23" i="49"/>
  <c r="BT23" i="49"/>
  <c r="AX23" i="49"/>
  <c r="S24" i="49"/>
  <c r="AB24" i="49"/>
  <c r="BI24" i="49"/>
  <c r="AP24" i="49"/>
  <c r="AW24" i="49"/>
  <c r="AX24" i="49"/>
  <c r="S25" i="49"/>
  <c r="AB25" i="49"/>
  <c r="AP25" i="49"/>
  <c r="AW25" i="49"/>
  <c r="AX25" i="49"/>
  <c r="AX318" i="49"/>
  <c r="P26" i="49"/>
  <c r="S26" i="49"/>
  <c r="AB26" i="49"/>
  <c r="BT26" i="49"/>
  <c r="AO26" i="49"/>
  <c r="AP26" i="49"/>
  <c r="AW26" i="49"/>
  <c r="AX26" i="49"/>
  <c r="S27" i="49"/>
  <c r="AB27" i="49"/>
  <c r="AP27" i="49"/>
  <c r="AQ27" i="49"/>
  <c r="AG27" i="49"/>
  <c r="AW27" i="49"/>
  <c r="AX27" i="49"/>
  <c r="P28" i="49"/>
  <c r="Q28" i="49"/>
  <c r="AB28" i="49"/>
  <c r="AC28" i="49"/>
  <c r="AP28" i="49"/>
  <c r="AW28" i="49"/>
  <c r="AX28" i="49"/>
  <c r="S29" i="49"/>
  <c r="AB29" i="49"/>
  <c r="BR29" i="49"/>
  <c r="AP29" i="49"/>
  <c r="AW29" i="49"/>
  <c r="AX29" i="49"/>
  <c r="S30" i="49"/>
  <c r="AB30" i="49"/>
  <c r="BF30" i="49"/>
  <c r="AP30" i="49"/>
  <c r="AW30" i="49"/>
  <c r="AX30" i="49"/>
  <c r="S31" i="49"/>
  <c r="AB31" i="49"/>
  <c r="BS31" i="49"/>
  <c r="AP31" i="49"/>
  <c r="AW31" i="49"/>
  <c r="AX31" i="49"/>
  <c r="S32" i="49"/>
  <c r="AB32" i="49"/>
  <c r="BS32" i="49"/>
  <c r="AP32" i="49"/>
  <c r="AW32" i="49"/>
  <c r="AX32" i="49"/>
  <c r="S33" i="49"/>
  <c r="AB33" i="49"/>
  <c r="BR33" i="49"/>
  <c r="AP33" i="49"/>
  <c r="AW33" i="49"/>
  <c r="AX33" i="49"/>
  <c r="S34" i="49"/>
  <c r="AB34" i="49"/>
  <c r="BR34" i="49"/>
  <c r="AP34" i="49"/>
  <c r="AW34" i="49"/>
  <c r="AX34" i="49"/>
  <c r="S35" i="49"/>
  <c r="AB35" i="49"/>
  <c r="BP35" i="49"/>
  <c r="AP35" i="49"/>
  <c r="AW35" i="49"/>
  <c r="AX35" i="49"/>
  <c r="S36" i="49"/>
  <c r="AB36" i="49"/>
  <c r="AP36" i="49"/>
  <c r="AW36" i="49"/>
  <c r="S37" i="49"/>
  <c r="AB37" i="49"/>
  <c r="AP37" i="49"/>
  <c r="AW37" i="49"/>
  <c r="AX37" i="49"/>
  <c r="S38" i="49"/>
  <c r="AB38" i="49"/>
  <c r="AP38" i="49"/>
  <c r="AW38" i="49"/>
  <c r="AX38" i="49"/>
  <c r="S39" i="49"/>
  <c r="AB39" i="49"/>
  <c r="BK39" i="49"/>
  <c r="AP39" i="49"/>
  <c r="AW39" i="49"/>
  <c r="AX39" i="49"/>
  <c r="S40" i="49"/>
  <c r="AB40" i="49"/>
  <c r="BS40" i="49"/>
  <c r="AP40" i="49"/>
  <c r="AW40" i="49"/>
  <c r="AX40" i="49"/>
  <c r="S41" i="49"/>
  <c r="AB41" i="49"/>
  <c r="AP41" i="49"/>
  <c r="AW41" i="49"/>
  <c r="AX41" i="49"/>
  <c r="S42" i="49"/>
  <c r="AB42" i="49"/>
  <c r="BM42" i="49"/>
  <c r="AP42" i="49"/>
  <c r="AW42" i="49"/>
  <c r="AX42" i="49"/>
  <c r="S43" i="49"/>
  <c r="AB43" i="49"/>
  <c r="BB43" i="49"/>
  <c r="AP43" i="49"/>
  <c r="AW43" i="49"/>
  <c r="AX43" i="49"/>
  <c r="P44" i="49"/>
  <c r="S44" i="49"/>
  <c r="AB44" i="49"/>
  <c r="AP44" i="49"/>
  <c r="AW44" i="49"/>
  <c r="AX44" i="49"/>
  <c r="S45" i="49"/>
  <c r="AB45" i="49"/>
  <c r="AP45" i="49"/>
  <c r="AW45" i="49"/>
  <c r="AX45" i="49"/>
  <c r="BU45" i="49"/>
  <c r="S46" i="49"/>
  <c r="AB46" i="49"/>
  <c r="AP46" i="49"/>
  <c r="AW46" i="49"/>
  <c r="AX46" i="49"/>
  <c r="Q47" i="49"/>
  <c r="S47" i="49"/>
  <c r="AB47" i="49"/>
  <c r="BP47" i="49"/>
  <c r="AP47" i="49"/>
  <c r="AW47" i="49"/>
  <c r="AX47" i="49"/>
  <c r="Q48" i="49"/>
  <c r="S48" i="49"/>
  <c r="AB48" i="49"/>
  <c r="BM48" i="49"/>
  <c r="AP48" i="49"/>
  <c r="AW48" i="49"/>
  <c r="AX48" i="49"/>
  <c r="S49" i="49"/>
  <c r="AB49" i="49"/>
  <c r="BO49" i="49"/>
  <c r="AP49" i="49"/>
  <c r="AW49" i="49"/>
  <c r="AX49" i="49"/>
  <c r="P50" i="49"/>
  <c r="Q50" i="49"/>
  <c r="S50" i="49"/>
  <c r="AB50" i="49"/>
  <c r="AP50" i="49"/>
  <c r="AW50" i="49"/>
  <c r="BT50" i="49"/>
  <c r="AX50" i="49"/>
  <c r="P51" i="49"/>
  <c r="S51" i="49"/>
  <c r="AB51" i="49"/>
  <c r="BQ51" i="49"/>
  <c r="AP51" i="49"/>
  <c r="AW51" i="49"/>
  <c r="AX51" i="49"/>
  <c r="S52" i="49"/>
  <c r="AB52" i="49"/>
  <c r="AP52" i="49"/>
  <c r="AW52" i="49"/>
  <c r="AX52" i="49"/>
  <c r="P53" i="49"/>
  <c r="S53" i="49"/>
  <c r="AB53" i="49"/>
  <c r="AP53" i="49"/>
  <c r="AW53" i="49"/>
  <c r="AX53" i="49"/>
  <c r="P54" i="49"/>
  <c r="S54" i="49"/>
  <c r="AB54" i="49"/>
  <c r="AP54" i="49"/>
  <c r="AW54" i="49"/>
  <c r="AX54" i="49"/>
  <c r="P55" i="49"/>
  <c r="S55" i="49"/>
  <c r="AB55" i="49"/>
  <c r="AO55" i="49"/>
  <c r="AP55" i="49"/>
  <c r="AW55" i="49"/>
  <c r="AX55" i="49"/>
  <c r="S56" i="49"/>
  <c r="AB56" i="49"/>
  <c r="AP56" i="49"/>
  <c r="AW56" i="49"/>
  <c r="AX56" i="49"/>
  <c r="S57" i="49"/>
  <c r="AB57" i="49"/>
  <c r="BK57" i="49"/>
  <c r="AP57" i="49"/>
  <c r="AW57" i="49"/>
  <c r="AX57" i="49"/>
  <c r="P58" i="49"/>
  <c r="S58" i="49"/>
  <c r="AB58" i="49"/>
  <c r="AP58" i="49"/>
  <c r="AW58" i="49"/>
  <c r="AX58" i="49"/>
  <c r="S59" i="49"/>
  <c r="AB59" i="49"/>
  <c r="AP59" i="49"/>
  <c r="AW59" i="49"/>
  <c r="AX59" i="49"/>
  <c r="BU59" i="49"/>
  <c r="S60" i="49"/>
  <c r="AB60" i="49"/>
  <c r="BS60" i="49"/>
  <c r="AH60" i="49"/>
  <c r="AP60" i="49"/>
  <c r="AW60" i="49"/>
  <c r="AX60" i="49"/>
  <c r="P61" i="49"/>
  <c r="S61" i="49"/>
  <c r="AB61" i="49"/>
  <c r="BR61" i="49"/>
  <c r="AP61" i="49"/>
  <c r="AW61" i="49"/>
  <c r="AX61" i="49"/>
  <c r="S62" i="49"/>
  <c r="AB62" i="49"/>
  <c r="BB62" i="49"/>
  <c r="AP62" i="49"/>
  <c r="AW62" i="49"/>
  <c r="AX62" i="49"/>
  <c r="P63" i="49"/>
  <c r="S63" i="49"/>
  <c r="AB63" i="49"/>
  <c r="AP63" i="49"/>
  <c r="AW63" i="49"/>
  <c r="AX63" i="49"/>
  <c r="S64" i="49"/>
  <c r="AB64" i="49"/>
  <c r="BR64" i="49"/>
  <c r="AP64" i="49"/>
  <c r="AW64" i="49"/>
  <c r="AX64" i="49"/>
  <c r="P65" i="49"/>
  <c r="Q65" i="49"/>
  <c r="AB65" i="49"/>
  <c r="AP65" i="49"/>
  <c r="AW65" i="49"/>
  <c r="AX65" i="49"/>
  <c r="S66" i="49"/>
  <c r="AB66" i="49"/>
  <c r="AP66" i="49"/>
  <c r="AW66" i="49"/>
  <c r="AX66" i="49"/>
  <c r="S67" i="49"/>
  <c r="AB67" i="49"/>
  <c r="BR67" i="49"/>
  <c r="AG67" i="49"/>
  <c r="AP67" i="49"/>
  <c r="AQ67" i="49"/>
  <c r="AW67" i="49"/>
  <c r="AX67" i="49"/>
  <c r="S68" i="49"/>
  <c r="AB68" i="49"/>
  <c r="BT68" i="49"/>
  <c r="AP68" i="49"/>
  <c r="AW68" i="49"/>
  <c r="AX68" i="49"/>
  <c r="S69" i="49"/>
  <c r="AB69" i="49"/>
  <c r="AP69" i="49"/>
  <c r="AW69" i="49"/>
  <c r="AX69" i="49"/>
  <c r="S70" i="49"/>
  <c r="AB70" i="49"/>
  <c r="AP70" i="49"/>
  <c r="AW70" i="49"/>
  <c r="AX70" i="49"/>
  <c r="P71" i="49"/>
  <c r="S71" i="49"/>
  <c r="AB71" i="49"/>
  <c r="BF71" i="49"/>
  <c r="AP71" i="49"/>
  <c r="AW71" i="49"/>
  <c r="AX71" i="49"/>
  <c r="S72" i="49"/>
  <c r="AB72" i="49"/>
  <c r="BE72" i="49"/>
  <c r="AP72" i="49"/>
  <c r="AQ72" i="49"/>
  <c r="AW72" i="49"/>
  <c r="AX72" i="49"/>
  <c r="P73" i="49"/>
  <c r="S73" i="49"/>
  <c r="Q73" i="49"/>
  <c r="AB73" i="49"/>
  <c r="BF73" i="49"/>
  <c r="AP73" i="49"/>
  <c r="AW73" i="49"/>
  <c r="AX73" i="49"/>
  <c r="S74" i="49"/>
  <c r="AB74" i="49"/>
  <c r="BR74" i="49"/>
  <c r="AP74" i="49"/>
  <c r="AW74" i="49"/>
  <c r="AX74" i="49"/>
  <c r="S75" i="49"/>
  <c r="AB75" i="49"/>
  <c r="BQ75" i="49"/>
  <c r="AP75" i="49"/>
  <c r="AW75" i="49"/>
  <c r="AX75" i="49"/>
  <c r="P76" i="49"/>
  <c r="S76" i="49"/>
  <c r="AB76" i="49"/>
  <c r="BR76" i="49"/>
  <c r="AP76" i="49"/>
  <c r="AW76" i="49"/>
  <c r="AX76" i="49"/>
  <c r="S77" i="49"/>
  <c r="AB77" i="49"/>
  <c r="AP77" i="49"/>
  <c r="AW77" i="49"/>
  <c r="BT77" i="49"/>
  <c r="AX77" i="49"/>
  <c r="P78" i="49"/>
  <c r="S78" i="49"/>
  <c r="AB78" i="49"/>
  <c r="AJ78" i="49"/>
  <c r="AP78" i="49"/>
  <c r="AW78" i="49"/>
  <c r="AX78" i="49"/>
  <c r="S79" i="49"/>
  <c r="AB79" i="49"/>
  <c r="AP79" i="49"/>
  <c r="AW79" i="49"/>
  <c r="AX79" i="49"/>
  <c r="S80" i="49"/>
  <c r="AB80" i="49"/>
  <c r="BQ80" i="49"/>
  <c r="AP80" i="49"/>
  <c r="AW80" i="49"/>
  <c r="AX80" i="49"/>
  <c r="S81" i="49"/>
  <c r="AB81" i="49"/>
  <c r="AP81" i="49"/>
  <c r="AW81" i="49"/>
  <c r="AX81" i="49"/>
  <c r="S82" i="49"/>
  <c r="AB82" i="49"/>
  <c r="AP82" i="49"/>
  <c r="AW82" i="49"/>
  <c r="BT82" i="49"/>
  <c r="AX82" i="49"/>
  <c r="S83" i="49"/>
  <c r="AB83" i="49"/>
  <c r="AP83" i="49"/>
  <c r="AW83" i="49"/>
  <c r="AX83" i="49"/>
  <c r="S84" i="49"/>
  <c r="AB84" i="49"/>
  <c r="BK84" i="49"/>
  <c r="AP84" i="49"/>
  <c r="AW84" i="49"/>
  <c r="AX84" i="49"/>
  <c r="P85" i="49"/>
  <c r="S85" i="49"/>
  <c r="AB85" i="49"/>
  <c r="BR85" i="49"/>
  <c r="AP85" i="49"/>
  <c r="AW85" i="49"/>
  <c r="AX85" i="49"/>
  <c r="S86" i="49"/>
  <c r="AB86" i="49"/>
  <c r="AP86" i="49"/>
  <c r="AW86" i="49"/>
  <c r="BT86" i="49"/>
  <c r="AX86" i="49"/>
  <c r="S87" i="49"/>
  <c r="AB87" i="49"/>
  <c r="AP87" i="49"/>
  <c r="AW87" i="49"/>
  <c r="BT87" i="49"/>
  <c r="AX87" i="49"/>
  <c r="S88" i="49"/>
  <c r="AB88" i="49"/>
  <c r="BR88" i="49"/>
  <c r="AP88" i="49"/>
  <c r="AW88" i="49"/>
  <c r="AX88" i="49"/>
  <c r="S89" i="49"/>
  <c r="AB89" i="49"/>
  <c r="BO89" i="49"/>
  <c r="AP89" i="49"/>
  <c r="AW89" i="49"/>
  <c r="AX89" i="49"/>
  <c r="S90" i="49"/>
  <c r="AB90" i="49"/>
  <c r="BR90" i="49"/>
  <c r="AP90" i="49"/>
  <c r="AW90" i="49"/>
  <c r="AX90" i="49"/>
  <c r="S91" i="49"/>
  <c r="AB91" i="49"/>
  <c r="AP91" i="49"/>
  <c r="AW91" i="49"/>
  <c r="BT91" i="49"/>
  <c r="AX91" i="49"/>
  <c r="S92" i="49"/>
  <c r="AB92" i="49"/>
  <c r="AP92" i="49"/>
  <c r="AW92" i="49"/>
  <c r="AX92" i="49"/>
  <c r="BL92" i="49"/>
  <c r="S93" i="49"/>
  <c r="AB93" i="49"/>
  <c r="BE93" i="49"/>
  <c r="AP93" i="49"/>
  <c r="AW93" i="49"/>
  <c r="AX93" i="49"/>
  <c r="S94" i="49"/>
  <c r="AB94" i="49"/>
  <c r="AH94" i="49"/>
  <c r="AP94" i="49"/>
  <c r="AW94" i="49"/>
  <c r="BT94" i="49"/>
  <c r="AX94" i="49"/>
  <c r="S95" i="49"/>
  <c r="AB95" i="49"/>
  <c r="BK95" i="49"/>
  <c r="AP95" i="49"/>
  <c r="AW95" i="49"/>
  <c r="AX95" i="49"/>
  <c r="S96" i="49"/>
  <c r="AB96" i="49"/>
  <c r="AJ96" i="49"/>
  <c r="AP96" i="49"/>
  <c r="AW96" i="49"/>
  <c r="AX96" i="49"/>
  <c r="S97" i="49"/>
  <c r="AB97" i="49"/>
  <c r="BO97" i="49"/>
  <c r="AP97" i="49"/>
  <c r="AW97" i="49"/>
  <c r="AX97" i="49"/>
  <c r="P98" i="49"/>
  <c r="S98" i="49"/>
  <c r="AB98" i="49"/>
  <c r="AP98" i="49"/>
  <c r="AW98" i="49"/>
  <c r="BT98" i="49"/>
  <c r="AX98" i="49"/>
  <c r="S99" i="49"/>
  <c r="AB99" i="49"/>
  <c r="AP99" i="49"/>
  <c r="AW99" i="49"/>
  <c r="AX99" i="49"/>
  <c r="BU99" i="49"/>
  <c r="S100" i="49"/>
  <c r="AB100" i="49"/>
  <c r="BM100" i="49"/>
  <c r="AP100" i="49"/>
  <c r="AW100" i="49"/>
  <c r="AX100" i="49"/>
  <c r="P101" i="49"/>
  <c r="S101" i="49"/>
  <c r="AB101" i="49"/>
  <c r="BM101" i="49"/>
  <c r="AP101" i="49"/>
  <c r="AW101" i="49"/>
  <c r="AX101" i="49"/>
  <c r="S102" i="49"/>
  <c r="AB102" i="49"/>
  <c r="BO102" i="49"/>
  <c r="AH102" i="49"/>
  <c r="AP102" i="49"/>
  <c r="AW102" i="49"/>
  <c r="AX102" i="49"/>
  <c r="S103" i="49"/>
  <c r="AB103" i="49"/>
  <c r="BP103" i="49"/>
  <c r="AH103" i="49"/>
  <c r="AP103" i="49"/>
  <c r="AW103" i="49"/>
  <c r="AX103" i="49"/>
  <c r="S104" i="49"/>
  <c r="AB104" i="49"/>
  <c r="AC104" i="49"/>
  <c r="AH104" i="49"/>
  <c r="AH318" i="49"/>
  <c r="AP104" i="49"/>
  <c r="AW104" i="49"/>
  <c r="AX104" i="49"/>
  <c r="S105" i="49"/>
  <c r="AB105" i="49"/>
  <c r="AP105" i="49"/>
  <c r="AW105" i="49"/>
  <c r="BT105" i="49"/>
  <c r="AX105" i="49"/>
  <c r="P106" i="49"/>
  <c r="S106" i="49"/>
  <c r="AB106" i="49"/>
  <c r="AH106" i="49"/>
  <c r="AP106" i="49"/>
  <c r="AW106" i="49"/>
  <c r="AX106" i="49"/>
  <c r="S107" i="49"/>
  <c r="AB107" i="49"/>
  <c r="BQ107" i="49"/>
  <c r="AP107" i="49"/>
  <c r="AW107" i="49"/>
  <c r="BT107" i="49"/>
  <c r="AX107" i="49"/>
  <c r="S108" i="49"/>
  <c r="AB108" i="49"/>
  <c r="BE108" i="49"/>
  <c r="AP108" i="49"/>
  <c r="AW108" i="49"/>
  <c r="AX108" i="49"/>
  <c r="P109" i="49"/>
  <c r="S109" i="49"/>
  <c r="AB109" i="49"/>
  <c r="AP109" i="49"/>
  <c r="AQ109" i="49"/>
  <c r="AW109" i="49"/>
  <c r="AX109" i="49"/>
  <c r="S110" i="49"/>
  <c r="AB110" i="49"/>
  <c r="AP110" i="49"/>
  <c r="AQ110" i="49"/>
  <c r="AW110" i="49"/>
  <c r="AX110" i="49"/>
  <c r="P111" i="49"/>
  <c r="S111" i="49"/>
  <c r="AB111" i="49"/>
  <c r="BS111" i="49"/>
  <c r="AP111" i="49"/>
  <c r="AW111" i="49"/>
  <c r="AX111" i="49"/>
  <c r="P112" i="49"/>
  <c r="S112" i="49"/>
  <c r="AB112" i="49"/>
  <c r="BR112" i="49"/>
  <c r="AP112" i="49"/>
  <c r="AW112" i="49"/>
  <c r="AX112" i="49"/>
  <c r="S113" i="49"/>
  <c r="AB113" i="49"/>
  <c r="AP113" i="49"/>
  <c r="AW113" i="49"/>
  <c r="AX113" i="49"/>
  <c r="S114" i="49"/>
  <c r="AB114" i="49"/>
  <c r="BF114" i="49"/>
  <c r="AP114" i="49"/>
  <c r="AW114" i="49"/>
  <c r="AX114" i="49"/>
  <c r="S115" i="49"/>
  <c r="AB115" i="49"/>
  <c r="BO115" i="49"/>
  <c r="AP115" i="49"/>
  <c r="AW115" i="49"/>
  <c r="AX115" i="49"/>
  <c r="S116" i="49"/>
  <c r="AB116" i="49"/>
  <c r="AH116" i="49"/>
  <c r="AP116" i="49"/>
  <c r="AW116" i="49"/>
  <c r="AX116" i="49"/>
  <c r="P117" i="49"/>
  <c r="S117" i="49"/>
  <c r="AB117" i="49"/>
  <c r="BB117" i="49"/>
  <c r="AP117" i="49"/>
  <c r="AW117" i="49"/>
  <c r="AX117" i="49"/>
  <c r="S118" i="49"/>
  <c r="AB118" i="49"/>
  <c r="BB118" i="49"/>
  <c r="AP118" i="49"/>
  <c r="AW118" i="49"/>
  <c r="AX118" i="49"/>
  <c r="S119" i="49"/>
  <c r="AB119" i="49"/>
  <c r="BK119" i="49"/>
  <c r="AP119" i="49"/>
  <c r="AW119" i="49"/>
  <c r="AX119" i="49"/>
  <c r="P120" i="49"/>
  <c r="S120" i="49"/>
  <c r="AB120" i="49"/>
  <c r="AP120" i="49"/>
  <c r="AW120" i="49"/>
  <c r="AX120" i="49"/>
  <c r="P121" i="49"/>
  <c r="S121" i="49"/>
  <c r="AB121" i="49"/>
  <c r="BK121" i="49"/>
  <c r="AP121" i="49"/>
  <c r="AW121" i="49"/>
  <c r="AX121" i="49"/>
  <c r="BU121" i="49"/>
  <c r="S122" i="49"/>
  <c r="AB122" i="49"/>
  <c r="AP122" i="49"/>
  <c r="AQ122" i="49"/>
  <c r="AG122" i="49"/>
  <c r="AW122" i="49"/>
  <c r="AX122" i="49"/>
  <c r="S123" i="49"/>
  <c r="AB123" i="49"/>
  <c r="AP123" i="49"/>
  <c r="AW123" i="49"/>
  <c r="AX123" i="49"/>
  <c r="BI123" i="49"/>
  <c r="P124" i="49"/>
  <c r="S124" i="49"/>
  <c r="AB124" i="49"/>
  <c r="AP124" i="49"/>
  <c r="AQ124" i="49"/>
  <c r="AW124" i="49"/>
  <c r="AX124" i="49"/>
  <c r="P125" i="49"/>
  <c r="S125" i="49"/>
  <c r="AB125" i="49"/>
  <c r="AH125" i="49"/>
  <c r="AP125" i="49"/>
  <c r="AW125" i="49"/>
  <c r="AX125" i="49"/>
  <c r="S126" i="49"/>
  <c r="AB126" i="49"/>
  <c r="AH126" i="49"/>
  <c r="AP126" i="49"/>
  <c r="AW126" i="49"/>
  <c r="AX126" i="49"/>
  <c r="P127" i="49"/>
  <c r="Q127" i="49"/>
  <c r="AB127" i="49"/>
  <c r="AP127" i="49"/>
  <c r="AW127" i="49"/>
  <c r="AX127" i="49"/>
  <c r="S128" i="49"/>
  <c r="AB128" i="49"/>
  <c r="AP128" i="49"/>
  <c r="AQ128" i="49"/>
  <c r="AW128" i="49"/>
  <c r="AX128" i="49"/>
  <c r="P129" i="49"/>
  <c r="S129" i="49"/>
  <c r="AB129" i="49"/>
  <c r="AP129" i="49"/>
  <c r="AW129" i="49"/>
  <c r="AX129" i="49"/>
  <c r="P130" i="49"/>
  <c r="Q130" i="49"/>
  <c r="AB130" i="49"/>
  <c r="BE130" i="49"/>
  <c r="AP130" i="49"/>
  <c r="AW130" i="49"/>
  <c r="AX130" i="49"/>
  <c r="S131" i="49"/>
  <c r="AB131" i="49"/>
  <c r="BE131" i="49"/>
  <c r="AP131" i="49"/>
  <c r="AW131" i="49"/>
  <c r="AX131" i="49"/>
  <c r="S132" i="49"/>
  <c r="AB132" i="49"/>
  <c r="BF132" i="49"/>
  <c r="AG132" i="49"/>
  <c r="AP132" i="49"/>
  <c r="AW132" i="49"/>
  <c r="AX132" i="49"/>
  <c r="S133" i="49"/>
  <c r="AB133" i="49"/>
  <c r="AP133" i="49"/>
  <c r="AQ133" i="49"/>
  <c r="AG133" i="49"/>
  <c r="AW133" i="49"/>
  <c r="AX133" i="49"/>
  <c r="S134" i="49"/>
  <c r="AB134" i="49"/>
  <c r="BL134" i="49"/>
  <c r="AP134" i="49"/>
  <c r="AW134" i="49"/>
  <c r="AX134" i="49"/>
  <c r="S135" i="49"/>
  <c r="AB135" i="49"/>
  <c r="BI135" i="49"/>
  <c r="AP135" i="49"/>
  <c r="AW135" i="49"/>
  <c r="AX135" i="49"/>
  <c r="P136" i="49"/>
  <c r="S136" i="49"/>
  <c r="AB136" i="49"/>
  <c r="AP136" i="49"/>
  <c r="AW136" i="49"/>
  <c r="BT136" i="49"/>
  <c r="AX136" i="49"/>
  <c r="S137" i="49"/>
  <c r="AB137" i="49"/>
  <c r="AP137" i="49"/>
  <c r="AW137" i="49"/>
  <c r="AX137" i="49"/>
  <c r="S138" i="49"/>
  <c r="AB138" i="49"/>
  <c r="AP138" i="49"/>
  <c r="AW138" i="49"/>
  <c r="AX138" i="49"/>
  <c r="Q139" i="49"/>
  <c r="S139" i="49"/>
  <c r="AB139" i="49"/>
  <c r="AP139" i="49"/>
  <c r="AW139" i="49"/>
  <c r="AX139" i="49"/>
  <c r="S140" i="49"/>
  <c r="AB140" i="49"/>
  <c r="AP140" i="49"/>
  <c r="AW140" i="49"/>
  <c r="AX140" i="49"/>
  <c r="S141" i="49"/>
  <c r="AB141" i="49"/>
  <c r="AJ141" i="49"/>
  <c r="AP141" i="49"/>
  <c r="AW141" i="49"/>
  <c r="AX141" i="49"/>
  <c r="P142" i="49"/>
  <c r="Q142" i="49"/>
  <c r="AB142" i="49"/>
  <c r="AP142" i="49"/>
  <c r="AW142" i="49"/>
  <c r="AX142" i="49"/>
  <c r="S143" i="49"/>
  <c r="AB143" i="49"/>
  <c r="AP143" i="49"/>
  <c r="AW143" i="49"/>
  <c r="AX143" i="49"/>
  <c r="S144" i="49"/>
  <c r="AB144" i="49"/>
  <c r="BR144" i="49"/>
  <c r="AP144" i="49"/>
  <c r="AW144" i="49"/>
  <c r="AX144" i="49"/>
  <c r="S145" i="49"/>
  <c r="AB145" i="49"/>
  <c r="BO145" i="49"/>
  <c r="AP145" i="49"/>
  <c r="AW145" i="49"/>
  <c r="AX145" i="49"/>
  <c r="S146" i="49"/>
  <c r="AB146" i="49"/>
  <c r="AP146" i="49"/>
  <c r="AW146" i="49"/>
  <c r="BT146" i="49"/>
  <c r="AX146" i="49"/>
  <c r="S147" i="49"/>
  <c r="AB147" i="49"/>
  <c r="AP147" i="49"/>
  <c r="AW147" i="49"/>
  <c r="AX147" i="49"/>
  <c r="BR147" i="49"/>
  <c r="S148" i="49"/>
  <c r="AB148" i="49"/>
  <c r="AC148" i="49"/>
  <c r="AP148" i="49"/>
  <c r="AW148" i="49"/>
  <c r="AX148" i="49"/>
  <c r="S149" i="49"/>
  <c r="AB149" i="49"/>
  <c r="BQ149" i="49"/>
  <c r="AP149" i="49"/>
  <c r="AW149" i="49"/>
  <c r="AX149" i="49"/>
  <c r="S150" i="49"/>
  <c r="AB150" i="49"/>
  <c r="BE150" i="49"/>
  <c r="AP150" i="49"/>
  <c r="AW150" i="49"/>
  <c r="BT150" i="49"/>
  <c r="AX150" i="49"/>
  <c r="S151" i="49"/>
  <c r="AB151" i="49"/>
  <c r="AP151" i="49"/>
  <c r="AW151" i="49"/>
  <c r="AX151" i="49"/>
  <c r="S152" i="49"/>
  <c r="AB152" i="49"/>
  <c r="AP152" i="49"/>
  <c r="AW152" i="49"/>
  <c r="AX152" i="49"/>
  <c r="S153" i="49"/>
  <c r="AB153" i="49"/>
  <c r="BQ153" i="49"/>
  <c r="AP153" i="49"/>
  <c r="AW153" i="49"/>
  <c r="AX153" i="49"/>
  <c r="S154" i="49"/>
  <c r="AB154" i="49"/>
  <c r="BS154" i="49"/>
  <c r="AP154" i="49"/>
  <c r="AW154" i="49"/>
  <c r="AX154" i="49"/>
  <c r="S155" i="49"/>
  <c r="AB155" i="49"/>
  <c r="AH155" i="49"/>
  <c r="AP155" i="49"/>
  <c r="AW155" i="49"/>
  <c r="AX155" i="49"/>
  <c r="S156" i="49"/>
  <c r="AB156" i="49"/>
  <c r="BB156" i="49"/>
  <c r="AH156" i="49"/>
  <c r="AP156" i="49"/>
  <c r="AW156" i="49"/>
  <c r="AX156" i="49"/>
  <c r="S157" i="49"/>
  <c r="AB157" i="49"/>
  <c r="AH157" i="49"/>
  <c r="AP157" i="49"/>
  <c r="AW157" i="49"/>
  <c r="AX157" i="49"/>
  <c r="S158" i="49"/>
  <c r="AB158" i="49"/>
  <c r="AP158" i="49"/>
  <c r="AW158" i="49"/>
  <c r="AX158" i="49"/>
  <c r="S159" i="49"/>
  <c r="AB159" i="49"/>
  <c r="BR159" i="49"/>
  <c r="AP159" i="49"/>
  <c r="AW159" i="49"/>
  <c r="AX159" i="49"/>
  <c r="S160" i="49"/>
  <c r="AB160" i="49"/>
  <c r="BL160" i="49"/>
  <c r="BP160" i="49"/>
  <c r="AP160" i="49"/>
  <c r="AW160" i="49"/>
  <c r="AX160" i="49"/>
  <c r="Q161" i="49"/>
  <c r="S161" i="49"/>
  <c r="AB161" i="49"/>
  <c r="AH161" i="49"/>
  <c r="AP161" i="49"/>
  <c r="AW161" i="49"/>
  <c r="AX161" i="49"/>
  <c r="S162" i="49"/>
  <c r="AB162" i="49"/>
  <c r="AP162" i="49"/>
  <c r="AW162" i="49"/>
  <c r="AX162" i="49"/>
  <c r="S163" i="49"/>
  <c r="AB163" i="49"/>
  <c r="AP163" i="49"/>
  <c r="AW163" i="49"/>
  <c r="AX163" i="49"/>
  <c r="S164" i="49"/>
  <c r="AB164" i="49"/>
  <c r="BU164" i="49"/>
  <c r="AP164" i="49"/>
  <c r="AW164" i="49"/>
  <c r="AX164" i="49"/>
  <c r="S165" i="49"/>
  <c r="AB165" i="49"/>
  <c r="AP165" i="49"/>
  <c r="AW165" i="49"/>
  <c r="AX165" i="49"/>
  <c r="BE165" i="49"/>
  <c r="S166" i="49"/>
  <c r="AB166" i="49"/>
  <c r="BF166" i="49"/>
  <c r="AP166" i="49"/>
  <c r="AW166" i="49"/>
  <c r="AX166" i="49"/>
  <c r="S167" i="49"/>
  <c r="AB167" i="49"/>
  <c r="AP167" i="49"/>
  <c r="AW167" i="49"/>
  <c r="AX167" i="49"/>
  <c r="S168" i="49"/>
  <c r="AB168" i="49"/>
  <c r="BR168" i="49"/>
  <c r="AP168" i="49"/>
  <c r="AW168" i="49"/>
  <c r="AX168" i="49"/>
  <c r="S169" i="49"/>
  <c r="AB169" i="49"/>
  <c r="BK169" i="49"/>
  <c r="AP169" i="49"/>
  <c r="AW169" i="49"/>
  <c r="AX169" i="49"/>
  <c r="S170" i="49"/>
  <c r="AB170" i="49"/>
  <c r="BR170" i="49"/>
  <c r="AP170" i="49"/>
  <c r="AW170" i="49"/>
  <c r="AX170" i="49"/>
  <c r="S171" i="49"/>
  <c r="AB171" i="49"/>
  <c r="BM171" i="49"/>
  <c r="AP171" i="49"/>
  <c r="AW171" i="49"/>
  <c r="AX171" i="49"/>
  <c r="N172" i="49"/>
  <c r="Q172" i="49"/>
  <c r="S172" i="49"/>
  <c r="AB172" i="49"/>
  <c r="BQ172" i="49"/>
  <c r="AG172" i="49"/>
  <c r="AP172" i="49"/>
  <c r="S173" i="49"/>
  <c r="AB173" i="49"/>
  <c r="BE173" i="49"/>
  <c r="AP173" i="49"/>
  <c r="AW173" i="49"/>
  <c r="AX173" i="49"/>
  <c r="S174" i="49"/>
  <c r="AB174" i="49"/>
  <c r="AP174" i="49"/>
  <c r="AW174" i="49"/>
  <c r="AX174" i="49"/>
  <c r="S175" i="49"/>
  <c r="AB175" i="49"/>
  <c r="AP175" i="49"/>
  <c r="AW175" i="49"/>
  <c r="AX175" i="49"/>
  <c r="S176" i="49"/>
  <c r="AB176" i="49"/>
  <c r="BR176" i="49"/>
  <c r="AP176" i="49"/>
  <c r="AW176" i="49"/>
  <c r="AX176" i="49"/>
  <c r="S177" i="49"/>
  <c r="AB177" i="49"/>
  <c r="AP177" i="49"/>
  <c r="AW177" i="49"/>
  <c r="AX177" i="49"/>
  <c r="S178" i="49"/>
  <c r="AB178" i="49"/>
  <c r="BP178" i="49"/>
  <c r="AP178" i="49"/>
  <c r="AW178" i="49"/>
  <c r="AX178" i="49"/>
  <c r="P179" i="49"/>
  <c r="S179" i="49"/>
  <c r="AB179" i="49"/>
  <c r="AJ179" i="49"/>
  <c r="AP179" i="49"/>
  <c r="AW179" i="49"/>
  <c r="AX179" i="49"/>
  <c r="S180" i="49"/>
  <c r="AB180" i="49"/>
  <c r="AP180" i="49"/>
  <c r="AW180" i="49"/>
  <c r="BT180" i="49"/>
  <c r="AX180" i="49"/>
  <c r="S181" i="49"/>
  <c r="AB181" i="49"/>
  <c r="BS181" i="49"/>
  <c r="AP181" i="49"/>
  <c r="AW181" i="49"/>
  <c r="AX181" i="49"/>
  <c r="P182" i="49"/>
  <c r="S182" i="49"/>
  <c r="AB182" i="49"/>
  <c r="BF182" i="49"/>
  <c r="AP182" i="49"/>
  <c r="AW182" i="49"/>
  <c r="AX182" i="49"/>
  <c r="P183" i="49"/>
  <c r="S183" i="49"/>
  <c r="AB183" i="49"/>
  <c r="AP183" i="49"/>
  <c r="AW183" i="49"/>
  <c r="AX183" i="49"/>
  <c r="S184" i="49"/>
  <c r="AB184" i="49"/>
  <c r="AJ184" i="49"/>
  <c r="AF184" i="49"/>
  <c r="AP184" i="49"/>
  <c r="AQ184" i="49"/>
  <c r="AG184" i="49"/>
  <c r="AW184" i="49"/>
  <c r="AX184" i="49"/>
  <c r="P185" i="49"/>
  <c r="S185" i="49"/>
  <c r="AB185" i="49"/>
  <c r="AC185" i="49"/>
  <c r="AP185" i="49"/>
  <c r="AW185" i="49"/>
  <c r="AX185" i="49"/>
  <c r="P186" i="49"/>
  <c r="S186" i="49"/>
  <c r="AB186" i="49"/>
  <c r="BI186" i="49"/>
  <c r="AP186" i="49"/>
  <c r="AW186" i="49"/>
  <c r="AX186" i="49"/>
  <c r="S187" i="49"/>
  <c r="AB187" i="49"/>
  <c r="AP187" i="49"/>
  <c r="AQ187" i="49"/>
  <c r="AW187" i="49"/>
  <c r="AX187" i="49"/>
  <c r="S188" i="49"/>
  <c r="AB188" i="49"/>
  <c r="BO188" i="49"/>
  <c r="AH188" i="49"/>
  <c r="AP188" i="49"/>
  <c r="AQ188" i="49"/>
  <c r="AW188" i="49"/>
  <c r="AX188" i="49"/>
  <c r="P189" i="49"/>
  <c r="S189" i="49"/>
  <c r="AB189" i="49"/>
  <c r="BE189" i="49"/>
  <c r="AP189" i="49"/>
  <c r="AW189" i="49"/>
  <c r="AX189" i="49"/>
  <c r="S190" i="49"/>
  <c r="AB190" i="49"/>
  <c r="AP190" i="49"/>
  <c r="AW190" i="49"/>
  <c r="AX190" i="49"/>
  <c r="S191" i="49"/>
  <c r="AB191" i="49"/>
  <c r="BP191" i="49"/>
  <c r="AP191" i="49"/>
  <c r="AW191" i="49"/>
  <c r="AX191" i="49"/>
  <c r="S192" i="49"/>
  <c r="AB192" i="49"/>
  <c r="AP192" i="49"/>
  <c r="AW192" i="49"/>
  <c r="AX192" i="49"/>
  <c r="S193" i="49"/>
  <c r="AB193" i="49"/>
  <c r="AP193" i="49"/>
  <c r="AW193" i="49"/>
  <c r="AX193" i="49"/>
  <c r="S194" i="49"/>
  <c r="AB194" i="49"/>
  <c r="BK194" i="49"/>
  <c r="AP194" i="49"/>
  <c r="AW194" i="49"/>
  <c r="AX194" i="49"/>
  <c r="S195" i="49"/>
  <c r="AB195" i="49"/>
  <c r="BF195" i="49"/>
  <c r="AP195" i="49"/>
  <c r="AW195" i="49"/>
  <c r="AX195" i="49"/>
  <c r="S196" i="49"/>
  <c r="AB196" i="49"/>
  <c r="AP196" i="49"/>
  <c r="AW196" i="49"/>
  <c r="AX196" i="49"/>
  <c r="S197" i="49"/>
  <c r="AB197" i="49"/>
  <c r="BP197" i="49"/>
  <c r="AP197" i="49"/>
  <c r="AW197" i="49"/>
  <c r="AX197" i="49"/>
  <c r="S198" i="49"/>
  <c r="AB198" i="49"/>
  <c r="AE198" i="49"/>
  <c r="AP198" i="49"/>
  <c r="AW198" i="49"/>
  <c r="AX198" i="49"/>
  <c r="S199" i="49"/>
  <c r="AB199" i="49"/>
  <c r="AP199" i="49"/>
  <c r="AW199" i="49"/>
  <c r="AX199" i="49"/>
  <c r="S200" i="49"/>
  <c r="AB200" i="49"/>
  <c r="BL200" i="49"/>
  <c r="AP200" i="49"/>
  <c r="AW200" i="49"/>
  <c r="AX200" i="49"/>
  <c r="S201" i="49"/>
  <c r="AB201" i="49"/>
  <c r="AP201" i="49"/>
  <c r="AW201" i="49"/>
  <c r="AX201" i="49"/>
  <c r="S202" i="49"/>
  <c r="AB202" i="49"/>
  <c r="BL202" i="49"/>
  <c r="AP202" i="49"/>
  <c r="AW202" i="49"/>
  <c r="AX202" i="49"/>
  <c r="S203" i="49"/>
  <c r="AB203" i="49"/>
  <c r="BL203" i="49"/>
  <c r="AP203" i="49"/>
  <c r="AW203" i="49"/>
  <c r="AX203" i="49"/>
  <c r="S204" i="49"/>
  <c r="AB204" i="49"/>
  <c r="BR204" i="49"/>
  <c r="AP204" i="49"/>
  <c r="AW204" i="49"/>
  <c r="AX204" i="49"/>
  <c r="S205" i="49"/>
  <c r="AB205" i="49"/>
  <c r="AC205" i="49"/>
  <c r="AP205" i="49"/>
  <c r="AW205" i="49"/>
  <c r="AX205" i="49"/>
  <c r="S206" i="49"/>
  <c r="AB206" i="49"/>
  <c r="AP206" i="49"/>
  <c r="AW206" i="49"/>
  <c r="AX206" i="49"/>
  <c r="S207" i="49"/>
  <c r="AB207" i="49"/>
  <c r="BB207" i="49"/>
  <c r="AP207" i="49"/>
  <c r="AW207" i="49"/>
  <c r="AX207" i="49"/>
  <c r="S208" i="49"/>
  <c r="AB208" i="49"/>
  <c r="AP208" i="49"/>
  <c r="AW208" i="49"/>
  <c r="AX208" i="49"/>
  <c r="S209" i="49"/>
  <c r="AB209" i="49"/>
  <c r="AP209" i="49"/>
  <c r="AW209" i="49"/>
  <c r="AX209" i="49"/>
  <c r="S210" i="49"/>
  <c r="AB210" i="49"/>
  <c r="BM210" i="49"/>
  <c r="AP210" i="49"/>
  <c r="AW210" i="49"/>
  <c r="AX210" i="49"/>
  <c r="S211" i="49"/>
  <c r="AB211" i="49"/>
  <c r="BM211" i="49"/>
  <c r="AP211" i="49"/>
  <c r="AW211" i="49"/>
  <c r="AX211" i="49"/>
  <c r="S212" i="49"/>
  <c r="AB212" i="49"/>
  <c r="AP212" i="49"/>
  <c r="AW212" i="49"/>
  <c r="AX212" i="49"/>
  <c r="S213" i="49"/>
  <c r="AB213" i="49"/>
  <c r="BO213" i="49"/>
  <c r="AP213" i="49"/>
  <c r="AW213" i="49"/>
  <c r="AX213" i="49"/>
  <c r="P214" i="49"/>
  <c r="S214" i="49"/>
  <c r="AB214" i="49"/>
  <c r="AP214" i="49"/>
  <c r="AQ214" i="49"/>
  <c r="AW214" i="49"/>
  <c r="AX214" i="49"/>
  <c r="P215" i="49"/>
  <c r="S215" i="49"/>
  <c r="AB215" i="49"/>
  <c r="AC215" i="49"/>
  <c r="AP215" i="49"/>
  <c r="AW215" i="49"/>
  <c r="AX215" i="49"/>
  <c r="S216" i="49"/>
  <c r="AB216" i="49"/>
  <c r="BP216" i="49"/>
  <c r="AP216" i="49"/>
  <c r="AW216" i="49"/>
  <c r="AX216" i="49"/>
  <c r="P217" i="49"/>
  <c r="S217" i="49"/>
  <c r="AB217" i="49"/>
  <c r="BE217" i="49"/>
  <c r="AP217" i="49"/>
  <c r="AW217" i="49"/>
  <c r="BT217" i="49"/>
  <c r="AX217" i="49"/>
  <c r="S218" i="49"/>
  <c r="AB218" i="49"/>
  <c r="AP218" i="49"/>
  <c r="AQ218" i="49"/>
  <c r="AW218" i="49"/>
  <c r="AX218" i="49"/>
  <c r="Q219" i="49"/>
  <c r="S219" i="49"/>
  <c r="AB219" i="49"/>
  <c r="AP219" i="49"/>
  <c r="AW219" i="49"/>
  <c r="AX219" i="49"/>
  <c r="S220" i="49"/>
  <c r="AB220" i="49"/>
  <c r="BK220" i="49"/>
  <c r="AP220" i="49"/>
  <c r="AW220" i="49"/>
  <c r="AX220" i="49"/>
  <c r="S221" i="49"/>
  <c r="AB221" i="49"/>
  <c r="AP221" i="49"/>
  <c r="AW221" i="49"/>
  <c r="AX221" i="49"/>
  <c r="S222" i="49"/>
  <c r="AB222" i="49"/>
  <c r="BS222" i="49"/>
  <c r="AH222" i="49"/>
  <c r="AP222" i="49"/>
  <c r="AW222" i="49"/>
  <c r="AX222" i="49"/>
  <c r="S223" i="49"/>
  <c r="AB223" i="49"/>
  <c r="AP223" i="49"/>
  <c r="AW223" i="49"/>
  <c r="AX223" i="49"/>
  <c r="S224" i="49"/>
  <c r="AB224" i="49"/>
  <c r="AP224" i="49"/>
  <c r="AW224" i="49"/>
  <c r="AX224" i="49"/>
  <c r="BL224" i="49"/>
  <c r="S225" i="49"/>
  <c r="AB225" i="49"/>
  <c r="BT225" i="49"/>
  <c r="AP225" i="49"/>
  <c r="AW225" i="49"/>
  <c r="AX225" i="49"/>
  <c r="S226" i="49"/>
  <c r="AB226" i="49"/>
  <c r="BQ226" i="49"/>
  <c r="AP226" i="49"/>
  <c r="AW226" i="49"/>
  <c r="AX226" i="49"/>
  <c r="S227" i="49"/>
  <c r="AB227" i="49"/>
  <c r="AC227" i="49"/>
  <c r="AP227" i="49"/>
  <c r="AW227" i="49"/>
  <c r="AX227" i="49"/>
  <c r="S228" i="49"/>
  <c r="AB228" i="49"/>
  <c r="BP228" i="49"/>
  <c r="AP228" i="49"/>
  <c r="AW228" i="49"/>
  <c r="AX228" i="49"/>
  <c r="S229" i="49"/>
  <c r="AB229" i="49"/>
  <c r="AP229" i="49"/>
  <c r="AW229" i="49"/>
  <c r="AX229" i="49"/>
  <c r="S230" i="49"/>
  <c r="AB230" i="49"/>
  <c r="AP230" i="49"/>
  <c r="AW230" i="49"/>
  <c r="BT230" i="49"/>
  <c r="AX230" i="49"/>
  <c r="S231" i="49"/>
  <c r="AB231" i="49"/>
  <c r="BQ231" i="49"/>
  <c r="AP231" i="49"/>
  <c r="AW231" i="49"/>
  <c r="AX231" i="49"/>
  <c r="S232" i="49"/>
  <c r="AB232" i="49"/>
  <c r="AP232" i="49"/>
  <c r="AW232" i="49"/>
  <c r="AX232" i="49"/>
  <c r="S233" i="49"/>
  <c r="AB233" i="49"/>
  <c r="AP233" i="49"/>
  <c r="AW233" i="49"/>
  <c r="AX233" i="49"/>
  <c r="S234" i="49"/>
  <c r="AB234" i="49"/>
  <c r="AP234" i="49"/>
  <c r="AW234" i="49"/>
  <c r="AX234" i="49"/>
  <c r="S235" i="49"/>
  <c r="AB235" i="49"/>
  <c r="BR235" i="49"/>
  <c r="AP235" i="49"/>
  <c r="AW235" i="49"/>
  <c r="AX235" i="49"/>
  <c r="S236" i="49"/>
  <c r="AB236" i="49"/>
  <c r="BM236" i="49"/>
  <c r="AP236" i="49"/>
  <c r="AW236" i="49"/>
  <c r="AX236" i="49"/>
  <c r="P237" i="49"/>
  <c r="S237" i="49"/>
  <c r="AB237" i="49"/>
  <c r="BE237" i="49"/>
  <c r="AP237" i="49"/>
  <c r="AW237" i="49"/>
  <c r="AX237" i="49"/>
  <c r="S238" i="49"/>
  <c r="AB238" i="49"/>
  <c r="BQ238" i="49"/>
  <c r="AP238" i="49"/>
  <c r="AW238" i="49"/>
  <c r="AX238" i="49"/>
  <c r="P239" i="49"/>
  <c r="S239" i="49"/>
  <c r="AB239" i="49"/>
  <c r="BF239" i="49"/>
  <c r="BI239" i="49"/>
  <c r="AY239" i="49"/>
  <c r="BA239" i="49"/>
  <c r="S240" i="49"/>
  <c r="AB240" i="49"/>
  <c r="BP240" i="49"/>
  <c r="AP240" i="49"/>
  <c r="AW240" i="49"/>
  <c r="BT240" i="49"/>
  <c r="AX240" i="49"/>
  <c r="S241" i="49"/>
  <c r="AB241" i="49"/>
  <c r="BI241" i="49"/>
  <c r="AP241" i="49"/>
  <c r="AW241" i="49"/>
  <c r="AX241" i="49"/>
  <c r="S242" i="49"/>
  <c r="AB242" i="49"/>
  <c r="AP242" i="49"/>
  <c r="AW242" i="49"/>
  <c r="AX242" i="49"/>
  <c r="BR242" i="49"/>
  <c r="S243" i="49"/>
  <c r="AB243" i="49"/>
  <c r="AP243" i="49"/>
  <c r="AW243" i="49"/>
  <c r="AX243" i="49"/>
  <c r="S244" i="49"/>
  <c r="AB244" i="49"/>
  <c r="AP244" i="49"/>
  <c r="AW244" i="49"/>
  <c r="AX244" i="49"/>
  <c r="S245" i="49"/>
  <c r="AB245" i="49"/>
  <c r="AH245" i="49"/>
  <c r="AP245" i="49"/>
  <c r="AW245" i="49"/>
  <c r="AX245" i="49"/>
  <c r="BU245" i="49"/>
  <c r="S246" i="49"/>
  <c r="AB246" i="49"/>
  <c r="BR246" i="49"/>
  <c r="AH246" i="49"/>
  <c r="AP246" i="49"/>
  <c r="AW246" i="49"/>
  <c r="AX246" i="49"/>
  <c r="S247" i="49"/>
  <c r="AB247" i="49"/>
  <c r="BR247" i="49"/>
  <c r="AH247" i="49"/>
  <c r="AP247" i="49"/>
  <c r="AW247" i="49"/>
  <c r="AX247" i="49"/>
  <c r="S248" i="49"/>
  <c r="AB248" i="49"/>
  <c r="BS248" i="49"/>
  <c r="AP248" i="49"/>
  <c r="AW248" i="49"/>
  <c r="AX248" i="49"/>
  <c r="S249" i="49"/>
  <c r="AB249" i="49"/>
  <c r="BF249" i="49"/>
  <c r="AP249" i="49"/>
  <c r="AW249" i="49"/>
  <c r="AX249" i="49"/>
  <c r="S250" i="49"/>
  <c r="AB250" i="49"/>
  <c r="AP250" i="49"/>
  <c r="AW250" i="49"/>
  <c r="AX250" i="49"/>
  <c r="S251" i="49"/>
  <c r="AB251" i="49"/>
  <c r="AP251" i="49"/>
  <c r="AW251" i="49"/>
  <c r="AX251" i="49"/>
  <c r="S252" i="49"/>
  <c r="AB252" i="49"/>
  <c r="AP252" i="49"/>
  <c r="AQ252" i="49"/>
  <c r="AG252" i="49"/>
  <c r="BH252" i="49"/>
  <c r="AW252" i="49"/>
  <c r="AX252" i="49"/>
  <c r="S253" i="49"/>
  <c r="AB253" i="49"/>
  <c r="BF253" i="49"/>
  <c r="AP253" i="49"/>
  <c r="AW253" i="49"/>
  <c r="AX253" i="49"/>
  <c r="S254" i="49"/>
  <c r="AB254" i="49"/>
  <c r="AC254" i="49"/>
  <c r="AP254" i="49"/>
  <c r="AW254" i="49"/>
  <c r="AX254" i="49"/>
  <c r="S255" i="49"/>
  <c r="AB255" i="49"/>
  <c r="BS255" i="49"/>
  <c r="AD255" i="49"/>
  <c r="AE255" i="49"/>
  <c r="AH255" i="49"/>
  <c r="AP255" i="49"/>
  <c r="AW255" i="49"/>
  <c r="AX255" i="49"/>
  <c r="S256" i="49"/>
  <c r="AB256" i="49"/>
  <c r="BS256" i="49"/>
  <c r="AH256" i="49"/>
  <c r="AP256" i="49"/>
  <c r="AQ256" i="49"/>
  <c r="AW256" i="49"/>
  <c r="AX256" i="49"/>
  <c r="S257" i="49"/>
  <c r="AB257" i="49"/>
  <c r="AJ257" i="49"/>
  <c r="AP257" i="49"/>
  <c r="AW257" i="49"/>
  <c r="AX257" i="49"/>
  <c r="S258" i="49"/>
  <c r="AB258" i="49"/>
  <c r="BF258" i="49"/>
  <c r="AH258" i="49"/>
  <c r="AP258" i="49"/>
  <c r="AW258" i="49"/>
  <c r="AX258" i="49"/>
  <c r="S259" i="49"/>
  <c r="AB259" i="49"/>
  <c r="AE259" i="49"/>
  <c r="AP259" i="49"/>
  <c r="AW259" i="49"/>
  <c r="AX259" i="49"/>
  <c r="P260" i="49"/>
  <c r="S260" i="49"/>
  <c r="AB260" i="49"/>
  <c r="BO260" i="49"/>
  <c r="AH260" i="49"/>
  <c r="AP260" i="49"/>
  <c r="AW260" i="49"/>
  <c r="AX260" i="49"/>
  <c r="S261" i="49"/>
  <c r="AB261" i="49"/>
  <c r="BK261" i="49"/>
  <c r="AH261" i="49"/>
  <c r="AP261" i="49"/>
  <c r="AW261" i="49"/>
  <c r="AX261" i="49"/>
  <c r="S262" i="49"/>
  <c r="AB262" i="49"/>
  <c r="BR262" i="49"/>
  <c r="AP262" i="49"/>
  <c r="AW262" i="49"/>
  <c r="AX262" i="49"/>
  <c r="S263" i="49"/>
  <c r="AB263" i="49"/>
  <c r="BQ263" i="49"/>
  <c r="AH263" i="49"/>
  <c r="AP263" i="49"/>
  <c r="AW263" i="49"/>
  <c r="AX263" i="49"/>
  <c r="P264" i="49"/>
  <c r="S264" i="49"/>
  <c r="AB264" i="49"/>
  <c r="BP264" i="49"/>
  <c r="AP264" i="49"/>
  <c r="AQ264" i="49"/>
  <c r="AW264" i="49"/>
  <c r="AX264" i="49"/>
  <c r="S265" i="49"/>
  <c r="AB265" i="49"/>
  <c r="AP265" i="49"/>
  <c r="AW265" i="49"/>
  <c r="AX265" i="49"/>
  <c r="P266" i="49"/>
  <c r="S266" i="49"/>
  <c r="AB266" i="49"/>
  <c r="AP266" i="49"/>
  <c r="AW266" i="49"/>
  <c r="AX266" i="49"/>
  <c r="S267" i="49"/>
  <c r="AB267" i="49"/>
  <c r="AP267" i="49"/>
  <c r="AW267" i="49"/>
  <c r="AX267" i="49"/>
  <c r="S268" i="49"/>
  <c r="AB268" i="49"/>
  <c r="BF268" i="49"/>
  <c r="AP268" i="49"/>
  <c r="AW268" i="49"/>
  <c r="AX268" i="49"/>
  <c r="S269" i="49"/>
  <c r="AB269" i="49"/>
  <c r="BE269" i="49"/>
  <c r="AP269" i="49"/>
  <c r="AW269" i="49"/>
  <c r="AX269" i="49"/>
  <c r="S270" i="49"/>
  <c r="AB270" i="49"/>
  <c r="BB270" i="49"/>
  <c r="AP270" i="49"/>
  <c r="AW270" i="49"/>
  <c r="AX270" i="49"/>
  <c r="S271" i="49"/>
  <c r="AB271" i="49"/>
  <c r="BL271" i="49"/>
  <c r="AP271" i="49"/>
  <c r="AW271" i="49"/>
  <c r="AX271" i="49"/>
  <c r="M272" i="49"/>
  <c r="N272" i="49"/>
  <c r="S272" i="49"/>
  <c r="AB272" i="49"/>
  <c r="AP272" i="49"/>
  <c r="S273" i="49"/>
  <c r="AB273" i="49"/>
  <c r="BK273" i="49"/>
  <c r="AP273" i="49"/>
  <c r="AW273" i="49"/>
  <c r="AX273" i="49"/>
  <c r="S274" i="49"/>
  <c r="AB274" i="49"/>
  <c r="AP274" i="49"/>
  <c r="AQ274" i="49"/>
  <c r="AW274" i="49"/>
  <c r="AX274" i="49"/>
  <c r="S275" i="49"/>
  <c r="AB275" i="49"/>
  <c r="BQ275" i="49"/>
  <c r="AP275" i="49"/>
  <c r="AW275" i="49"/>
  <c r="BT275" i="49"/>
  <c r="AX275" i="49"/>
  <c r="S276" i="49"/>
  <c r="AB276" i="49"/>
  <c r="BQ276" i="49"/>
  <c r="AH276" i="49"/>
  <c r="AP276" i="49"/>
  <c r="AW276" i="49"/>
  <c r="AX276" i="49"/>
  <c r="S277" i="49"/>
  <c r="AB277" i="49"/>
  <c r="AC277" i="49"/>
  <c r="AP277" i="49"/>
  <c r="AW277" i="49"/>
  <c r="BT277" i="49"/>
  <c r="AX277" i="49"/>
  <c r="P278" i="49"/>
  <c r="Q278" i="49"/>
  <c r="S278" i="49"/>
  <c r="AB278" i="49"/>
  <c r="AP278" i="49"/>
  <c r="AW278" i="49"/>
  <c r="AX278" i="49"/>
  <c r="S279" i="49"/>
  <c r="AB279" i="49"/>
  <c r="BB279" i="49"/>
  <c r="AP279" i="49"/>
  <c r="AQ279" i="49"/>
  <c r="AW279" i="49"/>
  <c r="AX279" i="49"/>
  <c r="S280" i="49"/>
  <c r="AB280" i="49"/>
  <c r="BO280" i="49"/>
  <c r="AP280" i="49"/>
  <c r="AW280" i="49"/>
  <c r="AX280" i="49"/>
  <c r="S281" i="49"/>
  <c r="AB281" i="49"/>
  <c r="BR281" i="49"/>
  <c r="AP281" i="49"/>
  <c r="AW281" i="49"/>
  <c r="AX281" i="49"/>
  <c r="S282" i="49"/>
  <c r="AB282" i="49"/>
  <c r="BI282" i="49"/>
  <c r="AP282" i="49"/>
  <c r="AW282" i="49"/>
  <c r="AX282" i="49"/>
  <c r="S283" i="49"/>
  <c r="AB283" i="49"/>
  <c r="AP283" i="49"/>
  <c r="AW283" i="49"/>
  <c r="AX283" i="49"/>
  <c r="S284" i="49"/>
  <c r="AB284" i="49"/>
  <c r="BB284" i="49"/>
  <c r="AP284" i="49"/>
  <c r="AV284" i="49"/>
  <c r="AV318" i="49"/>
  <c r="AW284" i="49"/>
  <c r="AX284" i="49"/>
  <c r="S285" i="49"/>
  <c r="AB285" i="49"/>
  <c r="BQ285" i="49"/>
  <c r="AP285" i="49"/>
  <c r="AW285" i="49"/>
  <c r="AX285" i="49"/>
  <c r="S286" i="49"/>
  <c r="AB286" i="49"/>
  <c r="AP286" i="49"/>
  <c r="AQ286" i="49"/>
  <c r="AW286" i="49"/>
  <c r="AX286" i="49"/>
  <c r="S287" i="49"/>
  <c r="AB287" i="49"/>
  <c r="AP287" i="49"/>
  <c r="AW287" i="49"/>
  <c r="AX287" i="49"/>
  <c r="S288" i="49"/>
  <c r="AB288" i="49"/>
  <c r="BO288" i="49"/>
  <c r="AP288" i="49"/>
  <c r="AW288" i="49"/>
  <c r="AX288" i="49"/>
  <c r="S289" i="49"/>
  <c r="AB289" i="49"/>
  <c r="AP289" i="49"/>
  <c r="AW289" i="49"/>
  <c r="AX289" i="49"/>
  <c r="S290" i="49"/>
  <c r="AB290" i="49"/>
  <c r="AJ290" i="49"/>
  <c r="AP290" i="49"/>
  <c r="AW290" i="49"/>
  <c r="AX290" i="49"/>
  <c r="Q291" i="49"/>
  <c r="S291" i="49"/>
  <c r="AB291" i="49"/>
  <c r="BF291" i="49"/>
  <c r="AP291" i="49"/>
  <c r="AW291" i="49"/>
  <c r="AX291" i="49"/>
  <c r="P292" i="49"/>
  <c r="S292" i="49"/>
  <c r="AB292" i="49"/>
  <c r="BR292" i="49"/>
  <c r="AP292" i="49"/>
  <c r="AW292" i="49"/>
  <c r="AX292" i="49"/>
  <c r="Q293" i="49"/>
  <c r="S293" i="49"/>
  <c r="AB293" i="49"/>
  <c r="BS293" i="49"/>
  <c r="AP293" i="49"/>
  <c r="AW293" i="49"/>
  <c r="AX293" i="49"/>
  <c r="S294" i="49"/>
  <c r="AB294" i="49"/>
  <c r="AP294" i="49"/>
  <c r="AW294" i="49"/>
  <c r="AX294" i="49"/>
  <c r="S295" i="49"/>
  <c r="AB295" i="49"/>
  <c r="BL295" i="49"/>
  <c r="AP295" i="49"/>
  <c r="AW295" i="49"/>
  <c r="AX295" i="49"/>
  <c r="S296" i="49"/>
  <c r="AB296" i="49"/>
  <c r="BL296" i="49"/>
  <c r="AP296" i="49"/>
  <c r="AW296" i="49"/>
  <c r="AX296" i="49"/>
  <c r="S297" i="49"/>
  <c r="AB297" i="49"/>
  <c r="BS297" i="49"/>
  <c r="AP297" i="49"/>
  <c r="AW297" i="49"/>
  <c r="AX297" i="49"/>
  <c r="S298" i="49"/>
  <c r="AB298" i="49"/>
  <c r="AP298" i="49"/>
  <c r="AW298" i="49"/>
  <c r="AX298" i="49"/>
  <c r="S299" i="49"/>
  <c r="AB299" i="49"/>
  <c r="AP299" i="49"/>
  <c r="AW299" i="49"/>
  <c r="BT299" i="49"/>
  <c r="AX299" i="49"/>
  <c r="S300" i="49"/>
  <c r="AB300" i="49"/>
  <c r="BM300" i="49"/>
  <c r="AP300" i="49"/>
  <c r="AW300" i="49"/>
  <c r="AX300" i="49"/>
  <c r="S301" i="49"/>
  <c r="AB301" i="49"/>
  <c r="BK301" i="49"/>
  <c r="AP301" i="49"/>
  <c r="AW301" i="49"/>
  <c r="AX301" i="49"/>
  <c r="S302" i="49"/>
  <c r="AB302" i="49"/>
  <c r="AP302" i="49"/>
  <c r="AW302" i="49"/>
  <c r="AX302" i="49"/>
  <c r="Q303" i="49"/>
  <c r="S303" i="49"/>
  <c r="AB303" i="49"/>
  <c r="AQ303" i="49"/>
  <c r="AP303" i="49"/>
  <c r="AW303" i="49"/>
  <c r="AX303" i="49"/>
  <c r="S304" i="49"/>
  <c r="AB304" i="49"/>
  <c r="BF304" i="49"/>
  <c r="AP304" i="49"/>
  <c r="AQ304" i="49"/>
  <c r="AW304" i="49"/>
  <c r="AX304" i="49"/>
  <c r="S305" i="49"/>
  <c r="AB305" i="49"/>
  <c r="BI305" i="49"/>
  <c r="AP305" i="49"/>
  <c r="AW305" i="49"/>
  <c r="AX305" i="49"/>
  <c r="S306" i="49"/>
  <c r="AB306" i="49"/>
  <c r="BR306" i="49"/>
  <c r="AP306" i="49"/>
  <c r="AW306" i="49"/>
  <c r="AX306" i="49"/>
  <c r="S307" i="49"/>
  <c r="AB307" i="49"/>
  <c r="BK307" i="49"/>
  <c r="AP307" i="49"/>
  <c r="AW307" i="49"/>
  <c r="BT307" i="49"/>
  <c r="AX307" i="49"/>
  <c r="P308" i="49"/>
  <c r="S308" i="49"/>
  <c r="AB308" i="49"/>
  <c r="BK308" i="49"/>
  <c r="AP308" i="49"/>
  <c r="AW308" i="49"/>
  <c r="AX308" i="49"/>
  <c r="Q309" i="49"/>
  <c r="S309" i="49"/>
  <c r="AB309" i="49"/>
  <c r="AP309" i="49"/>
  <c r="AW309" i="49"/>
  <c r="AX309" i="49"/>
  <c r="S310" i="49"/>
  <c r="AB310" i="49"/>
  <c r="BR310" i="49"/>
  <c r="AP310" i="49"/>
  <c r="AW310" i="49"/>
  <c r="AX310" i="49"/>
  <c r="S311" i="49"/>
  <c r="AB311" i="49"/>
  <c r="AP311" i="49"/>
  <c r="AW311" i="49"/>
  <c r="AX311" i="49"/>
  <c r="P312" i="49"/>
  <c r="S312" i="49"/>
  <c r="Q312" i="49"/>
  <c r="AB312" i="49"/>
  <c r="AJ312" i="49"/>
  <c r="AP312" i="49"/>
  <c r="AQ312" i="49"/>
  <c r="AW312" i="49"/>
  <c r="AX312" i="49"/>
  <c r="Q313" i="49"/>
  <c r="S313" i="49"/>
  <c r="AB313" i="49"/>
  <c r="BF313" i="49"/>
  <c r="AP313" i="49"/>
  <c r="AW313" i="49"/>
  <c r="AX313" i="49"/>
  <c r="S314" i="49"/>
  <c r="AB314" i="49"/>
  <c r="AP314" i="49"/>
  <c r="AW314" i="49"/>
  <c r="AX314" i="49"/>
  <c r="BU314" i="49"/>
  <c r="S315" i="49"/>
  <c r="AB315" i="49"/>
  <c r="BB315" i="49"/>
  <c r="AP315" i="49"/>
  <c r="AW315" i="49"/>
  <c r="AX315" i="49"/>
  <c r="S316" i="49"/>
  <c r="AB316" i="49"/>
  <c r="AH316" i="49"/>
  <c r="AP316" i="49"/>
  <c r="AW316" i="49"/>
  <c r="AX316" i="49"/>
  <c r="S317" i="49"/>
  <c r="AB317" i="49"/>
  <c r="BR317" i="49"/>
  <c r="AP317" i="49"/>
  <c r="AW317" i="49"/>
  <c r="AX317" i="49"/>
  <c r="K318" i="49"/>
  <c r="K319" i="49"/>
  <c r="R318" i="49"/>
  <c r="T318" i="49"/>
  <c r="Z318" i="49"/>
  <c r="AA318" i="49"/>
  <c r="AI318" i="49"/>
  <c r="AI321" i="49"/>
  <c r="AK318" i="49"/>
  <c r="AL318" i="49"/>
  <c r="AM318" i="49"/>
  <c r="AN318" i="49"/>
  <c r="AR318" i="49"/>
  <c r="AS318" i="49"/>
  <c r="AT318" i="49"/>
  <c r="AU318" i="49"/>
  <c r="AZ318" i="49"/>
  <c r="BC318" i="49"/>
  <c r="BD318" i="49"/>
  <c r="BW318" i="49"/>
  <c r="BX318" i="49"/>
  <c r="BY318" i="49"/>
  <c r="BZ318" i="49"/>
  <c r="CA318" i="49"/>
  <c r="CC318" i="49"/>
  <c r="CD318" i="49"/>
  <c r="CE318" i="49"/>
  <c r="CF318" i="49"/>
  <c r="CG318" i="49"/>
  <c r="CH318" i="49"/>
  <c r="CI318" i="49"/>
  <c r="CJ318" i="49"/>
  <c r="CK318" i="49"/>
  <c r="CL318" i="49"/>
  <c r="CM318" i="49"/>
  <c r="CN318" i="49"/>
  <c r="CO318" i="49"/>
  <c r="CP318" i="49"/>
  <c r="CQ318" i="49"/>
  <c r="CR318" i="49"/>
  <c r="CS318" i="49"/>
  <c r="CT318" i="49"/>
  <c r="CU318" i="49"/>
  <c r="CV318" i="49"/>
  <c r="DB319" i="49"/>
  <c r="CW318" i="49"/>
  <c r="CX318" i="49"/>
  <c r="CX320" i="49"/>
  <c r="CY318" i="49"/>
  <c r="CY320" i="49"/>
  <c r="CZ318" i="49"/>
  <c r="CZ320" i="49"/>
  <c r="DA318" i="49"/>
  <c r="DA320" i="49"/>
  <c r="DB318" i="49"/>
  <c r="DB320" i="49"/>
  <c r="DC318" i="49"/>
  <c r="DC320" i="49"/>
  <c r="DD318" i="49"/>
  <c r="DE318" i="49"/>
  <c r="DF318" i="49"/>
  <c r="DG318" i="49"/>
  <c r="DH318" i="49"/>
  <c r="DI318" i="49"/>
  <c r="DJ318" i="49"/>
  <c r="DK318" i="49"/>
  <c r="DL318" i="49"/>
  <c r="DM318" i="49"/>
  <c r="DN318" i="49"/>
  <c r="DO318" i="49"/>
  <c r="DP318" i="49"/>
  <c r="DQ318" i="49"/>
  <c r="DR318" i="49"/>
  <c r="DS318" i="49"/>
  <c r="DT318" i="49"/>
  <c r="DU318" i="49"/>
  <c r="DV318" i="49"/>
  <c r="DW318" i="49"/>
  <c r="DX318" i="49"/>
  <c r="DY318" i="49"/>
  <c r="DZ318" i="49"/>
  <c r="DZ324" i="49"/>
  <c r="EA318" i="49"/>
  <c r="EB318" i="49"/>
  <c r="EC318" i="49"/>
  <c r="ED318" i="49"/>
  <c r="EE318" i="49"/>
  <c r="EF318" i="49"/>
  <c r="EG318" i="49"/>
  <c r="EH318" i="49"/>
  <c r="EI318" i="49"/>
  <c r="EJ318" i="49"/>
  <c r="EK318" i="49"/>
  <c r="EL318" i="49"/>
  <c r="EM318" i="49"/>
  <c r="EN318" i="49"/>
  <c r="EO318" i="49"/>
  <c r="EP318" i="49"/>
  <c r="EQ318" i="49"/>
  <c r="ER318" i="49"/>
  <c r="ES318" i="49"/>
  <c r="ET318" i="49"/>
  <c r="EU318" i="49"/>
  <c r="EV318" i="49"/>
  <c r="EW318" i="49"/>
  <c r="EX318" i="49"/>
  <c r="EY318" i="49"/>
  <c r="EZ318" i="49"/>
  <c r="FA318" i="49"/>
  <c r="FA324" i="49"/>
  <c r="FB318" i="49"/>
  <c r="FC318" i="49"/>
  <c r="FD318" i="49"/>
  <c r="FE318" i="49"/>
  <c r="FF318" i="49"/>
  <c r="FG318" i="49"/>
  <c r="FH318" i="49"/>
  <c r="FI318" i="49"/>
  <c r="FI324" i="49"/>
  <c r="FJ318" i="49"/>
  <c r="FK318" i="49"/>
  <c r="FL318" i="49"/>
  <c r="FM318" i="49"/>
  <c r="FN318" i="49"/>
  <c r="FO318" i="49"/>
  <c r="FP318" i="49"/>
  <c r="FQ318" i="49"/>
  <c r="FR318" i="49"/>
  <c r="FS318" i="49"/>
  <c r="FT318" i="49"/>
  <c r="FU318" i="49"/>
  <c r="FV318" i="49"/>
  <c r="FW318" i="49"/>
  <c r="FX318" i="49"/>
  <c r="FY318" i="49"/>
  <c r="FZ318" i="49"/>
  <c r="GA318" i="49"/>
  <c r="GB318" i="49"/>
  <c r="GC318" i="49"/>
  <c r="GD318" i="49"/>
  <c r="GE318" i="49"/>
  <c r="GF318" i="49"/>
  <c r="GG318" i="49"/>
  <c r="GH318" i="49"/>
  <c r="GI318" i="49"/>
  <c r="GJ318" i="49"/>
  <c r="GK318" i="49"/>
  <c r="GC320" i="49"/>
  <c r="GL318" i="49"/>
  <c r="GM318" i="49"/>
  <c r="GN318" i="49"/>
  <c r="GO318" i="49"/>
  <c r="GP318" i="49"/>
  <c r="GQ318" i="49"/>
  <c r="GR318" i="49"/>
  <c r="GS318" i="49"/>
  <c r="CL321" i="49"/>
  <c r="CM321" i="49"/>
  <c r="CO321" i="49"/>
  <c r="CP321" i="49"/>
  <c r="CQ321" i="49"/>
  <c r="CR321" i="49"/>
  <c r="CS321" i="49"/>
  <c r="CT321" i="49"/>
  <c r="CU321" i="49"/>
  <c r="CV321" i="49"/>
  <c r="CW321" i="49"/>
  <c r="DD321" i="49"/>
  <c r="CL322" i="49"/>
  <c r="CL324" i="49"/>
  <c r="DL322" i="49"/>
  <c r="DL324" i="49"/>
  <c r="DO322" i="49"/>
  <c r="DR322" i="49"/>
  <c r="DR324" i="49"/>
  <c r="DT322" i="49"/>
  <c r="EA322" i="49"/>
  <c r="EC322" i="49"/>
  <c r="EI322" i="49"/>
  <c r="EK322" i="49"/>
  <c r="FD322" i="49"/>
  <c r="FR322" i="49"/>
  <c r="FS322" i="49"/>
  <c r="FR323" i="49"/>
  <c r="FR326" i="49"/>
  <c r="FR327" i="49"/>
  <c r="FS323" i="49"/>
  <c r="FT323" i="49"/>
  <c r="FT326" i="49"/>
  <c r="CL326" i="49"/>
  <c r="CM326" i="49"/>
  <c r="CN326" i="49"/>
  <c r="CO326" i="49"/>
  <c r="CP326" i="49"/>
  <c r="CQ326" i="49"/>
  <c r="CR326" i="49"/>
  <c r="CS326" i="49"/>
  <c r="CT326" i="49"/>
  <c r="CU326" i="49"/>
  <c r="CV326" i="49"/>
  <c r="CW326" i="49"/>
  <c r="DO326" i="49"/>
  <c r="DR326" i="49"/>
  <c r="EA326" i="49"/>
  <c r="EG326" i="49"/>
  <c r="EG327" i="49"/>
  <c r="EI326" i="49"/>
  <c r="EI327" i="49"/>
  <c r="EK326" i="49"/>
  <c r="EK327" i="49"/>
  <c r="DT340" i="49"/>
  <c r="S7" i="24"/>
  <c r="AB7" i="24"/>
  <c r="BU7" i="24"/>
  <c r="AP7" i="24"/>
  <c r="AW7" i="24"/>
  <c r="AX7" i="24"/>
  <c r="BB7" i="24"/>
  <c r="CJ7" i="24"/>
  <c r="Q8" i="24"/>
  <c r="S8" i="24"/>
  <c r="AB8" i="24"/>
  <c r="AP8" i="24"/>
  <c r="AW8" i="24"/>
  <c r="AX8" i="24"/>
  <c r="BB8" i="24"/>
  <c r="CJ8" i="24"/>
  <c r="EV8" i="24"/>
  <c r="S9" i="24"/>
  <c r="AB9" i="24"/>
  <c r="BV9" i="24"/>
  <c r="AP9" i="24"/>
  <c r="AW9" i="24"/>
  <c r="AX9" i="24"/>
  <c r="BB9" i="24"/>
  <c r="CJ9" i="24"/>
  <c r="S10" i="24"/>
  <c r="AB10" i="24"/>
  <c r="AH10" i="24"/>
  <c r="AP10" i="24"/>
  <c r="AW10" i="24"/>
  <c r="AX10" i="24"/>
  <c r="BB10" i="24"/>
  <c r="EV10" i="24"/>
  <c r="P11" i="24"/>
  <c r="S11" i="24"/>
  <c r="AB11" i="24"/>
  <c r="BT11" i="24"/>
  <c r="AP11" i="24"/>
  <c r="AW11" i="24"/>
  <c r="AX11" i="24"/>
  <c r="BB11" i="24"/>
  <c r="CJ11" i="24"/>
  <c r="EA11" i="24"/>
  <c r="S12" i="24"/>
  <c r="AB12" i="24"/>
  <c r="AP12" i="24"/>
  <c r="AW12" i="24"/>
  <c r="AX12" i="24"/>
  <c r="BX12" i="24"/>
  <c r="BB12" i="24"/>
  <c r="CJ12" i="24"/>
  <c r="EV12" i="24"/>
  <c r="S13" i="24"/>
  <c r="AB13" i="24"/>
  <c r="AJ13" i="24"/>
  <c r="AF13" i="24"/>
  <c r="AP13" i="24"/>
  <c r="AW13" i="24"/>
  <c r="AX13" i="24"/>
  <c r="BB13" i="24"/>
  <c r="CJ13" i="24"/>
  <c r="CK13" i="24"/>
  <c r="S14" i="24"/>
  <c r="AB14" i="24"/>
  <c r="BH14" i="24"/>
  <c r="AP14" i="24"/>
  <c r="AW14" i="24"/>
  <c r="AX14" i="24"/>
  <c r="BB14" i="24"/>
  <c r="CJ14" i="24"/>
  <c r="S15" i="24"/>
  <c r="AB15" i="24"/>
  <c r="AP15" i="24"/>
  <c r="AQ15" i="24"/>
  <c r="AW15" i="24"/>
  <c r="AX15" i="24"/>
  <c r="BB15" i="24"/>
  <c r="CJ15" i="24"/>
  <c r="S16" i="24"/>
  <c r="AB16" i="24"/>
  <c r="BS16" i="24"/>
  <c r="AE16" i="24"/>
  <c r="AP16" i="24"/>
  <c r="AW16" i="24"/>
  <c r="AX16" i="24"/>
  <c r="BB16" i="24"/>
  <c r="CJ16" i="24"/>
  <c r="S17" i="24"/>
  <c r="AB17" i="24"/>
  <c r="AC17" i="24"/>
  <c r="AP17" i="24"/>
  <c r="AQ17" i="24"/>
  <c r="AW17" i="24"/>
  <c r="AX17" i="24"/>
  <c r="BB17" i="24"/>
  <c r="CI17" i="24"/>
  <c r="CJ17" i="24"/>
  <c r="CK17" i="24"/>
  <c r="EV17" i="24"/>
  <c r="S18" i="24"/>
  <c r="AB18" i="24"/>
  <c r="AC18" i="24"/>
  <c r="AP18" i="24"/>
  <c r="AW18" i="24"/>
  <c r="AX18" i="24"/>
  <c r="BB18" i="24"/>
  <c r="CI18" i="24"/>
  <c r="CJ18" i="24"/>
  <c r="S19" i="24"/>
  <c r="AB19" i="24"/>
  <c r="EX19" i="24"/>
  <c r="AP19" i="24"/>
  <c r="AW19" i="24"/>
  <c r="AX19" i="24"/>
  <c r="BB19" i="24"/>
  <c r="CJ19" i="24"/>
  <c r="CK19" i="24"/>
  <c r="S20" i="24"/>
  <c r="AB20" i="24"/>
  <c r="BX20" i="24"/>
  <c r="AP20" i="24"/>
  <c r="AW20" i="24"/>
  <c r="AX20" i="24"/>
  <c r="BB20" i="24"/>
  <c r="CJ20" i="24"/>
  <c r="S21" i="24"/>
  <c r="AB21" i="24"/>
  <c r="AP21" i="24"/>
  <c r="AQ21" i="24"/>
  <c r="AW21" i="24"/>
  <c r="AX21" i="24"/>
  <c r="BB21" i="24"/>
  <c r="CJ21" i="24"/>
  <c r="CK21" i="24"/>
  <c r="S22" i="24"/>
  <c r="AB22" i="24"/>
  <c r="AP22" i="24"/>
  <c r="AW22" i="24"/>
  <c r="AX22" i="24"/>
  <c r="BB22" i="24"/>
  <c r="CJ22" i="24"/>
  <c r="P23" i="24"/>
  <c r="Q23" i="24"/>
  <c r="AB23" i="24"/>
  <c r="EW23" i="24"/>
  <c r="AP23" i="24"/>
  <c r="AW23" i="24"/>
  <c r="AX23" i="24"/>
  <c r="BB23" i="24"/>
  <c r="CJ23" i="24"/>
  <c r="CK23" i="24"/>
  <c r="S24" i="24"/>
  <c r="AB24" i="24"/>
  <c r="AP24" i="24"/>
  <c r="AW24" i="24"/>
  <c r="AX24" i="24"/>
  <c r="BB24" i="24"/>
  <c r="CJ24" i="24"/>
  <c r="CK24" i="24"/>
  <c r="DJ24" i="24"/>
  <c r="EA24" i="24"/>
  <c r="S25" i="24"/>
  <c r="AB25" i="24"/>
  <c r="AP25" i="24"/>
  <c r="AW25" i="24"/>
  <c r="AX25" i="24"/>
  <c r="P26" i="24"/>
  <c r="S26" i="24"/>
  <c r="AB26" i="24"/>
  <c r="BP26" i="24"/>
  <c r="AO26" i="24"/>
  <c r="AP26" i="24"/>
  <c r="AQ26" i="24"/>
  <c r="AW26" i="24"/>
  <c r="AX26" i="24"/>
  <c r="DJ26" i="24"/>
  <c r="S27" i="24"/>
  <c r="AB27" i="24"/>
  <c r="BT27" i="24"/>
  <c r="AP27" i="24"/>
  <c r="AW27" i="24"/>
  <c r="BW27" i="24"/>
  <c r="AX27" i="24"/>
  <c r="EA27" i="24"/>
  <c r="P28" i="24"/>
  <c r="Q28" i="24"/>
  <c r="AB28" i="24"/>
  <c r="AP28" i="24"/>
  <c r="AQ28" i="24"/>
  <c r="AW28" i="24"/>
  <c r="AX28" i="24"/>
  <c r="EA28" i="24"/>
  <c r="EV28" i="24"/>
  <c r="S29" i="24"/>
  <c r="AB29" i="24"/>
  <c r="AC29" i="24"/>
  <c r="AP29" i="24"/>
  <c r="AW29" i="24"/>
  <c r="AX29" i="24"/>
  <c r="EA29" i="24"/>
  <c r="S30" i="24"/>
  <c r="AB30" i="24"/>
  <c r="AP30" i="24"/>
  <c r="AW30" i="24"/>
  <c r="AX30" i="24"/>
  <c r="BX30" i="24"/>
  <c r="BB30" i="24"/>
  <c r="CI30" i="24"/>
  <c r="CJ30" i="24"/>
  <c r="EV30" i="24"/>
  <c r="S31" i="24"/>
  <c r="AB31" i="24"/>
  <c r="AP31" i="24"/>
  <c r="AW31" i="24"/>
  <c r="AX31" i="24"/>
  <c r="BB31" i="24"/>
  <c r="CJ31" i="24"/>
  <c r="S32" i="24"/>
  <c r="AB32" i="24"/>
  <c r="BL32" i="24"/>
  <c r="AP32" i="24"/>
  <c r="AW32" i="24"/>
  <c r="AX32" i="24"/>
  <c r="BB32" i="24"/>
  <c r="CJ32" i="24"/>
  <c r="CK32" i="24"/>
  <c r="EV32" i="24"/>
  <c r="P33" i="24"/>
  <c r="S33" i="24"/>
  <c r="AB33" i="24"/>
  <c r="AP33" i="24"/>
  <c r="AW33" i="24"/>
  <c r="AX33" i="24"/>
  <c r="CI33" i="24"/>
  <c r="CJ33" i="24"/>
  <c r="CK33" i="24"/>
  <c r="CL33" i="24"/>
  <c r="DK33" i="24"/>
  <c r="EA33" i="24"/>
  <c r="S34" i="24"/>
  <c r="AB34" i="24"/>
  <c r="BI34" i="24"/>
  <c r="AP34" i="24"/>
  <c r="AW34" i="24"/>
  <c r="AX34" i="24"/>
  <c r="CI34" i="24"/>
  <c r="CJ34" i="24"/>
  <c r="CK34" i="24"/>
  <c r="CL34" i="24"/>
  <c r="EA34" i="24"/>
  <c r="S35" i="24"/>
  <c r="AB35" i="24"/>
  <c r="EW35" i="24"/>
  <c r="AP35" i="24"/>
  <c r="AQ35" i="24"/>
  <c r="AG35" i="24"/>
  <c r="AW35" i="24"/>
  <c r="AX35" i="24"/>
  <c r="BB35" i="24"/>
  <c r="CJ35" i="24"/>
  <c r="S36" i="24"/>
  <c r="AB36" i="24"/>
  <c r="AP36" i="24"/>
  <c r="AQ36" i="24"/>
  <c r="AW36" i="24"/>
  <c r="AX36" i="24"/>
  <c r="S37" i="24"/>
  <c r="AB37" i="24"/>
  <c r="BO37" i="24"/>
  <c r="AP37" i="24"/>
  <c r="AW37" i="24"/>
  <c r="DP37" i="24"/>
  <c r="DP317" i="24"/>
  <c r="S38" i="24"/>
  <c r="AB38" i="24"/>
  <c r="AP38" i="24"/>
  <c r="AW38" i="24"/>
  <c r="AX38" i="24"/>
  <c r="BB38" i="24"/>
  <c r="CJ38" i="24"/>
  <c r="CK38" i="24"/>
  <c r="S39" i="24"/>
  <c r="AB39" i="24"/>
  <c r="BV39" i="24"/>
  <c r="AP39" i="24"/>
  <c r="AW39" i="24"/>
  <c r="AX39" i="24"/>
  <c r="S40" i="24"/>
  <c r="AB40" i="24"/>
  <c r="AP40" i="24"/>
  <c r="AW40" i="24"/>
  <c r="AX40" i="24"/>
  <c r="BB40" i="24"/>
  <c r="CJ40" i="24"/>
  <c r="EA40" i="24"/>
  <c r="S41" i="24"/>
  <c r="AB41" i="24"/>
  <c r="EW41" i="24"/>
  <c r="AP41" i="24"/>
  <c r="AW41" i="24"/>
  <c r="AX41" i="24"/>
  <c r="BB41" i="24"/>
  <c r="CJ41" i="24"/>
  <c r="EA41" i="24"/>
  <c r="S42" i="24"/>
  <c r="AB42" i="24"/>
  <c r="CI42" i="24"/>
  <c r="AP42" i="24"/>
  <c r="AW42" i="24"/>
  <c r="AX42" i="24"/>
  <c r="BB42" i="24"/>
  <c r="CJ42" i="24"/>
  <c r="S43" i="24"/>
  <c r="AB43" i="24"/>
  <c r="BN43" i="24"/>
  <c r="AP43" i="24"/>
  <c r="AW43" i="24"/>
  <c r="AX43" i="24"/>
  <c r="BB43" i="24"/>
  <c r="CJ43" i="24"/>
  <c r="CK43" i="24"/>
  <c r="S44" i="24"/>
  <c r="AB44" i="24"/>
  <c r="BT44" i="24"/>
  <c r="AP44" i="24"/>
  <c r="AW44" i="24"/>
  <c r="AX44" i="24"/>
  <c r="BB44" i="24"/>
  <c r="CJ44" i="24"/>
  <c r="CK44" i="24"/>
  <c r="EV44" i="24"/>
  <c r="P45" i="24"/>
  <c r="S45" i="24"/>
  <c r="AB45" i="24"/>
  <c r="BP45" i="24"/>
  <c r="AP45" i="24"/>
  <c r="AW45" i="24"/>
  <c r="AX45" i="24"/>
  <c r="BB45" i="24"/>
  <c r="CJ45" i="24"/>
  <c r="S46" i="24"/>
  <c r="AB46" i="24"/>
  <c r="AP46" i="24"/>
  <c r="AW46" i="24"/>
  <c r="AX46" i="24"/>
  <c r="BB46" i="24"/>
  <c r="CJ46" i="24"/>
  <c r="S47" i="24"/>
  <c r="AB47" i="24"/>
  <c r="BV47" i="24"/>
  <c r="AP47" i="24"/>
  <c r="AW47" i="24"/>
  <c r="AX47" i="24"/>
  <c r="BB47" i="24"/>
  <c r="CJ47" i="24"/>
  <c r="CK47" i="24"/>
  <c r="CL47" i="24"/>
  <c r="Q48" i="24"/>
  <c r="S48" i="24"/>
  <c r="AB48" i="24"/>
  <c r="BP48" i="24"/>
  <c r="AP48" i="24"/>
  <c r="AW48" i="24"/>
  <c r="AX48" i="24"/>
  <c r="BB48" i="24"/>
  <c r="CJ48" i="24"/>
  <c r="CK48" i="24"/>
  <c r="CL48" i="24"/>
  <c r="Q49" i="24"/>
  <c r="S49" i="24"/>
  <c r="AB49" i="24"/>
  <c r="AP49" i="24"/>
  <c r="AW49" i="24"/>
  <c r="AX49" i="24"/>
  <c r="BB49" i="24"/>
  <c r="CI49" i="24"/>
  <c r="CJ49" i="24"/>
  <c r="CK49" i="24"/>
  <c r="CL49" i="24"/>
  <c r="S50" i="24"/>
  <c r="AB50" i="24"/>
  <c r="BL50" i="24"/>
  <c r="BU50" i="24"/>
  <c r="AP50" i="24"/>
  <c r="AW50" i="24"/>
  <c r="AX50" i="24"/>
  <c r="BB50" i="24"/>
  <c r="CJ50" i="24"/>
  <c r="CK50" i="24"/>
  <c r="CL50" i="24"/>
  <c r="P51" i="24"/>
  <c r="Q51" i="24"/>
  <c r="AB51" i="24"/>
  <c r="AP51" i="24"/>
  <c r="AW51" i="24"/>
  <c r="AX51" i="24"/>
  <c r="BB51" i="24"/>
  <c r="CJ51" i="24"/>
  <c r="P52" i="24"/>
  <c r="S52" i="24"/>
  <c r="AB52" i="24"/>
  <c r="BU52" i="24"/>
  <c r="AP52" i="24"/>
  <c r="AW52" i="24"/>
  <c r="AX52" i="24"/>
  <c r="BB52" i="24"/>
  <c r="CJ52" i="24"/>
  <c r="CK52" i="24"/>
  <c r="CL52" i="24"/>
  <c r="S53" i="24"/>
  <c r="AB53" i="24"/>
  <c r="AP53" i="24"/>
  <c r="AW53" i="24"/>
  <c r="AX53" i="24"/>
  <c r="BX53" i="24"/>
  <c r="BB53" i="24"/>
  <c r="CI53" i="24"/>
  <c r="CJ53" i="24"/>
  <c r="CK53" i="24"/>
  <c r="EV53" i="24"/>
  <c r="P54" i="24"/>
  <c r="S54" i="24"/>
  <c r="AB54" i="24"/>
  <c r="AP54" i="24"/>
  <c r="AQ54" i="24"/>
  <c r="AW54" i="24"/>
  <c r="AX54" i="24"/>
  <c r="BB54" i="24"/>
  <c r="CJ54" i="24"/>
  <c r="P55" i="24"/>
  <c r="S55" i="24"/>
  <c r="AB55" i="24"/>
  <c r="AP55" i="24"/>
  <c r="AW55" i="24"/>
  <c r="AX55" i="24"/>
  <c r="P56" i="24"/>
  <c r="S56" i="24"/>
  <c r="AB56" i="24"/>
  <c r="EX56" i="24"/>
  <c r="AO56" i="24"/>
  <c r="AP56" i="24"/>
  <c r="AW56" i="24"/>
  <c r="AX56" i="24"/>
  <c r="BB56" i="24"/>
  <c r="CJ56" i="24"/>
  <c r="S57" i="24"/>
  <c r="AB57" i="24"/>
  <c r="BL57" i="24"/>
  <c r="BO57" i="24"/>
  <c r="AP57" i="24"/>
  <c r="AW57" i="24"/>
  <c r="AX57" i="24"/>
  <c r="BB57" i="24"/>
  <c r="CI57" i="24"/>
  <c r="CJ57" i="24"/>
  <c r="S58" i="24"/>
  <c r="AB58" i="24"/>
  <c r="AP58" i="24"/>
  <c r="AW58" i="24"/>
  <c r="AX58" i="24"/>
  <c r="BB58" i="24"/>
  <c r="CJ58" i="24"/>
  <c r="CK58" i="24"/>
  <c r="CL58" i="24"/>
  <c r="P59" i="24"/>
  <c r="S59" i="24"/>
  <c r="AB59" i="24"/>
  <c r="AJ59" i="24"/>
  <c r="AP59" i="24"/>
  <c r="AW59" i="24"/>
  <c r="AX59" i="24"/>
  <c r="BB59" i="24"/>
  <c r="CJ59" i="24"/>
  <c r="S60" i="24"/>
  <c r="AB60" i="24"/>
  <c r="AJ60" i="24"/>
  <c r="AF60" i="24"/>
  <c r="AP60" i="24"/>
  <c r="AQ60" i="24"/>
  <c r="AW60" i="24"/>
  <c r="AX60" i="24"/>
  <c r="BB60" i="24"/>
  <c r="CJ60" i="24"/>
  <c r="S61" i="24"/>
  <c r="AB61" i="24"/>
  <c r="AH61" i="24"/>
  <c r="AP61" i="24"/>
  <c r="AW61" i="24"/>
  <c r="AX61" i="24"/>
  <c r="BB61" i="24"/>
  <c r="CJ61" i="24"/>
  <c r="EA61" i="24"/>
  <c r="P62" i="24"/>
  <c r="S62" i="24"/>
  <c r="AB62" i="24"/>
  <c r="AP62" i="24"/>
  <c r="AW62" i="24"/>
  <c r="AX62" i="24"/>
  <c r="BB62" i="24"/>
  <c r="CJ62" i="24"/>
  <c r="S63" i="24"/>
  <c r="AB63" i="24"/>
  <c r="BO63" i="24"/>
  <c r="AP63" i="24"/>
  <c r="AW63" i="24"/>
  <c r="AX63" i="24"/>
  <c r="BB63" i="24"/>
  <c r="CJ63" i="24"/>
  <c r="P64" i="24"/>
  <c r="S64" i="24"/>
  <c r="AB64" i="24"/>
  <c r="AP64" i="24"/>
  <c r="AW64" i="24"/>
  <c r="AX64" i="24"/>
  <c r="BB64" i="24"/>
  <c r="CJ64" i="24"/>
  <c r="S65" i="24"/>
  <c r="AB65" i="24"/>
  <c r="AP65" i="24"/>
  <c r="AW65" i="24"/>
  <c r="AX65" i="24"/>
  <c r="BB65" i="24"/>
  <c r="CJ65" i="24"/>
  <c r="CK65" i="24"/>
  <c r="P66" i="24"/>
  <c r="S66" i="24"/>
  <c r="Q66" i="24"/>
  <c r="AB66" i="24"/>
  <c r="AP66" i="24"/>
  <c r="AW66" i="24"/>
  <c r="AX66" i="24"/>
  <c r="BB66" i="24"/>
  <c r="CJ66" i="24"/>
  <c r="S67" i="24"/>
  <c r="AB67" i="24"/>
  <c r="BL67" i="24"/>
  <c r="AP67" i="24"/>
  <c r="AW67" i="24"/>
  <c r="AX67" i="24"/>
  <c r="BB67" i="24"/>
  <c r="CJ67" i="24"/>
  <c r="CK67" i="24"/>
  <c r="S68" i="24"/>
  <c r="AB68" i="24"/>
  <c r="AP68" i="24"/>
  <c r="AW68" i="24"/>
  <c r="AX68" i="24"/>
  <c r="S69" i="24"/>
  <c r="AB69" i="24"/>
  <c r="BT69" i="24"/>
  <c r="AP69" i="24"/>
  <c r="AW69" i="24"/>
  <c r="AX69" i="24"/>
  <c r="BB69" i="24"/>
  <c r="CJ69" i="24"/>
  <c r="CK69" i="24"/>
  <c r="S70" i="24"/>
  <c r="AB70" i="24"/>
  <c r="BI70" i="24"/>
  <c r="AP70" i="24"/>
  <c r="AW70" i="24"/>
  <c r="AX70" i="24"/>
  <c r="S71" i="24"/>
  <c r="AB71" i="24"/>
  <c r="BU71" i="24"/>
  <c r="AP71" i="24"/>
  <c r="AW71" i="24"/>
  <c r="AX71" i="24"/>
  <c r="BB71" i="24"/>
  <c r="CJ71" i="24"/>
  <c r="EA71" i="24"/>
  <c r="P72" i="24"/>
  <c r="S72" i="24"/>
  <c r="AB72" i="24"/>
  <c r="BP72" i="24"/>
  <c r="AP72" i="24"/>
  <c r="AW72" i="24"/>
  <c r="AX72" i="24"/>
  <c r="BB72" i="24"/>
  <c r="CJ72" i="24"/>
  <c r="S73" i="24"/>
  <c r="AB73" i="24"/>
  <c r="BN73" i="24"/>
  <c r="AP73" i="24"/>
  <c r="AW73" i="24"/>
  <c r="AX73" i="24"/>
  <c r="BB73" i="24"/>
  <c r="CJ73" i="24"/>
  <c r="P74" i="24"/>
  <c r="S74" i="24"/>
  <c r="Q74" i="24"/>
  <c r="AB74" i="24"/>
  <c r="CI74" i="24"/>
  <c r="AP74" i="24"/>
  <c r="AW74" i="24"/>
  <c r="AX74" i="24"/>
  <c r="BB74" i="24"/>
  <c r="CJ74" i="24"/>
  <c r="S75" i="24"/>
  <c r="AB75" i="24"/>
  <c r="AJ75" i="24"/>
  <c r="AP75" i="24"/>
  <c r="AW75" i="24"/>
  <c r="AX75" i="24"/>
  <c r="BB75" i="24"/>
  <c r="CJ75" i="24"/>
  <c r="EA75" i="24"/>
  <c r="S76" i="24"/>
  <c r="AB76" i="24"/>
  <c r="BR76" i="24"/>
  <c r="AP76" i="24"/>
  <c r="AW76" i="24"/>
  <c r="AX76" i="24"/>
  <c r="BB76" i="24"/>
  <c r="CJ76" i="24"/>
  <c r="P77" i="24"/>
  <c r="S77" i="24"/>
  <c r="AB77" i="24"/>
  <c r="BS77" i="24"/>
  <c r="AP77" i="24"/>
  <c r="AW77" i="24"/>
  <c r="BW77" i="24"/>
  <c r="AX77" i="24"/>
  <c r="DJ77" i="24"/>
  <c r="S78" i="24"/>
  <c r="AB78" i="24"/>
  <c r="AP78" i="24"/>
  <c r="AW78" i="24"/>
  <c r="AX78" i="24"/>
  <c r="BB78" i="24"/>
  <c r="CJ78" i="24"/>
  <c r="CK78" i="24"/>
  <c r="DJ78" i="24"/>
  <c r="P79" i="24"/>
  <c r="S79" i="24"/>
  <c r="AB79" i="24"/>
  <c r="AP79" i="24"/>
  <c r="AQ79" i="24"/>
  <c r="AW79" i="24"/>
  <c r="AX79" i="24"/>
  <c r="BB79" i="24"/>
  <c r="CJ79" i="24"/>
  <c r="EV79" i="24"/>
  <c r="S80" i="24"/>
  <c r="AB80" i="24"/>
  <c r="AP80" i="24"/>
  <c r="AW80" i="24"/>
  <c r="AX80" i="24"/>
  <c r="BB80" i="24"/>
  <c r="CJ80" i="24"/>
  <c r="CK80" i="24"/>
  <c r="CL80" i="24"/>
  <c r="S81" i="24"/>
  <c r="AB81" i="24"/>
  <c r="BL81" i="24"/>
  <c r="AP81" i="24"/>
  <c r="AW81" i="24"/>
  <c r="AX81" i="24"/>
  <c r="BB81" i="24"/>
  <c r="CJ81" i="24"/>
  <c r="S82" i="24"/>
  <c r="AB82" i="24"/>
  <c r="BO82" i="24"/>
  <c r="AP82" i="24"/>
  <c r="AW82" i="24"/>
  <c r="AX82" i="24"/>
  <c r="BB82" i="24"/>
  <c r="CJ82" i="24"/>
  <c r="S83" i="24"/>
  <c r="AB83" i="24"/>
  <c r="AJ83" i="24"/>
  <c r="AF83" i="24"/>
  <c r="AP83" i="24"/>
  <c r="AQ83" i="24"/>
  <c r="AW83" i="24"/>
  <c r="AX83" i="24"/>
  <c r="BB83" i="24"/>
  <c r="BE83" i="24"/>
  <c r="CJ83" i="24"/>
  <c r="DZ83" i="24"/>
  <c r="S84" i="24"/>
  <c r="AB84" i="24"/>
  <c r="BN84" i="24"/>
  <c r="AP84" i="24"/>
  <c r="AW84" i="24"/>
  <c r="AX84" i="24"/>
  <c r="BB84" i="24"/>
  <c r="CJ84" i="24"/>
  <c r="CK84" i="24"/>
  <c r="CL84" i="24"/>
  <c r="S85" i="24"/>
  <c r="AB85" i="24"/>
  <c r="AP85" i="24"/>
  <c r="AW85" i="24"/>
  <c r="AX85" i="24"/>
  <c r="BB85" i="24"/>
  <c r="CJ85" i="24"/>
  <c r="CK85" i="24"/>
  <c r="P86" i="24"/>
  <c r="S86" i="24"/>
  <c r="AB86" i="24"/>
  <c r="BO86" i="24"/>
  <c r="AP86" i="24"/>
  <c r="AW86" i="24"/>
  <c r="AX86" i="24"/>
  <c r="BB86" i="24"/>
  <c r="CJ86" i="24"/>
  <c r="CK86" i="24"/>
  <c r="S87" i="24"/>
  <c r="AB87" i="24"/>
  <c r="BE87" i="24"/>
  <c r="AP87" i="24"/>
  <c r="AQ87" i="24"/>
  <c r="AW87" i="24"/>
  <c r="AX87" i="24"/>
  <c r="BB87" i="24"/>
  <c r="CJ87" i="24"/>
  <c r="CK87" i="24"/>
  <c r="S88" i="24"/>
  <c r="AB88" i="24"/>
  <c r="BV88" i="24"/>
  <c r="AP88" i="24"/>
  <c r="AW88" i="24"/>
  <c r="AX88" i="24"/>
  <c r="BB88" i="24"/>
  <c r="CJ88" i="24"/>
  <c r="S89" i="24"/>
  <c r="AB89" i="24"/>
  <c r="BP89" i="24"/>
  <c r="AP89" i="24"/>
  <c r="AW89" i="24"/>
  <c r="AX89" i="24"/>
  <c r="BB89" i="24"/>
  <c r="CJ89" i="24"/>
  <c r="S90" i="24"/>
  <c r="AB90" i="24"/>
  <c r="AP90" i="24"/>
  <c r="AW90" i="24"/>
  <c r="AX90" i="24"/>
  <c r="BB90" i="24"/>
  <c r="CI90" i="24"/>
  <c r="CJ90" i="24"/>
  <c r="S91" i="24"/>
  <c r="AB91" i="24"/>
  <c r="AP91" i="24"/>
  <c r="AW91" i="24"/>
  <c r="AX91" i="24"/>
  <c r="BB91" i="24"/>
  <c r="CI91" i="24"/>
  <c r="CJ91" i="24"/>
  <c r="S92" i="24"/>
  <c r="AB92" i="24"/>
  <c r="BX92" i="24"/>
  <c r="AP92" i="24"/>
  <c r="AW92" i="24"/>
  <c r="AX92" i="24"/>
  <c r="BB92" i="24"/>
  <c r="CJ92" i="24"/>
  <c r="CK92" i="24"/>
  <c r="S93" i="24"/>
  <c r="AB93" i="24"/>
  <c r="EW93" i="24"/>
  <c r="AP93" i="24"/>
  <c r="AW93" i="24"/>
  <c r="AX93" i="24"/>
  <c r="BB93" i="24"/>
  <c r="CI93" i="24"/>
  <c r="CJ93" i="24"/>
  <c r="CK93" i="24"/>
  <c r="S94" i="24"/>
  <c r="AB94" i="24"/>
  <c r="BL94" i="24"/>
  <c r="AP94" i="24"/>
  <c r="AW94" i="24"/>
  <c r="BW94" i="24"/>
  <c r="AX94" i="24"/>
  <c r="BB94" i="24"/>
  <c r="CJ94" i="24"/>
  <c r="EV94" i="24"/>
  <c r="S95" i="24"/>
  <c r="AB95" i="24"/>
  <c r="AH95" i="24"/>
  <c r="AP95" i="24"/>
  <c r="AW95" i="24"/>
  <c r="AX95" i="24"/>
  <c r="BB95" i="24"/>
  <c r="CK95" i="24"/>
  <c r="CL95" i="24"/>
  <c r="S96" i="24"/>
  <c r="AB96" i="24"/>
  <c r="AP96" i="24"/>
  <c r="AW96" i="24"/>
  <c r="AX96" i="24"/>
  <c r="EV96" i="24"/>
  <c r="S97" i="24"/>
  <c r="AB97" i="24"/>
  <c r="AP97" i="24"/>
  <c r="AQ97" i="24"/>
  <c r="AW97" i="24"/>
  <c r="AX97" i="24"/>
  <c r="BB97" i="24"/>
  <c r="CI97" i="24"/>
  <c r="CJ97" i="24"/>
  <c r="CK97" i="24"/>
  <c r="S98" i="24"/>
  <c r="AB98" i="24"/>
  <c r="BS98" i="24"/>
  <c r="AP98" i="24"/>
  <c r="AW98" i="24"/>
  <c r="AX98" i="24"/>
  <c r="BB98" i="24"/>
  <c r="CJ98" i="24"/>
  <c r="EV98" i="24"/>
  <c r="P99" i="24"/>
  <c r="S99" i="24"/>
  <c r="AB99" i="24"/>
  <c r="AP99" i="24"/>
  <c r="AW99" i="24"/>
  <c r="AX99" i="24"/>
  <c r="BB99" i="24"/>
  <c r="CJ99" i="24"/>
  <c r="S100" i="24"/>
  <c r="AB100" i="24"/>
  <c r="AP100" i="24"/>
  <c r="AW100" i="24"/>
  <c r="AX100" i="24"/>
  <c r="BB100" i="24"/>
  <c r="CJ100" i="24"/>
  <c r="S101" i="24"/>
  <c r="AB101" i="24"/>
  <c r="BL101" i="24"/>
  <c r="AP101" i="24"/>
  <c r="AQ101" i="24"/>
  <c r="AW101" i="24"/>
  <c r="AX101" i="24"/>
  <c r="BB101" i="24"/>
  <c r="CJ101" i="24"/>
  <c r="P102" i="24"/>
  <c r="S102" i="24"/>
  <c r="AB102" i="24"/>
  <c r="BU102" i="24"/>
  <c r="AP102" i="24"/>
  <c r="AW102" i="24"/>
  <c r="AX102" i="24"/>
  <c r="BB102" i="24"/>
  <c r="CJ102" i="24"/>
  <c r="CK102" i="24"/>
  <c r="S103" i="24"/>
  <c r="AB103" i="24"/>
  <c r="BT103" i="24"/>
  <c r="AH103" i="24"/>
  <c r="AP103" i="24"/>
  <c r="AW103" i="24"/>
  <c r="AX103" i="24"/>
  <c r="BB103" i="24"/>
  <c r="CJ103" i="24"/>
  <c r="DE103" i="24"/>
  <c r="DE317" i="24"/>
  <c r="S104" i="24"/>
  <c r="AB104" i="24"/>
  <c r="AH104" i="24"/>
  <c r="AP104" i="24"/>
  <c r="AQ104" i="24"/>
  <c r="AW104" i="24"/>
  <c r="AX104" i="24"/>
  <c r="BB104" i="24"/>
  <c r="CK104" i="24"/>
  <c r="S105" i="24"/>
  <c r="AB105" i="24"/>
  <c r="BT105" i="24"/>
  <c r="AH105" i="24"/>
  <c r="AP105" i="24"/>
  <c r="AQ105" i="24"/>
  <c r="AW105" i="24"/>
  <c r="AX105" i="24"/>
  <c r="BX105" i="24"/>
  <c r="BB105" i="24"/>
  <c r="CJ105" i="24"/>
  <c r="CK105" i="24"/>
  <c r="CL105" i="24"/>
  <c r="S106" i="24"/>
  <c r="AB106" i="24"/>
  <c r="AP106" i="24"/>
  <c r="AW106" i="24"/>
  <c r="AX106" i="24"/>
  <c r="BB106" i="24"/>
  <c r="CJ106" i="24"/>
  <c r="EA106" i="24"/>
  <c r="EV106" i="24"/>
  <c r="P107" i="24"/>
  <c r="S107" i="24"/>
  <c r="AB107" i="24"/>
  <c r="AH107" i="24"/>
  <c r="AP107" i="24"/>
  <c r="AQ107" i="24"/>
  <c r="AW107" i="24"/>
  <c r="AX107" i="24"/>
  <c r="DJ107" i="24"/>
  <c r="S108" i="24"/>
  <c r="AB108" i="24"/>
  <c r="AP108" i="24"/>
  <c r="AW108" i="24"/>
  <c r="AX108" i="24"/>
  <c r="BB108" i="24"/>
  <c r="CJ108" i="24"/>
  <c r="S109" i="24"/>
  <c r="AB109" i="24"/>
  <c r="AP109" i="24"/>
  <c r="AW109" i="24"/>
  <c r="AX109" i="24"/>
  <c r="BB109" i="24"/>
  <c r="CJ109" i="24"/>
  <c r="CK109" i="24"/>
  <c r="CL109" i="24"/>
  <c r="P110" i="24"/>
  <c r="S110" i="24"/>
  <c r="AB110" i="24"/>
  <c r="BR110" i="24"/>
  <c r="AP110" i="24"/>
  <c r="AW110" i="24"/>
  <c r="AX110" i="24"/>
  <c r="BB110" i="24"/>
  <c r="CJ110" i="24"/>
  <c r="S111" i="24"/>
  <c r="AB111" i="24"/>
  <c r="AJ111" i="24"/>
  <c r="AF111" i="24"/>
  <c r="AP111" i="24"/>
  <c r="AQ111" i="24"/>
  <c r="AW111" i="24"/>
  <c r="AX111" i="24"/>
  <c r="BB111" i="24"/>
  <c r="CJ111" i="24"/>
  <c r="P112" i="24"/>
  <c r="S112" i="24"/>
  <c r="AB112" i="24"/>
  <c r="AP112" i="24"/>
  <c r="AQ112" i="24"/>
  <c r="AW112" i="24"/>
  <c r="AX112" i="24"/>
  <c r="BB112" i="24"/>
  <c r="CJ112" i="24"/>
  <c r="P113" i="24"/>
  <c r="S113" i="24"/>
  <c r="AB113" i="24"/>
  <c r="AP113" i="24"/>
  <c r="AW113" i="24"/>
  <c r="AX113" i="24"/>
  <c r="BB113" i="24"/>
  <c r="CJ113" i="24"/>
  <c r="S114" i="24"/>
  <c r="AB114" i="24"/>
  <c r="BH114" i="24"/>
  <c r="AP114" i="24"/>
  <c r="AW114" i="24"/>
  <c r="AX114" i="24"/>
  <c r="BB114" i="24"/>
  <c r="CJ114" i="24"/>
  <c r="S115" i="24"/>
  <c r="AB115" i="24"/>
  <c r="AP115" i="24"/>
  <c r="AQ115" i="24"/>
  <c r="AW115" i="24"/>
  <c r="AX115" i="24"/>
  <c r="S116" i="24"/>
  <c r="AB116" i="24"/>
  <c r="AP116" i="24"/>
  <c r="AW116" i="24"/>
  <c r="AX116" i="24"/>
  <c r="BB116" i="24"/>
  <c r="CJ116" i="24"/>
  <c r="S117" i="24"/>
  <c r="AB117" i="24"/>
  <c r="AH117" i="24"/>
  <c r="AP117" i="24"/>
  <c r="AW117" i="24"/>
  <c r="AX117" i="24"/>
  <c r="BB117" i="24"/>
  <c r="CJ117" i="24"/>
  <c r="P118" i="24"/>
  <c r="S118" i="24"/>
  <c r="AB118" i="24"/>
  <c r="CL118" i="24"/>
  <c r="AP118" i="24"/>
  <c r="AW118" i="24"/>
  <c r="AX118" i="24"/>
  <c r="BB118" i="24"/>
  <c r="CJ118" i="24"/>
  <c r="S119" i="24"/>
  <c r="AB119" i="24"/>
  <c r="BH119" i="24"/>
  <c r="AP119" i="24"/>
  <c r="AW119" i="24"/>
  <c r="AX119" i="24"/>
  <c r="BB119" i="24"/>
  <c r="CJ119" i="24"/>
  <c r="S120" i="24"/>
  <c r="AB120" i="24"/>
  <c r="AP120" i="24"/>
  <c r="AW120" i="24"/>
  <c r="AX120" i="24"/>
  <c r="BB120" i="24"/>
  <c r="CJ120" i="24"/>
  <c r="CK120" i="24"/>
  <c r="CL120" i="24"/>
  <c r="P121" i="24"/>
  <c r="S121" i="24"/>
  <c r="AB121" i="24"/>
  <c r="AP121" i="24"/>
  <c r="AW121" i="24"/>
  <c r="AX121" i="24"/>
  <c r="BB121" i="24"/>
  <c r="CJ121" i="24"/>
  <c r="P122" i="24"/>
  <c r="S122" i="24"/>
  <c r="AB122" i="24"/>
  <c r="AP122" i="24"/>
  <c r="AW122" i="24"/>
  <c r="AX122" i="24"/>
  <c r="BB122" i="24"/>
  <c r="CJ122" i="24"/>
  <c r="CK122" i="24"/>
  <c r="CL122" i="24"/>
  <c r="S123" i="24"/>
  <c r="AB123" i="24"/>
  <c r="BR123" i="24"/>
  <c r="AP123" i="24"/>
  <c r="AW123" i="24"/>
  <c r="BW123" i="24"/>
  <c r="AX123" i="24"/>
  <c r="BB123" i="24"/>
  <c r="CJ123" i="24"/>
  <c r="S124" i="24"/>
  <c r="AB124" i="24"/>
  <c r="BH124" i="24"/>
  <c r="AP124" i="24"/>
  <c r="AW124" i="24"/>
  <c r="BW124" i="24"/>
  <c r="AX124" i="24"/>
  <c r="BB124" i="24"/>
  <c r="CJ124" i="24"/>
  <c r="CK124" i="24"/>
  <c r="CL124" i="24"/>
  <c r="P125" i="24"/>
  <c r="S125" i="24"/>
  <c r="AB125" i="24"/>
  <c r="AP125" i="24"/>
  <c r="AW125" i="24"/>
  <c r="AX125" i="24"/>
  <c r="BB125" i="24"/>
  <c r="CJ125" i="24"/>
  <c r="CK125" i="24"/>
  <c r="CL125" i="24"/>
  <c r="P126" i="24"/>
  <c r="S126" i="24"/>
  <c r="AB126" i="24"/>
  <c r="BU126" i="24"/>
  <c r="AH126" i="24"/>
  <c r="AP126" i="24"/>
  <c r="AQ126" i="24"/>
  <c r="AW126" i="24"/>
  <c r="AX126" i="24"/>
  <c r="BB126" i="24"/>
  <c r="CJ126" i="24"/>
  <c r="CK126" i="24"/>
  <c r="CL126" i="24"/>
  <c r="S127" i="24"/>
  <c r="AB127" i="24"/>
  <c r="AH127" i="24"/>
  <c r="AP127" i="24"/>
  <c r="AW127" i="24"/>
  <c r="AX127" i="24"/>
  <c r="BB127" i="24"/>
  <c r="CI127" i="24"/>
  <c r="CJ127" i="24"/>
  <c r="CK127" i="24"/>
  <c r="CL127" i="24"/>
  <c r="P128" i="24"/>
  <c r="Q128" i="24"/>
  <c r="AB128" i="24"/>
  <c r="BP128" i="24"/>
  <c r="AP128" i="24"/>
  <c r="AW128" i="24"/>
  <c r="AX128" i="24"/>
  <c r="BX128" i="24"/>
  <c r="BB128" i="24"/>
  <c r="CJ128" i="24"/>
  <c r="CK128" i="24"/>
  <c r="S129" i="24"/>
  <c r="AB129" i="24"/>
  <c r="AJ129" i="24"/>
  <c r="AF129" i="24"/>
  <c r="AP129" i="24"/>
  <c r="AW129" i="24"/>
  <c r="AX129" i="24"/>
  <c r="BB129" i="24"/>
  <c r="CJ129" i="24"/>
  <c r="P130" i="24"/>
  <c r="S130" i="24"/>
  <c r="AB130" i="24"/>
  <c r="AP130" i="24"/>
  <c r="AW130" i="24"/>
  <c r="AX130" i="24"/>
  <c r="BB130" i="24"/>
  <c r="CJ130" i="24"/>
  <c r="P131" i="24"/>
  <c r="Q131" i="24"/>
  <c r="AB131" i="24"/>
  <c r="BP131" i="24"/>
  <c r="AP131" i="24"/>
  <c r="AW131" i="24"/>
  <c r="AX131" i="24"/>
  <c r="BB131" i="24"/>
  <c r="CJ131" i="24"/>
  <c r="EA131" i="24"/>
  <c r="S132" i="24"/>
  <c r="AB132" i="24"/>
  <c r="BT132" i="24"/>
  <c r="AP132" i="24"/>
  <c r="AW132" i="24"/>
  <c r="AX132" i="24"/>
  <c r="BB132" i="24"/>
  <c r="CJ132" i="24"/>
  <c r="CK132" i="24"/>
  <c r="S133" i="24"/>
  <c r="AB133" i="24"/>
  <c r="AC133" i="24"/>
  <c r="AG133" i="24"/>
  <c r="AP133" i="24"/>
  <c r="AW133" i="24"/>
  <c r="AX133" i="24"/>
  <c r="CJ133" i="24"/>
  <c r="CK133" i="24"/>
  <c r="CL133" i="24"/>
  <c r="EV133" i="24"/>
  <c r="S134" i="24"/>
  <c r="AB134" i="24"/>
  <c r="AP134" i="24"/>
  <c r="AW134" i="24"/>
  <c r="AX134" i="24"/>
  <c r="BB134" i="24"/>
  <c r="CJ134" i="24"/>
  <c r="S135" i="24"/>
  <c r="AB135" i="24"/>
  <c r="BN135" i="24"/>
  <c r="BS135" i="24"/>
  <c r="AP135" i="24"/>
  <c r="AW135" i="24"/>
  <c r="AX135" i="24"/>
  <c r="BB135" i="24"/>
  <c r="CJ135" i="24"/>
  <c r="CK135" i="24"/>
  <c r="EV135" i="24"/>
  <c r="S136" i="24"/>
  <c r="AB136" i="24"/>
  <c r="BL136" i="24"/>
  <c r="AP136" i="24"/>
  <c r="AW136" i="24"/>
  <c r="AX136" i="24"/>
  <c r="BB136" i="24"/>
  <c r="CJ136" i="24"/>
  <c r="CK136" i="24"/>
  <c r="P137" i="24"/>
  <c r="S137" i="24"/>
  <c r="AB137" i="24"/>
  <c r="AP137" i="24"/>
  <c r="AW137" i="24"/>
  <c r="AX137" i="24"/>
  <c r="S138" i="24"/>
  <c r="AB138" i="24"/>
  <c r="BE138" i="24"/>
  <c r="AP138" i="24"/>
  <c r="AW138" i="24"/>
  <c r="AX138" i="24"/>
  <c r="BB138" i="24"/>
  <c r="S139" i="24"/>
  <c r="AB139" i="24"/>
  <c r="AP139" i="24"/>
  <c r="AW139" i="24"/>
  <c r="AX139" i="24"/>
  <c r="BB139" i="24"/>
  <c r="CJ139" i="24"/>
  <c r="CK139" i="24"/>
  <c r="Q140" i="24"/>
  <c r="S140" i="24"/>
  <c r="AB140" i="24"/>
  <c r="BT140" i="24"/>
  <c r="AP140" i="24"/>
  <c r="AW140" i="24"/>
  <c r="AX140" i="24"/>
  <c r="BB140" i="24"/>
  <c r="CJ140" i="24"/>
  <c r="CK140" i="24"/>
  <c r="S141" i="24"/>
  <c r="AB141" i="24"/>
  <c r="AP141" i="24"/>
  <c r="AW141" i="24"/>
  <c r="AX141" i="24"/>
  <c r="BB141" i="24"/>
  <c r="CJ141" i="24"/>
  <c r="S142" i="24"/>
  <c r="AB142" i="24"/>
  <c r="AP142" i="24"/>
  <c r="AW142" i="24"/>
  <c r="AX142" i="24"/>
  <c r="BB142" i="24"/>
  <c r="CJ142" i="24"/>
  <c r="CK142" i="24"/>
  <c r="EA142" i="24"/>
  <c r="P143" i="24"/>
  <c r="Q143" i="24"/>
  <c r="AB143" i="24"/>
  <c r="AJ143" i="24"/>
  <c r="AF143" i="24"/>
  <c r="AP143" i="24"/>
  <c r="AW143" i="24"/>
  <c r="AX143" i="24"/>
  <c r="BB143" i="24"/>
  <c r="CJ143" i="24"/>
  <c r="CK143" i="24"/>
  <c r="S144" i="24"/>
  <c r="AB144" i="24"/>
  <c r="BI144" i="24"/>
  <c r="AP144" i="24"/>
  <c r="AW144" i="24"/>
  <c r="AX144" i="24"/>
  <c r="BX144" i="24"/>
  <c r="S145" i="24"/>
  <c r="AB145" i="24"/>
  <c r="BR145" i="24"/>
  <c r="AP145" i="24"/>
  <c r="AW145" i="24"/>
  <c r="AX145" i="24"/>
  <c r="EA145" i="24"/>
  <c r="S146" i="24"/>
  <c r="AB146" i="24"/>
  <c r="AP146" i="24"/>
  <c r="AW146" i="24"/>
  <c r="AX146" i="24"/>
  <c r="BB146" i="24"/>
  <c r="CJ146" i="24"/>
  <c r="S147" i="24"/>
  <c r="AB147" i="24"/>
  <c r="AP147" i="24"/>
  <c r="AW147" i="24"/>
  <c r="AX147" i="24"/>
  <c r="BB147" i="24"/>
  <c r="CJ147" i="24"/>
  <c r="CK147" i="24"/>
  <c r="DJ147" i="24"/>
  <c r="EV147" i="24"/>
  <c r="S148" i="24"/>
  <c r="AB148" i="24"/>
  <c r="BR148" i="24"/>
  <c r="AP148" i="24"/>
  <c r="AW148" i="24"/>
  <c r="AX148" i="24"/>
  <c r="BB148" i="24"/>
  <c r="CJ148" i="24"/>
  <c r="DJ148" i="24"/>
  <c r="S149" i="24"/>
  <c r="AB149" i="24"/>
  <c r="EX149" i="24"/>
  <c r="AP149" i="24"/>
  <c r="AQ149" i="24"/>
  <c r="AW149" i="24"/>
  <c r="AX149" i="24"/>
  <c r="BB149" i="24"/>
  <c r="CJ149" i="24"/>
  <c r="CK149" i="24"/>
  <c r="EV149" i="24"/>
  <c r="S150" i="24"/>
  <c r="AB150" i="24"/>
  <c r="BN150" i="24"/>
  <c r="AP150" i="24"/>
  <c r="AW150" i="24"/>
  <c r="AX150" i="24"/>
  <c r="S151" i="24"/>
  <c r="AB151" i="24"/>
  <c r="AP151" i="24"/>
  <c r="AW151" i="24"/>
  <c r="AX151" i="24"/>
  <c r="BB151" i="24"/>
  <c r="CJ151" i="24"/>
  <c r="S152" i="24"/>
  <c r="AB152" i="24"/>
  <c r="AP152" i="24"/>
  <c r="AW152" i="24"/>
  <c r="AX152" i="24"/>
  <c r="EV152" i="24"/>
  <c r="S153" i="24"/>
  <c r="AB153" i="24"/>
  <c r="AP153" i="24"/>
  <c r="AW153" i="24"/>
  <c r="AX153" i="24"/>
  <c r="BB153" i="24"/>
  <c r="CJ153" i="24"/>
  <c r="S154" i="24"/>
  <c r="AB154" i="24"/>
  <c r="AP154" i="24"/>
  <c r="AW154" i="24"/>
  <c r="AX154" i="24"/>
  <c r="BB154" i="24"/>
  <c r="CJ154" i="24"/>
  <c r="S155" i="24"/>
  <c r="AB155" i="24"/>
  <c r="BT155" i="24"/>
  <c r="AP155" i="24"/>
  <c r="AW155" i="24"/>
  <c r="AX155" i="24"/>
  <c r="BB155" i="24"/>
  <c r="CI155" i="24"/>
  <c r="CJ155" i="24"/>
  <c r="S156" i="24"/>
  <c r="AB156" i="24"/>
  <c r="AH156" i="24"/>
  <c r="AP156" i="24"/>
  <c r="AW156" i="24"/>
  <c r="BW156" i="24"/>
  <c r="AX156" i="24"/>
  <c r="EV156" i="24"/>
  <c r="S157" i="24"/>
  <c r="AB157" i="24"/>
  <c r="BS157" i="24"/>
  <c r="AH157" i="24"/>
  <c r="AP157" i="24"/>
  <c r="AW157" i="24"/>
  <c r="AX157" i="24"/>
  <c r="BB157" i="24"/>
  <c r="CJ157" i="24"/>
  <c r="CK157" i="24"/>
  <c r="CL157" i="24"/>
  <c r="S158" i="24"/>
  <c r="AB158" i="24"/>
  <c r="EX158" i="24"/>
  <c r="AH158" i="24"/>
  <c r="AP158" i="24"/>
  <c r="AQ158" i="24"/>
  <c r="AG158" i="24"/>
  <c r="AW158" i="24"/>
  <c r="AX158" i="24"/>
  <c r="BB158" i="24"/>
  <c r="CK158" i="24"/>
  <c r="CL158" i="24"/>
  <c r="S159" i="24"/>
  <c r="AB159" i="24"/>
  <c r="AP159" i="24"/>
  <c r="AW159" i="24"/>
  <c r="AX159" i="24"/>
  <c r="BB159" i="24"/>
  <c r="CK159" i="24"/>
  <c r="CL159" i="24"/>
  <c r="DJ159" i="24"/>
  <c r="S160" i="24"/>
  <c r="AB160" i="24"/>
  <c r="BP160" i="24"/>
  <c r="AP160" i="24"/>
  <c r="AW160" i="24"/>
  <c r="AX160" i="24"/>
  <c r="BB160" i="24"/>
  <c r="CJ160" i="24"/>
  <c r="S161" i="24"/>
  <c r="AB161" i="24"/>
  <c r="CJ161" i="24"/>
  <c r="AP161" i="24"/>
  <c r="AW161" i="24"/>
  <c r="AX161" i="24"/>
  <c r="BB161" i="24"/>
  <c r="Q162" i="24"/>
  <c r="S162" i="24"/>
  <c r="AB162" i="24"/>
  <c r="AH162" i="24"/>
  <c r="AP162" i="24"/>
  <c r="AW162" i="24"/>
  <c r="AX162" i="24"/>
  <c r="BB162" i="24"/>
  <c r="CK162" i="24"/>
  <c r="CL162" i="24"/>
  <c r="DJ162" i="24"/>
  <c r="S163" i="24"/>
  <c r="AB163" i="24"/>
  <c r="AP163" i="24"/>
  <c r="AQ163" i="24"/>
  <c r="AG163" i="24"/>
  <c r="AW163" i="24"/>
  <c r="AX163" i="24"/>
  <c r="BB163" i="24"/>
  <c r="CJ163" i="24"/>
  <c r="S164" i="24"/>
  <c r="AB164" i="24"/>
  <c r="BV164" i="24"/>
  <c r="AP164" i="24"/>
  <c r="AW164" i="24"/>
  <c r="AX164" i="24"/>
  <c r="BB164" i="24"/>
  <c r="CK164" i="24"/>
  <c r="CL164" i="24"/>
  <c r="EV164" i="24"/>
  <c r="S165" i="24"/>
  <c r="AB165" i="24"/>
  <c r="AP165" i="24"/>
  <c r="AW165" i="24"/>
  <c r="AX165" i="24"/>
  <c r="BB165" i="24"/>
  <c r="CJ165" i="24"/>
  <c r="DT165" i="24"/>
  <c r="DT317" i="24"/>
  <c r="DT319" i="24"/>
  <c r="S166" i="24"/>
  <c r="AB166" i="24"/>
  <c r="AP166" i="24"/>
  <c r="AW166" i="24"/>
  <c r="AX166" i="24"/>
  <c r="BB166" i="24"/>
  <c r="CJ166" i="24"/>
  <c r="EV166" i="24"/>
  <c r="S167" i="24"/>
  <c r="AB167" i="24"/>
  <c r="BU167" i="24"/>
  <c r="AP167" i="24"/>
  <c r="AW167" i="24"/>
  <c r="AX167" i="24"/>
  <c r="BB167" i="24"/>
  <c r="CJ167" i="24"/>
  <c r="CK167" i="24"/>
  <c r="S168" i="24"/>
  <c r="AB168" i="24"/>
  <c r="AP168" i="24"/>
  <c r="AW168" i="24"/>
  <c r="AX168" i="24"/>
  <c r="BB168" i="24"/>
  <c r="CJ168" i="24"/>
  <c r="CK168" i="24"/>
  <c r="S169" i="24"/>
  <c r="AB169" i="24"/>
  <c r="AP169" i="24"/>
  <c r="AW169" i="24"/>
  <c r="AX169" i="24"/>
  <c r="BB169" i="24"/>
  <c r="CJ169" i="24"/>
  <c r="S170" i="24"/>
  <c r="AB170" i="24"/>
  <c r="AP170" i="24"/>
  <c r="AQ170" i="24"/>
  <c r="AG170" i="24"/>
  <c r="AW170" i="24"/>
  <c r="AX170" i="24"/>
  <c r="BB170" i="24"/>
  <c r="CI170" i="24"/>
  <c r="CJ170" i="24"/>
  <c r="S171" i="24"/>
  <c r="AB171" i="24"/>
  <c r="BR171" i="24"/>
  <c r="AP171" i="24"/>
  <c r="AW171" i="24"/>
  <c r="AX171" i="24"/>
  <c r="BB171" i="24"/>
  <c r="CI171" i="24"/>
  <c r="CJ171" i="24"/>
  <c r="S172" i="24"/>
  <c r="AB172" i="24"/>
  <c r="BP172" i="24"/>
  <c r="AP172" i="24"/>
  <c r="AW172" i="24"/>
  <c r="AX172" i="24"/>
  <c r="BB172" i="24"/>
  <c r="CI172" i="24"/>
  <c r="CJ172" i="24"/>
  <c r="S173" i="24"/>
  <c r="AB173" i="24"/>
  <c r="AP173" i="24"/>
  <c r="AW173" i="24"/>
  <c r="AX173" i="24"/>
  <c r="BB173" i="24"/>
  <c r="CJ173" i="24"/>
  <c r="EV173" i="24"/>
  <c r="S174" i="24"/>
  <c r="AB174" i="24"/>
  <c r="AP174" i="24"/>
  <c r="AQ174" i="24"/>
  <c r="AG174" i="24"/>
  <c r="AW174" i="24"/>
  <c r="AX174" i="24"/>
  <c r="BB174" i="24"/>
  <c r="CJ174" i="24"/>
  <c r="DJ174" i="24"/>
  <c r="EV174" i="24"/>
  <c r="S175" i="24"/>
  <c r="AB175" i="24"/>
  <c r="AP175" i="24"/>
  <c r="AW175" i="24"/>
  <c r="AX175" i="24"/>
  <c r="BB175" i="24"/>
  <c r="CJ175" i="24"/>
  <c r="S176" i="24"/>
  <c r="AB176" i="24"/>
  <c r="AP176" i="24"/>
  <c r="AW176" i="24"/>
  <c r="AX176" i="24"/>
  <c r="BB176" i="24"/>
  <c r="CJ176" i="24"/>
  <c r="CK176" i="24"/>
  <c r="EV176" i="24"/>
  <c r="S177" i="24"/>
  <c r="AB177" i="24"/>
  <c r="BE177" i="24"/>
  <c r="AP177" i="24"/>
  <c r="AW177" i="24"/>
  <c r="AX177" i="24"/>
  <c r="BB177" i="24"/>
  <c r="CJ177" i="24"/>
  <c r="S178" i="24"/>
  <c r="AB178" i="24"/>
  <c r="EW178" i="24"/>
  <c r="AP178" i="24"/>
  <c r="AQ178" i="24"/>
  <c r="AW178" i="24"/>
  <c r="AX178" i="24"/>
  <c r="BB178" i="24"/>
  <c r="CJ178" i="24"/>
  <c r="CK178" i="24"/>
  <c r="P179" i="24"/>
  <c r="S179" i="24"/>
  <c r="AB179" i="24"/>
  <c r="AP179" i="24"/>
  <c r="AW179" i="24"/>
  <c r="AX179" i="24"/>
  <c r="BB179" i="24"/>
  <c r="CJ179" i="24"/>
  <c r="CK179" i="24"/>
  <c r="S180" i="24"/>
  <c r="AB180" i="24"/>
  <c r="BS180" i="24"/>
  <c r="AP180" i="24"/>
  <c r="AQ180" i="24"/>
  <c r="AW180" i="24"/>
  <c r="AX180" i="24"/>
  <c r="BX180" i="24"/>
  <c r="BB180" i="24"/>
  <c r="CJ180" i="24"/>
  <c r="S181" i="24"/>
  <c r="AB181" i="24"/>
  <c r="BW181" i="24"/>
  <c r="AP181" i="24"/>
  <c r="AW181" i="24"/>
  <c r="AX181" i="24"/>
  <c r="BB181" i="24"/>
  <c r="CJ181" i="24"/>
  <c r="P182" i="24"/>
  <c r="S182" i="24"/>
  <c r="AB182" i="24"/>
  <c r="AP182" i="24"/>
  <c r="AW182" i="24"/>
  <c r="AX182" i="24"/>
  <c r="BB182" i="24"/>
  <c r="CJ182" i="24"/>
  <c r="CK182" i="24"/>
  <c r="CL182" i="24"/>
  <c r="P183" i="24"/>
  <c r="S183" i="24"/>
  <c r="AB183" i="24"/>
  <c r="AP183" i="24"/>
  <c r="AW183" i="24"/>
  <c r="AX183" i="24"/>
  <c r="BB183" i="24"/>
  <c r="CJ183" i="24"/>
  <c r="CK183" i="24"/>
  <c r="EV183" i="24"/>
  <c r="S184" i="24"/>
  <c r="AB184" i="24"/>
  <c r="AP184" i="24"/>
  <c r="AW184" i="24"/>
  <c r="AX184" i="24"/>
  <c r="BB184" i="24"/>
  <c r="CJ184" i="24"/>
  <c r="CK184" i="24"/>
  <c r="CL184" i="24"/>
  <c r="P185" i="24"/>
  <c r="S185" i="24"/>
  <c r="AB185" i="24"/>
  <c r="AP185" i="24"/>
  <c r="AW185" i="24"/>
  <c r="AX185" i="24"/>
  <c r="BB185" i="24"/>
  <c r="CI185" i="24"/>
  <c r="CJ185" i="24"/>
  <c r="CK185" i="24"/>
  <c r="CL185" i="24"/>
  <c r="P186" i="24"/>
  <c r="S186" i="24"/>
  <c r="AB186" i="24"/>
  <c r="AP186" i="24"/>
  <c r="AW186" i="24"/>
  <c r="AX186" i="24"/>
  <c r="BB186" i="24"/>
  <c r="CJ186" i="24"/>
  <c r="S187" i="24"/>
  <c r="AB187" i="24"/>
  <c r="AP187" i="24"/>
  <c r="AQ187" i="24"/>
  <c r="AW187" i="24"/>
  <c r="BW187" i="24"/>
  <c r="AX187" i="24"/>
  <c r="BB187" i="24"/>
  <c r="CJ187" i="24"/>
  <c r="S188" i="24"/>
  <c r="AB188" i="24"/>
  <c r="AH188" i="24"/>
  <c r="AP188" i="24"/>
  <c r="AW188" i="24"/>
  <c r="AX188" i="24"/>
  <c r="BB188" i="24"/>
  <c r="CJ188" i="24"/>
  <c r="CK188" i="24"/>
  <c r="CL188" i="24"/>
  <c r="EV188" i="24"/>
  <c r="P189" i="24"/>
  <c r="S189" i="24"/>
  <c r="AB189" i="24"/>
  <c r="CL189" i="24"/>
  <c r="AP189" i="24"/>
  <c r="AW189" i="24"/>
  <c r="AX189" i="24"/>
  <c r="BB189" i="24"/>
  <c r="CJ189" i="24"/>
  <c r="S190" i="24"/>
  <c r="AB190" i="24"/>
  <c r="AP190" i="24"/>
  <c r="AW190" i="24"/>
  <c r="AX190" i="24"/>
  <c r="BB190" i="24"/>
  <c r="CK190" i="24"/>
  <c r="S191" i="24"/>
  <c r="AB191" i="24"/>
  <c r="AP191" i="24"/>
  <c r="AW191" i="24"/>
  <c r="AX191" i="24"/>
  <c r="BB191" i="24"/>
  <c r="CJ191" i="24"/>
  <c r="CK191" i="24"/>
  <c r="EV191" i="24"/>
  <c r="S192" i="24"/>
  <c r="AB192" i="24"/>
  <c r="AP192" i="24"/>
  <c r="AW192" i="24"/>
  <c r="AX192" i="24"/>
  <c r="BB192" i="24"/>
  <c r="CJ192" i="24"/>
  <c r="S193" i="24"/>
  <c r="AB193" i="24"/>
  <c r="AP193" i="24"/>
  <c r="AW193" i="24"/>
  <c r="AX193" i="24"/>
  <c r="BB193" i="24"/>
  <c r="CK193" i="24"/>
  <c r="S194" i="24"/>
  <c r="AB194" i="24"/>
  <c r="AP194" i="24"/>
  <c r="AW194" i="24"/>
  <c r="AX194" i="24"/>
  <c r="BB194" i="24"/>
  <c r="S195" i="24"/>
  <c r="AB195" i="24"/>
  <c r="BS195" i="24"/>
  <c r="AP195" i="24"/>
  <c r="AW195" i="24"/>
  <c r="AX195" i="24"/>
  <c r="BB195" i="24"/>
  <c r="CJ195" i="24"/>
  <c r="S196" i="24"/>
  <c r="AB196" i="24"/>
  <c r="AC196" i="24"/>
  <c r="AP196" i="24"/>
  <c r="AW196" i="24"/>
  <c r="AX196" i="24"/>
  <c r="BB196" i="24"/>
  <c r="CI196" i="24"/>
  <c r="CJ196" i="24"/>
  <c r="CK196" i="24"/>
  <c r="S197" i="24"/>
  <c r="AB197" i="24"/>
  <c r="BE197" i="24"/>
  <c r="AP197" i="24"/>
  <c r="AW197" i="24"/>
  <c r="AX197" i="24"/>
  <c r="BB197" i="24"/>
  <c r="CJ197" i="24"/>
  <c r="S198" i="24"/>
  <c r="AB198" i="24"/>
  <c r="BV198" i="24"/>
  <c r="AE198" i="24"/>
  <c r="AP198" i="24"/>
  <c r="AQ198" i="24"/>
  <c r="AG198" i="24"/>
  <c r="AW198" i="24"/>
  <c r="BW198" i="24"/>
  <c r="AX198" i="24"/>
  <c r="S199" i="24"/>
  <c r="AB199" i="24"/>
  <c r="AP199" i="24"/>
  <c r="AW199" i="24"/>
  <c r="AX199" i="24"/>
  <c r="BB199" i="24"/>
  <c r="S200" i="24"/>
  <c r="AB200" i="24"/>
  <c r="BH200" i="24"/>
  <c r="AP200" i="24"/>
  <c r="AW200" i="24"/>
  <c r="AX200" i="24"/>
  <c r="BB200" i="24"/>
  <c r="CJ200" i="24"/>
  <c r="S201" i="24"/>
  <c r="AB201" i="24"/>
  <c r="BO201" i="24"/>
  <c r="AP201" i="24"/>
  <c r="AW201" i="24"/>
  <c r="BW201" i="24"/>
  <c r="AX201" i="24"/>
  <c r="S202" i="24"/>
  <c r="AB202" i="24"/>
  <c r="BS202" i="24"/>
  <c r="AP202" i="24"/>
  <c r="AW202" i="24"/>
  <c r="AX202" i="24"/>
  <c r="BB202" i="24"/>
  <c r="CJ202" i="24"/>
  <c r="CK202" i="24"/>
  <c r="S203" i="24"/>
  <c r="AB203" i="24"/>
  <c r="BU203" i="24"/>
  <c r="AP203" i="24"/>
  <c r="AW203" i="24"/>
  <c r="AX203" i="24"/>
  <c r="BB203" i="24"/>
  <c r="CI203" i="24"/>
  <c r="CJ203" i="24"/>
  <c r="S204" i="24"/>
  <c r="AB204" i="24"/>
  <c r="BP204" i="24"/>
  <c r="AP204" i="24"/>
  <c r="AW204" i="24"/>
  <c r="AX204" i="24"/>
  <c r="BB204" i="24"/>
  <c r="CJ204" i="24"/>
  <c r="S205" i="24"/>
  <c r="AB205" i="24"/>
  <c r="BL205" i="24"/>
  <c r="AP205" i="24"/>
  <c r="AW205" i="24"/>
  <c r="AX205" i="24"/>
  <c r="BB205" i="24"/>
  <c r="CJ205" i="24"/>
  <c r="S206" i="24"/>
  <c r="AB206" i="24"/>
  <c r="BR206" i="24"/>
  <c r="AP206" i="24"/>
  <c r="AW206" i="24"/>
  <c r="AX206" i="24"/>
  <c r="BB206" i="24"/>
  <c r="CJ206" i="24"/>
  <c r="CK206" i="24"/>
  <c r="S207" i="24"/>
  <c r="AB207" i="24"/>
  <c r="AP207" i="24"/>
  <c r="AW207" i="24"/>
  <c r="AX207" i="24"/>
  <c r="BB207" i="24"/>
  <c r="CJ207" i="24"/>
  <c r="CK207" i="24"/>
  <c r="DT207" i="24"/>
  <c r="S208" i="24"/>
  <c r="AB208" i="24"/>
  <c r="EX208" i="24"/>
  <c r="AP208" i="24"/>
  <c r="AW208" i="24"/>
  <c r="AX208" i="24"/>
  <c r="S209" i="24"/>
  <c r="AB209" i="24"/>
  <c r="EX209" i="24"/>
  <c r="AP209" i="24"/>
  <c r="AW209" i="24"/>
  <c r="BW209" i="24"/>
  <c r="AX209" i="24"/>
  <c r="S210" i="24"/>
  <c r="AB210" i="24"/>
  <c r="AP210" i="24"/>
  <c r="AW210" i="24"/>
  <c r="AX210" i="24"/>
  <c r="BB210" i="24"/>
  <c r="CJ210" i="24"/>
  <c r="S211" i="24"/>
  <c r="AB211" i="24"/>
  <c r="AP211" i="24"/>
  <c r="AW211" i="24"/>
  <c r="AX211" i="24"/>
  <c r="S212" i="24"/>
  <c r="AB212" i="24"/>
  <c r="AP212" i="24"/>
  <c r="AW212" i="24"/>
  <c r="BW212" i="24"/>
  <c r="AX212" i="24"/>
  <c r="BB212" i="24"/>
  <c r="CJ212" i="24"/>
  <c r="CK212" i="24"/>
  <c r="S213" i="24"/>
  <c r="AB213" i="24"/>
  <c r="AP213" i="24"/>
  <c r="AW213" i="24"/>
  <c r="AX213" i="24"/>
  <c r="BB213" i="24"/>
  <c r="CJ213" i="24"/>
  <c r="EV213" i="24"/>
  <c r="P214" i="24"/>
  <c r="S214" i="24"/>
  <c r="AB214" i="24"/>
  <c r="AC214" i="24"/>
  <c r="AP214" i="24"/>
  <c r="AW214" i="24"/>
  <c r="AX214" i="24"/>
  <c r="BB214" i="24"/>
  <c r="CJ214" i="24"/>
  <c r="P215" i="24"/>
  <c r="S215" i="24"/>
  <c r="AB215" i="24"/>
  <c r="AJ215" i="24"/>
  <c r="AP215" i="24"/>
  <c r="AW215" i="24"/>
  <c r="AX215" i="24"/>
  <c r="BB215" i="24"/>
  <c r="CI215" i="24"/>
  <c r="CJ215" i="24"/>
  <c r="S216" i="24"/>
  <c r="AB216" i="24"/>
  <c r="AP216" i="24"/>
  <c r="AW216" i="24"/>
  <c r="AX216" i="24"/>
  <c r="BB216" i="24"/>
  <c r="CJ216" i="24"/>
  <c r="CK216" i="24"/>
  <c r="CL216" i="24"/>
  <c r="P217" i="24"/>
  <c r="S217" i="24"/>
  <c r="AB217" i="24"/>
  <c r="AP217" i="24"/>
  <c r="AQ217" i="24"/>
  <c r="AW217" i="24"/>
  <c r="AX217" i="24"/>
  <c r="BB217" i="24"/>
  <c r="CJ217" i="24"/>
  <c r="S218" i="24"/>
  <c r="AB218" i="24"/>
  <c r="BW218" i="24"/>
  <c r="AP218" i="24"/>
  <c r="AW218" i="24"/>
  <c r="AX218" i="24"/>
  <c r="BB218" i="24"/>
  <c r="CJ218" i="24"/>
  <c r="Q219" i="24"/>
  <c r="S219" i="24"/>
  <c r="AB219" i="24"/>
  <c r="AP219" i="24"/>
  <c r="AQ219" i="24"/>
  <c r="AG219" i="24"/>
  <c r="AW219" i="24"/>
  <c r="AX219" i="24"/>
  <c r="BB219" i="24"/>
  <c r="CJ219" i="24"/>
  <c r="S220" i="24"/>
  <c r="AB220" i="24"/>
  <c r="BH220" i="24"/>
  <c r="AP220" i="24"/>
  <c r="AW220" i="24"/>
  <c r="AX220" i="24"/>
  <c r="S221" i="24"/>
  <c r="AB221" i="24"/>
  <c r="AP221" i="24"/>
  <c r="AW221" i="24"/>
  <c r="AX221" i="24"/>
  <c r="BB221" i="24"/>
  <c r="CJ221" i="24"/>
  <c r="S222" i="24"/>
  <c r="AB222" i="24"/>
  <c r="BS222" i="24"/>
  <c r="AH222" i="24"/>
  <c r="AP222" i="24"/>
  <c r="AQ222" i="24"/>
  <c r="AW222" i="24"/>
  <c r="AX222" i="24"/>
  <c r="BB222" i="24"/>
  <c r="CJ222" i="24"/>
  <c r="CK222" i="24"/>
  <c r="CL222" i="24"/>
  <c r="S223" i="24"/>
  <c r="AB223" i="24"/>
  <c r="BV223" i="24"/>
  <c r="AP223" i="24"/>
  <c r="AW223" i="24"/>
  <c r="AX223" i="24"/>
  <c r="BB223" i="24"/>
  <c r="CJ223" i="24"/>
  <c r="S224" i="24"/>
  <c r="AB224" i="24"/>
  <c r="BV224" i="24"/>
  <c r="AP224" i="24"/>
  <c r="AW224" i="24"/>
  <c r="AX224" i="24"/>
  <c r="BB224" i="24"/>
  <c r="CJ224" i="24"/>
  <c r="CK224" i="24"/>
  <c r="CL224" i="24"/>
  <c r="S225" i="24"/>
  <c r="AB225" i="24"/>
  <c r="BR225" i="24"/>
  <c r="AP225" i="24"/>
  <c r="AW225" i="24"/>
  <c r="AX225" i="24"/>
  <c r="BB225" i="24"/>
  <c r="CJ225" i="24"/>
  <c r="S226" i="24"/>
  <c r="AB226" i="24"/>
  <c r="BI226" i="24"/>
  <c r="AP226" i="24"/>
  <c r="AW226" i="24"/>
  <c r="AX226" i="24"/>
  <c r="BB226" i="24"/>
  <c r="CJ226" i="24"/>
  <c r="S227" i="24"/>
  <c r="AB227" i="24"/>
  <c r="BP227" i="24"/>
  <c r="AP227" i="24"/>
  <c r="AW227" i="24"/>
  <c r="AX227" i="24"/>
  <c r="BB227" i="24"/>
  <c r="CJ227" i="24"/>
  <c r="CK227" i="24"/>
  <c r="CL227" i="24"/>
  <c r="S228" i="24"/>
  <c r="AB228" i="24"/>
  <c r="BH228" i="24"/>
  <c r="AP228" i="24"/>
  <c r="AW228" i="24"/>
  <c r="AX228" i="24"/>
  <c r="BB228" i="24"/>
  <c r="CJ228" i="24"/>
  <c r="S229" i="24"/>
  <c r="AB229" i="24"/>
  <c r="BS229" i="24"/>
  <c r="AP229" i="24"/>
  <c r="AW229" i="24"/>
  <c r="AX229" i="24"/>
  <c r="BB229" i="24"/>
  <c r="CJ229" i="24"/>
  <c r="CK229" i="24"/>
  <c r="CL229" i="24"/>
  <c r="S230" i="24"/>
  <c r="AB230" i="24"/>
  <c r="BH230" i="24"/>
  <c r="AP230" i="24"/>
  <c r="AW230" i="24"/>
  <c r="AX230" i="24"/>
  <c r="BB230" i="24"/>
  <c r="CJ230" i="24"/>
  <c r="CK230" i="24"/>
  <c r="CL230" i="24"/>
  <c r="S231" i="24"/>
  <c r="AB231" i="24"/>
  <c r="AP231" i="24"/>
  <c r="AW231" i="24"/>
  <c r="AX231" i="24"/>
  <c r="BB231" i="24"/>
  <c r="CJ231" i="24"/>
  <c r="S232" i="24"/>
  <c r="AB232" i="24"/>
  <c r="AP232" i="24"/>
  <c r="AW232" i="24"/>
  <c r="AX232" i="24"/>
  <c r="BB232" i="24"/>
  <c r="CJ232" i="24"/>
  <c r="CK232" i="24"/>
  <c r="S233" i="24"/>
  <c r="AB233" i="24"/>
  <c r="BS233" i="24"/>
  <c r="AP233" i="24"/>
  <c r="AW233" i="24"/>
  <c r="AX233" i="24"/>
  <c r="S234" i="24"/>
  <c r="AB234" i="24"/>
  <c r="AP234" i="24"/>
  <c r="AW234" i="24"/>
  <c r="AX234" i="24"/>
  <c r="BB234" i="24"/>
  <c r="CJ234" i="24"/>
  <c r="EA234" i="24"/>
  <c r="S235" i="24"/>
  <c r="AB235" i="24"/>
  <c r="AP235" i="24"/>
  <c r="AW235" i="24"/>
  <c r="AX235" i="24"/>
  <c r="BB235" i="24"/>
  <c r="CJ235" i="24"/>
  <c r="S236" i="24"/>
  <c r="AB236" i="24"/>
  <c r="AP236" i="24"/>
  <c r="AW236" i="24"/>
  <c r="AX236" i="24"/>
  <c r="P237" i="24"/>
  <c r="S237" i="24"/>
  <c r="AB237" i="24"/>
  <c r="BN237" i="24"/>
  <c r="AP237" i="24"/>
  <c r="AW237" i="24"/>
  <c r="AX237" i="24"/>
  <c r="BB237" i="24"/>
  <c r="CJ237" i="24"/>
  <c r="DJ237" i="24"/>
  <c r="S238" i="24"/>
  <c r="AB238" i="24"/>
  <c r="AP238" i="24"/>
  <c r="AQ238" i="24"/>
  <c r="AW238" i="24"/>
  <c r="AX238" i="24"/>
  <c r="BB238" i="24"/>
  <c r="CJ238" i="24"/>
  <c r="CK238" i="24"/>
  <c r="EV238" i="24"/>
  <c r="P239" i="24"/>
  <c r="S239" i="24"/>
  <c r="AB239" i="24"/>
  <c r="BP239" i="24"/>
  <c r="AY239" i="24"/>
  <c r="BD239" i="24"/>
  <c r="S240" i="24"/>
  <c r="AB240" i="24"/>
  <c r="AP240" i="24"/>
  <c r="AW240" i="24"/>
  <c r="AX240" i="24"/>
  <c r="BB240" i="24"/>
  <c r="CJ240" i="24"/>
  <c r="CK240" i="24"/>
  <c r="DJ240" i="24"/>
  <c r="S241" i="24"/>
  <c r="AB241" i="24"/>
  <c r="BN241" i="24"/>
  <c r="AP241" i="24"/>
  <c r="AW241" i="24"/>
  <c r="BW241" i="24"/>
  <c r="AX241" i="24"/>
  <c r="BX241" i="24"/>
  <c r="BB241" i="24"/>
  <c r="CJ241" i="24"/>
  <c r="CK241" i="24"/>
  <c r="EV241" i="24"/>
  <c r="S242" i="24"/>
  <c r="AB242" i="24"/>
  <c r="BI242" i="24"/>
  <c r="AP242" i="24"/>
  <c r="AW242" i="24"/>
  <c r="AX242" i="24"/>
  <c r="BB242" i="24"/>
  <c r="CJ242" i="24"/>
  <c r="S243" i="24"/>
  <c r="AB243" i="24"/>
  <c r="AJ243" i="24"/>
  <c r="AP243" i="24"/>
  <c r="AQ243" i="24"/>
  <c r="AW243" i="24"/>
  <c r="AX243" i="24"/>
  <c r="BB243" i="24"/>
  <c r="CJ243" i="24"/>
  <c r="EA243" i="24"/>
  <c r="EV243" i="24"/>
  <c r="S244" i="24"/>
  <c r="AB244" i="24"/>
  <c r="BL244" i="24"/>
  <c r="AP244" i="24"/>
  <c r="AW244" i="24"/>
  <c r="AX244" i="24"/>
  <c r="BB244" i="24"/>
  <c r="CI244" i="24"/>
  <c r="CJ244" i="24"/>
  <c r="DJ244" i="24"/>
  <c r="S245" i="24"/>
  <c r="AB245" i="24"/>
  <c r="EW245" i="24"/>
  <c r="AH245" i="24"/>
  <c r="AP245" i="24"/>
  <c r="AW245" i="24"/>
  <c r="AX245" i="24"/>
  <c r="S246" i="24"/>
  <c r="AB246" i="24"/>
  <c r="AH246" i="24"/>
  <c r="AP246" i="24"/>
  <c r="AW246" i="24"/>
  <c r="BW246" i="24"/>
  <c r="AX246" i="24"/>
  <c r="S247" i="24"/>
  <c r="AB247" i="24"/>
  <c r="AH247" i="24"/>
  <c r="AP247" i="24"/>
  <c r="AW247" i="24"/>
  <c r="AX247" i="24"/>
  <c r="BB247" i="24"/>
  <c r="CJ247" i="24"/>
  <c r="S248" i="24"/>
  <c r="AB248" i="24"/>
  <c r="BN248" i="24"/>
  <c r="AP248" i="24"/>
  <c r="AW248" i="24"/>
  <c r="AX248" i="24"/>
  <c r="BB248" i="24"/>
  <c r="CJ248" i="24"/>
  <c r="DJ248" i="24"/>
  <c r="S249" i="24"/>
  <c r="AB249" i="24"/>
  <c r="BI249" i="24"/>
  <c r="AP249" i="24"/>
  <c r="AW249" i="24"/>
  <c r="AX249" i="24"/>
  <c r="BB249" i="24"/>
  <c r="CJ249" i="24"/>
  <c r="CK249" i="24"/>
  <c r="EV249" i="24"/>
  <c r="S250" i="24"/>
  <c r="AB250" i="24"/>
  <c r="AC250" i="24"/>
  <c r="AP250" i="24"/>
  <c r="AQ250" i="24"/>
  <c r="AW250" i="24"/>
  <c r="AX250" i="24"/>
  <c r="BB250" i="24"/>
  <c r="CJ250" i="24"/>
  <c r="CK250" i="24"/>
  <c r="S251" i="24"/>
  <c r="AB251" i="24"/>
  <c r="CI251" i="24"/>
  <c r="AP251" i="24"/>
  <c r="AW251" i="24"/>
  <c r="BW251" i="24"/>
  <c r="AX251" i="24"/>
  <c r="BB251" i="24"/>
  <c r="CJ251" i="24"/>
  <c r="S252" i="24"/>
  <c r="AB252" i="24"/>
  <c r="BR252" i="24"/>
  <c r="AP252" i="24"/>
  <c r="AW252" i="24"/>
  <c r="AX252" i="24"/>
  <c r="BB252" i="24"/>
  <c r="CJ252" i="24"/>
  <c r="S253" i="24"/>
  <c r="AB253" i="24"/>
  <c r="CK253" i="24"/>
  <c r="AP253" i="24"/>
  <c r="AW253" i="24"/>
  <c r="AX253" i="24"/>
  <c r="BB253" i="24"/>
  <c r="CJ253" i="24"/>
  <c r="S254" i="24"/>
  <c r="AB254" i="24"/>
  <c r="BS254" i="24"/>
  <c r="AP254" i="24"/>
  <c r="AW254" i="24"/>
  <c r="AX254" i="24"/>
  <c r="BB254" i="24"/>
  <c r="CJ254" i="24"/>
  <c r="S255" i="24"/>
  <c r="AB255" i="24"/>
  <c r="AD255" i="24"/>
  <c r="AE255" i="24"/>
  <c r="AH255" i="24"/>
  <c r="AP255" i="24"/>
  <c r="AW255" i="24"/>
  <c r="AX255" i="24"/>
  <c r="BB255" i="24"/>
  <c r="S256" i="24"/>
  <c r="AB256" i="24"/>
  <c r="BI256" i="24"/>
  <c r="AH256" i="24"/>
  <c r="AP256" i="24"/>
  <c r="AW256" i="24"/>
  <c r="AX256" i="24"/>
  <c r="BB256" i="24"/>
  <c r="CJ256" i="24"/>
  <c r="CK256" i="24"/>
  <c r="CL256" i="24"/>
  <c r="S257" i="24"/>
  <c r="AB257" i="24"/>
  <c r="AP257" i="24"/>
  <c r="AW257" i="24"/>
  <c r="AX257" i="24"/>
  <c r="BB257" i="24"/>
  <c r="CI257" i="24"/>
  <c r="CJ257" i="24"/>
  <c r="S258" i="24"/>
  <c r="AB258" i="24"/>
  <c r="AH258" i="24"/>
  <c r="AP258" i="24"/>
  <c r="AQ258" i="24"/>
  <c r="AW258" i="24"/>
  <c r="AX258" i="24"/>
  <c r="BB258" i="24"/>
  <c r="CJ258" i="24"/>
  <c r="CK258" i="24"/>
  <c r="CL258" i="24"/>
  <c r="EA258" i="24"/>
  <c r="S259" i="24"/>
  <c r="AB259" i="24"/>
  <c r="AE259" i="24"/>
  <c r="AP259" i="24"/>
  <c r="AQ259" i="24"/>
  <c r="AW259" i="24"/>
  <c r="AX259" i="24"/>
  <c r="BB259" i="24"/>
  <c r="CI259" i="24"/>
  <c r="CJ259" i="24"/>
  <c r="CK259" i="24"/>
  <c r="CL259" i="24"/>
  <c r="P260" i="24"/>
  <c r="S260" i="24"/>
  <c r="AB260" i="24"/>
  <c r="BU260" i="24"/>
  <c r="AH260" i="24"/>
  <c r="AP260" i="24"/>
  <c r="AQ260" i="24"/>
  <c r="AG260" i="24"/>
  <c r="AW260" i="24"/>
  <c r="AX260" i="24"/>
  <c r="BB260" i="24"/>
  <c r="CJ260" i="24"/>
  <c r="S261" i="24"/>
  <c r="AB261" i="24"/>
  <c r="AH261" i="24"/>
  <c r="AP261" i="24"/>
  <c r="AW261" i="24"/>
  <c r="AX261" i="24"/>
  <c r="BB261" i="24"/>
  <c r="CJ261" i="24"/>
  <c r="CK261" i="24"/>
  <c r="CL261" i="24"/>
  <c r="S262" i="24"/>
  <c r="AB262" i="24"/>
  <c r="BI262" i="24"/>
  <c r="AP262" i="24"/>
  <c r="AW262" i="24"/>
  <c r="AX262" i="24"/>
  <c r="S263" i="24"/>
  <c r="AB263" i="24"/>
  <c r="AH263" i="24"/>
  <c r="AP263" i="24"/>
  <c r="AW263" i="24"/>
  <c r="AX263" i="24"/>
  <c r="BB263" i="24"/>
  <c r="CJ263" i="24"/>
  <c r="CK263" i="24"/>
  <c r="CL263" i="24"/>
  <c r="P264" i="24"/>
  <c r="S264" i="24"/>
  <c r="AB264" i="24"/>
  <c r="BS264" i="24"/>
  <c r="AP264" i="24"/>
  <c r="AW264" i="24"/>
  <c r="AX264" i="24"/>
  <c r="DZ264" i="24"/>
  <c r="EA264" i="24"/>
  <c r="S265" i="24"/>
  <c r="AB265" i="24"/>
  <c r="AP265" i="24"/>
  <c r="AQ265" i="24"/>
  <c r="AG265" i="24"/>
  <c r="AW265" i="24"/>
  <c r="AX265" i="24"/>
  <c r="BB265" i="24"/>
  <c r="CJ265" i="24"/>
  <c r="EA265" i="24"/>
  <c r="P266" i="24"/>
  <c r="S266" i="24"/>
  <c r="AB266" i="24"/>
  <c r="AP266" i="24"/>
  <c r="AW266" i="24"/>
  <c r="AX266" i="24"/>
  <c r="DK266" i="24"/>
  <c r="DZ266" i="24"/>
  <c r="DZ317" i="24"/>
  <c r="DZ319" i="24"/>
  <c r="EA266" i="24"/>
  <c r="S267" i="24"/>
  <c r="AB267" i="24"/>
  <c r="BE267" i="24"/>
  <c r="AP267" i="24"/>
  <c r="AW267" i="24"/>
  <c r="AX267" i="24"/>
  <c r="BB267" i="24"/>
  <c r="CJ267" i="24"/>
  <c r="CK267" i="24"/>
  <c r="DK267" i="24"/>
  <c r="EA267" i="24"/>
  <c r="S268" i="24"/>
  <c r="AB268" i="24"/>
  <c r="BS268" i="24"/>
  <c r="AP268" i="24"/>
  <c r="AQ268" i="24"/>
  <c r="AW268" i="24"/>
  <c r="AX268" i="24"/>
  <c r="BB268" i="24"/>
  <c r="CJ268" i="24"/>
  <c r="CK268" i="24"/>
  <c r="DK268" i="24"/>
  <c r="S269" i="24"/>
  <c r="AB269" i="24"/>
  <c r="AP269" i="24"/>
  <c r="AW269" i="24"/>
  <c r="AX269" i="24"/>
  <c r="BB269" i="24"/>
  <c r="CJ269" i="24"/>
  <c r="CK269" i="24"/>
  <c r="S270" i="24"/>
  <c r="AB270" i="24"/>
  <c r="AP270" i="24"/>
  <c r="AW270" i="24"/>
  <c r="AX270" i="24"/>
  <c r="BB270" i="24"/>
  <c r="CJ270" i="24"/>
  <c r="S271" i="24"/>
  <c r="AB271" i="24"/>
  <c r="AC271" i="24"/>
  <c r="AP271" i="24"/>
  <c r="AW271" i="24"/>
  <c r="AX271" i="24"/>
  <c r="EA271" i="24"/>
  <c r="S272" i="24"/>
  <c r="AB272" i="24"/>
  <c r="BP272" i="24"/>
  <c r="AP272" i="24"/>
  <c r="AW272" i="24"/>
  <c r="AX272" i="24"/>
  <c r="EA272" i="24"/>
  <c r="S273" i="24"/>
  <c r="AB273" i="24"/>
  <c r="AJ273" i="24"/>
  <c r="AP273" i="24"/>
  <c r="AQ273" i="24"/>
  <c r="BQ273" i="24"/>
  <c r="AW273" i="24"/>
  <c r="AX273" i="24"/>
  <c r="EA273" i="24"/>
  <c r="S274" i="24"/>
  <c r="AB274" i="24"/>
  <c r="AP274" i="24"/>
  <c r="AQ274" i="24"/>
  <c r="AW274" i="24"/>
  <c r="AX274" i="24"/>
  <c r="EA274" i="24"/>
  <c r="S275" i="24"/>
  <c r="AB275" i="24"/>
  <c r="BT275" i="24"/>
  <c r="AH275" i="24"/>
  <c r="AP275" i="24"/>
  <c r="AW275" i="24"/>
  <c r="AX275" i="24"/>
  <c r="BX275" i="24"/>
  <c r="EA275" i="24"/>
  <c r="EB275" i="24"/>
  <c r="EB317" i="24"/>
  <c r="EB319" i="24"/>
  <c r="S276" i="24"/>
  <c r="AB276" i="24"/>
  <c r="AP276" i="24"/>
  <c r="AW276" i="24"/>
  <c r="AX276" i="24"/>
  <c r="BB276" i="24"/>
  <c r="CJ276" i="24"/>
  <c r="CK276" i="24"/>
  <c r="P277" i="24"/>
  <c r="Q277" i="24"/>
  <c r="AB277" i="24"/>
  <c r="AP277" i="24"/>
  <c r="AW277" i="24"/>
  <c r="AX277" i="24"/>
  <c r="BB277" i="24"/>
  <c r="CJ277" i="24"/>
  <c r="S278" i="24"/>
  <c r="AB278" i="24"/>
  <c r="AP278" i="24"/>
  <c r="AQ278" i="24"/>
  <c r="AG278" i="24"/>
  <c r="BK278" i="24"/>
  <c r="AW278" i="24"/>
  <c r="AX278" i="24"/>
  <c r="BB278" i="24"/>
  <c r="EA278" i="24"/>
  <c r="S279" i="24"/>
  <c r="AB279" i="24"/>
  <c r="BS279" i="24"/>
  <c r="AP279" i="24"/>
  <c r="AW279" i="24"/>
  <c r="AX279" i="24"/>
  <c r="BB279" i="24"/>
  <c r="CJ279" i="24"/>
  <c r="CK279" i="24"/>
  <c r="DJ279" i="24"/>
  <c r="EA279" i="24"/>
  <c r="S280" i="24"/>
  <c r="AB280" i="24"/>
  <c r="AP280" i="24"/>
  <c r="AQ280" i="24"/>
  <c r="AW280" i="24"/>
  <c r="AX280" i="24"/>
  <c r="BB280" i="24"/>
  <c r="CJ280" i="24"/>
  <c r="CK280" i="24"/>
  <c r="S281" i="24"/>
  <c r="AB281" i="24"/>
  <c r="AP281" i="24"/>
  <c r="AQ281" i="24"/>
  <c r="AW281" i="24"/>
  <c r="AX281" i="24"/>
  <c r="BB281" i="24"/>
  <c r="CJ281" i="24"/>
  <c r="S282" i="24"/>
  <c r="AB282" i="24"/>
  <c r="BT282" i="24"/>
  <c r="AP282" i="24"/>
  <c r="AW282" i="24"/>
  <c r="AX282" i="24"/>
  <c r="BB282" i="24"/>
  <c r="CI282" i="24"/>
  <c r="CJ282" i="24"/>
  <c r="CK282" i="24"/>
  <c r="S283" i="24"/>
  <c r="AB283" i="24"/>
  <c r="CI283" i="24"/>
  <c r="EX283" i="24"/>
  <c r="AP283" i="24"/>
  <c r="AV283" i="24"/>
  <c r="AW283" i="24"/>
  <c r="AX283" i="24"/>
  <c r="BB283" i="24"/>
  <c r="CJ283" i="24"/>
  <c r="CK283" i="24"/>
  <c r="S284" i="24"/>
  <c r="AB284" i="24"/>
  <c r="AP284" i="24"/>
  <c r="AQ284" i="24"/>
  <c r="AG284" i="24"/>
  <c r="AW284" i="24"/>
  <c r="AX284" i="24"/>
  <c r="BB284" i="24"/>
  <c r="CI284" i="24"/>
  <c r="CJ284" i="24"/>
  <c r="S285" i="24"/>
  <c r="AB285" i="24"/>
  <c r="AJ285" i="24"/>
  <c r="BM285" i="24"/>
  <c r="EW285" i="24"/>
  <c r="AP285" i="24"/>
  <c r="AW285" i="24"/>
  <c r="AX285" i="24"/>
  <c r="BB285" i="24"/>
  <c r="CJ285" i="24"/>
  <c r="CK285" i="24"/>
  <c r="S286" i="24"/>
  <c r="AB286" i="24"/>
  <c r="AP286" i="24"/>
  <c r="AW286" i="24"/>
  <c r="AX286" i="24"/>
  <c r="BB286" i="24"/>
  <c r="CI286" i="24"/>
  <c r="CJ286" i="24"/>
  <c r="CK286" i="24"/>
  <c r="S287" i="24"/>
  <c r="AB287" i="24"/>
  <c r="AP287" i="24"/>
  <c r="AW287" i="24"/>
  <c r="AX287" i="24"/>
  <c r="BB287" i="24"/>
  <c r="CJ287" i="24"/>
  <c r="S288" i="24"/>
  <c r="AB288" i="24"/>
  <c r="AP288" i="24"/>
  <c r="AQ288" i="24"/>
  <c r="AG288" i="24"/>
  <c r="AW288" i="24"/>
  <c r="AX288" i="24"/>
  <c r="EA288" i="24"/>
  <c r="EV288" i="24"/>
  <c r="S289" i="24"/>
  <c r="AB289" i="24"/>
  <c r="AP289" i="24"/>
  <c r="AW289" i="24"/>
  <c r="AX289" i="24"/>
  <c r="BX289" i="24"/>
  <c r="BB289" i="24"/>
  <c r="CJ289" i="24"/>
  <c r="Q290" i="24"/>
  <c r="S290" i="24"/>
  <c r="AB290" i="24"/>
  <c r="AP290" i="24"/>
  <c r="AQ290" i="24"/>
  <c r="AW290" i="24"/>
  <c r="AX290" i="24"/>
  <c r="P291" i="24"/>
  <c r="S291" i="24"/>
  <c r="AB291" i="24"/>
  <c r="AQ291" i="24"/>
  <c r="AP291" i="24"/>
  <c r="AW291" i="24"/>
  <c r="AX291" i="24"/>
  <c r="BB291" i="24"/>
  <c r="CJ291" i="24"/>
  <c r="DJ291" i="24"/>
  <c r="Q292" i="24"/>
  <c r="S292" i="24"/>
  <c r="AB292" i="24"/>
  <c r="AP292" i="24"/>
  <c r="AW292" i="24"/>
  <c r="AX292" i="24"/>
  <c r="BB292" i="24"/>
  <c r="CJ292" i="24"/>
  <c r="S293" i="24"/>
  <c r="AB293" i="24"/>
  <c r="AP293" i="24"/>
  <c r="AW293" i="24"/>
  <c r="AX293" i="24"/>
  <c r="BB293" i="24"/>
  <c r="CJ293" i="24"/>
  <c r="CK293" i="24"/>
  <c r="S294" i="24"/>
  <c r="AB294" i="24"/>
  <c r="AP294" i="24"/>
  <c r="AW294" i="24"/>
  <c r="AX294" i="24"/>
  <c r="BB294" i="24"/>
  <c r="CJ294" i="24"/>
  <c r="S295" i="24"/>
  <c r="AB295" i="24"/>
  <c r="AP295" i="24"/>
  <c r="AW295" i="24"/>
  <c r="AX295" i="24"/>
  <c r="BB295" i="24"/>
  <c r="CJ295" i="24"/>
  <c r="CK295" i="24"/>
  <c r="EV295" i="24"/>
  <c r="S296" i="24"/>
  <c r="AB296" i="24"/>
  <c r="AP296" i="24"/>
  <c r="AQ296" i="24"/>
  <c r="AW296" i="24"/>
  <c r="AX296" i="24"/>
  <c r="BB296" i="24"/>
  <c r="CJ296" i="24"/>
  <c r="S297" i="24"/>
  <c r="AB297" i="24"/>
  <c r="AP297" i="24"/>
  <c r="AW297" i="24"/>
  <c r="AX297" i="24"/>
  <c r="BB297" i="24"/>
  <c r="CJ297" i="24"/>
  <c r="CK297" i="24"/>
  <c r="EV297" i="24"/>
  <c r="S298" i="24"/>
  <c r="AB298" i="24"/>
  <c r="CI298" i="24"/>
  <c r="AP298" i="24"/>
  <c r="AW298" i="24"/>
  <c r="AX298" i="24"/>
  <c r="BB298" i="24"/>
  <c r="CJ298" i="24"/>
  <c r="CK298" i="24"/>
  <c r="DJ298" i="24"/>
  <c r="S299" i="24"/>
  <c r="AB299" i="24"/>
  <c r="AP299" i="24"/>
  <c r="AW299" i="24"/>
  <c r="AX299" i="24"/>
  <c r="BB299" i="24"/>
  <c r="CJ299" i="24"/>
  <c r="EA299" i="24"/>
  <c r="S300" i="24"/>
  <c r="AB300" i="24"/>
  <c r="BS300" i="24"/>
  <c r="AP300" i="24"/>
  <c r="AW300" i="24"/>
  <c r="BW300" i="24"/>
  <c r="AX300" i="24"/>
  <c r="BB300" i="24"/>
  <c r="CJ300" i="24"/>
  <c r="CK300" i="24"/>
  <c r="S301" i="24"/>
  <c r="AB301" i="24"/>
  <c r="AP301" i="24"/>
  <c r="AW301" i="24"/>
  <c r="AX301" i="24"/>
  <c r="BB301" i="24"/>
  <c r="CI301" i="24"/>
  <c r="CJ301" i="24"/>
  <c r="Q302" i="24"/>
  <c r="S302" i="24"/>
  <c r="AB302" i="24"/>
  <c r="BH302" i="24"/>
  <c r="AP302" i="24"/>
  <c r="AW302" i="24"/>
  <c r="AX302" i="24"/>
  <c r="BB302" i="24"/>
  <c r="CJ302" i="24"/>
  <c r="S303" i="24"/>
  <c r="AB303" i="24"/>
  <c r="AP303" i="24"/>
  <c r="AQ303" i="24"/>
  <c r="AW303" i="24"/>
  <c r="AX303" i="24"/>
  <c r="BB303" i="24"/>
  <c r="CJ303" i="24"/>
  <c r="S304" i="24"/>
  <c r="AB304" i="24"/>
  <c r="CK304" i="24"/>
  <c r="AP304" i="24"/>
  <c r="AW304" i="24"/>
  <c r="AX304" i="24"/>
  <c r="BB304" i="24"/>
  <c r="CJ304" i="24"/>
  <c r="S305" i="24"/>
  <c r="AB305" i="24"/>
  <c r="BH305" i="24"/>
  <c r="AP305" i="24"/>
  <c r="AW305" i="24"/>
  <c r="AX305" i="24"/>
  <c r="BB305" i="24"/>
  <c r="CJ305" i="24"/>
  <c r="CK305" i="24"/>
  <c r="EV305" i="24"/>
  <c r="S306" i="24"/>
  <c r="AB306" i="24"/>
  <c r="AP306" i="24"/>
  <c r="AW306" i="24"/>
  <c r="AX306" i="24"/>
  <c r="BB306" i="24"/>
  <c r="CJ306" i="24"/>
  <c r="CK306" i="24"/>
  <c r="EA306" i="24"/>
  <c r="EV306" i="24"/>
  <c r="P307" i="24"/>
  <c r="S307" i="24"/>
  <c r="AB307" i="24"/>
  <c r="BV307" i="24"/>
  <c r="AP307" i="24"/>
  <c r="AW307" i="24"/>
  <c r="AX307" i="24"/>
  <c r="BB307" i="24"/>
  <c r="CJ307" i="24"/>
  <c r="CK307" i="24"/>
  <c r="Q308" i="24"/>
  <c r="S308" i="24"/>
  <c r="AB308" i="24"/>
  <c r="AP308" i="24"/>
  <c r="AW308" i="24"/>
  <c r="AX308" i="24"/>
  <c r="BB308" i="24"/>
  <c r="CJ308" i="24"/>
  <c r="EA308" i="24"/>
  <c r="S309" i="24"/>
  <c r="AB309" i="24"/>
  <c r="BV309" i="24"/>
  <c r="AP309" i="24"/>
  <c r="AW309" i="24"/>
  <c r="AX309" i="24"/>
  <c r="BB309" i="24"/>
  <c r="CI309" i="24"/>
  <c r="CJ309" i="24"/>
  <c r="CK309" i="24"/>
  <c r="EV309" i="24"/>
  <c r="S310" i="24"/>
  <c r="AB310" i="24"/>
  <c r="BT310" i="24"/>
  <c r="AP310" i="24"/>
  <c r="AW310" i="24"/>
  <c r="AX310" i="24"/>
  <c r="BB310" i="24"/>
  <c r="CJ310" i="24"/>
  <c r="EV310" i="24"/>
  <c r="P311" i="24"/>
  <c r="Q311" i="24"/>
  <c r="AB311" i="24"/>
  <c r="CK311" i="24"/>
  <c r="AP311" i="24"/>
  <c r="AW311" i="24"/>
  <c r="AX311" i="24"/>
  <c r="BB311" i="24"/>
  <c r="CJ311" i="24"/>
  <c r="Q312" i="24"/>
  <c r="S312" i="24"/>
  <c r="AB312" i="24"/>
  <c r="AP312" i="24"/>
  <c r="AW312" i="24"/>
  <c r="AX312" i="24"/>
  <c r="BB312" i="24"/>
  <c r="CJ312" i="24"/>
  <c r="CK312" i="24"/>
  <c r="S313" i="24"/>
  <c r="AB313" i="24"/>
  <c r="AC313" i="24"/>
  <c r="AP313" i="24"/>
  <c r="AW313" i="24"/>
  <c r="AX313" i="24"/>
  <c r="S314" i="24"/>
  <c r="AB314" i="24"/>
  <c r="AP314" i="24"/>
  <c r="AW314" i="24"/>
  <c r="AX314" i="24"/>
  <c r="BB314" i="24"/>
  <c r="CJ314" i="24"/>
  <c r="CK314" i="24"/>
  <c r="S315" i="24"/>
  <c r="AB315" i="24"/>
  <c r="EW315" i="24"/>
  <c r="AH315" i="24"/>
  <c r="AP315" i="24"/>
  <c r="AW315" i="24"/>
  <c r="AX315" i="24"/>
  <c r="S316" i="24"/>
  <c r="AB316" i="24"/>
  <c r="BS316" i="24"/>
  <c r="AP316" i="24"/>
  <c r="AW316" i="24"/>
  <c r="AX316" i="24"/>
  <c r="BB316" i="24"/>
  <c r="CJ316" i="24"/>
  <c r="K317" i="24"/>
  <c r="K318" i="24"/>
  <c r="R317" i="24"/>
  <c r="T317" i="24"/>
  <c r="Z317" i="24"/>
  <c r="Z319" i="24"/>
  <c r="AA317" i="24"/>
  <c r="AZ317" i="24"/>
  <c r="BA317" i="24"/>
  <c r="BF317" i="24"/>
  <c r="BZ317" i="24"/>
  <c r="CA317" i="24"/>
  <c r="CB317" i="24"/>
  <c r="CC317" i="24"/>
  <c r="CD317" i="24"/>
  <c r="CE317" i="24"/>
  <c r="CF317" i="24"/>
  <c r="CG317" i="24"/>
  <c r="CH317" i="24"/>
  <c r="CM317" i="24"/>
  <c r="CN317" i="24"/>
  <c r="CO317" i="24"/>
  <c r="CP317" i="24"/>
  <c r="CQ317" i="24"/>
  <c r="CR317" i="24"/>
  <c r="CS317" i="24"/>
  <c r="CT317" i="24"/>
  <c r="CU317" i="24"/>
  <c r="CV317" i="24"/>
  <c r="CW317" i="24"/>
  <c r="CW319" i="24"/>
  <c r="CX317" i="24"/>
  <c r="CX319" i="24"/>
  <c r="CY317" i="24"/>
  <c r="CZ317" i="24"/>
  <c r="DA317" i="24"/>
  <c r="DB317" i="24"/>
  <c r="DC317" i="24"/>
  <c r="DD317" i="24"/>
  <c r="DF317" i="24"/>
  <c r="DF319" i="24"/>
  <c r="DG317" i="24"/>
  <c r="DH317" i="24"/>
  <c r="DI317" i="24"/>
  <c r="DI319" i="24"/>
  <c r="DL317" i="24"/>
  <c r="DM317" i="24"/>
  <c r="DM319" i="24"/>
  <c r="DN317" i="24"/>
  <c r="DO317" i="24"/>
  <c r="DQ317" i="24"/>
  <c r="DQ319" i="24"/>
  <c r="DR317" i="24"/>
  <c r="DR319" i="24"/>
  <c r="DS317" i="24"/>
  <c r="DS319" i="24"/>
  <c r="DU317" i="24"/>
  <c r="DU319" i="24"/>
  <c r="DV317" i="24"/>
  <c r="DV319" i="24"/>
  <c r="DW317" i="24"/>
  <c r="DW319" i="24"/>
  <c r="DX317" i="24"/>
  <c r="DX319" i="24"/>
  <c r="DY317" i="24"/>
  <c r="DY319" i="24"/>
  <c r="EK317" i="24"/>
  <c r="EL317" i="24"/>
  <c r="EM317" i="24"/>
  <c r="EN317" i="24"/>
  <c r="EO317" i="24"/>
  <c r="EP317" i="24"/>
  <c r="EQ317" i="24"/>
  <c r="ER317" i="24"/>
  <c r="ES317" i="24"/>
  <c r="ET317" i="24"/>
  <c r="EU317" i="24"/>
  <c r="DP318" i="24"/>
  <c r="EO318" i="24"/>
  <c r="EP318" i="24"/>
  <c r="EP319" i="24"/>
  <c r="EU318" i="24"/>
  <c r="EV318" i="24"/>
  <c r="AI319" i="24"/>
  <c r="AO319" i="24"/>
  <c r="CY319" i="24"/>
  <c r="ES319" i="24"/>
  <c r="EW319" i="24"/>
  <c r="EX319" i="24"/>
  <c r="EP320" i="24"/>
  <c r="EQ320" i="24"/>
  <c r="EV320" i="24"/>
  <c r="CY322" i="24"/>
  <c r="BL308" i="24"/>
  <c r="EW300" i="24"/>
  <c r="BO274" i="24"/>
  <c r="BN223" i="24"/>
  <c r="BH222" i="24"/>
  <c r="BR211" i="24"/>
  <c r="EX198" i="24"/>
  <c r="AC189" i="24"/>
  <c r="BN167" i="24"/>
  <c r="AJ163" i="24"/>
  <c r="AF163" i="24"/>
  <c r="BT159" i="24"/>
  <c r="BS141" i="24"/>
  <c r="AJ141" i="24"/>
  <c r="BS128" i="24"/>
  <c r="BS102" i="24"/>
  <c r="AC101" i="24"/>
  <c r="CL101" i="24"/>
  <c r="BS89" i="24"/>
  <c r="AJ87" i="24"/>
  <c r="BS82" i="24"/>
  <c r="CK63" i="24"/>
  <c r="EW63" i="24"/>
  <c r="BH57" i="24"/>
  <c r="CK57" i="24"/>
  <c r="BI57" i="24"/>
  <c r="CL57" i="24"/>
  <c r="EW57" i="24"/>
  <c r="BE54" i="24"/>
  <c r="CL53" i="24"/>
  <c r="BE41" i="24"/>
  <c r="BS39" i="24"/>
  <c r="BO317" i="49"/>
  <c r="BO309" i="49"/>
  <c r="BF307" i="49"/>
  <c r="BS307" i="49"/>
  <c r="AC287" i="49"/>
  <c r="BB287" i="49"/>
  <c r="AC278" i="49"/>
  <c r="BK278" i="49"/>
  <c r="BO278" i="49"/>
  <c r="BP278" i="49"/>
  <c r="BP275" i="49"/>
  <c r="BI252" i="49"/>
  <c r="BB248" i="49"/>
  <c r="AC221" i="49"/>
  <c r="BF221" i="49"/>
  <c r="BO221" i="49"/>
  <c r="BS221" i="49"/>
  <c r="BL221" i="49"/>
  <c r="BR209" i="49"/>
  <c r="BT209" i="49"/>
  <c r="BR201" i="49"/>
  <c r="BF196" i="49"/>
  <c r="BO196" i="49"/>
  <c r="BL170" i="49"/>
  <c r="BI166" i="49"/>
  <c r="BB162" i="49"/>
  <c r="BT162" i="49"/>
  <c r="BK149" i="49"/>
  <c r="BB149" i="49"/>
  <c r="BS130" i="49"/>
  <c r="BI121" i="49"/>
  <c r="BI120" i="49"/>
  <c r="AQ119" i="49"/>
  <c r="BO90" i="49"/>
  <c r="BI86" i="49"/>
  <c r="AC81" i="49"/>
  <c r="BF81" i="49"/>
  <c r="BR81" i="49"/>
  <c r="BK81" i="49"/>
  <c r="BO81" i="49"/>
  <c r="BS81" i="49"/>
  <c r="BB81" i="49"/>
  <c r="BL81" i="49"/>
  <c r="BP81" i="49"/>
  <c r="BT81" i="49"/>
  <c r="AC76" i="49"/>
  <c r="BS76" i="49"/>
  <c r="BP76" i="49"/>
  <c r="AC75" i="49"/>
  <c r="BF75" i="49"/>
  <c r="BR75" i="49"/>
  <c r="BK75" i="49"/>
  <c r="BO75" i="49"/>
  <c r="BS75" i="49"/>
  <c r="BB75" i="49"/>
  <c r="BL75" i="49"/>
  <c r="BP75" i="49"/>
  <c r="BT75" i="49"/>
  <c r="AQ68" i="49"/>
  <c r="AC59" i="49"/>
  <c r="BF59" i="49"/>
  <c r="BR59" i="49"/>
  <c r="BK59" i="49"/>
  <c r="BO59" i="49"/>
  <c r="BS59" i="49"/>
  <c r="BB59" i="49"/>
  <c r="BL59" i="49"/>
  <c r="BP59" i="49"/>
  <c r="BI45" i="49"/>
  <c r="AQ45" i="49"/>
  <c r="AC30" i="49"/>
  <c r="BS30" i="49"/>
  <c r="BF17" i="49"/>
  <c r="BR17" i="49"/>
  <c r="BS17" i="49"/>
  <c r="BB17" i="49"/>
  <c r="AC16" i="49"/>
  <c r="AJ16" i="49"/>
  <c r="BE16" i="49"/>
  <c r="BI16" i="49"/>
  <c r="BM16" i="49"/>
  <c r="BQ16" i="49"/>
  <c r="BU16" i="49"/>
  <c r="BR16" i="49"/>
  <c r="BK16" i="49"/>
  <c r="BO16" i="49"/>
  <c r="BS16" i="49"/>
  <c r="BR278" i="24"/>
  <c r="BU313" i="24"/>
  <c r="BN308" i="24"/>
  <c r="BH300" i="24"/>
  <c r="AC290" i="24"/>
  <c r="BU271" i="24"/>
  <c r="BR243" i="24"/>
  <c r="BP198" i="24"/>
  <c r="BH198" i="24"/>
  <c r="BU179" i="24"/>
  <c r="EW177" i="24"/>
  <c r="BR169" i="24"/>
  <c r="BU156" i="24"/>
  <c r="CI141" i="24"/>
  <c r="BR141" i="24"/>
  <c r="CL139" i="24"/>
  <c r="BL135" i="24"/>
  <c r="BN132" i="24"/>
  <c r="BT123" i="24"/>
  <c r="BU115" i="24"/>
  <c r="BI108" i="24"/>
  <c r="BU108" i="24"/>
  <c r="BR108" i="24"/>
  <c r="BV108" i="24"/>
  <c r="AC107" i="24"/>
  <c r="AJ107" i="24"/>
  <c r="BT107" i="24"/>
  <c r="EX107" i="24"/>
  <c r="BP102" i="24"/>
  <c r="BV101" i="24"/>
  <c r="BW96" i="24"/>
  <c r="EX87" i="24"/>
  <c r="CI87" i="24"/>
  <c r="CI82" i="24"/>
  <c r="BR82" i="24"/>
  <c r="BS54" i="24"/>
  <c r="BX27" i="24"/>
  <c r="BH27" i="24"/>
  <c r="AC19" i="24"/>
  <c r="BH19" i="24"/>
  <c r="BT19" i="24"/>
  <c r="CL19" i="24"/>
  <c r="BN19" i="24"/>
  <c r="CI19" i="24"/>
  <c r="EW19" i="24"/>
  <c r="BU16" i="24"/>
  <c r="BM278" i="49"/>
  <c r="BU252" i="49"/>
  <c r="BE252" i="49"/>
  <c r="AC233" i="49"/>
  <c r="BK233" i="49"/>
  <c r="BO233" i="49"/>
  <c r="BL233" i="49"/>
  <c r="BP233" i="49"/>
  <c r="BR225" i="49"/>
  <c r="BE215" i="49"/>
  <c r="BU214" i="49"/>
  <c r="BM201" i="49"/>
  <c r="BU192" i="49"/>
  <c r="BR185" i="49"/>
  <c r="BK185" i="49"/>
  <c r="BB185" i="49"/>
  <c r="BL185" i="49"/>
  <c r="AC184" i="49"/>
  <c r="BF184" i="49"/>
  <c r="BK184" i="49"/>
  <c r="BO184" i="49"/>
  <c r="BL184" i="49"/>
  <c r="BP184" i="49"/>
  <c r="AC177" i="49"/>
  <c r="BF177" i="49"/>
  <c r="BR177" i="49"/>
  <c r="BK177" i="49"/>
  <c r="BO177" i="49"/>
  <c r="BS177" i="49"/>
  <c r="BB177" i="49"/>
  <c r="BL177" i="49"/>
  <c r="BP177" i="49"/>
  <c r="BR172" i="49"/>
  <c r="BU145" i="49"/>
  <c r="AC139" i="49"/>
  <c r="BF139" i="49"/>
  <c r="BO139" i="49"/>
  <c r="BS139" i="49"/>
  <c r="BP139" i="49"/>
  <c r="BT139" i="49"/>
  <c r="BR133" i="49"/>
  <c r="BK133" i="49"/>
  <c r="BF127" i="49"/>
  <c r="BO127" i="49"/>
  <c r="BS127" i="49"/>
  <c r="BE120" i="49"/>
  <c r="AC113" i="49"/>
  <c r="BF113" i="49"/>
  <c r="BR113" i="49"/>
  <c r="BK113" i="49"/>
  <c r="BO113" i="49"/>
  <c r="BS113" i="49"/>
  <c r="BB113" i="49"/>
  <c r="BL113" i="49"/>
  <c r="BP113" i="49"/>
  <c r="BT113" i="49"/>
  <c r="BU86" i="49"/>
  <c r="BE86" i="49"/>
  <c r="BM81" i="49"/>
  <c r="BM75" i="49"/>
  <c r="BU68" i="49"/>
  <c r="BE68" i="49"/>
  <c r="BM59" i="49"/>
  <c r="BE45" i="49"/>
  <c r="BE34" i="49"/>
  <c r="BM17" i="49"/>
  <c r="BB8" i="49"/>
  <c r="BK7" i="49"/>
  <c r="BB7" i="49"/>
  <c r="BX228" i="24"/>
  <c r="BH212" i="24"/>
  <c r="BL212" i="24"/>
  <c r="BP212" i="24"/>
  <c r="BX212" i="24"/>
  <c r="BI212" i="24"/>
  <c r="BU212" i="24"/>
  <c r="BR209" i="24"/>
  <c r="BT205" i="24"/>
  <c r="BI200" i="24"/>
  <c r="CI200" i="24"/>
  <c r="BU198" i="24"/>
  <c r="BN198" i="24"/>
  <c r="BR198" i="24"/>
  <c r="EW198" i="24"/>
  <c r="EW192" i="24"/>
  <c r="BI166" i="24"/>
  <c r="BX163" i="24"/>
  <c r="CK163" i="24"/>
  <c r="AC141" i="24"/>
  <c r="BH141" i="24"/>
  <c r="BL141" i="24"/>
  <c r="BP141" i="24"/>
  <c r="BT141" i="24"/>
  <c r="CK141" i="24"/>
  <c r="BI141" i="24"/>
  <c r="BU141" i="24"/>
  <c r="CL141" i="24"/>
  <c r="BN102" i="24"/>
  <c r="BP98" i="24"/>
  <c r="BI98" i="24"/>
  <c r="AC87" i="24"/>
  <c r="BH87" i="24"/>
  <c r="BT87" i="24"/>
  <c r="CL87" i="24"/>
  <c r="AC82" i="24"/>
  <c r="BI82" i="24"/>
  <c r="BU82" i="24"/>
  <c r="BR70" i="24"/>
  <c r="AC54" i="24"/>
  <c r="BH54" i="24"/>
  <c r="BT54" i="24"/>
  <c r="BX54" i="24"/>
  <c r="BU54" i="24"/>
  <c r="CL54" i="24"/>
  <c r="BV54" i="24"/>
  <c r="CI54" i="24"/>
  <c r="BL41" i="24"/>
  <c r="BT41" i="24"/>
  <c r="CL41" i="24"/>
  <c r="BR41" i="24"/>
  <c r="BH31" i="24"/>
  <c r="BI27" i="24"/>
  <c r="BR27" i="24"/>
  <c r="BV27" i="24"/>
  <c r="BS27" i="24"/>
  <c r="EW27" i="24"/>
  <c r="BS303" i="49"/>
  <c r="BB303" i="49"/>
  <c r="BR294" i="49"/>
  <c r="BS294" i="49"/>
  <c r="AC282" i="49"/>
  <c r="BO282" i="49"/>
  <c r="BP282" i="49"/>
  <c r="AC252" i="49"/>
  <c r="BF252" i="49"/>
  <c r="BR252" i="49"/>
  <c r="BK252" i="49"/>
  <c r="BO252" i="49"/>
  <c r="BS252" i="49"/>
  <c r="BB252" i="49"/>
  <c r="BL252" i="49"/>
  <c r="BP252" i="49"/>
  <c r="BR215" i="49"/>
  <c r="BK215" i="49"/>
  <c r="BB215" i="49"/>
  <c r="BL215" i="49"/>
  <c r="BK214" i="49"/>
  <c r="BO214" i="49"/>
  <c r="BR213" i="49"/>
  <c r="AC192" i="49"/>
  <c r="BF192" i="49"/>
  <c r="BR192" i="49"/>
  <c r="BK192" i="49"/>
  <c r="BB192" i="49"/>
  <c r="BL192" i="49"/>
  <c r="AC166" i="49"/>
  <c r="AC153" i="49"/>
  <c r="BK153" i="49"/>
  <c r="BB153" i="49"/>
  <c r="BL153" i="49"/>
  <c r="BK145" i="49"/>
  <c r="BR121" i="49"/>
  <c r="BL121" i="49"/>
  <c r="AC120" i="49"/>
  <c r="BF120" i="49"/>
  <c r="BR120" i="49"/>
  <c r="BK120" i="49"/>
  <c r="BB120" i="49"/>
  <c r="BL120" i="49"/>
  <c r="BF119" i="49"/>
  <c r="BR119" i="49"/>
  <c r="BS119" i="49"/>
  <c r="BB119" i="49"/>
  <c r="BT119" i="49"/>
  <c r="AC94" i="49"/>
  <c r="BM94" i="49"/>
  <c r="BF94" i="49"/>
  <c r="BR94" i="49"/>
  <c r="BK94" i="49"/>
  <c r="AC86" i="49"/>
  <c r="BF86" i="49"/>
  <c r="BR86" i="49"/>
  <c r="BK86" i="49"/>
  <c r="BO86" i="49"/>
  <c r="BS86" i="49"/>
  <c r="BB86" i="49"/>
  <c r="BL86" i="49"/>
  <c r="BP86" i="49"/>
  <c r="AC68" i="49"/>
  <c r="BF68" i="49"/>
  <c r="BR68" i="49"/>
  <c r="BK68" i="49"/>
  <c r="BO68" i="49"/>
  <c r="BS68" i="49"/>
  <c r="BB68" i="49"/>
  <c r="BL68" i="49"/>
  <c r="BP68" i="49"/>
  <c r="AC45" i="49"/>
  <c r="BF45" i="49"/>
  <c r="BR45" i="49"/>
  <c r="BK45" i="49"/>
  <c r="BO45" i="49"/>
  <c r="BS45" i="49"/>
  <c r="BB45" i="49"/>
  <c r="BL45" i="49"/>
  <c r="BP45" i="49"/>
  <c r="BT45" i="49"/>
  <c r="CL247" i="24"/>
  <c r="CL302" i="24"/>
  <c r="BP300" i="24"/>
  <c r="AC286" i="24"/>
  <c r="CL281" i="24"/>
  <c r="AJ272" i="24"/>
  <c r="EW252" i="24"/>
  <c r="BN247" i="24"/>
  <c r="AJ247" i="24"/>
  <c r="AF247" i="24"/>
  <c r="BJ247" i="24"/>
  <c r="BI222" i="24"/>
  <c r="BV212" i="24"/>
  <c r="BN212" i="24"/>
  <c r="BT208" i="24"/>
  <c r="AC208" i="24"/>
  <c r="CK200" i="24"/>
  <c r="BL200" i="24"/>
  <c r="BT198" i="24"/>
  <c r="BL198" i="24"/>
  <c r="BH186" i="24"/>
  <c r="BN171" i="24"/>
  <c r="EW141" i="24"/>
  <c r="BV141" i="24"/>
  <c r="BN141" i="24"/>
  <c r="BR137" i="24"/>
  <c r="CL131" i="24"/>
  <c r="CK130" i="24"/>
  <c r="BH117" i="24"/>
  <c r="BP117" i="24"/>
  <c r="BT117" i="24"/>
  <c r="CK117" i="24"/>
  <c r="BI117" i="24"/>
  <c r="BU117" i="24"/>
  <c r="CL117" i="24"/>
  <c r="BL102" i="24"/>
  <c r="BR101" i="24"/>
  <c r="BI99" i="24"/>
  <c r="BV98" i="24"/>
  <c r="BN96" i="24"/>
  <c r="BI91" i="24"/>
  <c r="BV89" i="24"/>
  <c r="BN82" i="24"/>
  <c r="AJ57" i="24"/>
  <c r="AC28" i="24"/>
  <c r="BN28" i="24"/>
  <c r="BO28" i="24"/>
  <c r="EX27" i="24"/>
  <c r="BP14" i="24"/>
  <c r="BI12" i="24"/>
  <c r="BU12" i="24"/>
  <c r="BN12" i="24"/>
  <c r="BR12" i="24"/>
  <c r="BV12" i="24"/>
  <c r="AJ12" i="24"/>
  <c r="BM12" i="24"/>
  <c r="BE12" i="24"/>
  <c r="BO12" i="24"/>
  <c r="EW12" i="24"/>
  <c r="BE317" i="49"/>
  <c r="AJ317" i="49"/>
  <c r="BE309" i="49"/>
  <c r="BU307" i="49"/>
  <c r="BE307" i="49"/>
  <c r="BM294" i="49"/>
  <c r="AJ287" i="49"/>
  <c r="AJ278" i="49"/>
  <c r="AF278" i="49"/>
  <c r="BG278" i="49"/>
  <c r="BM252" i="49"/>
  <c r="BR239" i="49"/>
  <c r="BO239" i="49"/>
  <c r="BP239" i="49"/>
  <c r="BF238" i="49"/>
  <c r="BL238" i="49"/>
  <c r="BB229" i="49"/>
  <c r="BL229" i="49"/>
  <c r="BU221" i="49"/>
  <c r="BE221" i="49"/>
  <c r="AJ221" i="49"/>
  <c r="BM215" i="49"/>
  <c r="BE209" i="49"/>
  <c r="AJ209" i="49"/>
  <c r="AF209" i="49"/>
  <c r="BE201" i="49"/>
  <c r="AJ201" i="49"/>
  <c r="BM192" i="49"/>
  <c r="BI177" i="49"/>
  <c r="BB173" i="49"/>
  <c r="BL173" i="49"/>
  <c r="BU170" i="49"/>
  <c r="BE162" i="49"/>
  <c r="AJ162" i="49"/>
  <c r="AC161" i="49"/>
  <c r="AJ161" i="49"/>
  <c r="AF161" i="49"/>
  <c r="BE161" i="49"/>
  <c r="BM161" i="49"/>
  <c r="BQ161" i="49"/>
  <c r="BF161" i="49"/>
  <c r="BR161" i="49"/>
  <c r="AQ161" i="49"/>
  <c r="AG161" i="49"/>
  <c r="BH161" i="49"/>
  <c r="BK161" i="49"/>
  <c r="BO161" i="49"/>
  <c r="BS161" i="49"/>
  <c r="BO160" i="49"/>
  <c r="BS160" i="49"/>
  <c r="BU149" i="49"/>
  <c r="BI139" i="49"/>
  <c r="AQ139" i="49"/>
  <c r="AG139" i="49"/>
  <c r="BH139" i="49"/>
  <c r="BU130" i="49"/>
  <c r="BI127" i="49"/>
  <c r="BM120" i="49"/>
  <c r="BM119" i="49"/>
  <c r="BI113" i="49"/>
  <c r="BR101" i="49"/>
  <c r="BB101" i="49"/>
  <c r="BF100" i="49"/>
  <c r="BS100" i="49"/>
  <c r="BF95" i="49"/>
  <c r="BR95" i="49"/>
  <c r="BS95" i="49"/>
  <c r="BB95" i="49"/>
  <c r="BT95" i="49"/>
  <c r="BE90" i="49"/>
  <c r="BM86" i="49"/>
  <c r="BU81" i="49"/>
  <c r="BE81" i="49"/>
  <c r="AJ81" i="49"/>
  <c r="AF81" i="49"/>
  <c r="BG81" i="49"/>
  <c r="BU76" i="49"/>
  <c r="BE76" i="49"/>
  <c r="BU75" i="49"/>
  <c r="BE75" i="49"/>
  <c r="AJ75" i="49"/>
  <c r="BM68" i="49"/>
  <c r="AC61" i="49"/>
  <c r="BP61" i="49"/>
  <c r="BE59" i="49"/>
  <c r="AJ59" i="49"/>
  <c r="BJ59" i="49"/>
  <c r="BM45" i="49"/>
  <c r="S28" i="49"/>
  <c r="BP16" i="49"/>
  <c r="BU224" i="24"/>
  <c r="BL210" i="24"/>
  <c r="CK199" i="24"/>
  <c r="BT199" i="24"/>
  <c r="BP199" i="24"/>
  <c r="BL199" i="24"/>
  <c r="BH199" i="24"/>
  <c r="CK197" i="24"/>
  <c r="BT197" i="24"/>
  <c r="BP197" i="24"/>
  <c r="BL197" i="24"/>
  <c r="BH197" i="24"/>
  <c r="BP195" i="24"/>
  <c r="BP184" i="24"/>
  <c r="BP178" i="24"/>
  <c r="BH178" i="24"/>
  <c r="CK170" i="24"/>
  <c r="BL170" i="24"/>
  <c r="BP168" i="24"/>
  <c r="BP161" i="24"/>
  <c r="BS158" i="24"/>
  <c r="BO158" i="24"/>
  <c r="BH153" i="24"/>
  <c r="BT151" i="24"/>
  <c r="BP151" i="24"/>
  <c r="EW133" i="24"/>
  <c r="BV133" i="24"/>
  <c r="BX129" i="24"/>
  <c r="BT129" i="24"/>
  <c r="BH129" i="24"/>
  <c r="BL124" i="24"/>
  <c r="BX119" i="24"/>
  <c r="BL119" i="24"/>
  <c r="BP116" i="24"/>
  <c r="BL112" i="24"/>
  <c r="BP109" i="24"/>
  <c r="BO95" i="24"/>
  <c r="BX84" i="24"/>
  <c r="BT84" i="24"/>
  <c r="BP84" i="24"/>
  <c r="BL84" i="24"/>
  <c r="BH84" i="24"/>
  <c r="EX78" i="24"/>
  <c r="BH78" i="24"/>
  <c r="BX75" i="24"/>
  <c r="BT75" i="24"/>
  <c r="BH75" i="24"/>
  <c r="BN74" i="24"/>
  <c r="BV73" i="24"/>
  <c r="BR73" i="24"/>
  <c r="BX71" i="24"/>
  <c r="BT71" i="24"/>
  <c r="BH71" i="24"/>
  <c r="BI68" i="24"/>
  <c r="EW67" i="24"/>
  <c r="CI67" i="24"/>
  <c r="BV67" i="24"/>
  <c r="BR67" i="24"/>
  <c r="BN67" i="24"/>
  <c r="CI64" i="24"/>
  <c r="BV64" i="24"/>
  <c r="BR64" i="24"/>
  <c r="BO61" i="24"/>
  <c r="CI60" i="24"/>
  <c r="CK59" i="24"/>
  <c r="BP59" i="24"/>
  <c r="BL59" i="24"/>
  <c r="BS56" i="24"/>
  <c r="BO56" i="24"/>
  <c r="BW55" i="24"/>
  <c r="BO55" i="24"/>
  <c r="EW51" i="24"/>
  <c r="BV51" i="24"/>
  <c r="BN51" i="24"/>
  <c r="BP49" i="24"/>
  <c r="CI47" i="24"/>
  <c r="CI45" i="24"/>
  <c r="BV45" i="24"/>
  <c r="BX43" i="24"/>
  <c r="BT43" i="24"/>
  <c r="BP43" i="24"/>
  <c r="BL43" i="24"/>
  <c r="BH43" i="24"/>
  <c r="BR42" i="24"/>
  <c r="BI36" i="24"/>
  <c r="BU34" i="24"/>
  <c r="CK30" i="24"/>
  <c r="BL30" i="24"/>
  <c r="BH30" i="24"/>
  <c r="EW29" i="24"/>
  <c r="BW29" i="24"/>
  <c r="BS29" i="24"/>
  <c r="BO29" i="24"/>
  <c r="BE29" i="24"/>
  <c r="BE25" i="24"/>
  <c r="CI24" i="24"/>
  <c r="BV24" i="24"/>
  <c r="BR24" i="24"/>
  <c r="BN24" i="24"/>
  <c r="CK22" i="24"/>
  <c r="BL22" i="24"/>
  <c r="BH22" i="24"/>
  <c r="BV17" i="24"/>
  <c r="EX11" i="24"/>
  <c r="BL11" i="24"/>
  <c r="EW9" i="24"/>
  <c r="BX7" i="24"/>
  <c r="BR315" i="49"/>
  <c r="BL313" i="49"/>
  <c r="BT312" i="49"/>
  <c r="BB312" i="49"/>
  <c r="BT310" i="49"/>
  <c r="BB310" i="49"/>
  <c r="BF306" i="49"/>
  <c r="BP304" i="49"/>
  <c r="BL304" i="49"/>
  <c r="BB304" i="49"/>
  <c r="BR301" i="49"/>
  <c r="BL299" i="49"/>
  <c r="BB299" i="49"/>
  <c r="BP295" i="49"/>
  <c r="BF293" i="49"/>
  <c r="BR286" i="49"/>
  <c r="BF286" i="49"/>
  <c r="BT283" i="49"/>
  <c r="BP277" i="49"/>
  <c r="BL277" i="49"/>
  <c r="BB277" i="49"/>
  <c r="BR274" i="49"/>
  <c r="BR271" i="49"/>
  <c r="BF271" i="49"/>
  <c r="BT269" i="49"/>
  <c r="BP269" i="49"/>
  <c r="BL269" i="49"/>
  <c r="BB269" i="49"/>
  <c r="BR267" i="49"/>
  <c r="BF267" i="49"/>
  <c r="BB264" i="49"/>
  <c r="BT262" i="49"/>
  <c r="BP262" i="49"/>
  <c r="BL262" i="49"/>
  <c r="BB262" i="49"/>
  <c r="BS261" i="49"/>
  <c r="BO261" i="49"/>
  <c r="BS260" i="49"/>
  <c r="BL257" i="49"/>
  <c r="BO256" i="49"/>
  <c r="BK256" i="49"/>
  <c r="BK255" i="49"/>
  <c r="BB249" i="49"/>
  <c r="BQ246" i="49"/>
  <c r="BM246" i="49"/>
  <c r="BI246" i="49"/>
  <c r="BE246" i="49"/>
  <c r="AJ246" i="49"/>
  <c r="BS242" i="49"/>
  <c r="BO242" i="49"/>
  <c r="BK242" i="49"/>
  <c r="BR237" i="49"/>
  <c r="BT234" i="49"/>
  <c r="BR232" i="49"/>
  <c r="BF232" i="49"/>
  <c r="BL230" i="49"/>
  <c r="BR228" i="49"/>
  <c r="BF228" i="49"/>
  <c r="BL223" i="49"/>
  <c r="BB223" i="49"/>
  <c r="BK222" i="49"/>
  <c r="BP217" i="49"/>
  <c r="BP210" i="49"/>
  <c r="BL210" i="49"/>
  <c r="BR208" i="49"/>
  <c r="BF208" i="49"/>
  <c r="BL206" i="49"/>
  <c r="BB206" i="49"/>
  <c r="BT202" i="49"/>
  <c r="BP202" i="49"/>
  <c r="BR200" i="49"/>
  <c r="BF200" i="49"/>
  <c r="BB197" i="49"/>
  <c r="BR195" i="49"/>
  <c r="BL193" i="49"/>
  <c r="BB193" i="49"/>
  <c r="BB189" i="49"/>
  <c r="BT187" i="49"/>
  <c r="BB187" i="49"/>
  <c r="BR182" i="49"/>
  <c r="BR181" i="49"/>
  <c r="BF181" i="49"/>
  <c r="BT179" i="49"/>
  <c r="BP179" i="49"/>
  <c r="BL179" i="49"/>
  <c r="BB179" i="49"/>
  <c r="BT178" i="49"/>
  <c r="BB178" i="49"/>
  <c r="BT171" i="49"/>
  <c r="BP167" i="49"/>
  <c r="BR165" i="49"/>
  <c r="BF165" i="49"/>
  <c r="BP163" i="49"/>
  <c r="BL163" i="49"/>
  <c r="BB163" i="49"/>
  <c r="BP154" i="49"/>
  <c r="BL154" i="49"/>
  <c r="BF152" i="49"/>
  <c r="BP150" i="49"/>
  <c r="BL150" i="49"/>
  <c r="BB150" i="49"/>
  <c r="BB146" i="49"/>
  <c r="BF144" i="49"/>
  <c r="BT142" i="49"/>
  <c r="BR137" i="49"/>
  <c r="BF137" i="49"/>
  <c r="BP134" i="49"/>
  <c r="BT131" i="49"/>
  <c r="BP131" i="49"/>
  <c r="BL131" i="49"/>
  <c r="BB131" i="49"/>
  <c r="BT129" i="49"/>
  <c r="BP129" i="49"/>
  <c r="BL129" i="49"/>
  <c r="BB129" i="49"/>
  <c r="BP122" i="49"/>
  <c r="BL122" i="49"/>
  <c r="BB122" i="49"/>
  <c r="BR118" i="49"/>
  <c r="BF118" i="49"/>
  <c r="BU116" i="49"/>
  <c r="BQ116" i="49"/>
  <c r="BM116" i="49"/>
  <c r="BE116" i="49"/>
  <c r="AJ116" i="49"/>
  <c r="BB114" i="49"/>
  <c r="BF112" i="49"/>
  <c r="BR111" i="49"/>
  <c r="BF111" i="49"/>
  <c r="BR110" i="49"/>
  <c r="BF110" i="49"/>
  <c r="BB107" i="49"/>
  <c r="BS106" i="49"/>
  <c r="BP105" i="49"/>
  <c r="BL105" i="49"/>
  <c r="BB105" i="49"/>
  <c r="BS104" i="49"/>
  <c r="BS103" i="49"/>
  <c r="BO103" i="49"/>
  <c r="BS102" i="49"/>
  <c r="BR99" i="49"/>
  <c r="BF99" i="49"/>
  <c r="BP96" i="49"/>
  <c r="BL96" i="49"/>
  <c r="BR93" i="49"/>
  <c r="BF93" i="49"/>
  <c r="BP91" i="49"/>
  <c r="BL91" i="49"/>
  <c r="BB91" i="49"/>
  <c r="BR89" i="49"/>
  <c r="BF89" i="49"/>
  <c r="BL87" i="49"/>
  <c r="BB87" i="49"/>
  <c r="BP82" i="49"/>
  <c r="BL82" i="49"/>
  <c r="BB82" i="49"/>
  <c r="BR80" i="49"/>
  <c r="BF80" i="49"/>
  <c r="BB78" i="49"/>
  <c r="BB77" i="49"/>
  <c r="BR72" i="49"/>
  <c r="BF72" i="49"/>
  <c r="BT63" i="49"/>
  <c r="BL62" i="49"/>
  <c r="BO60" i="49"/>
  <c r="BK60" i="49"/>
  <c r="BR58" i="49"/>
  <c r="BR57" i="49"/>
  <c r="BF57" i="49"/>
  <c r="BP51" i="49"/>
  <c r="BB50" i="49"/>
  <c r="BT48" i="49"/>
  <c r="BP48" i="49"/>
  <c r="BL48" i="49"/>
  <c r="BB48" i="49"/>
  <c r="BT47" i="49"/>
  <c r="BB47" i="49"/>
  <c r="BL41" i="49"/>
  <c r="BB41" i="49"/>
  <c r="BR39" i="49"/>
  <c r="BF39" i="49"/>
  <c r="BB37" i="49"/>
  <c r="BT35" i="49"/>
  <c r="BB35" i="49"/>
  <c r="BP31" i="49"/>
  <c r="BF29" i="49"/>
  <c r="BR27" i="49"/>
  <c r="BQ26" i="49"/>
  <c r="BR25" i="49"/>
  <c r="BF25" i="49"/>
  <c r="BP23" i="49"/>
  <c r="BL23" i="49"/>
  <c r="BB23" i="49"/>
  <c r="BB21" i="49"/>
  <c r="BS20" i="49"/>
  <c r="BO20" i="49"/>
  <c r="BK20" i="49"/>
  <c r="BL18" i="49"/>
  <c r="BB18" i="49"/>
  <c r="BT13" i="49"/>
  <c r="BS12" i="49"/>
  <c r="BO12" i="49"/>
  <c r="BK12" i="49"/>
  <c r="BV77" i="24"/>
  <c r="CL74" i="24"/>
  <c r="CL67" i="24"/>
  <c r="BU67" i="24"/>
  <c r="CL64" i="24"/>
  <c r="BU64" i="24"/>
  <c r="EW55" i="24"/>
  <c r="BR55" i="24"/>
  <c r="CL51" i="24"/>
  <c r="CL45" i="24"/>
  <c r="BU45" i="24"/>
  <c r="CL42" i="24"/>
  <c r="BV29" i="24"/>
  <c r="BR29" i="24"/>
  <c r="BN29" i="24"/>
  <c r="EX24" i="24"/>
  <c r="CL24" i="24"/>
  <c r="BU24" i="24"/>
  <c r="BU21" i="24"/>
  <c r="CL17" i="24"/>
  <c r="BU17" i="24"/>
  <c r="CL329" i="49"/>
  <c r="BO313" i="49"/>
  <c r="BS312" i="49"/>
  <c r="BS310" i="49"/>
  <c r="BO310" i="49"/>
  <c r="BS304" i="49"/>
  <c r="BO304" i="49"/>
  <c r="BK304" i="49"/>
  <c r="BK299" i="49"/>
  <c r="BS288" i="49"/>
  <c r="BS277" i="49"/>
  <c r="BO277" i="49"/>
  <c r="BK277" i="49"/>
  <c r="BS269" i="49"/>
  <c r="BO269" i="49"/>
  <c r="BK269" i="49"/>
  <c r="BS264" i="49"/>
  <c r="BS262" i="49"/>
  <c r="BO262" i="49"/>
  <c r="BK262" i="49"/>
  <c r="BK257" i="49"/>
  <c r="BR256" i="49"/>
  <c r="BK240" i="49"/>
  <c r="BK234" i="49"/>
  <c r="BS230" i="49"/>
  <c r="BO223" i="49"/>
  <c r="BK223" i="49"/>
  <c r="BK217" i="49"/>
  <c r="BS210" i="49"/>
  <c r="BS206" i="49"/>
  <c r="BO206" i="49"/>
  <c r="BO202" i="49"/>
  <c r="BK202" i="49"/>
  <c r="BS197" i="49"/>
  <c r="BO197" i="49"/>
  <c r="BK197" i="49"/>
  <c r="BS193" i="49"/>
  <c r="BO193" i="49"/>
  <c r="BK193" i="49"/>
  <c r="BS189" i="49"/>
  <c r="BO189" i="49"/>
  <c r="BO187" i="49"/>
  <c r="BK187" i="49"/>
  <c r="BS179" i="49"/>
  <c r="BO179" i="49"/>
  <c r="BK179" i="49"/>
  <c r="BS178" i="49"/>
  <c r="BK174" i="49"/>
  <c r="BS167" i="49"/>
  <c r="BS163" i="49"/>
  <c r="BO163" i="49"/>
  <c r="BK163" i="49"/>
  <c r="BS150" i="49"/>
  <c r="BO150" i="49"/>
  <c r="BK150" i="49"/>
  <c r="BO146" i="49"/>
  <c r="BK146" i="49"/>
  <c r="BS142" i="49"/>
  <c r="BO142" i="49"/>
  <c r="BO134" i="49"/>
  <c r="BK134" i="49"/>
  <c r="BS131" i="49"/>
  <c r="BO131" i="49"/>
  <c r="BK131" i="49"/>
  <c r="BS129" i="49"/>
  <c r="BO129" i="49"/>
  <c r="BK129" i="49"/>
  <c r="BS122" i="49"/>
  <c r="BO122" i="49"/>
  <c r="BK122" i="49"/>
  <c r="BK114" i="49"/>
  <c r="BO107" i="49"/>
  <c r="BK107" i="49"/>
  <c r="BR106" i="49"/>
  <c r="BS105" i="49"/>
  <c r="BO105" i="49"/>
  <c r="BK105" i="49"/>
  <c r="BS96" i="49"/>
  <c r="BO96" i="49"/>
  <c r="BS91" i="49"/>
  <c r="BO91" i="49"/>
  <c r="BK91" i="49"/>
  <c r="BK87" i="49"/>
  <c r="BS82" i="49"/>
  <c r="BO82" i="49"/>
  <c r="BK82" i="49"/>
  <c r="BS78" i="49"/>
  <c r="BS77" i="49"/>
  <c r="BK63" i="49"/>
  <c r="BS62" i="49"/>
  <c r="BS51" i="49"/>
  <c r="BO51" i="49"/>
  <c r="BK50" i="49"/>
  <c r="BS48" i="49"/>
  <c r="BO48" i="49"/>
  <c r="BK48" i="49"/>
  <c r="BO47" i="49"/>
  <c r="BK47" i="49"/>
  <c r="BO41" i="49"/>
  <c r="BK41" i="49"/>
  <c r="BS37" i="49"/>
  <c r="BK35" i="49"/>
  <c r="BS23" i="49"/>
  <c r="BO23" i="49"/>
  <c r="BK23" i="49"/>
  <c r="BS21" i="49"/>
  <c r="BK21" i="49"/>
  <c r="BO18" i="49"/>
  <c r="BK18" i="49"/>
  <c r="BS13" i="49"/>
  <c r="BK13" i="49"/>
  <c r="BN184" i="49"/>
  <c r="BJ209" i="49"/>
  <c r="AF116" i="49"/>
  <c r="BG116" i="49"/>
  <c r="BJ116" i="49"/>
  <c r="BN139" i="49"/>
  <c r="BJ81" i="49"/>
  <c r="AF246" i="49"/>
  <c r="BG246" i="49"/>
  <c r="BJ246" i="49"/>
  <c r="BM247" i="24"/>
  <c r="BN133" i="49"/>
  <c r="AG119" i="49"/>
  <c r="BN119" i="49"/>
  <c r="AJ314" i="24"/>
  <c r="AF314" i="24"/>
  <c r="BW314" i="24"/>
  <c r="BH314" i="24"/>
  <c r="BR314" i="24"/>
  <c r="BV314" i="24"/>
  <c r="AC314" i="24"/>
  <c r="BO314" i="24"/>
  <c r="BT314" i="24"/>
  <c r="CI314" i="24"/>
  <c r="EW314" i="24"/>
  <c r="BE314" i="24"/>
  <c r="BL314" i="24"/>
  <c r="BP314" i="24"/>
  <c r="BU314" i="24"/>
  <c r="EX314" i="24"/>
  <c r="BW289" i="24"/>
  <c r="BI284" i="24"/>
  <c r="BP284" i="24"/>
  <c r="BT284" i="24"/>
  <c r="BE284" i="24"/>
  <c r="AC284" i="24"/>
  <c r="BH284" i="24"/>
  <c r="BW278" i="24"/>
  <c r="BN278" i="24"/>
  <c r="AC278" i="24"/>
  <c r="BS278" i="24"/>
  <c r="BE278" i="24"/>
  <c r="BO278" i="24"/>
  <c r="BL278" i="24"/>
  <c r="BV278" i="24"/>
  <c r="BP278" i="24"/>
  <c r="EX278" i="24"/>
  <c r="BH278" i="24"/>
  <c r="BT278" i="24"/>
  <c r="BT273" i="24"/>
  <c r="BN268" i="24"/>
  <c r="BU246" i="24"/>
  <c r="BV241" i="24"/>
  <c r="BL182" i="24"/>
  <c r="BI182" i="24"/>
  <c r="BV182" i="24"/>
  <c r="BE182" i="24"/>
  <c r="BX182" i="24"/>
  <c r="BN182" i="24"/>
  <c r="BH182" i="24"/>
  <c r="BS179" i="24"/>
  <c r="BT179" i="24"/>
  <c r="BO179" i="24"/>
  <c r="EW179" i="24"/>
  <c r="BI179" i="24"/>
  <c r="BE179" i="24"/>
  <c r="CI179" i="24"/>
  <c r="BE174" i="24"/>
  <c r="BV174" i="24"/>
  <c r="EW174" i="24"/>
  <c r="BI174" i="24"/>
  <c r="BT174" i="24"/>
  <c r="BL174" i="24"/>
  <c r="BU174" i="24"/>
  <c r="BE172" i="24"/>
  <c r="AQ172" i="24"/>
  <c r="BP152" i="24"/>
  <c r="BE152" i="24"/>
  <c r="AJ152" i="24"/>
  <c r="AF152" i="24"/>
  <c r="AC152" i="24"/>
  <c r="BR152" i="24"/>
  <c r="BL152" i="24"/>
  <c r="CI149" i="24"/>
  <c r="BX149" i="24"/>
  <c r="AJ149" i="24"/>
  <c r="BM149" i="24"/>
  <c r="BO149" i="24"/>
  <c r="BU149" i="24"/>
  <c r="CL149" i="24"/>
  <c r="BW147" i="24"/>
  <c r="BV146" i="24"/>
  <c r="EP321" i="24"/>
  <c r="CL314" i="24"/>
  <c r="BS314" i="24"/>
  <c r="BH313" i="24"/>
  <c r="BP313" i="24"/>
  <c r="AJ313" i="24"/>
  <c r="BX313" i="24"/>
  <c r="EW313" i="24"/>
  <c r="BE313" i="24"/>
  <c r="EX313" i="24"/>
  <c r="AJ312" i="24"/>
  <c r="BV312" i="24"/>
  <c r="CL312" i="24"/>
  <c r="AC312" i="24"/>
  <c r="EX312" i="24"/>
  <c r="BX302" i="24"/>
  <c r="BN302" i="24"/>
  <c r="BU302" i="24"/>
  <c r="EW302" i="24"/>
  <c r="EW287" i="24"/>
  <c r="CK287" i="24"/>
  <c r="BN280" i="24"/>
  <c r="BL273" i="24"/>
  <c r="BH261" i="24"/>
  <c r="CL241" i="24"/>
  <c r="AQ241" i="24"/>
  <c r="BQ241" i="24"/>
  <c r="EX227" i="24"/>
  <c r="BU227" i="24"/>
  <c r="BI204" i="24"/>
  <c r="BO204" i="24"/>
  <c r="BT204" i="24"/>
  <c r="CI204" i="24"/>
  <c r="EW204" i="24"/>
  <c r="AC204" i="24"/>
  <c r="BE204" i="24"/>
  <c r="BR204" i="24"/>
  <c r="BV204" i="24"/>
  <c r="CK204" i="24"/>
  <c r="AQ204" i="24"/>
  <c r="AG204" i="24"/>
  <c r="BK204" i="24"/>
  <c r="BW204" i="24"/>
  <c r="BH204" i="24"/>
  <c r="BN204" i="24"/>
  <c r="BS204" i="24"/>
  <c r="BX204" i="24"/>
  <c r="CL204" i="24"/>
  <c r="BE201" i="24"/>
  <c r="BN201" i="24"/>
  <c r="BS201" i="24"/>
  <c r="EW201" i="24"/>
  <c r="BI201" i="24"/>
  <c r="AC201" i="24"/>
  <c r="AJ201" i="24"/>
  <c r="BP201" i="24"/>
  <c r="BV201" i="24"/>
  <c r="BL201" i="24"/>
  <c r="BR201" i="24"/>
  <c r="BX201" i="24"/>
  <c r="BO200" i="24"/>
  <c r="AJ200" i="24"/>
  <c r="BM200" i="24"/>
  <c r="BP200" i="24"/>
  <c r="BN200" i="24"/>
  <c r="EW200" i="24"/>
  <c r="AQ200" i="24"/>
  <c r="AC200" i="24"/>
  <c r="CL200" i="24"/>
  <c r="BV200" i="24"/>
  <c r="BT200" i="24"/>
  <c r="BE200" i="24"/>
  <c r="EX200" i="24"/>
  <c r="BV191" i="24"/>
  <c r="BO191" i="24"/>
  <c r="BT191" i="24"/>
  <c r="BR191" i="24"/>
  <c r="AG187" i="24"/>
  <c r="BE185" i="24"/>
  <c r="EX185" i="24"/>
  <c r="BU185" i="24"/>
  <c r="AJ185" i="24"/>
  <c r="AF185" i="24"/>
  <c r="BI185" i="24"/>
  <c r="BN185" i="24"/>
  <c r="BE180" i="24"/>
  <c r="BR180" i="24"/>
  <c r="BV180" i="24"/>
  <c r="CK180" i="24"/>
  <c r="AC180" i="24"/>
  <c r="BI180" i="24"/>
  <c r="BO180" i="24"/>
  <c r="BT180" i="24"/>
  <c r="CI180" i="24"/>
  <c r="EW180" i="24"/>
  <c r="BL180" i="24"/>
  <c r="BP180" i="24"/>
  <c r="BU180" i="24"/>
  <c r="EX180" i="24"/>
  <c r="BV179" i="24"/>
  <c r="AJ178" i="24"/>
  <c r="AF178" i="24"/>
  <c r="BJ178" i="24"/>
  <c r="BE178" i="24"/>
  <c r="BO178" i="24"/>
  <c r="BV178" i="24"/>
  <c r="CL178" i="24"/>
  <c r="BT178" i="24"/>
  <c r="AC178" i="24"/>
  <c r="BS178" i="24"/>
  <c r="EX178" i="24"/>
  <c r="BL178" i="24"/>
  <c r="BN178" i="24"/>
  <c r="BU178" i="24"/>
  <c r="BH174" i="24"/>
  <c r="BW169" i="24"/>
  <c r="BN169" i="24"/>
  <c r="AC169" i="24"/>
  <c r="BS169" i="24"/>
  <c r="BV169" i="24"/>
  <c r="BT169" i="24"/>
  <c r="BN146" i="24"/>
  <c r="AF96" i="49"/>
  <c r="BJ96" i="49"/>
  <c r="BN314" i="24"/>
  <c r="BP311" i="24"/>
  <c r="BV311" i="24"/>
  <c r="BU311" i="24"/>
  <c r="AC311" i="24"/>
  <c r="BS311" i="24"/>
  <c r="CI311" i="24"/>
  <c r="BH311" i="24"/>
  <c r="BO311" i="24"/>
  <c r="CI306" i="24"/>
  <c r="AC306" i="24"/>
  <c r="BT306" i="24"/>
  <c r="BE306" i="24"/>
  <c r="AQ306" i="24"/>
  <c r="CL306" i="24"/>
  <c r="AJ306" i="24"/>
  <c r="AF306" i="24"/>
  <c r="BO306" i="24"/>
  <c r="BL306" i="24"/>
  <c r="EW306" i="24"/>
  <c r="BW306" i="24"/>
  <c r="BN306" i="24"/>
  <c r="BU306" i="24"/>
  <c r="AJ299" i="24"/>
  <c r="AF299" i="24"/>
  <c r="BJ299" i="24"/>
  <c r="BX299" i="24"/>
  <c r="CK299" i="24"/>
  <c r="BN299" i="24"/>
  <c r="BR299" i="24"/>
  <c r="BU299" i="24"/>
  <c r="BO299" i="24"/>
  <c r="AJ281" i="24"/>
  <c r="AF281" i="24"/>
  <c r="BJ281" i="24"/>
  <c r="BP281" i="24"/>
  <c r="BX281" i="24"/>
  <c r="EX281" i="24"/>
  <c r="BL281" i="24"/>
  <c r="BI281" i="24"/>
  <c r="BU281" i="24"/>
  <c r="BE281" i="24"/>
  <c r="BN281" i="24"/>
  <c r="BT281" i="24"/>
  <c r="BW281" i="24"/>
  <c r="AC281" i="24"/>
  <c r="BO281" i="24"/>
  <c r="BV281" i="24"/>
  <c r="EW281" i="24"/>
  <c r="BI278" i="24"/>
  <c r="BR276" i="24"/>
  <c r="CL276" i="24"/>
  <c r="AJ276" i="24"/>
  <c r="AF276" i="24"/>
  <c r="BJ276" i="24"/>
  <c r="BU276" i="24"/>
  <c r="AC276" i="24"/>
  <c r="BE276" i="24"/>
  <c r="EW273" i="24"/>
  <c r="AJ268" i="24"/>
  <c r="AF268" i="24"/>
  <c r="BW268" i="24"/>
  <c r="BH268" i="24"/>
  <c r="BR268" i="24"/>
  <c r="BV268" i="24"/>
  <c r="EX268" i="24"/>
  <c r="AC268" i="24"/>
  <c r="BO268" i="24"/>
  <c r="BT268" i="24"/>
  <c r="CI268" i="24"/>
  <c r="BE268" i="24"/>
  <c r="BL268" i="24"/>
  <c r="BP268" i="24"/>
  <c r="BU268" i="24"/>
  <c r="EW268" i="24"/>
  <c r="BX246" i="24"/>
  <c r="BP246" i="24"/>
  <c r="EW246" i="24"/>
  <c r="BH246" i="24"/>
  <c r="BR246" i="24"/>
  <c r="AQ246" i="24"/>
  <c r="AG246" i="24"/>
  <c r="BI246" i="24"/>
  <c r="BS246" i="24"/>
  <c r="BH242" i="24"/>
  <c r="BS242" i="24"/>
  <c r="CL242" i="24"/>
  <c r="BN242" i="24"/>
  <c r="EW242" i="24"/>
  <c r="EX242" i="24"/>
  <c r="AJ242" i="24"/>
  <c r="BM242" i="24"/>
  <c r="BX242" i="24"/>
  <c r="BV242" i="24"/>
  <c r="BO242" i="24"/>
  <c r="CK242" i="24"/>
  <c r="BE242" i="24"/>
  <c r="AQ242" i="24"/>
  <c r="AG242" i="24"/>
  <c r="BK242" i="24"/>
  <c r="BP242" i="24"/>
  <c r="AJ241" i="24"/>
  <c r="BM241" i="24"/>
  <c r="BI241" i="24"/>
  <c r="BU241" i="24"/>
  <c r="AC241" i="24"/>
  <c r="BT241" i="24"/>
  <c r="BE241" i="24"/>
  <c r="BO241" i="24"/>
  <c r="CI241" i="24"/>
  <c r="BR241" i="24"/>
  <c r="BL241" i="24"/>
  <c r="EX241" i="24"/>
  <c r="BS241" i="24"/>
  <c r="EW241" i="24"/>
  <c r="BE232" i="24"/>
  <c r="BU232" i="24"/>
  <c r="BH232" i="24"/>
  <c r="BT232" i="24"/>
  <c r="BR232" i="24"/>
  <c r="BS232" i="24"/>
  <c r="BI227" i="24"/>
  <c r="BO227" i="24"/>
  <c r="BT227" i="24"/>
  <c r="CI227" i="24"/>
  <c r="EW227" i="24"/>
  <c r="AC227" i="24"/>
  <c r="BE227" i="24"/>
  <c r="BR227" i="24"/>
  <c r="BV227" i="24"/>
  <c r="AQ227" i="24"/>
  <c r="BW227" i="24"/>
  <c r="BH227" i="24"/>
  <c r="BN227" i="24"/>
  <c r="BS227" i="24"/>
  <c r="BX227" i="24"/>
  <c r="BE223" i="24"/>
  <c r="BI223" i="24"/>
  <c r="CI223" i="24"/>
  <c r="BT223" i="24"/>
  <c r="BP223" i="24"/>
  <c r="AJ223" i="24"/>
  <c r="BS223" i="24"/>
  <c r="BU223" i="24"/>
  <c r="BR223" i="24"/>
  <c r="AQ223" i="24"/>
  <c r="AC223" i="24"/>
  <c r="BW223" i="24"/>
  <c r="BR172" i="24"/>
  <c r="BL172" i="24"/>
  <c r="AC172" i="24"/>
  <c r="BW172" i="24"/>
  <c r="BU172" i="24"/>
  <c r="CL172" i="24"/>
  <c r="EW172" i="24"/>
  <c r="AJ156" i="24"/>
  <c r="BS156" i="24"/>
  <c r="EW156" i="24"/>
  <c r="BR156" i="24"/>
  <c r="AC156" i="24"/>
  <c r="BE156" i="24"/>
  <c r="BO156" i="24"/>
  <c r="BH156" i="24"/>
  <c r="BP156" i="24"/>
  <c r="BN161" i="49"/>
  <c r="BH315" i="24"/>
  <c r="BP315" i="24"/>
  <c r="BX315" i="24"/>
  <c r="BR315" i="24"/>
  <c r="BN315" i="24"/>
  <c r="BT315" i="24"/>
  <c r="EX315" i="24"/>
  <c r="BE315" i="24"/>
  <c r="BI315" i="24"/>
  <c r="BU315" i="24"/>
  <c r="AJ315" i="24"/>
  <c r="AF315" i="24"/>
  <c r="BJ315" i="24"/>
  <c r="BO315" i="24"/>
  <c r="BV315" i="24"/>
  <c r="BI314" i="24"/>
  <c r="AQ314" i="24"/>
  <c r="BR313" i="24"/>
  <c r="EW311" i="24"/>
  <c r="BL311" i="24"/>
  <c r="BH299" i="24"/>
  <c r="BW297" i="24"/>
  <c r="BR297" i="24"/>
  <c r="EX297" i="24"/>
  <c r="BO297" i="24"/>
  <c r="CI297" i="24"/>
  <c r="BL297" i="24"/>
  <c r="BU297" i="24"/>
  <c r="BS292" i="24"/>
  <c r="BN292" i="24"/>
  <c r="BO292" i="24"/>
  <c r="BU292" i="24"/>
  <c r="BV292" i="24"/>
  <c r="AC292" i="24"/>
  <c r="BX292" i="24"/>
  <c r="BW280" i="24"/>
  <c r="BV280" i="24"/>
  <c r="AC280" i="24"/>
  <c r="CI280" i="24"/>
  <c r="EW280" i="24"/>
  <c r="BP280" i="24"/>
  <c r="BU280" i="24"/>
  <c r="BO275" i="24"/>
  <c r="BU275" i="24"/>
  <c r="BI275" i="24"/>
  <c r="BR275" i="24"/>
  <c r="BN275" i="24"/>
  <c r="BE273" i="24"/>
  <c r="BR273" i="24"/>
  <c r="BX273" i="24"/>
  <c r="BH273" i="24"/>
  <c r="BO273" i="24"/>
  <c r="BV273" i="24"/>
  <c r="EX273" i="24"/>
  <c r="BN273" i="24"/>
  <c r="BI273" i="24"/>
  <c r="BU273" i="24"/>
  <c r="BP273" i="24"/>
  <c r="BW273" i="24"/>
  <c r="AJ265" i="24"/>
  <c r="BM265" i="24"/>
  <c r="BW265" i="24"/>
  <c r="BH265" i="24"/>
  <c r="BR265" i="24"/>
  <c r="BV265" i="24"/>
  <c r="CK265" i="24"/>
  <c r="EX265" i="24"/>
  <c r="AC265" i="24"/>
  <c r="BO265" i="24"/>
  <c r="BT265" i="24"/>
  <c r="CI265" i="24"/>
  <c r="BE265" i="24"/>
  <c r="BL265" i="24"/>
  <c r="BP265" i="24"/>
  <c r="BU265" i="24"/>
  <c r="EW265" i="24"/>
  <c r="EX246" i="24"/>
  <c r="BU242" i="24"/>
  <c r="BL227" i="24"/>
  <c r="EX223" i="24"/>
  <c r="AQ211" i="24"/>
  <c r="BE211" i="24"/>
  <c r="BI211" i="24"/>
  <c r="BE190" i="24"/>
  <c r="BR190" i="24"/>
  <c r="BV190" i="24"/>
  <c r="AC190" i="24"/>
  <c r="BI190" i="24"/>
  <c r="BO190" i="24"/>
  <c r="BT190" i="24"/>
  <c r="CI190" i="24"/>
  <c r="EW190" i="24"/>
  <c r="AQ190" i="24"/>
  <c r="BQ190" i="24"/>
  <c r="BL190" i="24"/>
  <c r="BP190" i="24"/>
  <c r="BU190" i="24"/>
  <c r="CJ190" i="24"/>
  <c r="EX190" i="24"/>
  <c r="CI187" i="24"/>
  <c r="BX187" i="24"/>
  <c r="AC187" i="24"/>
  <c r="BO187" i="24"/>
  <c r="CL187" i="24"/>
  <c r="BV187" i="24"/>
  <c r="BV183" i="24"/>
  <c r="BO183" i="24"/>
  <c r="BL183" i="24"/>
  <c r="BS181" i="24"/>
  <c r="BT181" i="24"/>
  <c r="EX181" i="24"/>
  <c r="CK181" i="24"/>
  <c r="BE181" i="24"/>
  <c r="CI181" i="24"/>
  <c r="BI178" i="24"/>
  <c r="BU176" i="24"/>
  <c r="BI176" i="24"/>
  <c r="BS174" i="24"/>
  <c r="BN172" i="24"/>
  <c r="EX156" i="24"/>
  <c r="BX156" i="24"/>
  <c r="BS146" i="24"/>
  <c r="BH146" i="24"/>
  <c r="BX146" i="24"/>
  <c r="AJ146" i="24"/>
  <c r="BO146" i="24"/>
  <c r="BW146" i="24"/>
  <c r="EX146" i="24"/>
  <c r="BP146" i="24"/>
  <c r="BI146" i="24"/>
  <c r="CL146" i="24"/>
  <c r="BE146" i="24"/>
  <c r="BR146" i="24"/>
  <c r="CI146" i="24"/>
  <c r="P317" i="24"/>
  <c r="BS144" i="24"/>
  <c r="BN144" i="24"/>
  <c r="AQ144" i="24"/>
  <c r="BU142" i="24"/>
  <c r="BL142" i="24"/>
  <c r="BE128" i="24"/>
  <c r="BV126" i="24"/>
  <c r="BV124" i="24"/>
  <c r="EW119" i="24"/>
  <c r="BV119" i="24"/>
  <c r="BS115" i="24"/>
  <c r="AG115" i="24"/>
  <c r="EX114" i="24"/>
  <c r="BU114" i="24"/>
  <c r="BP114" i="24"/>
  <c r="BL114" i="24"/>
  <c r="AQ114" i="24"/>
  <c r="CI110" i="24"/>
  <c r="BE110" i="24"/>
  <c r="BV105" i="24"/>
  <c r="CI103" i="24"/>
  <c r="BL103" i="24"/>
  <c r="BW101" i="24"/>
  <c r="CL94" i="24"/>
  <c r="BX94" i="24"/>
  <c r="BS94" i="24"/>
  <c r="BN94" i="24"/>
  <c r="BH94" i="24"/>
  <c r="AQ94" i="24"/>
  <c r="AG94" i="24"/>
  <c r="BK94" i="24"/>
  <c r="BW93" i="24"/>
  <c r="BS85" i="24"/>
  <c r="BH85" i="24"/>
  <c r="CL81" i="24"/>
  <c r="BX81" i="24"/>
  <c r="BS81" i="24"/>
  <c r="BN81" i="24"/>
  <c r="BH81" i="24"/>
  <c r="BW81" i="24"/>
  <c r="AQ81" i="24"/>
  <c r="BQ81" i="24"/>
  <c r="BV78" i="24"/>
  <c r="BV69" i="24"/>
  <c r="BR69" i="24"/>
  <c r="BN69" i="24"/>
  <c r="BH69" i="24"/>
  <c r="BV68" i="24"/>
  <c r="AJ68" i="24"/>
  <c r="BS65" i="24"/>
  <c r="BE65" i="24"/>
  <c r="AJ65" i="24"/>
  <c r="AF65" i="24"/>
  <c r="CK60" i="24"/>
  <c r="BT60" i="24"/>
  <c r="BL60" i="24"/>
  <c r="AC60" i="24"/>
  <c r="BS58" i="24"/>
  <c r="BO58" i="24"/>
  <c r="BI58" i="24"/>
  <c r="BU56" i="24"/>
  <c r="BN56" i="24"/>
  <c r="BH56" i="24"/>
  <c r="BX52" i="24"/>
  <c r="BS52" i="24"/>
  <c r="BO52" i="24"/>
  <c r="BI52" i="24"/>
  <c r="EX50" i="24"/>
  <c r="BX50" i="24"/>
  <c r="BP50" i="24"/>
  <c r="BE50" i="24"/>
  <c r="AQ50" i="24"/>
  <c r="AC50" i="24"/>
  <c r="BT47" i="24"/>
  <c r="BL47" i="24"/>
  <c r="AQ47" i="24"/>
  <c r="AC47" i="24"/>
  <c r="EW44" i="24"/>
  <c r="BX44" i="24"/>
  <c r="BP44" i="24"/>
  <c r="BE44" i="24"/>
  <c r="AQ44" i="24"/>
  <c r="AC44" i="24"/>
  <c r="BX38" i="24"/>
  <c r="BS38" i="24"/>
  <c r="BX36" i="24"/>
  <c r="BS36" i="24"/>
  <c r="BN36" i="24"/>
  <c r="BE36" i="24"/>
  <c r="S23" i="24"/>
  <c r="EW10" i="24"/>
  <c r="BO10" i="24"/>
  <c r="BI10" i="24"/>
  <c r="BI317" i="49"/>
  <c r="AQ317" i="49"/>
  <c r="AG317" i="49"/>
  <c r="BH317" i="49"/>
  <c r="BF299" i="49"/>
  <c r="BQ299" i="49"/>
  <c r="BT292" i="49"/>
  <c r="BL292" i="49"/>
  <c r="BE292" i="49"/>
  <c r="AQ292" i="49"/>
  <c r="AC291" i="49"/>
  <c r="BL291" i="49"/>
  <c r="BQ291" i="49"/>
  <c r="BF288" i="49"/>
  <c r="BQ288" i="49"/>
  <c r="BS284" i="49"/>
  <c r="BT281" i="49"/>
  <c r="BL281" i="49"/>
  <c r="BE281" i="49"/>
  <c r="AQ281" i="49"/>
  <c r="AG281" i="49"/>
  <c r="BQ279" i="49"/>
  <c r="BE279" i="49"/>
  <c r="AC279" i="49"/>
  <c r="BQ277" i="49"/>
  <c r="BF277" i="49"/>
  <c r="AJ277" i="49"/>
  <c r="BU276" i="49"/>
  <c r="BL276" i="49"/>
  <c r="AC276" i="49"/>
  <c r="BQ266" i="49"/>
  <c r="BK266" i="49"/>
  <c r="BB266" i="49"/>
  <c r="AJ266" i="49"/>
  <c r="AF266" i="49"/>
  <c r="AJ265" i="49"/>
  <c r="AF265" i="49"/>
  <c r="BF263" i="49"/>
  <c r="BK263" i="49"/>
  <c r="BO263" i="49"/>
  <c r="BS263" i="49"/>
  <c r="BS258" i="49"/>
  <c r="BK258" i="49"/>
  <c r="BU257" i="49"/>
  <c r="AQ257" i="49"/>
  <c r="BI256" i="49"/>
  <c r="BQ256" i="49"/>
  <c r="BF256" i="49"/>
  <c r="BB256" i="49"/>
  <c r="BM256" i="49"/>
  <c r="AC255" i="49"/>
  <c r="BI255" i="49"/>
  <c r="BQ255" i="49"/>
  <c r="BB255" i="49"/>
  <c r="BM255" i="49"/>
  <c r="BT255" i="49"/>
  <c r="AJ249" i="49"/>
  <c r="AF249" i="49"/>
  <c r="BL242" i="49"/>
  <c r="BP236" i="49"/>
  <c r="BB236" i="49"/>
  <c r="BB232" i="49"/>
  <c r="BK232" i="49"/>
  <c r="BP232" i="49"/>
  <c r="AC232" i="49"/>
  <c r="AJ232" i="49"/>
  <c r="BT232" i="49"/>
  <c r="BM232" i="49"/>
  <c r="BS232" i="49"/>
  <c r="AC230" i="49"/>
  <c r="BI230" i="49"/>
  <c r="BQ230" i="49"/>
  <c r="BE230" i="49"/>
  <c r="BM230" i="49"/>
  <c r="BU230" i="49"/>
  <c r="BQ225" i="49"/>
  <c r="BR223" i="49"/>
  <c r="AQ223" i="49"/>
  <c r="AG223" i="49"/>
  <c r="BH223" i="49"/>
  <c r="AJ219" i="49"/>
  <c r="AF219" i="49"/>
  <c r="BG219" i="49"/>
  <c r="BL219" i="49"/>
  <c r="BQ219" i="49"/>
  <c r="BU219" i="49"/>
  <c r="AC219" i="49"/>
  <c r="BE219" i="49"/>
  <c r="BO219" i="49"/>
  <c r="BS219" i="49"/>
  <c r="BM217" i="49"/>
  <c r="AJ210" i="49"/>
  <c r="BJ210" i="49"/>
  <c r="BU210" i="49"/>
  <c r="BF210" i="49"/>
  <c r="BQ210" i="49"/>
  <c r="BU204" i="49"/>
  <c r="BK204" i="49"/>
  <c r="AC203" i="49"/>
  <c r="BE203" i="49"/>
  <c r="BK203" i="49"/>
  <c r="BP203" i="49"/>
  <c r="BT203" i="49"/>
  <c r="AJ203" i="49"/>
  <c r="AF203" i="49"/>
  <c r="BG203" i="49"/>
  <c r="BI203" i="49"/>
  <c r="BM203" i="49"/>
  <c r="BR203" i="49"/>
  <c r="AQ201" i="49"/>
  <c r="AG201" i="49"/>
  <c r="AJ197" i="49"/>
  <c r="AF197" i="49"/>
  <c r="BG197" i="49"/>
  <c r="BU197" i="49"/>
  <c r="BF197" i="49"/>
  <c r="BQ197" i="49"/>
  <c r="BK191" i="49"/>
  <c r="AC190" i="49"/>
  <c r="BE190" i="49"/>
  <c r="BK190" i="49"/>
  <c r="BP190" i="49"/>
  <c r="BT190" i="49"/>
  <c r="AJ190" i="49"/>
  <c r="AF190" i="49"/>
  <c r="BG190" i="49"/>
  <c r="BI190" i="49"/>
  <c r="BM190" i="49"/>
  <c r="BR190" i="49"/>
  <c r="BF171" i="49"/>
  <c r="BQ171" i="49"/>
  <c r="AJ171" i="49"/>
  <c r="AF171" i="49"/>
  <c r="BG171" i="49"/>
  <c r="BU171" i="49"/>
  <c r="BB165" i="49"/>
  <c r="BI165" i="49"/>
  <c r="BO165" i="49"/>
  <c r="BT165" i="49"/>
  <c r="AC165" i="49"/>
  <c r="BL165" i="49"/>
  <c r="BQ165" i="49"/>
  <c r="BQ164" i="49"/>
  <c r="BF164" i="49"/>
  <c r="AQ164" i="49"/>
  <c r="BF150" i="49"/>
  <c r="BQ150" i="49"/>
  <c r="AJ150" i="49"/>
  <c r="BJ150" i="49"/>
  <c r="BU150" i="49"/>
  <c r="BB144" i="49"/>
  <c r="BI144" i="49"/>
  <c r="BO144" i="49"/>
  <c r="BT144" i="49"/>
  <c r="AC144" i="49"/>
  <c r="BL144" i="49"/>
  <c r="BQ144" i="49"/>
  <c r="BQ143" i="49"/>
  <c r="BF143" i="49"/>
  <c r="AQ143" i="49"/>
  <c r="BF141" i="49"/>
  <c r="BL141" i="49"/>
  <c r="BQ141" i="49"/>
  <c r="BU141" i="49"/>
  <c r="AC141" i="49"/>
  <c r="BB141" i="49"/>
  <c r="BO141" i="49"/>
  <c r="BS141" i="49"/>
  <c r="BM140" i="49"/>
  <c r="BM135" i="49"/>
  <c r="AJ135" i="49"/>
  <c r="AF135" i="49"/>
  <c r="BG135" i="49"/>
  <c r="BF134" i="49"/>
  <c r="AJ134" i="49"/>
  <c r="AF134" i="49"/>
  <c r="BG134" i="49"/>
  <c r="BR134" i="49"/>
  <c r="AJ127" i="49"/>
  <c r="BU127" i="49"/>
  <c r="BM127" i="49"/>
  <c r="BS125" i="49"/>
  <c r="BK125" i="49"/>
  <c r="BQ112" i="49"/>
  <c r="BE112" i="49"/>
  <c r="BI100" i="49"/>
  <c r="AJ100" i="49"/>
  <c r="BP99" i="49"/>
  <c r="BB99" i="49"/>
  <c r="BR96" i="49"/>
  <c r="AQ96" i="49"/>
  <c r="BN96" i="49"/>
  <c r="AC93" i="49"/>
  <c r="BL93" i="49"/>
  <c r="BQ93" i="49"/>
  <c r="BB93" i="49"/>
  <c r="BI93" i="49"/>
  <c r="BO93" i="49"/>
  <c r="BT93" i="49"/>
  <c r="BQ92" i="49"/>
  <c r="BF92" i="49"/>
  <c r="AQ92" i="49"/>
  <c r="BB84" i="49"/>
  <c r="BI84" i="49"/>
  <c r="BO84" i="49"/>
  <c r="BT84" i="49"/>
  <c r="AC84" i="49"/>
  <c r="BL84" i="49"/>
  <c r="BQ84" i="49"/>
  <c r="BQ83" i="49"/>
  <c r="BF83" i="49"/>
  <c r="AQ83" i="49"/>
  <c r="BM80" i="49"/>
  <c r="BS80" i="49"/>
  <c r="AC80" i="49"/>
  <c r="BE80" i="49"/>
  <c r="BK80" i="49"/>
  <c r="BP80" i="49"/>
  <c r="BU72" i="49"/>
  <c r="BK72" i="49"/>
  <c r="AJ71" i="49"/>
  <c r="BJ71" i="49"/>
  <c r="BI71" i="49"/>
  <c r="BM71" i="49"/>
  <c r="BR71" i="49"/>
  <c r="AC71" i="49"/>
  <c r="BE71" i="49"/>
  <c r="BK71" i="49"/>
  <c r="BP71" i="49"/>
  <c r="BT71" i="49"/>
  <c r="BP70" i="49"/>
  <c r="BF70" i="49"/>
  <c r="AQ70" i="49"/>
  <c r="BU69" i="49"/>
  <c r="AQ69" i="49"/>
  <c r="BQ58" i="49"/>
  <c r="AC53" i="49"/>
  <c r="BB53" i="49"/>
  <c r="BO53" i="49"/>
  <c r="BS53" i="49"/>
  <c r="BF53" i="49"/>
  <c r="BL53" i="49"/>
  <c r="BQ53" i="49"/>
  <c r="BU53" i="49"/>
  <c r="BP52" i="49"/>
  <c r="BF52" i="49"/>
  <c r="AQ52" i="49"/>
  <c r="AC46" i="49"/>
  <c r="BI46" i="49"/>
  <c r="BR46" i="49"/>
  <c r="BE46" i="49"/>
  <c r="BM46" i="49"/>
  <c r="AJ38" i="49"/>
  <c r="AF38" i="49"/>
  <c r="BL38" i="49"/>
  <c r="BQ38" i="49"/>
  <c r="BU38" i="49"/>
  <c r="AC38" i="49"/>
  <c r="BE38" i="49"/>
  <c r="BO38" i="49"/>
  <c r="BS38" i="49"/>
  <c r="BE37" i="49"/>
  <c r="BM37" i="49"/>
  <c r="AC37" i="49"/>
  <c r="BI37" i="49"/>
  <c r="BR37" i="49"/>
  <c r="BQ29" i="49"/>
  <c r="BM25" i="49"/>
  <c r="BS25" i="49"/>
  <c r="AC25" i="49"/>
  <c r="BE25" i="49"/>
  <c r="BK25" i="49"/>
  <c r="BP25" i="49"/>
  <c r="AJ18" i="49"/>
  <c r="AF18" i="49"/>
  <c r="BG18" i="49"/>
  <c r="BU18" i="49"/>
  <c r="BF18" i="49"/>
  <c r="BQ18" i="49"/>
  <c r="BI12" i="49"/>
  <c r="BU144" i="24"/>
  <c r="EX93" i="24"/>
  <c r="CI101" i="24"/>
  <c r="BO115" i="24"/>
  <c r="BW126" i="24"/>
  <c r="BL128" i="24"/>
  <c r="BL285" i="24"/>
  <c r="AJ294" i="24"/>
  <c r="BU300" i="24"/>
  <c r="BN301" i="24"/>
  <c r="BR310" i="24"/>
  <c r="BT301" i="24"/>
  <c r="AC301" i="24"/>
  <c r="BP105" i="24"/>
  <c r="BW105" i="24"/>
  <c r="BE105" i="24"/>
  <c r="AJ105" i="24"/>
  <c r="BM105" i="24"/>
  <c r="CI128" i="24"/>
  <c r="BI128" i="24"/>
  <c r="BT228" i="24"/>
  <c r="AC228" i="24"/>
  <c r="EW101" i="24"/>
  <c r="BU110" i="24"/>
  <c r="CK110" i="24"/>
  <c r="BL110" i="24"/>
  <c r="BN115" i="24"/>
  <c r="AC115" i="24"/>
  <c r="AJ126" i="24"/>
  <c r="BM126" i="24"/>
  <c r="BH128" i="24"/>
  <c r="BL186" i="24"/>
  <c r="BV189" i="24"/>
  <c r="BL203" i="24"/>
  <c r="EX212" i="24"/>
  <c r="BV247" i="24"/>
  <c r="BR249" i="24"/>
  <c r="AQ256" i="24"/>
  <c r="CI256" i="24"/>
  <c r="BS259" i="24"/>
  <c r="BW260" i="24"/>
  <c r="BL272" i="24"/>
  <c r="BR288" i="24"/>
  <c r="CL296" i="24"/>
  <c r="BI296" i="24"/>
  <c r="BL310" i="24"/>
  <c r="EX310" i="24"/>
  <c r="AB317" i="24"/>
  <c r="AJ256" i="24"/>
  <c r="BI192" i="49"/>
  <c r="BP201" i="49"/>
  <c r="BS201" i="49"/>
  <c r="BI303" i="49"/>
  <c r="BK317" i="49"/>
  <c r="AC317" i="49"/>
  <c r="CL93" i="24"/>
  <c r="BX93" i="24"/>
  <c r="BH93" i="24"/>
  <c r="BI101" i="24"/>
  <c r="BP101" i="24"/>
  <c r="CI105" i="24"/>
  <c r="CL113" i="24"/>
  <c r="CK113" i="24"/>
  <c r="BL113" i="24"/>
  <c r="BR118" i="24"/>
  <c r="BU118" i="24"/>
  <c r="EW123" i="24"/>
  <c r="BN123" i="24"/>
  <c r="BP126" i="24"/>
  <c r="AJ128" i="24"/>
  <c r="BU159" i="24"/>
  <c r="CI186" i="24"/>
  <c r="BI186" i="24"/>
  <c r="BU189" i="24"/>
  <c r="BX189" i="24"/>
  <c r="BH189" i="24"/>
  <c r="BS212" i="24"/>
  <c r="BR247" i="24"/>
  <c r="BV256" i="24"/>
  <c r="EW259" i="24"/>
  <c r="BP260" i="24"/>
  <c r="BR272" i="24"/>
  <c r="BR300" i="24"/>
  <c r="BW301" i="24"/>
  <c r="BX259" i="24"/>
  <c r="BO272" i="24"/>
  <c r="BV294" i="24"/>
  <c r="EX316" i="24"/>
  <c r="BL316" i="24"/>
  <c r="BS310" i="24"/>
  <c r="BI310" i="24"/>
  <c r="AJ310" i="24"/>
  <c r="EW308" i="24"/>
  <c r="CI308" i="24"/>
  <c r="BH307" i="24"/>
  <c r="BW307" i="24"/>
  <c r="EW305" i="24"/>
  <c r="BU305" i="24"/>
  <c r="BP305" i="24"/>
  <c r="BL305" i="24"/>
  <c r="EX301" i="24"/>
  <c r="BO301" i="24"/>
  <c r="BI300" i="24"/>
  <c r="EW296" i="24"/>
  <c r="BX296" i="24"/>
  <c r="BR296" i="24"/>
  <c r="BL296" i="24"/>
  <c r="AJ296" i="24"/>
  <c r="BM296" i="24"/>
  <c r="CI295" i="24"/>
  <c r="BV293" i="24"/>
  <c r="BE293" i="24"/>
  <c r="BP291" i="24"/>
  <c r="BH291" i="24"/>
  <c r="BV290" i="24"/>
  <c r="BP290" i="24"/>
  <c r="BH290" i="24"/>
  <c r="CL289" i="24"/>
  <c r="BS289" i="24"/>
  <c r="BN289" i="24"/>
  <c r="BH289" i="24"/>
  <c r="BL288" i="24"/>
  <c r="AJ288" i="24"/>
  <c r="AF288" i="24"/>
  <c r="BJ288" i="24"/>
  <c r="BT286" i="24"/>
  <c r="BS285" i="24"/>
  <c r="BI285" i="24"/>
  <c r="BX274" i="24"/>
  <c r="BU272" i="24"/>
  <c r="BS270" i="24"/>
  <c r="EW267" i="24"/>
  <c r="BV267" i="24"/>
  <c r="BW267" i="24"/>
  <c r="AJ267" i="24"/>
  <c r="AF267" i="24"/>
  <c r="BX266" i="24"/>
  <c r="BT266" i="24"/>
  <c r="BX262" i="24"/>
  <c r="BT262" i="24"/>
  <c r="BO262" i="24"/>
  <c r="AJ262" i="24"/>
  <c r="BM262" i="24"/>
  <c r="BI260" i="24"/>
  <c r="BH256" i="24"/>
  <c r="CK255" i="24"/>
  <c r="BV255" i="24"/>
  <c r="BR255" i="24"/>
  <c r="BI255" i="24"/>
  <c r="CL251" i="24"/>
  <c r="BX251" i="24"/>
  <c r="BS251" i="24"/>
  <c r="BN251" i="24"/>
  <c r="BH251" i="24"/>
  <c r="BN249" i="24"/>
  <c r="AJ249" i="24"/>
  <c r="AF249" i="24"/>
  <c r="CI247" i="24"/>
  <c r="EW240" i="24"/>
  <c r="BU240" i="24"/>
  <c r="EX239" i="24"/>
  <c r="CI238" i="24"/>
  <c r="EX237" i="24"/>
  <c r="CK237" i="24"/>
  <c r="BV237" i="24"/>
  <c r="BR237" i="24"/>
  <c r="BH237" i="24"/>
  <c r="BW237" i="24"/>
  <c r="AJ237" i="24"/>
  <c r="BM237" i="24"/>
  <c r="EX235" i="24"/>
  <c r="BU235" i="24"/>
  <c r="BP235" i="24"/>
  <c r="BL235" i="24"/>
  <c r="BX234" i="24"/>
  <c r="BP234" i="24"/>
  <c r="EX233" i="24"/>
  <c r="BV233" i="24"/>
  <c r="BR233" i="24"/>
  <c r="BH233" i="24"/>
  <c r="EW231" i="24"/>
  <c r="CI231" i="24"/>
  <c r="BT231" i="24"/>
  <c r="BO231" i="24"/>
  <c r="BI231" i="24"/>
  <c r="BW228" i="24"/>
  <c r="BW224" i="24"/>
  <c r="BR224" i="24"/>
  <c r="BL224" i="24"/>
  <c r="BX220" i="24"/>
  <c r="BS220" i="24"/>
  <c r="EX219" i="24"/>
  <c r="BW219" i="24"/>
  <c r="BO219" i="24"/>
  <c r="BW216" i="24"/>
  <c r="EW214" i="24"/>
  <c r="CI214" i="24"/>
  <c r="BT214" i="24"/>
  <c r="BO214" i="24"/>
  <c r="BI214" i="24"/>
  <c r="CI213" i="24"/>
  <c r="BT213" i="24"/>
  <c r="BO213" i="24"/>
  <c r="BI213" i="24"/>
  <c r="EW210" i="24"/>
  <c r="BV210" i="24"/>
  <c r="BW205" i="24"/>
  <c r="EW203" i="24"/>
  <c r="BV203" i="24"/>
  <c r="BE203" i="24"/>
  <c r="BV202" i="24"/>
  <c r="BR202" i="24"/>
  <c r="BE202" i="24"/>
  <c r="EW199" i="24"/>
  <c r="BV199" i="24"/>
  <c r="EX197" i="24"/>
  <c r="CI197" i="24"/>
  <c r="BR197" i="24"/>
  <c r="CL195" i="24"/>
  <c r="BU195" i="24"/>
  <c r="BN195" i="24"/>
  <c r="AJ195" i="24"/>
  <c r="BM195" i="24"/>
  <c r="EX192" i="24"/>
  <c r="BE189" i="24"/>
  <c r="BE186" i="24"/>
  <c r="CK177" i="24"/>
  <c r="BT177" i="24"/>
  <c r="BL177" i="24"/>
  <c r="BT175" i="24"/>
  <c r="BO175" i="24"/>
  <c r="CK171" i="24"/>
  <c r="BW171" i="24"/>
  <c r="EW168" i="24"/>
  <c r="CI168" i="24"/>
  <c r="BR168" i="24"/>
  <c r="EW166" i="24"/>
  <c r="EW165" i="24"/>
  <c r="CI165" i="24"/>
  <c r="BR165" i="24"/>
  <c r="BW163" i="24"/>
  <c r="CI162" i="24"/>
  <c r="BE159" i="24"/>
  <c r="CI158" i="24"/>
  <c r="BT158" i="24"/>
  <c r="EX157" i="24"/>
  <c r="BV157" i="24"/>
  <c r="BR157" i="24"/>
  <c r="BL157" i="24"/>
  <c r="CL153" i="24"/>
  <c r="BU153" i="24"/>
  <c r="BN153" i="24"/>
  <c r="EW151" i="24"/>
  <c r="BV151" i="24"/>
  <c r="BO151" i="24"/>
  <c r="BE151" i="24"/>
  <c r="AJ151" i="24"/>
  <c r="AF151" i="24"/>
  <c r="BJ151" i="24"/>
  <c r="BT150" i="24"/>
  <c r="BL150" i="24"/>
  <c r="EW148" i="24"/>
  <c r="BU148" i="24"/>
  <c r="BP148" i="24"/>
  <c r="BX147" i="24"/>
  <c r="BS147" i="24"/>
  <c r="EW145" i="24"/>
  <c r="BW145" i="24"/>
  <c r="BS145" i="24"/>
  <c r="BO145" i="24"/>
  <c r="BW144" i="24"/>
  <c r="BR144" i="24"/>
  <c r="BL144" i="24"/>
  <c r="AC144" i="24"/>
  <c r="BT143" i="24"/>
  <c r="BL143" i="24"/>
  <c r="CI142" i="24"/>
  <c r="BT142" i="24"/>
  <c r="BO142" i="24"/>
  <c r="BI142" i="24"/>
  <c r="AC142" i="24"/>
  <c r="CL140" i="24"/>
  <c r="BX140" i="24"/>
  <c r="BS140" i="24"/>
  <c r="BN140" i="24"/>
  <c r="BH140" i="24"/>
  <c r="CL138" i="24"/>
  <c r="BU138" i="24"/>
  <c r="BN138" i="24"/>
  <c r="AJ138" i="24"/>
  <c r="BP137" i="24"/>
  <c r="BU136" i="24"/>
  <c r="BP136" i="24"/>
  <c r="EX135" i="24"/>
  <c r="EX134" i="24"/>
  <c r="CI134" i="24"/>
  <c r="BT133" i="24"/>
  <c r="BO133" i="24"/>
  <c r="BI133" i="24"/>
  <c r="BW133" i="24"/>
  <c r="EX130" i="24"/>
  <c r="BW130" i="24"/>
  <c r="AC128" i="24"/>
  <c r="BR126" i="24"/>
  <c r="BU124" i="24"/>
  <c r="BO124" i="24"/>
  <c r="BI124" i="24"/>
  <c r="AJ124" i="24"/>
  <c r="AF124" i="24"/>
  <c r="BJ124" i="24"/>
  <c r="AC124" i="24"/>
  <c r="BE123" i="24"/>
  <c r="BU122" i="24"/>
  <c r="BN122" i="24"/>
  <c r="AJ122" i="24"/>
  <c r="CL121" i="24"/>
  <c r="BX121" i="24"/>
  <c r="BS121" i="24"/>
  <c r="BN121" i="24"/>
  <c r="BH121" i="24"/>
  <c r="CL119" i="24"/>
  <c r="BU119" i="24"/>
  <c r="BO119" i="24"/>
  <c r="BI119" i="24"/>
  <c r="BW119" i="24"/>
  <c r="AJ119" i="24"/>
  <c r="AF119" i="24"/>
  <c r="AC119" i="24"/>
  <c r="BE118" i="24"/>
  <c r="CL116" i="24"/>
  <c r="BU116" i="24"/>
  <c r="BN116" i="24"/>
  <c r="EX115" i="24"/>
  <c r="BP115" i="24"/>
  <c r="EW114" i="24"/>
  <c r="CI114" i="24"/>
  <c r="BT114" i="24"/>
  <c r="BO114" i="24"/>
  <c r="BI114" i="24"/>
  <c r="AC114" i="24"/>
  <c r="BE113" i="24"/>
  <c r="CL112" i="24"/>
  <c r="BU112" i="24"/>
  <c r="BN112" i="24"/>
  <c r="AJ112" i="24"/>
  <c r="CL111" i="24"/>
  <c r="BX111" i="24"/>
  <c r="BS111" i="24"/>
  <c r="BN111" i="24"/>
  <c r="BH111" i="24"/>
  <c r="EX110" i="24"/>
  <c r="BW110" i="24"/>
  <c r="BO110" i="24"/>
  <c r="AJ110" i="24"/>
  <c r="BM110" i="24"/>
  <c r="EX109" i="24"/>
  <c r="BS109" i="24"/>
  <c r="CK108" i="24"/>
  <c r="BT108" i="24"/>
  <c r="BL108" i="24"/>
  <c r="BN105" i="24"/>
  <c r="BI105" i="24"/>
  <c r="CL103" i="24"/>
  <c r="BX103" i="24"/>
  <c r="BR103" i="24"/>
  <c r="BI103" i="24"/>
  <c r="AC103" i="24"/>
  <c r="BS101" i="24"/>
  <c r="AJ101" i="24"/>
  <c r="EW100" i="24"/>
  <c r="CI100" i="24"/>
  <c r="BT100" i="24"/>
  <c r="BO100" i="24"/>
  <c r="BI100" i="24"/>
  <c r="CI99" i="24"/>
  <c r="BO99" i="24"/>
  <c r="CL97" i="24"/>
  <c r="BS97" i="24"/>
  <c r="BN97" i="24"/>
  <c r="BH97" i="24"/>
  <c r="EW96" i="24"/>
  <c r="BP96" i="24"/>
  <c r="EW95" i="24"/>
  <c r="BX95" i="24"/>
  <c r="BR95" i="24"/>
  <c r="EX94" i="24"/>
  <c r="CK94" i="24"/>
  <c r="BV94" i="24"/>
  <c r="BR94" i="24"/>
  <c r="BE94" i="24"/>
  <c r="AC94" i="24"/>
  <c r="BS93" i="24"/>
  <c r="AJ93" i="24"/>
  <c r="BM93" i="24"/>
  <c r="EW92" i="24"/>
  <c r="CI92" i="24"/>
  <c r="BT92" i="24"/>
  <c r="BO92" i="24"/>
  <c r="BI92" i="24"/>
  <c r="BO91" i="24"/>
  <c r="CK90" i="24"/>
  <c r="BV90" i="24"/>
  <c r="BR90" i="24"/>
  <c r="BE90" i="24"/>
  <c r="CL86" i="24"/>
  <c r="BX86" i="24"/>
  <c r="BS86" i="24"/>
  <c r="BN86" i="24"/>
  <c r="BH86" i="24"/>
  <c r="BX85" i="24"/>
  <c r="BP85" i="24"/>
  <c r="EW84" i="24"/>
  <c r="CI84" i="24"/>
  <c r="BR84" i="24"/>
  <c r="BW82" i="24"/>
  <c r="CK81" i="24"/>
  <c r="BV81" i="24"/>
  <c r="BR81" i="24"/>
  <c r="BE81" i="24"/>
  <c r="AC81" i="24"/>
  <c r="EW80" i="24"/>
  <c r="CI80" i="24"/>
  <c r="BO80" i="24"/>
  <c r="BS79" i="24"/>
  <c r="BN79" i="24"/>
  <c r="BE79" i="24"/>
  <c r="BW79" i="24"/>
  <c r="BU78" i="24"/>
  <c r="BO78" i="24"/>
  <c r="BI78" i="24"/>
  <c r="BW78" i="24"/>
  <c r="AJ78" i="24"/>
  <c r="BM78" i="24"/>
  <c r="AF78" i="24"/>
  <c r="BJ78" i="24"/>
  <c r="AC78" i="24"/>
  <c r="CL75" i="24"/>
  <c r="BU75" i="24"/>
  <c r="BO75" i="24"/>
  <c r="BI75" i="24"/>
  <c r="BX74" i="24"/>
  <c r="BP74" i="24"/>
  <c r="BE74" i="24"/>
  <c r="BS73" i="24"/>
  <c r="BH73" i="24"/>
  <c r="AJ73" i="24"/>
  <c r="BM73" i="24"/>
  <c r="BS72" i="24"/>
  <c r="BN72" i="24"/>
  <c r="BE72" i="24"/>
  <c r="BW72" i="24"/>
  <c r="BS71" i="24"/>
  <c r="BN71" i="24"/>
  <c r="BE71" i="24"/>
  <c r="BW71" i="24"/>
  <c r="EX69" i="24"/>
  <c r="BU69" i="24"/>
  <c r="BE69" i="24"/>
  <c r="BW69" i="24"/>
  <c r="AC69" i="24"/>
  <c r="EW68" i="24"/>
  <c r="BT68" i="24"/>
  <c r="BO68" i="24"/>
  <c r="AC68" i="24"/>
  <c r="CL66" i="24"/>
  <c r="BU66" i="24"/>
  <c r="BO66" i="24"/>
  <c r="BI66" i="24"/>
  <c r="EW65" i="24"/>
  <c r="CI65" i="24"/>
  <c r="BR65" i="24"/>
  <c r="AC65" i="24"/>
  <c r="BS60" i="24"/>
  <c r="BH60" i="24"/>
  <c r="BI60" i="24"/>
  <c r="EW59" i="24"/>
  <c r="BV59" i="24"/>
  <c r="BV58" i="24"/>
  <c r="BR58" i="24"/>
  <c r="BN58" i="24"/>
  <c r="BH58" i="24"/>
  <c r="BW58" i="24"/>
  <c r="AC58" i="24"/>
  <c r="EW56" i="24"/>
  <c r="CI56" i="24"/>
  <c r="BT56" i="24"/>
  <c r="AC56" i="24"/>
  <c r="BX55" i="24"/>
  <c r="BP55" i="24"/>
  <c r="BH55" i="24"/>
  <c r="BO54" i="24"/>
  <c r="BE53" i="24"/>
  <c r="BV52" i="24"/>
  <c r="BR52" i="24"/>
  <c r="BN52" i="24"/>
  <c r="BH52" i="24"/>
  <c r="BW52" i="24"/>
  <c r="AC52" i="24"/>
  <c r="EX51" i="24"/>
  <c r="BW51" i="24"/>
  <c r="BO51" i="24"/>
  <c r="AJ51" i="24"/>
  <c r="BM51" i="24"/>
  <c r="BW50" i="24"/>
  <c r="BO50" i="24"/>
  <c r="BI50" i="24"/>
  <c r="EW49" i="24"/>
  <c r="BR49" i="24"/>
  <c r="BX48" i="24"/>
  <c r="BS48" i="24"/>
  <c r="BO48" i="24"/>
  <c r="BS47" i="24"/>
  <c r="BH47" i="24"/>
  <c r="BI47" i="24"/>
  <c r="EW46" i="24"/>
  <c r="BV46" i="24"/>
  <c r="EX45" i="24"/>
  <c r="BW45" i="24"/>
  <c r="BO45" i="24"/>
  <c r="AJ45" i="24"/>
  <c r="BM45" i="24"/>
  <c r="BW44" i="24"/>
  <c r="BO44" i="24"/>
  <c r="BI44" i="24"/>
  <c r="EW43" i="24"/>
  <c r="CI43" i="24"/>
  <c r="BR43" i="24"/>
  <c r="BO41" i="24"/>
  <c r="BS40" i="24"/>
  <c r="BN40" i="24"/>
  <c r="BE40" i="24"/>
  <c r="BW40" i="24"/>
  <c r="BV38" i="24"/>
  <c r="BH38" i="24"/>
  <c r="BW38" i="24"/>
  <c r="EW37" i="24"/>
  <c r="BU37" i="24"/>
  <c r="BP37" i="24"/>
  <c r="BL37" i="24"/>
  <c r="BW37" i="24"/>
  <c r="BW36" i="24"/>
  <c r="BR36" i="24"/>
  <c r="BL36" i="24"/>
  <c r="AJ36" i="24"/>
  <c r="AC36" i="24"/>
  <c r="CK35" i="24"/>
  <c r="BT35" i="24"/>
  <c r="BL35" i="24"/>
  <c r="EX34" i="24"/>
  <c r="BV34" i="24"/>
  <c r="BP34" i="24"/>
  <c r="BS30" i="24"/>
  <c r="BN30" i="24"/>
  <c r="BE30" i="24"/>
  <c r="BW30" i="24"/>
  <c r="BH28" i="24"/>
  <c r="EW26" i="24"/>
  <c r="BU26" i="24"/>
  <c r="BN26" i="24"/>
  <c r="BP25" i="24"/>
  <c r="BH25" i="24"/>
  <c r="CL23" i="24"/>
  <c r="BV23" i="24"/>
  <c r="CL22" i="24"/>
  <c r="BU22" i="24"/>
  <c r="BO22" i="24"/>
  <c r="BI22" i="24"/>
  <c r="BX21" i="24"/>
  <c r="BP21" i="24"/>
  <c r="BE21" i="24"/>
  <c r="CL15" i="24"/>
  <c r="BX15" i="24"/>
  <c r="BS15" i="24"/>
  <c r="BO15" i="24"/>
  <c r="AG15" i="24"/>
  <c r="BK15" i="24"/>
  <c r="CL13" i="24"/>
  <c r="BX13" i="24"/>
  <c r="BS13" i="24"/>
  <c r="BO13" i="24"/>
  <c r="EX12" i="24"/>
  <c r="BH12" i="24"/>
  <c r="CJ10" i="24"/>
  <c r="BS10" i="24"/>
  <c r="BH10" i="24"/>
  <c r="BP316" i="49"/>
  <c r="BQ315" i="49"/>
  <c r="BL315" i="49"/>
  <c r="BE315" i="49"/>
  <c r="BQ313" i="49"/>
  <c r="BI313" i="49"/>
  <c r="BU311" i="49"/>
  <c r="BQ311" i="49"/>
  <c r="BL311" i="49"/>
  <c r="BU310" i="49"/>
  <c r="AJ310" i="49"/>
  <c r="AF310" i="49"/>
  <c r="BG310" i="49"/>
  <c r="BQ306" i="49"/>
  <c r="BL306" i="49"/>
  <c r="BT306" i="49"/>
  <c r="BU305" i="49"/>
  <c r="BQ305" i="49"/>
  <c r="BL305" i="49"/>
  <c r="AJ305" i="49"/>
  <c r="BJ305" i="49"/>
  <c r="BM304" i="49"/>
  <c r="BE304" i="49"/>
  <c r="BQ303" i="49"/>
  <c r="BU299" i="49"/>
  <c r="BI299" i="49"/>
  <c r="AC296" i="49"/>
  <c r="BE296" i="49"/>
  <c r="BO296" i="49"/>
  <c r="BS296" i="49"/>
  <c r="AC295" i="49"/>
  <c r="BI295" i="49"/>
  <c r="BR295" i="49"/>
  <c r="BB293" i="49"/>
  <c r="BI293" i="49"/>
  <c r="BO293" i="49"/>
  <c r="BT293" i="49"/>
  <c r="BQ292" i="49"/>
  <c r="BK292" i="49"/>
  <c r="BB292" i="49"/>
  <c r="BU291" i="49"/>
  <c r="BO291" i="49"/>
  <c r="BU288" i="49"/>
  <c r="BI288" i="49"/>
  <c r="AC285" i="49"/>
  <c r="BE285" i="49"/>
  <c r="BO285" i="49"/>
  <c r="BS285" i="49"/>
  <c r="BQ281" i="49"/>
  <c r="BK281" i="49"/>
  <c r="BB281" i="49"/>
  <c r="BF280" i="49"/>
  <c r="BL280" i="49"/>
  <c r="BQ280" i="49"/>
  <c r="BU280" i="49"/>
  <c r="BM279" i="49"/>
  <c r="BT276" i="49"/>
  <c r="BI276" i="49"/>
  <c r="BU274" i="49"/>
  <c r="BM274" i="49"/>
  <c r="BT273" i="49"/>
  <c r="BO273" i="49"/>
  <c r="BF269" i="49"/>
  <c r="BQ269" i="49"/>
  <c r="BU266" i="49"/>
  <c r="BP266" i="49"/>
  <c r="BO265" i="49"/>
  <c r="BI265" i="49"/>
  <c r="BQ264" i="49"/>
  <c r="BE264" i="49"/>
  <c r="BU263" i="49"/>
  <c r="BP263" i="49"/>
  <c r="BB263" i="49"/>
  <c r="BE259" i="49"/>
  <c r="BK259" i="49"/>
  <c r="BO259" i="49"/>
  <c r="BS259" i="49"/>
  <c r="AC259" i="49"/>
  <c r="AJ259" i="49"/>
  <c r="BI259" i="49"/>
  <c r="BM259" i="49"/>
  <c r="BQ259" i="49"/>
  <c r="BU259" i="49"/>
  <c r="BQ258" i="49"/>
  <c r="BQ257" i="49"/>
  <c r="BP256" i="49"/>
  <c r="AJ256" i="49"/>
  <c r="BL255" i="49"/>
  <c r="AQ255" i="49"/>
  <c r="BF255" i="49"/>
  <c r="BR249" i="49"/>
  <c r="AC244" i="49"/>
  <c r="BB244" i="49"/>
  <c r="BO244" i="49"/>
  <c r="BS244" i="49"/>
  <c r="BF244" i="49"/>
  <c r="BL244" i="49"/>
  <c r="BQ244" i="49"/>
  <c r="BU244" i="49"/>
  <c r="BU242" i="49"/>
  <c r="AQ242" i="49"/>
  <c r="BU232" i="49"/>
  <c r="BI232" i="49"/>
  <c r="AQ232" i="49"/>
  <c r="BN232" i="49"/>
  <c r="BF230" i="49"/>
  <c r="AC228" i="49"/>
  <c r="AJ228" i="49"/>
  <c r="AF228" i="49"/>
  <c r="BG228" i="49"/>
  <c r="BI228" i="49"/>
  <c r="BO228" i="49"/>
  <c r="BT228" i="49"/>
  <c r="BE228" i="49"/>
  <c r="BL228" i="49"/>
  <c r="BQ228" i="49"/>
  <c r="BE222" i="49"/>
  <c r="BP222" i="49"/>
  <c r="BF222" i="49"/>
  <c r="BL222" i="49"/>
  <c r="BT222" i="49"/>
  <c r="BR219" i="49"/>
  <c r="BI219" i="49"/>
  <c r="BI217" i="49"/>
  <c r="BR210" i="49"/>
  <c r="BP207" i="49"/>
  <c r="AQ207" i="49"/>
  <c r="AQ206" i="49"/>
  <c r="BS204" i="49"/>
  <c r="BS203" i="49"/>
  <c r="BI201" i="49"/>
  <c r="BQ200" i="49"/>
  <c r="BR197" i="49"/>
  <c r="BP194" i="49"/>
  <c r="AQ194" i="49"/>
  <c r="AQ193" i="49"/>
  <c r="BQ192" i="49"/>
  <c r="BS191" i="49"/>
  <c r="BS190" i="49"/>
  <c r="AC188" i="49"/>
  <c r="AJ188" i="49"/>
  <c r="AF188" i="49"/>
  <c r="BG188" i="49"/>
  <c r="BE188" i="49"/>
  <c r="BR188" i="49"/>
  <c r="BL188" i="49"/>
  <c r="BP188" i="49"/>
  <c r="BT188" i="49"/>
  <c r="BB182" i="49"/>
  <c r="BK182" i="49"/>
  <c r="AJ182" i="49"/>
  <c r="BT182" i="49"/>
  <c r="AC180" i="49"/>
  <c r="BE180" i="49"/>
  <c r="BO180" i="49"/>
  <c r="BS180" i="49"/>
  <c r="AJ180" i="49"/>
  <c r="AF180" i="49"/>
  <c r="BG180" i="49"/>
  <c r="BL180" i="49"/>
  <c r="BQ180" i="49"/>
  <c r="BU180" i="49"/>
  <c r="AC175" i="49"/>
  <c r="BE175" i="49"/>
  <c r="BO175" i="49"/>
  <c r="BS175" i="49"/>
  <c r="AJ175" i="49"/>
  <c r="AF175" i="49"/>
  <c r="BG175" i="49"/>
  <c r="BL175" i="49"/>
  <c r="BQ175" i="49"/>
  <c r="BU175" i="49"/>
  <c r="BR171" i="49"/>
  <c r="AC168" i="49"/>
  <c r="BE168" i="49"/>
  <c r="BO168" i="49"/>
  <c r="BS168" i="49"/>
  <c r="AJ168" i="49"/>
  <c r="BL168" i="49"/>
  <c r="BQ168" i="49"/>
  <c r="BU168" i="49"/>
  <c r="AC167" i="49"/>
  <c r="BI167" i="49"/>
  <c r="BR167" i="49"/>
  <c r="BE167" i="49"/>
  <c r="BM167" i="49"/>
  <c r="BM165" i="49"/>
  <c r="AJ165" i="49"/>
  <c r="BO164" i="49"/>
  <c r="AQ162" i="49"/>
  <c r="AJ160" i="49"/>
  <c r="BQ160" i="49"/>
  <c r="BI160" i="49"/>
  <c r="BP159" i="49"/>
  <c r="BB159" i="49"/>
  <c r="BR150" i="49"/>
  <c r="AC147" i="49"/>
  <c r="BE147" i="49"/>
  <c r="BO147" i="49"/>
  <c r="BS147" i="49"/>
  <c r="AJ147" i="49"/>
  <c r="AF147" i="49"/>
  <c r="BG147" i="49"/>
  <c r="BL147" i="49"/>
  <c r="BQ147" i="49"/>
  <c r="BU147" i="49"/>
  <c r="AC146" i="49"/>
  <c r="BI146" i="49"/>
  <c r="BM146" i="49"/>
  <c r="BM144" i="49"/>
  <c r="AJ144" i="49"/>
  <c r="BO143" i="49"/>
  <c r="BP141" i="49"/>
  <c r="BE141" i="49"/>
  <c r="BI140" i="49"/>
  <c r="BP136" i="49"/>
  <c r="AQ136" i="49"/>
  <c r="AG136" i="49"/>
  <c r="BH136" i="49"/>
  <c r="BT135" i="49"/>
  <c r="BQ134" i="49"/>
  <c r="BE129" i="49"/>
  <c r="BM129" i="49"/>
  <c r="BU129" i="49"/>
  <c r="AC129" i="49"/>
  <c r="BI129" i="49"/>
  <c r="BQ129" i="49"/>
  <c r="BB126" i="49"/>
  <c r="BR126" i="49"/>
  <c r="AC126" i="49"/>
  <c r="BF126" i="49"/>
  <c r="BL126" i="49"/>
  <c r="BP126" i="49"/>
  <c r="BT126" i="49"/>
  <c r="BQ125" i="49"/>
  <c r="BQ120" i="49"/>
  <c r="BT116" i="49"/>
  <c r="AJ113" i="49"/>
  <c r="BU113" i="49"/>
  <c r="BM113" i="49"/>
  <c r="BQ110" i="49"/>
  <c r="BE110" i="49"/>
  <c r="BE100" i="49"/>
  <c r="BI95" i="49"/>
  <c r="AJ95" i="49"/>
  <c r="AF95" i="49"/>
  <c r="BG95" i="49"/>
  <c r="BQ95" i="49"/>
  <c r="BM93" i="49"/>
  <c r="AJ93" i="49"/>
  <c r="BO92" i="49"/>
  <c r="AC89" i="49"/>
  <c r="BP89" i="49"/>
  <c r="BM89" i="49"/>
  <c r="BM84" i="49"/>
  <c r="AJ84" i="49"/>
  <c r="BO83" i="49"/>
  <c r="AQ81" i="49"/>
  <c r="BU80" i="49"/>
  <c r="BI80" i="49"/>
  <c r="BT80" i="49"/>
  <c r="AJ80" i="49"/>
  <c r="BM74" i="49"/>
  <c r="BS74" i="49"/>
  <c r="AC74" i="49"/>
  <c r="BE74" i="49"/>
  <c r="BK74" i="49"/>
  <c r="BP74" i="49"/>
  <c r="BS72" i="49"/>
  <c r="BS71" i="49"/>
  <c r="BM70" i="49"/>
  <c r="BQ69" i="49"/>
  <c r="BB67" i="49"/>
  <c r="BI67" i="49"/>
  <c r="BO67" i="49"/>
  <c r="BT67" i="49"/>
  <c r="AC67" i="49"/>
  <c r="BL67" i="49"/>
  <c r="BQ67" i="49"/>
  <c r="BQ66" i="49"/>
  <c r="AQ66" i="49"/>
  <c r="BN66" i="49"/>
  <c r="BF64" i="49"/>
  <c r="BL64" i="49"/>
  <c r="BQ64" i="49"/>
  <c r="BU64" i="49"/>
  <c r="AC64" i="49"/>
  <c r="BB64" i="49"/>
  <c r="BO64" i="49"/>
  <c r="BS64" i="49"/>
  <c r="AQ62" i="49"/>
  <c r="BO58" i="49"/>
  <c r="BB58" i="49"/>
  <c r="AJ56" i="49"/>
  <c r="BL56" i="49"/>
  <c r="BQ56" i="49"/>
  <c r="BU56" i="49"/>
  <c r="AC56" i="49"/>
  <c r="BE56" i="49"/>
  <c r="BO56" i="49"/>
  <c r="BS56" i="49"/>
  <c r="BQ55" i="49"/>
  <c r="BI55" i="49"/>
  <c r="AJ54" i="49"/>
  <c r="AF54" i="49"/>
  <c r="BG54" i="49"/>
  <c r="BL54" i="49"/>
  <c r="BQ54" i="49"/>
  <c r="BU54" i="49"/>
  <c r="AC54" i="49"/>
  <c r="BE54" i="49"/>
  <c r="BO54" i="49"/>
  <c r="BS54" i="49"/>
  <c r="BP53" i="49"/>
  <c r="BE53" i="49"/>
  <c r="BM52" i="49"/>
  <c r="BF46" i="49"/>
  <c r="BU44" i="49"/>
  <c r="AJ41" i="49"/>
  <c r="AF41" i="49"/>
  <c r="BG41" i="49"/>
  <c r="BU41" i="49"/>
  <c r="BF41" i="49"/>
  <c r="BQ41" i="49"/>
  <c r="BR38" i="49"/>
  <c r="BI38" i="49"/>
  <c r="BF37" i="49"/>
  <c r="BQ34" i="49"/>
  <c r="AJ34" i="49"/>
  <c r="AC33" i="49"/>
  <c r="BL33" i="49"/>
  <c r="BQ33" i="49"/>
  <c r="BB33" i="49"/>
  <c r="BI33" i="49"/>
  <c r="BO33" i="49"/>
  <c r="BT33" i="49"/>
  <c r="BQ32" i="49"/>
  <c r="AQ32" i="49"/>
  <c r="BO29" i="49"/>
  <c r="BB29" i="49"/>
  <c r="BU25" i="49"/>
  <c r="BI25" i="49"/>
  <c r="BT25" i="49"/>
  <c r="AJ25" i="49"/>
  <c r="AF25" i="49"/>
  <c r="BG25" i="49"/>
  <c r="AJ22" i="49"/>
  <c r="AF22" i="49"/>
  <c r="BL22" i="49"/>
  <c r="BQ22" i="49"/>
  <c r="BU22" i="49"/>
  <c r="AC22" i="49"/>
  <c r="BE22" i="49"/>
  <c r="BO22" i="49"/>
  <c r="BS22" i="49"/>
  <c r="BR18" i="49"/>
  <c r="BP14" i="49"/>
  <c r="AQ14" i="49"/>
  <c r="AQ13" i="49"/>
  <c r="BN13" i="49"/>
  <c r="BT12" i="49"/>
  <c r="AQ12" i="49"/>
  <c r="AJ8" i="49"/>
  <c r="BU8" i="49"/>
  <c r="BM8" i="49"/>
  <c r="AJ292" i="49"/>
  <c r="BM292" i="49"/>
  <c r="BS292" i="49"/>
  <c r="AJ281" i="49"/>
  <c r="AF281" i="49"/>
  <c r="BG281" i="49"/>
  <c r="BM281" i="49"/>
  <c r="BS281" i="49"/>
  <c r="AJ279" i="49"/>
  <c r="BJ279" i="49"/>
  <c r="BU279" i="49"/>
  <c r="BE277" i="49"/>
  <c r="BM277" i="49"/>
  <c r="BU277" i="49"/>
  <c r="BE276" i="49"/>
  <c r="BP276" i="49"/>
  <c r="AC266" i="49"/>
  <c r="BE266" i="49"/>
  <c r="BO266" i="49"/>
  <c r="BS266" i="49"/>
  <c r="BF265" i="49"/>
  <c r="BL265" i="49"/>
  <c r="AC258" i="49"/>
  <c r="AJ258" i="49"/>
  <c r="AF258" i="49"/>
  <c r="BG258" i="49"/>
  <c r="BE258" i="49"/>
  <c r="BR258" i="49"/>
  <c r="BL258" i="49"/>
  <c r="BP258" i="49"/>
  <c r="BT258" i="49"/>
  <c r="AC257" i="49"/>
  <c r="BI257" i="49"/>
  <c r="BR257" i="49"/>
  <c r="BE257" i="49"/>
  <c r="BM257" i="49"/>
  <c r="AJ242" i="49"/>
  <c r="BI242" i="49"/>
  <c r="BQ242" i="49"/>
  <c r="BE242" i="49"/>
  <c r="BM242" i="49"/>
  <c r="BT242" i="49"/>
  <c r="AC236" i="49"/>
  <c r="AJ236" i="49"/>
  <c r="BJ236" i="49"/>
  <c r="BI236" i="49"/>
  <c r="BO236" i="49"/>
  <c r="BT236" i="49"/>
  <c r="BE236" i="49"/>
  <c r="BL236" i="49"/>
  <c r="BQ236" i="49"/>
  <c r="BM225" i="49"/>
  <c r="AJ225" i="49"/>
  <c r="BU225" i="49"/>
  <c r="BE223" i="49"/>
  <c r="BM223" i="49"/>
  <c r="BU223" i="49"/>
  <c r="AC223" i="49"/>
  <c r="BI223" i="49"/>
  <c r="BQ223" i="49"/>
  <c r="BF217" i="49"/>
  <c r="BQ217" i="49"/>
  <c r="AJ217" i="49"/>
  <c r="BJ217" i="49"/>
  <c r="BU217" i="49"/>
  <c r="AC204" i="49"/>
  <c r="BL204" i="49"/>
  <c r="BQ204" i="49"/>
  <c r="BB204" i="49"/>
  <c r="BI204" i="49"/>
  <c r="BO204" i="49"/>
  <c r="BT204" i="49"/>
  <c r="AC191" i="49"/>
  <c r="BB191" i="49"/>
  <c r="BI191" i="49"/>
  <c r="AJ164" i="49"/>
  <c r="BJ164" i="49"/>
  <c r="BI164" i="49"/>
  <c r="BM164" i="49"/>
  <c r="BR164" i="49"/>
  <c r="AC164" i="49"/>
  <c r="BE164" i="49"/>
  <c r="BK164" i="49"/>
  <c r="BP164" i="49"/>
  <c r="BT164" i="49"/>
  <c r="AJ143" i="49"/>
  <c r="AF143" i="49"/>
  <c r="BI143" i="49"/>
  <c r="BM143" i="49"/>
  <c r="BR143" i="49"/>
  <c r="AC143" i="49"/>
  <c r="BE143" i="49"/>
  <c r="BK143" i="49"/>
  <c r="BP143" i="49"/>
  <c r="BT143" i="49"/>
  <c r="BF140" i="49"/>
  <c r="AJ140" i="49"/>
  <c r="AF140" i="49"/>
  <c r="BG140" i="49"/>
  <c r="BR140" i="49"/>
  <c r="BF135" i="49"/>
  <c r="BL135" i="49"/>
  <c r="BQ135" i="49"/>
  <c r="BU135" i="49"/>
  <c r="AC135" i="49"/>
  <c r="BB135" i="49"/>
  <c r="BO135" i="49"/>
  <c r="BS135" i="49"/>
  <c r="AC125" i="49"/>
  <c r="AJ125" i="49"/>
  <c r="AF125" i="49"/>
  <c r="BE125" i="49"/>
  <c r="BR125" i="49"/>
  <c r="BL125" i="49"/>
  <c r="BP125" i="49"/>
  <c r="BT125" i="49"/>
  <c r="AC112" i="49"/>
  <c r="AJ112" i="49"/>
  <c r="BT112" i="49"/>
  <c r="BM112" i="49"/>
  <c r="BS112" i="49"/>
  <c r="BB112" i="49"/>
  <c r="BK112" i="49"/>
  <c r="BP112" i="49"/>
  <c r="BE99" i="49"/>
  <c r="BL99" i="49"/>
  <c r="BQ99" i="49"/>
  <c r="AC99" i="49"/>
  <c r="AJ99" i="49"/>
  <c r="BI99" i="49"/>
  <c r="BO99" i="49"/>
  <c r="BT99" i="49"/>
  <c r="BE96" i="49"/>
  <c r="BM96" i="49"/>
  <c r="BU96" i="49"/>
  <c r="AC96" i="49"/>
  <c r="BI96" i="49"/>
  <c r="BQ96" i="49"/>
  <c r="AC92" i="49"/>
  <c r="BE92" i="49"/>
  <c r="BK92" i="49"/>
  <c r="BP92" i="49"/>
  <c r="BT92" i="49"/>
  <c r="AJ92" i="49"/>
  <c r="BJ92" i="49"/>
  <c r="BI92" i="49"/>
  <c r="BM92" i="49"/>
  <c r="BR92" i="49"/>
  <c r="AJ83" i="49"/>
  <c r="BI83" i="49"/>
  <c r="BM83" i="49"/>
  <c r="BR83" i="49"/>
  <c r="AC83" i="49"/>
  <c r="BE83" i="49"/>
  <c r="BK83" i="49"/>
  <c r="BP83" i="49"/>
  <c r="BT83" i="49"/>
  <c r="BB72" i="49"/>
  <c r="BI72" i="49"/>
  <c r="BO72" i="49"/>
  <c r="BT72" i="49"/>
  <c r="AC72" i="49"/>
  <c r="BL72" i="49"/>
  <c r="BQ72" i="49"/>
  <c r="AC70" i="49"/>
  <c r="BE70" i="49"/>
  <c r="BO70" i="49"/>
  <c r="BS70" i="49"/>
  <c r="AJ70" i="49"/>
  <c r="BL70" i="49"/>
  <c r="BQ70" i="49"/>
  <c r="BU70" i="49"/>
  <c r="AC69" i="49"/>
  <c r="BI69" i="49"/>
  <c r="BR69" i="49"/>
  <c r="BE69" i="49"/>
  <c r="BM69" i="49"/>
  <c r="BQ61" i="49"/>
  <c r="BM58" i="49"/>
  <c r="BS58" i="49"/>
  <c r="AC58" i="49"/>
  <c r="BE58" i="49"/>
  <c r="BK58" i="49"/>
  <c r="BP58" i="49"/>
  <c r="AJ52" i="49"/>
  <c r="AF52" i="49"/>
  <c r="BG52" i="49"/>
  <c r="BL52" i="49"/>
  <c r="BQ52" i="49"/>
  <c r="BU52" i="49"/>
  <c r="AC52" i="49"/>
  <c r="BE52" i="49"/>
  <c r="BO52" i="49"/>
  <c r="BS52" i="49"/>
  <c r="AC29" i="49"/>
  <c r="BE29" i="49"/>
  <c r="BK29" i="49"/>
  <c r="BP29" i="49"/>
  <c r="BM29" i="49"/>
  <c r="BS29" i="49"/>
  <c r="AJ12" i="49"/>
  <c r="BF12" i="49"/>
  <c r="BP12" i="49"/>
  <c r="BB12" i="49"/>
  <c r="BL12" i="49"/>
  <c r="BR12" i="49"/>
  <c r="AJ115" i="24"/>
  <c r="BE126" i="24"/>
  <c r="BN272" i="24"/>
  <c r="BT285" i="24"/>
  <c r="AC285" i="24"/>
  <c r="BS288" i="24"/>
  <c r="BE288" i="24"/>
  <c r="AJ301" i="24"/>
  <c r="EW301" i="24"/>
  <c r="CI310" i="24"/>
  <c r="CK301" i="24"/>
  <c r="BL301" i="24"/>
  <c r="BH105" i="24"/>
  <c r="BR128" i="24"/>
  <c r="BU128" i="24"/>
  <c r="CL228" i="24"/>
  <c r="CK228" i="24"/>
  <c r="BL228" i="24"/>
  <c r="AB318" i="49"/>
  <c r="BE303" i="49"/>
  <c r="CL85" i="24"/>
  <c r="BN93" i="24"/>
  <c r="BN101" i="24"/>
  <c r="BT110" i="24"/>
  <c r="AC110" i="24"/>
  <c r="BV115" i="24"/>
  <c r="BS126" i="24"/>
  <c r="BV159" i="24"/>
  <c r="BR163" i="24"/>
  <c r="CK186" i="24"/>
  <c r="AQ189" i="24"/>
  <c r="BT203" i="24"/>
  <c r="AC203" i="24"/>
  <c r="CI205" i="24"/>
  <c r="BR212" i="24"/>
  <c r="BR219" i="24"/>
  <c r="BU219" i="24"/>
  <c r="BI219" i="24"/>
  <c r="BR228" i="24"/>
  <c r="BO256" i="24"/>
  <c r="AC259" i="24"/>
  <c r="BV272" i="24"/>
  <c r="BR285" i="24"/>
  <c r="EW288" i="24"/>
  <c r="BI290" i="24"/>
  <c r="BU294" i="24"/>
  <c r="AJ300" i="24"/>
  <c r="BX300" i="24"/>
  <c r="BV301" i="24"/>
  <c r="BW310" i="24"/>
  <c r="BK201" i="49"/>
  <c r="AC201" i="49"/>
  <c r="BP317" i="49"/>
  <c r="BS317" i="49"/>
  <c r="BP93" i="24"/>
  <c r="BU101" i="24"/>
  <c r="BX101" i="24"/>
  <c r="BH101" i="24"/>
  <c r="BT113" i="24"/>
  <c r="AC113" i="24"/>
  <c r="CI118" i="24"/>
  <c r="BI118" i="24"/>
  <c r="BV123" i="24"/>
  <c r="CL123" i="24"/>
  <c r="BX126" i="24"/>
  <c r="BH126" i="24"/>
  <c r="BP159" i="24"/>
  <c r="BS163" i="24"/>
  <c r="BR186" i="24"/>
  <c r="BU186" i="24"/>
  <c r="BI189" i="24"/>
  <c r="BP189" i="24"/>
  <c r="BS205" i="24"/>
  <c r="AJ228" i="24"/>
  <c r="AF228" i="24"/>
  <c r="BE247" i="24"/>
  <c r="CK247" i="24"/>
  <c r="BX260" i="24"/>
  <c r="BH260" i="24"/>
  <c r="CI300" i="24"/>
  <c r="BE301" i="24"/>
  <c r="BW272" i="24"/>
  <c r="BN294" i="24"/>
  <c r="BU310" i="24"/>
  <c r="BO310" i="24"/>
  <c r="EW307" i="24"/>
  <c r="CI307" i="24"/>
  <c r="BT307" i="24"/>
  <c r="BO307" i="24"/>
  <c r="BT296" i="24"/>
  <c r="BO296" i="24"/>
  <c r="BH296" i="24"/>
  <c r="BW296" i="24"/>
  <c r="EW290" i="24"/>
  <c r="BS290" i="24"/>
  <c r="BN290" i="24"/>
  <c r="BX290" i="24"/>
  <c r="BP288" i="24"/>
  <c r="CL285" i="24"/>
  <c r="BV285" i="24"/>
  <c r="BO285" i="24"/>
  <c r="BU270" i="24"/>
  <c r="BO270" i="24"/>
  <c r="CI267" i="24"/>
  <c r="BT267" i="24"/>
  <c r="BO267" i="24"/>
  <c r="EW266" i="24"/>
  <c r="BH266" i="24"/>
  <c r="EX262" i="24"/>
  <c r="BV262" i="24"/>
  <c r="BR262" i="24"/>
  <c r="BH262" i="24"/>
  <c r="BS256" i="24"/>
  <c r="EW249" i="24"/>
  <c r="BS249" i="24"/>
  <c r="EX247" i="24"/>
  <c r="CI237" i="24"/>
  <c r="BT237" i="24"/>
  <c r="BO237" i="24"/>
  <c r="CK231" i="24"/>
  <c r="BV231" i="24"/>
  <c r="BR231" i="24"/>
  <c r="BE231" i="24"/>
  <c r="EX228" i="24"/>
  <c r="EX224" i="24"/>
  <c r="BT224" i="24"/>
  <c r="BO224" i="24"/>
  <c r="BH224" i="24"/>
  <c r="BS219" i="24"/>
  <c r="BH219" i="24"/>
  <c r="CK214" i="24"/>
  <c r="BV214" i="24"/>
  <c r="BR214" i="24"/>
  <c r="BE214" i="24"/>
  <c r="EX213" i="24"/>
  <c r="CK213" i="24"/>
  <c r="BV213" i="24"/>
  <c r="BR213" i="24"/>
  <c r="BE213" i="24"/>
  <c r="EX205" i="24"/>
  <c r="EW202" i="24"/>
  <c r="CI202" i="24"/>
  <c r="BT202" i="24"/>
  <c r="BO202" i="24"/>
  <c r="BI202" i="24"/>
  <c r="CL197" i="24"/>
  <c r="BU197" i="24"/>
  <c r="BO197" i="24"/>
  <c r="BI197" i="24"/>
  <c r="BW197" i="24"/>
  <c r="AJ197" i="24"/>
  <c r="AF197" i="24"/>
  <c r="EX195" i="24"/>
  <c r="CI195" i="24"/>
  <c r="BR195" i="24"/>
  <c r="BI195" i="24"/>
  <c r="BW195" i="24"/>
  <c r="BS189" i="24"/>
  <c r="BS186" i="24"/>
  <c r="CK175" i="24"/>
  <c r="BV175" i="24"/>
  <c r="BU168" i="24"/>
  <c r="BO168" i="24"/>
  <c r="BI168" i="24"/>
  <c r="BW168" i="24"/>
  <c r="AJ168" i="24"/>
  <c r="CL165" i="24"/>
  <c r="BU165" i="24"/>
  <c r="BO165" i="24"/>
  <c r="BI165" i="24"/>
  <c r="BW165" i="24"/>
  <c r="AJ165" i="24"/>
  <c r="AF165" i="24"/>
  <c r="BJ165" i="24"/>
  <c r="EX163" i="24"/>
  <c r="BX157" i="24"/>
  <c r="BT157" i="24"/>
  <c r="BO157" i="24"/>
  <c r="BH157" i="24"/>
  <c r="AJ157" i="24"/>
  <c r="BS151" i="24"/>
  <c r="BX150" i="24"/>
  <c r="BP150" i="24"/>
  <c r="BE150" i="24"/>
  <c r="BU145" i="24"/>
  <c r="BH145" i="24"/>
  <c r="AJ145" i="24"/>
  <c r="BM145" i="24"/>
  <c r="EW144" i="24"/>
  <c r="BT144" i="24"/>
  <c r="BO144" i="24"/>
  <c r="BE144" i="24"/>
  <c r="EX142" i="24"/>
  <c r="BV142" i="24"/>
  <c r="BR142" i="24"/>
  <c r="BE142" i="24"/>
  <c r="EX138" i="24"/>
  <c r="CI138" i="24"/>
  <c r="BR138" i="24"/>
  <c r="BI138" i="24"/>
  <c r="BW138" i="24"/>
  <c r="CL134" i="24"/>
  <c r="BI134" i="24"/>
  <c r="BW134" i="24"/>
  <c r="BX133" i="24"/>
  <c r="BQ133" i="24"/>
  <c r="BL133" i="24"/>
  <c r="BE133" i="24"/>
  <c r="EX128" i="24"/>
  <c r="EW126" i="24"/>
  <c r="EW124" i="24"/>
  <c r="CI124" i="24"/>
  <c r="BR124" i="24"/>
  <c r="BS123" i="24"/>
  <c r="EW122" i="24"/>
  <c r="CI122" i="24"/>
  <c r="BR122" i="24"/>
  <c r="BI122" i="24"/>
  <c r="BW122" i="24"/>
  <c r="EX119" i="24"/>
  <c r="CI119" i="24"/>
  <c r="BR119" i="24"/>
  <c r="BS118" i="24"/>
  <c r="BT115" i="24"/>
  <c r="CK114" i="24"/>
  <c r="BV114" i="24"/>
  <c r="BR114" i="24"/>
  <c r="BE114" i="24"/>
  <c r="BS113" i="24"/>
  <c r="EX112" i="24"/>
  <c r="CI112" i="24"/>
  <c r="BR112" i="24"/>
  <c r="BI112" i="24"/>
  <c r="BW112" i="24"/>
  <c r="BS110" i="24"/>
  <c r="BV109" i="24"/>
  <c r="BO109" i="24"/>
  <c r="EX103" i="24"/>
  <c r="BU103" i="24"/>
  <c r="CK100" i="24"/>
  <c r="BV100" i="24"/>
  <c r="BR100" i="24"/>
  <c r="BE100" i="24"/>
  <c r="EW99" i="24"/>
  <c r="CI94" i="24"/>
  <c r="BT94" i="24"/>
  <c r="BO94" i="24"/>
  <c r="BI94" i="24"/>
  <c r="BV92" i="24"/>
  <c r="BR92" i="24"/>
  <c r="BE92" i="24"/>
  <c r="EW91" i="24"/>
  <c r="BV91" i="24"/>
  <c r="BE91" i="24"/>
  <c r="EW90" i="24"/>
  <c r="BT90" i="24"/>
  <c r="BO90" i="24"/>
  <c r="BI90" i="24"/>
  <c r="BU84" i="24"/>
  <c r="BO84" i="24"/>
  <c r="BI84" i="24"/>
  <c r="BW84" i="24"/>
  <c r="AJ84" i="24"/>
  <c r="AF84" i="24"/>
  <c r="BJ84" i="24"/>
  <c r="EX82" i="24"/>
  <c r="EW81" i="24"/>
  <c r="CI81" i="24"/>
  <c r="BT81" i="24"/>
  <c r="BO81" i="24"/>
  <c r="BI81" i="24"/>
  <c r="BV80" i="24"/>
  <c r="BE80" i="24"/>
  <c r="CI78" i="24"/>
  <c r="BR78" i="24"/>
  <c r="EW75" i="24"/>
  <c r="CI75" i="24"/>
  <c r="BR75" i="24"/>
  <c r="EX73" i="24"/>
  <c r="BW73" i="24"/>
  <c r="BO73" i="24"/>
  <c r="CL69" i="24"/>
  <c r="BX69" i="24"/>
  <c r="BS69" i="24"/>
  <c r="BO69" i="24"/>
  <c r="BI69" i="24"/>
  <c r="BW68" i="24"/>
  <c r="BR68" i="24"/>
  <c r="BL68" i="24"/>
  <c r="EX66" i="24"/>
  <c r="CI66" i="24"/>
  <c r="BR66" i="24"/>
  <c r="BU65" i="24"/>
  <c r="BO65" i="24"/>
  <c r="EX60" i="24"/>
  <c r="BW60" i="24"/>
  <c r="BO60" i="24"/>
  <c r="EW58" i="24"/>
  <c r="CI58" i="24"/>
  <c r="BT58" i="24"/>
  <c r="BP58" i="24"/>
  <c r="BL58" i="24"/>
  <c r="CK56" i="24"/>
  <c r="BV56" i="24"/>
  <c r="BP56" i="24"/>
  <c r="BI56" i="24"/>
  <c r="BT55" i="24"/>
  <c r="BL55" i="24"/>
  <c r="EX54" i="24"/>
  <c r="EW52" i="24"/>
  <c r="CI52" i="24"/>
  <c r="BT52" i="24"/>
  <c r="BP52" i="24"/>
  <c r="BL52" i="24"/>
  <c r="BS51" i="24"/>
  <c r="BH51" i="24"/>
  <c r="BS50" i="24"/>
  <c r="BH50" i="24"/>
  <c r="BU49" i="24"/>
  <c r="BO49" i="24"/>
  <c r="BI49" i="24"/>
  <c r="BW49" i="24"/>
  <c r="AJ49" i="24"/>
  <c r="BW47" i="24"/>
  <c r="BO47" i="24"/>
  <c r="BS45" i="24"/>
  <c r="BH45" i="24"/>
  <c r="EX44" i="24"/>
  <c r="BS44" i="24"/>
  <c r="BH44" i="24"/>
  <c r="BU43" i="24"/>
  <c r="BO43" i="24"/>
  <c r="BI43" i="24"/>
  <c r="BW43" i="24"/>
  <c r="AJ43" i="24"/>
  <c r="AF43" i="24"/>
  <c r="BJ43" i="24"/>
  <c r="BT38" i="24"/>
  <c r="BP38" i="24"/>
  <c r="BX37" i="24"/>
  <c r="BS37" i="24"/>
  <c r="BN37" i="24"/>
  <c r="BH37" i="24"/>
  <c r="EW36" i="24"/>
  <c r="BT36" i="24"/>
  <c r="BO36" i="24"/>
  <c r="BS34" i="24"/>
  <c r="BN34" i="24"/>
  <c r="BH34" i="24"/>
  <c r="EX31" i="24"/>
  <c r="EW28" i="24"/>
  <c r="BT28" i="24"/>
  <c r="BU25" i="24"/>
  <c r="BL25" i="24"/>
  <c r="EX22" i="24"/>
  <c r="CI22" i="24"/>
  <c r="BR22" i="24"/>
  <c r="CK12" i="24"/>
  <c r="BT315" i="49"/>
  <c r="BO315" i="49"/>
  <c r="BI315" i="49"/>
  <c r="AJ315" i="49"/>
  <c r="AF315" i="49"/>
  <c r="BG315" i="49"/>
  <c r="BQ310" i="49"/>
  <c r="BF310" i="49"/>
  <c r="BS305" i="49"/>
  <c r="BO305" i="49"/>
  <c r="BE305" i="49"/>
  <c r="BM299" i="49"/>
  <c r="AQ299" i="49"/>
  <c r="AC299" i="49"/>
  <c r="BQ294" i="49"/>
  <c r="BU292" i="49"/>
  <c r="BO292" i="49"/>
  <c r="BS291" i="49"/>
  <c r="BK291" i="49"/>
  <c r="BB291" i="49"/>
  <c r="BM288" i="49"/>
  <c r="AQ288" i="49"/>
  <c r="AC288" i="49"/>
  <c r="BU281" i="49"/>
  <c r="BO281" i="49"/>
  <c r="BR279" i="49"/>
  <c r="BF279" i="49"/>
  <c r="BR277" i="49"/>
  <c r="BI277" i="49"/>
  <c r="BM276" i="49"/>
  <c r="AJ274" i="49"/>
  <c r="BJ274" i="49"/>
  <c r="BT274" i="49"/>
  <c r="BL274" i="49"/>
  <c r="BQ274" i="49"/>
  <c r="AJ273" i="49"/>
  <c r="BJ273" i="49"/>
  <c r="BL273" i="49"/>
  <c r="BQ273" i="49"/>
  <c r="BU273" i="49"/>
  <c r="BQ268" i="49"/>
  <c r="AQ268" i="49"/>
  <c r="BN268" i="49"/>
  <c r="BR266" i="49"/>
  <c r="BL266" i="49"/>
  <c r="BF266" i="49"/>
  <c r="AQ266" i="49"/>
  <c r="BR265" i="49"/>
  <c r="BK265" i="49"/>
  <c r="AJ264" i="49"/>
  <c r="BU264" i="49"/>
  <c r="BR263" i="49"/>
  <c r="BM263" i="49"/>
  <c r="AC263" i="49"/>
  <c r="BU258" i="49"/>
  <c r="BM258" i="49"/>
  <c r="BB258" i="49"/>
  <c r="AQ258" i="49"/>
  <c r="AG258" i="49"/>
  <c r="BF257" i="49"/>
  <c r="BE256" i="49"/>
  <c r="AC256" i="49"/>
  <c r="BR255" i="49"/>
  <c r="AJ255" i="49"/>
  <c r="BJ255" i="49"/>
  <c r="AC249" i="49"/>
  <c r="AJ243" i="49"/>
  <c r="AF243" i="49"/>
  <c r="BG243" i="49"/>
  <c r="BR243" i="49"/>
  <c r="BF243" i="49"/>
  <c r="BP242" i="49"/>
  <c r="BE239" i="49"/>
  <c r="BU239" i="49"/>
  <c r="BM239" i="49"/>
  <c r="BS236" i="49"/>
  <c r="AQ236" i="49"/>
  <c r="AG236" i="49"/>
  <c r="BH236" i="49"/>
  <c r="BM233" i="49"/>
  <c r="AJ233" i="49"/>
  <c r="BJ233" i="49"/>
  <c r="BU233" i="49"/>
  <c r="BO232" i="49"/>
  <c r="AJ230" i="49"/>
  <c r="AJ229" i="49"/>
  <c r="AF229" i="49"/>
  <c r="BG229" i="49"/>
  <c r="BQ229" i="49"/>
  <c r="BI229" i="49"/>
  <c r="BF223" i="49"/>
  <c r="BM219" i="49"/>
  <c r="BB219" i="49"/>
  <c r="BR217" i="49"/>
  <c r="BI210" i="49"/>
  <c r="AC210" i="49"/>
  <c r="AJ207" i="49"/>
  <c r="AF207" i="49"/>
  <c r="BL207" i="49"/>
  <c r="BQ207" i="49"/>
  <c r="BU207" i="49"/>
  <c r="AC207" i="49"/>
  <c r="BE207" i="49"/>
  <c r="BO207" i="49"/>
  <c r="BS207" i="49"/>
  <c r="BE206" i="49"/>
  <c r="BM206" i="49"/>
  <c r="AC206" i="49"/>
  <c r="BI206" i="49"/>
  <c r="BR206" i="49"/>
  <c r="BM204" i="49"/>
  <c r="AJ204" i="49"/>
  <c r="AF204" i="49"/>
  <c r="BG204" i="49"/>
  <c r="BO203" i="49"/>
  <c r="BB203" i="49"/>
  <c r="AC200" i="49"/>
  <c r="BE200" i="49"/>
  <c r="BK200" i="49"/>
  <c r="BP200" i="49"/>
  <c r="BM200" i="49"/>
  <c r="BS200" i="49"/>
  <c r="BI197" i="49"/>
  <c r="AC197" i="49"/>
  <c r="AJ194" i="49"/>
  <c r="BL194" i="49"/>
  <c r="BQ194" i="49"/>
  <c r="BU194" i="49"/>
  <c r="AC194" i="49"/>
  <c r="BE194" i="49"/>
  <c r="BO194" i="49"/>
  <c r="BS194" i="49"/>
  <c r="BE193" i="49"/>
  <c r="BM193" i="49"/>
  <c r="AC193" i="49"/>
  <c r="BI193" i="49"/>
  <c r="BR193" i="49"/>
  <c r="BM191" i="49"/>
  <c r="BO190" i="49"/>
  <c r="BB190" i="49"/>
  <c r="AJ187" i="49"/>
  <c r="BJ187" i="49"/>
  <c r="BR187" i="49"/>
  <c r="BF187" i="49"/>
  <c r="BF178" i="49"/>
  <c r="AJ178" i="49"/>
  <c r="AF178" i="49"/>
  <c r="BG178" i="49"/>
  <c r="BR178" i="49"/>
  <c r="BI171" i="49"/>
  <c r="AC171" i="49"/>
  <c r="BQ166" i="49"/>
  <c r="BS165" i="49"/>
  <c r="AQ165" i="49"/>
  <c r="BS164" i="49"/>
  <c r="AC159" i="49"/>
  <c r="AJ159" i="49"/>
  <c r="BJ159" i="49"/>
  <c r="BI159" i="49"/>
  <c r="BO159" i="49"/>
  <c r="BT159" i="49"/>
  <c r="BE159" i="49"/>
  <c r="BL159" i="49"/>
  <c r="BQ159" i="49"/>
  <c r="BI150" i="49"/>
  <c r="AC150" i="49"/>
  <c r="BQ145" i="49"/>
  <c r="BS144" i="49"/>
  <c r="AQ144" i="49"/>
  <c r="AG144" i="49"/>
  <c r="BH144" i="49"/>
  <c r="BS143" i="49"/>
  <c r="BT141" i="49"/>
  <c r="BK141" i="49"/>
  <c r="BQ140" i="49"/>
  <c r="AC136" i="49"/>
  <c r="BE136" i="49"/>
  <c r="BO136" i="49"/>
  <c r="BS136" i="49"/>
  <c r="AJ136" i="49"/>
  <c r="BJ136" i="49"/>
  <c r="BL136" i="49"/>
  <c r="BQ136" i="49"/>
  <c r="BU136" i="49"/>
  <c r="BP135" i="49"/>
  <c r="BE135" i="49"/>
  <c r="BI134" i="49"/>
  <c r="AC134" i="49"/>
  <c r="AJ131" i="49"/>
  <c r="BJ131" i="49"/>
  <c r="BU131" i="49"/>
  <c r="BF131" i="49"/>
  <c r="BQ131" i="49"/>
  <c r="BE127" i="49"/>
  <c r="BU125" i="49"/>
  <c r="BM125" i="49"/>
  <c r="BB125" i="49"/>
  <c r="AQ125" i="49"/>
  <c r="AG125" i="49"/>
  <c r="BL116" i="49"/>
  <c r="BS116" i="49"/>
  <c r="AC116" i="49"/>
  <c r="BF116" i="49"/>
  <c r="BP116" i="49"/>
  <c r="BU112" i="49"/>
  <c r="BI112" i="49"/>
  <c r="AQ112" i="49"/>
  <c r="AG112" i="49"/>
  <c r="BN112" i="49"/>
  <c r="BB110" i="49"/>
  <c r="BK110" i="49"/>
  <c r="BP110" i="49"/>
  <c r="AC110" i="49"/>
  <c r="AJ110" i="49"/>
  <c r="AF110" i="49"/>
  <c r="BG110" i="49"/>
  <c r="BT110" i="49"/>
  <c r="BM110" i="49"/>
  <c r="BS110" i="49"/>
  <c r="BU100" i="49"/>
  <c r="BS99" i="49"/>
  <c r="AQ99" i="49"/>
  <c r="AG99" i="49"/>
  <c r="BH99" i="49"/>
  <c r="BF96" i="49"/>
  <c r="BP94" i="49"/>
  <c r="BS93" i="49"/>
  <c r="AQ93" i="49"/>
  <c r="BS92" i="49"/>
  <c r="BI90" i="49"/>
  <c r="BS84" i="49"/>
  <c r="AQ84" i="49"/>
  <c r="BN84" i="49"/>
  <c r="BS83" i="49"/>
  <c r="BO80" i="49"/>
  <c r="BB80" i="49"/>
  <c r="AQ80" i="49"/>
  <c r="BI75" i="49"/>
  <c r="BM72" i="49"/>
  <c r="AJ72" i="49"/>
  <c r="BJ72" i="49"/>
  <c r="BO71" i="49"/>
  <c r="BB71" i="49"/>
  <c r="BR70" i="49"/>
  <c r="BI70" i="49"/>
  <c r="BF69" i="49"/>
  <c r="AJ66" i="49"/>
  <c r="AF66" i="49"/>
  <c r="BI66" i="49"/>
  <c r="BM66" i="49"/>
  <c r="BR66" i="49"/>
  <c r="AC66" i="49"/>
  <c r="BE66" i="49"/>
  <c r="BK66" i="49"/>
  <c r="BP66" i="49"/>
  <c r="BT66" i="49"/>
  <c r="S65" i="49"/>
  <c r="BF63" i="49"/>
  <c r="AJ63" i="49"/>
  <c r="AF63" i="49"/>
  <c r="BG63" i="49"/>
  <c r="BR63" i="49"/>
  <c r="BE62" i="49"/>
  <c r="BM62" i="49"/>
  <c r="BU62" i="49"/>
  <c r="AC62" i="49"/>
  <c r="BI62" i="49"/>
  <c r="BQ62" i="49"/>
  <c r="BE61" i="49"/>
  <c r="BI60" i="49"/>
  <c r="BU58" i="49"/>
  <c r="BI58" i="49"/>
  <c r="BT58" i="49"/>
  <c r="AJ58" i="49"/>
  <c r="AC55" i="49"/>
  <c r="BE55" i="49"/>
  <c r="BR55" i="49"/>
  <c r="BL55" i="49"/>
  <c r="BP55" i="49"/>
  <c r="BT55" i="49"/>
  <c r="BT53" i="49"/>
  <c r="BK53" i="49"/>
  <c r="BR52" i="49"/>
  <c r="BI52" i="49"/>
  <c r="AJ50" i="49"/>
  <c r="AF50" i="49"/>
  <c r="BG50" i="49"/>
  <c r="BR50" i="49"/>
  <c r="BF50" i="49"/>
  <c r="BQ46" i="49"/>
  <c r="AJ46" i="49"/>
  <c r="BB44" i="49"/>
  <c r="BI44" i="49"/>
  <c r="BO44" i="49"/>
  <c r="BT44" i="49"/>
  <c r="AC44" i="49"/>
  <c r="BL44" i="49"/>
  <c r="BQ44" i="49"/>
  <c r="BM38" i="49"/>
  <c r="BB38" i="49"/>
  <c r="BQ37" i="49"/>
  <c r="AJ37" i="49"/>
  <c r="AC32" i="49"/>
  <c r="BE32" i="49"/>
  <c r="BK32" i="49"/>
  <c r="BP32" i="49"/>
  <c r="BT32" i="49"/>
  <c r="AJ32" i="49"/>
  <c r="BJ32" i="49"/>
  <c r="BI32" i="49"/>
  <c r="BM32" i="49"/>
  <c r="BR32" i="49"/>
  <c r="BU29" i="49"/>
  <c r="BI29" i="49"/>
  <c r="BT29" i="49"/>
  <c r="AJ29" i="49"/>
  <c r="Q318" i="49"/>
  <c r="BO25" i="49"/>
  <c r="BB25" i="49"/>
  <c r="AQ25" i="49"/>
  <c r="BI18" i="49"/>
  <c r="AC18" i="49"/>
  <c r="BB16" i="49"/>
  <c r="BT16" i="49"/>
  <c r="AJ14" i="49"/>
  <c r="BL14" i="49"/>
  <c r="BQ14" i="49"/>
  <c r="BU14" i="49"/>
  <c r="AC14" i="49"/>
  <c r="BE14" i="49"/>
  <c r="BO14" i="49"/>
  <c r="BS14" i="49"/>
  <c r="BE13" i="49"/>
  <c r="BM13" i="49"/>
  <c r="AC13" i="49"/>
  <c r="BI13" i="49"/>
  <c r="BR13" i="49"/>
  <c r="BM12" i="49"/>
  <c r="BP260" i="49"/>
  <c r="BE260" i="49"/>
  <c r="BT254" i="49"/>
  <c r="BP254" i="49"/>
  <c r="BK254" i="49"/>
  <c r="BU253" i="49"/>
  <c r="BU247" i="49"/>
  <c r="BP247" i="49"/>
  <c r="BT246" i="49"/>
  <c r="BO246" i="49"/>
  <c r="BT241" i="49"/>
  <c r="BP241" i="49"/>
  <c r="BK241" i="49"/>
  <c r="BU240" i="49"/>
  <c r="BT235" i="49"/>
  <c r="BP235" i="49"/>
  <c r="BK235" i="49"/>
  <c r="BT227" i="49"/>
  <c r="BP227" i="49"/>
  <c r="BK227" i="49"/>
  <c r="BR224" i="49"/>
  <c r="BM224" i="49"/>
  <c r="BQ220" i="49"/>
  <c r="BL220" i="49"/>
  <c r="BT220" i="49"/>
  <c r="BU216" i="49"/>
  <c r="BS212" i="49"/>
  <c r="BM212" i="49"/>
  <c r="BU211" i="49"/>
  <c r="BQ211" i="49"/>
  <c r="BL211" i="49"/>
  <c r="BQ208" i="49"/>
  <c r="BL208" i="49"/>
  <c r="BT208" i="49"/>
  <c r="BR202" i="49"/>
  <c r="BI202" i="49"/>
  <c r="BT199" i="49"/>
  <c r="BP199" i="49"/>
  <c r="BK199" i="49"/>
  <c r="BU198" i="49"/>
  <c r="BQ198" i="49"/>
  <c r="BM198" i="49"/>
  <c r="BI198" i="49"/>
  <c r="BQ195" i="49"/>
  <c r="BL195" i="49"/>
  <c r="BT195" i="49"/>
  <c r="BR189" i="49"/>
  <c r="BI189" i="49"/>
  <c r="BU183" i="49"/>
  <c r="BO183" i="49"/>
  <c r="BR179" i="49"/>
  <c r="BR174" i="49"/>
  <c r="BU173" i="49"/>
  <c r="BT158" i="49"/>
  <c r="BP158" i="49"/>
  <c r="BK158" i="49"/>
  <c r="BS155" i="49"/>
  <c r="BO155" i="49"/>
  <c r="BK155" i="49"/>
  <c r="BU154" i="49"/>
  <c r="BS132" i="49"/>
  <c r="BO132" i="49"/>
  <c r="BK132" i="49"/>
  <c r="BQ128" i="49"/>
  <c r="BI128" i="49"/>
  <c r="BU124" i="49"/>
  <c r="BQ124" i="49"/>
  <c r="BL124" i="49"/>
  <c r="BQ114" i="49"/>
  <c r="BI114" i="49"/>
  <c r="BU111" i="49"/>
  <c r="BO111" i="49"/>
  <c r="BT108" i="49"/>
  <c r="BP108" i="49"/>
  <c r="BK108" i="49"/>
  <c r="BR105" i="49"/>
  <c r="BI105" i="49"/>
  <c r="BP102" i="49"/>
  <c r="BE102" i="49"/>
  <c r="BU101" i="49"/>
  <c r="BT97" i="49"/>
  <c r="BP97" i="49"/>
  <c r="BK97" i="49"/>
  <c r="BR91" i="49"/>
  <c r="BI91" i="49"/>
  <c r="BT88" i="49"/>
  <c r="BP88" i="49"/>
  <c r="BK88" i="49"/>
  <c r="BU87" i="49"/>
  <c r="BR77" i="49"/>
  <c r="BI77" i="49"/>
  <c r="BQ57" i="49"/>
  <c r="BL57" i="49"/>
  <c r="BT57" i="49"/>
  <c r="BT49" i="49"/>
  <c r="BP49" i="49"/>
  <c r="BK49" i="49"/>
  <c r="BU48" i="49"/>
  <c r="BS43" i="49"/>
  <c r="BM43" i="49"/>
  <c r="BU42" i="49"/>
  <c r="BQ42" i="49"/>
  <c r="BL42" i="49"/>
  <c r="BQ39" i="49"/>
  <c r="BL39" i="49"/>
  <c r="BT39" i="49"/>
  <c r="BQ36" i="49"/>
  <c r="BL36" i="49"/>
  <c r="BF36" i="49"/>
  <c r="BU35" i="49"/>
  <c r="BR31" i="49"/>
  <c r="BI31" i="49"/>
  <c r="BT28" i="49"/>
  <c r="BP28" i="49"/>
  <c r="BK28" i="49"/>
  <c r="BS27" i="49"/>
  <c r="BM27" i="49"/>
  <c r="BR20" i="49"/>
  <c r="BL20" i="49"/>
  <c r="BU19" i="49"/>
  <c r="BQ19" i="49"/>
  <c r="BL19" i="49"/>
  <c r="BS15" i="49"/>
  <c r="BM15" i="49"/>
  <c r="BT11" i="49"/>
  <c r="BP11" i="49"/>
  <c r="BK11" i="49"/>
  <c r="BQ9" i="49"/>
  <c r="BI9" i="49"/>
  <c r="AF37" i="49"/>
  <c r="BG37" i="49"/>
  <c r="BJ37" i="49"/>
  <c r="AF46" i="49"/>
  <c r="BG46" i="49"/>
  <c r="BJ46" i="49"/>
  <c r="AF72" i="49"/>
  <c r="BG72" i="49"/>
  <c r="AG84" i="49"/>
  <c r="BH84" i="49"/>
  <c r="BH112" i="49"/>
  <c r="BJ229" i="49"/>
  <c r="AF273" i="49"/>
  <c r="BG273" i="49"/>
  <c r="BJ12" i="49"/>
  <c r="AF12" i="49"/>
  <c r="BG12" i="49"/>
  <c r="BJ125" i="49"/>
  <c r="BJ242" i="49"/>
  <c r="AF242" i="49"/>
  <c r="BJ258" i="49"/>
  <c r="BN12" i="49"/>
  <c r="AG12" i="49"/>
  <c r="BH12" i="49"/>
  <c r="BN62" i="49"/>
  <c r="AG62" i="49"/>
  <c r="BH62" i="49"/>
  <c r="AG66" i="49"/>
  <c r="BH66" i="49"/>
  <c r="BN136" i="49"/>
  <c r="AG162" i="49"/>
  <c r="BH162" i="49"/>
  <c r="BN162" i="49"/>
  <c r="BJ180" i="49"/>
  <c r="AG232" i="49"/>
  <c r="BH232" i="49"/>
  <c r="AF45" i="24"/>
  <c r="BJ45" i="24"/>
  <c r="AF285" i="24"/>
  <c r="BJ285" i="24"/>
  <c r="AF256" i="24"/>
  <c r="BJ256" i="24"/>
  <c r="BM256" i="24"/>
  <c r="AF126" i="24"/>
  <c r="BJ126" i="24"/>
  <c r="AG143" i="49"/>
  <c r="BH143" i="49"/>
  <c r="BN143" i="49"/>
  <c r="AG164" i="49"/>
  <c r="BH164" i="49"/>
  <c r="BN164" i="49"/>
  <c r="AG60" i="24"/>
  <c r="BQ60" i="24"/>
  <c r="BM124" i="24"/>
  <c r="AF146" i="24"/>
  <c r="BJ146" i="24"/>
  <c r="BM146" i="24"/>
  <c r="AG223" i="24"/>
  <c r="BK223" i="24"/>
  <c r="BQ223" i="24"/>
  <c r="AF223" i="24"/>
  <c r="BM223" i="24"/>
  <c r="BG96" i="49"/>
  <c r="BM185" i="24"/>
  <c r="AF201" i="24"/>
  <c r="BJ201" i="24"/>
  <c r="BM201" i="24"/>
  <c r="BM152" i="24"/>
  <c r="BH119" i="49"/>
  <c r="AF58" i="49"/>
  <c r="BG58" i="49"/>
  <c r="BJ58" i="49"/>
  <c r="BN99" i="49"/>
  <c r="AF159" i="49"/>
  <c r="BG159" i="49"/>
  <c r="BJ207" i="49"/>
  <c r="AF274" i="49"/>
  <c r="BG274" i="49"/>
  <c r="AG299" i="49"/>
  <c r="BH299" i="49"/>
  <c r="BN299" i="49"/>
  <c r="BJ315" i="49"/>
  <c r="AF115" i="24"/>
  <c r="BM115" i="24"/>
  <c r="AF236" i="49"/>
  <c r="BG236" i="49"/>
  <c r="AG32" i="49"/>
  <c r="BN32" i="49"/>
  <c r="BJ54" i="49"/>
  <c r="AF80" i="49"/>
  <c r="BJ80" i="49"/>
  <c r="AG81" i="49"/>
  <c r="BH81" i="49"/>
  <c r="BN81" i="49"/>
  <c r="AG193" i="49"/>
  <c r="BH193" i="49"/>
  <c r="BN193" i="49"/>
  <c r="BJ228" i="49"/>
  <c r="BN255" i="49"/>
  <c r="AG255" i="49"/>
  <c r="BH255" i="49"/>
  <c r="AF36" i="24"/>
  <c r="BJ36" i="24"/>
  <c r="BM36" i="24"/>
  <c r="BM43" i="24"/>
  <c r="AF51" i="24"/>
  <c r="BJ51" i="24"/>
  <c r="AF73" i="24"/>
  <c r="BJ73" i="24"/>
  <c r="AF195" i="24"/>
  <c r="BJ195" i="24"/>
  <c r="BJ18" i="49"/>
  <c r="AG52" i="49"/>
  <c r="BH52" i="49"/>
  <c r="BN52" i="49"/>
  <c r="AG69" i="49"/>
  <c r="BN69" i="49"/>
  <c r="BN92" i="49"/>
  <c r="AG92" i="49"/>
  <c r="BH92" i="49"/>
  <c r="BH281" i="49"/>
  <c r="BN281" i="49"/>
  <c r="AG114" i="24"/>
  <c r="BK114" i="24"/>
  <c r="BQ114" i="24"/>
  <c r="AG211" i="24"/>
  <c r="AG273" i="24"/>
  <c r="BK273" i="24"/>
  <c r="BQ278" i="24"/>
  <c r="AF241" i="24"/>
  <c r="BJ241" i="24"/>
  <c r="BJ306" i="24"/>
  <c r="BM306" i="24"/>
  <c r="AG200" i="24"/>
  <c r="BK200" i="24"/>
  <c r="BQ200" i="24"/>
  <c r="AF313" i="24"/>
  <c r="BJ313" i="24"/>
  <c r="BM313" i="24"/>
  <c r="BQ284" i="24"/>
  <c r="AF32" i="49"/>
  <c r="BG32" i="49"/>
  <c r="BJ66" i="49"/>
  <c r="BN144" i="49"/>
  <c r="AG268" i="49"/>
  <c r="BH268" i="49"/>
  <c r="AF112" i="49"/>
  <c r="BJ112" i="49"/>
  <c r="BJ281" i="49"/>
  <c r="AF292" i="49"/>
  <c r="BG292" i="49"/>
  <c r="BJ292" i="49"/>
  <c r="BJ8" i="49"/>
  <c r="AF8" i="49"/>
  <c r="BG8" i="49"/>
  <c r="AG13" i="49"/>
  <c r="BH13" i="49"/>
  <c r="BJ25" i="49"/>
  <c r="BJ95" i="49"/>
  <c r="BJ147" i="49"/>
  <c r="BJ175" i="49"/>
  <c r="AG194" i="49"/>
  <c r="BN194" i="49"/>
  <c r="BN206" i="49"/>
  <c r="AG206" i="49"/>
  <c r="BH206" i="49"/>
  <c r="AF101" i="24"/>
  <c r="BM101" i="24"/>
  <c r="AF122" i="24"/>
  <c r="BM122" i="24"/>
  <c r="AF138" i="24"/>
  <c r="BJ138" i="24"/>
  <c r="BM138" i="24"/>
  <c r="BM197" i="24"/>
  <c r="BJ249" i="24"/>
  <c r="BM249" i="24"/>
  <c r="BM288" i="24"/>
  <c r="AF296" i="24"/>
  <c r="BJ296" i="24"/>
  <c r="BJ38" i="49"/>
  <c r="BN83" i="49"/>
  <c r="AG83" i="49"/>
  <c r="BH83" i="49"/>
  <c r="AF100" i="49"/>
  <c r="BG100" i="49"/>
  <c r="BJ100" i="49"/>
  <c r="AF232" i="49"/>
  <c r="BG232" i="49"/>
  <c r="BJ232" i="49"/>
  <c r="BJ265" i="49"/>
  <c r="AG292" i="49"/>
  <c r="BN292" i="49"/>
  <c r="AG47" i="24"/>
  <c r="BK47" i="24"/>
  <c r="BQ47" i="24"/>
  <c r="AG50" i="24"/>
  <c r="BK50" i="24"/>
  <c r="BQ50" i="24"/>
  <c r="BM68" i="24"/>
  <c r="AF68" i="24"/>
  <c r="BJ68" i="24"/>
  <c r="BM315" i="24"/>
  <c r="AG227" i="24"/>
  <c r="BK227" i="24"/>
  <c r="BQ227" i="24"/>
  <c r="BM276" i="24"/>
  <c r="BQ204" i="24"/>
  <c r="BM312" i="24"/>
  <c r="AF312" i="24"/>
  <c r="BJ312" i="24"/>
  <c r="BQ174" i="24"/>
  <c r="BQ246" i="24"/>
  <c r="AF29" i="49"/>
  <c r="BG29" i="49"/>
  <c r="BJ29" i="49"/>
  <c r="BJ50" i="49"/>
  <c r="AG80" i="49"/>
  <c r="BH80" i="49"/>
  <c r="BN80" i="49"/>
  <c r="AG93" i="49"/>
  <c r="BN93" i="49"/>
  <c r="BJ110" i="49"/>
  <c r="BJ204" i="49"/>
  <c r="AG189" i="24"/>
  <c r="BK189" i="24"/>
  <c r="BQ189" i="24"/>
  <c r="BN258" i="49"/>
  <c r="BN14" i="49"/>
  <c r="AG14" i="49"/>
  <c r="BH14" i="49"/>
  <c r="AF34" i="49"/>
  <c r="BJ34" i="49"/>
  <c r="AF93" i="49"/>
  <c r="BG93" i="49"/>
  <c r="BJ93" i="49"/>
  <c r="BJ113" i="49"/>
  <c r="AF113" i="49"/>
  <c r="BJ160" i="49"/>
  <c r="AF160" i="49"/>
  <c r="BG160" i="49"/>
  <c r="AF165" i="49"/>
  <c r="BJ165" i="49"/>
  <c r="AF182" i="49"/>
  <c r="BG182" i="49"/>
  <c r="BJ182" i="49"/>
  <c r="AG207" i="49"/>
  <c r="BH207" i="49"/>
  <c r="BN207" i="49"/>
  <c r="BN242" i="49"/>
  <c r="AG242" i="49"/>
  <c r="AF256" i="49"/>
  <c r="BG256" i="49"/>
  <c r="BJ256" i="49"/>
  <c r="BJ259" i="49"/>
  <c r="AF259" i="49"/>
  <c r="BG259" i="49"/>
  <c r="AF112" i="24"/>
  <c r="BM112" i="24"/>
  <c r="BM165" i="24"/>
  <c r="BM267" i="24"/>
  <c r="AF310" i="24"/>
  <c r="BM310" i="24"/>
  <c r="BM128" i="24"/>
  <c r="AF128" i="24"/>
  <c r="BJ128" i="24"/>
  <c r="BM228" i="24"/>
  <c r="BN70" i="49"/>
  <c r="AG70" i="49"/>
  <c r="BH70" i="49"/>
  <c r="AF127" i="49"/>
  <c r="BG127" i="49"/>
  <c r="BJ127" i="49"/>
  <c r="BJ219" i="49"/>
  <c r="AG257" i="49"/>
  <c r="BH257" i="49"/>
  <c r="BN257" i="49"/>
  <c r="AF277" i="49"/>
  <c r="BG277" i="49"/>
  <c r="BJ277" i="49"/>
  <c r="AG44" i="24"/>
  <c r="BQ44" i="24"/>
  <c r="AG144" i="24"/>
  <c r="BK144" i="24"/>
  <c r="BQ144" i="24"/>
  <c r="AG314" i="24"/>
  <c r="BK314" i="24"/>
  <c r="BQ314" i="24"/>
  <c r="BM156" i="24"/>
  <c r="AF156" i="24"/>
  <c r="BJ156" i="24"/>
  <c r="BQ242" i="24"/>
  <c r="AG280" i="24"/>
  <c r="BQ280" i="24"/>
  <c r="AG306" i="24"/>
  <c r="BQ306" i="24"/>
  <c r="BM119" i="24"/>
  <c r="BM314" i="24"/>
  <c r="BG242" i="49"/>
  <c r="BJ115" i="24"/>
  <c r="BJ185" i="24"/>
  <c r="BJ223" i="24"/>
  <c r="AF242" i="24"/>
  <c r="AY242" i="24"/>
  <c r="BD242" i="24"/>
  <c r="BM178" i="24"/>
  <c r="AF145" i="24"/>
  <c r="BJ22" i="49"/>
  <c r="BQ258" i="24"/>
  <c r="AG258" i="24"/>
  <c r="BJ143" i="24"/>
  <c r="BG184" i="49"/>
  <c r="AG303" i="49"/>
  <c r="BN303" i="49"/>
  <c r="AG281" i="24"/>
  <c r="BK281" i="24"/>
  <c r="BQ281" i="24"/>
  <c r="AF87" i="24"/>
  <c r="BM87" i="24"/>
  <c r="BM141" i="24"/>
  <c r="AF141" i="24"/>
  <c r="AG259" i="24"/>
  <c r="BK259" i="24"/>
  <c r="BQ259" i="24"/>
  <c r="AG250" i="24"/>
  <c r="BK250" i="24"/>
  <c r="BQ250" i="24"/>
  <c r="AF78" i="49"/>
  <c r="BJ78" i="49"/>
  <c r="BN64" i="24"/>
  <c r="EW64" i="24"/>
  <c r="CI73" i="24"/>
  <c r="BR74" i="24"/>
  <c r="BL79" i="24"/>
  <c r="CK79" i="24"/>
  <c r="BE95" i="24"/>
  <c r="CJ95" i="24"/>
  <c r="BO104" i="24"/>
  <c r="EX104" i="24"/>
  <c r="BH116" i="24"/>
  <c r="BX116" i="24"/>
  <c r="BH122" i="24"/>
  <c r="BX122" i="24"/>
  <c r="BT124" i="24"/>
  <c r="BP129" i="24"/>
  <c r="BL138" i="24"/>
  <c r="CK138" i="24"/>
  <c r="BL215" i="24"/>
  <c r="CK215" i="24"/>
  <c r="BS12" i="24"/>
  <c r="CI12" i="24"/>
  <c r="CL12" i="24"/>
  <c r="EW14" i="24"/>
  <c r="BN14" i="24"/>
  <c r="BT14" i="24"/>
  <c r="AC14" i="24"/>
  <c r="EX57" i="24"/>
  <c r="BP70" i="24"/>
  <c r="AQ82" i="24"/>
  <c r="BQ82" i="24"/>
  <c r="BT91" i="24"/>
  <c r="AC91" i="24"/>
  <c r="BR96" i="24"/>
  <c r="BI96" i="24"/>
  <c r="AQ98" i="24"/>
  <c r="BW115" i="24"/>
  <c r="AC123" i="24"/>
  <c r="BT130" i="24"/>
  <c r="AC130" i="24"/>
  <c r="BX131" i="24"/>
  <c r="BH131" i="24"/>
  <c r="BV166" i="24"/>
  <c r="BT192" i="24"/>
  <c r="BS203" i="24"/>
  <c r="AC211" i="24"/>
  <c r="CI216" i="24"/>
  <c r="BU216" i="24"/>
  <c r="BN232" i="24"/>
  <c r="BR234" i="24"/>
  <c r="CK243" i="24"/>
  <c r="BL243" i="24"/>
  <c r="BX249" i="24"/>
  <c r="BH249" i="24"/>
  <c r="BP250" i="24"/>
  <c r="BE256" i="24"/>
  <c r="EX260" i="24"/>
  <c r="BN269" i="24"/>
  <c r="AJ278" i="24"/>
  <c r="AF278" i="24"/>
  <c r="BH285" i="24"/>
  <c r="BN291" i="24"/>
  <c r="AC300" i="24"/>
  <c r="BH309" i="24"/>
  <c r="BV310" i="24"/>
  <c r="BS70" i="24"/>
  <c r="BV70" i="24"/>
  <c r="CL82" i="24"/>
  <c r="BX82" i="24"/>
  <c r="BH82" i="24"/>
  <c r="BU98" i="24"/>
  <c r="BT98" i="24"/>
  <c r="AC98" i="24"/>
  <c r="BS105" i="24"/>
  <c r="BX166" i="24"/>
  <c r="BH166" i="24"/>
  <c r="BV192" i="24"/>
  <c r="BU192" i="24"/>
  <c r="BU256" i="24"/>
  <c r="BO96" i="24"/>
  <c r="CI98" i="24"/>
  <c r="EW115" i="24"/>
  <c r="BL123" i="24"/>
  <c r="BV132" i="24"/>
  <c r="BU132" i="24"/>
  <c r="BU146" i="24"/>
  <c r="AC146" i="24"/>
  <c r="BR177" i="24"/>
  <c r="BU177" i="24"/>
  <c r="BP192" i="24"/>
  <c r="BP203" i="24"/>
  <c r="BX211" i="24"/>
  <c r="BT226" i="24"/>
  <c r="AC226" i="24"/>
  <c r="BV232" i="24"/>
  <c r="CK234" i="24"/>
  <c r="CL243" i="24"/>
  <c r="BS250" i="24"/>
  <c r="BH254" i="24"/>
  <c r="BE260" i="24"/>
  <c r="BV269" i="24"/>
  <c r="AC272" i="24"/>
  <c r="EW275" i="24"/>
  <c r="BX276" i="24"/>
  <c r="BI277" i="24"/>
  <c r="BU278" i="24"/>
  <c r="BP283" i="24"/>
  <c r="BX288" i="24"/>
  <c r="BL291" i="24"/>
  <c r="BL292" i="24"/>
  <c r="BP293" i="24"/>
  <c r="BN295" i="24"/>
  <c r="BU304" i="24"/>
  <c r="AJ308" i="24"/>
  <c r="BP309" i="24"/>
  <c r="CK310" i="24"/>
  <c r="BX269" i="24"/>
  <c r="BH269" i="24"/>
  <c r="BI215" i="49"/>
  <c r="BB221" i="49"/>
  <c r="BR221" i="49"/>
  <c r="BB268" i="49"/>
  <c r="BR268" i="49"/>
  <c r="BL275" i="49"/>
  <c r="BO275" i="49"/>
  <c r="BF275" i="49"/>
  <c r="BL298" i="49"/>
  <c r="BK298" i="49"/>
  <c r="BR57" i="24"/>
  <c r="BP57" i="24"/>
  <c r="BI113" i="24"/>
  <c r="BU123" i="24"/>
  <c r="EW211" i="24"/>
  <c r="BT222" i="24"/>
  <c r="BW222" i="24"/>
  <c r="BL232" i="24"/>
  <c r="CL250" i="24"/>
  <c r="BT260" i="24"/>
  <c r="BL277" i="24"/>
  <c r="BL295" i="24"/>
  <c r="BN300" i="24"/>
  <c r="BP308" i="24"/>
  <c r="BE309" i="24"/>
  <c r="BQ265" i="24"/>
  <c r="EW310" i="24"/>
  <c r="BX310" i="24"/>
  <c r="BE310" i="24"/>
  <c r="BT309" i="24"/>
  <c r="AC309" i="24"/>
  <c r="CL308" i="24"/>
  <c r="BR308" i="24"/>
  <c r="BV305" i="24"/>
  <c r="BO305" i="24"/>
  <c r="BI305" i="24"/>
  <c r="BW305" i="24"/>
  <c r="BE305" i="24"/>
  <c r="EW304" i="24"/>
  <c r="BX304" i="24"/>
  <c r="BR304" i="24"/>
  <c r="BL304" i="24"/>
  <c r="AC304" i="24"/>
  <c r="EW303" i="24"/>
  <c r="CI303" i="24"/>
  <c r="BT303" i="24"/>
  <c r="BO303" i="24"/>
  <c r="BI303" i="24"/>
  <c r="AJ303" i="24"/>
  <c r="AF303" i="24"/>
  <c r="BJ303" i="24"/>
  <c r="CI296" i="24"/>
  <c r="BN296" i="24"/>
  <c r="BU295" i="24"/>
  <c r="BX295" i="24"/>
  <c r="BO295" i="24"/>
  <c r="CL293" i="24"/>
  <c r="BW293" i="24"/>
  <c r="BO293" i="24"/>
  <c r="CL292" i="24"/>
  <c r="BT291" i="24"/>
  <c r="AC291" i="24"/>
  <c r="EW289" i="24"/>
  <c r="BV289" i="24"/>
  <c r="BP289" i="24"/>
  <c r="BI289" i="24"/>
  <c r="AJ289" i="24"/>
  <c r="AF289" i="24"/>
  <c r="BJ289" i="24"/>
  <c r="BN288" i="24"/>
  <c r="BH288" i="24"/>
  <c r="CI285" i="24"/>
  <c r="BU283" i="24"/>
  <c r="BN283" i="24"/>
  <c r="BX283" i="24"/>
  <c r="AJ283" i="24"/>
  <c r="EX282" i="24"/>
  <c r="BU282" i="24"/>
  <c r="BP282" i="24"/>
  <c r="BI282" i="24"/>
  <c r="AJ282" i="24"/>
  <c r="CI279" i="24"/>
  <c r="BT279" i="24"/>
  <c r="BO279" i="24"/>
  <c r="BI279" i="24"/>
  <c r="AJ279" i="24"/>
  <c r="CL277" i="24"/>
  <c r="BU277" i="24"/>
  <c r="CI276" i="24"/>
  <c r="BE275" i="24"/>
  <c r="CL267" i="24"/>
  <c r="BU267" i="24"/>
  <c r="BL267" i="24"/>
  <c r="BV260" i="24"/>
  <c r="BS260" i="24"/>
  <c r="CI254" i="24"/>
  <c r="BO254" i="24"/>
  <c r="BX254" i="24"/>
  <c r="CI250" i="24"/>
  <c r="BO250" i="24"/>
  <c r="BO249" i="24"/>
  <c r="BE249" i="24"/>
  <c r="BS243" i="24"/>
  <c r="BE243" i="24"/>
  <c r="BO234" i="24"/>
  <c r="AC234" i="24"/>
  <c r="BO232" i="24"/>
  <c r="BR226" i="24"/>
  <c r="BE226" i="24"/>
  <c r="AJ226" i="24"/>
  <c r="BM226" i="24"/>
  <c r="EW222" i="24"/>
  <c r="CI222" i="24"/>
  <c r="BV222" i="24"/>
  <c r="BP216" i="24"/>
  <c r="BL216" i="24"/>
  <c r="EW215" i="24"/>
  <c r="BV215" i="24"/>
  <c r="BO215" i="24"/>
  <c r="AC215" i="24"/>
  <c r="BU204" i="24"/>
  <c r="AJ204" i="24"/>
  <c r="AF204" i="24"/>
  <c r="BN203" i="24"/>
  <c r="BO203" i="24"/>
  <c r="BW192" i="24"/>
  <c r="BE192" i="24"/>
  <c r="BN183" i="24"/>
  <c r="BW183" i="24"/>
  <c r="AJ183" i="24"/>
  <c r="BN180" i="24"/>
  <c r="BW180" i="24"/>
  <c r="AJ180" i="24"/>
  <c r="BM180" i="24"/>
  <c r="EX177" i="24"/>
  <c r="BP177" i="24"/>
  <c r="AJ177" i="24"/>
  <c r="BS172" i="24"/>
  <c r="BO166" i="24"/>
  <c r="BQ158" i="24"/>
  <c r="AQ146" i="24"/>
  <c r="EW138" i="24"/>
  <c r="BO138" i="24"/>
  <c r="AC138" i="24"/>
  <c r="BW132" i="24"/>
  <c r="BO132" i="24"/>
  <c r="AC132" i="24"/>
  <c r="BV131" i="24"/>
  <c r="BE131" i="24"/>
  <c r="AJ131" i="24"/>
  <c r="BM131" i="24"/>
  <c r="BV130" i="24"/>
  <c r="BN130" i="24"/>
  <c r="EX129" i="24"/>
  <c r="CI129" i="24"/>
  <c r="BR129" i="24"/>
  <c r="BI129" i="24"/>
  <c r="BW129" i="24"/>
  <c r="AC129" i="24"/>
  <c r="BN124" i="24"/>
  <c r="AJ123" i="24"/>
  <c r="BM123" i="24"/>
  <c r="BS122" i="24"/>
  <c r="AC122" i="24"/>
  <c r="BR116" i="24"/>
  <c r="BE116" i="24"/>
  <c r="BL115" i="24"/>
  <c r="BH115" i="24"/>
  <c r="BW113" i="24"/>
  <c r="AJ113" i="24"/>
  <c r="AF113" i="24"/>
  <c r="BJ113" i="24"/>
  <c r="BO105" i="24"/>
  <c r="CL104" i="24"/>
  <c r="BV104" i="24"/>
  <c r="BP104" i="24"/>
  <c r="BH104" i="24"/>
  <c r="AC104" i="24"/>
  <c r="EX100" i="24"/>
  <c r="BU100" i="24"/>
  <c r="BL100" i="24"/>
  <c r="BW100" i="24"/>
  <c r="AC100" i="24"/>
  <c r="BL96" i="24"/>
  <c r="AJ96" i="24"/>
  <c r="AF96" i="24"/>
  <c r="BT95" i="24"/>
  <c r="BH95" i="24"/>
  <c r="BI95" i="24"/>
  <c r="EX91" i="24"/>
  <c r="BR91" i="24"/>
  <c r="AJ91" i="24"/>
  <c r="BM91" i="24"/>
  <c r="BE82" i="24"/>
  <c r="EW79" i="24"/>
  <c r="CI79" i="24"/>
  <c r="BO79" i="24"/>
  <c r="AJ79" i="24"/>
  <c r="AF79" i="24"/>
  <c r="BJ79" i="24"/>
  <c r="BW74" i="24"/>
  <c r="BL74" i="24"/>
  <c r="AC74" i="24"/>
  <c r="BT73" i="24"/>
  <c r="BI73" i="24"/>
  <c r="BT70" i="24"/>
  <c r="EX64" i="24"/>
  <c r="BW64" i="24"/>
  <c r="BO64" i="24"/>
  <c r="BI64" i="24"/>
  <c r="BE57" i="24"/>
  <c r="BR46" i="24"/>
  <c r="BE46" i="24"/>
  <c r="AJ44" i="24"/>
  <c r="BM44" i="24"/>
  <c r="CL43" i="24"/>
  <c r="BS43" i="24"/>
  <c r="AC43" i="24"/>
  <c r="AJ38" i="24"/>
  <c r="BM38" i="24"/>
  <c r="BS35" i="24"/>
  <c r="BE35" i="24"/>
  <c r="AC35" i="24"/>
  <c r="EW30" i="24"/>
  <c r="BO30" i="24"/>
  <c r="AJ30" i="24"/>
  <c r="AF30" i="24"/>
  <c r="BJ30" i="24"/>
  <c r="EW24" i="24"/>
  <c r="BS24" i="24"/>
  <c r="BH24" i="24"/>
  <c r="BI24" i="24"/>
  <c r="BW21" i="24"/>
  <c r="BL21" i="24"/>
  <c r="AC21" i="24"/>
  <c r="BS14" i="24"/>
  <c r="AJ14" i="24"/>
  <c r="BM14" i="24"/>
  <c r="BT12" i="24"/>
  <c r="EX323" i="49"/>
  <c r="CZ319" i="49"/>
  <c r="AF312" i="49"/>
  <c r="BS311" i="49"/>
  <c r="BM311" i="49"/>
  <c r="BB311" i="49"/>
  <c r="BF311" i="49"/>
  <c r="BM310" i="49"/>
  <c r="AC310" i="49"/>
  <c r="AQ307" i="49"/>
  <c r="BT305" i="49"/>
  <c r="BK305" i="49"/>
  <c r="AC305" i="49"/>
  <c r="AJ296" i="49"/>
  <c r="BF296" i="49"/>
  <c r="BM296" i="49"/>
  <c r="BT296" i="49"/>
  <c r="BK296" i="49"/>
  <c r="BQ296" i="49"/>
  <c r="AC292" i="49"/>
  <c r="BI292" i="49"/>
  <c r="BI289" i="49"/>
  <c r="BO289" i="49"/>
  <c r="BS289" i="49"/>
  <c r="AC289" i="49"/>
  <c r="BE289" i="49"/>
  <c r="BL289" i="49"/>
  <c r="BQ289" i="49"/>
  <c r="BU289" i="49"/>
  <c r="AC281" i="49"/>
  <c r="BI281" i="49"/>
  <c r="AC280" i="49"/>
  <c r="BE280" i="49"/>
  <c r="BM280" i="49"/>
  <c r="BS280" i="49"/>
  <c r="BP280" i="49"/>
  <c r="BI275" i="49"/>
  <c r="BK274" i="49"/>
  <c r="BE274" i="49"/>
  <c r="BB274" i="49"/>
  <c r="BP274" i="49"/>
  <c r="AC271" i="49"/>
  <c r="BT271" i="49"/>
  <c r="BE271" i="49"/>
  <c r="BM271" i="49"/>
  <c r="BS271" i="49"/>
  <c r="BU271" i="49"/>
  <c r="BK271" i="49"/>
  <c r="BP271" i="49"/>
  <c r="AC270" i="49"/>
  <c r="BI270" i="49"/>
  <c r="BO270" i="49"/>
  <c r="BS270" i="49"/>
  <c r="AJ270" i="49"/>
  <c r="AF270" i="49"/>
  <c r="BE270" i="49"/>
  <c r="BL270" i="49"/>
  <c r="BQ270" i="49"/>
  <c r="BR269" i="49"/>
  <c r="AC269" i="49"/>
  <c r="BI269" i="49"/>
  <c r="BE255" i="49"/>
  <c r="AD318" i="49"/>
  <c r="BQ254" i="49"/>
  <c r="BE253" i="49"/>
  <c r="BQ253" i="49"/>
  <c r="AJ253" i="49"/>
  <c r="AC253" i="49"/>
  <c r="BI253" i="49"/>
  <c r="BM243" i="49"/>
  <c r="BI243" i="49"/>
  <c r="BU243" i="49"/>
  <c r="BK237" i="49"/>
  <c r="BF234" i="49"/>
  <c r="BR234" i="49"/>
  <c r="AJ234" i="49"/>
  <c r="BJ234" i="49"/>
  <c r="BU234" i="49"/>
  <c r="BM234" i="49"/>
  <c r="BB224" i="49"/>
  <c r="BK224" i="49"/>
  <c r="BQ224" i="49"/>
  <c r="BF224" i="49"/>
  <c r="BO224" i="49"/>
  <c r="BT224" i="49"/>
  <c r="BM222" i="49"/>
  <c r="AJ215" i="49"/>
  <c r="AC208" i="49"/>
  <c r="BU208" i="49"/>
  <c r="BK208" i="49"/>
  <c r="BS208" i="49"/>
  <c r="AJ208" i="49"/>
  <c r="BJ208" i="49"/>
  <c r="BE208" i="49"/>
  <c r="BO208" i="49"/>
  <c r="BU206" i="49"/>
  <c r="BF206" i="49"/>
  <c r="BL198" i="49"/>
  <c r="BR198" i="49"/>
  <c r="BB198" i="49"/>
  <c r="BF198" i="49"/>
  <c r="BO198" i="49"/>
  <c r="BT198" i="49"/>
  <c r="AJ189" i="49"/>
  <c r="BJ189" i="49"/>
  <c r="BF189" i="49"/>
  <c r="BU189" i="49"/>
  <c r="AC189" i="49"/>
  <c r="BM189" i="49"/>
  <c r="BM186" i="49"/>
  <c r="BE185" i="49"/>
  <c r="BQ185" i="49"/>
  <c r="BU185" i="49"/>
  <c r="BL182" i="49"/>
  <c r="BE182" i="49"/>
  <c r="BQ182" i="49"/>
  <c r="BM177" i="49"/>
  <c r="AJ177" i="49"/>
  <c r="AF177" i="49"/>
  <c r="BU177" i="49"/>
  <c r="BO176" i="49"/>
  <c r="BK175" i="49"/>
  <c r="BF175" i="49"/>
  <c r="BP175" i="49"/>
  <c r="BK165" i="49"/>
  <c r="BU165" i="49"/>
  <c r="BQ162" i="49"/>
  <c r="BI162" i="49"/>
  <c r="BB161" i="49"/>
  <c r="BP161" i="49"/>
  <c r="BO157" i="49"/>
  <c r="BM151" i="49"/>
  <c r="AJ126" i="49"/>
  <c r="AF126" i="49"/>
  <c r="BE126" i="49"/>
  <c r="BO126" i="49"/>
  <c r="BK126" i="49"/>
  <c r="BS126" i="49"/>
  <c r="AC123" i="49"/>
  <c r="BE123" i="49"/>
  <c r="BK123" i="49"/>
  <c r="BP123" i="49"/>
  <c r="BT123" i="49"/>
  <c r="BM123" i="49"/>
  <c r="BR123" i="49"/>
  <c r="AC122" i="49"/>
  <c r="BI122" i="49"/>
  <c r="BR122" i="49"/>
  <c r="BE122" i="49"/>
  <c r="BM122" i="49"/>
  <c r="AC115" i="49"/>
  <c r="BI115" i="49"/>
  <c r="BM115" i="49"/>
  <c r="BR115" i="49"/>
  <c r="BE115" i="49"/>
  <c r="BK115" i="49"/>
  <c r="BP115" i="49"/>
  <c r="BU115" i="49"/>
  <c r="BT106" i="49"/>
  <c r="AJ105" i="49"/>
  <c r="BJ105" i="49"/>
  <c r="BE105" i="49"/>
  <c r="BQ105" i="49"/>
  <c r="AC105" i="49"/>
  <c r="BI104" i="49"/>
  <c r="BE103" i="49"/>
  <c r="BQ103" i="49"/>
  <c r="BF103" i="49"/>
  <c r="AJ103" i="49"/>
  <c r="AF103" i="49"/>
  <c r="BG103" i="49"/>
  <c r="BU103" i="49"/>
  <c r="BM103" i="49"/>
  <c r="BI102" i="49"/>
  <c r="BM99" i="49"/>
  <c r="BK99" i="49"/>
  <c r="AJ91" i="49"/>
  <c r="BJ91" i="49"/>
  <c r="BE91" i="49"/>
  <c r="BQ91" i="49"/>
  <c r="AC91" i="49"/>
  <c r="BT89" i="49"/>
  <c r="BL89" i="49"/>
  <c r="AJ89" i="49"/>
  <c r="BJ89" i="49"/>
  <c r="BB89" i="49"/>
  <c r="BQ89" i="49"/>
  <c r="BR87" i="49"/>
  <c r="BO79" i="49"/>
  <c r="BB79" i="49"/>
  <c r="BQ78" i="49"/>
  <c r="BR65" i="49"/>
  <c r="BK64" i="49"/>
  <c r="BT64" i="49"/>
  <c r="BE64" i="49"/>
  <c r="BP64" i="49"/>
  <c r="BL60" i="49"/>
  <c r="BT60" i="49"/>
  <c r="BF60" i="49"/>
  <c r="BB60" i="49"/>
  <c r="BP60" i="49"/>
  <c r="BU46" i="49"/>
  <c r="AJ43" i="49"/>
  <c r="AF43" i="49"/>
  <c r="BG43" i="49"/>
  <c r="BK43" i="49"/>
  <c r="BQ43" i="49"/>
  <c r="BE43" i="49"/>
  <c r="BO43" i="49"/>
  <c r="BU43" i="49"/>
  <c r="AJ39" i="49"/>
  <c r="AF39" i="49"/>
  <c r="BG39" i="49"/>
  <c r="BI39" i="49"/>
  <c r="BP39" i="49"/>
  <c r="AC39" i="49"/>
  <c r="BB39" i="49"/>
  <c r="BM39" i="49"/>
  <c r="BP38" i="49"/>
  <c r="BF38" i="49"/>
  <c r="BQ28" i="49"/>
  <c r="BQ27" i="49"/>
  <c r="BB27" i="49"/>
  <c r="BF22" i="49"/>
  <c r="BP22" i="49"/>
  <c r="BK22" i="49"/>
  <c r="BS19" i="49"/>
  <c r="BB19" i="49"/>
  <c r="BF11" i="49"/>
  <c r="BL11" i="49"/>
  <c r="BR11" i="49"/>
  <c r="AJ11" i="49"/>
  <c r="BE11" i="49"/>
  <c r="BO11" i="49"/>
  <c r="BU11" i="49"/>
  <c r="BI10" i="49"/>
  <c r="BB10" i="49"/>
  <c r="BO10" i="49"/>
  <c r="BS10" i="49"/>
  <c r="BF10" i="49"/>
  <c r="BL10" i="49"/>
  <c r="BQ10" i="49"/>
  <c r="BF254" i="49"/>
  <c r="BL254" i="49"/>
  <c r="BR254" i="49"/>
  <c r="AJ254" i="49"/>
  <c r="AF254" i="49"/>
  <c r="BG254" i="49"/>
  <c r="BE254" i="49"/>
  <c r="BO254" i="49"/>
  <c r="BU254" i="49"/>
  <c r="AC245" i="49"/>
  <c r="BB245" i="49"/>
  <c r="BO245" i="49"/>
  <c r="BT245" i="49"/>
  <c r="BK245" i="49"/>
  <c r="BR245" i="49"/>
  <c r="BB237" i="49"/>
  <c r="BL237" i="49"/>
  <c r="BQ237" i="49"/>
  <c r="AC237" i="49"/>
  <c r="BI237" i="49"/>
  <c r="BO237" i="49"/>
  <c r="BT237" i="49"/>
  <c r="AC222" i="49"/>
  <c r="BI222" i="49"/>
  <c r="AJ222" i="49"/>
  <c r="BJ222" i="49"/>
  <c r="BQ222" i="49"/>
  <c r="BI207" i="49"/>
  <c r="BF207" i="49"/>
  <c r="BM207" i="49"/>
  <c r="AQ204" i="49"/>
  <c r="BN204" i="49"/>
  <c r="BP204" i="49"/>
  <c r="BQ203" i="49"/>
  <c r="BF203" i="49"/>
  <c r="BE186" i="49"/>
  <c r="BQ186" i="49"/>
  <c r="BU186" i="49"/>
  <c r="BF180" i="49"/>
  <c r="BP180" i="49"/>
  <c r="BK180" i="49"/>
  <c r="BB176" i="49"/>
  <c r="BK176" i="49"/>
  <c r="BP176" i="49"/>
  <c r="AC176" i="49"/>
  <c r="BT176" i="49"/>
  <c r="BM176" i="49"/>
  <c r="BS176" i="49"/>
  <c r="AC157" i="49"/>
  <c r="BB157" i="49"/>
  <c r="BK157" i="49"/>
  <c r="BP157" i="49"/>
  <c r="BT157" i="49"/>
  <c r="AJ157" i="49"/>
  <c r="BJ157" i="49"/>
  <c r="BF157" i="49"/>
  <c r="BM157" i="49"/>
  <c r="BR157" i="49"/>
  <c r="BU151" i="49"/>
  <c r="BI151" i="49"/>
  <c r="BO151" i="49"/>
  <c r="BS151" i="49"/>
  <c r="AC151" i="49"/>
  <c r="BE151" i="49"/>
  <c r="BL151" i="49"/>
  <c r="BQ151" i="49"/>
  <c r="AG128" i="49"/>
  <c r="BH128" i="49"/>
  <c r="BN128" i="49"/>
  <c r="BF106" i="49"/>
  <c r="AJ106" i="49"/>
  <c r="BU106" i="49"/>
  <c r="BM106" i="49"/>
  <c r="BE106" i="49"/>
  <c r="BQ106" i="49"/>
  <c r="BF104" i="49"/>
  <c r="BU104" i="49"/>
  <c r="BL104" i="49"/>
  <c r="BT104" i="49"/>
  <c r="BE104" i="49"/>
  <c r="BP104" i="49"/>
  <c r="BL102" i="49"/>
  <c r="AC102" i="49"/>
  <c r="BB102" i="49"/>
  <c r="BQ102" i="49"/>
  <c r="BE87" i="49"/>
  <c r="BQ87" i="49"/>
  <c r="AJ87" i="49"/>
  <c r="AF87" i="49"/>
  <c r="BI87" i="49"/>
  <c r="BM79" i="49"/>
  <c r="BR79" i="49"/>
  <c r="AC79" i="49"/>
  <c r="BE79" i="49"/>
  <c r="BK79" i="49"/>
  <c r="BP79" i="49"/>
  <c r="BT79" i="49"/>
  <c r="BE78" i="49"/>
  <c r="BM78" i="49"/>
  <c r="AC78" i="49"/>
  <c r="BI78" i="49"/>
  <c r="BR78" i="49"/>
  <c r="AC65" i="49"/>
  <c r="BI65" i="49"/>
  <c r="BU65" i="49"/>
  <c r="BE65" i="49"/>
  <c r="BQ65" i="49"/>
  <c r="BK56" i="49"/>
  <c r="BF56" i="49"/>
  <c r="BP56" i="49"/>
  <c r="BF55" i="49"/>
  <c r="BS55" i="49"/>
  <c r="AJ55" i="49"/>
  <c r="BJ55" i="49"/>
  <c r="BM55" i="49"/>
  <c r="AJ35" i="49"/>
  <c r="AC35" i="49"/>
  <c r="BI35" i="49"/>
  <c r="BE35" i="49"/>
  <c r="BQ35" i="49"/>
  <c r="BO32" i="49"/>
  <c r="BF32" i="49"/>
  <c r="BB32" i="49"/>
  <c r="BU32" i="49"/>
  <c r="BF28" i="49"/>
  <c r="BL28" i="49"/>
  <c r="BR28" i="49"/>
  <c r="AJ28" i="49"/>
  <c r="BE28" i="49"/>
  <c r="BO28" i="49"/>
  <c r="BU28" i="49"/>
  <c r="AJ27" i="49"/>
  <c r="AC27" i="49"/>
  <c r="BE27" i="49"/>
  <c r="BL27" i="49"/>
  <c r="BU27" i="49"/>
  <c r="BI27" i="49"/>
  <c r="BP27" i="49"/>
  <c r="AJ19" i="49"/>
  <c r="AF19" i="49"/>
  <c r="BG19" i="49"/>
  <c r="BK19" i="49"/>
  <c r="BR19" i="49"/>
  <c r="BF19" i="49"/>
  <c r="BE19" i="49"/>
  <c r="BO19" i="49"/>
  <c r="BT19" i="49"/>
  <c r="CL310" i="24"/>
  <c r="BP310" i="24"/>
  <c r="AQ309" i="24"/>
  <c r="BQ309" i="24"/>
  <c r="CI305" i="24"/>
  <c r="BS305" i="24"/>
  <c r="AJ305" i="24"/>
  <c r="AF305" i="24"/>
  <c r="BT304" i="24"/>
  <c r="BO304" i="24"/>
  <c r="BE304" i="24"/>
  <c r="BE295" i="24"/>
  <c r="BT292" i="24"/>
  <c r="BO291" i="24"/>
  <c r="BW291" i="24"/>
  <c r="AJ291" i="24"/>
  <c r="AF291" i="24"/>
  <c r="BJ291" i="24"/>
  <c r="BV288" i="24"/>
  <c r="CI277" i="24"/>
  <c r="BO277" i="24"/>
  <c r="EW260" i="24"/>
  <c r="BQ260" i="24"/>
  <c r="AJ260" i="24"/>
  <c r="CK254" i="24"/>
  <c r="BT254" i="24"/>
  <c r="BE254" i="24"/>
  <c r="BO251" i="24"/>
  <c r="BE251" i="24"/>
  <c r="BT250" i="24"/>
  <c r="BE250" i="24"/>
  <c r="CI249" i="24"/>
  <c r="BR244" i="24"/>
  <c r="BW244" i="24"/>
  <c r="BV243" i="24"/>
  <c r="BN243" i="24"/>
  <c r="CL240" i="24"/>
  <c r="BV240" i="24"/>
  <c r="BO240" i="24"/>
  <c r="BH240" i="24"/>
  <c r="AJ240" i="24"/>
  <c r="BM240" i="24"/>
  <c r="BX239" i="24"/>
  <c r="BK239" i="24"/>
  <c r="BU237" i="24"/>
  <c r="BL237" i="24"/>
  <c r="CL235" i="24"/>
  <c r="BX235" i="24"/>
  <c r="BR235" i="24"/>
  <c r="BI235" i="24"/>
  <c r="BW235" i="24"/>
  <c r="AC235" i="24"/>
  <c r="BT234" i="24"/>
  <c r="AQ234" i="24"/>
  <c r="BQ234" i="24"/>
  <c r="AJ234" i="24"/>
  <c r="BU233" i="24"/>
  <c r="BO233" i="24"/>
  <c r="BE233" i="24"/>
  <c r="AJ233" i="24"/>
  <c r="BX231" i="24"/>
  <c r="BN231" i="24"/>
  <c r="BO228" i="24"/>
  <c r="EX226" i="24"/>
  <c r="BV226" i="24"/>
  <c r="BN226" i="24"/>
  <c r="BN222" i="24"/>
  <c r="BL222" i="24"/>
  <c r="BW220" i="24"/>
  <c r="BP220" i="24"/>
  <c r="BE220" i="24"/>
  <c r="AC220" i="24"/>
  <c r="EX216" i="24"/>
  <c r="BX216" i="24"/>
  <c r="BH216" i="24"/>
  <c r="AC216" i="24"/>
  <c r="BS215" i="24"/>
  <c r="BI215" i="24"/>
  <c r="BW215" i="24"/>
  <c r="EW213" i="24"/>
  <c r="BX213" i="24"/>
  <c r="BN213" i="24"/>
  <c r="CI210" i="24"/>
  <c r="BO210" i="24"/>
  <c r="AJ210" i="24"/>
  <c r="BS209" i="24"/>
  <c r="BL209" i="24"/>
  <c r="BU208" i="24"/>
  <c r="BO205" i="24"/>
  <c r="EX204" i="24"/>
  <c r="BW203" i="24"/>
  <c r="AQ203" i="24"/>
  <c r="BP202" i="24"/>
  <c r="EX201" i="24"/>
  <c r="BE198" i="24"/>
  <c r="AC198" i="24"/>
  <c r="BP196" i="24"/>
  <c r="BE196" i="24"/>
  <c r="EW195" i="24"/>
  <c r="BO195" i="24"/>
  <c r="BW191" i="24"/>
  <c r="BN187" i="24"/>
  <c r="EX186" i="24"/>
  <c r="BU184" i="24"/>
  <c r="BN184" i="24"/>
  <c r="AJ184" i="24"/>
  <c r="BX183" i="24"/>
  <c r="BX177" i="24"/>
  <c r="BH177" i="24"/>
  <c r="BW177" i="24"/>
  <c r="AC177" i="24"/>
  <c r="BN174" i="24"/>
  <c r="EX173" i="24"/>
  <c r="BS173" i="24"/>
  <c r="BN168" i="24"/>
  <c r="BW166" i="24"/>
  <c r="BO163" i="24"/>
  <c r="EX161" i="24"/>
  <c r="CI161" i="24"/>
  <c r="BR161" i="24"/>
  <c r="BI161" i="24"/>
  <c r="BW161" i="24"/>
  <c r="BI157" i="24"/>
  <c r="CK154" i="24"/>
  <c r="BP154" i="24"/>
  <c r="BE154" i="24"/>
  <c r="BN151" i="24"/>
  <c r="BW151" i="24"/>
  <c r="BV145" i="24"/>
  <c r="BN145" i="24"/>
  <c r="EX144" i="24"/>
  <c r="AJ144" i="24"/>
  <c r="AC143" i="24"/>
  <c r="BV138" i="24"/>
  <c r="EX136" i="24"/>
  <c r="BR136" i="24"/>
  <c r="BI136" i="24"/>
  <c r="BX136" i="24"/>
  <c r="AQ136" i="24"/>
  <c r="AG136" i="24"/>
  <c r="BK136" i="24"/>
  <c r="AC136" i="24"/>
  <c r="BO135" i="24"/>
  <c r="AJ135" i="24"/>
  <c r="BH133" i="24"/>
  <c r="AJ133" i="24"/>
  <c r="BS132" i="24"/>
  <c r="BH132" i="24"/>
  <c r="CI131" i="24"/>
  <c r="BO131" i="24"/>
  <c r="BO130" i="24"/>
  <c r="CL129" i="24"/>
  <c r="BU129" i="24"/>
  <c r="BN129" i="24"/>
  <c r="BS125" i="24"/>
  <c r="AJ125" i="24"/>
  <c r="BO123" i="24"/>
  <c r="BE122" i="24"/>
  <c r="CK121" i="24"/>
  <c r="BU121" i="24"/>
  <c r="BO121" i="24"/>
  <c r="BE121" i="24"/>
  <c r="AC121" i="24"/>
  <c r="EX117" i="24"/>
  <c r="BW117" i="24"/>
  <c r="BO117" i="24"/>
  <c r="EX116" i="24"/>
  <c r="BV116" i="24"/>
  <c r="AQ116" i="24"/>
  <c r="AJ116" i="24"/>
  <c r="AF116" i="24"/>
  <c r="BS114" i="24"/>
  <c r="EX113" i="24"/>
  <c r="BV112" i="24"/>
  <c r="BT111" i="24"/>
  <c r="BM111" i="24"/>
  <c r="AC111" i="24"/>
  <c r="AC106" i="24"/>
  <c r="CI104" i="24"/>
  <c r="BT104" i="24"/>
  <c r="BL104" i="24"/>
  <c r="BP100" i="24"/>
  <c r="AJ100" i="24"/>
  <c r="AF100" i="24"/>
  <c r="BJ100" i="24"/>
  <c r="EW98" i="24"/>
  <c r="BO98" i="24"/>
  <c r="BT96" i="24"/>
  <c r="BX96" i="24"/>
  <c r="BV95" i="24"/>
  <c r="BN95" i="24"/>
  <c r="BP90" i="24"/>
  <c r="EX89" i="24"/>
  <c r="EX88" i="24"/>
  <c r="BT88" i="24"/>
  <c r="BO88" i="24"/>
  <c r="BI88" i="24"/>
  <c r="BX88" i="24"/>
  <c r="EW87" i="24"/>
  <c r="BO87" i="24"/>
  <c r="EX86" i="24"/>
  <c r="CI86" i="24"/>
  <c r="BR86" i="24"/>
  <c r="BL86" i="24"/>
  <c r="AC86" i="24"/>
  <c r="BS84" i="24"/>
  <c r="EW83" i="24"/>
  <c r="BT83" i="24"/>
  <c r="BO83" i="24"/>
  <c r="BI83" i="24"/>
  <c r="BX83" i="24"/>
  <c r="CL79" i="24"/>
  <c r="BU79" i="24"/>
  <c r="CK74" i="24"/>
  <c r="BS74" i="24"/>
  <c r="AJ74" i="24"/>
  <c r="BM74" i="24"/>
  <c r="BL73" i="24"/>
  <c r="BR72" i="24"/>
  <c r="AC72" i="24"/>
  <c r="BR71" i="24"/>
  <c r="AC71" i="24"/>
  <c r="BS64" i="24"/>
  <c r="BH64" i="24"/>
  <c r="AJ64" i="24"/>
  <c r="AF64" i="24"/>
  <c r="BJ64" i="24"/>
  <c r="BW63" i="24"/>
  <c r="BX63" i="24"/>
  <c r="EX62" i="24"/>
  <c r="BU62" i="24"/>
  <c r="BP62" i="24"/>
  <c r="BI62" i="24"/>
  <c r="AJ62" i="24"/>
  <c r="AF62" i="24"/>
  <c r="BJ62" i="24"/>
  <c r="BW57" i="24"/>
  <c r="BX57" i="24"/>
  <c r="BU55" i="24"/>
  <c r="AJ55" i="24"/>
  <c r="AF55" i="24"/>
  <c r="EX48" i="24"/>
  <c r="BT48" i="24"/>
  <c r="BL48" i="24"/>
  <c r="AC48" i="24"/>
  <c r="EX46" i="24"/>
  <c r="BU46" i="24"/>
  <c r="BN46" i="24"/>
  <c r="AJ46" i="24"/>
  <c r="AF46" i="24"/>
  <c r="BJ46" i="24"/>
  <c r="BE43" i="24"/>
  <c r="EX38" i="24"/>
  <c r="BO35" i="24"/>
  <c r="AJ35" i="24"/>
  <c r="AF35" i="24"/>
  <c r="BT34" i="24"/>
  <c r="BE34" i="24"/>
  <c r="AJ34" i="24"/>
  <c r="AF34" i="24"/>
  <c r="BJ34" i="24"/>
  <c r="EX33" i="24"/>
  <c r="BX33" i="24"/>
  <c r="BT33" i="24"/>
  <c r="BO33" i="24"/>
  <c r="BH33" i="24"/>
  <c r="AQ33" i="24"/>
  <c r="BQ33" i="24"/>
  <c r="AJ33" i="24"/>
  <c r="AF33" i="24"/>
  <c r="CL30" i="24"/>
  <c r="BU30" i="24"/>
  <c r="BU29" i="24"/>
  <c r="BL29" i="24"/>
  <c r="AQ29" i="24"/>
  <c r="BQ29" i="24"/>
  <c r="AJ29" i="24"/>
  <c r="AF29" i="24"/>
  <c r="BJ29" i="24"/>
  <c r="AJ28" i="24"/>
  <c r="BM28" i="24"/>
  <c r="BW24" i="24"/>
  <c r="BO24" i="24"/>
  <c r="AJ24" i="24"/>
  <c r="AF24" i="24"/>
  <c r="BS21" i="24"/>
  <c r="AJ21" i="24"/>
  <c r="AF21" i="24"/>
  <c r="BJ21" i="24"/>
  <c r="CK20" i="24"/>
  <c r="BU20" i="24"/>
  <c r="BP20" i="24"/>
  <c r="BL20" i="24"/>
  <c r="BE20" i="24"/>
  <c r="BW20" i="24"/>
  <c r="AJ20" i="24"/>
  <c r="BS19" i="24"/>
  <c r="BW18" i="24"/>
  <c r="BE14" i="24"/>
  <c r="BT13" i="24"/>
  <c r="BL13" i="24"/>
  <c r="AC13" i="24"/>
  <c r="CK9" i="24"/>
  <c r="BT9" i="24"/>
  <c r="BL9" i="24"/>
  <c r="AC9" i="24"/>
  <c r="EW8" i="24"/>
  <c r="BS8" i="24"/>
  <c r="BR314" i="49"/>
  <c r="BM314" i="49"/>
  <c r="BI314" i="49"/>
  <c r="BP311" i="49"/>
  <c r="BI311" i="49"/>
  <c r="AJ311" i="49"/>
  <c r="BJ311" i="49"/>
  <c r="BE310" i="49"/>
  <c r="AQ310" i="49"/>
  <c r="BP305" i="49"/>
  <c r="BF305" i="49"/>
  <c r="AJ304" i="49"/>
  <c r="BJ304" i="49"/>
  <c r="AJ302" i="49"/>
  <c r="AF302" i="49"/>
  <c r="BG302" i="49"/>
  <c r="BO301" i="49"/>
  <c r="BI301" i="49"/>
  <c r="BR296" i="49"/>
  <c r="BB296" i="49"/>
  <c r="AQ296" i="49"/>
  <c r="BN296" i="49"/>
  <c r="BR289" i="49"/>
  <c r="BF289" i="49"/>
  <c r="AQ289" i="49"/>
  <c r="BB285" i="49"/>
  <c r="BL285" i="49"/>
  <c r="BR285" i="49"/>
  <c r="AJ285" i="49"/>
  <c r="AF285" i="49"/>
  <c r="BG285" i="49"/>
  <c r="BI285" i="49"/>
  <c r="BP285" i="49"/>
  <c r="BU285" i="49"/>
  <c r="AJ282" i="49"/>
  <c r="BJ282" i="49"/>
  <c r="BQ282" i="49"/>
  <c r="BT280" i="49"/>
  <c r="BI280" i="49"/>
  <c r="AQ280" i="49"/>
  <c r="BS273" i="49"/>
  <c r="BQ271" i="49"/>
  <c r="BB271" i="49"/>
  <c r="AQ271" i="49"/>
  <c r="BN271" i="49"/>
  <c r="BU270" i="49"/>
  <c r="BK270" i="49"/>
  <c r="BT270" i="49"/>
  <c r="BU269" i="49"/>
  <c r="BM265" i="49"/>
  <c r="AC265" i="49"/>
  <c r="BF264" i="49"/>
  <c r="AC264" i="49"/>
  <c r="BM264" i="49"/>
  <c r="BI254" i="49"/>
  <c r="AQ254" i="49"/>
  <c r="BK246" i="49"/>
  <c r="BS246" i="49"/>
  <c r="BB246" i="49"/>
  <c r="BP246" i="49"/>
  <c r="BL245" i="49"/>
  <c r="AQ245" i="49"/>
  <c r="BE243" i="49"/>
  <c r="BF242" i="49"/>
  <c r="BB242" i="49"/>
  <c r="BP237" i="49"/>
  <c r="BU237" i="49"/>
  <c r="BQ234" i="49"/>
  <c r="AC226" i="49"/>
  <c r="BI226" i="49"/>
  <c r="BR226" i="49"/>
  <c r="BE226" i="49"/>
  <c r="BM226" i="49"/>
  <c r="BS224" i="49"/>
  <c r="BE224" i="49"/>
  <c r="AQ224" i="49"/>
  <c r="AG224" i="49"/>
  <c r="AJ220" i="49"/>
  <c r="BJ220" i="49"/>
  <c r="AC220" i="49"/>
  <c r="BB220" i="49"/>
  <c r="BM220" i="49"/>
  <c r="BI220" i="49"/>
  <c r="BP220" i="49"/>
  <c r="BQ213" i="49"/>
  <c r="BM208" i="49"/>
  <c r="BR207" i="49"/>
  <c r="BT207" i="49"/>
  <c r="BM184" i="49"/>
  <c r="BI182" i="49"/>
  <c r="AQ182" i="49"/>
  <c r="BN182" i="49"/>
  <c r="AC181" i="49"/>
  <c r="BI181" i="49"/>
  <c r="BO181" i="49"/>
  <c r="BU181" i="49"/>
  <c r="BE181" i="49"/>
  <c r="BL181" i="49"/>
  <c r="BQ181" i="49"/>
  <c r="BI180" i="49"/>
  <c r="BQ177" i="49"/>
  <c r="BU176" i="49"/>
  <c r="BI176" i="49"/>
  <c r="BB175" i="49"/>
  <c r="AQ175" i="49"/>
  <c r="AQ171" i="49"/>
  <c r="AG171" i="49"/>
  <c r="BB164" i="49"/>
  <c r="BL164" i="49"/>
  <c r="BT161" i="49"/>
  <c r="BS157" i="49"/>
  <c r="BI157" i="49"/>
  <c r="BR151" i="49"/>
  <c r="BF151" i="49"/>
  <c r="AQ151" i="49"/>
  <c r="AG151" i="49"/>
  <c r="BH151" i="49"/>
  <c r="AJ142" i="49"/>
  <c r="BJ142" i="49"/>
  <c r="BF142" i="49"/>
  <c r="BQ142" i="49"/>
  <c r="BU142" i="49"/>
  <c r="AJ139" i="49"/>
  <c r="AF139" i="49"/>
  <c r="BU139" i="49"/>
  <c r="BM139" i="49"/>
  <c r="AJ138" i="49"/>
  <c r="BJ138" i="49"/>
  <c r="BU138" i="49"/>
  <c r="BM138" i="49"/>
  <c r="BM133" i="49"/>
  <c r="AJ133" i="49"/>
  <c r="BU133" i="49"/>
  <c r="S130" i="49"/>
  <c r="BU126" i="49"/>
  <c r="AQ126" i="49"/>
  <c r="BN126" i="49"/>
  <c r="BQ123" i="49"/>
  <c r="BF123" i="49"/>
  <c r="AQ123" i="49"/>
  <c r="BN123" i="49"/>
  <c r="BU122" i="49"/>
  <c r="BS115" i="49"/>
  <c r="BT115" i="49"/>
  <c r="AJ115" i="49"/>
  <c r="AF115" i="49"/>
  <c r="BG115" i="49"/>
  <c r="AJ111" i="49"/>
  <c r="BK111" i="49"/>
  <c r="BQ111" i="49"/>
  <c r="BI111" i="49"/>
  <c r="BE111" i="49"/>
  <c r="BM111" i="49"/>
  <c r="BM109" i="49"/>
  <c r="BB109" i="49"/>
  <c r="BE107" i="49"/>
  <c r="AC107" i="49"/>
  <c r="BI107" i="49"/>
  <c r="BR107" i="49"/>
  <c r="BL106" i="49"/>
  <c r="BI106" i="49"/>
  <c r="BQ104" i="49"/>
  <c r="AJ104" i="49"/>
  <c r="BB103" i="49"/>
  <c r="AQ103" i="49"/>
  <c r="AG103" i="49"/>
  <c r="BH103" i="49"/>
  <c r="BT102" i="49"/>
  <c r="AJ102" i="49"/>
  <c r="AF102" i="49"/>
  <c r="BG102" i="49"/>
  <c r="BI89" i="49"/>
  <c r="BF88" i="49"/>
  <c r="BB88" i="49"/>
  <c r="BQ88" i="49"/>
  <c r="AJ88" i="49"/>
  <c r="AF88" i="49"/>
  <c r="BG88" i="49"/>
  <c r="BM88" i="49"/>
  <c r="BS88" i="49"/>
  <c r="BF87" i="49"/>
  <c r="AQ87" i="49"/>
  <c r="AG87" i="49"/>
  <c r="BH87" i="49"/>
  <c r="AJ86" i="49"/>
  <c r="AF86" i="49"/>
  <c r="BG86" i="49"/>
  <c r="BU82" i="49"/>
  <c r="AJ82" i="49"/>
  <c r="BJ82" i="49"/>
  <c r="BF82" i="49"/>
  <c r="BQ82" i="49"/>
  <c r="BS79" i="49"/>
  <c r="BI79" i="49"/>
  <c r="BF78" i="49"/>
  <c r="AQ76" i="49"/>
  <c r="BN76" i="49"/>
  <c r="BQ68" i="49"/>
  <c r="BF65" i="49"/>
  <c r="AQ65" i="49"/>
  <c r="BI64" i="49"/>
  <c r="BM60" i="49"/>
  <c r="BU57" i="49"/>
  <c r="BI57" i="49"/>
  <c r="BP57" i="49"/>
  <c r="AJ57" i="49"/>
  <c r="BJ57" i="49"/>
  <c r="AC57" i="49"/>
  <c r="BE57" i="49"/>
  <c r="BM57" i="49"/>
  <c r="BI56" i="49"/>
  <c r="BB55" i="49"/>
  <c r="BB52" i="49"/>
  <c r="BK52" i="49"/>
  <c r="AJ47" i="49"/>
  <c r="BJ47" i="49"/>
  <c r="BF47" i="49"/>
  <c r="BR47" i="49"/>
  <c r="BM47" i="49"/>
  <c r="BP43" i="49"/>
  <c r="AC43" i="49"/>
  <c r="AQ40" i="49"/>
  <c r="AG40" i="49"/>
  <c r="BH40" i="49"/>
  <c r="BS39" i="49"/>
  <c r="BU39" i="49"/>
  <c r="AQ39" i="49"/>
  <c r="BT38" i="49"/>
  <c r="AQ38" i="49"/>
  <c r="AG38" i="49"/>
  <c r="BH38" i="49"/>
  <c r="BI36" i="49"/>
  <c r="BP36" i="49"/>
  <c r="AJ36" i="49"/>
  <c r="BJ36" i="49"/>
  <c r="BB36" i="49"/>
  <c r="BM36" i="49"/>
  <c r="BS36" i="49"/>
  <c r="BF35" i="49"/>
  <c r="AQ35" i="49"/>
  <c r="BU33" i="49"/>
  <c r="BI28" i="49"/>
  <c r="AQ28" i="49"/>
  <c r="AG28" i="49"/>
  <c r="BK27" i="49"/>
  <c r="BT27" i="49"/>
  <c r="BK26" i="49"/>
  <c r="BB24" i="49"/>
  <c r="BQ23" i="49"/>
  <c r="BB22" i="49"/>
  <c r="AQ22" i="49"/>
  <c r="BN22" i="49"/>
  <c r="BM19" i="49"/>
  <c r="BS11" i="49"/>
  <c r="BB11" i="49"/>
  <c r="BT10" i="49"/>
  <c r="BK10" i="49"/>
  <c r="AJ10" i="49"/>
  <c r="BH79" i="24"/>
  <c r="BX79" i="24"/>
  <c r="AJ95" i="24"/>
  <c r="BM95" i="24"/>
  <c r="BW95" i="24"/>
  <c r="CJ104" i="24"/>
  <c r="BT116" i="24"/>
  <c r="BT122" i="24"/>
  <c r="BP124" i="24"/>
  <c r="BL129" i="24"/>
  <c r="CK129" i="24"/>
  <c r="BH138" i="24"/>
  <c r="BX138" i="24"/>
  <c r="BH215" i="24"/>
  <c r="BX215" i="24"/>
  <c r="BS57" i="24"/>
  <c r="EW82" i="24"/>
  <c r="BU91" i="24"/>
  <c r="BX91" i="24"/>
  <c r="BH91" i="24"/>
  <c r="BV96" i="24"/>
  <c r="BE115" i="24"/>
  <c r="BX123" i="24"/>
  <c r="BU130" i="24"/>
  <c r="BX130" i="24"/>
  <c r="BH130" i="24"/>
  <c r="CK131" i="24"/>
  <c r="BL131" i="24"/>
  <c r="BN166" i="24"/>
  <c r="BL192" i="24"/>
  <c r="AJ203" i="24"/>
  <c r="BM203" i="24"/>
  <c r="EW216" i="24"/>
  <c r="BN216" i="24"/>
  <c r="BV234" i="24"/>
  <c r="EW243" i="24"/>
  <c r="BP243" i="24"/>
  <c r="EX249" i="24"/>
  <c r="BL249" i="24"/>
  <c r="BV254" i="24"/>
  <c r="AC260" i="24"/>
  <c r="CI260" i="24"/>
  <c r="BI269" i="24"/>
  <c r="BT272" i="24"/>
  <c r="BO288" i="24"/>
  <c r="BR291" i="24"/>
  <c r="EW295" i="24"/>
  <c r="AJ309" i="24"/>
  <c r="BM309" i="24"/>
  <c r="BX309" i="24"/>
  <c r="BR312" i="24"/>
  <c r="BW70" i="24"/>
  <c r="EW70" i="24"/>
  <c r="BU70" i="24"/>
  <c r="CK82" i="24"/>
  <c r="BL82" i="24"/>
  <c r="CL98" i="24"/>
  <c r="CK98" i="24"/>
  <c r="BH98" i="24"/>
  <c r="EX105" i="24"/>
  <c r="BU166" i="24"/>
  <c r="CK166" i="24"/>
  <c r="BL166" i="24"/>
  <c r="CI192" i="24"/>
  <c r="CL192" i="24"/>
  <c r="BU309" i="24"/>
  <c r="BE96" i="24"/>
  <c r="BR98" i="24"/>
  <c r="EW113" i="24"/>
  <c r="BI115" i="24"/>
  <c r="AQ123" i="24"/>
  <c r="BQ123" i="24"/>
  <c r="BS130" i="24"/>
  <c r="CI132" i="24"/>
  <c r="CL132" i="24"/>
  <c r="BI132" i="24"/>
  <c r="CI166" i="24"/>
  <c r="BV177" i="24"/>
  <c r="CL177" i="24"/>
  <c r="BH192" i="24"/>
  <c r="BX203" i="24"/>
  <c r="BH211" i="24"/>
  <c r="BS216" i="24"/>
  <c r="BU222" i="24"/>
  <c r="BU226" i="24"/>
  <c r="BX226" i="24"/>
  <c r="BH226" i="24"/>
  <c r="BW234" i="24"/>
  <c r="BW243" i="24"/>
  <c r="BW249" i="24"/>
  <c r="BN250" i="24"/>
  <c r="AJ254" i="24"/>
  <c r="AF254" i="24"/>
  <c r="BJ254" i="24"/>
  <c r="EW254" i="24"/>
  <c r="AJ275" i="24"/>
  <c r="BM275" i="24"/>
  <c r="AJ277" i="24"/>
  <c r="EW277" i="24"/>
  <c r="BT283" i="24"/>
  <c r="BH287" i="24"/>
  <c r="EX291" i="24"/>
  <c r="BT293" i="24"/>
  <c r="AC293" i="24"/>
  <c r="BI295" i="24"/>
  <c r="BU296" i="24"/>
  <c r="CL300" i="24"/>
  <c r="CL304" i="24"/>
  <c r="BS308" i="24"/>
  <c r="BL269" i="24"/>
  <c r="BV57" i="24"/>
  <c r="BU57" i="24"/>
  <c r="BT57" i="24"/>
  <c r="AC57" i="24"/>
  <c r="BL70" i="24"/>
  <c r="BU113" i="24"/>
  <c r="BS192" i="24"/>
  <c r="BX222" i="24"/>
  <c r="EX222" i="24"/>
  <c r="BI250" i="24"/>
  <c r="BI254" i="24"/>
  <c r="BX272" i="24"/>
  <c r="BP277" i="24"/>
  <c r="BP295" i="24"/>
  <c r="BV300" i="24"/>
  <c r="BT308" i="24"/>
  <c r="AC308" i="24"/>
  <c r="BW309" i="24"/>
  <c r="EW316" i="24"/>
  <c r="CI316" i="24"/>
  <c r="BR316" i="24"/>
  <c r="BI316" i="24"/>
  <c r="BX316" i="24"/>
  <c r="BH310" i="24"/>
  <c r="BU308" i="24"/>
  <c r="BS307" i="24"/>
  <c r="BI307" i="24"/>
  <c r="CL305" i="24"/>
  <c r="BX305" i="24"/>
  <c r="BR305" i="24"/>
  <c r="EX304" i="24"/>
  <c r="CI304" i="24"/>
  <c r="BS304" i="24"/>
  <c r="BN304" i="24"/>
  <c r="EX303" i="24"/>
  <c r="BU303" i="24"/>
  <c r="BP303" i="24"/>
  <c r="EW293" i="24"/>
  <c r="CI293" i="24"/>
  <c r="BU291" i="24"/>
  <c r="BI291" i="24"/>
  <c r="BR290" i="24"/>
  <c r="EX289" i="24"/>
  <c r="CI289" i="24"/>
  <c r="BR289" i="24"/>
  <c r="BT288" i="24"/>
  <c r="EX287" i="24"/>
  <c r="CL283" i="24"/>
  <c r="BW283" i="24"/>
  <c r="BO283" i="24"/>
  <c r="BV282" i="24"/>
  <c r="BR282" i="24"/>
  <c r="BU279" i="24"/>
  <c r="BP279" i="24"/>
  <c r="BL279" i="24"/>
  <c r="EX277" i="24"/>
  <c r="BW277" i="24"/>
  <c r="BX270" i="24"/>
  <c r="BX267" i="24"/>
  <c r="BU266" i="24"/>
  <c r="BL266" i="24"/>
  <c r="BI265" i="24"/>
  <c r="BU262" i="24"/>
  <c r="BL262" i="24"/>
  <c r="CL257" i="24"/>
  <c r="BV257" i="24"/>
  <c r="BR257" i="24"/>
  <c r="BE257" i="24"/>
  <c r="BW257" i="24"/>
  <c r="BU243" i="24"/>
  <c r="BI243" i="24"/>
  <c r="BT240" i="24"/>
  <c r="BN240" i="24"/>
  <c r="BE240" i="24"/>
  <c r="BW240" i="24"/>
  <c r="CL237" i="24"/>
  <c r="BS237" i="24"/>
  <c r="BI237" i="24"/>
  <c r="CK235" i="24"/>
  <c r="BV235" i="24"/>
  <c r="BO235" i="24"/>
  <c r="BH235" i="24"/>
  <c r="CL234" i="24"/>
  <c r="BS234" i="24"/>
  <c r="EW233" i="24"/>
  <c r="BT233" i="24"/>
  <c r="BN233" i="24"/>
  <c r="EX231" i="24"/>
  <c r="BU231" i="24"/>
  <c r="BL231" i="24"/>
  <c r="BW231" i="24"/>
  <c r="EW226" i="24"/>
  <c r="BS226" i="24"/>
  <c r="BV220" i="24"/>
  <c r="BO220" i="24"/>
  <c r="BT216" i="24"/>
  <c r="BE216" i="24"/>
  <c r="EX215" i="24"/>
  <c r="BR215" i="24"/>
  <c r="BE215" i="24"/>
  <c r="BU213" i="24"/>
  <c r="BL213" i="24"/>
  <c r="BW213" i="24"/>
  <c r="EX210" i="24"/>
  <c r="BU210" i="24"/>
  <c r="BN210" i="24"/>
  <c r="EX203" i="24"/>
  <c r="EX202" i="24"/>
  <c r="BX202" i="24"/>
  <c r="BN202" i="24"/>
  <c r="BT201" i="24"/>
  <c r="BX198" i="24"/>
  <c r="BO196" i="24"/>
  <c r="BE195" i="24"/>
  <c r="EX184" i="24"/>
  <c r="BS184" i="24"/>
  <c r="CL183" i="24"/>
  <c r="BS177" i="24"/>
  <c r="BO173" i="24"/>
  <c r="BE168" i="24"/>
  <c r="EW161" i="24"/>
  <c r="BV161" i="24"/>
  <c r="BO161" i="24"/>
  <c r="BE161" i="24"/>
  <c r="BO154" i="24"/>
  <c r="CI151" i="24"/>
  <c r="BI151" i="24"/>
  <c r="EX145" i="24"/>
  <c r="BT145" i="24"/>
  <c r="BL145" i="24"/>
  <c r="BV144" i="24"/>
  <c r="EW136" i="24"/>
  <c r="BV136" i="24"/>
  <c r="BO136" i="24"/>
  <c r="BH136" i="24"/>
  <c r="BE135" i="24"/>
  <c r="BP132" i="24"/>
  <c r="BE132" i="24"/>
  <c r="EW131" i="24"/>
  <c r="BW131" i="24"/>
  <c r="CI130" i="24"/>
  <c r="BE130" i="24"/>
  <c r="BS129" i="24"/>
  <c r="BM129" i="24"/>
  <c r="BN126" i="24"/>
  <c r="BO125" i="24"/>
  <c r="EX124" i="24"/>
  <c r="EX122" i="24"/>
  <c r="BT121" i="24"/>
  <c r="EW117" i="24"/>
  <c r="BV117" i="24"/>
  <c r="BN117" i="24"/>
  <c r="EW116" i="24"/>
  <c r="BS116" i="24"/>
  <c r="BI116" i="24"/>
  <c r="BW116" i="24"/>
  <c r="CL114" i="24"/>
  <c r="BN114" i="24"/>
  <c r="BW114" i="24"/>
  <c r="BS112" i="24"/>
  <c r="EX111" i="24"/>
  <c r="CI111" i="24"/>
  <c r="BR111" i="24"/>
  <c r="BL111" i="24"/>
  <c r="BJ111" i="24"/>
  <c r="BW106" i="24"/>
  <c r="EW104" i="24"/>
  <c r="BX104" i="24"/>
  <c r="BR104" i="24"/>
  <c r="BX100" i="24"/>
  <c r="BU95" i="24"/>
  <c r="BL95" i="24"/>
  <c r="EX90" i="24"/>
  <c r="BX90" i="24"/>
  <c r="BN90" i="24"/>
  <c r="EW88" i="24"/>
  <c r="CI88" i="24"/>
  <c r="BS88" i="24"/>
  <c r="BN88" i="24"/>
  <c r="BH88" i="24"/>
  <c r="EW86" i="24"/>
  <c r="BV86" i="24"/>
  <c r="BP86" i="24"/>
  <c r="BI86" i="24"/>
  <c r="CI83" i="24"/>
  <c r="BS83" i="24"/>
  <c r="BN83" i="24"/>
  <c r="BH83" i="24"/>
  <c r="BR79" i="24"/>
  <c r="BU77" i="24"/>
  <c r="BO76" i="24"/>
  <c r="BO74" i="24"/>
  <c r="BX73" i="24"/>
  <c r="BE73" i="24"/>
  <c r="EX72" i="24"/>
  <c r="CI72" i="24"/>
  <c r="BO72" i="24"/>
  <c r="EW71" i="24"/>
  <c r="CI71" i="24"/>
  <c r="BO71" i="24"/>
  <c r="BX64" i="24"/>
  <c r="BP64" i="24"/>
  <c r="BE64" i="24"/>
  <c r="EW62" i="24"/>
  <c r="CI62" i="24"/>
  <c r="BT62" i="24"/>
  <c r="BO62" i="24"/>
  <c r="BH62" i="24"/>
  <c r="BW62" i="24"/>
  <c r="EW48" i="24"/>
  <c r="CI48" i="24"/>
  <c r="BR48" i="24"/>
  <c r="BH48" i="24"/>
  <c r="BW48" i="24"/>
  <c r="EX47" i="24"/>
  <c r="BX47" i="24"/>
  <c r="CL46" i="24"/>
  <c r="BS46" i="24"/>
  <c r="BI46" i="24"/>
  <c r="BW46" i="24"/>
  <c r="EX43" i="24"/>
  <c r="BX35" i="24"/>
  <c r="BH35" i="24"/>
  <c r="BW35" i="24"/>
  <c r="EW34" i="24"/>
  <c r="BR34" i="24"/>
  <c r="EW33" i="24"/>
  <c r="BW33" i="24"/>
  <c r="BS33" i="24"/>
  <c r="BN33" i="24"/>
  <c r="BE33" i="24"/>
  <c r="BR30" i="24"/>
  <c r="EX29" i="24"/>
  <c r="BT29" i="24"/>
  <c r="BI29" i="24"/>
  <c r="BT24" i="24"/>
  <c r="BL24" i="24"/>
  <c r="BO21" i="24"/>
  <c r="EX20" i="24"/>
  <c r="BT20" i="24"/>
  <c r="BO20" i="24"/>
  <c r="EX13" i="24"/>
  <c r="CI13" i="24"/>
  <c r="BR13" i="24"/>
  <c r="BH13" i="24"/>
  <c r="BW13" i="24"/>
  <c r="BS9" i="24"/>
  <c r="BH9" i="24"/>
  <c r="BO8" i="24"/>
  <c r="BQ314" i="49"/>
  <c r="BL314" i="49"/>
  <c r="BF314" i="49"/>
  <c r="BT314" i="49"/>
  <c r="BT311" i="49"/>
  <c r="BO311" i="49"/>
  <c r="BE311" i="49"/>
  <c r="BM305" i="49"/>
  <c r="BU304" i="49"/>
  <c r="BI304" i="49"/>
  <c r="AC297" i="49"/>
  <c r="BU297" i="49"/>
  <c r="BI297" i="49"/>
  <c r="BO297" i="49"/>
  <c r="AJ297" i="49"/>
  <c r="BJ297" i="49"/>
  <c r="BT297" i="49"/>
  <c r="BE297" i="49"/>
  <c r="BL297" i="49"/>
  <c r="BQ297" i="49"/>
  <c r="BP296" i="49"/>
  <c r="AJ294" i="49"/>
  <c r="AF294" i="49"/>
  <c r="BG294" i="49"/>
  <c r="BU290" i="49"/>
  <c r="BP289" i="49"/>
  <c r="BB289" i="49"/>
  <c r="AJ289" i="49"/>
  <c r="AF289" i="49"/>
  <c r="BG289" i="49"/>
  <c r="BK285" i="49"/>
  <c r="AQ282" i="49"/>
  <c r="BN282" i="49"/>
  <c r="BR280" i="49"/>
  <c r="BB280" i="49"/>
  <c r="AJ280" i="49"/>
  <c r="BJ280" i="49"/>
  <c r="AQ275" i="49"/>
  <c r="AG275" i="49"/>
  <c r="BH275" i="49"/>
  <c r="BS274" i="49"/>
  <c r="AC274" i="49"/>
  <c r="BB273" i="49"/>
  <c r="BM273" i="49"/>
  <c r="BI273" i="49"/>
  <c r="BF273" i="49"/>
  <c r="BR273" i="49"/>
  <c r="BO271" i="49"/>
  <c r="AJ271" i="49"/>
  <c r="AF271" i="49"/>
  <c r="BR270" i="49"/>
  <c r="BF270" i="49"/>
  <c r="BM269" i="49"/>
  <c r="AJ269" i="49"/>
  <c r="BO258" i="49"/>
  <c r="BI258" i="49"/>
  <c r="BS254" i="49"/>
  <c r="BB254" i="49"/>
  <c r="BR253" i="49"/>
  <c r="BF246" i="49"/>
  <c r="AQ246" i="49"/>
  <c r="AG246" i="49"/>
  <c r="BF245" i="49"/>
  <c r="AC243" i="49"/>
  <c r="BM237" i="49"/>
  <c r="BI234" i="49"/>
  <c r="AC234" i="49"/>
  <c r="BP224" i="49"/>
  <c r="AJ224" i="49"/>
  <c r="AF224" i="49"/>
  <c r="BG224" i="49"/>
  <c r="BU222" i="49"/>
  <c r="BQ221" i="49"/>
  <c r="AQ221" i="49"/>
  <c r="BU218" i="49"/>
  <c r="BI218" i="49"/>
  <c r="BO218" i="49"/>
  <c r="BS218" i="49"/>
  <c r="AC218" i="49"/>
  <c r="BE218" i="49"/>
  <c r="BL218" i="49"/>
  <c r="BQ218" i="49"/>
  <c r="BE216" i="49"/>
  <c r="BQ216" i="49"/>
  <c r="AJ216" i="49"/>
  <c r="BI216" i="49"/>
  <c r="AJ211" i="49"/>
  <c r="AF211" i="49"/>
  <c r="BG211" i="49"/>
  <c r="BK211" i="49"/>
  <c r="BR211" i="49"/>
  <c r="BF211" i="49"/>
  <c r="BE211" i="49"/>
  <c r="BO211" i="49"/>
  <c r="BT211" i="49"/>
  <c r="BI208" i="49"/>
  <c r="AQ208" i="49"/>
  <c r="AG208" i="49"/>
  <c r="BK207" i="49"/>
  <c r="BQ206" i="49"/>
  <c r="AJ206" i="49"/>
  <c r="BU203" i="49"/>
  <c r="AQ203" i="49"/>
  <c r="AG203" i="49"/>
  <c r="BK198" i="49"/>
  <c r="AC198" i="49"/>
  <c r="BQ189" i="49"/>
  <c r="BI188" i="49"/>
  <c r="BQ188" i="49"/>
  <c r="BB188" i="49"/>
  <c r="BM188" i="49"/>
  <c r="BU188" i="49"/>
  <c r="BM185" i="49"/>
  <c r="AJ185" i="49"/>
  <c r="BE184" i="49"/>
  <c r="BQ184" i="49"/>
  <c r="BU184" i="49"/>
  <c r="BB180" i="49"/>
  <c r="AQ180" i="49"/>
  <c r="BN180" i="49"/>
  <c r="BE177" i="49"/>
  <c r="BQ176" i="49"/>
  <c r="BE176" i="49"/>
  <c r="AQ176" i="49"/>
  <c r="BR175" i="49"/>
  <c r="BE171" i="49"/>
  <c r="BP165" i="49"/>
  <c r="BL161" i="49"/>
  <c r="BQ157" i="49"/>
  <c r="BE157" i="49"/>
  <c r="AQ157" i="49"/>
  <c r="AC156" i="49"/>
  <c r="AJ156" i="49"/>
  <c r="BJ156" i="49"/>
  <c r="BE156" i="49"/>
  <c r="BL156" i="49"/>
  <c r="BP156" i="49"/>
  <c r="BT156" i="49"/>
  <c r="BR156" i="49"/>
  <c r="AC152" i="49"/>
  <c r="BU152" i="49"/>
  <c r="BK152" i="49"/>
  <c r="BP152" i="49"/>
  <c r="BT152" i="49"/>
  <c r="BE152" i="49"/>
  <c r="BM152" i="49"/>
  <c r="BS152" i="49"/>
  <c r="BP151" i="49"/>
  <c r="BB151" i="49"/>
  <c r="BE142" i="49"/>
  <c r="BQ126" i="49"/>
  <c r="BO123" i="49"/>
  <c r="BB123" i="49"/>
  <c r="AJ123" i="49"/>
  <c r="BJ123" i="49"/>
  <c r="BQ122" i="49"/>
  <c r="AJ122" i="49"/>
  <c r="AF122" i="49"/>
  <c r="BQ115" i="49"/>
  <c r="BF115" i="49"/>
  <c r="AC109" i="49"/>
  <c r="BE109" i="49"/>
  <c r="BO109" i="49"/>
  <c r="BS109" i="49"/>
  <c r="BL109" i="49"/>
  <c r="BQ109" i="49"/>
  <c r="BU109" i="49"/>
  <c r="BU107" i="49"/>
  <c r="BB106" i="49"/>
  <c r="AQ106" i="49"/>
  <c r="BN106" i="49"/>
  <c r="BM105" i="49"/>
  <c r="BM104" i="49"/>
  <c r="BT103" i="49"/>
  <c r="AC103" i="49"/>
  <c r="BM102" i="49"/>
  <c r="BM91" i="49"/>
  <c r="BE82" i="49"/>
  <c r="BQ79" i="49"/>
  <c r="BF79" i="49"/>
  <c r="AQ79" i="49"/>
  <c r="BN79" i="49"/>
  <c r="BU78" i="49"/>
  <c r="AQ78" i="49"/>
  <c r="AG78" i="49"/>
  <c r="BH78" i="49"/>
  <c r="BQ76" i="49"/>
  <c r="BI76" i="49"/>
  <c r="BB70" i="49"/>
  <c r="BK70" i="49"/>
  <c r="BE67" i="49"/>
  <c r="BP67" i="49"/>
  <c r="AJ67" i="49"/>
  <c r="BJ67" i="49"/>
  <c r="BK67" i="49"/>
  <c r="AJ64" i="49"/>
  <c r="AF64" i="49"/>
  <c r="BG64" i="49"/>
  <c r="BU61" i="49"/>
  <c r="BM61" i="49"/>
  <c r="BE60" i="49"/>
  <c r="AC60" i="49"/>
  <c r="BO57" i="49"/>
  <c r="BB56" i="49"/>
  <c r="AQ56" i="49"/>
  <c r="BU55" i="49"/>
  <c r="AJ44" i="49"/>
  <c r="AF44" i="49"/>
  <c r="BM44" i="49"/>
  <c r="BK44" i="49"/>
  <c r="BE44" i="49"/>
  <c r="BS44" i="49"/>
  <c r="BL43" i="49"/>
  <c r="BI40" i="49"/>
  <c r="BO39" i="49"/>
  <c r="BK38" i="49"/>
  <c r="BF31" i="49"/>
  <c r="AC31" i="49"/>
  <c r="BU31" i="49"/>
  <c r="BM31" i="49"/>
  <c r="BS28" i="49"/>
  <c r="BB28" i="49"/>
  <c r="BB26" i="49"/>
  <c r="BL26" i="49"/>
  <c r="BS26" i="49"/>
  <c r="AC26" i="49"/>
  <c r="BP26" i="49"/>
  <c r="BM24" i="49"/>
  <c r="BR24" i="49"/>
  <c r="AC24" i="49"/>
  <c r="BE24" i="49"/>
  <c r="BK24" i="49"/>
  <c r="BP24" i="49"/>
  <c r="BT24" i="49"/>
  <c r="BE23" i="49"/>
  <c r="BM23" i="49"/>
  <c r="AC23" i="49"/>
  <c r="BI23" i="49"/>
  <c r="BR23" i="49"/>
  <c r="BR22" i="49"/>
  <c r="BI19" i="49"/>
  <c r="AQ19" i="49"/>
  <c r="AG19" i="49"/>
  <c r="BQ11" i="49"/>
  <c r="AC11" i="49"/>
  <c r="BR10" i="49"/>
  <c r="BT291" i="49"/>
  <c r="BK290" i="49"/>
  <c r="BQ202" i="49"/>
  <c r="BE202" i="49"/>
  <c r="BR199" i="49"/>
  <c r="BL199" i="49"/>
  <c r="BE199" i="49"/>
  <c r="BM168" i="49"/>
  <c r="BM147" i="49"/>
  <c r="BE77" i="49"/>
  <c r="BM33" i="49"/>
  <c r="BR21" i="49"/>
  <c r="BI21" i="49"/>
  <c r="BT20" i="49"/>
  <c r="BI20" i="49"/>
  <c r="DW326" i="49"/>
  <c r="DW327" i="49"/>
  <c r="BQ261" i="49"/>
  <c r="BE261" i="49"/>
  <c r="BT260" i="49"/>
  <c r="BB260" i="49"/>
  <c r="BR158" i="49"/>
  <c r="BL158" i="49"/>
  <c r="BB158" i="49"/>
  <c r="BP132" i="49"/>
  <c r="BU132" i="49"/>
  <c r="BR131" i="49"/>
  <c r="DN322" i="49"/>
  <c r="DN324" i="49"/>
  <c r="DN326" i="49"/>
  <c r="DN327" i="49"/>
  <c r="BN56" i="49"/>
  <c r="AG56" i="49"/>
  <c r="AF206" i="49"/>
  <c r="AY206" i="49"/>
  <c r="BA206" i="49"/>
  <c r="BJ206" i="49"/>
  <c r="AG221" i="49"/>
  <c r="BH221" i="49"/>
  <c r="BN221" i="49"/>
  <c r="AF297" i="49"/>
  <c r="AF277" i="24"/>
  <c r="BM277" i="24"/>
  <c r="BM254" i="24"/>
  <c r="AG29" i="24"/>
  <c r="BK29" i="24"/>
  <c r="BQ136" i="24"/>
  <c r="AG203" i="24"/>
  <c r="BK203" i="24"/>
  <c r="BQ203" i="24"/>
  <c r="AF260" i="24"/>
  <c r="AY260" i="24"/>
  <c r="BD260" i="24"/>
  <c r="BM260" i="24"/>
  <c r="BM305" i="24"/>
  <c r="AF55" i="49"/>
  <c r="BG55" i="49"/>
  <c r="AF222" i="49"/>
  <c r="BG222" i="49"/>
  <c r="BJ126" i="49"/>
  <c r="BJ224" i="49"/>
  <c r="AG307" i="49"/>
  <c r="BH307" i="49"/>
  <c r="BN307" i="49"/>
  <c r="BM79" i="24"/>
  <c r="AF183" i="24"/>
  <c r="BM183" i="24"/>
  <c r="BM204" i="24"/>
  <c r="AF283" i="24"/>
  <c r="BM283" i="24"/>
  <c r="AG82" i="24"/>
  <c r="BK82" i="24"/>
  <c r="BJ141" i="24"/>
  <c r="BN19" i="49"/>
  <c r="BN78" i="49"/>
  <c r="AF216" i="49"/>
  <c r="BG216" i="49"/>
  <c r="BJ216" i="49"/>
  <c r="AF275" i="24"/>
  <c r="AG123" i="24"/>
  <c r="BK123" i="24"/>
  <c r="BN87" i="49"/>
  <c r="BJ139" i="49"/>
  <c r="BN175" i="49"/>
  <c r="AG175" i="49"/>
  <c r="BJ285" i="49"/>
  <c r="AF311" i="49"/>
  <c r="BG311" i="49"/>
  <c r="BM135" i="24"/>
  <c r="AF135" i="24"/>
  <c r="BJ135" i="24"/>
  <c r="AF27" i="49"/>
  <c r="AY27" i="49"/>
  <c r="BA27" i="49"/>
  <c r="BJ27" i="49"/>
  <c r="AF28" i="49"/>
  <c r="BG28" i="49"/>
  <c r="BJ28" i="49"/>
  <c r="AF11" i="49"/>
  <c r="BG11" i="49"/>
  <c r="BJ11" i="49"/>
  <c r="AF208" i="49"/>
  <c r="BG208" i="49"/>
  <c r="AF44" i="24"/>
  <c r="BJ44" i="24"/>
  <c r="AF180" i="24"/>
  <c r="BJ180" i="24"/>
  <c r="BH303" i="49"/>
  <c r="BJ145" i="24"/>
  <c r="BN28" i="49"/>
  <c r="BN40" i="49"/>
  <c r="BN103" i="49"/>
  <c r="AF138" i="49"/>
  <c r="AF220" i="49"/>
  <c r="BG220" i="49"/>
  <c r="AF20" i="24"/>
  <c r="BJ20" i="24"/>
  <c r="BM20" i="24"/>
  <c r="AF28" i="24"/>
  <c r="AG33" i="24"/>
  <c r="BK33" i="24"/>
  <c r="BM64" i="24"/>
  <c r="AF233" i="24"/>
  <c r="BJ233" i="24"/>
  <c r="BM233" i="24"/>
  <c r="AF234" i="24"/>
  <c r="BJ234" i="24"/>
  <c r="BM234" i="24"/>
  <c r="BM291" i="24"/>
  <c r="AF35" i="49"/>
  <c r="BJ35" i="49"/>
  <c r="BJ103" i="49"/>
  <c r="AF215" i="49"/>
  <c r="BJ215" i="49"/>
  <c r="AF253" i="49"/>
  <c r="BG253" i="49"/>
  <c r="BJ253" i="49"/>
  <c r="AG146" i="24"/>
  <c r="BQ146" i="24"/>
  <c r="AF177" i="24"/>
  <c r="BJ177" i="24"/>
  <c r="BM177" i="24"/>
  <c r="AF279" i="24"/>
  <c r="BM279" i="24"/>
  <c r="AG98" i="24"/>
  <c r="BK98" i="24"/>
  <c r="BQ98" i="24"/>
  <c r="BG78" i="49"/>
  <c r="BJ64" i="49"/>
  <c r="BN157" i="49"/>
  <c r="AG157" i="49"/>
  <c r="BH157" i="49"/>
  <c r="AF185" i="49"/>
  <c r="BG185" i="49"/>
  <c r="BJ185" i="49"/>
  <c r="BN246" i="49"/>
  <c r="BG271" i="49"/>
  <c r="BJ271" i="49"/>
  <c r="AG65" i="49"/>
  <c r="BH65" i="49"/>
  <c r="BN65" i="49"/>
  <c r="AG310" i="49"/>
  <c r="BH310" i="49"/>
  <c r="BN310" i="49"/>
  <c r="BM46" i="24"/>
  <c r="BM62" i="24"/>
  <c r="AF144" i="24"/>
  <c r="BJ144" i="24"/>
  <c r="BM144" i="24"/>
  <c r="BM210" i="24"/>
  <c r="AF210" i="24"/>
  <c r="BJ210" i="24"/>
  <c r="AG234" i="24"/>
  <c r="BK234" i="24"/>
  <c r="AF240" i="24"/>
  <c r="BJ240" i="24"/>
  <c r="AG204" i="49"/>
  <c r="BH204" i="49"/>
  <c r="BN224" i="49"/>
  <c r="AF234" i="49"/>
  <c r="BG234" i="49"/>
  <c r="AF296" i="49"/>
  <c r="BJ296" i="49"/>
  <c r="BG312" i="49"/>
  <c r="BM30" i="24"/>
  <c r="BM303" i="24"/>
  <c r="AF308" i="24"/>
  <c r="BJ308" i="24"/>
  <c r="BM308" i="24"/>
  <c r="BJ87" i="24"/>
  <c r="BG27" i="49"/>
  <c r="AF142" i="49"/>
  <c r="BG142" i="49"/>
  <c r="AF304" i="49"/>
  <c r="AG309" i="24"/>
  <c r="BG125" i="49"/>
  <c r="BJ152" i="24"/>
  <c r="BJ314" i="24"/>
  <c r="AY314" i="24"/>
  <c r="BD314" i="24"/>
  <c r="AF105" i="49"/>
  <c r="BG105" i="49"/>
  <c r="BK258" i="24"/>
  <c r="BG207" i="49"/>
  <c r="BH201" i="49"/>
  <c r="BJ134" i="49"/>
  <c r="AF210" i="49"/>
  <c r="BG210" i="49"/>
  <c r="AG190" i="24"/>
  <c r="AY163" i="24"/>
  <c r="BD163" i="24"/>
  <c r="BJ63" i="49"/>
  <c r="BJ178" i="49"/>
  <c r="BJ310" i="49"/>
  <c r="BQ303" i="24"/>
  <c r="AG303" i="24"/>
  <c r="BQ288" i="24"/>
  <c r="BQ222" i="24"/>
  <c r="AG222" i="24"/>
  <c r="BJ41" i="49"/>
  <c r="AG291" i="24"/>
  <c r="BQ291" i="24"/>
  <c r="AF136" i="49"/>
  <c r="BG161" i="49"/>
  <c r="AY161" i="49"/>
  <c r="BA161" i="49"/>
  <c r="AF243" i="24"/>
  <c r="BJ243" i="24"/>
  <c r="BM243" i="24"/>
  <c r="AG256" i="49"/>
  <c r="BN256" i="49"/>
  <c r="BW316" i="24"/>
  <c r="BW308" i="24"/>
  <c r="BO308" i="24"/>
  <c r="BN307" i="24"/>
  <c r="CI302" i="24"/>
  <c r="BU301" i="24"/>
  <c r="BX297" i="24"/>
  <c r="EX293" i="24"/>
  <c r="BS293" i="24"/>
  <c r="BR283" i="24"/>
  <c r="BS282" i="24"/>
  <c r="BE282" i="24"/>
  <c r="BR279" i="24"/>
  <c r="BE272" i="24"/>
  <c r="EX271" i="24"/>
  <c r="BT271" i="24"/>
  <c r="BO271" i="24"/>
  <c r="BE271" i="24"/>
  <c r="BP270" i="24"/>
  <c r="BW269" i="24"/>
  <c r="CL268" i="24"/>
  <c r="BS266" i="24"/>
  <c r="BE266" i="24"/>
  <c r="EW264" i="24"/>
  <c r="BH264" i="24"/>
  <c r="BP263" i="24"/>
  <c r="BX263" i="24"/>
  <c r="BP262" i="24"/>
  <c r="EX261" i="24"/>
  <c r="BT261" i="24"/>
  <c r="BS257" i="24"/>
  <c r="BL257" i="24"/>
  <c r="BX257" i="24"/>
  <c r="BX252" i="24"/>
  <c r="EX248" i="24"/>
  <c r="CK248" i="24"/>
  <c r="BU248" i="24"/>
  <c r="BP248" i="24"/>
  <c r="BI248" i="24"/>
  <c r="BX248" i="24"/>
  <c r="AJ248" i="24"/>
  <c r="AF248" i="24"/>
  <c r="BN239" i="24"/>
  <c r="CI235" i="24"/>
  <c r="AJ235" i="24"/>
  <c r="AF235" i="24"/>
  <c r="BJ235" i="24"/>
  <c r="BW233" i="24"/>
  <c r="BI233" i="24"/>
  <c r="AQ233" i="24"/>
  <c r="BV229" i="24"/>
  <c r="BP229" i="24"/>
  <c r="BH229" i="24"/>
  <c r="BW229" i="24"/>
  <c r="CI226" i="24"/>
  <c r="CL221" i="24"/>
  <c r="BV221" i="24"/>
  <c r="BP221" i="24"/>
  <c r="BH221" i="24"/>
  <c r="BW221" i="24"/>
  <c r="CL217" i="24"/>
  <c r="BV217" i="24"/>
  <c r="BP217" i="24"/>
  <c r="BH217" i="24"/>
  <c r="BW217" i="24"/>
  <c r="BU215" i="24"/>
  <c r="AJ214" i="24"/>
  <c r="BW214" i="24"/>
  <c r="BL214" i="24"/>
  <c r="BU214" i="24"/>
  <c r="EX214" i="24"/>
  <c r="BO212" i="24"/>
  <c r="AQ210" i="24"/>
  <c r="BE207" i="24"/>
  <c r="BS207" i="24"/>
  <c r="BU206" i="24"/>
  <c r="BN206" i="24"/>
  <c r="BE206" i="24"/>
  <c r="BH201" i="24"/>
  <c r="AQ201" i="24"/>
  <c r="BQ201" i="24"/>
  <c r="AJ198" i="24"/>
  <c r="EX196" i="24"/>
  <c r="BX196" i="24"/>
  <c r="BW189" i="24"/>
  <c r="BW182" i="24"/>
  <c r="CL180" i="24"/>
  <c r="AQ179" i="24"/>
  <c r="BO177" i="24"/>
  <c r="CL175" i="24"/>
  <c r="BS175" i="24"/>
  <c r="EX171" i="24"/>
  <c r="BO171" i="24"/>
  <c r="BW170" i="24"/>
  <c r="BI170" i="24"/>
  <c r="BS170" i="24"/>
  <c r="BP169" i="24"/>
  <c r="AQ169" i="24"/>
  <c r="BR162" i="24"/>
  <c r="BN161" i="24"/>
  <c r="BL156" i="24"/>
  <c r="EX155" i="24"/>
  <c r="BU155" i="24"/>
  <c r="BI155" i="24"/>
  <c r="BW155" i="24"/>
  <c r="AC151" i="24"/>
  <c r="BU151" i="24"/>
  <c r="BE145" i="24"/>
  <c r="BX145" i="24"/>
  <c r="AJ137" i="24"/>
  <c r="BM137" i="24"/>
  <c r="BL137" i="24"/>
  <c r="BP133" i="24"/>
  <c r="BX132" i="24"/>
  <c r="BO118" i="24"/>
  <c r="CI116" i="24"/>
  <c r="BE108" i="24"/>
  <c r="BS108" i="24"/>
  <c r="BV107" i="24"/>
  <c r="BX107" i="24"/>
  <c r="BL107" i="24"/>
  <c r="AQ106" i="24"/>
  <c r="EW94" i="24"/>
  <c r="AJ90" i="24"/>
  <c r="BS90" i="24"/>
  <c r="CL90" i="24"/>
  <c r="BE89" i="24"/>
  <c r="AQ89" i="24"/>
  <c r="AG89" i="24"/>
  <c r="BK89" i="24"/>
  <c r="BE88" i="24"/>
  <c r="BR88" i="24"/>
  <c r="CK88" i="24"/>
  <c r="AJ86" i="24"/>
  <c r="AF86" i="24"/>
  <c r="BJ86" i="24"/>
  <c r="AC83" i="24"/>
  <c r="BW83" i="24"/>
  <c r="BL83" i="24"/>
  <c r="BU83" i="24"/>
  <c r="CL83" i="24"/>
  <c r="BP81" i="24"/>
  <c r="BN80" i="24"/>
  <c r="BI79" i="24"/>
  <c r="BE78" i="24"/>
  <c r="AJ77" i="24"/>
  <c r="BM77" i="24"/>
  <c r="BT77" i="24"/>
  <c r="BN75" i="24"/>
  <c r="BW75" i="24"/>
  <c r="AQ73" i="24"/>
  <c r="BQ73" i="24"/>
  <c r="EW72" i="24"/>
  <c r="BI72" i="24"/>
  <c r="AQ72" i="24"/>
  <c r="BQ72" i="24"/>
  <c r="BP69" i="24"/>
  <c r="BP67" i="24"/>
  <c r="AJ67" i="24"/>
  <c r="BX61" i="24"/>
  <c r="BP61" i="24"/>
  <c r="AQ57" i="24"/>
  <c r="BQ57" i="24"/>
  <c r="CL56" i="24"/>
  <c r="AQ51" i="24"/>
  <c r="AQ45" i="24"/>
  <c r="BT42" i="24"/>
  <c r="BH42" i="24"/>
  <c r="AC42" i="24"/>
  <c r="BV40" i="24"/>
  <c r="BL39" i="24"/>
  <c r="AQ39" i="24"/>
  <c r="BI35" i="24"/>
  <c r="BK35" i="24"/>
  <c r="BP35" i="24"/>
  <c r="BL34" i="24"/>
  <c r="AC32" i="24"/>
  <c r="BH32" i="24"/>
  <c r="BO32" i="24"/>
  <c r="BT32" i="24"/>
  <c r="EW32" i="24"/>
  <c r="AQ24" i="24"/>
  <c r="BQ24" i="24"/>
  <c r="BL18" i="24"/>
  <c r="BR18" i="24"/>
  <c r="BV18" i="24"/>
  <c r="CL18" i="24"/>
  <c r="CI16" i="24"/>
  <c r="BW16" i="24"/>
  <c r="BV16" i="24"/>
  <c r="EX14" i="24"/>
  <c r="BP13" i="24"/>
  <c r="BM13" i="24"/>
  <c r="BU11" i="24"/>
  <c r="BI11" i="24"/>
  <c r="BW11" i="24"/>
  <c r="BE9" i="24"/>
  <c r="BR7" i="24"/>
  <c r="BM315" i="49"/>
  <c r="AC315" i="49"/>
  <c r="BS314" i="49"/>
  <c r="BE314" i="49"/>
  <c r="AC313" i="49"/>
  <c r="BE313" i="49"/>
  <c r="BK306" i="49"/>
  <c r="AJ300" i="49"/>
  <c r="AF300" i="49"/>
  <c r="BG300" i="49"/>
  <c r="BE300" i="49"/>
  <c r="BL300" i="49"/>
  <c r="BQ300" i="49"/>
  <c r="BK297" i="49"/>
  <c r="BQ295" i="49"/>
  <c r="BP293" i="49"/>
  <c r="BP291" i="49"/>
  <c r="AQ287" i="49"/>
  <c r="AG287" i="49"/>
  <c r="BH287" i="49"/>
  <c r="BR283" i="49"/>
  <c r="BE283" i="49"/>
  <c r="AQ283" i="49"/>
  <c r="AQ270" i="49"/>
  <c r="AG270" i="49"/>
  <c r="BH270" i="49"/>
  <c r="BI262" i="49"/>
  <c r="AQ262" i="49"/>
  <c r="AG262" i="49"/>
  <c r="BH262" i="49"/>
  <c r="AC260" i="49"/>
  <c r="BL260" i="49"/>
  <c r="BM260" i="49"/>
  <c r="BU256" i="49"/>
  <c r="BK250" i="49"/>
  <c r="AQ247" i="49"/>
  <c r="BI244" i="49"/>
  <c r="BQ241" i="49"/>
  <c r="BS227" i="49"/>
  <c r="BF227" i="49"/>
  <c r="BU220" i="49"/>
  <c r="BS220" i="49"/>
  <c r="BE220" i="49"/>
  <c r="BT219" i="49"/>
  <c r="BF219" i="49"/>
  <c r="BQ214" i="49"/>
  <c r="AJ214" i="49"/>
  <c r="AJ200" i="49"/>
  <c r="BU200" i="49"/>
  <c r="BO200" i="49"/>
  <c r="BB200" i="49"/>
  <c r="AC199" i="49"/>
  <c r="BM199" i="49"/>
  <c r="BU199" i="49"/>
  <c r="BF199" i="49"/>
  <c r="BB199" i="49"/>
  <c r="BO199" i="49"/>
  <c r="AJ198" i="49"/>
  <c r="BJ198" i="49"/>
  <c r="BP198" i="49"/>
  <c r="BS198" i="49"/>
  <c r="AJ195" i="49"/>
  <c r="BE195" i="49"/>
  <c r="BO195" i="49"/>
  <c r="BI195" i="49"/>
  <c r="BP195" i="49"/>
  <c r="BF194" i="49"/>
  <c r="BM194" i="49"/>
  <c r="BB194" i="49"/>
  <c r="BR194" i="49"/>
  <c r="BL190" i="49"/>
  <c r="BF190" i="49"/>
  <c r="BI183" i="49"/>
  <c r="BK183" i="49"/>
  <c r="BQ183" i="49"/>
  <c r="AJ183" i="49"/>
  <c r="BB183" i="49"/>
  <c r="BL183" i="49"/>
  <c r="BS183" i="49"/>
  <c r="BE179" i="49"/>
  <c r="AQ179" i="49"/>
  <c r="BN179" i="49"/>
  <c r="BI175" i="49"/>
  <c r="BM175" i="49"/>
  <c r="BQ173" i="49"/>
  <c r="BP172" i="49"/>
  <c r="BH172" i="49"/>
  <c r="BS159" i="49"/>
  <c r="BU159" i="49"/>
  <c r="BK159" i="49"/>
  <c r="AC155" i="49"/>
  <c r="BU155" i="49"/>
  <c r="BL155" i="49"/>
  <c r="BR155" i="49"/>
  <c r="BF155" i="49"/>
  <c r="BB155" i="49"/>
  <c r="BM155" i="49"/>
  <c r="BT155" i="49"/>
  <c r="BE155" i="49"/>
  <c r="BP155" i="49"/>
  <c r="BF124" i="49"/>
  <c r="BE124" i="49"/>
  <c r="BO124" i="49"/>
  <c r="BT124" i="49"/>
  <c r="AC124" i="49"/>
  <c r="BI124" i="49"/>
  <c r="BP124" i="49"/>
  <c r="AJ124" i="49"/>
  <c r="AF124" i="49"/>
  <c r="BG124" i="49"/>
  <c r="BK124" i="49"/>
  <c r="BR124" i="49"/>
  <c r="AC111" i="49"/>
  <c r="BB111" i="49"/>
  <c r="BL111" i="49"/>
  <c r="AQ111" i="49"/>
  <c r="AG111" i="49"/>
  <c r="BH111" i="49"/>
  <c r="BT111" i="49"/>
  <c r="BP111" i="49"/>
  <c r="BU105" i="49"/>
  <c r="BF105" i="49"/>
  <c r="AC98" i="49"/>
  <c r="BF98" i="49"/>
  <c r="BL98" i="49"/>
  <c r="BQ98" i="49"/>
  <c r="BU98" i="49"/>
  <c r="BI98" i="49"/>
  <c r="BM98" i="49"/>
  <c r="BR98" i="49"/>
  <c r="AJ98" i="49"/>
  <c r="AF98" i="49"/>
  <c r="BG98" i="49"/>
  <c r="BB98" i="49"/>
  <c r="BO98" i="49"/>
  <c r="BS98" i="49"/>
  <c r="BQ90" i="49"/>
  <c r="AQ90" i="49"/>
  <c r="BK85" i="49"/>
  <c r="AJ79" i="49"/>
  <c r="BL79" i="49"/>
  <c r="BU79" i="49"/>
  <c r="AQ63" i="49"/>
  <c r="BN63" i="49"/>
  <c r="BQ59" i="49"/>
  <c r="AQ59" i="49"/>
  <c r="BN59" i="49"/>
  <c r="BI59" i="49"/>
  <c r="BU49" i="49"/>
  <c r="BS42" i="49"/>
  <c r="BQ20" i="49"/>
  <c r="AQ20" i="49"/>
  <c r="BN20" i="49"/>
  <c r="BT312" i="24"/>
  <c r="AC310" i="24"/>
  <c r="BE308" i="24"/>
  <c r="EX307" i="24"/>
  <c r="BX307" i="24"/>
  <c r="BL307" i="24"/>
  <c r="AC307" i="24"/>
  <c r="BW299" i="24"/>
  <c r="CI299" i="24"/>
  <c r="BT294" i="24"/>
  <c r="BN293" i="24"/>
  <c r="BU285" i="24"/>
  <c r="BI283" i="24"/>
  <c r="BN276" i="24"/>
  <c r="EW271" i="24"/>
  <c r="BS271" i="24"/>
  <c r="BN271" i="24"/>
  <c r="BX271" i="24"/>
  <c r="CL270" i="24"/>
  <c r="BH270" i="24"/>
  <c r="BX268" i="24"/>
  <c r="BI268" i="24"/>
  <c r="BS265" i="24"/>
  <c r="BN265" i="24"/>
  <c r="BU264" i="24"/>
  <c r="BN263" i="24"/>
  <c r="EW262" i="24"/>
  <c r="BN262" i="24"/>
  <c r="AC262" i="24"/>
  <c r="BE261" i="24"/>
  <c r="BN260" i="24"/>
  <c r="EX257" i="24"/>
  <c r="BP257" i="24"/>
  <c r="CI252" i="24"/>
  <c r="BU249" i="24"/>
  <c r="EW248" i="24"/>
  <c r="BT248" i="24"/>
  <c r="BO248" i="24"/>
  <c r="BH248" i="24"/>
  <c r="AC248" i="24"/>
  <c r="BE244" i="24"/>
  <c r="BT235" i="24"/>
  <c r="BE235" i="24"/>
  <c r="BU229" i="24"/>
  <c r="BN229" i="24"/>
  <c r="BE229" i="24"/>
  <c r="BO226" i="24"/>
  <c r="BH225" i="24"/>
  <c r="BN225" i="24"/>
  <c r="BS225" i="24"/>
  <c r="CI225" i="24"/>
  <c r="EW225" i="24"/>
  <c r="CK221" i="24"/>
  <c r="BU221" i="24"/>
  <c r="BN221" i="24"/>
  <c r="BE221" i="24"/>
  <c r="BN220" i="24"/>
  <c r="BL220" i="24"/>
  <c r="EX220" i="24"/>
  <c r="BE218" i="24"/>
  <c r="BV218" i="24"/>
  <c r="EW218" i="24"/>
  <c r="CK217" i="24"/>
  <c r="BU217" i="24"/>
  <c r="BN217" i="24"/>
  <c r="BE217" i="24"/>
  <c r="CL215" i="24"/>
  <c r="BN215" i="24"/>
  <c r="BS214" i="24"/>
  <c r="BS213" i="24"/>
  <c r="AQ212" i="24"/>
  <c r="BQ212" i="24"/>
  <c r="BU211" i="24"/>
  <c r="BR207" i="24"/>
  <c r="BS206" i="24"/>
  <c r="AC199" i="24"/>
  <c r="BN199" i="24"/>
  <c r="BU199" i="24"/>
  <c r="EX199" i="24"/>
  <c r="BI198" i="24"/>
  <c r="BT196" i="24"/>
  <c r="BX195" i="24"/>
  <c r="BO194" i="24"/>
  <c r="BW194" i="24"/>
  <c r="CL190" i="24"/>
  <c r="AJ189" i="24"/>
  <c r="BV188" i="24"/>
  <c r="AC188" i="24"/>
  <c r="BH171" i="24"/>
  <c r="EX170" i="24"/>
  <c r="BO170" i="24"/>
  <c r="BW167" i="24"/>
  <c r="BO167" i="24"/>
  <c r="EX167" i="24"/>
  <c r="BI162" i="24"/>
  <c r="BL162" i="24"/>
  <c r="CL161" i="24"/>
  <c r="BW159" i="24"/>
  <c r="BE157" i="24"/>
  <c r="BU157" i="24"/>
  <c r="CL155" i="24"/>
  <c r="BS155" i="24"/>
  <c r="BE155" i="24"/>
  <c r="BX154" i="24"/>
  <c r="BR151" i="24"/>
  <c r="AJ150" i="24"/>
  <c r="AF150" i="24"/>
  <c r="BW150" i="24"/>
  <c r="BS150" i="24"/>
  <c r="BP145" i="24"/>
  <c r="BE143" i="24"/>
  <c r="BS143" i="24"/>
  <c r="EX143" i="24"/>
  <c r="BN142" i="24"/>
  <c r="CL142" i="24"/>
  <c r="BH137" i="24"/>
  <c r="EW134" i="24"/>
  <c r="BE134" i="24"/>
  <c r="AQ134" i="24"/>
  <c r="BQ134" i="24"/>
  <c r="S131" i="24"/>
  <c r="BL127" i="24"/>
  <c r="BH127" i="24"/>
  <c r="BP127" i="24"/>
  <c r="BU127" i="24"/>
  <c r="EX127" i="24"/>
  <c r="AJ118" i="24"/>
  <c r="AF118" i="24"/>
  <c r="BJ118" i="24"/>
  <c r="AC116" i="24"/>
  <c r="AJ114" i="24"/>
  <c r="AJ109" i="24"/>
  <c r="BM109" i="24"/>
  <c r="BH108" i="24"/>
  <c r="BN100" i="24"/>
  <c r="BS100" i="24"/>
  <c r="BW97" i="24"/>
  <c r="BO97" i="24"/>
  <c r="BU97" i="24"/>
  <c r="CI95" i="24"/>
  <c r="AC92" i="24"/>
  <c r="BH92" i="24"/>
  <c r="BS92" i="24"/>
  <c r="BN91" i="24"/>
  <c r="BL90" i="24"/>
  <c r="BW90" i="24"/>
  <c r="BW88" i="24"/>
  <c r="BU86" i="24"/>
  <c r="BL85" i="24"/>
  <c r="BW85" i="24"/>
  <c r="BM83" i="24"/>
  <c r="BJ83" i="24"/>
  <c r="EX81" i="24"/>
  <c r="EX77" i="24"/>
  <c r="BI77" i="24"/>
  <c r="AJ76" i="24"/>
  <c r="BE75" i="24"/>
  <c r="CK73" i="24"/>
  <c r="AC73" i="24"/>
  <c r="BE68" i="24"/>
  <c r="BS68" i="24"/>
  <c r="BO67" i="24"/>
  <c r="BX67" i="24"/>
  <c r="AC66" i="24"/>
  <c r="EW66" i="24"/>
  <c r="CL61" i="24"/>
  <c r="BV61" i="24"/>
  <c r="EX58" i="24"/>
  <c r="BU58" i="24"/>
  <c r="AQ58" i="24"/>
  <c r="AQ55" i="24"/>
  <c r="BE52" i="24"/>
  <c r="AJ50" i="24"/>
  <c r="BT50" i="24"/>
  <c r="AJ48" i="24"/>
  <c r="BE48" i="24"/>
  <c r="BV48" i="24"/>
  <c r="BO46" i="24"/>
  <c r="AC46" i="24"/>
  <c r="BT45" i="24"/>
  <c r="BL44" i="24"/>
  <c r="BS42" i="24"/>
  <c r="BU40" i="24"/>
  <c r="BT39" i="24"/>
  <c r="CI32" i="24"/>
  <c r="BR32" i="24"/>
  <c r="BI32" i="24"/>
  <c r="AQ32" i="24"/>
  <c r="AG32" i="24"/>
  <c r="BK32" i="24"/>
  <c r="BI30" i="24"/>
  <c r="BP24" i="24"/>
  <c r="AC24" i="24"/>
  <c r="AC23" i="24"/>
  <c r="BE23" i="24"/>
  <c r="BR23" i="24"/>
  <c r="BV22" i="24"/>
  <c r="EX18" i="24"/>
  <c r="BP18" i="24"/>
  <c r="BH18" i="24"/>
  <c r="BN13" i="24"/>
  <c r="CL11" i="24"/>
  <c r="BS11" i="24"/>
  <c r="BE11" i="24"/>
  <c r="AJ10" i="24"/>
  <c r="BX9" i="24"/>
  <c r="AJ8" i="24"/>
  <c r="BM8" i="24"/>
  <c r="EX7" i="24"/>
  <c r="CI7" i="24"/>
  <c r="BO7" i="24"/>
  <c r="DL327" i="49"/>
  <c r="BB314" i="49"/>
  <c r="BO314" i="49"/>
  <c r="BI308" i="49"/>
  <c r="AP318" i="49"/>
  <c r="BS306" i="49"/>
  <c r="AJ301" i="49"/>
  <c r="BT301" i="49"/>
  <c r="BE301" i="49"/>
  <c r="BP301" i="49"/>
  <c r="BR300" i="49"/>
  <c r="BK300" i="49"/>
  <c r="BU296" i="49"/>
  <c r="BF295" i="49"/>
  <c r="AJ295" i="49"/>
  <c r="BJ295" i="49"/>
  <c r="BM293" i="49"/>
  <c r="BM291" i="49"/>
  <c r="BI287" i="49"/>
  <c r="AJ284" i="49"/>
  <c r="AF284" i="49"/>
  <c r="BG284" i="49"/>
  <c r="BT284" i="49"/>
  <c r="BF284" i="49"/>
  <c r="BL284" i="49"/>
  <c r="BQ284" i="49"/>
  <c r="BQ283" i="49"/>
  <c r="BF276" i="49"/>
  <c r="BM270" i="49"/>
  <c r="BP270" i="49"/>
  <c r="AQ269" i="49"/>
  <c r="BF262" i="49"/>
  <c r="BI260" i="49"/>
  <c r="AC250" i="49"/>
  <c r="BT250" i="49"/>
  <c r="BE250" i="49"/>
  <c r="BL250" i="49"/>
  <c r="BQ250" i="49"/>
  <c r="BF250" i="49"/>
  <c r="BM250" i="49"/>
  <c r="BR250" i="49"/>
  <c r="BS247" i="49"/>
  <c r="BT247" i="49"/>
  <c r="BO241" i="49"/>
  <c r="BS237" i="49"/>
  <c r="AQ237" i="49"/>
  <c r="BN237" i="49"/>
  <c r="AG237" i="49"/>
  <c r="BH237" i="49"/>
  <c r="BM229" i="49"/>
  <c r="BO227" i="49"/>
  <c r="BF216" i="49"/>
  <c r="BI200" i="49"/>
  <c r="BI199" i="49"/>
  <c r="BM195" i="49"/>
  <c r="BT194" i="49"/>
  <c r="AQ189" i="49"/>
  <c r="AG189" i="49"/>
  <c r="BH189" i="49"/>
  <c r="BK188" i="49"/>
  <c r="BS188" i="49"/>
  <c r="BE183" i="49"/>
  <c r="AQ183" i="49"/>
  <c r="BT175" i="49"/>
  <c r="BU160" i="49"/>
  <c r="BE160" i="49"/>
  <c r="BI155" i="49"/>
  <c r="AJ129" i="49"/>
  <c r="BF129" i="49"/>
  <c r="BR129" i="49"/>
  <c r="BK98" i="49"/>
  <c r="BS57" i="49"/>
  <c r="BB57" i="49"/>
  <c r="AC50" i="49"/>
  <c r="BE50" i="49"/>
  <c r="BM50" i="49"/>
  <c r="BI50" i="49"/>
  <c r="BQ50" i="49"/>
  <c r="AC48" i="49"/>
  <c r="BE48" i="49"/>
  <c r="BQ48" i="49"/>
  <c r="AJ48" i="49"/>
  <c r="BF48" i="49"/>
  <c r="BR48" i="49"/>
  <c r="BI48" i="49"/>
  <c r="AQ42" i="49"/>
  <c r="AC41" i="49"/>
  <c r="BM41" i="49"/>
  <c r="BR41" i="49"/>
  <c r="AQ41" i="49"/>
  <c r="BE41" i="49"/>
  <c r="AQ26" i="49"/>
  <c r="BN26" i="49"/>
  <c r="BQ25" i="49"/>
  <c r="BL25" i="49"/>
  <c r="BE18" i="49"/>
  <c r="AQ18" i="49"/>
  <c r="AG18" i="49"/>
  <c r="BM18" i="49"/>
  <c r="BP10" i="49"/>
  <c r="BU10" i="49"/>
  <c r="AQ10" i="49"/>
  <c r="BN10" i="49"/>
  <c r="BE10" i="49"/>
  <c r="BQ163" i="24"/>
  <c r="AG16" i="49"/>
  <c r="BH16" i="49"/>
  <c r="BX229" i="24"/>
  <c r="BI229" i="24"/>
  <c r="BO229" i="24"/>
  <c r="BT229" i="24"/>
  <c r="BX221" i="24"/>
  <c r="BI221" i="24"/>
  <c r="BO221" i="24"/>
  <c r="BT221" i="24"/>
  <c r="EX221" i="24"/>
  <c r="BX217" i="24"/>
  <c r="BI217" i="24"/>
  <c r="BO217" i="24"/>
  <c r="BT217" i="24"/>
  <c r="EX217" i="24"/>
  <c r="BX206" i="24"/>
  <c r="BI206" i="24"/>
  <c r="BO206" i="24"/>
  <c r="BT206" i="24"/>
  <c r="EX206" i="24"/>
  <c r="BW196" i="24"/>
  <c r="BL196" i="24"/>
  <c r="AC175" i="24"/>
  <c r="AJ175" i="24"/>
  <c r="BM175" i="24"/>
  <c r="BP175" i="24"/>
  <c r="AJ161" i="24"/>
  <c r="BM161" i="24"/>
  <c r="BU161" i="24"/>
  <c r="AJ155" i="24"/>
  <c r="BM155" i="24"/>
  <c r="BO155" i="24"/>
  <c r="BV155" i="24"/>
  <c r="EW155" i="24"/>
  <c r="AC154" i="24"/>
  <c r="BW154" i="24"/>
  <c r="BL154" i="24"/>
  <c r="EX154" i="24"/>
  <c r="BK133" i="24"/>
  <c r="EX133" i="24"/>
  <c r="BE107" i="24"/>
  <c r="BS107" i="24"/>
  <c r="AJ94" i="24"/>
  <c r="BU94" i="24"/>
  <c r="AC75" i="24"/>
  <c r="AJ72" i="24"/>
  <c r="BV72" i="24"/>
  <c r="AC67" i="24"/>
  <c r="BH67" i="24"/>
  <c r="BS67" i="24"/>
  <c r="AJ47" i="24"/>
  <c r="BP47" i="24"/>
  <c r="AJ42" i="24"/>
  <c r="BM42" i="24"/>
  <c r="BW42" i="24"/>
  <c r="BE42" i="24"/>
  <c r="BP42" i="24"/>
  <c r="CK42" i="24"/>
  <c r="AJ40" i="24"/>
  <c r="BO40" i="24"/>
  <c r="CI40" i="24"/>
  <c r="EW40" i="24"/>
  <c r="BI13" i="24"/>
  <c r="BU13" i="24"/>
  <c r="EW13" i="24"/>
  <c r="AJ11" i="24"/>
  <c r="BM11" i="24"/>
  <c r="BO11" i="24"/>
  <c r="BV11" i="24"/>
  <c r="AJ9" i="24"/>
  <c r="BP9" i="24"/>
  <c r="EX9" i="24"/>
  <c r="BB259" i="49"/>
  <c r="BF259" i="49"/>
  <c r="BL259" i="49"/>
  <c r="BK247" i="49"/>
  <c r="BB247" i="49"/>
  <c r="BO247" i="49"/>
  <c r="BE247" i="49"/>
  <c r="BQ247" i="49"/>
  <c r="AJ244" i="49"/>
  <c r="BM244" i="49"/>
  <c r="BE244" i="49"/>
  <c r="BP244" i="49"/>
  <c r="AC241" i="49"/>
  <c r="BL241" i="49"/>
  <c r="BR241" i="49"/>
  <c r="BF241" i="49"/>
  <c r="BB241" i="49"/>
  <c r="BM241" i="49"/>
  <c r="BS241" i="49"/>
  <c r="AJ176" i="49"/>
  <c r="AF176" i="49"/>
  <c r="BG176" i="49"/>
  <c r="BL176" i="49"/>
  <c r="AJ173" i="49"/>
  <c r="BJ173" i="49"/>
  <c r="BI173" i="49"/>
  <c r="BM173" i="49"/>
  <c r="BF156" i="49"/>
  <c r="BQ156" i="49"/>
  <c r="BI156" i="49"/>
  <c r="BK156" i="49"/>
  <c r="BS156" i="49"/>
  <c r="BM156" i="49"/>
  <c r="BU156" i="49"/>
  <c r="BQ81" i="49"/>
  <c r="BI81" i="49"/>
  <c r="BM63" i="49"/>
  <c r="BE63" i="49"/>
  <c r="AC63" i="49"/>
  <c r="BI63" i="49"/>
  <c r="BQ63" i="49"/>
  <c r="AC42" i="49"/>
  <c r="BE42" i="49"/>
  <c r="BO42" i="49"/>
  <c r="BT42" i="49"/>
  <c r="BF42" i="49"/>
  <c r="BI42" i="49"/>
  <c r="BP42" i="49"/>
  <c r="AJ42" i="49"/>
  <c r="BJ42" i="49"/>
  <c r="BK42" i="49"/>
  <c r="BR42" i="49"/>
  <c r="AJ20" i="49"/>
  <c r="BF20" i="49"/>
  <c r="BB20" i="49"/>
  <c r="BM20" i="49"/>
  <c r="BU20" i="49"/>
  <c r="BP20" i="49"/>
  <c r="BQ8" i="49"/>
  <c r="BE8" i="49"/>
  <c r="BP307" i="24"/>
  <c r="EX299" i="24"/>
  <c r="EW276" i="24"/>
  <c r="CL265" i="24"/>
  <c r="BX265" i="24"/>
  <c r="BS262" i="24"/>
  <c r="BE262" i="24"/>
  <c r="EX252" i="24"/>
  <c r="CL248" i="24"/>
  <c r="BV248" i="24"/>
  <c r="BR248" i="24"/>
  <c r="BL248" i="24"/>
  <c r="CL244" i="24"/>
  <c r="BO244" i="24"/>
  <c r="EW229" i="24"/>
  <c r="CI229" i="24"/>
  <c r="BR229" i="24"/>
  <c r="BL229" i="24"/>
  <c r="AJ229" i="24"/>
  <c r="EW221" i="24"/>
  <c r="CI221" i="24"/>
  <c r="BR221" i="24"/>
  <c r="BL221" i="24"/>
  <c r="AJ221" i="24"/>
  <c r="EW217" i="24"/>
  <c r="CI217" i="24"/>
  <c r="BR217" i="24"/>
  <c r="BL217" i="24"/>
  <c r="AJ217" i="24"/>
  <c r="BM217" i="24"/>
  <c r="BW210" i="24"/>
  <c r="BI210" i="24"/>
  <c r="CL210" i="24"/>
  <c r="CL206" i="24"/>
  <c r="BV206" i="24"/>
  <c r="BP206" i="24"/>
  <c r="BH206" i="24"/>
  <c r="BW206" i="24"/>
  <c r="AJ206" i="24"/>
  <c r="AF206" i="24"/>
  <c r="BJ206" i="24"/>
  <c r="AQ196" i="24"/>
  <c r="AG196" i="24"/>
  <c r="BK196" i="24"/>
  <c r="EX175" i="24"/>
  <c r="BU175" i="24"/>
  <c r="BH175" i="24"/>
  <c r="AJ171" i="24"/>
  <c r="AF171" i="24"/>
  <c r="BJ171" i="24"/>
  <c r="BE171" i="24"/>
  <c r="BT171" i="24"/>
  <c r="BX169" i="24"/>
  <c r="BS161" i="24"/>
  <c r="AQ156" i="24"/>
  <c r="AG156" i="24"/>
  <c r="BN155" i="24"/>
  <c r="AQ155" i="24"/>
  <c r="AG155" i="24"/>
  <c r="BH154" i="24"/>
  <c r="AQ154" i="24"/>
  <c r="BS133" i="24"/>
  <c r="BL132" i="24"/>
  <c r="EX132" i="24"/>
  <c r="BX114" i="24"/>
  <c r="BR109" i="24"/>
  <c r="BN107" i="24"/>
  <c r="BO106" i="24"/>
  <c r="BE102" i="24"/>
  <c r="BW102" i="24"/>
  <c r="BO102" i="24"/>
  <c r="BP94" i="24"/>
  <c r="BW89" i="24"/>
  <c r="BW80" i="24"/>
  <c r="BR80" i="24"/>
  <c r="EX80" i="24"/>
  <c r="BS75" i="24"/>
  <c r="AQ75" i="24"/>
  <c r="BU72" i="24"/>
  <c r="AJ69" i="24"/>
  <c r="AF69" i="24"/>
  <c r="BJ69" i="24"/>
  <c r="BL69" i="24"/>
  <c r="EX67" i="24"/>
  <c r="BT67" i="24"/>
  <c r="BE67" i="24"/>
  <c r="BL61" i="24"/>
  <c r="BT61" i="24"/>
  <c r="CI61" i="24"/>
  <c r="BI51" i="24"/>
  <c r="BX51" i="24"/>
  <c r="BP51" i="24"/>
  <c r="BE47" i="24"/>
  <c r="AQ46" i="24"/>
  <c r="AC45" i="24"/>
  <c r="BL45" i="24"/>
  <c r="CK45" i="24"/>
  <c r="BL42" i="24"/>
  <c r="AQ42" i="24"/>
  <c r="BI40" i="24"/>
  <c r="AQ40" i="24"/>
  <c r="AG40" i="24"/>
  <c r="BK40" i="24"/>
  <c r="BW34" i="24"/>
  <c r="BX34" i="24"/>
  <c r="BX28" i="24"/>
  <c r="BW22" i="24"/>
  <c r="BN22" i="24"/>
  <c r="EW22" i="24"/>
  <c r="BV13" i="24"/>
  <c r="AQ13" i="24"/>
  <c r="AG13" i="24"/>
  <c r="EW11" i="24"/>
  <c r="CI11" i="24"/>
  <c r="BN11" i="24"/>
  <c r="BO9" i="24"/>
  <c r="BE8" i="24"/>
  <c r="BW7" i="24"/>
  <c r="BI7" i="24"/>
  <c r="BS7" i="24"/>
  <c r="AC306" i="49"/>
  <c r="BB306" i="49"/>
  <c r="BM306" i="49"/>
  <c r="BM297" i="49"/>
  <c r="BU295" i="49"/>
  <c r="AQ295" i="49"/>
  <c r="BN295" i="49"/>
  <c r="BK293" i="49"/>
  <c r="BQ293" i="49"/>
  <c r="AC283" i="49"/>
  <c r="BM283" i="49"/>
  <c r="BB276" i="49"/>
  <c r="AQ276" i="49"/>
  <c r="AC262" i="49"/>
  <c r="BU262" i="49"/>
  <c r="AJ262" i="49"/>
  <c r="BE262" i="49"/>
  <c r="BM262" i="49"/>
  <c r="BP259" i="49"/>
  <c r="AQ259" i="49"/>
  <c r="BN259" i="49"/>
  <c r="BL256" i="49"/>
  <c r="BT256" i="49"/>
  <c r="BL247" i="49"/>
  <c r="BI247" i="49"/>
  <c r="BK244" i="49"/>
  <c r="AQ244" i="49"/>
  <c r="BU241" i="49"/>
  <c r="BE241" i="49"/>
  <c r="BE227" i="49"/>
  <c r="BU227" i="49"/>
  <c r="BQ227" i="49"/>
  <c r="BB227" i="49"/>
  <c r="BL227" i="49"/>
  <c r="BR227" i="49"/>
  <c r="AC179" i="49"/>
  <c r="BF179" i="49"/>
  <c r="BI179" i="49"/>
  <c r="AQ173" i="49"/>
  <c r="BO156" i="49"/>
  <c r="AQ156" i="49"/>
  <c r="AG156" i="49"/>
  <c r="BH156" i="49"/>
  <c r="BI125" i="49"/>
  <c r="BF125" i="49"/>
  <c r="BO125" i="49"/>
  <c r="BE101" i="49"/>
  <c r="BQ101" i="49"/>
  <c r="AJ101" i="49"/>
  <c r="AQ101" i="49"/>
  <c r="BN101" i="49"/>
  <c r="BI101" i="49"/>
  <c r="AJ85" i="49"/>
  <c r="AC85" i="49"/>
  <c r="BB85" i="49"/>
  <c r="BL85" i="49"/>
  <c r="BQ85" i="49"/>
  <c r="BE85" i="49"/>
  <c r="BM85" i="49"/>
  <c r="BS85" i="49"/>
  <c r="AQ85" i="49"/>
  <c r="BI85" i="49"/>
  <c r="BO85" i="49"/>
  <c r="BT85" i="49"/>
  <c r="BR56" i="49"/>
  <c r="BM56" i="49"/>
  <c r="AC49" i="49"/>
  <c r="BQ49" i="49"/>
  <c r="BF49" i="49"/>
  <c r="BB49" i="49"/>
  <c r="BL49" i="49"/>
  <c r="BR49" i="49"/>
  <c r="AJ49" i="49"/>
  <c r="AQ49" i="49"/>
  <c r="BE49" i="49"/>
  <c r="BM49" i="49"/>
  <c r="BS49" i="49"/>
  <c r="AJ26" i="49"/>
  <c r="BF26" i="49"/>
  <c r="BO26" i="49"/>
  <c r="BR26" i="49"/>
  <c r="BQ272" i="49"/>
  <c r="BL272" i="49"/>
  <c r="BE272" i="49"/>
  <c r="BU261" i="49"/>
  <c r="BB261" i="49"/>
  <c r="AJ261" i="49"/>
  <c r="AF261" i="49"/>
  <c r="BG261" i="49"/>
  <c r="BP251" i="49"/>
  <c r="BK251" i="49"/>
  <c r="BU251" i="49"/>
  <c r="BE238" i="49"/>
  <c r="BQ235" i="49"/>
  <c r="BI235" i="49"/>
  <c r="BU226" i="49"/>
  <c r="BM218" i="49"/>
  <c r="BU202" i="49"/>
  <c r="BI178" i="49"/>
  <c r="BQ174" i="49"/>
  <c r="BE174" i="49"/>
  <c r="BK168" i="49"/>
  <c r="BT168" i="49"/>
  <c r="BF167" i="49"/>
  <c r="BS158" i="49"/>
  <c r="BO148" i="49"/>
  <c r="BI148" i="49"/>
  <c r="BU146" i="49"/>
  <c r="BL143" i="49"/>
  <c r="BR141" i="49"/>
  <c r="BU137" i="49"/>
  <c r="BO137" i="49"/>
  <c r="BI137" i="49"/>
  <c r="BT137" i="49"/>
  <c r="BM136" i="49"/>
  <c r="BR135" i="49"/>
  <c r="BE128" i="49"/>
  <c r="BS118" i="49"/>
  <c r="BM118" i="49"/>
  <c r="BE118" i="49"/>
  <c r="BR117" i="49"/>
  <c r="BM117" i="49"/>
  <c r="BF117" i="49"/>
  <c r="BU110" i="49"/>
  <c r="BI109" i="49"/>
  <c r="BS108" i="49"/>
  <c r="BM108" i="49"/>
  <c r="BB108" i="49"/>
  <c r="AJ108" i="49"/>
  <c r="AF108" i="49"/>
  <c r="BG108" i="49"/>
  <c r="BU89" i="49"/>
  <c r="BL80" i="49"/>
  <c r="BM77" i="49"/>
  <c r="AC77" i="49"/>
  <c r="BQ74" i="49"/>
  <c r="BB74" i="49"/>
  <c r="BS73" i="49"/>
  <c r="BO73" i="49"/>
  <c r="BI73" i="49"/>
  <c r="BB73" i="49"/>
  <c r="BO66" i="49"/>
  <c r="BP54" i="49"/>
  <c r="BF54" i="49"/>
  <c r="BU51" i="49"/>
  <c r="BE47" i="49"/>
  <c r="BI43" i="49"/>
  <c r="BP33" i="49"/>
  <c r="BU24" i="49"/>
  <c r="BL24" i="49"/>
  <c r="BP19" i="49"/>
  <c r="BR9" i="49"/>
  <c r="BE9" i="49"/>
  <c r="AJ9" i="49"/>
  <c r="BJ9" i="49"/>
  <c r="BE7" i="49"/>
  <c r="BS148" i="49"/>
  <c r="BM148" i="49"/>
  <c r="BE148" i="49"/>
  <c r="BT148" i="49"/>
  <c r="BQ117" i="49"/>
  <c r="BL117" i="49"/>
  <c r="BE117" i="49"/>
  <c r="BT117" i="49"/>
  <c r="BR108" i="49"/>
  <c r="BL108" i="49"/>
  <c r="BU108" i="49"/>
  <c r="BF77" i="49"/>
  <c r="BM54" i="49"/>
  <c r="BR51" i="49"/>
  <c r="BI51" i="49"/>
  <c r="BM9" i="49"/>
  <c r="BU9" i="49"/>
  <c r="BM118" i="24"/>
  <c r="AF198" i="49"/>
  <c r="BG198" i="49"/>
  <c r="BN270" i="49"/>
  <c r="BJ300" i="49"/>
  <c r="AF67" i="24"/>
  <c r="BJ67" i="24"/>
  <c r="BM67" i="24"/>
  <c r="AG72" i="24"/>
  <c r="BK72" i="24"/>
  <c r="AG106" i="24"/>
  <c r="BK106" i="24"/>
  <c r="BQ106" i="24"/>
  <c r="BK222" i="24"/>
  <c r="AG259" i="49"/>
  <c r="BQ156" i="24"/>
  <c r="AF221" i="24"/>
  <c r="BJ221" i="24"/>
  <c r="BM221" i="24"/>
  <c r="AF173" i="49"/>
  <c r="AF42" i="24"/>
  <c r="BJ42" i="24"/>
  <c r="AF155" i="24"/>
  <c r="BJ155" i="24"/>
  <c r="AG57" i="24"/>
  <c r="BK190" i="24"/>
  <c r="FB322" i="49"/>
  <c r="FB324" i="49"/>
  <c r="BQ13" i="24"/>
  <c r="BQ40" i="24"/>
  <c r="AG10" i="49"/>
  <c r="BH10" i="49"/>
  <c r="AF8" i="24"/>
  <c r="AG20" i="49"/>
  <c r="BH20" i="49"/>
  <c r="AG179" i="49"/>
  <c r="BN262" i="49"/>
  <c r="AG24" i="24"/>
  <c r="BK24" i="24"/>
  <c r="BQ45" i="24"/>
  <c r="AG45" i="24"/>
  <c r="BK45" i="24"/>
  <c r="BQ89" i="24"/>
  <c r="BM248" i="24"/>
  <c r="BK309" i="24"/>
  <c r="BN156" i="49"/>
  <c r="BQ155" i="24"/>
  <c r="BJ176" i="49"/>
  <c r="AG26" i="49"/>
  <c r="BH26" i="49"/>
  <c r="BJ284" i="49"/>
  <c r="BQ55" i="24"/>
  <c r="AG55" i="24"/>
  <c r="BK55" i="24"/>
  <c r="BM76" i="24"/>
  <c r="AF76" i="24"/>
  <c r="AG134" i="24"/>
  <c r="AG59" i="49"/>
  <c r="BN111" i="49"/>
  <c r="AF200" i="49"/>
  <c r="BG200" i="49"/>
  <c r="BJ200" i="49"/>
  <c r="AG247" i="49"/>
  <c r="BH247" i="49"/>
  <c r="BN247" i="49"/>
  <c r="AF77" i="24"/>
  <c r="BJ77" i="24"/>
  <c r="AG179" i="24"/>
  <c r="BQ179" i="24"/>
  <c r="AG233" i="24"/>
  <c r="BK233" i="24"/>
  <c r="BQ233" i="24"/>
  <c r="BG304" i="49"/>
  <c r="DM322" i="49"/>
  <c r="DM324" i="49"/>
  <c r="EC326" i="49"/>
  <c r="EC327" i="49"/>
  <c r="DT326" i="49"/>
  <c r="DT327" i="49"/>
  <c r="DP326" i="49"/>
  <c r="DP327" i="49"/>
  <c r="DM326" i="49"/>
  <c r="DM327" i="49"/>
  <c r="EF326" i="49"/>
  <c r="EF327" i="49"/>
  <c r="FJ322" i="49"/>
  <c r="FJ324" i="49"/>
  <c r="EJ322" i="49"/>
  <c r="EJ324" i="49"/>
  <c r="EF322" i="49"/>
  <c r="EF324" i="49"/>
  <c r="BJ76" i="24"/>
  <c r="AG295" i="49"/>
  <c r="AG101" i="49"/>
  <c r="BH101" i="49"/>
  <c r="BM206" i="24"/>
  <c r="BM86" i="24"/>
  <c r="AF156" i="49"/>
  <c r="AY156" i="49"/>
  <c r="BA156" i="49"/>
  <c r="AF226" i="24"/>
  <c r="BJ226" i="24"/>
  <c r="BG209" i="49"/>
  <c r="AF131" i="49"/>
  <c r="AF92" i="49"/>
  <c r="BG92" i="49"/>
  <c r="AF164" i="49"/>
  <c r="AF305" i="49"/>
  <c r="BG305" i="49"/>
  <c r="AF110" i="24"/>
  <c r="BJ110" i="24"/>
  <c r="AF105" i="24"/>
  <c r="BJ105" i="24"/>
  <c r="AG96" i="49"/>
  <c r="AY96" i="49"/>
  <c r="BA96" i="49"/>
  <c r="AG81" i="24"/>
  <c r="BK81" i="24"/>
  <c r="BM268" i="24"/>
  <c r="AG241" i="24"/>
  <c r="BK241" i="24"/>
  <c r="BW259" i="24"/>
  <c r="BI252" i="24"/>
  <c r="CK252" i="24"/>
  <c r="BE252" i="24"/>
  <c r="BU252" i="24"/>
  <c r="BW252" i="24"/>
  <c r="AQ252" i="24"/>
  <c r="BQ252" i="24"/>
  <c r="BT252" i="24"/>
  <c r="BS190" i="24"/>
  <c r="BX190" i="24"/>
  <c r="BH190" i="24"/>
  <c r="AJ190" i="24"/>
  <c r="AF190" i="24"/>
  <c r="BW190" i="24"/>
  <c r="BN190" i="24"/>
  <c r="BH183" i="24"/>
  <c r="BS183" i="24"/>
  <c r="CL174" i="24"/>
  <c r="BX174" i="24"/>
  <c r="BN162" i="24"/>
  <c r="BU162" i="24"/>
  <c r="BV162" i="24"/>
  <c r="BS117" i="24"/>
  <c r="AQ117" i="24"/>
  <c r="AG117" i="24"/>
  <c r="BK117" i="24"/>
  <c r="BL77" i="24"/>
  <c r="BP77" i="24"/>
  <c r="AC77" i="24"/>
  <c r="BX77" i="24"/>
  <c r="EX76" i="24"/>
  <c r="BW76" i="24"/>
  <c r="AJ70" i="24"/>
  <c r="BT51" i="24"/>
  <c r="AC51" i="24"/>
  <c r="CK51" i="24"/>
  <c r="BE51" i="24"/>
  <c r="BX39" i="24"/>
  <c r="BU39" i="24"/>
  <c r="EW39" i="24"/>
  <c r="BW39" i="24"/>
  <c r="BN39" i="24"/>
  <c r="BE39" i="24"/>
  <c r="EX39" i="24"/>
  <c r="AC25" i="24"/>
  <c r="BX25" i="24"/>
  <c r="AJ25" i="24"/>
  <c r="BM25" i="24"/>
  <c r="AF25" i="24"/>
  <c r="BI25" i="24"/>
  <c r="BR10" i="24"/>
  <c r="CI10" i="24"/>
  <c r="BQ317" i="49"/>
  <c r="BB317" i="49"/>
  <c r="BF317" i="49"/>
  <c r="BL317" i="49"/>
  <c r="AC314" i="49"/>
  <c r="AJ314" i="49"/>
  <c r="AF314" i="49"/>
  <c r="BG314" i="49"/>
  <c r="BK314" i="49"/>
  <c r="BP314" i="49"/>
  <c r="AJ291" i="49"/>
  <c r="BE291" i="49"/>
  <c r="AQ291" i="49"/>
  <c r="AG291" i="49"/>
  <c r="BI291" i="49"/>
  <c r="BI284" i="49"/>
  <c r="AC284" i="49"/>
  <c r="BE284" i="49"/>
  <c r="BP284" i="49"/>
  <c r="BK284" i="49"/>
  <c r="BR284" i="49"/>
  <c r="AQ284" i="49"/>
  <c r="BM284" i="49"/>
  <c r="BU284" i="49"/>
  <c r="BI268" i="49"/>
  <c r="BK268" i="49"/>
  <c r="BP268" i="49"/>
  <c r="BO268" i="49"/>
  <c r="BT268" i="49"/>
  <c r="BI266" i="49"/>
  <c r="BM266" i="49"/>
  <c r="BT266" i="49"/>
  <c r="BL261" i="49"/>
  <c r="AC261" i="49"/>
  <c r="BF261" i="49"/>
  <c r="BM261" i="49"/>
  <c r="BP261" i="49"/>
  <c r="BT259" i="49"/>
  <c r="BR259" i="49"/>
  <c r="BL232" i="49"/>
  <c r="BQ232" i="49"/>
  <c r="BE232" i="49"/>
  <c r="BM228" i="49"/>
  <c r="BB228" i="49"/>
  <c r="BS228" i="49"/>
  <c r="BU228" i="49"/>
  <c r="BK228" i="49"/>
  <c r="AJ226" i="49"/>
  <c r="BJ226" i="49"/>
  <c r="BF226" i="49"/>
  <c r="AJ193" i="49"/>
  <c r="BJ193" i="49"/>
  <c r="BU193" i="49"/>
  <c r="BF193" i="49"/>
  <c r="BQ193" i="49"/>
  <c r="BM178" i="49"/>
  <c r="BQ178" i="49"/>
  <c r="AC178" i="49"/>
  <c r="AQ178" i="49"/>
  <c r="AG178" i="49"/>
  <c r="AY178" i="49"/>
  <c r="BA178" i="49"/>
  <c r="BU178" i="49"/>
  <c r="BK162" i="49"/>
  <c r="BL162" i="49"/>
  <c r="AC162" i="49"/>
  <c r="BO162" i="49"/>
  <c r="BP162" i="49"/>
  <c r="BQ146" i="49"/>
  <c r="AJ146" i="49"/>
  <c r="AF146" i="49"/>
  <c r="AQ146" i="49"/>
  <c r="BF146" i="49"/>
  <c r="BS123" i="49"/>
  <c r="BL123" i="49"/>
  <c r="BU123" i="49"/>
  <c r="BO110" i="49"/>
  <c r="BL110" i="49"/>
  <c r="BI110" i="49"/>
  <c r="BE95" i="49"/>
  <c r="BU95" i="49"/>
  <c r="BM95" i="49"/>
  <c r="BU91" i="49"/>
  <c r="BF91" i="49"/>
  <c r="BI82" i="49"/>
  <c r="BR82" i="49"/>
  <c r="AC82" i="49"/>
  <c r="BM82" i="49"/>
  <c r="AQ82" i="49"/>
  <c r="BN82" i="49"/>
  <c r="BL74" i="49"/>
  <c r="AJ74" i="49"/>
  <c r="BJ74" i="49"/>
  <c r="BO74" i="49"/>
  <c r="BT74" i="49"/>
  <c r="BU74" i="49"/>
  <c r="AQ74" i="49"/>
  <c r="AG74" i="49"/>
  <c r="BH74" i="49"/>
  <c r="BM67" i="49"/>
  <c r="BH67" i="49"/>
  <c r="BS67" i="49"/>
  <c r="BU67" i="49"/>
  <c r="AC47" i="49"/>
  <c r="BU47" i="49"/>
  <c r="AQ47" i="49"/>
  <c r="BN47" i="49"/>
  <c r="BI47" i="49"/>
  <c r="AC15" i="49"/>
  <c r="BE15" i="49"/>
  <c r="BO15" i="49"/>
  <c r="AJ15" i="49"/>
  <c r="AF15" i="49"/>
  <c r="BB15" i="49"/>
  <c r="BP15" i="49"/>
  <c r="BI15" i="49"/>
  <c r="BQ15" i="49"/>
  <c r="BK15" i="49"/>
  <c r="BM163" i="24"/>
  <c r="BQ198" i="24"/>
  <c r="CL226" i="24"/>
  <c r="BL226" i="24"/>
  <c r="BH276" i="24"/>
  <c r="BW285" i="24"/>
  <c r="BV306" i="24"/>
  <c r="CI242" i="24"/>
  <c r="BH308" i="24"/>
  <c r="BE300" i="24"/>
  <c r="BL300" i="24"/>
  <c r="EX300" i="24"/>
  <c r="BO300" i="24"/>
  <c r="BT300" i="24"/>
  <c r="BN235" i="24"/>
  <c r="EW235" i="24"/>
  <c r="AQ235" i="24"/>
  <c r="BS235" i="24"/>
  <c r="BO223" i="24"/>
  <c r="EW223" i="24"/>
  <c r="CL223" i="24"/>
  <c r="AJ218" i="24"/>
  <c r="BM218" i="24"/>
  <c r="BN218" i="24"/>
  <c r="CI218" i="24"/>
  <c r="BO218" i="24"/>
  <c r="BR218" i="24"/>
  <c r="EX218" i="24"/>
  <c r="AJ216" i="24"/>
  <c r="AQ216" i="24"/>
  <c r="BQ216" i="24"/>
  <c r="BX214" i="24"/>
  <c r="AC206" i="24"/>
  <c r="CI206" i="24"/>
  <c r="AQ206" i="24"/>
  <c r="AG206" i="24"/>
  <c r="BL206" i="24"/>
  <c r="BW174" i="24"/>
  <c r="BN165" i="24"/>
  <c r="BX165" i="24"/>
  <c r="BV165" i="24"/>
  <c r="AC165" i="24"/>
  <c r="BE165" i="24"/>
  <c r="BX164" i="24"/>
  <c r="AQ162" i="24"/>
  <c r="AG162" i="24"/>
  <c r="AC153" i="24"/>
  <c r="BW153" i="24"/>
  <c r="BI153" i="24"/>
  <c r="BV153" i="24"/>
  <c r="EX153" i="24"/>
  <c r="AJ153" i="24"/>
  <c r="AF153" i="24"/>
  <c r="BO153" i="24"/>
  <c r="CI153" i="24"/>
  <c r="BR153" i="24"/>
  <c r="AC147" i="24"/>
  <c r="BI147" i="24"/>
  <c r="BR147" i="24"/>
  <c r="CI147" i="24"/>
  <c r="AJ147" i="24"/>
  <c r="AF147" i="24"/>
  <c r="BL147" i="24"/>
  <c r="BT147" i="24"/>
  <c r="EW147" i="24"/>
  <c r="BO147" i="24"/>
  <c r="BU147" i="24"/>
  <c r="AC145" i="24"/>
  <c r="AQ145" i="24"/>
  <c r="AG145" i="24"/>
  <c r="BI145" i="24"/>
  <c r="BX137" i="24"/>
  <c r="BS137" i="24"/>
  <c r="BT137" i="24"/>
  <c r="AJ127" i="24"/>
  <c r="BI127" i="24"/>
  <c r="BS127" i="24"/>
  <c r="EW127" i="24"/>
  <c r="BX127" i="24"/>
  <c r="BN127" i="24"/>
  <c r="BT127" i="24"/>
  <c r="AQ127" i="24"/>
  <c r="BO127" i="24"/>
  <c r="BV127" i="24"/>
  <c r="BX120" i="24"/>
  <c r="AJ108" i="24"/>
  <c r="BM108" i="24"/>
  <c r="BX108" i="24"/>
  <c r="AC108" i="24"/>
  <c r="BO108" i="24"/>
  <c r="EX108" i="24"/>
  <c r="BE106" i="24"/>
  <c r="EW106" i="24"/>
  <c r="BS106" i="24"/>
  <c r="AC79" i="24"/>
  <c r="BV79" i="24"/>
  <c r="BS66" i="24"/>
  <c r="BL28" i="24"/>
  <c r="BP28" i="24"/>
  <c r="BE26" i="24"/>
  <c r="BO26" i="24"/>
  <c r="AC26" i="24"/>
  <c r="BW26" i="24"/>
  <c r="BR26" i="24"/>
  <c r="AJ26" i="24"/>
  <c r="BM26" i="24"/>
  <c r="BS26" i="24"/>
  <c r="BT21" i="24"/>
  <c r="EX21" i="24"/>
  <c r="BI21" i="24"/>
  <c r="BH21" i="24"/>
  <c r="EW16" i="24"/>
  <c r="EA317" i="24"/>
  <c r="GC321" i="49"/>
  <c r="AQ313" i="49"/>
  <c r="AG313" i="49"/>
  <c r="BH313" i="49"/>
  <c r="BI306" i="49"/>
  <c r="BU306" i="49"/>
  <c r="AJ306" i="49"/>
  <c r="AF306" i="49"/>
  <c r="BG306" i="49"/>
  <c r="BE306" i="49"/>
  <c r="BO306" i="49"/>
  <c r="BR299" i="49"/>
  <c r="AJ299" i="49"/>
  <c r="AF299" i="49"/>
  <c r="BE299" i="49"/>
  <c r="BL263" i="49"/>
  <c r="BT263" i="49"/>
  <c r="BI263" i="49"/>
  <c r="AJ263" i="49"/>
  <c r="AF263" i="49"/>
  <c r="BE263" i="49"/>
  <c r="AQ261" i="49"/>
  <c r="AG261" i="49"/>
  <c r="AC202" i="49"/>
  <c r="BF202" i="49"/>
  <c r="AJ202" i="49"/>
  <c r="BJ202" i="49"/>
  <c r="BM202" i="49"/>
  <c r="BK181" i="49"/>
  <c r="AJ181" i="49"/>
  <c r="AF181" i="49"/>
  <c r="BG181" i="49"/>
  <c r="BB181" i="49"/>
  <c r="BM181" i="49"/>
  <c r="BT181" i="49"/>
  <c r="BP181" i="49"/>
  <c r="BQ167" i="49"/>
  <c r="AJ167" i="49"/>
  <c r="BJ167" i="49"/>
  <c r="BU167" i="49"/>
  <c r="BQ138" i="49"/>
  <c r="BE138" i="49"/>
  <c r="BI136" i="49"/>
  <c r="BF136" i="49"/>
  <c r="BB136" i="49"/>
  <c r="BK136" i="49"/>
  <c r="AC130" i="49"/>
  <c r="BK130" i="49"/>
  <c r="BL130" i="49"/>
  <c r="BI130" i="49"/>
  <c r="BF130" i="49"/>
  <c r="BO130" i="49"/>
  <c r="BP130" i="49"/>
  <c r="BQ130" i="49"/>
  <c r="AJ77" i="49"/>
  <c r="AF77" i="49"/>
  <c r="AQ77" i="49"/>
  <c r="AG77" i="49"/>
  <c r="BH77" i="49"/>
  <c r="BU77" i="49"/>
  <c r="BJ243" i="49"/>
  <c r="BJ171" i="49"/>
  <c r="BX314" i="24"/>
  <c r="AQ312" i="24"/>
  <c r="AG312" i="24"/>
  <c r="BK312" i="24"/>
  <c r="AC305" i="24"/>
  <c r="BN305" i="24"/>
  <c r="BT305" i="24"/>
  <c r="EX305" i="24"/>
  <c r="AQ305" i="24"/>
  <c r="BQ305" i="24"/>
  <c r="AQ276" i="24"/>
  <c r="AG276" i="24"/>
  <c r="BI257" i="24"/>
  <c r="BO257" i="24"/>
  <c r="AC257" i="24"/>
  <c r="BT257" i="24"/>
  <c r="CK257" i="24"/>
  <c r="AJ257" i="24"/>
  <c r="AF257" i="24"/>
  <c r="BJ257" i="24"/>
  <c r="BH257" i="24"/>
  <c r="BU257" i="24"/>
  <c r="EW257" i="24"/>
  <c r="AQ249" i="24"/>
  <c r="AG249" i="24"/>
  <c r="AY249" i="24"/>
  <c r="BD249" i="24"/>
  <c r="AQ247" i="24"/>
  <c r="BT245" i="24"/>
  <c r="BU245" i="24"/>
  <c r="BW245" i="24"/>
  <c r="BR245" i="24"/>
  <c r="BL245" i="24"/>
  <c r="BO245" i="24"/>
  <c r="BI224" i="24"/>
  <c r="BN224" i="24"/>
  <c r="CI224" i="24"/>
  <c r="EW224" i="24"/>
  <c r="AJ224" i="24"/>
  <c r="AF224" i="24"/>
  <c r="BJ224" i="24"/>
  <c r="BX224" i="24"/>
  <c r="BP224" i="24"/>
  <c r="BS224" i="24"/>
  <c r="BN188" i="24"/>
  <c r="AQ188" i="24"/>
  <c r="AG188" i="24"/>
  <c r="BK188" i="24"/>
  <c r="BO186" i="24"/>
  <c r="CL186" i="24"/>
  <c r="AJ186" i="24"/>
  <c r="BM186" i="24"/>
  <c r="BN186" i="24"/>
  <c r="AQ181" i="24"/>
  <c r="BQ181" i="24"/>
  <c r="BO176" i="24"/>
  <c r="BT176" i="24"/>
  <c r="EX176" i="24"/>
  <c r="BN175" i="24"/>
  <c r="BW175" i="24"/>
  <c r="BX175" i="24"/>
  <c r="AQ175" i="24"/>
  <c r="AG175" i="24"/>
  <c r="BK175" i="24"/>
  <c r="BL171" i="24"/>
  <c r="AC171" i="24"/>
  <c r="BP171" i="24"/>
  <c r="AC158" i="24"/>
  <c r="BI158" i="24"/>
  <c r="BU158" i="24"/>
  <c r="EW158" i="24"/>
  <c r="BX158" i="24"/>
  <c r="BN158" i="24"/>
  <c r="BV158" i="24"/>
  <c r="BL158" i="24"/>
  <c r="BP158" i="24"/>
  <c r="AJ148" i="24"/>
  <c r="BM148" i="24"/>
  <c r="BX148" i="24"/>
  <c r="BI148" i="24"/>
  <c r="BS148" i="24"/>
  <c r="EX148" i="24"/>
  <c r="BL148" i="24"/>
  <c r="BN148" i="24"/>
  <c r="BT148" i="24"/>
  <c r="CK148" i="24"/>
  <c r="AC148" i="24"/>
  <c r="BW148" i="24"/>
  <c r="BE148" i="24"/>
  <c r="BO148" i="24"/>
  <c r="BV148" i="24"/>
  <c r="CL148" i="24"/>
  <c r="BE147" i="24"/>
  <c r="BE127" i="24"/>
  <c r="BP108" i="24"/>
  <c r="AC84" i="24"/>
  <c r="BV84" i="24"/>
  <c r="EX84" i="24"/>
  <c r="AQ84" i="24"/>
  <c r="BQ84" i="24"/>
  <c r="BE84" i="24"/>
  <c r="AQ77" i="24"/>
  <c r="BI67" i="24"/>
  <c r="BW67" i="24"/>
  <c r="AQ67" i="24"/>
  <c r="BQ67" i="24"/>
  <c r="AJ54" i="24"/>
  <c r="AF54" i="24"/>
  <c r="BW54" i="24"/>
  <c r="AQ34" i="24"/>
  <c r="AG34" i="24"/>
  <c r="BK34" i="24"/>
  <c r="BI26" i="24"/>
  <c r="BX24" i="24"/>
  <c r="BE24" i="24"/>
  <c r="AQ314" i="49"/>
  <c r="BN314" i="49"/>
  <c r="BO284" i="49"/>
  <c r="BS265" i="49"/>
  <c r="BE265" i="49"/>
  <c r="AQ265" i="49"/>
  <c r="BN265" i="49"/>
  <c r="AQ263" i="49"/>
  <c r="BN263" i="49"/>
  <c r="BI261" i="49"/>
  <c r="AQ226" i="49"/>
  <c r="BN226" i="49"/>
  <c r="AQ98" i="49"/>
  <c r="AG98" i="49"/>
  <c r="AC87" i="49"/>
  <c r="BM87" i="49"/>
  <c r="BL15" i="49"/>
  <c r="AQ15" i="49"/>
  <c r="AG15" i="49"/>
  <c r="BH15" i="49"/>
  <c r="AJ13" i="49"/>
  <c r="AF13" i="49"/>
  <c r="BG13" i="49"/>
  <c r="BJ13" i="49"/>
  <c r="BU13" i="49"/>
  <c r="BF13" i="49"/>
  <c r="BQ13" i="49"/>
  <c r="BX308" i="24"/>
  <c r="CK308" i="24"/>
  <c r="EX308" i="24"/>
  <c r="AQ308" i="24"/>
  <c r="AG308" i="24"/>
  <c r="BK308" i="24"/>
  <c r="BP306" i="24"/>
  <c r="BX306" i="24"/>
  <c r="BE285" i="24"/>
  <c r="BN285" i="24"/>
  <c r="BP285" i="24"/>
  <c r="BW226" i="24"/>
  <c r="AQ226" i="24"/>
  <c r="BQ226" i="24"/>
  <c r="BW200" i="24"/>
  <c r="BX200" i="24"/>
  <c r="BS200" i="24"/>
  <c r="EW181" i="24"/>
  <c r="BN181" i="24"/>
  <c r="AC155" i="24"/>
  <c r="BR155" i="24"/>
  <c r="AC117" i="24"/>
  <c r="CI117" i="24"/>
  <c r="BE117" i="24"/>
  <c r="AJ117" i="24"/>
  <c r="AF117" i="24"/>
  <c r="BR117" i="24"/>
  <c r="BE101" i="24"/>
  <c r="BT101" i="24"/>
  <c r="BO101" i="24"/>
  <c r="CK101" i="24"/>
  <c r="BW92" i="24"/>
  <c r="BW86" i="24"/>
  <c r="BT86" i="24"/>
  <c r="AQ86" i="24"/>
  <c r="BE86" i="24"/>
  <c r="BQ83" i="24"/>
  <c r="AG83" i="24"/>
  <c r="AY83" i="24"/>
  <c r="BD83" i="24"/>
  <c r="AJ71" i="24"/>
  <c r="AF71" i="24"/>
  <c r="BV71" i="24"/>
  <c r="AQ71" i="24"/>
  <c r="AG71" i="24"/>
  <c r="BK71" i="24"/>
  <c r="BI71" i="24"/>
  <c r="CL71" i="24"/>
  <c r="AJ66" i="24"/>
  <c r="BM66" i="24"/>
  <c r="BV66" i="24"/>
  <c r="BE66" i="24"/>
  <c r="BW66" i="24"/>
  <c r="BN66" i="24"/>
  <c r="BI48" i="24"/>
  <c r="BU48" i="24"/>
  <c r="AQ48" i="24"/>
  <c r="AG48" i="24"/>
  <c r="BN48" i="24"/>
  <c r="AC34" i="24"/>
  <c r="BO34" i="24"/>
  <c r="BO14" i="24"/>
  <c r="BW14" i="24"/>
  <c r="AJ313" i="49"/>
  <c r="AF313" i="49"/>
  <c r="BM313" i="49"/>
  <c r="BR313" i="49"/>
  <c r="BU313" i="49"/>
  <c r="BM295" i="49"/>
  <c r="BE295" i="49"/>
  <c r="BU255" i="49"/>
  <c r="BP255" i="49"/>
  <c r="AJ252" i="49"/>
  <c r="BQ252" i="49"/>
  <c r="BR216" i="49"/>
  <c r="BM216" i="49"/>
  <c r="AC216" i="49"/>
  <c r="AQ216" i="49"/>
  <c r="BN216" i="49"/>
  <c r="BR180" i="49"/>
  <c r="BM180" i="49"/>
  <c r="BQ121" i="49"/>
  <c r="AJ121" i="49"/>
  <c r="BJ121" i="49"/>
  <c r="AQ121" i="49"/>
  <c r="AG121" i="49"/>
  <c r="BO112" i="49"/>
  <c r="BL112" i="49"/>
  <c r="BP98" i="49"/>
  <c r="BE98" i="49"/>
  <c r="BU83" i="49"/>
  <c r="BB83" i="49"/>
  <c r="BL83" i="49"/>
  <c r="AJ68" i="49"/>
  <c r="AF68" i="49"/>
  <c r="BI68" i="49"/>
  <c r="BM65" i="49"/>
  <c r="AJ65" i="49"/>
  <c r="BJ65" i="49"/>
  <c r="BU60" i="49"/>
  <c r="AQ60" i="49"/>
  <c r="BN60" i="49"/>
  <c r="BQ60" i="49"/>
  <c r="AJ60" i="49"/>
  <c r="BJ60" i="49"/>
  <c r="BI30" i="49"/>
  <c r="BQ30" i="49"/>
  <c r="BR30" i="49"/>
  <c r="BU283" i="49"/>
  <c r="BK272" i="49"/>
  <c r="BR272" i="49"/>
  <c r="AC267" i="49"/>
  <c r="BT267" i="49"/>
  <c r="BE267" i="49"/>
  <c r="BM267" i="49"/>
  <c r="BS267" i="49"/>
  <c r="BL251" i="49"/>
  <c r="BS251" i="49"/>
  <c r="BI212" i="49"/>
  <c r="BP212" i="49"/>
  <c r="AJ199" i="49"/>
  <c r="AF199" i="49"/>
  <c r="BS199" i="49"/>
  <c r="BU179" i="49"/>
  <c r="BI169" i="49"/>
  <c r="BO169" i="49"/>
  <c r="AC132" i="49"/>
  <c r="AJ132" i="49"/>
  <c r="AF132" i="49"/>
  <c r="BL132" i="49"/>
  <c r="BR132" i="49"/>
  <c r="AC97" i="49"/>
  <c r="BI97" i="49"/>
  <c r="BQ97" i="49"/>
  <c r="BB92" i="49"/>
  <c r="BU92" i="49"/>
  <c r="BO316" i="24"/>
  <c r="BE316" i="24"/>
  <c r="BL313" i="24"/>
  <c r="BU307" i="24"/>
  <c r="CL297" i="24"/>
  <c r="BS280" i="24"/>
  <c r="BX279" i="24"/>
  <c r="BH279" i="24"/>
  <c r="BW279" i="24"/>
  <c r="BV271" i="24"/>
  <c r="BH271" i="24"/>
  <c r="BR264" i="24"/>
  <c r="CL255" i="24"/>
  <c r="BT255" i="24"/>
  <c r="BN255" i="24"/>
  <c r="BL254" i="24"/>
  <c r="BR240" i="24"/>
  <c r="BE238" i="24"/>
  <c r="BS236" i="24"/>
  <c r="BE236" i="24"/>
  <c r="AJ236" i="24"/>
  <c r="BP233" i="24"/>
  <c r="EX225" i="24"/>
  <c r="BV225" i="24"/>
  <c r="BP225" i="24"/>
  <c r="BE225" i="24"/>
  <c r="BW225" i="24"/>
  <c r="BT220" i="24"/>
  <c r="BH202" i="24"/>
  <c r="CL199" i="24"/>
  <c r="BR199" i="24"/>
  <c r="BT194" i="24"/>
  <c r="BH194" i="24"/>
  <c r="BR184" i="24"/>
  <c r="EW170" i="24"/>
  <c r="BV170" i="24"/>
  <c r="BE170" i="24"/>
  <c r="BQ170" i="24"/>
  <c r="EX164" i="24"/>
  <c r="BU164" i="24"/>
  <c r="BP164" i="24"/>
  <c r="BL164" i="24"/>
  <c r="EX150" i="24"/>
  <c r="BH143" i="24"/>
  <c r="EW140" i="24"/>
  <c r="BV140" i="24"/>
  <c r="BP140" i="24"/>
  <c r="BE140" i="24"/>
  <c r="EX139" i="24"/>
  <c r="BS139" i="24"/>
  <c r="BH139" i="24"/>
  <c r="BT136" i="24"/>
  <c r="BE136" i="24"/>
  <c r="BX135" i="24"/>
  <c r="EW129" i="24"/>
  <c r="BE129" i="24"/>
  <c r="EW111" i="24"/>
  <c r="BU111" i="24"/>
  <c r="BV110" i="24"/>
  <c r="EW109" i="24"/>
  <c r="CI109" i="24"/>
  <c r="EW107" i="24"/>
  <c r="BX99" i="24"/>
  <c r="BX98" i="24"/>
  <c r="EW97" i="24"/>
  <c r="BV97" i="24"/>
  <c r="BL97" i="24"/>
  <c r="BP92" i="24"/>
  <c r="BU88" i="24"/>
  <c r="BO85" i="24"/>
  <c r="EW69" i="24"/>
  <c r="BT64" i="24"/>
  <c r="EX63" i="24"/>
  <c r="CK62" i="24"/>
  <c r="BS62" i="24"/>
  <c r="BE62" i="24"/>
  <c r="BX56" i="24"/>
  <c r="EX49" i="24"/>
  <c r="BE45" i="24"/>
  <c r="BR37" i="24"/>
  <c r="BV32" i="24"/>
  <c r="BN32" i="24"/>
  <c r="BX32" i="24"/>
  <c r="BV30" i="24"/>
  <c r="BH29" i="24"/>
  <c r="EX23" i="24"/>
  <c r="CI23" i="24"/>
  <c r="BN23" i="24"/>
  <c r="BW23" i="24"/>
  <c r="AC22" i="24"/>
  <c r="BS18" i="24"/>
  <c r="BE18" i="24"/>
  <c r="EX15" i="24"/>
  <c r="CI15" i="24"/>
  <c r="BR15" i="24"/>
  <c r="BH15" i="24"/>
  <c r="BW15" i="24"/>
  <c r="BE7" i="24"/>
  <c r="BT316" i="49"/>
  <c r="BI312" i="49"/>
  <c r="BR305" i="49"/>
  <c r="BL301" i="49"/>
  <c r="BS300" i="49"/>
  <c r="BI300" i="49"/>
  <c r="BT300" i="49"/>
  <c r="BL293" i="49"/>
  <c r="BO286" i="49"/>
  <c r="BI286" i="49"/>
  <c r="BI283" i="49"/>
  <c r="BK280" i="49"/>
  <c r="BE273" i="49"/>
  <c r="BP272" i="49"/>
  <c r="BF272" i="49"/>
  <c r="BQ267" i="49"/>
  <c r="BK267" i="49"/>
  <c r="AQ267" i="49"/>
  <c r="BN267" i="49"/>
  <c r="BM254" i="49"/>
  <c r="BQ251" i="49"/>
  <c r="BE251" i="49"/>
  <c r="BL235" i="49"/>
  <c r="BB231" i="49"/>
  <c r="BK231" i="49"/>
  <c r="BP231" i="49"/>
  <c r="BT231" i="49"/>
  <c r="AJ227" i="49"/>
  <c r="AF227" i="49"/>
  <c r="BG227" i="49"/>
  <c r="BI227" i="49"/>
  <c r="BL212" i="49"/>
  <c r="BU212" i="49"/>
  <c r="AQ212" i="49"/>
  <c r="AG212" i="49"/>
  <c r="BH212" i="49"/>
  <c r="BB211" i="49"/>
  <c r="AC211" i="49"/>
  <c r="AQ199" i="49"/>
  <c r="BN199" i="49"/>
  <c r="BQ179" i="49"/>
  <c r="AJ174" i="49"/>
  <c r="AF174" i="49"/>
  <c r="BG174" i="49"/>
  <c r="BI174" i="49"/>
  <c r="BM169" i="49"/>
  <c r="BB169" i="49"/>
  <c r="BB168" i="49"/>
  <c r="BQ163" i="49"/>
  <c r="BE163" i="49"/>
  <c r="AQ163" i="49"/>
  <c r="AQ159" i="49"/>
  <c r="BN159" i="49"/>
  <c r="BM158" i="49"/>
  <c r="BP148" i="49"/>
  <c r="BK147" i="49"/>
  <c r="BT147" i="49"/>
  <c r="BB147" i="49"/>
  <c r="BU140" i="49"/>
  <c r="BQ139" i="49"/>
  <c r="BE139" i="49"/>
  <c r="AQ134" i="49"/>
  <c r="BM132" i="49"/>
  <c r="BH132" i="49"/>
  <c r="AQ129" i="49"/>
  <c r="BN129" i="49"/>
  <c r="AJ119" i="49"/>
  <c r="AF119" i="49"/>
  <c r="BK117" i="49"/>
  <c r="BT109" i="49"/>
  <c r="BP109" i="49"/>
  <c r="BS97" i="49"/>
  <c r="BL97" i="49"/>
  <c r="BP93" i="49"/>
  <c r="AQ89" i="49"/>
  <c r="AG89" i="49"/>
  <c r="BH89" i="49"/>
  <c r="BR73" i="49"/>
  <c r="BK73" i="49"/>
  <c r="BU71" i="49"/>
  <c r="AQ71" i="49"/>
  <c r="AG71" i="49"/>
  <c r="BH71" i="49"/>
  <c r="BU66" i="49"/>
  <c r="BF62" i="49"/>
  <c r="BR62" i="49"/>
  <c r="AQ55" i="49"/>
  <c r="AG55" i="49"/>
  <c r="BH55" i="49"/>
  <c r="BI49" i="49"/>
  <c r="AQ46" i="49"/>
  <c r="BN46" i="49"/>
  <c r="BO36" i="49"/>
  <c r="BK36" i="49"/>
  <c r="AQ30" i="49"/>
  <c r="AG30" i="49"/>
  <c r="AC21" i="49"/>
  <c r="BM21" i="49"/>
  <c r="BR14" i="49"/>
  <c r="BF14" i="49"/>
  <c r="BU12" i="49"/>
  <c r="BE12" i="49"/>
  <c r="BV316" i="24"/>
  <c r="BN316" i="24"/>
  <c r="CL307" i="24"/>
  <c r="EX279" i="24"/>
  <c r="CL279" i="24"/>
  <c r="BV279" i="24"/>
  <c r="BE279" i="24"/>
  <c r="BR271" i="24"/>
  <c r="BW266" i="24"/>
  <c r="CJ255" i="24"/>
  <c r="BS255" i="24"/>
  <c r="BE255" i="24"/>
  <c r="BW255" i="24"/>
  <c r="BL255" i="24"/>
  <c r="BP236" i="24"/>
  <c r="BX236" i="24"/>
  <c r="BL233" i="24"/>
  <c r="CL225" i="24"/>
  <c r="BU225" i="24"/>
  <c r="BO225" i="24"/>
  <c r="BP214" i="24"/>
  <c r="BU202" i="24"/>
  <c r="EX194" i="24"/>
  <c r="BS194" i="24"/>
  <c r="BE194" i="24"/>
  <c r="EW164" i="24"/>
  <c r="CJ164" i="24"/>
  <c r="BT164" i="24"/>
  <c r="BO164" i="24"/>
  <c r="BI164" i="24"/>
  <c r="BS160" i="24"/>
  <c r="BX160" i="24"/>
  <c r="EW149" i="24"/>
  <c r="BX143" i="24"/>
  <c r="BT97" i="24"/>
  <c r="BI97" i="24"/>
  <c r="BN92" i="24"/>
  <c r="CL88" i="24"/>
  <c r="BP88" i="24"/>
  <c r="BL56" i="24"/>
  <c r="BS49" i="24"/>
  <c r="CL32" i="24"/>
  <c r="BU32" i="24"/>
  <c r="BO18" i="24"/>
  <c r="BF283" i="49"/>
  <c r="AQ277" i="49"/>
  <c r="AG277" i="49"/>
  <c r="BO272" i="49"/>
  <c r="BB272" i="49"/>
  <c r="AJ272" i="49"/>
  <c r="AF272" i="49"/>
  <c r="BG272" i="49"/>
  <c r="BP267" i="49"/>
  <c r="BI267" i="49"/>
  <c r="BO251" i="49"/>
  <c r="BB251" i="49"/>
  <c r="AJ251" i="49"/>
  <c r="BJ251" i="49"/>
  <c r="AQ243" i="49"/>
  <c r="AG243" i="49"/>
  <c r="AC235" i="49"/>
  <c r="BB235" i="49"/>
  <c r="BO235" i="49"/>
  <c r="AQ229" i="49"/>
  <c r="BK212" i="49"/>
  <c r="AJ212" i="49"/>
  <c r="BP208" i="49"/>
  <c r="BB208" i="49"/>
  <c r="BQ199" i="49"/>
  <c r="AQ197" i="49"/>
  <c r="AG197" i="49"/>
  <c r="BP183" i="49"/>
  <c r="BM179" i="49"/>
  <c r="AQ170" i="49"/>
  <c r="AG170" i="49"/>
  <c r="BS169" i="49"/>
  <c r="BL169" i="49"/>
  <c r="BU169" i="49"/>
  <c r="AJ169" i="49"/>
  <c r="AF169" i="49"/>
  <c r="AC163" i="49"/>
  <c r="BU163" i="49"/>
  <c r="BE158" i="49"/>
  <c r="BF158" i="49"/>
  <c r="BQ158" i="49"/>
  <c r="AJ148" i="49"/>
  <c r="BK148" i="49"/>
  <c r="BB143" i="49"/>
  <c r="BU143" i="49"/>
  <c r="BU134" i="49"/>
  <c r="BT132" i="49"/>
  <c r="BI132" i="49"/>
  <c r="AQ130" i="49"/>
  <c r="BN130" i="49"/>
  <c r="BU117" i="49"/>
  <c r="BO117" i="49"/>
  <c r="BL103" i="49"/>
  <c r="BI103" i="49"/>
  <c r="BU102" i="49"/>
  <c r="BR97" i="49"/>
  <c r="BE97" i="49"/>
  <c r="AJ97" i="49"/>
  <c r="AQ91" i="49"/>
  <c r="BU84" i="49"/>
  <c r="AJ73" i="49"/>
  <c r="BE73" i="49"/>
  <c r="BM73" i="49"/>
  <c r="BT73" i="49"/>
  <c r="BQ71" i="49"/>
  <c r="BB66" i="49"/>
  <c r="BF66" i="49"/>
  <c r="BT43" i="49"/>
  <c r="AJ24" i="49"/>
  <c r="BO24" i="49"/>
  <c r="BF9" i="49"/>
  <c r="DH322" i="49"/>
  <c r="DH324" i="49"/>
  <c r="EB322" i="49"/>
  <c r="EB324" i="49"/>
  <c r="AG267" i="49"/>
  <c r="AF236" i="24"/>
  <c r="BJ236" i="24"/>
  <c r="BM236" i="24"/>
  <c r="AG226" i="49"/>
  <c r="BH226" i="49"/>
  <c r="BJ181" i="49"/>
  <c r="BN291" i="49"/>
  <c r="BJ190" i="24"/>
  <c r="BM190" i="24"/>
  <c r="BG131" i="49"/>
  <c r="AF24" i="49"/>
  <c r="BG24" i="49"/>
  <c r="BJ24" i="49"/>
  <c r="BN71" i="49"/>
  <c r="BM71" i="24"/>
  <c r="AG86" i="24"/>
  <c r="BQ86" i="24"/>
  <c r="AG84" i="24"/>
  <c r="AY84" i="24"/>
  <c r="BD84" i="24"/>
  <c r="EA319" i="24"/>
  <c r="AF26" i="24"/>
  <c r="AF108" i="24"/>
  <c r="BJ108" i="24"/>
  <c r="BQ127" i="24"/>
  <c r="AG127" i="24"/>
  <c r="BK127" i="24"/>
  <c r="AF127" i="24"/>
  <c r="AY127" i="24"/>
  <c r="BD127" i="24"/>
  <c r="BM127" i="24"/>
  <c r="AF218" i="24"/>
  <c r="BJ218" i="24"/>
  <c r="AF70" i="24"/>
  <c r="BJ70" i="24"/>
  <c r="BM70" i="24"/>
  <c r="BQ117" i="24"/>
  <c r="BH96" i="49"/>
  <c r="BG164" i="49"/>
  <c r="BV164" i="49"/>
  <c r="AY164" i="49"/>
  <c r="BA164" i="49"/>
  <c r="AF73" i="49"/>
  <c r="BJ73" i="49"/>
  <c r="AG229" i="49"/>
  <c r="BH229" i="49"/>
  <c r="BN229" i="49"/>
  <c r="AG163" i="49"/>
  <c r="BH163" i="49"/>
  <c r="BN163" i="49"/>
  <c r="AF65" i="49"/>
  <c r="AY65" i="49"/>
  <c r="BA65" i="49"/>
  <c r="BQ308" i="24"/>
  <c r="BN98" i="49"/>
  <c r="AG181" i="24"/>
  <c r="AG247" i="24"/>
  <c r="BK247" i="24"/>
  <c r="BQ247" i="24"/>
  <c r="AG305" i="24"/>
  <c r="BK305" i="24"/>
  <c r="BM147" i="24"/>
  <c r="BQ206" i="24"/>
  <c r="BQ235" i="24"/>
  <c r="AG235" i="24"/>
  <c r="BK235" i="24"/>
  <c r="AG82" i="49"/>
  <c r="BH82" i="49"/>
  <c r="BN178" i="49"/>
  <c r="AF291" i="49"/>
  <c r="BJ291" i="49"/>
  <c r="BJ314" i="49"/>
  <c r="BH295" i="49"/>
  <c r="AF212" i="49"/>
  <c r="BG212" i="49"/>
  <c r="BJ212" i="49"/>
  <c r="AF251" i="49"/>
  <c r="BG251" i="49"/>
  <c r="AF252" i="49"/>
  <c r="BG252" i="49"/>
  <c r="BJ252" i="49"/>
  <c r="AF148" i="24"/>
  <c r="BQ175" i="24"/>
  <c r="BQ188" i="24"/>
  <c r="BQ249" i="24"/>
  <c r="BM257" i="24"/>
  <c r="BQ312" i="24"/>
  <c r="BN77" i="49"/>
  <c r="BN261" i="49"/>
  <c r="BJ306" i="49"/>
  <c r="BM216" i="24"/>
  <c r="AF216" i="24"/>
  <c r="BG156" i="49"/>
  <c r="BV156" i="49"/>
  <c r="AY229" i="49"/>
  <c r="BA229" i="49"/>
  <c r="BG73" i="49"/>
  <c r="BK84" i="24"/>
  <c r="AY233" i="24"/>
  <c r="BD233" i="24"/>
  <c r="BJ150" i="24"/>
  <c r="BK155" i="24"/>
  <c r="AY155" i="24"/>
  <c r="BD155" i="24"/>
  <c r="BG173" i="49"/>
  <c r="BK179" i="24"/>
  <c r="AY259" i="49"/>
  <c r="BA259" i="49"/>
  <c r="BH259" i="49"/>
  <c r="BV259" i="49"/>
  <c r="AF161" i="24"/>
  <c r="BJ161" i="24"/>
  <c r="BG215" i="49"/>
  <c r="BV207" i="49"/>
  <c r="AF91" i="24"/>
  <c r="BK280" i="24"/>
  <c r="BG34" i="49"/>
  <c r="BJ228" i="24"/>
  <c r="BK246" i="24"/>
  <c r="BH292" i="49"/>
  <c r="AY292" i="49"/>
  <c r="BA292" i="49"/>
  <c r="BJ122" i="24"/>
  <c r="BH93" i="49"/>
  <c r="AY93" i="49"/>
  <c r="BA93" i="49"/>
  <c r="BG143" i="49"/>
  <c r="AY143" i="49"/>
  <c r="BA143" i="49"/>
  <c r="AG290" i="24"/>
  <c r="BK290" i="24"/>
  <c r="BQ290" i="24"/>
  <c r="BG112" i="49"/>
  <c r="BV112" i="49"/>
  <c r="AY112" i="49"/>
  <c r="BA112" i="49"/>
  <c r="BJ119" i="24"/>
  <c r="BS306" i="24"/>
  <c r="BH306" i="24"/>
  <c r="BI306" i="24"/>
  <c r="BR306" i="24"/>
  <c r="EX306" i="24"/>
  <c r="AC289" i="24"/>
  <c r="BT289" i="24"/>
  <c r="BU289" i="24"/>
  <c r="BL289" i="24"/>
  <c r="BO289" i="24"/>
  <c r="CK289" i="24"/>
  <c r="BE277" i="24"/>
  <c r="BX277" i="24"/>
  <c r="BT277" i="24"/>
  <c r="CK277" i="24"/>
  <c r="BS277" i="24"/>
  <c r="BV277" i="24"/>
  <c r="BR277" i="24"/>
  <c r="BH277" i="24"/>
  <c r="AY281" i="49"/>
  <c r="BA281" i="49"/>
  <c r="BJ143" i="49"/>
  <c r="BV143" i="49"/>
  <c r="BN317" i="49"/>
  <c r="BQ94" i="24"/>
  <c r="BJ203" i="49"/>
  <c r="BN223" i="49"/>
  <c r="AC315" i="24"/>
  <c r="BW315" i="24"/>
  <c r="BL315" i="24"/>
  <c r="BS315" i="24"/>
  <c r="BR311" i="24"/>
  <c r="CL311" i="24"/>
  <c r="BX311" i="24"/>
  <c r="BO309" i="24"/>
  <c r="BR309" i="24"/>
  <c r="BL309" i="24"/>
  <c r="EX309" i="24"/>
  <c r="BS309" i="24"/>
  <c r="EW309" i="24"/>
  <c r="CL309" i="24"/>
  <c r="AQ304" i="24"/>
  <c r="BR303" i="24"/>
  <c r="AQ298" i="24"/>
  <c r="AG298" i="24"/>
  <c r="BK298" i="24"/>
  <c r="AQ293" i="24"/>
  <c r="BQ293" i="24"/>
  <c r="BO290" i="24"/>
  <c r="AY81" i="49"/>
  <c r="BA81" i="49"/>
  <c r="AY232" i="49"/>
  <c r="BA232" i="49"/>
  <c r="BJ135" i="49"/>
  <c r="BJ140" i="49"/>
  <c r="AF217" i="49"/>
  <c r="BJ266" i="49"/>
  <c r="BM65" i="24"/>
  <c r="BJ197" i="49"/>
  <c r="AF149" i="24"/>
  <c r="BJ149" i="24"/>
  <c r="BN68" i="49"/>
  <c r="AG68" i="49"/>
  <c r="BH68" i="49"/>
  <c r="CQ318" i="24"/>
  <c r="AQ307" i="24"/>
  <c r="BE307" i="24"/>
  <c r="BV304" i="24"/>
  <c r="BI304" i="24"/>
  <c r="AJ304" i="24"/>
  <c r="BW304" i="24"/>
  <c r="BP304" i="24"/>
  <c r="BX298" i="24"/>
  <c r="BL298" i="24"/>
  <c r="BR298" i="24"/>
  <c r="BU298" i="24"/>
  <c r="BS298" i="24"/>
  <c r="BP298" i="24"/>
  <c r="BE298" i="24"/>
  <c r="BN298" i="24"/>
  <c r="BO298" i="24"/>
  <c r="BH298" i="24"/>
  <c r="EX298" i="24"/>
  <c r="BW298" i="24"/>
  <c r="BV298" i="24"/>
  <c r="CL298" i="24"/>
  <c r="AJ298" i="24"/>
  <c r="AF298" i="24"/>
  <c r="BR293" i="24"/>
  <c r="BH293" i="24"/>
  <c r="AJ293" i="24"/>
  <c r="AF293" i="24"/>
  <c r="BU293" i="24"/>
  <c r="BX293" i="24"/>
  <c r="BE289" i="24"/>
  <c r="AQ289" i="24"/>
  <c r="BQ289" i="24"/>
  <c r="AF290" i="49"/>
  <c r="BJ290" i="49"/>
  <c r="AG274" i="49"/>
  <c r="BN274" i="49"/>
  <c r="BN218" i="49"/>
  <c r="AG218" i="49"/>
  <c r="BM151" i="24"/>
  <c r="EU319" i="24"/>
  <c r="EQ318" i="24"/>
  <c r="EQ321" i="24"/>
  <c r="AQ315" i="24"/>
  <c r="BQ315" i="24"/>
  <c r="AC303" i="24"/>
  <c r="BW303" i="24"/>
  <c r="BH303" i="24"/>
  <c r="BV303" i="24"/>
  <c r="CL303" i="24"/>
  <c r="BN303" i="24"/>
  <c r="BX303" i="24"/>
  <c r="BL303" i="24"/>
  <c r="BE303" i="24"/>
  <c r="BS303" i="24"/>
  <c r="CK303" i="24"/>
  <c r="BE290" i="24"/>
  <c r="EX290" i="24"/>
  <c r="BU290" i="24"/>
  <c r="BL290" i="24"/>
  <c r="AJ290" i="24"/>
  <c r="BT290" i="24"/>
  <c r="BQ36" i="24"/>
  <c r="AG36" i="24"/>
  <c r="AG214" i="49"/>
  <c r="BN214" i="49"/>
  <c r="BL161" i="24"/>
  <c r="CK161" i="24"/>
  <c r="BL168" i="24"/>
  <c r="BL193" i="24"/>
  <c r="BL195" i="24"/>
  <c r="BH210" i="24"/>
  <c r="BX210" i="24"/>
  <c r="CL14" i="24"/>
  <c r="BX14" i="24"/>
  <c r="BS28" i="24"/>
  <c r="BR28" i="24"/>
  <c r="BI28" i="24"/>
  <c r="BN89" i="24"/>
  <c r="BR93" i="24"/>
  <c r="AQ102" i="24"/>
  <c r="AG102" i="24"/>
  <c r="BP118" i="24"/>
  <c r="BR125" i="24"/>
  <c r="BO126" i="24"/>
  <c r="BI130" i="24"/>
  <c r="BH135" i="24"/>
  <c r="BV137" i="24"/>
  <c r="BI137" i="24"/>
  <c r="BR154" i="24"/>
  <c r="BI154" i="24"/>
  <c r="BH160" i="24"/>
  <c r="AC167" i="24"/>
  <c r="BR189" i="24"/>
  <c r="AJ191" i="24"/>
  <c r="BS196" i="24"/>
  <c r="BU207" i="24"/>
  <c r="BX207" i="24"/>
  <c r="BH207" i="24"/>
  <c r="BV228" i="24"/>
  <c r="EW236" i="24"/>
  <c r="BJ239" i="24"/>
  <c r="BW242" i="24"/>
  <c r="AC243" i="24"/>
  <c r="BE258" i="24"/>
  <c r="BT263" i="24"/>
  <c r="BT89" i="24"/>
  <c r="AC89" i="24"/>
  <c r="BR102" i="24"/>
  <c r="BI102" i="24"/>
  <c r="AC105" i="24"/>
  <c r="BI228" i="24"/>
  <c r="BN85" i="24"/>
  <c r="BV93" i="24"/>
  <c r="BH102" i="24"/>
  <c r="BT118" i="24"/>
  <c r="EX126" i="24"/>
  <c r="AQ135" i="24"/>
  <c r="BO137" i="24"/>
  <c r="BR150" i="24"/>
  <c r="AC150" i="24"/>
  <c r="BT160" i="24"/>
  <c r="BT167" i="24"/>
  <c r="BP181" i="24"/>
  <c r="AQ185" i="24"/>
  <c r="BQ185" i="24"/>
  <c r="EW189" i="24"/>
  <c r="BH191" i="24"/>
  <c r="BR196" i="24"/>
  <c r="BI196" i="24"/>
  <c r="BI203" i="24"/>
  <c r="CK226" i="24"/>
  <c r="BT236" i="24"/>
  <c r="BS238" i="24"/>
  <c r="BR239" i="24"/>
  <c r="BT242" i="24"/>
  <c r="BO258" i="24"/>
  <c r="BR260" i="24"/>
  <c r="BR263" i="24"/>
  <c r="BP258" i="24"/>
  <c r="AC268" i="49"/>
  <c r="BB307" i="49"/>
  <c r="BR307" i="49"/>
  <c r="BP308" i="49"/>
  <c r="BO308" i="49"/>
  <c r="AC308" i="49"/>
  <c r="AJ89" i="24"/>
  <c r="AF89" i="24"/>
  <c r="BT93" i="24"/>
  <c r="AJ102" i="24"/>
  <c r="BN118" i="24"/>
  <c r="BI123" i="24"/>
  <c r="BT125" i="24"/>
  <c r="AC125" i="24"/>
  <c r="BL126" i="24"/>
  <c r="BR135" i="24"/>
  <c r="BI135" i="24"/>
  <c r="CI160" i="24"/>
  <c r="CL160" i="24"/>
  <c r="BR167" i="24"/>
  <c r="BI167" i="24"/>
  <c r="BH185" i="24"/>
  <c r="BL189" i="24"/>
  <c r="BS228" i="24"/>
  <c r="BP238" i="24"/>
  <c r="BU239" i="24"/>
  <c r="BL260" i="24"/>
  <c r="AC266" i="24"/>
  <c r="BS263" i="24"/>
  <c r="BW263" i="24"/>
  <c r="AJ263" i="24"/>
  <c r="CK260" i="24"/>
  <c r="BN258" i="24"/>
  <c r="EX255" i="24"/>
  <c r="BP255" i="24"/>
  <c r="AC255" i="24"/>
  <c r="BT251" i="24"/>
  <c r="BI251" i="24"/>
  <c r="AC251" i="24"/>
  <c r="BO243" i="24"/>
  <c r="BR242" i="24"/>
  <c r="BX240" i="24"/>
  <c r="BI240" i="24"/>
  <c r="BH239" i="24"/>
  <c r="BV239" i="24"/>
  <c r="BR238" i="24"/>
  <c r="BW238" i="24"/>
  <c r="BL236" i="24"/>
  <c r="BI236" i="24"/>
  <c r="BS231" i="24"/>
  <c r="AC231" i="24"/>
  <c r="AC229" i="24"/>
  <c r="BE228" i="24"/>
  <c r="AJ227" i="24"/>
  <c r="AC221" i="24"/>
  <c r="AJ213" i="24"/>
  <c r="AF213" i="24"/>
  <c r="BS210" i="24"/>
  <c r="EW207" i="24"/>
  <c r="CI207" i="24"/>
  <c r="AJ207" i="24"/>
  <c r="BM207" i="24"/>
  <c r="BR203" i="24"/>
  <c r="BH196" i="24"/>
  <c r="BV195" i="24"/>
  <c r="AC195" i="24"/>
  <c r="BS193" i="24"/>
  <c r="BI193" i="24"/>
  <c r="AC193" i="24"/>
  <c r="BX191" i="24"/>
  <c r="BN191" i="24"/>
  <c r="EX189" i="24"/>
  <c r="BX185" i="24"/>
  <c r="BO185" i="24"/>
  <c r="BV181" i="24"/>
  <c r="BX172" i="24"/>
  <c r="EX168" i="24"/>
  <c r="BV168" i="24"/>
  <c r="AC168" i="24"/>
  <c r="BX167" i="24"/>
  <c r="AJ167" i="24"/>
  <c r="AF167" i="24"/>
  <c r="BJ167" i="24"/>
  <c r="AC161" i="24"/>
  <c r="AJ160" i="24"/>
  <c r="AF160" i="24"/>
  <c r="BJ160" i="24"/>
  <c r="BT154" i="24"/>
  <c r="CL151" i="24"/>
  <c r="BO150" i="24"/>
  <c r="BH144" i="24"/>
  <c r="BY144" i="24"/>
  <c r="BP144" i="24"/>
  <c r="BH142" i="24"/>
  <c r="BW142" i="24"/>
  <c r="AJ142" i="24"/>
  <c r="EX137" i="24"/>
  <c r="BW135" i="24"/>
  <c r="AJ130" i="24"/>
  <c r="BM130" i="24"/>
  <c r="CI126" i="24"/>
  <c r="EX123" i="24"/>
  <c r="BV122" i="24"/>
  <c r="EX121" i="24"/>
  <c r="BV121" i="24"/>
  <c r="BI121" i="24"/>
  <c r="AJ121" i="24"/>
  <c r="BM121" i="24"/>
  <c r="BW118" i="24"/>
  <c r="BE112" i="24"/>
  <c r="AG107" i="24"/>
  <c r="EW105" i="24"/>
  <c r="EX102" i="24"/>
  <c r="BX102" i="24"/>
  <c r="AC102" i="24"/>
  <c r="BH96" i="24"/>
  <c r="AC95" i="24"/>
  <c r="BE93" i="24"/>
  <c r="CL92" i="24"/>
  <c r="BU92" i="24"/>
  <c r="AJ92" i="24"/>
  <c r="AF92" i="24"/>
  <c r="BJ92" i="24"/>
  <c r="BU90" i="24"/>
  <c r="BO89" i="24"/>
  <c r="EX85" i="24"/>
  <c r="BP73" i="24"/>
  <c r="CL72" i="24"/>
  <c r="BH61" i="24"/>
  <c r="BN61" i="24"/>
  <c r="BP60" i="24"/>
  <c r="BE60" i="24"/>
  <c r="CL59" i="24"/>
  <c r="BS59" i="24"/>
  <c r="BI59" i="24"/>
  <c r="BW59" i="24"/>
  <c r="AC59" i="24"/>
  <c r="BE58" i="24"/>
  <c r="AJ52" i="24"/>
  <c r="BN49" i="24"/>
  <c r="AC49" i="24"/>
  <c r="EX42" i="24"/>
  <c r="BX42" i="24"/>
  <c r="BI42" i="24"/>
  <c r="AC30" i="24"/>
  <c r="BU23" i="24"/>
  <c r="AJ23" i="24"/>
  <c r="AF23" i="24"/>
  <c r="BJ23" i="24"/>
  <c r="CL7" i="24"/>
  <c r="BN7" i="24"/>
  <c r="AJ7" i="24"/>
  <c r="AF7" i="24"/>
  <c r="BJ7" i="24"/>
  <c r="BM312" i="49"/>
  <c r="AC312" i="49"/>
  <c r="AC311" i="49"/>
  <c r="AQ308" i="49"/>
  <c r="BN308" i="49"/>
  <c r="BI307" i="49"/>
  <c r="BQ307" i="49"/>
  <c r="AQ294" i="49"/>
  <c r="BN294" i="49"/>
  <c r="BP290" i="49"/>
  <c r="BE290" i="49"/>
  <c r="BI274" i="49"/>
  <c r="AC251" i="49"/>
  <c r="BM251" i="49"/>
  <c r="BQ248" i="49"/>
  <c r="BI248" i="49"/>
  <c r="BS245" i="49"/>
  <c r="BI238" i="49"/>
  <c r="AJ238" i="49"/>
  <c r="AF238" i="49"/>
  <c r="BG238" i="49"/>
  <c r="BR231" i="49"/>
  <c r="BI231" i="49"/>
  <c r="BR230" i="49"/>
  <c r="AJ223" i="49"/>
  <c r="AF223" i="49"/>
  <c r="BB222" i="49"/>
  <c r="BO220" i="49"/>
  <c r="AQ220" i="49"/>
  <c r="BI211" i="49"/>
  <c r="BI209" i="49"/>
  <c r="BE204" i="49"/>
  <c r="BI196" i="49"/>
  <c r="BQ196" i="49"/>
  <c r="AJ192" i="49"/>
  <c r="AF192" i="49"/>
  <c r="BG192" i="49"/>
  <c r="BU187" i="49"/>
  <c r="BE187" i="49"/>
  <c r="BQ155" i="49"/>
  <c r="AJ155" i="49"/>
  <c r="AF155" i="49"/>
  <c r="AJ154" i="49"/>
  <c r="AF154" i="49"/>
  <c r="BE154" i="49"/>
  <c r="BQ154" i="49"/>
  <c r="BF154" i="49"/>
  <c r="BR154" i="49"/>
  <c r="AQ147" i="49"/>
  <c r="BF147" i="49"/>
  <c r="BM134" i="49"/>
  <c r="BE134" i="49"/>
  <c r="BB115" i="49"/>
  <c r="AQ115" i="49"/>
  <c r="BN115" i="49"/>
  <c r="BL115" i="49"/>
  <c r="AC106" i="49"/>
  <c r="BP106" i="49"/>
  <c r="BB94" i="49"/>
  <c r="BL88" i="49"/>
  <c r="AQ88" i="49"/>
  <c r="AG88" i="49"/>
  <c r="BU88" i="49"/>
  <c r="BO88" i="49"/>
  <c r="BU85" i="49"/>
  <c r="BP85" i="49"/>
  <c r="BL71" i="49"/>
  <c r="AJ62" i="49"/>
  <c r="AF62" i="49"/>
  <c r="BG62" i="49"/>
  <c r="BL58" i="49"/>
  <c r="BB54" i="49"/>
  <c r="BT54" i="49"/>
  <c r="BR54" i="49"/>
  <c r="BI53" i="49"/>
  <c r="BR53" i="49"/>
  <c r="AJ53" i="49"/>
  <c r="BJ53" i="49"/>
  <c r="AJ7" i="49"/>
  <c r="BJ7" i="49"/>
  <c r="BM7" i="49"/>
  <c r="BQ7" i="49"/>
  <c r="AC290" i="49"/>
  <c r="BL290" i="49"/>
  <c r="BQ290" i="49"/>
  <c r="BQ233" i="49"/>
  <c r="BE233" i="49"/>
  <c r="BE231" i="49"/>
  <c r="BM231" i="49"/>
  <c r="BS231" i="49"/>
  <c r="AQ160" i="49"/>
  <c r="AG160" i="49"/>
  <c r="BM160" i="49"/>
  <c r="AC73" i="49"/>
  <c r="BP73" i="49"/>
  <c r="BU73" i="49"/>
  <c r="BQ73" i="49"/>
  <c r="BE36" i="49"/>
  <c r="BR36" i="49"/>
  <c r="AJ23" i="49"/>
  <c r="BJ23" i="49"/>
  <c r="AF23" i="49"/>
  <c r="BF23" i="49"/>
  <c r="BS41" i="49"/>
  <c r="BK78" i="49"/>
  <c r="BS134" i="49"/>
  <c r="BK178" i="49"/>
  <c r="BS187" i="49"/>
  <c r="BS202" i="49"/>
  <c r="BK210" i="49"/>
  <c r="BO216" i="49"/>
  <c r="BS223" i="49"/>
  <c r="BK230" i="49"/>
  <c r="BO234" i="49"/>
  <c r="BO279" i="49"/>
  <c r="BO299" i="49"/>
  <c r="BK312" i="49"/>
  <c r="CL21" i="24"/>
  <c r="BN25" i="24"/>
  <c r="BU35" i="24"/>
  <c r="BM60" i="24"/>
  <c r="BU73" i="24"/>
  <c r="BF15" i="49"/>
  <c r="BP41" i="49"/>
  <c r="BR43" i="49"/>
  <c r="BF58" i="49"/>
  <c r="BP62" i="49"/>
  <c r="BF74" i="49"/>
  <c r="BP78" i="49"/>
  <c r="BF84" i="49"/>
  <c r="BK106" i="49"/>
  <c r="BB134" i="49"/>
  <c r="BB154" i="49"/>
  <c r="BT154" i="49"/>
  <c r="BL178" i="49"/>
  <c r="BL187" i="49"/>
  <c r="BL189" i="49"/>
  <c r="BB202" i="49"/>
  <c r="BF204" i="49"/>
  <c r="BV204" i="49"/>
  <c r="BP206" i="49"/>
  <c r="BB210" i="49"/>
  <c r="BT210" i="49"/>
  <c r="BL216" i="49"/>
  <c r="BF220" i="49"/>
  <c r="BO222" i="49"/>
  <c r="BP223" i="49"/>
  <c r="BP226" i="49"/>
  <c r="BP230" i="49"/>
  <c r="BB234" i="49"/>
  <c r="BF236" i="49"/>
  <c r="BB243" i="49"/>
  <c r="BM245" i="49"/>
  <c r="BF251" i="49"/>
  <c r="BL279" i="49"/>
  <c r="BT288" i="49"/>
  <c r="BR290" i="49"/>
  <c r="BP299" i="49"/>
  <c r="BL310" i="49"/>
  <c r="BL312" i="49"/>
  <c r="BL7" i="24"/>
  <c r="CK7" i="24"/>
  <c r="BV21" i="24"/>
  <c r="BT23" i="24"/>
  <c r="BS25" i="24"/>
  <c r="BL26" i="24"/>
  <c r="EX26" i="24"/>
  <c r="BP30" i="24"/>
  <c r="EX30" i="24"/>
  <c r="BR35" i="24"/>
  <c r="BV42" i="24"/>
  <c r="BN45" i="24"/>
  <c r="EW45" i="24"/>
  <c r="BH49" i="24"/>
  <c r="BX49" i="24"/>
  <c r="BT59" i="24"/>
  <c r="BR60" i="24"/>
  <c r="AJ61" i="24"/>
  <c r="BW61" i="24"/>
  <c r="BP66" i="24"/>
  <c r="BL72" i="24"/>
  <c r="CK72" i="24"/>
  <c r="EW73" i="24"/>
  <c r="BT79" i="24"/>
  <c r="BS95" i="24"/>
  <c r="BH109" i="24"/>
  <c r="BX109" i="24"/>
  <c r="BT112" i="24"/>
  <c r="BP119" i="24"/>
  <c r="BL122" i="24"/>
  <c r="BX124" i="24"/>
  <c r="BN133" i="24"/>
  <c r="BH134" i="24"/>
  <c r="BX134" i="24"/>
  <c r="BH151" i="24"/>
  <c r="BX151" i="24"/>
  <c r="BP153" i="24"/>
  <c r="BH155" i="24"/>
  <c r="BX155" i="24"/>
  <c r="BT161" i="24"/>
  <c r="BT168" i="24"/>
  <c r="BH172" i="24"/>
  <c r="BT184" i="24"/>
  <c r="BT193" i="24"/>
  <c r="BT195" i="24"/>
  <c r="BP210" i="24"/>
  <c r="BU220" i="24"/>
  <c r="AQ7" i="49"/>
  <c r="AG7" i="49"/>
  <c r="BT15" i="49"/>
  <c r="BU90" i="49"/>
  <c r="AJ149" i="49"/>
  <c r="BK160" i="49"/>
  <c r="AC160" i="49"/>
  <c r="BU162" i="49"/>
  <c r="AJ170" i="49"/>
  <c r="AF170" i="49"/>
  <c r="BG170" i="49"/>
  <c r="BT173" i="49"/>
  <c r="BS173" i="49"/>
  <c r="BF173" i="49"/>
  <c r="BI184" i="49"/>
  <c r="BI185" i="49"/>
  <c r="AJ196" i="49"/>
  <c r="BJ196" i="49"/>
  <c r="BU209" i="49"/>
  <c r="BI225" i="49"/>
  <c r="BI233" i="49"/>
  <c r="BT238" i="49"/>
  <c r="BS238" i="49"/>
  <c r="BR238" i="49"/>
  <c r="AC238" i="49"/>
  <c r="BH239" i="49"/>
  <c r="BK239" i="49"/>
  <c r="BJ239" i="49"/>
  <c r="BE268" i="49"/>
  <c r="BE275" i="49"/>
  <c r="BE278" i="49"/>
  <c r="BE298" i="49"/>
  <c r="DG320" i="49"/>
  <c r="BV14" i="24"/>
  <c r="BI14" i="24"/>
  <c r="BL14" i="24"/>
  <c r="BE28" i="24"/>
  <c r="EX28" i="24"/>
  <c r="BV82" i="24"/>
  <c r="BN87" i="24"/>
  <c r="EW89" i="24"/>
  <c r="BU96" i="24"/>
  <c r="CL99" i="24"/>
  <c r="CK99" i="24"/>
  <c r="BH99" i="24"/>
  <c r="BT102" i="24"/>
  <c r="CK106" i="24"/>
  <c r="AC118" i="24"/>
  <c r="BH123" i="24"/>
  <c r="EW125" i="24"/>
  <c r="BP130" i="24"/>
  <c r="BI131" i="24"/>
  <c r="AC131" i="24"/>
  <c r="EW135" i="24"/>
  <c r="BN137" i="24"/>
  <c r="CI154" i="24"/>
  <c r="CL154" i="24"/>
  <c r="CI159" i="24"/>
  <c r="BK163" i="24"/>
  <c r="BV163" i="24"/>
  <c r="BP167" i="24"/>
  <c r="AC173" i="24"/>
  <c r="EW173" i="24"/>
  <c r="BP186" i="24"/>
  <c r="CI194" i="24"/>
  <c r="CL194" i="24"/>
  <c r="BI207" i="24"/>
  <c r="BP207" i="24"/>
  <c r="BP209" i="24"/>
  <c r="AQ228" i="24"/>
  <c r="BQ228" i="24"/>
  <c r="BU230" i="24"/>
  <c r="BP230" i="24"/>
  <c r="BR236" i="24"/>
  <c r="BV238" i="24"/>
  <c r="BT239" i="24"/>
  <c r="BT243" i="24"/>
  <c r="BH245" i="24"/>
  <c r="BP249" i="24"/>
  <c r="BW258" i="24"/>
  <c r="AQ263" i="24"/>
  <c r="EW263" i="24"/>
  <c r="BP286" i="24"/>
  <c r="CI291" i="24"/>
  <c r="BS294" i="24"/>
  <c r="BI258" i="24"/>
  <c r="BH301" i="24"/>
  <c r="BS94" i="49"/>
  <c r="BU94" i="49"/>
  <c r="BE94" i="49"/>
  <c r="BT192" i="49"/>
  <c r="BS192" i="49"/>
  <c r="BL213" i="49"/>
  <c r="BK213" i="49"/>
  <c r="BF213" i="49"/>
  <c r="BP294" i="49"/>
  <c r="BO294" i="49"/>
  <c r="AC294" i="49"/>
  <c r="BT302" i="49"/>
  <c r="BS302" i="49"/>
  <c r="BF302" i="49"/>
  <c r="FU322" i="49"/>
  <c r="FU323" i="49"/>
  <c r="EX70" i="24"/>
  <c r="BN70" i="24"/>
  <c r="CI76" i="24"/>
  <c r="CL76" i="24"/>
  <c r="BX76" i="24"/>
  <c r="BH76" i="24"/>
  <c r="BT82" i="24"/>
  <c r="BU87" i="24"/>
  <c r="BP87" i="24"/>
  <c r="CL89" i="24"/>
  <c r="CK89" i="24"/>
  <c r="BL89" i="24"/>
  <c r="CI102" i="24"/>
  <c r="CL102" i="24"/>
  <c r="BL105" i="24"/>
  <c r="BV106" i="24"/>
  <c r="CL106" i="24"/>
  <c r="BU163" i="24"/>
  <c r="BT163" i="24"/>
  <c r="AC163" i="24"/>
  <c r="BN209" i="24"/>
  <c r="BP228" i="24"/>
  <c r="AJ245" i="24"/>
  <c r="BM245" i="24"/>
  <c r="BT7" i="49"/>
  <c r="BS7" i="49"/>
  <c r="BR7" i="49"/>
  <c r="BT8" i="49"/>
  <c r="BB184" i="49"/>
  <c r="BR184" i="49"/>
  <c r="BT185" i="49"/>
  <c r="BS185" i="49"/>
  <c r="BF185" i="49"/>
  <c r="AE318" i="49"/>
  <c r="BU213" i="49"/>
  <c r="BP225" i="49"/>
  <c r="BO225" i="49"/>
  <c r="AC225" i="49"/>
  <c r="BB233" i="49"/>
  <c r="BR233" i="49"/>
  <c r="BM268" i="49"/>
  <c r="BU294" i="49"/>
  <c r="BN8" i="24"/>
  <c r="EX8" i="24"/>
  <c r="BP8" i="24"/>
  <c r="BX16" i="24"/>
  <c r="BH16" i="24"/>
  <c r="BE16" i="24"/>
  <c r="EW53" i="24"/>
  <c r="BS76" i="24"/>
  <c r="EW85" i="24"/>
  <c r="BI85" i="24"/>
  <c r="BR89" i="24"/>
  <c r="EX96" i="24"/>
  <c r="BH106" i="24"/>
  <c r="BV113" i="24"/>
  <c r="AQ118" i="24"/>
  <c r="CK123" i="24"/>
  <c r="BN125" i="24"/>
  <c r="BS131" i="24"/>
  <c r="BT135" i="24"/>
  <c r="EW143" i="24"/>
  <c r="BN143" i="24"/>
  <c r="BI143" i="24"/>
  <c r="EW150" i="24"/>
  <c r="BU150" i="24"/>
  <c r="BS154" i="24"/>
  <c r="BI156" i="24"/>
  <c r="AQ160" i="24"/>
  <c r="BQ160" i="24"/>
  <c r="AQ167" i="24"/>
  <c r="AG167" i="24"/>
  <c r="BK167" i="24"/>
  <c r="BL173" i="24"/>
  <c r="BI181" i="24"/>
  <c r="BI191" i="24"/>
  <c r="EW196" i="24"/>
  <c r="CL196" i="24"/>
  <c r="BT209" i="24"/>
  <c r="CI228" i="24"/>
  <c r="BI238" i="24"/>
  <c r="BE239" i="24"/>
  <c r="AC245" i="24"/>
  <c r="CI258" i="24"/>
  <c r="BE263" i="24"/>
  <c r="BI264" i="24"/>
  <c r="BH283" i="24"/>
  <c r="AJ286" i="24"/>
  <c r="AF286" i="24"/>
  <c r="CK291" i="24"/>
  <c r="BL299" i="24"/>
  <c r="BX258" i="24"/>
  <c r="BH258" i="24"/>
  <c r="BL76" i="49"/>
  <c r="BK76" i="49"/>
  <c r="BL90" i="49"/>
  <c r="BK90" i="49"/>
  <c r="BT149" i="49"/>
  <c r="BS149" i="49"/>
  <c r="BS162" i="49"/>
  <c r="BT170" i="49"/>
  <c r="BS170" i="49"/>
  <c r="BF170" i="49"/>
  <c r="BL196" i="49"/>
  <c r="BK196" i="49"/>
  <c r="BP209" i="49"/>
  <c r="BO209" i="49"/>
  <c r="BF209" i="49"/>
  <c r="BP248" i="49"/>
  <c r="BO248" i="49"/>
  <c r="AC248" i="49"/>
  <c r="BS268" i="49"/>
  <c r="BB275" i="49"/>
  <c r="AC275" i="49"/>
  <c r="BB278" i="49"/>
  <c r="BR278" i="49"/>
  <c r="BT298" i="49"/>
  <c r="BO298" i="49"/>
  <c r="AQ302" i="49"/>
  <c r="BP307" i="49"/>
  <c r="BO307" i="49"/>
  <c r="AC307" i="49"/>
  <c r="BB308" i="49"/>
  <c r="BR308" i="49"/>
  <c r="BR53" i="24"/>
  <c r="BI53" i="24"/>
  <c r="BP53" i="24"/>
  <c r="BE76" i="24"/>
  <c r="BS87" i="24"/>
  <c r="BU93" i="24"/>
  <c r="AC93" i="24"/>
  <c r="BR105" i="24"/>
  <c r="EW118" i="24"/>
  <c r="CI123" i="24"/>
  <c r="BI125" i="24"/>
  <c r="BL125" i="24"/>
  <c r="BI126" i="24"/>
  <c r="CI135" i="24"/>
  <c r="CL135" i="24"/>
  <c r="AC159" i="24"/>
  <c r="BR160" i="24"/>
  <c r="BI160" i="24"/>
  <c r="CI167" i="24"/>
  <c r="CL167" i="24"/>
  <c r="BV173" i="24"/>
  <c r="BU173" i="24"/>
  <c r="AC176" i="24"/>
  <c r="BV186" i="24"/>
  <c r="CK189" i="24"/>
  <c r="BE209" i="24"/>
  <c r="EX238" i="24"/>
  <c r="BH238" i="24"/>
  <c r="BM239" i="24"/>
  <c r="BE245" i="24"/>
  <c r="BH255" i="24"/>
  <c r="EW258" i="24"/>
  <c r="BI263" i="24"/>
  <c r="BE264" i="24"/>
  <c r="BR286" i="24"/>
  <c r="BR301" i="24"/>
  <c r="BI245" i="24"/>
  <c r="CI294" i="24"/>
  <c r="BT316" i="24"/>
  <c r="BE291" i="24"/>
  <c r="CI287" i="24"/>
  <c r="BL286" i="24"/>
  <c r="EW283" i="24"/>
  <c r="BS283" i="24"/>
  <c r="EW282" i="24"/>
  <c r="BN282" i="24"/>
  <c r="BW282" i="24"/>
  <c r="AC282" i="24"/>
  <c r="BN279" i="24"/>
  <c r="BI267" i="24"/>
  <c r="BI266" i="24"/>
  <c r="BX264" i="24"/>
  <c r="CI255" i="24"/>
  <c r="BR254" i="24"/>
  <c r="EX253" i="24"/>
  <c r="BT253" i="24"/>
  <c r="BO253" i="24"/>
  <c r="BH253" i="24"/>
  <c r="AJ253" i="24"/>
  <c r="EW251" i="24"/>
  <c r="BV251" i="24"/>
  <c r="BP251" i="24"/>
  <c r="BS240" i="24"/>
  <c r="BX238" i="24"/>
  <c r="BX237" i="24"/>
  <c r="CL231" i="24"/>
  <c r="BH231" i="24"/>
  <c r="BN230" i="24"/>
  <c r="AJ230" i="24"/>
  <c r="AF230" i="24"/>
  <c r="BJ230" i="24"/>
  <c r="EX229" i="24"/>
  <c r="CK219" i="24"/>
  <c r="BL219" i="24"/>
  <c r="BH213" i="24"/>
  <c r="AC213" i="24"/>
  <c r="BE210" i="24"/>
  <c r="BO207" i="24"/>
  <c r="BW207" i="24"/>
  <c r="BL204" i="24"/>
  <c r="CI199" i="24"/>
  <c r="BE199" i="24"/>
  <c r="BL194" i="24"/>
  <c r="EX193" i="24"/>
  <c r="CI193" i="24"/>
  <c r="BO193" i="24"/>
  <c r="BW186" i="24"/>
  <c r="BI184" i="24"/>
  <c r="BW184" i="24"/>
  <c r="AC184" i="24"/>
  <c r="BE173" i="24"/>
  <c r="BE167" i="24"/>
  <c r="BR164" i="24"/>
  <c r="BE164" i="24"/>
  <c r="AJ164" i="24"/>
  <c r="BE160" i="24"/>
  <c r="AJ159" i="24"/>
  <c r="BP157" i="24"/>
  <c r="BW157" i="24"/>
  <c r="BE153" i="24"/>
  <c r="BE149" i="24"/>
  <c r="BN149" i="24"/>
  <c r="BO143" i="24"/>
  <c r="BX142" i="24"/>
  <c r="BL139" i="24"/>
  <c r="AC134" i="24"/>
  <c r="BU133" i="24"/>
  <c r="AJ132" i="24"/>
  <c r="AF132" i="24"/>
  <c r="BJ132" i="24"/>
  <c r="BO129" i="24"/>
  <c r="BW125" i="24"/>
  <c r="BO122" i="24"/>
  <c r="BP121" i="24"/>
  <c r="BS119" i="24"/>
  <c r="EX118" i="24"/>
  <c r="BV111" i="24"/>
  <c r="BW109" i="24"/>
  <c r="BN99" i="24"/>
  <c r="BP97" i="24"/>
  <c r="BR83" i="24"/>
  <c r="BR61" i="24"/>
  <c r="BX60" i="24"/>
  <c r="CI59" i="24"/>
  <c r="BO59" i="24"/>
  <c r="EX52" i="24"/>
  <c r="BX45" i="24"/>
  <c r="BO42" i="24"/>
  <c r="BV33" i="24"/>
  <c r="BL33" i="24"/>
  <c r="BV26" i="24"/>
  <c r="BO23" i="24"/>
  <c r="BT17" i="24"/>
  <c r="BL17" i="24"/>
  <c r="BX17" i="24"/>
  <c r="BV7" i="24"/>
  <c r="AC7" i="24"/>
  <c r="DA319" i="49"/>
  <c r="BR312" i="49"/>
  <c r="BE312" i="49"/>
  <c r="BJ312" i="49"/>
  <c r="BK311" i="49"/>
  <c r="BB301" i="49"/>
  <c r="BS301" i="49"/>
  <c r="BP297" i="49"/>
  <c r="BB297" i="49"/>
  <c r="BT290" i="49"/>
  <c r="BM290" i="49"/>
  <c r="AQ290" i="49"/>
  <c r="BN290" i="49"/>
  <c r="BR288" i="49"/>
  <c r="BI279" i="49"/>
  <c r="BO274" i="49"/>
  <c r="BP273" i="49"/>
  <c r="BM272" i="49"/>
  <c r="AC272" i="49"/>
  <c r="AQ251" i="49"/>
  <c r="AG251" i="49"/>
  <c r="BT244" i="49"/>
  <c r="BR244" i="49"/>
  <c r="AJ237" i="49"/>
  <c r="AF237" i="49"/>
  <c r="BK236" i="49"/>
  <c r="BO231" i="49"/>
  <c r="BU231" i="49"/>
  <c r="AC231" i="49"/>
  <c r="AQ230" i="49"/>
  <c r="AG230" i="49"/>
  <c r="BH230" i="49"/>
  <c r="BU229" i="49"/>
  <c r="AQ213" i="49"/>
  <c r="BN213" i="49"/>
  <c r="BS211" i="49"/>
  <c r="AQ211" i="49"/>
  <c r="AG211" i="49"/>
  <c r="AQ210" i="49"/>
  <c r="BQ209" i="49"/>
  <c r="AQ209" i="49"/>
  <c r="AG209" i="49"/>
  <c r="BT200" i="49"/>
  <c r="AQ191" i="49"/>
  <c r="BM187" i="49"/>
  <c r="BM183" i="49"/>
  <c r="BF168" i="49"/>
  <c r="BI168" i="49"/>
  <c r="BM154" i="49"/>
  <c r="AQ154" i="49"/>
  <c r="BI147" i="49"/>
  <c r="AC140" i="49"/>
  <c r="BE140" i="49"/>
  <c r="BQ133" i="49"/>
  <c r="BE133" i="49"/>
  <c r="BM114" i="49"/>
  <c r="AC114" i="49"/>
  <c r="AQ114" i="49"/>
  <c r="BN114" i="49"/>
  <c r="BU114" i="49"/>
  <c r="BR114" i="49"/>
  <c r="AJ107" i="49"/>
  <c r="BJ107" i="49"/>
  <c r="BF107" i="49"/>
  <c r="BM107" i="49"/>
  <c r="BU97" i="49"/>
  <c r="AQ97" i="49"/>
  <c r="BB97" i="49"/>
  <c r="BE88" i="49"/>
  <c r="BQ86" i="49"/>
  <c r="BK54" i="49"/>
  <c r="AQ54" i="49"/>
  <c r="AQ53" i="49"/>
  <c r="AG53" i="49"/>
  <c r="BH53" i="49"/>
  <c r="AQ43" i="49"/>
  <c r="BT36" i="49"/>
  <c r="BR35" i="49"/>
  <c r="BM35" i="49"/>
  <c r="AJ33" i="49"/>
  <c r="BS33" i="49"/>
  <c r="AQ33" i="49"/>
  <c r="BN33" i="49"/>
  <c r="BK62" i="49"/>
  <c r="BO78" i="49"/>
  <c r="BR103" i="49"/>
  <c r="BK154" i="49"/>
  <c r="BO178" i="49"/>
  <c r="BK189" i="49"/>
  <c r="BK206" i="49"/>
  <c r="BO210" i="49"/>
  <c r="BS216" i="49"/>
  <c r="BR222" i="49"/>
  <c r="BK226" i="49"/>
  <c r="BO230" i="49"/>
  <c r="BS234" i="49"/>
  <c r="BK243" i="49"/>
  <c r="BR261" i="49"/>
  <c r="BS279" i="49"/>
  <c r="BK288" i="49"/>
  <c r="BS299" i="49"/>
  <c r="BK310" i="49"/>
  <c r="BO312" i="49"/>
  <c r="BR25" i="24"/>
  <c r="CL35" i="24"/>
  <c r="BU60" i="24"/>
  <c r="CL73" i="24"/>
  <c r="BT78" i="49"/>
  <c r="BR84" i="49"/>
  <c r="BK103" i="49"/>
  <c r="BO106" i="49"/>
  <c r="BP187" i="49"/>
  <c r="BP189" i="49"/>
  <c r="BR191" i="49"/>
  <c r="BB230" i="49"/>
  <c r="BL234" i="49"/>
  <c r="BR236" i="49"/>
  <c r="BL243" i="49"/>
  <c r="AJ245" i="49"/>
  <c r="AF245" i="49"/>
  <c r="BQ245" i="49"/>
  <c r="BF274" i="49"/>
  <c r="BP279" i="49"/>
  <c r="BB288" i="49"/>
  <c r="BF290" i="49"/>
  <c r="BP310" i="49"/>
  <c r="BP312" i="49"/>
  <c r="BP7" i="24"/>
  <c r="BH23" i="24"/>
  <c r="BX23" i="24"/>
  <c r="BW25" i="24"/>
  <c r="BT30" i="24"/>
  <c r="BR45" i="24"/>
  <c r="BL49" i="24"/>
  <c r="BH59" i="24"/>
  <c r="BX59" i="24"/>
  <c r="BV60" i="24"/>
  <c r="BE61" i="24"/>
  <c r="EW61" i="24"/>
  <c r="BL109" i="24"/>
  <c r="BH112" i="24"/>
  <c r="BX112" i="24"/>
  <c r="BT119" i="24"/>
  <c r="BR133" i="24"/>
  <c r="BL134" i="24"/>
  <c r="CK134" i="24"/>
  <c r="BL149" i="24"/>
  <c r="BL151" i="24"/>
  <c r="BT153" i="24"/>
  <c r="BL155" i="24"/>
  <c r="BH161" i="24"/>
  <c r="BH168" i="24"/>
  <c r="BH184" i="24"/>
  <c r="BX184" i="24"/>
  <c r="BH193" i="24"/>
  <c r="BH195" i="24"/>
  <c r="BU201" i="24"/>
  <c r="BT210" i="24"/>
  <c r="BI7" i="49"/>
  <c r="AJ76" i="49"/>
  <c r="AF76" i="49"/>
  <c r="BL94" i="49"/>
  <c r="BE149" i="49"/>
  <c r="BT160" i="49"/>
  <c r="BB160" i="49"/>
  <c r="BR160" i="49"/>
  <c r="BE170" i="49"/>
  <c r="BP173" i="49"/>
  <c r="BO173" i="49"/>
  <c r="AC173" i="49"/>
  <c r="BH184" i="49"/>
  <c r="BV184" i="49"/>
  <c r="BE196" i="49"/>
  <c r="BM213" i="49"/>
  <c r="BP238" i="49"/>
  <c r="BO238" i="49"/>
  <c r="BT239" i="49"/>
  <c r="BB239" i="49"/>
  <c r="BG239" i="49"/>
  <c r="AJ248" i="49"/>
  <c r="AF248" i="49"/>
  <c r="BU268" i="49"/>
  <c r="BU275" i="49"/>
  <c r="BU278" i="49"/>
  <c r="BU298" i="49"/>
  <c r="AJ307" i="49"/>
  <c r="BJ307" i="49"/>
  <c r="AJ308" i="49"/>
  <c r="BR14" i="24"/>
  <c r="CK14" i="24"/>
  <c r="BW28" i="24"/>
  <c r="BV28" i="24"/>
  <c r="BV87" i="24"/>
  <c r="AC96" i="24"/>
  <c r="BU99" i="24"/>
  <c r="BT99" i="24"/>
  <c r="AC99" i="24"/>
  <c r="BU105" i="24"/>
  <c r="BR113" i="24"/>
  <c r="BH118" i="24"/>
  <c r="BP123" i="24"/>
  <c r="AC126" i="24"/>
  <c r="CL130" i="24"/>
  <c r="BL130" i="24"/>
  <c r="AC135" i="24"/>
  <c r="EW137" i="24"/>
  <c r="BU137" i="24"/>
  <c r="BV154" i="24"/>
  <c r="BU154" i="24"/>
  <c r="AC160" i="24"/>
  <c r="EW163" i="24"/>
  <c r="BH173" i="24"/>
  <c r="BR176" i="24"/>
  <c r="EW185" i="24"/>
  <c r="BX186" i="24"/>
  <c r="BV194" i="24"/>
  <c r="BU194" i="24"/>
  <c r="AJ196" i="24"/>
  <c r="BM196" i="24"/>
  <c r="CL207" i="24"/>
  <c r="EX207" i="24"/>
  <c r="BL207" i="24"/>
  <c r="BX209" i="24"/>
  <c r="BV216" i="24"/>
  <c r="BN228" i="24"/>
  <c r="BM230" i="24"/>
  <c r="BL230" i="24"/>
  <c r="BN236" i="24"/>
  <c r="EW238" i="24"/>
  <c r="EW239" i="24"/>
  <c r="BL242" i="24"/>
  <c r="BH243" i="24"/>
  <c r="BN245" i="24"/>
  <c r="AC249" i="24"/>
  <c r="AC263" i="24"/>
  <c r="BO263" i="24"/>
  <c r="AC264" i="24"/>
  <c r="BU286" i="24"/>
  <c r="BV291" i="24"/>
  <c r="CL294" i="24"/>
  <c r="BI301" i="24"/>
  <c r="BO94" i="49"/>
  <c r="AQ94" i="49"/>
  <c r="AG94" i="49"/>
  <c r="BH94" i="49"/>
  <c r="BQ94" i="49"/>
  <c r="BP192" i="49"/>
  <c r="BO192" i="49"/>
  <c r="BJ192" i="49"/>
  <c r="BB213" i="49"/>
  <c r="AC213" i="49"/>
  <c r="BL294" i="49"/>
  <c r="BP302" i="49"/>
  <c r="BO302" i="49"/>
  <c r="AC302" i="49"/>
  <c r="BO70" i="24"/>
  <c r="BV76" i="24"/>
  <c r="BU76" i="24"/>
  <c r="BT76" i="24"/>
  <c r="BP82" i="24"/>
  <c r="BI87" i="24"/>
  <c r="BL87" i="24"/>
  <c r="BU89" i="24"/>
  <c r="BX89" i="24"/>
  <c r="BH89" i="24"/>
  <c r="BV102" i="24"/>
  <c r="BR106" i="24"/>
  <c r="BU106" i="24"/>
  <c r="BI163" i="24"/>
  <c r="BP163" i="24"/>
  <c r="EW209" i="24"/>
  <c r="BU209" i="24"/>
  <c r="BU228" i="24"/>
  <c r="BP7" i="49"/>
  <c r="BO7" i="49"/>
  <c r="BM76" i="49"/>
  <c r="BM90" i="49"/>
  <c r="BM149" i="49"/>
  <c r="BT184" i="49"/>
  <c r="BS184" i="49"/>
  <c r="BJ184" i="49"/>
  <c r="BP185" i="49"/>
  <c r="BO185" i="49"/>
  <c r="BE192" i="49"/>
  <c r="BM209" i="49"/>
  <c r="BL225" i="49"/>
  <c r="BK225" i="49"/>
  <c r="BT233" i="49"/>
  <c r="BS233" i="49"/>
  <c r="BF233" i="49"/>
  <c r="BM275" i="49"/>
  <c r="BM298" i="49"/>
  <c r="BM307" i="49"/>
  <c r="CI8" i="24"/>
  <c r="CL8" i="24"/>
  <c r="CK8" i="24"/>
  <c r="BL8" i="24"/>
  <c r="CL16" i="24"/>
  <c r="BT16" i="24"/>
  <c r="EX16" i="24"/>
  <c r="AJ16" i="24"/>
  <c r="BM16" i="24"/>
  <c r="BR87" i="24"/>
  <c r="AQ93" i="24"/>
  <c r="BS99" i="24"/>
  <c r="BP106" i="24"/>
  <c r="BR115" i="24"/>
  <c r="BL118" i="24"/>
  <c r="BV125" i="24"/>
  <c r="CI143" i="24"/>
  <c r="CL143" i="24"/>
  <c r="BV150" i="24"/>
  <c r="BI150" i="24"/>
  <c r="BV156" i="24"/>
  <c r="BN159" i="24"/>
  <c r="BL160" i="24"/>
  <c r="CI163" i="24"/>
  <c r="BL167" i="24"/>
  <c r="BT173" i="24"/>
  <c r="BN189" i="24"/>
  <c r="BV196" i="24"/>
  <c r="BU196" i="24"/>
  <c r="BS230" i="24"/>
  <c r="BO236" i="24"/>
  <c r="BN238" i="24"/>
  <c r="BL239" i="24"/>
  <c r="BP245" i="24"/>
  <c r="BN254" i="24"/>
  <c r="AC258" i="24"/>
  <c r="BL263" i="24"/>
  <c r="BN264" i="24"/>
  <c r="BH286" i="24"/>
  <c r="AC294" i="24"/>
  <c r="BB76" i="49"/>
  <c r="BB90" i="49"/>
  <c r="BP149" i="49"/>
  <c r="BO149" i="49"/>
  <c r="BF149" i="49"/>
  <c r="BP170" i="49"/>
  <c r="BO170" i="49"/>
  <c r="AC170" i="49"/>
  <c r="BB196" i="49"/>
  <c r="BL209" i="49"/>
  <c r="BK209" i="49"/>
  <c r="AC209" i="49"/>
  <c r="BL248" i="49"/>
  <c r="BS275" i="49"/>
  <c r="BT278" i="49"/>
  <c r="BS278" i="49"/>
  <c r="BF278" i="49"/>
  <c r="BP298" i="49"/>
  <c r="BR298" i="49"/>
  <c r="BI302" i="49"/>
  <c r="BL307" i="49"/>
  <c r="BT308" i="49"/>
  <c r="BS308" i="49"/>
  <c r="BN53" i="24"/>
  <c r="EX53" i="24"/>
  <c r="BL53" i="24"/>
  <c r="AJ82" i="24"/>
  <c r="BI93" i="24"/>
  <c r="BX125" i="24"/>
  <c r="BH125" i="24"/>
  <c r="BT126" i="24"/>
  <c r="BV135" i="24"/>
  <c r="BU135" i="24"/>
  <c r="EX159" i="24"/>
  <c r="EW160" i="24"/>
  <c r="BN160" i="24"/>
  <c r="BJ163" i="24"/>
  <c r="BV167" i="24"/>
  <c r="BR173" i="24"/>
  <c r="BI173" i="24"/>
  <c r="BT189" i="24"/>
  <c r="BO209" i="24"/>
  <c r="BT238" i="24"/>
  <c r="AC238" i="24"/>
  <c r="BI239" i="24"/>
  <c r="BW264" i="24"/>
  <c r="BN286" i="24"/>
  <c r="CL301" i="24"/>
  <c r="ER320" i="24"/>
  <c r="BI286" i="24"/>
  <c r="BW286" i="24"/>
  <c r="BE283" i="24"/>
  <c r="BV283" i="24"/>
  <c r="CL282" i="24"/>
  <c r="BX282" i="24"/>
  <c r="BH282" i="24"/>
  <c r="EX263" i="24"/>
  <c r="BU255" i="24"/>
  <c r="BX255" i="24"/>
  <c r="EW253" i="24"/>
  <c r="CI253" i="24"/>
  <c r="BS253" i="24"/>
  <c r="BN253" i="24"/>
  <c r="BE253" i="24"/>
  <c r="BW253" i="24"/>
  <c r="CK251" i="24"/>
  <c r="BU251" i="24"/>
  <c r="BL251" i="24"/>
  <c r="BS239" i="24"/>
  <c r="BU238" i="24"/>
  <c r="EW237" i="24"/>
  <c r="BP237" i="24"/>
  <c r="EX236" i="24"/>
  <c r="BW236" i="24"/>
  <c r="EW230" i="24"/>
  <c r="CI230" i="24"/>
  <c r="BE230" i="24"/>
  <c r="BW230" i="24"/>
  <c r="EW220" i="24"/>
  <c r="CK194" i="24"/>
  <c r="EW193" i="24"/>
  <c r="BU193" i="24"/>
  <c r="BN193" i="24"/>
  <c r="BX193" i="24"/>
  <c r="BE184" i="24"/>
  <c r="CI164" i="24"/>
  <c r="BN164" i="24"/>
  <c r="EX160" i="24"/>
  <c r="BN157" i="24"/>
  <c r="BE124" i="24"/>
  <c r="CI121" i="24"/>
  <c r="BL121" i="24"/>
  <c r="BO113" i="24"/>
  <c r="EW112" i="24"/>
  <c r="EX99" i="24"/>
  <c r="BE97" i="24"/>
  <c r="EX92" i="24"/>
  <c r="BH90" i="24"/>
  <c r="CK83" i="24"/>
  <c r="BP83" i="24"/>
  <c r="CK61" i="24"/>
  <c r="BI61" i="24"/>
  <c r="EX59" i="24"/>
  <c r="BU59" i="24"/>
  <c r="BN59" i="24"/>
  <c r="BU33" i="24"/>
  <c r="BI33" i="24"/>
  <c r="BI23" i="24"/>
  <c r="EW7" i="24"/>
  <c r="BQ312" i="49"/>
  <c r="BU312" i="49"/>
  <c r="BI310" i="49"/>
  <c r="BM301" i="49"/>
  <c r="BQ298" i="49"/>
  <c r="AC293" i="49"/>
  <c r="BU293" i="49"/>
  <c r="BS290" i="49"/>
  <c r="BI290" i="49"/>
  <c r="BT289" i="49"/>
  <c r="BE288" i="49"/>
  <c r="BQ278" i="49"/>
  <c r="AC273" i="49"/>
  <c r="BI264" i="49"/>
  <c r="BT251" i="49"/>
  <c r="BU250" i="49"/>
  <c r="BP250" i="49"/>
  <c r="AQ248" i="49"/>
  <c r="BN248" i="49"/>
  <c r="BM247" i="49"/>
  <c r="BM238" i="49"/>
  <c r="BU236" i="49"/>
  <c r="BE235" i="49"/>
  <c r="BF235" i="49"/>
  <c r="BL231" i="49"/>
  <c r="BU224" i="49"/>
  <c r="BI224" i="49"/>
  <c r="BK219" i="49"/>
  <c r="BP211" i="49"/>
  <c r="BE210" i="49"/>
  <c r="AQ196" i="49"/>
  <c r="AG196" i="49"/>
  <c r="BH196" i="49"/>
  <c r="BU195" i="49"/>
  <c r="BE191" i="49"/>
  <c r="AC187" i="49"/>
  <c r="BQ170" i="49"/>
  <c r="AJ163" i="49"/>
  <c r="AF163" i="49"/>
  <c r="BM163" i="49"/>
  <c r="BR163" i="49"/>
  <c r="BI154" i="49"/>
  <c r="AC154" i="49"/>
  <c r="BI149" i="49"/>
  <c r="BP147" i="49"/>
  <c r="BU93" i="49"/>
  <c r="BK93" i="49"/>
  <c r="BV93" i="49"/>
  <c r="AC88" i="49"/>
  <c r="BE84" i="49"/>
  <c r="BP84" i="49"/>
  <c r="BL73" i="49"/>
  <c r="AQ73" i="49"/>
  <c r="AG73" i="49"/>
  <c r="BT70" i="49"/>
  <c r="AQ58" i="49"/>
  <c r="AG58" i="49"/>
  <c r="BH58" i="49"/>
  <c r="BV58" i="49"/>
  <c r="BO55" i="49"/>
  <c r="BK55" i="49"/>
  <c r="BI54" i="49"/>
  <c r="BM53" i="49"/>
  <c r="AJ51" i="49"/>
  <c r="AF51" i="49"/>
  <c r="BG51" i="49"/>
  <c r="BF51" i="49"/>
  <c r="BM51" i="49"/>
  <c r="BI17" i="49"/>
  <c r="BQ17" i="49"/>
  <c r="BQ148" i="49"/>
  <c r="BP137" i="49"/>
  <c r="BJ51" i="49"/>
  <c r="AG54" i="49"/>
  <c r="BN54" i="49"/>
  <c r="AG114" i="49"/>
  <c r="BM132" i="24"/>
  <c r="BJ62" i="49"/>
  <c r="AF130" i="24"/>
  <c r="BJ130" i="24"/>
  <c r="AF227" i="24"/>
  <c r="AY227" i="24"/>
  <c r="BD227" i="24"/>
  <c r="BM227" i="24"/>
  <c r="BM102" i="24"/>
  <c r="AF102" i="24"/>
  <c r="AF191" i="24"/>
  <c r="BJ191" i="24"/>
  <c r="BM191" i="24"/>
  <c r="BK36" i="24"/>
  <c r="AY36" i="24"/>
  <c r="BD36" i="24"/>
  <c r="BJ248" i="49"/>
  <c r="BJ245" i="49"/>
  <c r="BN302" i="49"/>
  <c r="AG302" i="49"/>
  <c r="BJ170" i="49"/>
  <c r="AG147" i="49"/>
  <c r="BN147" i="49"/>
  <c r="AG294" i="49"/>
  <c r="BH294" i="49"/>
  <c r="AF121" i="24"/>
  <c r="BJ121" i="24"/>
  <c r="AG135" i="24"/>
  <c r="AY135" i="24"/>
  <c r="BD135" i="24"/>
  <c r="BQ135" i="24"/>
  <c r="BM89" i="24"/>
  <c r="BH218" i="49"/>
  <c r="BM293" i="24"/>
  <c r="BM304" i="24"/>
  <c r="AF304" i="24"/>
  <c r="BJ304" i="24"/>
  <c r="AG307" i="24"/>
  <c r="BK307" i="24"/>
  <c r="BQ307" i="24"/>
  <c r="BQ298" i="24"/>
  <c r="AF33" i="49"/>
  <c r="BG33" i="49"/>
  <c r="BJ33" i="49"/>
  <c r="AG43" i="49"/>
  <c r="BN43" i="49"/>
  <c r="AF164" i="24"/>
  <c r="BM164" i="24"/>
  <c r="BG290" i="49"/>
  <c r="BJ91" i="24"/>
  <c r="AF82" i="24"/>
  <c r="BM82" i="24"/>
  <c r="AF196" i="24"/>
  <c r="BJ76" i="49"/>
  <c r="BN73" i="49"/>
  <c r="AF149" i="49"/>
  <c r="BG149" i="49"/>
  <c r="BJ149" i="49"/>
  <c r="AF61" i="24"/>
  <c r="BJ61" i="24"/>
  <c r="BM61" i="24"/>
  <c r="BJ155" i="49"/>
  <c r="AF263" i="24"/>
  <c r="BJ263" i="24"/>
  <c r="BM263" i="24"/>
  <c r="BG217" i="49"/>
  <c r="BQ304" i="24"/>
  <c r="AG304" i="24"/>
  <c r="BK304" i="24"/>
  <c r="BK135" i="24"/>
  <c r="BJ227" i="24"/>
  <c r="BY227" i="24"/>
  <c r="BJ164" i="24"/>
  <c r="BJ25" i="24"/>
  <c r="AF226" i="49"/>
  <c r="AY226" i="49"/>
  <c r="BA226" i="49"/>
  <c r="AY55" i="24"/>
  <c r="BD55" i="24"/>
  <c r="BJ55" i="24"/>
  <c r="AF264" i="49"/>
  <c r="BJ264" i="49"/>
  <c r="BK306" i="24"/>
  <c r="AY306" i="24"/>
  <c r="BD306" i="24"/>
  <c r="BG165" i="49"/>
  <c r="BH194" i="49"/>
  <c r="BG66" i="49"/>
  <c r="AY66" i="49"/>
  <c r="BA66" i="49"/>
  <c r="BK60" i="24"/>
  <c r="AY60" i="24"/>
  <c r="BD60" i="24"/>
  <c r="BM301" i="24"/>
  <c r="AF301" i="24"/>
  <c r="BJ301" i="24"/>
  <c r="AF83" i="49"/>
  <c r="BG83" i="49"/>
  <c r="BV83" i="49"/>
  <c r="BJ83" i="49"/>
  <c r="AF93" i="24"/>
  <c r="BJ93" i="24"/>
  <c r="AF262" i="24"/>
  <c r="BJ262" i="24"/>
  <c r="AF71" i="49"/>
  <c r="EE322" i="49"/>
  <c r="EE324" i="49"/>
  <c r="BQ35" i="24"/>
  <c r="BN27" i="49"/>
  <c r="BN122" i="49"/>
  <c r="BT249" i="24"/>
  <c r="CL299" i="24"/>
  <c r="Q317" i="24"/>
  <c r="BX301" i="24"/>
  <c r="AQ299" i="24"/>
  <c r="BQ299" i="24"/>
  <c r="BI293" i="24"/>
  <c r="BL293" i="24"/>
  <c r="AC288" i="24"/>
  <c r="BI288" i="24"/>
  <c r="BW288" i="24"/>
  <c r="AC279" i="24"/>
  <c r="EW279" i="24"/>
  <c r="S277" i="24"/>
  <c r="BL275" i="24"/>
  <c r="AJ271" i="24"/>
  <c r="AF271" i="24"/>
  <c r="BW271" i="24"/>
  <c r="BI271" i="24"/>
  <c r="BL271" i="24"/>
  <c r="BE270" i="24"/>
  <c r="BT270" i="24"/>
  <c r="BN270" i="24"/>
  <c r="EW270" i="24"/>
  <c r="AC270" i="24"/>
  <c r="CK270" i="24"/>
  <c r="BV270" i="24"/>
  <c r="AQ257" i="24"/>
  <c r="BQ257" i="24"/>
  <c r="BN257" i="24"/>
  <c r="BN124" i="49"/>
  <c r="AG124" i="49"/>
  <c r="AG109" i="49"/>
  <c r="BH109" i="49"/>
  <c r="BN109" i="49"/>
  <c r="BN17" i="49"/>
  <c r="AJ255" i="24"/>
  <c r="AF255" i="24"/>
  <c r="AQ255" i="24"/>
  <c r="BO255" i="24"/>
  <c r="EW255" i="24"/>
  <c r="CL252" i="24"/>
  <c r="BL252" i="24"/>
  <c r="AC252" i="24"/>
  <c r="BH252" i="24"/>
  <c r="BO252" i="24"/>
  <c r="BV252" i="24"/>
  <c r="BS252" i="24"/>
  <c r="AJ251" i="24"/>
  <c r="EX251" i="24"/>
  <c r="BR251" i="24"/>
  <c r="BO247" i="24"/>
  <c r="BU247" i="24"/>
  <c r="BS247" i="24"/>
  <c r="BL247" i="24"/>
  <c r="BW247" i="24"/>
  <c r="EW247" i="24"/>
  <c r="BH247" i="24"/>
  <c r="BN67" i="49"/>
  <c r="BX247" i="24"/>
  <c r="AJ252" i="24"/>
  <c r="BM252" i="24"/>
  <c r="BI247" i="24"/>
  <c r="BP247" i="24"/>
  <c r="BP252" i="24"/>
  <c r="BT247" i="24"/>
  <c r="BP296" i="24"/>
  <c r="AC296" i="24"/>
  <c r="BE296" i="24"/>
  <c r="CK296" i="24"/>
  <c r="BS296" i="24"/>
  <c r="EX296" i="24"/>
  <c r="BX286" i="24"/>
  <c r="EW278" i="24"/>
  <c r="BX278" i="24"/>
  <c r="BP264" i="24"/>
  <c r="BL264" i="24"/>
  <c r="BO264" i="24"/>
  <c r="BT264" i="24"/>
  <c r="BK158" i="24"/>
  <c r="BN264" i="49"/>
  <c r="AG264" i="49"/>
  <c r="BH264" i="49"/>
  <c r="BN98" i="24"/>
  <c r="BN154" i="24"/>
  <c r="BP173" i="24"/>
  <c r="CK192" i="24"/>
  <c r="EW205" i="24"/>
  <c r="BL208" i="24"/>
  <c r="AC230" i="24"/>
  <c r="BV236" i="24"/>
  <c r="BP241" i="24"/>
  <c r="BV41" i="24"/>
  <c r="BU41" i="24"/>
  <c r="BX41" i="24"/>
  <c r="BH41" i="24"/>
  <c r="BL98" i="24"/>
  <c r="BI192" i="24"/>
  <c r="BI205" i="24"/>
  <c r="BP205" i="24"/>
  <c r="BI8" i="24"/>
  <c r="AC8" i="24"/>
  <c r="BS41" i="24"/>
  <c r="BX110" i="24"/>
  <c r="BR143" i="24"/>
  <c r="AQ173" i="24"/>
  <c r="BN196" i="24"/>
  <c r="BH208" i="24"/>
  <c r="EX230" i="24"/>
  <c r="BI244" i="24"/>
  <c r="BR39" i="24"/>
  <c r="BV53" i="24"/>
  <c r="BT53" i="24"/>
  <c r="CI63" i="24"/>
  <c r="CL63" i="24"/>
  <c r="BT63" i="24"/>
  <c r="AC63" i="24"/>
  <c r="CI173" i="24"/>
  <c r="AJ205" i="24"/>
  <c r="BE208" i="24"/>
  <c r="BN208" i="24"/>
  <c r="BX244" i="24"/>
  <c r="BH244" i="24"/>
  <c r="CL291" i="24"/>
  <c r="AC283" i="24"/>
  <c r="BV275" i="24"/>
  <c r="BP267" i="24"/>
  <c r="BN267" i="24"/>
  <c r="EX254" i="24"/>
  <c r="BW250" i="24"/>
  <c r="BS248" i="24"/>
  <c r="BE234" i="24"/>
  <c r="BV230" i="24"/>
  <c r="BT225" i="24"/>
  <c r="AJ225" i="24"/>
  <c r="BM225" i="24"/>
  <c r="AJ220" i="24"/>
  <c r="BX218" i="24"/>
  <c r="BV207" i="24"/>
  <c r="AJ202" i="24"/>
  <c r="EW197" i="24"/>
  <c r="BN197" i="24"/>
  <c r="AC197" i="24"/>
  <c r="CL168" i="24"/>
  <c r="BR158" i="24"/>
  <c r="BW158" i="24"/>
  <c r="BH148" i="24"/>
  <c r="BP147" i="24"/>
  <c r="BW143" i="24"/>
  <c r="BS136" i="24"/>
  <c r="BS134" i="24"/>
  <c r="EW132" i="24"/>
  <c r="EW130" i="24"/>
  <c r="BH113" i="24"/>
  <c r="BO111" i="24"/>
  <c r="BV83" i="24"/>
  <c r="AJ80" i="24"/>
  <c r="BV75" i="24"/>
  <c r="BH74" i="24"/>
  <c r="BE63" i="24"/>
  <c r="BR62" i="24"/>
  <c r="BX62" i="24"/>
  <c r="AC61" i="24"/>
  <c r="BO53" i="24"/>
  <c r="BP33" i="24"/>
  <c r="EX32" i="24"/>
  <c r="BS32" i="24"/>
  <c r="CL20" i="24"/>
  <c r="BS20" i="24"/>
  <c r="BH20" i="24"/>
  <c r="BW19" i="24"/>
  <c r="CK18" i="24"/>
  <c r="BT18" i="24"/>
  <c r="BX18" i="24"/>
  <c r="AJ18" i="24"/>
  <c r="EW17" i="24"/>
  <c r="BH17" i="24"/>
  <c r="BW17" i="24"/>
  <c r="BI17" i="24"/>
  <c r="BR11" i="24"/>
  <c r="BU315" i="49"/>
  <c r="BP315" i="49"/>
  <c r="BF312" i="49"/>
  <c r="AJ303" i="49"/>
  <c r="BM286" i="49"/>
  <c r="BB286" i="49"/>
  <c r="BO250" i="49"/>
  <c r="AJ250" i="49"/>
  <c r="BJ250" i="49"/>
  <c r="AJ241" i="49"/>
  <c r="BQ239" i="49"/>
  <c r="BU238" i="49"/>
  <c r="BM235" i="49"/>
  <c r="AJ235" i="49"/>
  <c r="AJ231" i="49"/>
  <c r="BM227" i="49"/>
  <c r="BE212" i="49"/>
  <c r="BU190" i="49"/>
  <c r="BE178" i="49"/>
  <c r="BE169" i="49"/>
  <c r="BQ169" i="49"/>
  <c r="BB148" i="49"/>
  <c r="BM141" i="49"/>
  <c r="BM137" i="49"/>
  <c r="BE137" i="49"/>
  <c r="AJ114" i="49"/>
  <c r="BI74" i="49"/>
  <c r="BI41" i="49"/>
  <c r="BU15" i="49"/>
  <c r="BK14" i="49"/>
  <c r="BT244" i="24"/>
  <c r="AC244" i="24"/>
  <c r="BU244" i="24"/>
  <c r="AQ244" i="24"/>
  <c r="BH236" i="24"/>
  <c r="BO230" i="24"/>
  <c r="BW208" i="24"/>
  <c r="BE187" i="24"/>
  <c r="BH180" i="24"/>
  <c r="BW173" i="24"/>
  <c r="BH158" i="24"/>
  <c r="BP143" i="24"/>
  <c r="BS138" i="24"/>
  <c r="CL136" i="24"/>
  <c r="BN136" i="24"/>
  <c r="BW136" i="24"/>
  <c r="AJ136" i="24"/>
  <c r="AF136" i="24"/>
  <c r="BN134" i="24"/>
  <c r="EW110" i="24"/>
  <c r="BU104" i="24"/>
  <c r="BV103" i="24"/>
  <c r="EX74" i="24"/>
  <c r="CL62" i="24"/>
  <c r="BN62" i="24"/>
  <c r="BP32" i="24"/>
  <c r="BW32" i="24"/>
  <c r="AJ32" i="24"/>
  <c r="BM32" i="24"/>
  <c r="BY32" i="24"/>
  <c r="BX29" i="24"/>
  <c r="BR20" i="24"/>
  <c r="AQ20" i="24"/>
  <c r="AG20" i="24"/>
  <c r="BI309" i="49"/>
  <c r="BO290" i="49"/>
  <c r="BS286" i="49"/>
  <c r="BL286" i="49"/>
  <c r="BU286" i="49"/>
  <c r="AJ286" i="49"/>
  <c r="BT285" i="49"/>
  <c r="AJ276" i="49"/>
  <c r="BJ276" i="49"/>
  <c r="BR264" i="49"/>
  <c r="BM249" i="49"/>
  <c r="BB212" i="49"/>
  <c r="AC212" i="49"/>
  <c r="BE197" i="49"/>
  <c r="BU148" i="49"/>
  <c r="BT145" i="49"/>
  <c r="AC131" i="49"/>
  <c r="AQ127" i="49"/>
  <c r="AJ109" i="49"/>
  <c r="AF109" i="49"/>
  <c r="BU50" i="49"/>
  <c r="AQ31" i="49"/>
  <c r="BQ24" i="49"/>
  <c r="BS24" i="49"/>
  <c r="BB14" i="49"/>
  <c r="BN205" i="24"/>
  <c r="AC207" i="24"/>
  <c r="BR216" i="24"/>
  <c r="BT230" i="24"/>
  <c r="BN41" i="24"/>
  <c r="EX41" i="24"/>
  <c r="BP41" i="24"/>
  <c r="EX98" i="24"/>
  <c r="BR192" i="24"/>
  <c r="CL205" i="24"/>
  <c r="BX205" i="24"/>
  <c r="BH205" i="24"/>
  <c r="CL232" i="24"/>
  <c r="BR8" i="24"/>
  <c r="BT8" i="24"/>
  <c r="CL110" i="24"/>
  <c r="BH110" i="24"/>
  <c r="BM143" i="24"/>
  <c r="BR205" i="24"/>
  <c r="BS244" i="24"/>
  <c r="BO39" i="24"/>
  <c r="BU53" i="24"/>
  <c r="AC53" i="24"/>
  <c r="BR63" i="24"/>
  <c r="BI63" i="24"/>
  <c r="BL63" i="24"/>
  <c r="AJ98" i="24"/>
  <c r="CL173" i="24"/>
  <c r="BS208" i="24"/>
  <c r="BV208" i="24"/>
  <c r="EX244" i="24"/>
  <c r="BX280" i="24"/>
  <c r="BP231" i="24"/>
  <c r="CK225" i="24"/>
  <c r="BL225" i="24"/>
  <c r="BI208" i="24"/>
  <c r="CL202" i="24"/>
  <c r="BL202" i="24"/>
  <c r="CJ138" i="24"/>
  <c r="BI111" i="24"/>
  <c r="BN104" i="24"/>
  <c r="BP103" i="24"/>
  <c r="BL62" i="24"/>
  <c r="BW41" i="24"/>
  <c r="EX35" i="24"/>
  <c r="BE32" i="24"/>
  <c r="BP29" i="24"/>
  <c r="CI20" i="24"/>
  <c r="BN20" i="24"/>
  <c r="BI18" i="24"/>
  <c r="BP17" i="24"/>
  <c r="BQ308" i="49"/>
  <c r="BU303" i="49"/>
  <c r="BB290" i="49"/>
  <c r="BQ286" i="49"/>
  <c r="BK286" i="49"/>
  <c r="BM285" i="49"/>
  <c r="BI271" i="49"/>
  <c r="BQ212" i="49"/>
  <c r="BI194" i="49"/>
  <c r="BP169" i="49"/>
  <c r="BO158" i="49"/>
  <c r="BI152" i="49"/>
  <c r="BU144" i="49"/>
  <c r="BS137" i="49"/>
  <c r="BK137" i="49"/>
  <c r="BI131" i="49"/>
  <c r="BM128" i="49"/>
  <c r="BR109" i="49"/>
  <c r="BQ108" i="49"/>
  <c r="BE39" i="49"/>
  <c r="BQ31" i="49"/>
  <c r="BM28" i="49"/>
  <c r="BF24" i="49"/>
  <c r="AF32" i="24"/>
  <c r="BJ32" i="24"/>
  <c r="AF231" i="49"/>
  <c r="BJ231" i="49"/>
  <c r="AF18" i="24"/>
  <c r="BJ18" i="24"/>
  <c r="BM18" i="24"/>
  <c r="AF225" i="24"/>
  <c r="BJ225" i="24"/>
  <c r="AF251" i="24"/>
  <c r="BM251" i="24"/>
  <c r="AG257" i="24"/>
  <c r="BK257" i="24"/>
  <c r="BM271" i="24"/>
  <c r="BQ20" i="24"/>
  <c r="AF235" i="49"/>
  <c r="BG235" i="49"/>
  <c r="BJ235" i="49"/>
  <c r="BQ173" i="24"/>
  <c r="AG173" i="24"/>
  <c r="BK173" i="24"/>
  <c r="AF252" i="24"/>
  <c r="BJ252" i="24"/>
  <c r="AG299" i="24"/>
  <c r="BK299" i="24"/>
  <c r="DZ326" i="49"/>
  <c r="DZ327" i="49"/>
  <c r="BQ244" i="24"/>
  <c r="AG244" i="24"/>
  <c r="AF114" i="49"/>
  <c r="BJ114" i="49"/>
  <c r="AF250" i="49"/>
  <c r="BM255" i="24"/>
  <c r="BG264" i="49"/>
  <c r="AY264" i="49"/>
  <c r="BA264" i="49"/>
  <c r="BG114" i="49"/>
  <c r="AG154" i="49"/>
  <c r="BN154" i="49"/>
  <c r="AG210" i="49"/>
  <c r="AY210" i="49"/>
  <c r="BA210" i="49"/>
  <c r="BN210" i="49"/>
  <c r="AF253" i="24"/>
  <c r="BM253" i="24"/>
  <c r="BM92" i="24"/>
  <c r="AF142" i="24"/>
  <c r="BM142" i="24"/>
  <c r="BH267" i="49"/>
  <c r="BJ26" i="24"/>
  <c r="BJ216" i="24"/>
  <c r="BG77" i="49"/>
  <c r="BJ169" i="49"/>
  <c r="BJ146" i="49"/>
  <c r="BJ132" i="49"/>
  <c r="EB326" i="49"/>
  <c r="EB327" i="49"/>
  <c r="AG60" i="49"/>
  <c r="CN321" i="49"/>
  <c r="BJ96" i="24"/>
  <c r="BJ263" i="49"/>
  <c r="BQ162" i="24"/>
  <c r="AG67" i="24"/>
  <c r="BK67" i="24"/>
  <c r="BY67" i="24"/>
  <c r="BJ199" i="49"/>
  <c r="BJ119" i="49"/>
  <c r="AY247" i="24"/>
  <c r="BD247" i="24"/>
  <c r="AY242" i="49"/>
  <c r="BA242" i="49"/>
  <c r="BH242" i="49"/>
  <c r="BV242" i="49"/>
  <c r="AY144" i="24"/>
  <c r="BD144" i="24"/>
  <c r="BJ268" i="24"/>
  <c r="BH69" i="49"/>
  <c r="BG80" i="49"/>
  <c r="BV80" i="49"/>
  <c r="AY80" i="49"/>
  <c r="BA80" i="49"/>
  <c r="BM299" i="24"/>
  <c r="AG172" i="24"/>
  <c r="BK172" i="24"/>
  <c r="BX225" i="24"/>
  <c r="AQ213" i="24"/>
  <c r="BQ213" i="24"/>
  <c r="CL213" i="24"/>
  <c r="AQ168" i="24"/>
  <c r="BQ168" i="24"/>
  <c r="BX168" i="24"/>
  <c r="AC157" i="24"/>
  <c r="CI157" i="24"/>
  <c r="EW157" i="24"/>
  <c r="BU131" i="24"/>
  <c r="EX131" i="24"/>
  <c r="BR131" i="24"/>
  <c r="BN131" i="24"/>
  <c r="BT131" i="24"/>
  <c r="BR127" i="24"/>
  <c r="AC127" i="24"/>
  <c r="AQ124" i="24"/>
  <c r="BQ124" i="24"/>
  <c r="BS124" i="24"/>
  <c r="CK118" i="24"/>
  <c r="BV118" i="24"/>
  <c r="BX118" i="24"/>
  <c r="BN108" i="24"/>
  <c r="EW108" i="24"/>
  <c r="AQ108" i="24"/>
  <c r="BQ108" i="24"/>
  <c r="CL108" i="24"/>
  <c r="CI108" i="24"/>
  <c r="BW107" i="24"/>
  <c r="BP107" i="24"/>
  <c r="BU107" i="24"/>
  <c r="BR107" i="24"/>
  <c r="BQ107" i="24"/>
  <c r="BO107" i="24"/>
  <c r="BH107" i="24"/>
  <c r="BI107" i="24"/>
  <c r="AQ100" i="24"/>
  <c r="AG100" i="24"/>
  <c r="CL100" i="24"/>
  <c r="CI89" i="24"/>
  <c r="BI89" i="24"/>
  <c r="AQ85" i="24"/>
  <c r="AG85" i="24"/>
  <c r="BU85" i="24"/>
  <c r="BV85" i="24"/>
  <c r="BI39" i="24"/>
  <c r="BP39" i="24"/>
  <c r="AC39" i="24"/>
  <c r="AJ39" i="24"/>
  <c r="BM39" i="24"/>
  <c r="AQ19" i="24"/>
  <c r="BQ19" i="24"/>
  <c r="BP19" i="24"/>
  <c r="BU19" i="24"/>
  <c r="BV19" i="24"/>
  <c r="AJ19" i="24"/>
  <c r="BM19" i="24"/>
  <c r="BO19" i="24"/>
  <c r="BL19" i="24"/>
  <c r="BI19" i="24"/>
  <c r="BR19" i="24"/>
  <c r="BE19" i="24"/>
  <c r="AQ311" i="49"/>
  <c r="BR311" i="49"/>
  <c r="BR248" i="49"/>
  <c r="BE248" i="49"/>
  <c r="BK248" i="49"/>
  <c r="BF248" i="49"/>
  <c r="BT248" i="49"/>
  <c r="BM248" i="49"/>
  <c r="BU248" i="49"/>
  <c r="AC229" i="49"/>
  <c r="BO229" i="49"/>
  <c r="BP229" i="49"/>
  <c r="BE229" i="49"/>
  <c r="AQ228" i="49"/>
  <c r="AG228" i="49"/>
  <c r="AQ219" i="49"/>
  <c r="AG219" i="49"/>
  <c r="BP219" i="49"/>
  <c r="BB209" i="49"/>
  <c r="BS209" i="49"/>
  <c r="BK144" i="49"/>
  <c r="BE144" i="49"/>
  <c r="BP144" i="49"/>
  <c r="AQ142" i="49"/>
  <c r="AG142" i="49"/>
  <c r="BI142" i="49"/>
  <c r="AC142" i="49"/>
  <c r="BR142" i="49"/>
  <c r="AW318" i="49"/>
  <c r="BJ112" i="24"/>
  <c r="BG113" i="49"/>
  <c r="AF187" i="49"/>
  <c r="AF12" i="24"/>
  <c r="AQ205" i="24"/>
  <c r="AG205" i="24"/>
  <c r="BK205" i="24"/>
  <c r="AC205" i="24"/>
  <c r="BU205" i="24"/>
  <c r="BE205" i="24"/>
  <c r="CK205" i="24"/>
  <c r="BX194" i="24"/>
  <c r="BN194" i="24"/>
  <c r="AC194" i="24"/>
  <c r="BP194" i="24"/>
  <c r="AJ194" i="24"/>
  <c r="AF194" i="24"/>
  <c r="CJ194" i="24"/>
  <c r="BI194" i="24"/>
  <c r="BO162" i="24"/>
  <c r="BH162" i="24"/>
  <c r="EX162" i="24"/>
  <c r="BE162" i="24"/>
  <c r="EW162" i="24"/>
  <c r="BX162" i="24"/>
  <c r="BW160" i="24"/>
  <c r="BO160" i="24"/>
  <c r="BV160" i="24"/>
  <c r="AQ153" i="24"/>
  <c r="AG153" i="24"/>
  <c r="BK153" i="24"/>
  <c r="EW153" i="24"/>
  <c r="AQ151" i="24"/>
  <c r="AG151" i="24"/>
  <c r="CK151" i="24"/>
  <c r="CK146" i="24"/>
  <c r="EW146" i="24"/>
  <c r="BL146" i="24"/>
  <c r="BT146" i="24"/>
  <c r="AQ120" i="24"/>
  <c r="AG120" i="24"/>
  <c r="BK120" i="24"/>
  <c r="BN120" i="24"/>
  <c r="EW120" i="24"/>
  <c r="AC120" i="24"/>
  <c r="BE120" i="24"/>
  <c r="BW120" i="24"/>
  <c r="BO120" i="24"/>
  <c r="BH120" i="24"/>
  <c r="BU120" i="24"/>
  <c r="CI120" i="24"/>
  <c r="AQ119" i="24"/>
  <c r="BQ119" i="24"/>
  <c r="BN119" i="24"/>
  <c r="BE119" i="24"/>
  <c r="BL93" i="24"/>
  <c r="BO93" i="24"/>
  <c r="AQ90" i="24"/>
  <c r="AG90" i="24"/>
  <c r="BK90" i="24"/>
  <c r="AC90" i="24"/>
  <c r="AQ53" i="24"/>
  <c r="BQ53" i="24"/>
  <c r="BH53" i="24"/>
  <c r="AJ53" i="24"/>
  <c r="BW53" i="24"/>
  <c r="BS53" i="24"/>
  <c r="BO16" i="24"/>
  <c r="CK16" i="24"/>
  <c r="BR16" i="24"/>
  <c r="BN16" i="24"/>
  <c r="AC16" i="24"/>
  <c r="BP16" i="24"/>
  <c r="EA327" i="49"/>
  <c r="BE316" i="49"/>
  <c r="BU316" i="49"/>
  <c r="BK316" i="49"/>
  <c r="BL316" i="49"/>
  <c r="BB316" i="49"/>
  <c r="BQ316" i="49"/>
  <c r="BU308" i="49"/>
  <c r="BF308" i="49"/>
  <c r="AQ222" i="49"/>
  <c r="AG222" i="49"/>
  <c r="BI214" i="49"/>
  <c r="BR214" i="49"/>
  <c r="BB214" i="49"/>
  <c r="BF214" i="49"/>
  <c r="BS214" i="49"/>
  <c r="BT214" i="49"/>
  <c r="BU205" i="49"/>
  <c r="BS205" i="49"/>
  <c r="BT205" i="49"/>
  <c r="AJ205" i="49"/>
  <c r="AF205" i="49"/>
  <c r="BF205" i="49"/>
  <c r="BO205" i="49"/>
  <c r="BP205" i="49"/>
  <c r="AC196" i="49"/>
  <c r="BP196" i="49"/>
  <c r="BR196" i="49"/>
  <c r="BS196" i="49"/>
  <c r="BM196" i="49"/>
  <c r="BU153" i="49"/>
  <c r="BS153" i="49"/>
  <c r="BT153" i="49"/>
  <c r="AJ153" i="49"/>
  <c r="BJ153" i="49"/>
  <c r="BI153" i="49"/>
  <c r="BF153" i="49"/>
  <c r="BO153" i="49"/>
  <c r="BP153" i="49"/>
  <c r="BF121" i="49"/>
  <c r="BS121" i="49"/>
  <c r="BT121" i="49"/>
  <c r="BE121" i="49"/>
  <c r="AC121" i="49"/>
  <c r="BO121" i="49"/>
  <c r="BP121" i="49"/>
  <c r="BW313" i="24"/>
  <c r="BL256" i="24"/>
  <c r="AC256" i="24"/>
  <c r="BW256" i="24"/>
  <c r="BN256" i="24"/>
  <c r="BP256" i="24"/>
  <c r="BT256" i="24"/>
  <c r="BR256" i="24"/>
  <c r="AC219" i="24"/>
  <c r="BK219" i="24"/>
  <c r="BN219" i="24"/>
  <c r="AJ219" i="24"/>
  <c r="AF219" i="24"/>
  <c r="BP219" i="24"/>
  <c r="BX219" i="24"/>
  <c r="BT219" i="24"/>
  <c r="CL219" i="24"/>
  <c r="AG217" i="24"/>
  <c r="BK217" i="24"/>
  <c r="BQ217" i="24"/>
  <c r="BP213" i="24"/>
  <c r="BX208" i="24"/>
  <c r="AQ195" i="24"/>
  <c r="AG195" i="24"/>
  <c r="CK195" i="24"/>
  <c r="CI189" i="24"/>
  <c r="BO189" i="24"/>
  <c r="CL171" i="24"/>
  <c r="EW171" i="24"/>
  <c r="BX171" i="24"/>
  <c r="BU171" i="24"/>
  <c r="BV171" i="24"/>
  <c r="BI169" i="24"/>
  <c r="BE169" i="24"/>
  <c r="CI169" i="24"/>
  <c r="BS168" i="24"/>
  <c r="AQ131" i="24"/>
  <c r="BQ131" i="24"/>
  <c r="BV128" i="24"/>
  <c r="BW128" i="24"/>
  <c r="BO128" i="24"/>
  <c r="BN128" i="24"/>
  <c r="BT128" i="24"/>
  <c r="BW127" i="24"/>
  <c r="AQ122" i="24"/>
  <c r="AG122" i="24"/>
  <c r="BP122" i="24"/>
  <c r="AQ121" i="24"/>
  <c r="BR121" i="24"/>
  <c r="BW121" i="24"/>
  <c r="EW121" i="24"/>
  <c r="CI106" i="24"/>
  <c r="BT106" i="24"/>
  <c r="AJ106" i="24"/>
  <c r="BX106" i="24"/>
  <c r="BN106" i="24"/>
  <c r="BH100" i="24"/>
  <c r="AQ76" i="24"/>
  <c r="AG76" i="24"/>
  <c r="BL76" i="24"/>
  <c r="BN76" i="24"/>
  <c r="AC76" i="24"/>
  <c r="BI76" i="24"/>
  <c r="AQ31" i="24"/>
  <c r="AQ22" i="24"/>
  <c r="AQ16" i="24"/>
  <c r="AG16" i="24"/>
  <c r="BE294" i="49"/>
  <c r="BF294" i="49"/>
  <c r="BT294" i="49"/>
  <c r="BK294" i="49"/>
  <c r="BI294" i="49"/>
  <c r="BB294" i="49"/>
  <c r="AQ272" i="49"/>
  <c r="AG272" i="49"/>
  <c r="BS272" i="49"/>
  <c r="BI272" i="49"/>
  <c r="AJ240" i="49"/>
  <c r="AQ240" i="49"/>
  <c r="AG240" i="49"/>
  <c r="BQ240" i="49"/>
  <c r="BI240" i="49"/>
  <c r="BF240" i="49"/>
  <c r="AC240" i="49"/>
  <c r="BM240" i="49"/>
  <c r="BB225" i="49"/>
  <c r="BE225" i="49"/>
  <c r="BS225" i="49"/>
  <c r="AQ198" i="49"/>
  <c r="BN198" i="49"/>
  <c r="BE198" i="49"/>
  <c r="BK139" i="49"/>
  <c r="BL139" i="49"/>
  <c r="BR139" i="49"/>
  <c r="BB139" i="49"/>
  <c r="BT130" i="49"/>
  <c r="BB130" i="49"/>
  <c r="BM130" i="49"/>
  <c r="BU118" i="49"/>
  <c r="BL118" i="49"/>
  <c r="BT118" i="49"/>
  <c r="AC118" i="49"/>
  <c r="BI118" i="49"/>
  <c r="BP118" i="49"/>
  <c r="AJ118" i="49"/>
  <c r="AF118" i="49"/>
  <c r="BG118" i="49"/>
  <c r="BK118" i="49"/>
  <c r="BQ118" i="49"/>
  <c r="BL66" i="49"/>
  <c r="BV66" i="49"/>
  <c r="BS66" i="49"/>
  <c r="BK40" i="49"/>
  <c r="BL40" i="49"/>
  <c r="BU40" i="49"/>
  <c r="BQ40" i="49"/>
  <c r="BR40" i="49"/>
  <c r="BB40" i="49"/>
  <c r="BM40" i="49"/>
  <c r="BT21" i="49"/>
  <c r="BF21" i="49"/>
  <c r="AJ21" i="49"/>
  <c r="AF21" i="49"/>
  <c r="BU21" i="49"/>
  <c r="BE21" i="49"/>
  <c r="BF8" i="49"/>
  <c r="BS8" i="49"/>
  <c r="AC8" i="49"/>
  <c r="BO8" i="49"/>
  <c r="BP8" i="49"/>
  <c r="ET319" i="24"/>
  <c r="AQ282" i="24"/>
  <c r="BQ282" i="24"/>
  <c r="BO282" i="24"/>
  <c r="BL282" i="24"/>
  <c r="AQ271" i="24"/>
  <c r="BQ271" i="24"/>
  <c r="AG271" i="24"/>
  <c r="BP271" i="24"/>
  <c r="AQ240" i="24"/>
  <c r="AG240" i="24"/>
  <c r="AC240" i="24"/>
  <c r="AQ230" i="24"/>
  <c r="AG230" i="24"/>
  <c r="BX230" i="24"/>
  <c r="BR230" i="24"/>
  <c r="BI230" i="24"/>
  <c r="AQ207" i="24"/>
  <c r="BQ207" i="24"/>
  <c r="BT207" i="24"/>
  <c r="BN207" i="24"/>
  <c r="AQ194" i="24"/>
  <c r="AQ186" i="24"/>
  <c r="BQ186" i="24"/>
  <c r="BT186" i="24"/>
  <c r="AQ182" i="24"/>
  <c r="BR182" i="24"/>
  <c r="CI182" i="24"/>
  <c r="BU170" i="24"/>
  <c r="AJ170" i="24"/>
  <c r="BN170" i="24"/>
  <c r="AC170" i="24"/>
  <c r="BR170" i="24"/>
  <c r="CL170" i="24"/>
  <c r="BK170" i="24"/>
  <c r="BT156" i="24"/>
  <c r="BN156" i="24"/>
  <c r="BS153" i="24"/>
  <c r="EX151" i="24"/>
  <c r="AQ74" i="24"/>
  <c r="BQ74" i="24"/>
  <c r="BT74" i="24"/>
  <c r="BI74" i="24"/>
  <c r="AC33" i="24"/>
  <c r="BR33" i="24"/>
  <c r="BE31" i="24"/>
  <c r="BP31" i="24"/>
  <c r="BI31" i="24"/>
  <c r="BR31" i="24"/>
  <c r="AJ31" i="24"/>
  <c r="BW31" i="24"/>
  <c r="BL31" i="24"/>
  <c r="CK31" i="24"/>
  <c r="BN31" i="24"/>
  <c r="EW31" i="24"/>
  <c r="BS22" i="24"/>
  <c r="BE22" i="24"/>
  <c r="AJ22" i="24"/>
  <c r="BM22" i="24"/>
  <c r="EX324" i="49"/>
  <c r="EX325" i="49"/>
  <c r="BT317" i="49"/>
  <c r="BU317" i="49"/>
  <c r="BM317" i="49"/>
  <c r="AQ316" i="49"/>
  <c r="AG279" i="49"/>
  <c r="BH279" i="49"/>
  <c r="BN279" i="49"/>
  <c r="BT257" i="49"/>
  <c r="BR240" i="49"/>
  <c r="BP213" i="49"/>
  <c r="AJ213" i="49"/>
  <c r="BJ213" i="49"/>
  <c r="BE213" i="49"/>
  <c r="BS213" i="49"/>
  <c r="BF162" i="49"/>
  <c r="BR162" i="49"/>
  <c r="BM162" i="49"/>
  <c r="AQ153" i="49"/>
  <c r="AG153" i="49"/>
  <c r="AQ145" i="49"/>
  <c r="AG145" i="49"/>
  <c r="BH145" i="49"/>
  <c r="BR145" i="49"/>
  <c r="BB145" i="49"/>
  <c r="AJ145" i="49"/>
  <c r="AF145" i="49"/>
  <c r="BE145" i="49"/>
  <c r="BS145" i="49"/>
  <c r="BM142" i="49"/>
  <c r="BU120" i="49"/>
  <c r="BS120" i="49"/>
  <c r="BT120" i="49"/>
  <c r="AJ120" i="49"/>
  <c r="BJ120" i="49"/>
  <c r="AQ120" i="49"/>
  <c r="BO120" i="49"/>
  <c r="BP120" i="49"/>
  <c r="BO118" i="49"/>
  <c r="AQ104" i="49"/>
  <c r="AG104" i="49"/>
  <c r="BT40" i="49"/>
  <c r="AQ37" i="49"/>
  <c r="BU37" i="49"/>
  <c r="BK33" i="49"/>
  <c r="BE33" i="49"/>
  <c r="BU23" i="49"/>
  <c r="BP253" i="24"/>
  <c r="BX253" i="24"/>
  <c r="AQ225" i="24"/>
  <c r="BS199" i="24"/>
  <c r="AQ164" i="24"/>
  <c r="BQ164" i="24"/>
  <c r="BV129" i="24"/>
  <c r="BW99" i="24"/>
  <c r="AC88" i="24"/>
  <c r="CL65" i="24"/>
  <c r="BX65" i="24"/>
  <c r="BI37" i="24"/>
  <c r="BP36" i="24"/>
  <c r="AJ27" i="24"/>
  <c r="AF27" i="24"/>
  <c r="BJ27" i="24"/>
  <c r="BS23" i="24"/>
  <c r="BB305" i="49"/>
  <c r="AC301" i="49"/>
  <c r="AC246" i="49"/>
  <c r="BF231" i="49"/>
  <c r="BO212" i="49"/>
  <c r="BS195" i="49"/>
  <c r="BF174" i="49"/>
  <c r="BT169" i="49"/>
  <c r="BP168" i="49"/>
  <c r="BQ152" i="49"/>
  <c r="BF128" i="49"/>
  <c r="BB124" i="49"/>
  <c r="BH122" i="49"/>
  <c r="BE114" i="49"/>
  <c r="BM97" i="49"/>
  <c r="BF97" i="49"/>
  <c r="BP72" i="49"/>
  <c r="BM64" i="49"/>
  <c r="AC51" i="49"/>
  <c r="BB42" i="49"/>
  <c r="BU36" i="49"/>
  <c r="BL32" i="49"/>
  <c r="BI14" i="49"/>
  <c r="BM11" i="49"/>
  <c r="EW269" i="24"/>
  <c r="BV253" i="24"/>
  <c r="BO199" i="24"/>
  <c r="BP111" i="24"/>
  <c r="BL12" i="24"/>
  <c r="BR128" i="49"/>
  <c r="BM126" i="49"/>
  <c r="BM124" i="49"/>
  <c r="AF22" i="24"/>
  <c r="BJ22" i="24"/>
  <c r="AG282" i="24"/>
  <c r="AG53" i="24"/>
  <c r="BK53" i="24"/>
  <c r="AG119" i="24"/>
  <c r="AY119" i="24"/>
  <c r="BD119" i="24"/>
  <c r="BJ12" i="24"/>
  <c r="AG168" i="24"/>
  <c r="BK168" i="24"/>
  <c r="BH210" i="49"/>
  <c r="BV210" i="49"/>
  <c r="AG207" i="24"/>
  <c r="BK207" i="24"/>
  <c r="AG198" i="49"/>
  <c r="BH198" i="49"/>
  <c r="BJ240" i="49"/>
  <c r="AF240" i="49"/>
  <c r="BQ16" i="24"/>
  <c r="BQ195" i="24"/>
  <c r="BG187" i="49"/>
  <c r="BM27" i="24"/>
  <c r="AG164" i="24"/>
  <c r="BK164" i="24"/>
  <c r="BN316" i="49"/>
  <c r="AG316" i="49"/>
  <c r="BH316" i="49"/>
  <c r="BQ194" i="24"/>
  <c r="AG194" i="24"/>
  <c r="BK194" i="24"/>
  <c r="BJ21" i="49"/>
  <c r="BJ118" i="49"/>
  <c r="BQ22" i="24"/>
  <c r="AG22" i="24"/>
  <c r="BK22" i="24"/>
  <c r="BQ121" i="24"/>
  <c r="AG121" i="24"/>
  <c r="BK121" i="24"/>
  <c r="BN153" i="49"/>
  <c r="BM53" i="24"/>
  <c r="AF53" i="24"/>
  <c r="BH154" i="49"/>
  <c r="AF170" i="24"/>
  <c r="BM170" i="24"/>
  <c r="AG182" i="24"/>
  <c r="BK182" i="24"/>
  <c r="BQ182" i="24"/>
  <c r="BQ240" i="24"/>
  <c r="BJ205" i="49"/>
  <c r="BQ153" i="24"/>
  <c r="BM194" i="24"/>
  <c r="BN228" i="49"/>
  <c r="AF19" i="24"/>
  <c r="BJ19" i="24"/>
  <c r="BJ142" i="24"/>
  <c r="BJ253" i="24"/>
  <c r="AG220" i="49"/>
  <c r="BH220" i="49"/>
  <c r="BN220" i="49"/>
  <c r="AY274" i="49"/>
  <c r="BA274" i="49"/>
  <c r="BH274" i="49"/>
  <c r="BV274" i="49"/>
  <c r="BK181" i="24"/>
  <c r="BQ145" i="24"/>
  <c r="BJ313" i="49"/>
  <c r="BN30" i="49"/>
  <c r="AF167" i="49"/>
  <c r="BN121" i="49"/>
  <c r="BN89" i="49"/>
  <c r="BN55" i="49"/>
  <c r="AF74" i="49"/>
  <c r="AY74" i="49"/>
  <c r="BA74" i="49"/>
  <c r="BJ15" i="49"/>
  <c r="BN170" i="49"/>
  <c r="AG75" i="24"/>
  <c r="BQ75" i="24"/>
  <c r="AG269" i="49"/>
  <c r="BH269" i="49"/>
  <c r="BN269" i="49"/>
  <c r="BM10" i="24"/>
  <c r="AF10" i="24"/>
  <c r="BJ10" i="24"/>
  <c r="AY291" i="24"/>
  <c r="BD291" i="24"/>
  <c r="BK291" i="24"/>
  <c r="AY234" i="24"/>
  <c r="BD234" i="24"/>
  <c r="BG138" i="49"/>
  <c r="AY34" i="24"/>
  <c r="BD34" i="24"/>
  <c r="BQ71" i="24"/>
  <c r="BN197" i="49"/>
  <c r="AG216" i="24"/>
  <c r="BK216" i="24"/>
  <c r="AG263" i="49"/>
  <c r="BJ68" i="49"/>
  <c r="BN74" i="49"/>
  <c r="AG199" i="49"/>
  <c r="BK83" i="24"/>
  <c r="BY83" i="24"/>
  <c r="AG252" i="24"/>
  <c r="BK252" i="24"/>
  <c r="BV81" i="49"/>
  <c r="AG90" i="49"/>
  <c r="BH90" i="49"/>
  <c r="BN90" i="49"/>
  <c r="AF198" i="24"/>
  <c r="BM198" i="24"/>
  <c r="AG210" i="24"/>
  <c r="BQ210" i="24"/>
  <c r="AY87" i="49"/>
  <c r="BA87" i="49"/>
  <c r="BG87" i="49"/>
  <c r="AY33" i="24"/>
  <c r="BD33" i="24"/>
  <c r="BJ33" i="24"/>
  <c r="AG173" i="49"/>
  <c r="BH173" i="49"/>
  <c r="BN173" i="49"/>
  <c r="BG296" i="49"/>
  <c r="AY28" i="49"/>
  <c r="BA28" i="49"/>
  <c r="BH28" i="49"/>
  <c r="BV28" i="49"/>
  <c r="AY203" i="49"/>
  <c r="BA203" i="49"/>
  <c r="BH203" i="49"/>
  <c r="BG44" i="49"/>
  <c r="BN85" i="49"/>
  <c r="AG85" i="49"/>
  <c r="BH85" i="49"/>
  <c r="BJ85" i="49"/>
  <c r="AF85" i="49"/>
  <c r="BG85" i="49"/>
  <c r="AF114" i="24"/>
  <c r="BM114" i="24"/>
  <c r="BN283" i="49"/>
  <c r="AG283" i="49"/>
  <c r="AY303" i="24"/>
  <c r="BD303" i="24"/>
  <c r="BK303" i="24"/>
  <c r="BY303" i="24"/>
  <c r="AY208" i="49"/>
  <c r="BA208" i="49"/>
  <c r="BH208" i="49"/>
  <c r="BH56" i="49"/>
  <c r="BJ183" i="24"/>
  <c r="AY310" i="49"/>
  <c r="BA310" i="49"/>
  <c r="BG297" i="49"/>
  <c r="BJ283" i="24"/>
  <c r="BM96" i="24"/>
  <c r="AF91" i="49"/>
  <c r="BJ101" i="24"/>
  <c r="AF150" i="49"/>
  <c r="BG150" i="49"/>
  <c r="BQ21" i="24"/>
  <c r="AG21" i="24"/>
  <c r="AY21" i="24"/>
  <c r="BD21" i="24"/>
  <c r="BO13" i="49"/>
  <c r="BO50" i="49"/>
  <c r="BS69" i="49"/>
  <c r="BO114" i="49"/>
  <c r="BK171" i="49"/>
  <c r="BO174" i="49"/>
  <c r="BS226" i="49"/>
  <c r="BO240" i="49"/>
  <c r="BO253" i="49"/>
  <c r="BO257" i="49"/>
  <c r="BK295" i="49"/>
  <c r="BS313" i="49"/>
  <c r="BB13" i="49"/>
  <c r="BL21" i="49"/>
  <c r="BE26" i="49"/>
  <c r="BU26" i="49"/>
  <c r="BL37" i="49"/>
  <c r="BL50" i="49"/>
  <c r="BB69" i="49"/>
  <c r="BL77" i="49"/>
  <c r="BL114" i="49"/>
  <c r="BT167" i="49"/>
  <c r="BB171" i="49"/>
  <c r="BB174" i="49"/>
  <c r="BB240" i="49"/>
  <c r="BB253" i="49"/>
  <c r="BP257" i="49"/>
  <c r="BK276" i="49"/>
  <c r="BR293" i="49"/>
  <c r="BT295" i="49"/>
  <c r="BP313" i="49"/>
  <c r="BX26" i="24"/>
  <c r="BU36" i="24"/>
  <c r="BT40" i="24"/>
  <c r="BN44" i="24"/>
  <c r="BP46" i="24"/>
  <c r="BN47" i="24"/>
  <c r="EW47" i="24"/>
  <c r="EW60" i="24"/>
  <c r="BX66" i="24"/>
  <c r="BE77" i="24"/>
  <c r="EW77" i="24"/>
  <c r="P318" i="49"/>
  <c r="AJ30" i="49"/>
  <c r="BJ30" i="49"/>
  <c r="BT101" i="49"/>
  <c r="BS101" i="49"/>
  <c r="BF101" i="49"/>
  <c r="BM145" i="49"/>
  <c r="BE308" i="49"/>
  <c r="BF316" i="49"/>
  <c r="AJ316" i="49"/>
  <c r="BI80" i="24"/>
  <c r="BH80" i="24"/>
  <c r="CK91" i="24"/>
  <c r="BS152" i="24"/>
  <c r="BR159" i="24"/>
  <c r="BI171" i="24"/>
  <c r="EW188" i="24"/>
  <c r="CL218" i="24"/>
  <c r="BT218" i="24"/>
  <c r="AC218" i="24"/>
  <c r="BH241" i="24"/>
  <c r="BY241" i="24"/>
  <c r="BV250" i="24"/>
  <c r="BI272" i="24"/>
  <c r="BV274" i="24"/>
  <c r="BV295" i="24"/>
  <c r="BT34" i="49"/>
  <c r="BS34" i="49"/>
  <c r="BF34" i="49"/>
  <c r="BP145" i="49"/>
  <c r="BF145" i="49"/>
  <c r="BL282" i="49"/>
  <c r="BK282" i="49"/>
  <c r="AC70" i="24"/>
  <c r="BP76" i="24"/>
  <c r="BI106" i="24"/>
  <c r="EW128" i="24"/>
  <c r="EX188" i="24"/>
  <c r="BU34" i="49"/>
  <c r="BP138" i="49"/>
  <c r="BO138" i="49"/>
  <c r="AC138" i="49"/>
  <c r="BS172" i="49"/>
  <c r="BN172" i="49"/>
  <c r="BM172" i="49"/>
  <c r="BT186" i="49"/>
  <c r="BS186" i="49"/>
  <c r="BF186" i="49"/>
  <c r="BU8" i="24"/>
  <c r="BS91" i="24"/>
  <c r="AQ125" i="24"/>
  <c r="BU152" i="24"/>
  <c r="BP162" i="24"/>
  <c r="AC162" i="24"/>
  <c r="BS171" i="24"/>
  <c r="CI177" i="24"/>
  <c r="BW188" i="24"/>
  <c r="BP226" i="24"/>
  <c r="CL238" i="24"/>
  <c r="AJ250" i="24"/>
  <c r="BM250" i="24"/>
  <c r="EW256" i="24"/>
  <c r="EX264" i="24"/>
  <c r="EX272" i="24"/>
  <c r="BN274" i="24"/>
  <c r="CL295" i="24"/>
  <c r="BT269" i="24"/>
  <c r="BP30" i="49"/>
  <c r="BO30" i="49"/>
  <c r="BI34" i="49"/>
  <c r="BF40" i="49"/>
  <c r="BT90" i="49"/>
  <c r="BF90" i="49"/>
  <c r="BI145" i="49"/>
  <c r="BU125" i="24"/>
  <c r="BL159" i="24"/>
  <c r="CL176" i="24"/>
  <c r="CI188" i="24"/>
  <c r="BL238" i="24"/>
  <c r="EW274" i="24"/>
  <c r="BE274" i="24"/>
  <c r="BT295" i="24"/>
  <c r="CL316" i="24"/>
  <c r="BH316" i="24"/>
  <c r="BR274" i="24"/>
  <c r="BE269" i="24"/>
  <c r="EX250" i="24"/>
  <c r="AQ236" i="24"/>
  <c r="BQ236" i="24"/>
  <c r="AC217" i="24"/>
  <c r="BH214" i="24"/>
  <c r="EW212" i="24"/>
  <c r="BI199" i="24"/>
  <c r="BO184" i="24"/>
  <c r="AQ177" i="24"/>
  <c r="BT152" i="24"/>
  <c r="AQ152" i="24"/>
  <c r="BQ152" i="24"/>
  <c r="AQ138" i="24"/>
  <c r="BQ138" i="24"/>
  <c r="AQ132" i="24"/>
  <c r="CK111" i="24"/>
  <c r="BW111" i="24"/>
  <c r="AQ91" i="24"/>
  <c r="AJ88" i="24"/>
  <c r="AF88" i="24"/>
  <c r="BJ88" i="24"/>
  <c r="AQ70" i="24"/>
  <c r="AG70" i="24"/>
  <c r="AQ69" i="24"/>
  <c r="AG69" i="24"/>
  <c r="AQ66" i="24"/>
  <c r="BV43" i="24"/>
  <c r="BU38" i="24"/>
  <c r="AJ37" i="24"/>
  <c r="BV36" i="24"/>
  <c r="BV20" i="24"/>
  <c r="CK15" i="24"/>
  <c r="BT15" i="24"/>
  <c r="BE15" i="24"/>
  <c r="BQ15" i="24"/>
  <c r="AJ15" i="24"/>
  <c r="BO300" i="49"/>
  <c r="BF300" i="49"/>
  <c r="AQ293" i="49"/>
  <c r="BN293" i="49"/>
  <c r="BM289" i="49"/>
  <c r="BK289" i="49"/>
  <c r="BF285" i="49"/>
  <c r="AQ285" i="49"/>
  <c r="AG285" i="49"/>
  <c r="AQ253" i="49"/>
  <c r="BT226" i="49"/>
  <c r="BO182" i="49"/>
  <c r="BU182" i="49"/>
  <c r="AQ174" i="49"/>
  <c r="BB152" i="49"/>
  <c r="S142" i="49"/>
  <c r="BT138" i="49"/>
  <c r="AJ117" i="49"/>
  <c r="BJ117" i="49"/>
  <c r="BS117" i="49"/>
  <c r="AC117" i="49"/>
  <c r="BP117" i="49"/>
  <c r="BB116" i="49"/>
  <c r="BK116" i="49"/>
  <c r="BR116" i="49"/>
  <c r="BK37" i="49"/>
  <c r="BS50" i="49"/>
  <c r="BK77" i="49"/>
  <c r="BS114" i="49"/>
  <c r="BK167" i="49"/>
  <c r="BO171" i="49"/>
  <c r="BS174" i="49"/>
  <c r="BS240" i="49"/>
  <c r="BS253" i="49"/>
  <c r="BS257" i="49"/>
  <c r="BO295" i="49"/>
  <c r="BU44" i="24"/>
  <c r="BU47" i="24"/>
  <c r="CL60" i="24"/>
  <c r="BN77" i="24"/>
  <c r="BL13" i="49"/>
  <c r="BP21" i="49"/>
  <c r="BI26" i="49"/>
  <c r="BP37" i="49"/>
  <c r="BP50" i="49"/>
  <c r="BL69" i="49"/>
  <c r="BP77" i="49"/>
  <c r="BP114" i="49"/>
  <c r="BF148" i="49"/>
  <c r="BB167" i="49"/>
  <c r="BL171" i="49"/>
  <c r="BL174" i="49"/>
  <c r="BB226" i="49"/>
  <c r="BL240" i="49"/>
  <c r="BL253" i="49"/>
  <c r="BO276" i="49"/>
  <c r="BB295" i="49"/>
  <c r="BF297" i="49"/>
  <c r="BT313" i="49"/>
  <c r="BH40" i="24"/>
  <c r="BX40" i="24"/>
  <c r="BR44" i="24"/>
  <c r="BT46" i="24"/>
  <c r="BR47" i="24"/>
  <c r="CK66" i="24"/>
  <c r="BO77" i="24"/>
  <c r="BP138" i="24"/>
  <c r="BL187" i="24"/>
  <c r="BI220" i="24"/>
  <c r="BE30" i="49"/>
  <c r="AJ40" i="49"/>
  <c r="BP101" i="49"/>
  <c r="BO101" i="49"/>
  <c r="AC101" i="49"/>
  <c r="AQ138" i="49"/>
  <c r="BN138" i="49"/>
  <c r="AJ172" i="49"/>
  <c r="AJ268" i="49"/>
  <c r="AF268" i="49"/>
  <c r="BS316" i="49"/>
  <c r="BM316" i="49"/>
  <c r="AC316" i="49"/>
  <c r="BT80" i="24"/>
  <c r="AC80" i="24"/>
  <c r="BP91" i="24"/>
  <c r="CI125" i="24"/>
  <c r="BV152" i="24"/>
  <c r="BS191" i="24"/>
  <c r="BU218" i="24"/>
  <c r="BP218" i="24"/>
  <c r="BV264" i="24"/>
  <c r="AJ269" i="24"/>
  <c r="AC273" i="24"/>
  <c r="EX274" i="24"/>
  <c r="BP301" i="24"/>
  <c r="BP34" i="49"/>
  <c r="BO34" i="49"/>
  <c r="AC34" i="49"/>
  <c r="BL145" i="49"/>
  <c r="AC145" i="49"/>
  <c r="BT213" i="49"/>
  <c r="BB282" i="49"/>
  <c r="BR282" i="49"/>
  <c r="EW76" i="24"/>
  <c r="CL128" i="24"/>
  <c r="BT188" i="24"/>
  <c r="BL138" i="49"/>
  <c r="BK138" i="49"/>
  <c r="BO172" i="49"/>
  <c r="BF172" i="49"/>
  <c r="BI172" i="49"/>
  <c r="BP186" i="49"/>
  <c r="BO186" i="49"/>
  <c r="AC186" i="49"/>
  <c r="BE282" i="49"/>
  <c r="BM308" i="49"/>
  <c r="BX8" i="24"/>
  <c r="BH70" i="24"/>
  <c r="CJ162" i="24"/>
  <c r="BN177" i="24"/>
  <c r="BU191" i="24"/>
  <c r="BQ219" i="24"/>
  <c r="BW239" i="24"/>
  <c r="BH250" i="24"/>
  <c r="EX269" i="24"/>
  <c r="BS273" i="24"/>
  <c r="BT274" i="24"/>
  <c r="BX287" i="24"/>
  <c r="BP294" i="24"/>
  <c r="BP269" i="24"/>
  <c r="BL30" i="49"/>
  <c r="BK30" i="49"/>
  <c r="BP40" i="49"/>
  <c r="AC40" i="49"/>
  <c r="BP90" i="49"/>
  <c r="AC90" i="49"/>
  <c r="BI213" i="49"/>
  <c r="BL268" i="49"/>
  <c r="BL308" i="49"/>
  <c r="BP125" i="24"/>
  <c r="BL176" i="24"/>
  <c r="BQ239" i="24"/>
  <c r="BU250" i="24"/>
  <c r="EX256" i="24"/>
  <c r="BW274" i="24"/>
  <c r="BL294" i="24"/>
  <c r="BH295" i="24"/>
  <c r="EW272" i="24"/>
  <c r="BH274" i="24"/>
  <c r="CI269" i="24"/>
  <c r="BO269" i="24"/>
  <c r="BX250" i="24"/>
  <c r="AC237" i="24"/>
  <c r="BR220" i="24"/>
  <c r="CL214" i="24"/>
  <c r="BX188" i="24"/>
  <c r="BL188" i="24"/>
  <c r="BE141" i="24"/>
  <c r="BW141" i="24"/>
  <c r="BI140" i="24"/>
  <c r="AQ80" i="24"/>
  <c r="BQ80" i="24"/>
  <c r="BR40" i="24"/>
  <c r="BH36" i="24"/>
  <c r="BY36" i="24"/>
  <c r="BI20" i="24"/>
  <c r="BU18" i="24"/>
  <c r="BP15" i="24"/>
  <c r="AC15" i="24"/>
  <c r="BK315" i="49"/>
  <c r="BR304" i="49"/>
  <c r="BB300" i="49"/>
  <c r="AQ297" i="49"/>
  <c r="AG297" i="49"/>
  <c r="AJ293" i="49"/>
  <c r="BT206" i="49"/>
  <c r="AQ186" i="49"/>
  <c r="AG186" i="49"/>
  <c r="BH186" i="49"/>
  <c r="BM174" i="49"/>
  <c r="AQ167" i="49"/>
  <c r="AG167" i="49"/>
  <c r="AJ151" i="49"/>
  <c r="BJ151" i="49"/>
  <c r="BK151" i="49"/>
  <c r="AQ150" i="49"/>
  <c r="AQ148" i="49"/>
  <c r="AQ135" i="49"/>
  <c r="AG135" i="49"/>
  <c r="AQ61" i="49"/>
  <c r="BE51" i="49"/>
  <c r="BO37" i="49"/>
  <c r="BK69" i="49"/>
  <c r="BO77" i="49"/>
  <c r="BO167" i="49"/>
  <c r="BS171" i="49"/>
  <c r="BR276" i="49"/>
  <c r="BS295" i="49"/>
  <c r="BK313" i="49"/>
  <c r="CL44" i="24"/>
  <c r="BR77" i="24"/>
  <c r="BM26" i="49"/>
  <c r="BP69" i="49"/>
  <c r="BT114" i="49"/>
  <c r="BR148" i="49"/>
  <c r="BR152" i="49"/>
  <c r="BL167" i="49"/>
  <c r="BP171" i="49"/>
  <c r="BP174" i="49"/>
  <c r="BL226" i="49"/>
  <c r="BF237" i="49"/>
  <c r="BP253" i="49"/>
  <c r="BB257" i="49"/>
  <c r="BS276" i="49"/>
  <c r="BR297" i="49"/>
  <c r="BB313" i="49"/>
  <c r="BF315" i="49"/>
  <c r="BH26" i="24"/>
  <c r="BL40" i="24"/>
  <c r="CK40" i="24"/>
  <c r="BV44" i="24"/>
  <c r="BH46" i="24"/>
  <c r="BX46" i="24"/>
  <c r="BN60" i="24"/>
  <c r="BH66" i="24"/>
  <c r="BT138" i="24"/>
  <c r="BT187" i="24"/>
  <c r="BU30" i="49"/>
  <c r="BE40" i="49"/>
  <c r="AJ90" i="49"/>
  <c r="BJ90" i="49"/>
  <c r="BL101" i="49"/>
  <c r="BK101" i="49"/>
  <c r="BI138" i="49"/>
  <c r="BL172" i="49"/>
  <c r="BM282" i="49"/>
  <c r="BO316" i="49"/>
  <c r="BP80" i="24"/>
  <c r="CL91" i="24"/>
  <c r="BL91" i="24"/>
  <c r="BN152" i="24"/>
  <c r="EW176" i="24"/>
  <c r="AJ188" i="24"/>
  <c r="BI218" i="24"/>
  <c r="BL218" i="24"/>
  <c r="BO239" i="24"/>
  <c r="BY239" i="24"/>
  <c r="BS269" i="24"/>
  <c r="AC274" i="24"/>
  <c r="BH294" i="24"/>
  <c r="BL34" i="49"/>
  <c r="BT282" i="49"/>
  <c r="BS282" i="49"/>
  <c r="BF282" i="49"/>
  <c r="BE70" i="24"/>
  <c r="BU188" i="24"/>
  <c r="BP188" i="24"/>
  <c r="BM30" i="49"/>
  <c r="BB138" i="49"/>
  <c r="BK172" i="49"/>
  <c r="BU172" i="49"/>
  <c r="BE172" i="49"/>
  <c r="BL186" i="49"/>
  <c r="BK186" i="49"/>
  <c r="BH8" i="24"/>
  <c r="BX70" i="24"/>
  <c r="BR132" i="24"/>
  <c r="BI177" i="24"/>
  <c r="BH203" i="24"/>
  <c r="BS218" i="24"/>
  <c r="EW250" i="24"/>
  <c r="AJ274" i="24"/>
  <c r="BM274" i="24"/>
  <c r="BP287" i="24"/>
  <c r="AJ295" i="24"/>
  <c r="AF295" i="24"/>
  <c r="BJ295" i="24"/>
  <c r="AC269" i="24"/>
  <c r="BB30" i="49"/>
  <c r="BS90" i="49"/>
  <c r="BR269" i="24"/>
  <c r="BS274" i="24"/>
  <c r="BW294" i="24"/>
  <c r="AC295" i="24"/>
  <c r="BS272" i="24"/>
  <c r="BW295" i="24"/>
  <c r="BO294" i="24"/>
  <c r="BE111" i="24"/>
  <c r="EW20" i="24"/>
  <c r="BV15" i="24"/>
  <c r="BN15" i="24"/>
  <c r="BS315" i="49"/>
  <c r="AC304" i="49"/>
  <c r="AC300" i="49"/>
  <c r="BE293" i="49"/>
  <c r="AC286" i="49"/>
  <c r="BP286" i="49"/>
  <c r="BQ260" i="49"/>
  <c r="AJ260" i="49"/>
  <c r="AF260" i="49"/>
  <c r="BG260" i="49"/>
  <c r="BM253" i="49"/>
  <c r="AJ218" i="49"/>
  <c r="AF218" i="49"/>
  <c r="BP218" i="49"/>
  <c r="AC174" i="49"/>
  <c r="AQ149" i="49"/>
  <c r="AG149" i="49"/>
  <c r="BL148" i="49"/>
  <c r="AQ140" i="49"/>
  <c r="BN140" i="49"/>
  <c r="BQ137" i="49"/>
  <c r="AJ137" i="49"/>
  <c r="BL137" i="49"/>
  <c r="BB132" i="49"/>
  <c r="BE132" i="49"/>
  <c r="BQ132" i="49"/>
  <c r="BI117" i="49"/>
  <c r="AQ116" i="49"/>
  <c r="AG116" i="49"/>
  <c r="BT56" i="49"/>
  <c r="AQ50" i="49"/>
  <c r="AQ48" i="49"/>
  <c r="BN48" i="49"/>
  <c r="BQ45" i="49"/>
  <c r="AJ45" i="49"/>
  <c r="AF45" i="49"/>
  <c r="BG45" i="49"/>
  <c r="BT41" i="49"/>
  <c r="AQ34" i="49"/>
  <c r="AQ21" i="49"/>
  <c r="BF16" i="49"/>
  <c r="AJ152" i="49"/>
  <c r="BJ152" i="49"/>
  <c r="BL152" i="49"/>
  <c r="BR136" i="49"/>
  <c r="BE113" i="49"/>
  <c r="BO108" i="49"/>
  <c r="BE31" i="49"/>
  <c r="BH199" i="49"/>
  <c r="BK75" i="24"/>
  <c r="BJ268" i="49"/>
  <c r="AF90" i="49"/>
  <c r="BG90" i="49"/>
  <c r="AF151" i="49"/>
  <c r="AF316" i="49"/>
  <c r="BJ316" i="49"/>
  <c r="AF30" i="49"/>
  <c r="BG30" i="49"/>
  <c r="BK21" i="24"/>
  <c r="AY210" i="24"/>
  <c r="BD210" i="24"/>
  <c r="BK210" i="24"/>
  <c r="AG293" i="49"/>
  <c r="BN21" i="49"/>
  <c r="AG21" i="49"/>
  <c r="BH21" i="49"/>
  <c r="AF293" i="49"/>
  <c r="BG293" i="49"/>
  <c r="BJ293" i="49"/>
  <c r="AG138" i="49"/>
  <c r="BJ114" i="24"/>
  <c r="BY114" i="24"/>
  <c r="AY114" i="24"/>
  <c r="BD114" i="24"/>
  <c r="BG74" i="49"/>
  <c r="BV74" i="49"/>
  <c r="BM15" i="24"/>
  <c r="AF15" i="24"/>
  <c r="AF250" i="24"/>
  <c r="AY250" i="24"/>
  <c r="BD250" i="24"/>
  <c r="AF117" i="49"/>
  <c r="BG117" i="49"/>
  <c r="BQ69" i="24"/>
  <c r="BJ198" i="24"/>
  <c r="AY198" i="24"/>
  <c r="BD198" i="24"/>
  <c r="BH263" i="49"/>
  <c r="BN31" i="49"/>
  <c r="AG31" i="49"/>
  <c r="BJ251" i="24"/>
  <c r="BQ255" i="24"/>
  <c r="AG255" i="24"/>
  <c r="BK255" i="24"/>
  <c r="AY58" i="49"/>
  <c r="BA58" i="49"/>
  <c r="BG23" i="49"/>
  <c r="BJ293" i="24"/>
  <c r="BG250" i="49"/>
  <c r="BK244" i="24"/>
  <c r="BG231" i="49"/>
  <c r="AF98" i="24"/>
  <c r="AY98" i="24"/>
  <c r="BD98" i="24"/>
  <c r="BM98" i="24"/>
  <c r="AF286" i="49"/>
  <c r="BG286" i="49"/>
  <c r="BJ286" i="49"/>
  <c r="BM205" i="24"/>
  <c r="AF205" i="24"/>
  <c r="AY205" i="24"/>
  <c r="BD205" i="24"/>
  <c r="BH124" i="49"/>
  <c r="AY124" i="49"/>
  <c r="BA124" i="49"/>
  <c r="BG248" i="49"/>
  <c r="BY247" i="24"/>
  <c r="AY77" i="49"/>
  <c r="BA77" i="49"/>
  <c r="AY83" i="49"/>
  <c r="BA83" i="49"/>
  <c r="BJ102" i="24"/>
  <c r="BN58" i="49"/>
  <c r="BM213" i="24"/>
  <c r="BM167" i="24"/>
  <c r="BN53" i="49"/>
  <c r="BQ102" i="24"/>
  <c r="AG248" i="49"/>
  <c r="AY248" i="49"/>
  <c r="BA248" i="49"/>
  <c r="AF7" i="49"/>
  <c r="BG7" i="49"/>
  <c r="AY212" i="49"/>
  <c r="BA212" i="49"/>
  <c r="BG65" i="49"/>
  <c r="BJ148" i="24"/>
  <c r="AY304" i="24"/>
  <c r="BD304" i="24"/>
  <c r="AG160" i="24"/>
  <c r="BK160" i="24"/>
  <c r="BJ154" i="49"/>
  <c r="BM286" i="24"/>
  <c r="AG289" i="24"/>
  <c r="BJ238" i="49"/>
  <c r="BJ163" i="49"/>
  <c r="BM298" i="24"/>
  <c r="BN160" i="49"/>
  <c r="BN7" i="49"/>
  <c r="BN88" i="49"/>
  <c r="BN211" i="49"/>
  <c r="BK134" i="24"/>
  <c r="BJ8" i="24"/>
  <c r="AG274" i="24"/>
  <c r="BQ274" i="24"/>
  <c r="AG238" i="24"/>
  <c r="BQ238" i="24"/>
  <c r="BM215" i="24"/>
  <c r="AF215" i="24"/>
  <c r="BJ215" i="24"/>
  <c r="AF257" i="49"/>
  <c r="AY257" i="49"/>
  <c r="BA257" i="49"/>
  <c r="BJ257" i="49"/>
  <c r="AY45" i="24"/>
  <c r="BD45" i="24"/>
  <c r="BQ149" i="24"/>
  <c r="AG149" i="24"/>
  <c r="BK149" i="24"/>
  <c r="AF75" i="24"/>
  <c r="AY75" i="24"/>
  <c r="BD75" i="24"/>
  <c r="BM75" i="24"/>
  <c r="AG72" i="49"/>
  <c r="AY72" i="49"/>
  <c r="BA72" i="49"/>
  <c r="BN72" i="49"/>
  <c r="BQ111" i="24"/>
  <c r="AG111" i="24"/>
  <c r="AY111" i="24"/>
  <c r="BD111" i="24"/>
  <c r="AG101" i="24"/>
  <c r="BK101" i="24"/>
  <c r="BY101" i="24"/>
  <c r="BQ101" i="24"/>
  <c r="AG54" i="24"/>
  <c r="BQ54" i="24"/>
  <c r="AG26" i="24"/>
  <c r="BK26" i="24"/>
  <c r="BQ26" i="24"/>
  <c r="BN187" i="49"/>
  <c r="AG187" i="49"/>
  <c r="AY187" i="49"/>
  <c r="BA187" i="49"/>
  <c r="BM273" i="24"/>
  <c r="AF273" i="24"/>
  <c r="AY273" i="24"/>
  <c r="BD273" i="24"/>
  <c r="BQ79" i="24"/>
  <c r="AG79" i="24"/>
  <c r="AY79" i="24"/>
  <c r="BD79" i="24"/>
  <c r="BQ17" i="24"/>
  <c r="AG17" i="24"/>
  <c r="BK17" i="24"/>
  <c r="BN312" i="49"/>
  <c r="AG312" i="49"/>
  <c r="AY312" i="49"/>
  <c r="BA312" i="49"/>
  <c r="AF279" i="49"/>
  <c r="AY279" i="49"/>
  <c r="BA279" i="49"/>
  <c r="BH304" i="24"/>
  <c r="BY304" i="24"/>
  <c r="BS267" i="24"/>
  <c r="EX267" i="24"/>
  <c r="BW262" i="24"/>
  <c r="BE237" i="24"/>
  <c r="BU234" i="24"/>
  <c r="AC233" i="24"/>
  <c r="BQ115" i="24"/>
  <c r="BJ190" i="49"/>
  <c r="AQ171" i="24"/>
  <c r="AG171" i="24"/>
  <c r="BR140" i="24"/>
  <c r="BT139" i="24"/>
  <c r="AC139" i="24"/>
  <c r="AQ128" i="24"/>
  <c r="BQ128" i="24"/>
  <c r="AQ113" i="24"/>
  <c r="AQ109" i="24"/>
  <c r="AG109" i="24"/>
  <c r="BL88" i="24"/>
  <c r="AQ88" i="24"/>
  <c r="AG88" i="24"/>
  <c r="BN68" i="24"/>
  <c r="AQ68" i="24"/>
  <c r="AG68" i="24"/>
  <c r="BK68" i="24"/>
  <c r="AQ63" i="24"/>
  <c r="BQ63" i="24"/>
  <c r="CL40" i="24"/>
  <c r="EX37" i="24"/>
  <c r="BT37" i="24"/>
  <c r="AQ37" i="24"/>
  <c r="AQ23" i="24"/>
  <c r="BQ23" i="24"/>
  <c r="EW18" i="24"/>
  <c r="AQ18" i="24"/>
  <c r="BQ18" i="24"/>
  <c r="AQ14" i="24"/>
  <c r="BQ14" i="24"/>
  <c r="AQ9" i="24"/>
  <c r="AQ7" i="24"/>
  <c r="BQ7" i="24"/>
  <c r="AQ315" i="49"/>
  <c r="AQ306" i="49"/>
  <c r="BN306" i="49"/>
  <c r="AQ278" i="49"/>
  <c r="AG278" i="49"/>
  <c r="AQ273" i="49"/>
  <c r="BU267" i="49"/>
  <c r="BI250" i="49"/>
  <c r="AQ250" i="49"/>
  <c r="AJ247" i="49"/>
  <c r="AF247" i="49"/>
  <c r="AY247" i="49"/>
  <c r="BA247" i="49"/>
  <c r="AQ238" i="49"/>
  <c r="BN238" i="49"/>
  <c r="AQ234" i="49"/>
  <c r="BB195" i="49"/>
  <c r="AQ195" i="49"/>
  <c r="BN195" i="49"/>
  <c r="AQ181" i="49"/>
  <c r="AG181" i="49"/>
  <c r="BI158" i="49"/>
  <c r="AJ158" i="49"/>
  <c r="AF158" i="49"/>
  <c r="BL157" i="49"/>
  <c r="AC128" i="49"/>
  <c r="AQ118" i="49"/>
  <c r="AQ117" i="49"/>
  <c r="BN117" i="49"/>
  <c r="AQ100" i="49"/>
  <c r="AG100" i="49"/>
  <c r="AY100" i="49"/>
  <c r="BA100" i="49"/>
  <c r="AQ75" i="49"/>
  <c r="AG75" i="49"/>
  <c r="AQ64" i="49"/>
  <c r="AG64" i="49"/>
  <c r="AQ57" i="49"/>
  <c r="AG57" i="49"/>
  <c r="AQ51" i="49"/>
  <c r="AQ29" i="49"/>
  <c r="AQ24" i="49"/>
  <c r="BN24" i="49"/>
  <c r="BH281" i="24"/>
  <c r="BV263" i="24"/>
  <c r="BU253" i="24"/>
  <c r="AC253" i="24"/>
  <c r="BW248" i="24"/>
  <c r="EW184" i="24"/>
  <c r="BW164" i="24"/>
  <c r="BW162" i="24"/>
  <c r="AQ141" i="24"/>
  <c r="AG141" i="24"/>
  <c r="CI140" i="24"/>
  <c r="BO140" i="24"/>
  <c r="BW140" i="24"/>
  <c r="AJ140" i="24"/>
  <c r="AF140" i="24"/>
  <c r="BP139" i="24"/>
  <c r="BX139" i="24"/>
  <c r="BX117" i="24"/>
  <c r="BX68" i="24"/>
  <c r="BV49" i="24"/>
  <c r="BE37" i="24"/>
  <c r="EX17" i="24"/>
  <c r="DC319" i="49"/>
  <c r="BT304" i="49"/>
  <c r="BQ304" i="49"/>
  <c r="BU282" i="49"/>
  <c r="AJ267" i="49"/>
  <c r="BF247" i="49"/>
  <c r="BS235" i="49"/>
  <c r="BU158" i="49"/>
  <c r="BK135" i="49"/>
  <c r="BO116" i="49"/>
  <c r="BI22" i="49"/>
  <c r="BQ21" i="49"/>
  <c r="CL253" i="24"/>
  <c r="BR253" i="24"/>
  <c r="EX240" i="24"/>
  <c r="BX233" i="24"/>
  <c r="BY233" i="24"/>
  <c r="EX140" i="24"/>
  <c r="BU140" i="24"/>
  <c r="BL140" i="24"/>
  <c r="BO139" i="24"/>
  <c r="BW9" i="24"/>
  <c r="BO267" i="49"/>
  <c r="BU235" i="49"/>
  <c r="BU119" i="49"/>
  <c r="BT100" i="49"/>
  <c r="BI88" i="49"/>
  <c r="BQ77" i="49"/>
  <c r="BT51" i="49"/>
  <c r="BT22" i="49"/>
  <c r="CE322" i="49"/>
  <c r="CE324" i="49"/>
  <c r="EQ326" i="49"/>
  <c r="EQ327" i="49"/>
  <c r="AG24" i="49"/>
  <c r="BH24" i="49"/>
  <c r="BK238" i="24"/>
  <c r="BQ171" i="24"/>
  <c r="DV326" i="49"/>
  <c r="DV327" i="49"/>
  <c r="DV322" i="49"/>
  <c r="DV324" i="49"/>
  <c r="BN75" i="49"/>
  <c r="AG14" i="24"/>
  <c r="AG63" i="24"/>
  <c r="BK63" i="24"/>
  <c r="ED322" i="49"/>
  <c r="ED324" i="49"/>
  <c r="ED326" i="49"/>
  <c r="ED327" i="49"/>
  <c r="BN278" i="49"/>
  <c r="BQ88" i="24"/>
  <c r="BJ267" i="49"/>
  <c r="AF267" i="49"/>
  <c r="BG267" i="49"/>
  <c r="BN51" i="49"/>
  <c r="AG51" i="49"/>
  <c r="BH51" i="49"/>
  <c r="BQ109" i="24"/>
  <c r="BG279" i="49"/>
  <c r="BK79" i="24"/>
  <c r="BK274" i="24"/>
  <c r="AY149" i="24"/>
  <c r="BD149" i="24"/>
  <c r="BQ141" i="24"/>
  <c r="BN57" i="49"/>
  <c r="AG195" i="49"/>
  <c r="BH195" i="49"/>
  <c r="BH72" i="49"/>
  <c r="BV72" i="49"/>
  <c r="AY289" i="24"/>
  <c r="BD289" i="24"/>
  <c r="BK289" i="24"/>
  <c r="BH31" i="49"/>
  <c r="BJ15" i="24"/>
  <c r="AY15" i="24"/>
  <c r="BD15" i="24"/>
  <c r="AY138" i="49"/>
  <c r="BA138" i="49"/>
  <c r="BH138" i="49"/>
  <c r="BN174" i="49"/>
  <c r="AG174" i="49"/>
  <c r="BN253" i="49"/>
  <c r="AG253" i="49"/>
  <c r="AY253" i="49"/>
  <c r="BA253" i="49"/>
  <c r="BJ250" i="24"/>
  <c r="BJ40" i="49"/>
  <c r="AF40" i="49"/>
  <c r="BG40" i="49"/>
  <c r="BM88" i="24"/>
  <c r="AG177" i="24"/>
  <c r="BQ177" i="24"/>
  <c r="BQ120" i="24"/>
  <c r="BN222" i="49"/>
  <c r="BN219" i="49"/>
  <c r="BM219" i="24"/>
  <c r="BQ230" i="24"/>
  <c r="AG186" i="24"/>
  <c r="AF39" i="24"/>
  <c r="BQ122" i="24"/>
  <c r="BQ76" i="24"/>
  <c r="AF213" i="49"/>
  <c r="AY220" i="49"/>
  <c r="BA220" i="49"/>
  <c r="AY85" i="49"/>
  <c r="BA85" i="49"/>
  <c r="BH283" i="49"/>
  <c r="AY216" i="24"/>
  <c r="BD216" i="24"/>
  <c r="AY121" i="24"/>
  <c r="BD121" i="24"/>
  <c r="BK119" i="24"/>
  <c r="BY119" i="24"/>
  <c r="BG240" i="49"/>
  <c r="AY67" i="24"/>
  <c r="BD67" i="24"/>
  <c r="BN145" i="49"/>
  <c r="BH60" i="49"/>
  <c r="BH224" i="49"/>
  <c r="BV224" i="49"/>
  <c r="AY224" i="49"/>
  <c r="BA224" i="49"/>
  <c r="BM153" i="24"/>
  <c r="BV232" i="49"/>
  <c r="BJ116" i="24"/>
  <c r="BJ129" i="24"/>
  <c r="AG286" i="49"/>
  <c r="BN286" i="49"/>
  <c r="BK198" i="24"/>
  <c r="AG178" i="24"/>
  <c r="AY178" i="24"/>
  <c r="BD178" i="24"/>
  <c r="BQ178" i="24"/>
  <c r="AG112" i="24"/>
  <c r="BQ112" i="24"/>
  <c r="BQ97" i="24"/>
  <c r="AG97" i="24"/>
  <c r="BK97" i="24"/>
  <c r="AY32" i="49"/>
  <c r="BA32" i="49"/>
  <c r="BH32" i="49"/>
  <c r="BV32" i="49"/>
  <c r="BQ105" i="24"/>
  <c r="AG105" i="24"/>
  <c r="AY105" i="24"/>
  <c r="BD105" i="24"/>
  <c r="AF294" i="24"/>
  <c r="EE326" i="49"/>
  <c r="EE327" i="49"/>
  <c r="BO286" i="24"/>
  <c r="AC267" i="24"/>
  <c r="CI248" i="24"/>
  <c r="AJ231" i="24"/>
  <c r="AC225" i="24"/>
  <c r="BO198" i="24"/>
  <c r="BS197" i="24"/>
  <c r="CJ193" i="24"/>
  <c r="BX192" i="24"/>
  <c r="AC140" i="24"/>
  <c r="BO112" i="24"/>
  <c r="BR99" i="24"/>
  <c r="BL92" i="24"/>
  <c r="EX83" i="24"/>
  <c r="BU81" i="24"/>
  <c r="BL64" i="24"/>
  <c r="BE59" i="24"/>
  <c r="BI55" i="24"/>
  <c r="BE13" i="24"/>
  <c r="AQ300" i="49"/>
  <c r="BN300" i="49"/>
  <c r="BE249" i="49"/>
  <c r="BE240" i="49"/>
  <c r="BT197" i="49"/>
  <c r="BT183" i="49"/>
  <c r="BB172" i="49"/>
  <c r="BN132" i="49"/>
  <c r="BI108" i="49"/>
  <c r="BT65" i="49"/>
  <c r="BO27" i="49"/>
  <c r="BH27" i="49"/>
  <c r="BN266" i="24"/>
  <c r="AQ224" i="24"/>
  <c r="BQ224" i="24"/>
  <c r="BR193" i="24"/>
  <c r="BW193" i="24"/>
  <c r="BN103" i="24"/>
  <c r="AQ92" i="24"/>
  <c r="FV322" i="49"/>
  <c r="BQ301" i="49"/>
  <c r="AQ301" i="49"/>
  <c r="BN301" i="49"/>
  <c r="BU300" i="49"/>
  <c r="AQ298" i="49"/>
  <c r="BN298" i="49"/>
  <c r="BB250" i="49"/>
  <c r="BS250" i="49"/>
  <c r="AQ231" i="49"/>
  <c r="BQ187" i="49"/>
  <c r="AC108" i="49"/>
  <c r="BF108" i="49"/>
  <c r="AJ94" i="49"/>
  <c r="BI94" i="49"/>
  <c r="BE193" i="24"/>
  <c r="BO192" i="24"/>
  <c r="BH103" i="24"/>
  <c r="AC11" i="24"/>
  <c r="BP300" i="49"/>
  <c r="BT261" i="49"/>
  <c r="BF260" i="49"/>
  <c r="AQ249" i="49"/>
  <c r="BN249" i="49"/>
  <c r="BI245" i="49"/>
  <c r="AQ192" i="49"/>
  <c r="BF188" i="49"/>
  <c r="AQ168" i="49"/>
  <c r="BN168" i="49"/>
  <c r="BM150" i="49"/>
  <c r="BT134" i="49"/>
  <c r="BU128" i="49"/>
  <c r="AQ107" i="49"/>
  <c r="BN107" i="49"/>
  <c r="BB104" i="49"/>
  <c r="AQ102" i="49"/>
  <c r="AQ95" i="49"/>
  <c r="AQ11" i="49"/>
  <c r="BN11" i="49"/>
  <c r="BU301" i="49"/>
  <c r="BB267" i="49"/>
  <c r="BL267" i="49"/>
  <c r="AG300" i="49"/>
  <c r="AY300" i="49"/>
  <c r="BA300" i="49"/>
  <c r="AG102" i="49"/>
  <c r="BH102" i="49"/>
  <c r="BN102" i="49"/>
  <c r="AG192" i="49"/>
  <c r="BH192" i="49"/>
  <c r="BN192" i="49"/>
  <c r="AF231" i="24"/>
  <c r="BJ231" i="24"/>
  <c r="BM231" i="24"/>
  <c r="BG213" i="49"/>
  <c r="AY40" i="49"/>
  <c r="BA40" i="49"/>
  <c r="AY174" i="49"/>
  <c r="BA174" i="49"/>
  <c r="BH174" i="49"/>
  <c r="BJ294" i="24"/>
  <c r="BK178" i="24"/>
  <c r="BH286" i="49"/>
  <c r="AY286" i="49"/>
  <c r="BA286" i="49"/>
  <c r="AG11" i="49"/>
  <c r="AG168" i="49"/>
  <c r="BH168" i="49"/>
  <c r="AG298" i="49"/>
  <c r="BH298" i="49"/>
  <c r="FW322" i="49"/>
  <c r="FW323" i="49"/>
  <c r="FV323" i="49"/>
  <c r="BK105" i="24"/>
  <c r="BY105" i="24"/>
  <c r="BJ39" i="24"/>
  <c r="BK186" i="24"/>
  <c r="BH253" i="49"/>
  <c r="AG34" i="49"/>
  <c r="BN34" i="49"/>
  <c r="BM269" i="24"/>
  <c r="AF269" i="24"/>
  <c r="BQ132" i="24"/>
  <c r="AG132" i="24"/>
  <c r="BG167" i="49"/>
  <c r="BJ213" i="24"/>
  <c r="BJ298" i="24"/>
  <c r="AY298" i="24"/>
  <c r="BD298" i="24"/>
  <c r="BG316" i="49"/>
  <c r="AY316" i="49"/>
  <c r="BA316" i="49"/>
  <c r="AY151" i="49"/>
  <c r="BA151" i="49"/>
  <c r="BG151" i="49"/>
  <c r="AG50" i="49"/>
  <c r="BN50" i="49"/>
  <c r="AG91" i="24"/>
  <c r="BQ91" i="24"/>
  <c r="BQ125" i="24"/>
  <c r="AG125" i="24"/>
  <c r="BG91" i="49"/>
  <c r="BM188" i="24"/>
  <c r="AF188" i="24"/>
  <c r="BJ172" i="49"/>
  <c r="AF172" i="49"/>
  <c r="BG154" i="49"/>
  <c r="AY154" i="49"/>
  <c r="BA154" i="49"/>
  <c r="AG148" i="49"/>
  <c r="BH148" i="49"/>
  <c r="BN148" i="49"/>
  <c r="BJ53" i="24"/>
  <c r="BY53" i="24"/>
  <c r="AF148" i="49"/>
  <c r="BJ148" i="49"/>
  <c r="BY190" i="24"/>
  <c r="BH59" i="49"/>
  <c r="AG284" i="49"/>
  <c r="AY284" i="49"/>
  <c r="BA284" i="49"/>
  <c r="BN284" i="49"/>
  <c r="BK57" i="24"/>
  <c r="BH179" i="49"/>
  <c r="BM235" i="24"/>
  <c r="BY235" i="24"/>
  <c r="AF295" i="49"/>
  <c r="BJ124" i="49"/>
  <c r="BN189" i="49"/>
  <c r="AF109" i="24"/>
  <c r="AY288" i="24"/>
  <c r="BD288" i="24"/>
  <c r="AF217" i="24"/>
  <c r="AY217" i="24"/>
  <c r="BD217" i="24"/>
  <c r="AF11" i="24"/>
  <c r="BJ11" i="24"/>
  <c r="BJ260" i="24"/>
  <c r="AG180" i="49"/>
  <c r="BJ44" i="49"/>
  <c r="BJ197" i="24"/>
  <c r="AY38" i="49"/>
  <c r="BA38" i="49"/>
  <c r="BG38" i="49"/>
  <c r="BV38" i="49"/>
  <c r="BK146" i="24"/>
  <c r="BY146" i="24"/>
  <c r="AY146" i="24"/>
  <c r="BD146" i="24"/>
  <c r="BN176" i="49"/>
  <c r="AG176" i="49"/>
  <c r="BH246" i="49"/>
  <c r="AY246" i="49"/>
  <c r="BA246" i="49"/>
  <c r="BJ10" i="49"/>
  <c r="AF10" i="49"/>
  <c r="AG35" i="49"/>
  <c r="BH35" i="49"/>
  <c r="BN35" i="49"/>
  <c r="AF184" i="24"/>
  <c r="BM184" i="24"/>
  <c r="BQ32" i="24"/>
  <c r="BJ108" i="49"/>
  <c r="BQ196" i="24"/>
  <c r="BM69" i="24"/>
  <c r="AF137" i="24"/>
  <c r="BY314" i="24"/>
  <c r="BG35" i="49"/>
  <c r="AG76" i="49"/>
  <c r="BN38" i="49"/>
  <c r="BJ102" i="49"/>
  <c r="FC322" i="49"/>
  <c r="FC324" i="49"/>
  <c r="BN254" i="49"/>
  <c r="AG254" i="49"/>
  <c r="AG280" i="49"/>
  <c r="BH280" i="49"/>
  <c r="BN280" i="49"/>
  <c r="BN289" i="49"/>
  <c r="AG289" i="49"/>
  <c r="BK174" i="24"/>
  <c r="BN208" i="49"/>
  <c r="BV208" i="49"/>
  <c r="AY78" i="49"/>
  <c r="BA78" i="49"/>
  <c r="BH19" i="49"/>
  <c r="AY19" i="49"/>
  <c r="BA19" i="49"/>
  <c r="AG116" i="24"/>
  <c r="BK116" i="24"/>
  <c r="BQ116" i="24"/>
  <c r="AY103" i="49"/>
  <c r="BA103" i="49"/>
  <c r="AY281" i="24"/>
  <c r="BD281" i="24"/>
  <c r="AY12" i="49"/>
  <c r="BA12" i="49"/>
  <c r="BJ249" i="49"/>
  <c r="AG268" i="24"/>
  <c r="BQ268" i="24"/>
  <c r="AG110" i="49"/>
  <c r="AY110" i="49"/>
  <c r="BA110" i="49"/>
  <c r="BN110" i="49"/>
  <c r="AY223" i="24"/>
  <c r="BD223" i="24"/>
  <c r="CK316" i="24"/>
  <c r="AJ316" i="24"/>
  <c r="BW284" i="24"/>
  <c r="BI225" i="24"/>
  <c r="BN214" i="24"/>
  <c r="AQ202" i="24"/>
  <c r="AG202" i="24"/>
  <c r="BK202" i="24"/>
  <c r="CI184" i="24"/>
  <c r="BX178" i="24"/>
  <c r="AJ56" i="24"/>
  <c r="BN18" i="24"/>
  <c r="BS17" i="24"/>
  <c r="AJ17" i="24"/>
  <c r="BM17" i="24"/>
  <c r="EW15" i="24"/>
  <c r="BI15" i="24"/>
  <c r="BU309" i="49"/>
  <c r="BR218" i="49"/>
  <c r="BT218" i="49"/>
  <c r="BT215" i="49"/>
  <c r="AQ155" i="49"/>
  <c r="BN155" i="49"/>
  <c r="BI141" i="49"/>
  <c r="AQ105" i="49"/>
  <c r="BN105" i="49"/>
  <c r="AQ44" i="49"/>
  <c r="BN44" i="49"/>
  <c r="BV296" i="24"/>
  <c r="BR294" i="24"/>
  <c r="BS291" i="24"/>
  <c r="BW254" i="24"/>
  <c r="BS221" i="24"/>
  <c r="BS217" i="24"/>
  <c r="AJ193" i="24"/>
  <c r="BE166" i="24"/>
  <c r="BS149" i="24"/>
  <c r="BV147" i="24"/>
  <c r="BE137" i="24"/>
  <c r="AC112" i="24"/>
  <c r="BN110" i="24"/>
  <c r="EX101" i="24"/>
  <c r="AJ99" i="24"/>
  <c r="BM99" i="24"/>
  <c r="AC62" i="24"/>
  <c r="BR56" i="24"/>
  <c r="EX36" i="24"/>
  <c r="BU28" i="24"/>
  <c r="BT25" i="24"/>
  <c r="BO17" i="24"/>
  <c r="BW12" i="24"/>
  <c r="BP12" i="24"/>
  <c r="BX11" i="24"/>
  <c r="BQ309" i="49"/>
  <c r="BI296" i="49"/>
  <c r="BU246" i="49"/>
  <c r="AQ241" i="49"/>
  <c r="AQ235" i="49"/>
  <c r="BN235" i="49"/>
  <c r="BT223" i="49"/>
  <c r="BK218" i="49"/>
  <c r="AC217" i="49"/>
  <c r="AQ215" i="49"/>
  <c r="BN215" i="49"/>
  <c r="BK195" i="49"/>
  <c r="BI187" i="49"/>
  <c r="BT177" i="49"/>
  <c r="AQ36" i="49"/>
  <c r="AG36" i="49"/>
  <c r="BH36" i="49"/>
  <c r="BT14" i="49"/>
  <c r="BV62" i="24"/>
  <c r="AQ217" i="49"/>
  <c r="AQ141" i="49"/>
  <c r="BT127" i="49"/>
  <c r="AG241" i="49"/>
  <c r="BN241" i="49"/>
  <c r="BK125" i="24"/>
  <c r="BJ269" i="24"/>
  <c r="AF56" i="24"/>
  <c r="BM56" i="24"/>
  <c r="BH76" i="49"/>
  <c r="BG172" i="49"/>
  <c r="AY172" i="49"/>
  <c r="BA172" i="49"/>
  <c r="AY34" i="49"/>
  <c r="BA34" i="49"/>
  <c r="BH34" i="49"/>
  <c r="AF99" i="24"/>
  <c r="BJ99" i="24"/>
  <c r="BM193" i="24"/>
  <c r="AF193" i="24"/>
  <c r="BJ193" i="24"/>
  <c r="AF17" i="24"/>
  <c r="BG10" i="49"/>
  <c r="BV10" i="49"/>
  <c r="AY10" i="49"/>
  <c r="BA10" i="49"/>
  <c r="AY176" i="49"/>
  <c r="BA176" i="49"/>
  <c r="BH176" i="49"/>
  <c r="BH180" i="49"/>
  <c r="BV180" i="49"/>
  <c r="AY180" i="49"/>
  <c r="BA180" i="49"/>
  <c r="BH50" i="49"/>
  <c r="BV50" i="49"/>
  <c r="AY50" i="49"/>
  <c r="BA50" i="49"/>
  <c r="AY132" i="24"/>
  <c r="BD132" i="24"/>
  <c r="BK132" i="24"/>
  <c r="AG44" i="49"/>
  <c r="BH44" i="49"/>
  <c r="AG235" i="49"/>
  <c r="AY235" i="49"/>
  <c r="BA235" i="49"/>
  <c r="AG155" i="49"/>
  <c r="BM316" i="24"/>
  <c r="AF316" i="24"/>
  <c r="BJ316" i="24"/>
  <c r="BH110" i="49"/>
  <c r="BV110" i="49"/>
  <c r="BK268" i="24"/>
  <c r="BY268" i="24"/>
  <c r="AY268" i="24"/>
  <c r="BD268" i="24"/>
  <c r="BH289" i="49"/>
  <c r="AY289" i="49"/>
  <c r="BA289" i="49"/>
  <c r="AY254" i="49"/>
  <c r="BA254" i="49"/>
  <c r="BH254" i="49"/>
  <c r="BJ137" i="24"/>
  <c r="BJ184" i="24"/>
  <c r="BJ109" i="24"/>
  <c r="BG295" i="49"/>
  <c r="BV295" i="49"/>
  <c r="AY295" i="49"/>
  <c r="BA295" i="49"/>
  <c r="BG148" i="49"/>
  <c r="AY148" i="49"/>
  <c r="BA148" i="49"/>
  <c r="BJ188" i="24"/>
  <c r="AY188" i="24"/>
  <c r="BD188" i="24"/>
  <c r="AY91" i="24"/>
  <c r="BD91" i="24"/>
  <c r="BK91" i="24"/>
  <c r="AY17" i="24"/>
  <c r="BD17" i="24"/>
  <c r="BJ17" i="24"/>
  <c r="BH241" i="49"/>
  <c r="BJ56" i="24"/>
  <c r="AY20" i="24"/>
  <c r="BD20" i="24"/>
  <c r="BK20" i="24"/>
  <c r="BY20" i="24"/>
  <c r="BQ92" i="24"/>
  <c r="AG92" i="24"/>
  <c r="BJ136" i="24"/>
  <c r="AY136" i="24"/>
  <c r="BD136" i="24"/>
  <c r="BH11" i="49"/>
  <c r="AY11" i="49"/>
  <c r="AY76" i="24"/>
  <c r="BD76" i="24"/>
  <c r="BK76" i="24"/>
  <c r="BY76" i="24"/>
  <c r="BJ271" i="24"/>
  <c r="AG7" i="24"/>
  <c r="BK7" i="24"/>
  <c r="BJ247" i="49"/>
  <c r="BJ158" i="49"/>
  <c r="BN64" i="49"/>
  <c r="AG48" i="49"/>
  <c r="BH48" i="49"/>
  <c r="BM136" i="24"/>
  <c r="BN191" i="49"/>
  <c r="AG191" i="49"/>
  <c r="AG263" i="24"/>
  <c r="BK263" i="24"/>
  <c r="BQ263" i="24"/>
  <c r="AF52" i="24"/>
  <c r="BM52" i="24"/>
  <c r="BM290" i="24"/>
  <c r="AF290" i="24"/>
  <c r="BK14" i="24"/>
  <c r="AY24" i="49"/>
  <c r="BA24" i="49"/>
  <c r="BH312" i="49"/>
  <c r="BV312" i="49"/>
  <c r="BJ205" i="24"/>
  <c r="BJ75" i="24"/>
  <c r="BK111" i="24"/>
  <c r="BY111" i="24"/>
  <c r="EP326" i="49"/>
  <c r="EP327" i="49"/>
  <c r="BN167" i="49"/>
  <c r="AF159" i="24"/>
  <c r="BJ159" i="24"/>
  <c r="BM159" i="24"/>
  <c r="BQ118" i="24"/>
  <c r="AG118" i="24"/>
  <c r="BH214" i="49"/>
  <c r="AY261" i="49"/>
  <c r="BA261" i="49"/>
  <c r="BH261" i="49"/>
  <c r="BH302" i="49"/>
  <c r="AY302" i="49"/>
  <c r="BA302" i="49"/>
  <c r="BN97" i="49"/>
  <c r="AG97" i="49"/>
  <c r="BH97" i="49"/>
  <c r="EQ322" i="49"/>
  <c r="EQ324" i="49"/>
  <c r="BG245" i="49"/>
  <c r="AF308" i="49"/>
  <c r="BJ308" i="49"/>
  <c r="BJ299" i="49"/>
  <c r="AG314" i="49"/>
  <c r="BN277" i="49"/>
  <c r="AG216" i="49"/>
  <c r="AY216" i="49"/>
  <c r="BA216" i="49"/>
  <c r="AF193" i="49"/>
  <c r="AY193" i="49"/>
  <c r="BA193" i="49"/>
  <c r="AG47" i="49"/>
  <c r="AF186" i="24"/>
  <c r="BJ186" i="24"/>
  <c r="BY186" i="24"/>
  <c r="AF175" i="24"/>
  <c r="BJ28" i="24"/>
  <c r="AY190" i="24"/>
  <c r="BD190" i="24"/>
  <c r="BJ127" i="24"/>
  <c r="BY127" i="24"/>
  <c r="AY13" i="49"/>
  <c r="BA13" i="49"/>
  <c r="AY55" i="49"/>
  <c r="BA55" i="49"/>
  <c r="BN212" i="49"/>
  <c r="AY92" i="49"/>
  <c r="BA92" i="49"/>
  <c r="AF60" i="49"/>
  <c r="BG60" i="49"/>
  <c r="BV60" i="49"/>
  <c r="BQ34" i="24"/>
  <c r="BH178" i="49"/>
  <c r="BV178" i="49"/>
  <c r="AF244" i="49"/>
  <c r="BG244" i="49"/>
  <c r="BV244" i="49"/>
  <c r="BJ244" i="49"/>
  <c r="AF129" i="49"/>
  <c r="BG129" i="49"/>
  <c r="BJ129" i="49"/>
  <c r="BG126" i="49"/>
  <c r="AY122" i="49"/>
  <c r="BA122" i="49"/>
  <c r="BG122" i="49"/>
  <c r="BH171" i="49"/>
  <c r="BV171" i="49"/>
  <c r="AY171" i="49"/>
  <c r="BA171" i="49"/>
  <c r="AY35" i="24"/>
  <c r="BD35" i="24"/>
  <c r="BJ35" i="24"/>
  <c r="BJ275" i="24"/>
  <c r="BM171" i="24"/>
  <c r="BM72" i="24"/>
  <c r="AF72" i="24"/>
  <c r="AY72" i="24"/>
  <c r="BD72" i="24"/>
  <c r="BN41" i="49"/>
  <c r="AG41" i="49"/>
  <c r="AF48" i="49"/>
  <c r="BG48" i="49"/>
  <c r="BV48" i="49"/>
  <c r="BJ48" i="49"/>
  <c r="BJ279" i="24"/>
  <c r="AF309" i="24"/>
  <c r="BJ309" i="24"/>
  <c r="BJ211" i="49"/>
  <c r="AF36" i="49"/>
  <c r="BG36" i="49"/>
  <c r="BV36" i="49"/>
  <c r="BN203" i="49"/>
  <c r="BV203" i="49"/>
  <c r="BM33" i="24"/>
  <c r="BY33" i="24"/>
  <c r="AF189" i="49"/>
  <c r="AY189" i="49"/>
  <c r="BA189" i="49"/>
  <c r="BJ254" i="49"/>
  <c r="BV254" i="49"/>
  <c r="BN171" i="49"/>
  <c r="BN151" i="49"/>
  <c r="BJ310" i="24"/>
  <c r="AG28" i="24"/>
  <c r="AY28" i="24"/>
  <c r="BD28" i="24"/>
  <c r="BQ28" i="24"/>
  <c r="BJ289" i="49"/>
  <c r="BV289" i="49"/>
  <c r="AF74" i="24"/>
  <c r="AF89" i="49"/>
  <c r="BG89" i="49"/>
  <c r="AG296" i="49"/>
  <c r="AF282" i="49"/>
  <c r="AY282" i="49"/>
  <c r="BA282" i="49"/>
  <c r="AF47" i="49"/>
  <c r="AG282" i="49"/>
  <c r="BH282" i="49"/>
  <c r="AG271" i="49"/>
  <c r="BH271" i="49"/>
  <c r="BV271" i="49"/>
  <c r="AY236" i="49"/>
  <c r="BA236" i="49"/>
  <c r="AF179" i="49"/>
  <c r="AY179" i="49"/>
  <c r="BA179" i="49"/>
  <c r="BG179" i="49"/>
  <c r="BV179" i="49"/>
  <c r="BJ179" i="49"/>
  <c r="BJ141" i="49"/>
  <c r="AF141" i="49"/>
  <c r="AC316" i="24"/>
  <c r="AQ295" i="24"/>
  <c r="AG295" i="24"/>
  <c r="AQ251" i="24"/>
  <c r="BQ251" i="24"/>
  <c r="BX243" i="24"/>
  <c r="BW202" i="24"/>
  <c r="CJ199" i="24"/>
  <c r="AJ139" i="24"/>
  <c r="AF139" i="24"/>
  <c r="AJ97" i="24"/>
  <c r="AF97" i="24"/>
  <c r="BH77" i="24"/>
  <c r="BN297" i="24"/>
  <c r="BU274" i="24"/>
  <c r="BR210" i="24"/>
  <c r="CI148" i="24"/>
  <c r="BX87" i="24"/>
  <c r="CX319" i="49"/>
  <c r="DD319" i="49"/>
  <c r="BT17" i="49"/>
  <c r="EX243" i="24"/>
  <c r="CI243" i="24"/>
  <c r="BW87" i="24"/>
  <c r="BG282" i="49"/>
  <c r="BV282" i="49"/>
  <c r="AY41" i="49"/>
  <c r="BA41" i="49"/>
  <c r="BH41" i="49"/>
  <c r="BG308" i="49"/>
  <c r="BK118" i="24"/>
  <c r="BY118" i="24"/>
  <c r="AY118" i="24"/>
  <c r="BD118" i="24"/>
  <c r="BH191" i="49"/>
  <c r="AY7" i="24"/>
  <c r="BD7" i="24"/>
  <c r="BY136" i="24"/>
  <c r="BJ74" i="24"/>
  <c r="BH216" i="49"/>
  <c r="BH314" i="49"/>
  <c r="BV314" i="49"/>
  <c r="AY314" i="49"/>
  <c r="BA314" i="49"/>
  <c r="AY290" i="24"/>
  <c r="BD290" i="24"/>
  <c r="BJ290" i="24"/>
  <c r="BJ52" i="24"/>
  <c r="AY89" i="49"/>
  <c r="BA89" i="49"/>
  <c r="BY210" i="24"/>
  <c r="BA11" i="49"/>
  <c r="BK92" i="24"/>
  <c r="BY92" i="24"/>
  <c r="AY92" i="24"/>
  <c r="BD92" i="24"/>
  <c r="BM97" i="24"/>
  <c r="BJ175" i="24"/>
  <c r="AY175" i="24"/>
  <c r="BD175" i="24"/>
  <c r="AY36" i="49"/>
  <c r="BA36" i="49"/>
  <c r="BQ295" i="24"/>
  <c r="FF322" i="49"/>
  <c r="FF324" i="49"/>
  <c r="BG268" i="49"/>
  <c r="BV268" i="49"/>
  <c r="AY268" i="49"/>
  <c r="BA268" i="49"/>
  <c r="BG189" i="49"/>
  <c r="BG141" i="49"/>
  <c r="BG193" i="49"/>
  <c r="AY186" i="24"/>
  <c r="BD186" i="24"/>
  <c r="ET322" i="49"/>
  <c r="ET324" i="49"/>
  <c r="AG95" i="49"/>
  <c r="BN95" i="49"/>
  <c r="BJ94" i="49"/>
  <c r="AF94" i="49"/>
  <c r="BK177" i="24"/>
  <c r="BY177" i="24"/>
  <c r="AY177" i="24"/>
  <c r="BD177" i="24"/>
  <c r="BM140" i="24"/>
  <c r="AG238" i="49"/>
  <c r="BN100" i="49"/>
  <c r="AG66" i="24"/>
  <c r="BK66" i="24"/>
  <c r="BQ66" i="24"/>
  <c r="AY252" i="24"/>
  <c r="BD252" i="24"/>
  <c r="AG37" i="49"/>
  <c r="BN37" i="49"/>
  <c r="AY71" i="49"/>
  <c r="BA71" i="49"/>
  <c r="BG71" i="49"/>
  <c r="BV71" i="49"/>
  <c r="AY294" i="49"/>
  <c r="BA294" i="49"/>
  <c r="AY54" i="49"/>
  <c r="BA54" i="49"/>
  <c r="BH54" i="49"/>
  <c r="BV54" i="49"/>
  <c r="BK54" i="24"/>
  <c r="BJ273" i="24"/>
  <c r="BY273" i="24"/>
  <c r="AY160" i="24"/>
  <c r="BD160" i="24"/>
  <c r="BH248" i="49"/>
  <c r="BV248" i="49"/>
  <c r="AY173" i="49"/>
  <c r="BA173" i="49"/>
  <c r="BM37" i="24"/>
  <c r="AF37" i="24"/>
  <c r="BQ225" i="24"/>
  <c r="AG225" i="24"/>
  <c r="BK225" i="24"/>
  <c r="BY225" i="24"/>
  <c r="AY32" i="24"/>
  <c r="BD32" i="24"/>
  <c r="BJ196" i="24"/>
  <c r="BY196" i="24"/>
  <c r="AY196" i="24"/>
  <c r="BD196" i="24"/>
  <c r="AG150" i="49"/>
  <c r="BN150" i="49"/>
  <c r="CD322" i="49"/>
  <c r="CD324" i="49"/>
  <c r="AY237" i="49"/>
  <c r="BA237" i="49"/>
  <c r="BG237" i="49"/>
  <c r="BH114" i="49"/>
  <c r="BV114" i="49"/>
  <c r="AY114" i="49"/>
  <c r="BA114" i="49"/>
  <c r="AG61" i="49"/>
  <c r="BH61" i="49"/>
  <c r="BN61" i="49"/>
  <c r="BJ170" i="24"/>
  <c r="AY170" i="24"/>
  <c r="BD170" i="24"/>
  <c r="AF106" i="24"/>
  <c r="BJ106" i="24"/>
  <c r="BM106" i="24"/>
  <c r="AF303" i="49"/>
  <c r="AY303" i="49"/>
  <c r="BA303" i="49"/>
  <c r="BJ303" i="49"/>
  <c r="BM202" i="24"/>
  <c r="AF202" i="24"/>
  <c r="AF220" i="24"/>
  <c r="BJ220" i="24"/>
  <c r="BY220" i="24"/>
  <c r="BM220" i="24"/>
  <c r="BJ82" i="24"/>
  <c r="BY82" i="24"/>
  <c r="AY82" i="24"/>
  <c r="BD82" i="24"/>
  <c r="AG315" i="24"/>
  <c r="BK315" i="24"/>
  <c r="BY315" i="24"/>
  <c r="BJ223" i="49"/>
  <c r="BM23" i="24"/>
  <c r="AG115" i="49"/>
  <c r="AF196" i="49"/>
  <c r="BG196" i="49"/>
  <c r="BV196" i="49"/>
  <c r="BN94" i="49"/>
  <c r="AG308" i="49"/>
  <c r="AG228" i="24"/>
  <c r="AY228" i="24"/>
  <c r="BD228" i="24"/>
  <c r="AG33" i="49"/>
  <c r="AY235" i="24"/>
  <c r="BD235" i="24"/>
  <c r="AY257" i="24"/>
  <c r="BD257" i="24"/>
  <c r="AF53" i="49"/>
  <c r="BG53" i="49"/>
  <c r="BV53" i="49"/>
  <c r="AG293" i="24"/>
  <c r="BM160" i="24"/>
  <c r="AY312" i="24"/>
  <c r="BD312" i="24"/>
  <c r="BG291" i="49"/>
  <c r="BG177" i="49"/>
  <c r="BG266" i="49"/>
  <c r="AY204" i="49"/>
  <c r="BA204" i="49"/>
  <c r="BG22" i="49"/>
  <c r="BK115" i="24"/>
  <c r="AY115" i="24"/>
  <c r="BD115" i="24"/>
  <c r="BK265" i="24"/>
  <c r="BJ270" i="49"/>
  <c r="BH209" i="24"/>
  <c r="BH223" i="24"/>
  <c r="BX232" i="24"/>
  <c r="EX286" i="24"/>
  <c r="BN310" i="24"/>
  <c r="BH188" i="24"/>
  <c r="BI209" i="24"/>
  <c r="BI110" i="24"/>
  <c r="BV143" i="24"/>
  <c r="CK160" i="24"/>
  <c r="CL181" i="24"/>
  <c r="BL223" i="24"/>
  <c r="BY223" i="24"/>
  <c r="AJ238" i="24"/>
  <c r="AF238" i="24"/>
  <c r="BV245" i="24"/>
  <c r="CL260" i="24"/>
  <c r="CK281" i="24"/>
  <c r="AQ27" i="24"/>
  <c r="AG27" i="24"/>
  <c r="BV63" i="24"/>
  <c r="BP63" i="24"/>
  <c r="BU160" i="24"/>
  <c r="BN173" i="24"/>
  <c r="BW232" i="24"/>
  <c r="CL254" i="24"/>
  <c r="BU263" i="24"/>
  <c r="BL284" i="24"/>
  <c r="BT298" i="24"/>
  <c r="AQ310" i="24"/>
  <c r="BQ310" i="24"/>
  <c r="BI297" i="24"/>
  <c r="AQ297" i="24"/>
  <c r="BQ297" i="24"/>
  <c r="AQ292" i="24"/>
  <c r="AG292" i="24"/>
  <c r="BS287" i="24"/>
  <c r="AQ287" i="24"/>
  <c r="BS281" i="24"/>
  <c r="AQ267" i="24"/>
  <c r="BQ267" i="24"/>
  <c r="AQ264" i="24"/>
  <c r="AQ262" i="24"/>
  <c r="AG262" i="24"/>
  <c r="AQ220" i="24"/>
  <c r="BQ220" i="24"/>
  <c r="AQ218" i="24"/>
  <c r="AQ209" i="24"/>
  <c r="AG209" i="24"/>
  <c r="AQ184" i="24"/>
  <c r="BQ184" i="24"/>
  <c r="AQ140" i="24"/>
  <c r="AG140" i="24"/>
  <c r="AQ78" i="24"/>
  <c r="AQ56" i="24"/>
  <c r="AG56" i="24"/>
  <c r="AQ305" i="49"/>
  <c r="AG305" i="49"/>
  <c r="AQ200" i="49"/>
  <c r="AG200" i="49"/>
  <c r="BT62" i="49"/>
  <c r="BH17" i="49"/>
  <c r="AQ9" i="49"/>
  <c r="AG9" i="49"/>
  <c r="BS18" i="49"/>
  <c r="BS47" i="49"/>
  <c r="BR60" i="49"/>
  <c r="BS65" i="49"/>
  <c r="BO87" i="49"/>
  <c r="BS107" i="49"/>
  <c r="BO154" i="49"/>
  <c r="BV154" i="49"/>
  <c r="BO217" i="49"/>
  <c r="BO226" i="49"/>
  <c r="BS249" i="49"/>
  <c r="BK264" i="49"/>
  <c r="BS283" i="49"/>
  <c r="BU9" i="24"/>
  <c r="BV25" i="24"/>
  <c r="BP9" i="49"/>
  <c r="BP18" i="49"/>
  <c r="BF43" i="49"/>
  <c r="BL47" i="49"/>
  <c r="BB51" i="49"/>
  <c r="BL65" i="49"/>
  <c r="BF85" i="49"/>
  <c r="BV85" i="49"/>
  <c r="BP87" i="49"/>
  <c r="BT96" i="49"/>
  <c r="BK104" i="49"/>
  <c r="BL107" i="49"/>
  <c r="BF159" i="49"/>
  <c r="BF169" i="49"/>
  <c r="BF183" i="49"/>
  <c r="BL197" i="49"/>
  <c r="BF212" i="49"/>
  <c r="BB217" i="49"/>
  <c r="BR220" i="49"/>
  <c r="BP243" i="49"/>
  <c r="BP249" i="49"/>
  <c r="BO255" i="49"/>
  <c r="BL264" i="49"/>
  <c r="BT279" i="49"/>
  <c r="BL283" i="49"/>
  <c r="BF292" i="49"/>
  <c r="BH7" i="24"/>
  <c r="BR9" i="24"/>
  <c r="BL10" i="24"/>
  <c r="CK10" i="24"/>
  <c r="BP11" i="24"/>
  <c r="BN17" i="24"/>
  <c r="BP22" i="24"/>
  <c r="BL23" i="24"/>
  <c r="EX25" i="24"/>
  <c r="BN35" i="24"/>
  <c r="BW56" i="24"/>
  <c r="BL65" i="24"/>
  <c r="BL71" i="24"/>
  <c r="CK71" i="24"/>
  <c r="BV74" i="24"/>
  <c r="BL75" i="24"/>
  <c r="CK75" i="24"/>
  <c r="BL78" i="24"/>
  <c r="BE103" i="24"/>
  <c r="EW103" i="24"/>
  <c r="BW104" i="24"/>
  <c r="BP112" i="24"/>
  <c r="CK119" i="24"/>
  <c r="BX153" i="24"/>
  <c r="AJ158" i="24"/>
  <c r="BM158" i="24"/>
  <c r="AF158" i="24"/>
  <c r="CJ158" i="24"/>
  <c r="BP170" i="24"/>
  <c r="CK187" i="24"/>
  <c r="AJ17" i="49"/>
  <c r="BJ17" i="49"/>
  <c r="BM34" i="49"/>
  <c r="BL61" i="49"/>
  <c r="BK61" i="49"/>
  <c r="BP95" i="49"/>
  <c r="BO95" i="49"/>
  <c r="AC95" i="49"/>
  <c r="AJ130" i="49"/>
  <c r="AF130" i="49"/>
  <c r="BK173" i="49"/>
  <c r="BU201" i="49"/>
  <c r="BS229" i="49"/>
  <c r="BB238" i="49"/>
  <c r="BL239" i="49"/>
  <c r="BN239" i="49"/>
  <c r="AJ275" i="49"/>
  <c r="BM302" i="49"/>
  <c r="BR316" i="49"/>
  <c r="AJ63" i="24"/>
  <c r="CI113" i="24"/>
  <c r="BL120" i="24"/>
  <c r="BH167" i="24"/>
  <c r="BV205" i="24"/>
  <c r="CK218" i="24"/>
  <c r="BX223" i="24"/>
  <c r="CI234" i="24"/>
  <c r="BS245" i="24"/>
  <c r="AC254" i="24"/>
  <c r="AJ284" i="24"/>
  <c r="AF284" i="24"/>
  <c r="CI292" i="24"/>
  <c r="BB34" i="49"/>
  <c r="BP119" i="49"/>
  <c r="BO119" i="49"/>
  <c r="AC119" i="49"/>
  <c r="BB121" i="49"/>
  <c r="BP214" i="49"/>
  <c r="AC214" i="49"/>
  <c r="BS215" i="49"/>
  <c r="BF215" i="49"/>
  <c r="BL302" i="49"/>
  <c r="BP303" i="49"/>
  <c r="BO303" i="49"/>
  <c r="AC303" i="49"/>
  <c r="BO27" i="24"/>
  <c r="BN27" i="24"/>
  <c r="AC27" i="24"/>
  <c r="BU31" i="24"/>
  <c r="AC31" i="24"/>
  <c r="BI41" i="24"/>
  <c r="AC41" i="24"/>
  <c r="BR54" i="24"/>
  <c r="BI54" i="24"/>
  <c r="BP54" i="24"/>
  <c r="BR120" i="24"/>
  <c r="BR200" i="24"/>
  <c r="AC209" i="24"/>
  <c r="BF7" i="49"/>
  <c r="BK8" i="49"/>
  <c r="BE119" i="49"/>
  <c r="BL127" i="49"/>
  <c r="BK127" i="49"/>
  <c r="BB186" i="49"/>
  <c r="BU215" i="49"/>
  <c r="BM309" i="49"/>
  <c r="BL16" i="24"/>
  <c r="BS31" i="24"/>
  <c r="BP110" i="24"/>
  <c r="EX120" i="24"/>
  <c r="BR139" i="24"/>
  <c r="BI139" i="24"/>
  <c r="BU143" i="24"/>
  <c r="BX179" i="24"/>
  <c r="BH181" i="24"/>
  <c r="CK223" i="24"/>
  <c r="EX245" i="24"/>
  <c r="AJ264" i="24"/>
  <c r="BM264" i="24"/>
  <c r="BY264" i="24"/>
  <c r="BL283" i="24"/>
  <c r="BW292" i="24"/>
  <c r="BP17" i="49"/>
  <c r="BO17" i="49"/>
  <c r="AC17" i="49"/>
  <c r="BO76" i="49"/>
  <c r="BI119" i="49"/>
  <c r="BR130" i="49"/>
  <c r="BR149" i="49"/>
  <c r="BL201" i="49"/>
  <c r="BF201" i="49"/>
  <c r="BK275" i="49"/>
  <c r="AC298" i="49"/>
  <c r="BB309" i="49"/>
  <c r="BR309" i="49"/>
  <c r="BL27" i="24"/>
  <c r="BN63" i="24"/>
  <c r="BH63" i="24"/>
  <c r="BS120" i="24"/>
  <c r="BO222" i="24"/>
  <c r="AC222" i="24"/>
  <c r="BU254" i="24"/>
  <c r="EW286" i="24"/>
  <c r="AC298" i="24"/>
  <c r="CX337" i="24"/>
  <c r="CL286" i="24"/>
  <c r="BK260" i="24"/>
  <c r="BY260" i="24"/>
  <c r="BR250" i="24"/>
  <c r="AC202" i="24"/>
  <c r="BW178" i="24"/>
  <c r="BX78" i="24"/>
  <c r="CI69" i="24"/>
  <c r="BV65" i="24"/>
  <c r="BE17" i="24"/>
  <c r="BQ262" i="49"/>
  <c r="AC169" i="49"/>
  <c r="BT163" i="49"/>
  <c r="BK9" i="49"/>
  <c r="BK51" i="49"/>
  <c r="BO62" i="49"/>
  <c r="BV62" i="49"/>
  <c r="BS87" i="49"/>
  <c r="BK96" i="49"/>
  <c r="BV96" i="49"/>
  <c r="BR104" i="49"/>
  <c r="BS217" i="49"/>
  <c r="BO264" i="49"/>
  <c r="BK279" i="49"/>
  <c r="BV279" i="49"/>
  <c r="CL9" i="24"/>
  <c r="BU74" i="24"/>
  <c r="BT9" i="49"/>
  <c r="BL51" i="49"/>
  <c r="BV51" i="49"/>
  <c r="BB96" i="49"/>
  <c r="BO104" i="49"/>
  <c r="BP107" i="49"/>
  <c r="BR169" i="49"/>
  <c r="BF191" i="49"/>
  <c r="BL217" i="49"/>
  <c r="BP283" i="49"/>
  <c r="BT7" i="24"/>
  <c r="BP10" i="24"/>
  <c r="BP23" i="24"/>
  <c r="BE56" i="24"/>
  <c r="BP65" i="24"/>
  <c r="BP71" i="24"/>
  <c r="EX71" i="24"/>
  <c r="BP75" i="24"/>
  <c r="BY75" i="24"/>
  <c r="BP78" i="24"/>
  <c r="BE158" i="24"/>
  <c r="BI8" i="49"/>
  <c r="BE17" i="49"/>
  <c r="BB61" i="49"/>
  <c r="BL95" i="49"/>
  <c r="BM121" i="49"/>
  <c r="BR173" i="49"/>
  <c r="BM214" i="49"/>
  <c r="BK238" i="49"/>
  <c r="BV238" i="49"/>
  <c r="BM303" i="49"/>
  <c r="BP27" i="24"/>
  <c r="BS63" i="24"/>
  <c r="BT120" i="24"/>
  <c r="BS188" i="24"/>
  <c r="BH218" i="24"/>
  <c r="EW228" i="24"/>
  <c r="BN234" i="24"/>
  <c r="BX245" i="24"/>
  <c r="BP254" i="24"/>
  <c r="BO260" i="24"/>
  <c r="BI298" i="24"/>
  <c r="BY298" i="24"/>
  <c r="AJ258" i="24"/>
  <c r="AF258" i="24"/>
  <c r="BL119" i="49"/>
  <c r="BL214" i="49"/>
  <c r="BP215" i="49"/>
  <c r="BO215" i="49"/>
  <c r="BB302" i="49"/>
  <c r="BL303" i="49"/>
  <c r="BK303" i="49"/>
  <c r="BE27" i="24"/>
  <c r="BU27" i="24"/>
  <c r="CI31" i="24"/>
  <c r="CI41" i="24"/>
  <c r="CK41" i="24"/>
  <c r="EW54" i="24"/>
  <c r="BN54" i="24"/>
  <c r="CK54" i="24"/>
  <c r="CK76" i="24"/>
  <c r="BU200" i="24"/>
  <c r="BV209" i="24"/>
  <c r="BL7" i="49"/>
  <c r="BB127" i="49"/>
  <c r="BR127" i="49"/>
  <c r="BR186" i="49"/>
  <c r="BN113" i="24"/>
  <c r="EW139" i="24"/>
  <c r="CK173" i="24"/>
  <c r="BP276" i="24"/>
  <c r="BU284" i="24"/>
  <c r="EX258" i="24"/>
  <c r="BL17" i="49"/>
  <c r="BT30" i="49"/>
  <c r="BT76" i="49"/>
  <c r="BF76" i="49"/>
  <c r="BL149" i="49"/>
  <c r="AC149" i="49"/>
  <c r="BR275" i="49"/>
  <c r="BB298" i="49"/>
  <c r="BT309" i="49"/>
  <c r="BS309" i="49"/>
  <c r="BU63" i="24"/>
  <c r="BP113" i="24"/>
  <c r="EW167" i="24"/>
  <c r="BR188" i="24"/>
  <c r="AJ209" i="24"/>
  <c r="BP222" i="24"/>
  <c r="BV258" i="24"/>
  <c r="BV286" i="24"/>
  <c r="EW284" i="24"/>
  <c r="BX284" i="24"/>
  <c r="BI253" i="24"/>
  <c r="AY95" i="49"/>
  <c r="BA95" i="49"/>
  <c r="BH95" i="49"/>
  <c r="BV95" i="49"/>
  <c r="AF275" i="49"/>
  <c r="BG275" i="49"/>
  <c r="BV275" i="49"/>
  <c r="BJ275" i="49"/>
  <c r="BN9" i="49"/>
  <c r="BQ262" i="24"/>
  <c r="BH115" i="49"/>
  <c r="AY115" i="49"/>
  <c r="BA115" i="49"/>
  <c r="AY150" i="49"/>
  <c r="BA150" i="49"/>
  <c r="BH150" i="49"/>
  <c r="BV150" i="49"/>
  <c r="BQ56" i="24"/>
  <c r="BQ209" i="24"/>
  <c r="AG264" i="24"/>
  <c r="BK264" i="24"/>
  <c r="BQ264" i="24"/>
  <c r="AG310" i="24"/>
  <c r="BK310" i="24"/>
  <c r="BY310" i="24"/>
  <c r="BH308" i="49"/>
  <c r="AY308" i="49"/>
  <c r="BA308" i="49"/>
  <c r="BJ202" i="24"/>
  <c r="AY202" i="24"/>
  <c r="BD202" i="24"/>
  <c r="BJ130" i="49"/>
  <c r="BN305" i="49"/>
  <c r="BQ287" i="24"/>
  <c r="AG287" i="24"/>
  <c r="BK287" i="24"/>
  <c r="AY53" i="49"/>
  <c r="BA53" i="49"/>
  <c r="AY196" i="49"/>
  <c r="BA196" i="49"/>
  <c r="AY315" i="24"/>
  <c r="BD315" i="24"/>
  <c r="BH238" i="49"/>
  <c r="AY238" i="49"/>
  <c r="BA238" i="49"/>
  <c r="BQ78" i="24"/>
  <c r="AG78" i="24"/>
  <c r="AY78" i="24"/>
  <c r="BD78" i="24"/>
  <c r="BQ218" i="24"/>
  <c r="AG218" i="24"/>
  <c r="AY218" i="24"/>
  <c r="BD218" i="24"/>
  <c r="AG267" i="24"/>
  <c r="BK267" i="24"/>
  <c r="BY267" i="24"/>
  <c r="BQ292" i="24"/>
  <c r="BK293" i="24"/>
  <c r="BY293" i="24"/>
  <c r="AY293" i="24"/>
  <c r="BD293" i="24"/>
  <c r="AY94" i="49"/>
  <c r="BA94" i="49"/>
  <c r="BG94" i="49"/>
  <c r="BV94" i="49"/>
  <c r="AF63" i="24"/>
  <c r="BJ63" i="24"/>
  <c r="BM63" i="24"/>
  <c r="BY63" i="24"/>
  <c r="BJ37" i="24"/>
  <c r="AF209" i="24"/>
  <c r="BM209" i="24"/>
  <c r="BM258" i="24"/>
  <c r="AF264" i="24"/>
  <c r="AY264" i="24"/>
  <c r="BD264" i="24"/>
  <c r="BQ140" i="24"/>
  <c r="BQ27" i="24"/>
  <c r="AY33" i="49"/>
  <c r="BA33" i="49"/>
  <c r="BH33" i="49"/>
  <c r="AY225" i="24"/>
  <c r="BD225" i="24"/>
  <c r="BH37" i="49"/>
  <c r="AY37" i="49"/>
  <c r="BA37" i="49"/>
  <c r="BK218" i="24"/>
  <c r="BY218" i="24"/>
  <c r="AY63" i="24"/>
  <c r="BD63" i="24"/>
  <c r="BJ140" i="24"/>
  <c r="BV11" i="49"/>
  <c r="BG247" i="49"/>
  <c r="BV247" i="49"/>
  <c r="BH57" i="49"/>
  <c r="BH100" i="49"/>
  <c r="BH278" i="49"/>
  <c r="AY278" i="49"/>
  <c r="BA278" i="49"/>
  <c r="BG158" i="49"/>
  <c r="BH153" i="49"/>
  <c r="AY163" i="49"/>
  <c r="BA163" i="49"/>
  <c r="BG163" i="49"/>
  <c r="AY89" i="24"/>
  <c r="BD89" i="24"/>
  <c r="BJ89" i="24"/>
  <c r="BY89" i="24"/>
  <c r="AY71" i="24"/>
  <c r="BD71" i="24"/>
  <c r="BJ71" i="24"/>
  <c r="BY71" i="24"/>
  <c r="BG263" i="49"/>
  <c r="BV263" i="49"/>
  <c r="AY263" i="49"/>
  <c r="BA263" i="49"/>
  <c r="AY88" i="49"/>
  <c r="BA88" i="49"/>
  <c r="BH88" i="49"/>
  <c r="BG169" i="49"/>
  <c r="AY132" i="49"/>
  <c r="BA132" i="49"/>
  <c r="BG132" i="49"/>
  <c r="BV132" i="49"/>
  <c r="AY313" i="49"/>
  <c r="BA313" i="49"/>
  <c r="BG313" i="49"/>
  <c r="AY299" i="49"/>
  <c r="BA299" i="49"/>
  <c r="BG299" i="49"/>
  <c r="BV299" i="49"/>
  <c r="BH160" i="49"/>
  <c r="AY160" i="49"/>
  <c r="BA160" i="49"/>
  <c r="BH121" i="49"/>
  <c r="BJ117" i="24"/>
  <c r="AY117" i="24"/>
  <c r="BD117" i="24"/>
  <c r="AY98" i="49"/>
  <c r="BA98" i="49"/>
  <c r="BH98" i="49"/>
  <c r="BJ153" i="24"/>
  <c r="AY153" i="24"/>
  <c r="BD153" i="24"/>
  <c r="BH197" i="49"/>
  <c r="AY197" i="49"/>
  <c r="BA197" i="49"/>
  <c r="BK145" i="24"/>
  <c r="BY145" i="24"/>
  <c r="AY145" i="24"/>
  <c r="BD145" i="24"/>
  <c r="BG145" i="49"/>
  <c r="BJ26" i="49"/>
  <c r="AF26" i="49"/>
  <c r="AY26" i="49"/>
  <c r="BA26" i="49"/>
  <c r="BN276" i="49"/>
  <c r="AG276" i="49"/>
  <c r="BH276" i="49"/>
  <c r="BM47" i="24"/>
  <c r="AF47" i="24"/>
  <c r="BJ47" i="24"/>
  <c r="BY47" i="24"/>
  <c r="AF94" i="24"/>
  <c r="AY94" i="24"/>
  <c r="BD94" i="24"/>
  <c r="BM94" i="24"/>
  <c r="AY256" i="49"/>
  <c r="BA256" i="49"/>
  <c r="BH256" i="49"/>
  <c r="BV256" i="49"/>
  <c r="BG136" i="49"/>
  <c r="BV136" i="49"/>
  <c r="AY136" i="49"/>
  <c r="BA136" i="49"/>
  <c r="BJ204" i="24"/>
  <c r="BY204" i="24"/>
  <c r="AY204" i="24"/>
  <c r="BD204" i="24"/>
  <c r="AY90" i="49"/>
  <c r="BA90" i="49"/>
  <c r="BQ154" i="24"/>
  <c r="AG154" i="24"/>
  <c r="BM9" i="24"/>
  <c r="AF9" i="24"/>
  <c r="BM40" i="24"/>
  <c r="AF40" i="24"/>
  <c r="AY40" i="24"/>
  <c r="BD40" i="24"/>
  <c r="AG183" i="49"/>
  <c r="BN183" i="49"/>
  <c r="AF214" i="49"/>
  <c r="BG214" i="49"/>
  <c r="BJ214" i="49"/>
  <c r="AG51" i="24"/>
  <c r="AY51" i="24"/>
  <c r="BD51" i="24"/>
  <c r="BQ51" i="24"/>
  <c r="BQ169" i="24"/>
  <c r="AG169" i="24"/>
  <c r="BK169" i="24"/>
  <c r="AY24" i="24"/>
  <c r="BD24" i="24"/>
  <c r="BJ24" i="24"/>
  <c r="BY24" i="24"/>
  <c r="BN42" i="49"/>
  <c r="AG42" i="49"/>
  <c r="AF79" i="49"/>
  <c r="BG79" i="49"/>
  <c r="BV79" i="49"/>
  <c r="BJ79" i="49"/>
  <c r="BH175" i="49"/>
  <c r="BV175" i="49"/>
  <c r="AY175" i="49"/>
  <c r="BA175" i="49"/>
  <c r="AG42" i="24"/>
  <c r="BQ42" i="24"/>
  <c r="BJ301" i="49"/>
  <c r="AF301" i="49"/>
  <c r="BJ195" i="49"/>
  <c r="AF195" i="49"/>
  <c r="AY195" i="49"/>
  <c r="BA195" i="49"/>
  <c r="BJ242" i="24"/>
  <c r="BY242" i="24"/>
  <c r="AF123" i="24"/>
  <c r="BJ177" i="49"/>
  <c r="BJ39" i="49"/>
  <c r="BM116" i="24"/>
  <c r="BM24" i="24"/>
  <c r="AG182" i="49"/>
  <c r="BH182" i="49"/>
  <c r="AF95" i="24"/>
  <c r="BJ95" i="24"/>
  <c r="BM278" i="24"/>
  <c r="BM113" i="24"/>
  <c r="AF67" i="49"/>
  <c r="AY67" i="49"/>
  <c r="BA67" i="49"/>
  <c r="BM34" i="24"/>
  <c r="BY34" i="24"/>
  <c r="BJ88" i="49"/>
  <c r="BV88" i="49"/>
  <c r="BN275" i="49"/>
  <c r="AY52" i="49"/>
  <c r="BA52" i="49"/>
  <c r="BM289" i="24"/>
  <c r="BY289" i="24"/>
  <c r="AF157" i="49"/>
  <c r="BG157" i="49"/>
  <c r="BV157" i="49"/>
  <c r="BJ294" i="49"/>
  <c r="BV294" i="49"/>
  <c r="BJ19" i="49"/>
  <c r="AG126" i="49"/>
  <c r="AY126" i="49"/>
  <c r="BA126" i="49"/>
  <c r="BJ122" i="49"/>
  <c r="BM21" i="24"/>
  <c r="BJ86" i="49"/>
  <c r="BJ302" i="49"/>
  <c r="AF14" i="24"/>
  <c r="AY14" i="24"/>
  <c r="BD14" i="24"/>
  <c r="AF131" i="24"/>
  <c r="BJ131" i="24"/>
  <c r="BY131" i="24"/>
  <c r="BJ52" i="49"/>
  <c r="BJ188" i="49"/>
  <c r="BQ187" i="24"/>
  <c r="BX285" i="24"/>
  <c r="BR281" i="24"/>
  <c r="EW298" i="24"/>
  <c r="AJ192" i="24"/>
  <c r="BM192" i="24"/>
  <c r="BO208" i="24"/>
  <c r="BS302" i="24"/>
  <c r="BE222" i="24"/>
  <c r="BW211" i="24"/>
  <c r="BH164" i="24"/>
  <c r="EW78" i="24"/>
  <c r="BS78" i="24"/>
  <c r="BI45" i="24"/>
  <c r="BY45" i="24"/>
  <c r="AJ41" i="24"/>
  <c r="BM41" i="24"/>
  <c r="BP306" i="49"/>
  <c r="BE286" i="49"/>
  <c r="BU260" i="49"/>
  <c r="BQ243" i="49"/>
  <c r="BT229" i="49"/>
  <c r="BF218" i="49"/>
  <c r="BQ215" i="49"/>
  <c r="BT122" i="49"/>
  <c r="BQ119" i="49"/>
  <c r="BK34" i="49"/>
  <c r="BV34" i="49"/>
  <c r="CL269" i="24"/>
  <c r="BN309" i="24"/>
  <c r="EW219" i="24"/>
  <c r="BE259" i="24"/>
  <c r="BS198" i="24"/>
  <c r="BY198" i="24"/>
  <c r="EW208" i="24"/>
  <c r="AJ222" i="24"/>
  <c r="BM222" i="24"/>
  <c r="CI281" i="24"/>
  <c r="BU269" i="24"/>
  <c r="BL250" i="24"/>
  <c r="BY250" i="24"/>
  <c r="BO238" i="24"/>
  <c r="BR222" i="24"/>
  <c r="BE219" i="24"/>
  <c r="AC192" i="24"/>
  <c r="BT170" i="24"/>
  <c r="BS165" i="24"/>
  <c r="BX141" i="24"/>
  <c r="BR130" i="24"/>
  <c r="CK112" i="24"/>
  <c r="AC97" i="24"/>
  <c r="BS96" i="24"/>
  <c r="BI65" i="24"/>
  <c r="BL54" i="24"/>
  <c r="BE49" i="24"/>
  <c r="BE38" i="24"/>
  <c r="BL15" i="24"/>
  <c r="BY15" i="24"/>
  <c r="BP292" i="49"/>
  <c r="BV292" i="49"/>
  <c r="BB218" i="49"/>
  <c r="BE214" i="49"/>
  <c r="BQ190" i="49"/>
  <c r="BS124" i="49"/>
  <c r="BV124" i="49"/>
  <c r="BF122" i="49"/>
  <c r="BV122" i="49"/>
  <c r="BQ47" i="49"/>
  <c r="BF27" i="49"/>
  <c r="BV27" i="49"/>
  <c r="EX97" i="24"/>
  <c r="BR97" i="24"/>
  <c r="BU15" i="24"/>
  <c r="AF192" i="24"/>
  <c r="BJ14" i="24"/>
  <c r="BG301" i="49"/>
  <c r="BH42" i="49"/>
  <c r="BK154" i="24"/>
  <c r="BJ94" i="24"/>
  <c r="BY94" i="24"/>
  <c r="BV19" i="49"/>
  <c r="AY123" i="24"/>
  <c r="BD123" i="24"/>
  <c r="BJ123" i="24"/>
  <c r="BY123" i="24"/>
  <c r="BK51" i="24"/>
  <c r="BH183" i="49"/>
  <c r="BJ9" i="24"/>
  <c r="AY47" i="24"/>
  <c r="BD47" i="24"/>
  <c r="BG26" i="49"/>
  <c r="BV26" i="49"/>
  <c r="BK42" i="24"/>
  <c r="AY42" i="24"/>
  <c r="BD42" i="24"/>
  <c r="AY97" i="24"/>
  <c r="BD97" i="24"/>
  <c r="BJ97" i="24"/>
  <c r="BJ209" i="24"/>
  <c r="BJ264" i="24"/>
  <c r="AG297" i="24"/>
  <c r="AF17" i="49"/>
  <c r="BG17" i="49"/>
  <c r="BV17" i="49"/>
  <c r="BK228" i="24"/>
  <c r="BY228" i="24"/>
  <c r="BG303" i="49"/>
  <c r="AY263" i="24"/>
  <c r="BD263" i="24"/>
  <c r="BJ72" i="24"/>
  <c r="BK28" i="24"/>
  <c r="BY28" i="24"/>
  <c r="BH47" i="49"/>
  <c r="BH155" i="49"/>
  <c r="BN36" i="49"/>
  <c r="BJ217" i="24"/>
  <c r="BY217" i="24"/>
  <c r="BH284" i="49"/>
  <c r="BV284" i="49"/>
  <c r="BK230" i="24"/>
  <c r="BY230" i="24"/>
  <c r="AY230" i="24"/>
  <c r="BD230" i="24"/>
  <c r="BH222" i="49"/>
  <c r="BV222" i="49"/>
  <c r="AY222" i="49"/>
  <c r="BA222" i="49"/>
  <c r="BH228" i="49"/>
  <c r="BV228" i="49"/>
  <c r="AY228" i="49"/>
  <c r="BA228" i="49"/>
  <c r="BH272" i="49"/>
  <c r="AY272" i="49"/>
  <c r="BA272" i="49"/>
  <c r="AG220" i="24"/>
  <c r="AY220" i="24"/>
  <c r="BD220" i="24"/>
  <c r="BN200" i="49"/>
  <c r="AG251" i="24"/>
  <c r="BH135" i="49"/>
  <c r="AY135" i="49"/>
  <c r="BA135" i="49"/>
  <c r="BK122" i="24"/>
  <c r="BY122" i="24"/>
  <c r="AY122" i="24"/>
  <c r="BD122" i="24"/>
  <c r="AY69" i="24"/>
  <c r="BD69" i="24"/>
  <c r="BK69" i="24"/>
  <c r="BY69" i="24"/>
  <c r="BJ219" i="24"/>
  <c r="AY219" i="24"/>
  <c r="BD219" i="24"/>
  <c r="BY121" i="24"/>
  <c r="BJ260" i="49"/>
  <c r="AG138" i="24"/>
  <c r="AY138" i="24"/>
  <c r="BD138" i="24"/>
  <c r="BK282" i="24"/>
  <c r="BH104" i="49"/>
  <c r="AG131" i="24"/>
  <c r="BY257" i="24"/>
  <c r="BG68" i="49"/>
  <c r="BV68" i="49"/>
  <c r="AY68" i="49"/>
  <c r="BA68" i="49"/>
  <c r="BV13" i="49"/>
  <c r="BK276" i="24"/>
  <c r="AY276" i="24"/>
  <c r="BD276" i="24"/>
  <c r="AY291" i="49"/>
  <c r="BA291" i="49"/>
  <c r="BH291" i="49"/>
  <c r="BH147" i="49"/>
  <c r="BV147" i="49"/>
  <c r="AY147" i="49"/>
  <c r="BA147" i="49"/>
  <c r="AY51" i="49"/>
  <c r="BA51" i="49"/>
  <c r="AY68" i="24"/>
  <c r="BD68" i="24"/>
  <c r="AY299" i="24"/>
  <c r="BD299" i="24"/>
  <c r="BV55" i="49"/>
  <c r="BK48" i="24"/>
  <c r="AG93" i="24"/>
  <c r="BK93" i="24"/>
  <c r="BY93" i="24"/>
  <c r="BQ93" i="24"/>
  <c r="AY167" i="24"/>
  <c r="BD167" i="24"/>
  <c r="AG49" i="49"/>
  <c r="BH49" i="49"/>
  <c r="BN49" i="49"/>
  <c r="BJ20" i="49"/>
  <c r="AF20" i="49"/>
  <c r="AG58" i="24"/>
  <c r="BQ58" i="24"/>
  <c r="AF207" i="24"/>
  <c r="BJ207" i="24"/>
  <c r="BY207" i="24"/>
  <c r="BQ167" i="24"/>
  <c r="BM7" i="24"/>
  <c r="BN230" i="49"/>
  <c r="BM54" i="24"/>
  <c r="BJ227" i="49"/>
  <c r="AG46" i="49"/>
  <c r="AY46" i="49"/>
  <c r="BA46" i="49"/>
  <c r="BN15" i="49"/>
  <c r="BQ48" i="24"/>
  <c r="AF66" i="24"/>
  <c r="AF90" i="24"/>
  <c r="AY90" i="24"/>
  <c r="BD90" i="24"/>
  <c r="BM90" i="24"/>
  <c r="AF214" i="24"/>
  <c r="BM214" i="24"/>
  <c r="AF245" i="24"/>
  <c r="AY252" i="49"/>
  <c r="BA252" i="49"/>
  <c r="AY241" i="24"/>
  <c r="BD241" i="24"/>
  <c r="BQ276" i="24"/>
  <c r="BM224" i="24"/>
  <c r="BJ49" i="49"/>
  <c r="AF49" i="49"/>
  <c r="BG49" i="49"/>
  <c r="BV49" i="49"/>
  <c r="AG46" i="24"/>
  <c r="BK46" i="24"/>
  <c r="BY46" i="24"/>
  <c r="BQ46" i="24"/>
  <c r="AF183" i="49"/>
  <c r="BG183" i="49"/>
  <c r="BV183" i="49"/>
  <c r="AY183" i="49"/>
  <c r="BA183" i="49"/>
  <c r="BJ183" i="49"/>
  <c r="AG185" i="24"/>
  <c r="AY185" i="24"/>
  <c r="BD185" i="24"/>
  <c r="AF107" i="49"/>
  <c r="AY308" i="24"/>
  <c r="BD308" i="24"/>
  <c r="AG265" i="49"/>
  <c r="BH265" i="49"/>
  <c r="BM117" i="24"/>
  <c r="BM150" i="24"/>
  <c r="AG201" i="24"/>
  <c r="AY201" i="24"/>
  <c r="BD201" i="24"/>
  <c r="BK13" i="24"/>
  <c r="AY13" i="24"/>
  <c r="BD13" i="24"/>
  <c r="AG212" i="24"/>
  <c r="BK212" i="24"/>
  <c r="AG126" i="24"/>
  <c r="BK126" i="24"/>
  <c r="BY126" i="24"/>
  <c r="BQ126" i="24"/>
  <c r="AF82" i="49"/>
  <c r="AY82" i="49"/>
  <c r="BA82" i="49"/>
  <c r="BJ277" i="24"/>
  <c r="AG22" i="49"/>
  <c r="BH22" i="49"/>
  <c r="BV22" i="49"/>
  <c r="AF38" i="24"/>
  <c r="BJ87" i="49"/>
  <c r="BV87" i="49"/>
  <c r="AY29" i="24"/>
  <c r="BD29" i="24"/>
  <c r="AF203" i="24"/>
  <c r="AY203" i="24"/>
  <c r="BD203" i="24"/>
  <c r="BM55" i="24"/>
  <c r="AG296" i="24"/>
  <c r="AY296" i="24"/>
  <c r="BD296" i="24"/>
  <c r="BQ296" i="24"/>
  <c r="AF59" i="24"/>
  <c r="BJ59" i="24"/>
  <c r="BY59" i="24"/>
  <c r="BM59" i="24"/>
  <c r="BN304" i="49"/>
  <c r="AG304" i="49"/>
  <c r="AG188" i="49"/>
  <c r="BN188" i="49"/>
  <c r="BN201" i="49"/>
  <c r="BE139" i="24"/>
  <c r="BR59" i="24"/>
  <c r="BT26" i="24"/>
  <c r="BY26" i="24"/>
  <c r="BI9" i="24"/>
  <c r="BR251" i="49"/>
  <c r="BI251" i="49"/>
  <c r="BP234" i="49"/>
  <c r="BE234" i="49"/>
  <c r="AC183" i="49"/>
  <c r="BR183" i="49"/>
  <c r="BT172" i="49"/>
  <c r="BV172" i="49"/>
  <c r="AC172" i="49"/>
  <c r="BF163" i="49"/>
  <c r="BV163" i="49"/>
  <c r="BI163" i="49"/>
  <c r="BU157" i="49"/>
  <c r="BS301" i="24"/>
  <c r="BE98" i="24"/>
  <c r="BR17" i="24"/>
  <c r="AQ113" i="49"/>
  <c r="AG113" i="49"/>
  <c r="BW98" i="24"/>
  <c r="AJ288" i="49"/>
  <c r="BJ288" i="49"/>
  <c r="BT249" i="49"/>
  <c r="BT221" i="49"/>
  <c r="AQ177" i="49"/>
  <c r="AG177" i="49"/>
  <c r="BU174" i="49"/>
  <c r="S127" i="49"/>
  <c r="S318" i="49"/>
  <c r="BI116" i="49"/>
  <c r="BQ113" i="49"/>
  <c r="AQ86" i="49"/>
  <c r="BN86" i="49"/>
  <c r="BT59" i="49"/>
  <c r="AO318" i="49"/>
  <c r="AO321" i="49"/>
  <c r="AQ23" i="49"/>
  <c r="AG23" i="49"/>
  <c r="AQ59" i="24"/>
  <c r="BQ59" i="24"/>
  <c r="AG59" i="24"/>
  <c r="BK59" i="24"/>
  <c r="BT264" i="49"/>
  <c r="BV264" i="49"/>
  <c r="AC195" i="49"/>
  <c r="AQ185" i="49"/>
  <c r="AG185" i="49"/>
  <c r="BU166" i="49"/>
  <c r="BT151" i="49"/>
  <c r="BV151" i="49"/>
  <c r="BI126" i="49"/>
  <c r="BF109" i="49"/>
  <c r="BK109" i="49"/>
  <c r="BT52" i="49"/>
  <c r="BV52" i="49"/>
  <c r="BO40" i="49"/>
  <c r="BV40" i="49"/>
  <c r="AY20" i="49"/>
  <c r="BA20" i="49"/>
  <c r="AY251" i="24"/>
  <c r="BD251" i="24"/>
  <c r="BK251" i="24"/>
  <c r="BY251" i="24"/>
  <c r="BK297" i="24"/>
  <c r="BJ38" i="24"/>
  <c r="BG82" i="49"/>
  <c r="BV82" i="49"/>
  <c r="BH304" i="49"/>
  <c r="BV304" i="49"/>
  <c r="AY304" i="49"/>
  <c r="BA304" i="49"/>
  <c r="BJ90" i="24"/>
  <c r="BJ66" i="24"/>
  <c r="AY66" i="24"/>
  <c r="BD66" i="24"/>
  <c r="BK131" i="24"/>
  <c r="BK138" i="24"/>
  <c r="BY138" i="24"/>
  <c r="BK220" i="24"/>
  <c r="AG86" i="49"/>
  <c r="BH86" i="49"/>
  <c r="BV86" i="49"/>
  <c r="BK201" i="24"/>
  <c r="BY201" i="24"/>
  <c r="AY46" i="24"/>
  <c r="BD46" i="24"/>
  <c r="BN177" i="49"/>
  <c r="BN113" i="49"/>
  <c r="AY188" i="49"/>
  <c r="BA188" i="49"/>
  <c r="BH188" i="49"/>
  <c r="BV188" i="49"/>
  <c r="AY265" i="49"/>
  <c r="BA265" i="49"/>
  <c r="BK58" i="24"/>
  <c r="BY17" i="24"/>
  <c r="BK292" i="24"/>
  <c r="BJ139" i="24"/>
  <c r="AY27" i="24"/>
  <c r="BD27" i="24"/>
  <c r="BK27" i="24"/>
  <c r="BY27" i="24"/>
  <c r="BY7" i="24"/>
  <c r="BK262" i="24"/>
  <c r="BY262" i="24"/>
  <c r="AY262" i="24"/>
  <c r="BD262" i="24"/>
  <c r="AY255" i="24"/>
  <c r="BD255" i="24"/>
  <c r="BJ255" i="24"/>
  <c r="BY255" i="24"/>
  <c r="AY277" i="49"/>
  <c r="BA277" i="49"/>
  <c r="BH277" i="49"/>
  <c r="BV277" i="49"/>
  <c r="AY54" i="24"/>
  <c r="BD54" i="24"/>
  <c r="BJ54" i="24"/>
  <c r="BY54" i="24"/>
  <c r="BG146" i="49"/>
  <c r="AY207" i="24"/>
  <c r="BD207" i="24"/>
  <c r="AQ318" i="49"/>
  <c r="BN23" i="49"/>
  <c r="BJ214" i="24"/>
  <c r="AY93" i="24"/>
  <c r="BD93" i="24"/>
  <c r="BJ245" i="24"/>
  <c r="BJ192" i="24"/>
  <c r="BG195" i="49"/>
  <c r="BV195" i="49"/>
  <c r="AF222" i="24"/>
  <c r="AY222" i="24"/>
  <c r="BD222" i="24"/>
  <c r="AY275" i="49"/>
  <c r="BA275" i="49"/>
  <c r="AY48" i="49"/>
  <c r="BA48" i="49"/>
  <c r="BM139" i="24"/>
  <c r="AG29" i="49"/>
  <c r="BN29" i="49"/>
  <c r="BK16" i="24"/>
  <c r="AY30" i="49"/>
  <c r="BA30" i="49"/>
  <c r="BH30" i="49"/>
  <c r="BV30" i="49"/>
  <c r="BK162" i="24"/>
  <c r="BG20" i="49"/>
  <c r="BV20" i="49"/>
  <c r="AY126" i="24"/>
  <c r="BD126" i="24"/>
  <c r="AY214" i="49"/>
  <c r="BA214" i="49"/>
  <c r="AY309" i="24"/>
  <c r="BD309" i="24"/>
  <c r="BN118" i="49"/>
  <c r="AG118" i="49"/>
  <c r="AG315" i="49"/>
  <c r="BN315" i="49"/>
  <c r="BH211" i="49"/>
  <c r="BV211" i="49"/>
  <c r="AY211" i="49"/>
  <c r="BA211" i="49"/>
  <c r="AY170" i="49"/>
  <c r="BA170" i="49"/>
  <c r="BH170" i="49"/>
  <c r="BK206" i="24"/>
  <c r="BY206" i="24"/>
  <c r="AY206" i="24"/>
  <c r="BD206" i="24"/>
  <c r="BG15" i="49"/>
  <c r="BV15" i="49"/>
  <c r="AY15" i="49"/>
  <c r="BA15" i="49"/>
  <c r="BH181" i="49"/>
  <c r="AY181" i="49"/>
  <c r="BA181" i="49"/>
  <c r="AG273" i="49"/>
  <c r="AY273" i="49"/>
  <c r="BA273" i="49"/>
  <c r="BN273" i="49"/>
  <c r="BQ113" i="24"/>
  <c r="AG113" i="24"/>
  <c r="AY113" i="24"/>
  <c r="BD113" i="24"/>
  <c r="BK85" i="24"/>
  <c r="AY100" i="24"/>
  <c r="BD100" i="24"/>
  <c r="BK100" i="24"/>
  <c r="AY73" i="49"/>
  <c r="BA73" i="49"/>
  <c r="BH73" i="49"/>
  <c r="BV73" i="49"/>
  <c r="BH209" i="49"/>
  <c r="AY209" i="49"/>
  <c r="BA209" i="49"/>
  <c r="AY223" i="49"/>
  <c r="BA223" i="49"/>
  <c r="BG223" i="49"/>
  <c r="BV223" i="49"/>
  <c r="BV24" i="49"/>
  <c r="AG236" i="24"/>
  <c r="BK236" i="24"/>
  <c r="BQ70" i="24"/>
  <c r="BN186" i="49"/>
  <c r="BN285" i="49"/>
  <c r="AG19" i="24"/>
  <c r="BK19" i="24"/>
  <c r="BY19" i="24"/>
  <c r="BN142" i="49"/>
  <c r="BQ100" i="24"/>
  <c r="BQ85" i="24"/>
  <c r="AY53" i="24"/>
  <c r="BD53" i="24"/>
  <c r="BN104" i="49"/>
  <c r="BQ151" i="24"/>
  <c r="BJ237" i="49"/>
  <c r="BV237" i="49"/>
  <c r="AG290" i="49"/>
  <c r="AY290" i="49"/>
  <c r="BA290" i="49"/>
  <c r="BN251" i="49"/>
  <c r="BG139" i="49"/>
  <c r="BV139" i="49"/>
  <c r="AY139" i="49"/>
  <c r="BA139" i="49"/>
  <c r="AY267" i="49"/>
  <c r="BA267" i="49"/>
  <c r="AG117" i="49"/>
  <c r="AY26" i="24"/>
  <c r="BD26" i="24"/>
  <c r="BJ98" i="24"/>
  <c r="BY98" i="24"/>
  <c r="BJ218" i="49"/>
  <c r="BN116" i="49"/>
  <c r="BN149" i="49"/>
  <c r="AY164" i="24"/>
  <c r="BD164" i="24"/>
  <c r="AF120" i="49"/>
  <c r="BG120" i="49"/>
  <c r="BV120" i="49"/>
  <c r="BJ145" i="49"/>
  <c r="BV145" i="49"/>
  <c r="AG74" i="24"/>
  <c r="BK74" i="24"/>
  <c r="BY74" i="24"/>
  <c r="AF276" i="49"/>
  <c r="BG276" i="49"/>
  <c r="BV276" i="49"/>
  <c r="BK249" i="24"/>
  <c r="AG39" i="24"/>
  <c r="BK39" i="24"/>
  <c r="BQ39" i="24"/>
  <c r="BJ278" i="24"/>
  <c r="BY278" i="24"/>
  <c r="AY278" i="24"/>
  <c r="BD278" i="24"/>
  <c r="BN135" i="49"/>
  <c r="BV135" i="49"/>
  <c r="AY62" i="49"/>
  <c r="BA62" i="49"/>
  <c r="BM229" i="24"/>
  <c r="AF229" i="24"/>
  <c r="BJ229" i="24"/>
  <c r="BY229" i="24"/>
  <c r="BH258" i="49"/>
  <c r="BV258" i="49"/>
  <c r="AY258" i="49"/>
  <c r="BA258" i="49"/>
  <c r="BJ65" i="24"/>
  <c r="BT258" i="24"/>
  <c r="BS258" i="24"/>
  <c r="BL258" i="24"/>
  <c r="BW108" i="24"/>
  <c r="BW91" i="24"/>
  <c r="AJ81" i="24"/>
  <c r="AF81" i="24"/>
  <c r="EX75" i="24"/>
  <c r="AQ52" i="24"/>
  <c r="AG52" i="24"/>
  <c r="AQ43" i="24"/>
  <c r="AG43" i="24"/>
  <c r="BK43" i="24"/>
  <c r="BY43" i="24"/>
  <c r="BQ43" i="24"/>
  <c r="AQ309" i="49"/>
  <c r="BN309" i="49"/>
  <c r="BL253" i="24"/>
  <c r="BR178" i="24"/>
  <c r="CI178" i="24"/>
  <c r="BX161" i="24"/>
  <c r="AQ150" i="24"/>
  <c r="AG150" i="24"/>
  <c r="AQ148" i="24"/>
  <c r="AG148" i="24"/>
  <c r="AQ103" i="24"/>
  <c r="BQ103" i="24"/>
  <c r="AQ96" i="24"/>
  <c r="BX80" i="24"/>
  <c r="DP319" i="24"/>
  <c r="S28" i="24"/>
  <c r="AQ158" i="49"/>
  <c r="AG158" i="49"/>
  <c r="AC158" i="49"/>
  <c r="AC164" i="24"/>
  <c r="BS164" i="24"/>
  <c r="BT252" i="49"/>
  <c r="BR212" i="49"/>
  <c r="BV212" i="49"/>
  <c r="BT212" i="49"/>
  <c r="AQ169" i="49"/>
  <c r="BN169" i="49"/>
  <c r="AQ316" i="24"/>
  <c r="AG316" i="24"/>
  <c r="AQ261" i="24"/>
  <c r="BQ261" i="24"/>
  <c r="AQ253" i="24"/>
  <c r="BE224" i="24"/>
  <c r="EW206" i="24"/>
  <c r="BX199" i="24"/>
  <c r="AJ199" i="24"/>
  <c r="BM199" i="24"/>
  <c r="BW199" i="24"/>
  <c r="AQ197" i="24"/>
  <c r="AQ165" i="24"/>
  <c r="BQ165" i="24"/>
  <c r="AQ157" i="24"/>
  <c r="BQ157" i="24"/>
  <c r="BH150" i="24"/>
  <c r="S143" i="24"/>
  <c r="EX141" i="24"/>
  <c r="BO141" i="24"/>
  <c r="BO103" i="24"/>
  <c r="S51" i="24"/>
  <c r="AQ41" i="24"/>
  <c r="AG41" i="24"/>
  <c r="BK41" i="24"/>
  <c r="BV37" i="24"/>
  <c r="BX31" i="24"/>
  <c r="AQ30" i="24"/>
  <c r="AG30" i="24"/>
  <c r="AQ11" i="24"/>
  <c r="AG11" i="24"/>
  <c r="BI316" i="49"/>
  <c r="BV316" i="49"/>
  <c r="BT303" i="49"/>
  <c r="BU196" i="49"/>
  <c r="BT196" i="49"/>
  <c r="BY164" i="24"/>
  <c r="BN158" i="49"/>
  <c r="FG322" i="49"/>
  <c r="FG324" i="49"/>
  <c r="AG157" i="24"/>
  <c r="AG253" i="24"/>
  <c r="BK253" i="24"/>
  <c r="BY253" i="24"/>
  <c r="BQ253" i="24"/>
  <c r="AG103" i="24"/>
  <c r="BK103" i="24"/>
  <c r="AY74" i="24"/>
  <c r="BD74" i="24"/>
  <c r="BQ41" i="24"/>
  <c r="AG165" i="24"/>
  <c r="AY165" i="24"/>
  <c r="BD165" i="24"/>
  <c r="BY178" i="24"/>
  <c r="AG309" i="49"/>
  <c r="BQ52" i="24"/>
  <c r="AY39" i="24"/>
  <c r="BD39" i="24"/>
  <c r="BH273" i="49"/>
  <c r="BV273" i="49"/>
  <c r="AY315" i="49"/>
  <c r="BA315" i="49"/>
  <c r="BH315" i="49"/>
  <c r="BV315" i="49"/>
  <c r="BH29" i="49"/>
  <c r="AY29" i="49"/>
  <c r="BA29" i="49"/>
  <c r="ES326" i="49"/>
  <c r="ES327" i="49"/>
  <c r="ER322" i="49"/>
  <c r="ER324" i="49"/>
  <c r="BQ316" i="24"/>
  <c r="BQ150" i="24"/>
  <c r="BK113" i="24"/>
  <c r="AY118" i="49"/>
  <c r="BA118" i="49"/>
  <c r="BH118" i="49"/>
  <c r="BV118" i="49"/>
  <c r="BK165" i="24"/>
  <c r="AY200" i="49"/>
  <c r="BA200" i="49"/>
  <c r="BH200" i="49"/>
  <c r="BV200" i="49"/>
  <c r="AY219" i="49"/>
  <c r="BA219" i="49"/>
  <c r="BH219" i="49"/>
  <c r="BV219" i="49"/>
  <c r="BH75" i="49"/>
  <c r="BV90" i="49"/>
  <c r="BK88" i="24"/>
  <c r="BY88" i="24"/>
  <c r="AY88" i="24"/>
  <c r="BD88" i="24"/>
  <c r="AY218" i="49"/>
  <c r="BA218" i="49"/>
  <c r="BG218" i="49"/>
  <c r="BV218" i="49"/>
  <c r="BH167" i="49"/>
  <c r="BV167" i="49"/>
  <c r="AY167" i="49"/>
  <c r="BA167" i="49"/>
  <c r="AG127" i="49"/>
  <c r="AY127" i="49"/>
  <c r="BA127" i="49"/>
  <c r="BN127" i="49"/>
  <c r="AF152" i="49"/>
  <c r="BM80" i="24"/>
  <c r="AF80" i="24"/>
  <c r="AF241" i="49"/>
  <c r="BJ241" i="49"/>
  <c r="AY198" i="49"/>
  <c r="BA198" i="49"/>
  <c r="BH43" i="49"/>
  <c r="AY43" i="49"/>
  <c r="BA43" i="49"/>
  <c r="BJ194" i="24"/>
  <c r="BK86" i="24"/>
  <c r="BY86" i="24"/>
  <c r="AY86" i="24"/>
  <c r="BD86" i="24"/>
  <c r="BY306" i="24"/>
  <c r="AF97" i="49"/>
  <c r="AY97" i="49"/>
  <c r="BA97" i="49"/>
  <c r="BJ97" i="49"/>
  <c r="BN134" i="49"/>
  <c r="AG134" i="49"/>
  <c r="BH134" i="49"/>
  <c r="BV134" i="49"/>
  <c r="BK107" i="24"/>
  <c r="BN196" i="49"/>
  <c r="AG77" i="24"/>
  <c r="BK77" i="24"/>
  <c r="BY77" i="24"/>
  <c r="BQ77" i="24"/>
  <c r="BG226" i="49"/>
  <c r="BV226" i="49"/>
  <c r="BJ147" i="24"/>
  <c r="AY207" i="49"/>
  <c r="BA207" i="49"/>
  <c r="AQ245" i="24"/>
  <c r="CY319" i="49"/>
  <c r="AJ69" i="49"/>
  <c r="BO69" i="49"/>
  <c r="BT69" i="49"/>
  <c r="BW290" i="24"/>
  <c r="BY290" i="24"/>
  <c r="BX115" i="24"/>
  <c r="BY115" i="24"/>
  <c r="CI21" i="24"/>
  <c r="EW21" i="24"/>
  <c r="BR21" i="24"/>
  <c r="BN21" i="24"/>
  <c r="AC210" i="24"/>
  <c r="CK210" i="24"/>
  <c r="AJ173" i="24"/>
  <c r="BX173" i="24"/>
  <c r="BI120" i="24"/>
  <c r="AJ120" i="24"/>
  <c r="AF120" i="24"/>
  <c r="BP120" i="24"/>
  <c r="BV120" i="24"/>
  <c r="BK288" i="24"/>
  <c r="BH263" i="24"/>
  <c r="BY263" i="24"/>
  <c r="CI263" i="24"/>
  <c r="BV134" i="24"/>
  <c r="BT134" i="24"/>
  <c r="BP134" i="24"/>
  <c r="AJ128" i="49"/>
  <c r="BJ128" i="49"/>
  <c r="AF128" i="49"/>
  <c r="AY128" i="49"/>
  <c r="BA128" i="49"/>
  <c r="BS128" i="49"/>
  <c r="BO128" i="49"/>
  <c r="BK128" i="49"/>
  <c r="BT128" i="49"/>
  <c r="BP128" i="49"/>
  <c r="BL128" i="49"/>
  <c r="BB128" i="49"/>
  <c r="AY184" i="49"/>
  <c r="BA184" i="49"/>
  <c r="BP274" i="24"/>
  <c r="BL274" i="24"/>
  <c r="BI274" i="24"/>
  <c r="BH152" i="24"/>
  <c r="EW152" i="24"/>
  <c r="CK103" i="24"/>
  <c r="BW103" i="24"/>
  <c r="BS103" i="24"/>
  <c r="AJ103" i="24"/>
  <c r="BS80" i="24"/>
  <c r="BL80" i="24"/>
  <c r="BU80" i="24"/>
  <c r="AQ65" i="24"/>
  <c r="AG65" i="24"/>
  <c r="BT65" i="24"/>
  <c r="BH65" i="24"/>
  <c r="BR138" i="49"/>
  <c r="BF138" i="49"/>
  <c r="BV138" i="49"/>
  <c r="BS138" i="49"/>
  <c r="AQ301" i="24"/>
  <c r="BQ301" i="24"/>
  <c r="AQ229" i="24"/>
  <c r="AJ283" i="49"/>
  <c r="BB283" i="49"/>
  <c r="BO283" i="49"/>
  <c r="BK283" i="49"/>
  <c r="BN16" i="49"/>
  <c r="BU7" i="49"/>
  <c r="BL165" i="24"/>
  <c r="BH165" i="24"/>
  <c r="EX165" i="24"/>
  <c r="CK165" i="24"/>
  <c r="AQ49" i="24"/>
  <c r="BQ49" i="24"/>
  <c r="BT49" i="24"/>
  <c r="BI298" i="49"/>
  <c r="AJ298" i="49"/>
  <c r="AF298" i="49"/>
  <c r="AY298" i="49"/>
  <c r="BA298" i="49"/>
  <c r="BJ298" i="49"/>
  <c r="BF298" i="49"/>
  <c r="BS298" i="49"/>
  <c r="BS140" i="49"/>
  <c r="BO140" i="49"/>
  <c r="BT140" i="49"/>
  <c r="BK140" i="49"/>
  <c r="BP140" i="49"/>
  <c r="BL140" i="49"/>
  <c r="BB140" i="49"/>
  <c r="BP44" i="49"/>
  <c r="BR44" i="49"/>
  <c r="BF44" i="49"/>
  <c r="BV44" i="49"/>
  <c r="AC9" i="49"/>
  <c r="BS9" i="49"/>
  <c r="BO9" i="49"/>
  <c r="BL9" i="49"/>
  <c r="BB9" i="49"/>
  <c r="BM281" i="24"/>
  <c r="BY281" i="24"/>
  <c r="BP142" i="49"/>
  <c r="BK142" i="49"/>
  <c r="BL142" i="49"/>
  <c r="BB142" i="49"/>
  <c r="BP65" i="49"/>
  <c r="BO65" i="49"/>
  <c r="BK65" i="49"/>
  <c r="BB65" i="49"/>
  <c r="BT46" i="49"/>
  <c r="BP46" i="49"/>
  <c r="BL46" i="49"/>
  <c r="BB46" i="49"/>
  <c r="BS46" i="49"/>
  <c r="BO46" i="49"/>
  <c r="BK46" i="49"/>
  <c r="BJ60" i="24"/>
  <c r="BY60" i="24"/>
  <c r="BQ302" i="49"/>
  <c r="BR302" i="49"/>
  <c r="BK302" i="49"/>
  <c r="BU302" i="49"/>
  <c r="BE302" i="49"/>
  <c r="BV302" i="49"/>
  <c r="BT243" i="49"/>
  <c r="BS243" i="49"/>
  <c r="BO243" i="49"/>
  <c r="BT193" i="49"/>
  <c r="BT133" i="49"/>
  <c r="BO133" i="49"/>
  <c r="BS133" i="49"/>
  <c r="BB133" i="49"/>
  <c r="BL133" i="49"/>
  <c r="BH133" i="49"/>
  <c r="BP133" i="49"/>
  <c r="BI133" i="49"/>
  <c r="AC133" i="49"/>
  <c r="BF133" i="49"/>
  <c r="BB63" i="49"/>
  <c r="BF160" i="49"/>
  <c r="BV160" i="49"/>
  <c r="BM205" i="49"/>
  <c r="BR229" i="49"/>
  <c r="BE166" i="49"/>
  <c r="BB170" i="49"/>
  <c r="BR208" i="24"/>
  <c r="AQ237" i="24"/>
  <c r="AG237" i="24"/>
  <c r="AQ215" i="24"/>
  <c r="AG215" i="24"/>
  <c r="BT211" i="24"/>
  <c r="BP179" i="24"/>
  <c r="AQ161" i="24"/>
  <c r="BQ161" i="24"/>
  <c r="AG161" i="24"/>
  <c r="BK161" i="24"/>
  <c r="BY161" i="24"/>
  <c r="BQ201" i="49"/>
  <c r="BM197" i="49"/>
  <c r="BV197" i="49"/>
  <c r="BP193" i="49"/>
  <c r="BV193" i="49"/>
  <c r="BM131" i="49"/>
  <c r="BB31" i="49"/>
  <c r="BL63" i="49"/>
  <c r="BP288" i="49"/>
  <c r="BN50" i="24"/>
  <c r="BT166" i="49"/>
  <c r="BM170" i="49"/>
  <c r="BE205" i="49"/>
  <c r="AQ208" i="24"/>
  <c r="BQ208" i="24"/>
  <c r="AG208" i="24"/>
  <c r="BK208" i="24"/>
  <c r="BK170" i="49"/>
  <c r="BL234" i="24"/>
  <c r="BS167" i="24"/>
  <c r="BY167" i="24"/>
  <c r="EX61" i="24"/>
  <c r="BB201" i="49"/>
  <c r="BL16" i="49"/>
  <c r="AC7" i="49"/>
  <c r="BL31" i="49"/>
  <c r="BP63" i="49"/>
  <c r="BR50" i="24"/>
  <c r="BP166" i="49"/>
  <c r="BV50" i="24"/>
  <c r="BE104" i="24"/>
  <c r="BP155" i="24"/>
  <c r="BY155" i="24"/>
  <c r="BL166" i="49"/>
  <c r="BO63" i="49"/>
  <c r="BT31" i="49"/>
  <c r="CI50" i="24"/>
  <c r="BH72" i="24"/>
  <c r="BS104" i="24"/>
  <c r="BB166" i="49"/>
  <c r="AC137" i="49"/>
  <c r="BF33" i="49"/>
  <c r="BV33" i="49"/>
  <c r="BF67" i="49"/>
  <c r="BE245" i="49"/>
  <c r="EW50" i="24"/>
  <c r="BT72" i="24"/>
  <c r="BS166" i="49"/>
  <c r="BL205" i="49"/>
  <c r="AQ300" i="24"/>
  <c r="BK31" i="49"/>
  <c r="BO166" i="49"/>
  <c r="BB205" i="49"/>
  <c r="BX256" i="24"/>
  <c r="AC64" i="24"/>
  <c r="BP281" i="49"/>
  <c r="BO31" i="49"/>
  <c r="BK166" i="49"/>
  <c r="BK205" i="49"/>
  <c r="BI205" i="49"/>
  <c r="BR102" i="49"/>
  <c r="BR260" i="49"/>
  <c r="BK102" i="49"/>
  <c r="BK260" i="49"/>
  <c r="BP40" i="24"/>
  <c r="BR166" i="49"/>
  <c r="BR205" i="49"/>
  <c r="AQ260" i="49"/>
  <c r="BN260" i="49"/>
  <c r="AQ166" i="49"/>
  <c r="BN166" i="49"/>
  <c r="BM166" i="49"/>
  <c r="AG229" i="24"/>
  <c r="BK229" i="24"/>
  <c r="BQ229" i="24"/>
  <c r="AG245" i="24"/>
  <c r="BK245" i="24"/>
  <c r="BY245" i="24"/>
  <c r="BQ245" i="24"/>
  <c r="BG152" i="49"/>
  <c r="AF103" i="24"/>
  <c r="AY103" i="24"/>
  <c r="BD103" i="24"/>
  <c r="BM103" i="24"/>
  <c r="AF173" i="24"/>
  <c r="BJ173" i="24"/>
  <c r="BY173" i="24"/>
  <c r="BM173" i="24"/>
  <c r="AY77" i="24"/>
  <c r="BD77" i="24"/>
  <c r="BJ80" i="24"/>
  <c r="BG97" i="49"/>
  <c r="BV97" i="49"/>
  <c r="BG241" i="49"/>
  <c r="BV241" i="49"/>
  <c r="AY241" i="49"/>
  <c r="BA241" i="49"/>
  <c r="BH127" i="49"/>
  <c r="AF69" i="49"/>
  <c r="AY69" i="49"/>
  <c r="BA69" i="49"/>
  <c r="BJ69" i="49"/>
  <c r="AY134" i="49"/>
  <c r="BA134" i="49"/>
  <c r="AG49" i="24"/>
  <c r="BK49" i="24"/>
  <c r="AF283" i="49"/>
  <c r="AY283" i="49"/>
  <c r="BA283" i="49"/>
  <c r="BJ283" i="49"/>
  <c r="BG128" i="49"/>
  <c r="BV128" i="49"/>
  <c r="AY229" i="24"/>
  <c r="BD229" i="24"/>
  <c r="BG298" i="49"/>
  <c r="BG283" i="49"/>
  <c r="BV283" i="49"/>
  <c r="DY326" i="49"/>
  <c r="DY327" i="49"/>
  <c r="FS326" i="49"/>
  <c r="FS327" i="49"/>
  <c r="CQ322" i="49"/>
  <c r="CQ324" i="49"/>
  <c r="EH326" i="49"/>
  <c r="EH327" i="49"/>
  <c r="DQ322" i="49"/>
  <c r="DQ324" i="49"/>
  <c r="DQ326" i="49"/>
  <c r="DQ327" i="49"/>
  <c r="EO322" i="49"/>
  <c r="EO324" i="49"/>
  <c r="DX322" i="49"/>
  <c r="DX324" i="49"/>
  <c r="DI322" i="49"/>
  <c r="DI324" i="49"/>
  <c r="DI326" i="49"/>
  <c r="DI327" i="49"/>
  <c r="DH326" i="49"/>
  <c r="DH327" i="49"/>
  <c r="EH322" i="49"/>
  <c r="EH324" i="49"/>
  <c r="CO322" i="49"/>
  <c r="CO324" i="49"/>
  <c r="ET326" i="49"/>
  <c r="ET327" i="49"/>
  <c r="ES322" i="49"/>
  <c r="ES324" i="49"/>
  <c r="AG197" i="24"/>
  <c r="BQ197" i="24"/>
  <c r="AG96" i="24"/>
  <c r="AY96" i="24"/>
  <c r="BD96" i="24"/>
  <c r="BQ96" i="24"/>
  <c r="DY322" i="49"/>
  <c r="DY324" i="49"/>
  <c r="BH309" i="49"/>
  <c r="BH117" i="49"/>
  <c r="BV117" i="49"/>
  <c r="AY117" i="49"/>
  <c r="BA117" i="49"/>
  <c r="FW324" i="49"/>
  <c r="FW325" i="49"/>
  <c r="AY43" i="24"/>
  <c r="BD43" i="24"/>
  <c r="BY91" i="24"/>
  <c r="BH23" i="49"/>
  <c r="BV23" i="49"/>
  <c r="AY23" i="49"/>
  <c r="BA23" i="49"/>
  <c r="AY86" i="49"/>
  <c r="BA86" i="49"/>
  <c r="BK141" i="24"/>
  <c r="BY141" i="24"/>
  <c r="AY141" i="24"/>
  <c r="BD141" i="24"/>
  <c r="BH64" i="49"/>
  <c r="BV64" i="49"/>
  <c r="AY64" i="49"/>
  <c r="BA64" i="49"/>
  <c r="BH116" i="49"/>
  <c r="BV116" i="49"/>
  <c r="AY116" i="49"/>
  <c r="BA116" i="49"/>
  <c r="BH285" i="49"/>
  <c r="BV285" i="49"/>
  <c r="AY285" i="49"/>
  <c r="BA285" i="49"/>
  <c r="BK70" i="24"/>
  <c r="BY70" i="24"/>
  <c r="AY70" i="24"/>
  <c r="BD70" i="24"/>
  <c r="BK240" i="24"/>
  <c r="AY240" i="24"/>
  <c r="BD240" i="24"/>
  <c r="AY142" i="49"/>
  <c r="BA142" i="49"/>
  <c r="BH142" i="49"/>
  <c r="BV142" i="49"/>
  <c r="AF288" i="49"/>
  <c r="BG288" i="49"/>
  <c r="BV308" i="49"/>
  <c r="AY21" i="49"/>
  <c r="BA21" i="49"/>
  <c r="BG21" i="49"/>
  <c r="BV21" i="49"/>
  <c r="BG205" i="49"/>
  <c r="BK151" i="24"/>
  <c r="BY151" i="24"/>
  <c r="AY151" i="24"/>
  <c r="BD151" i="24"/>
  <c r="BK157" i="24"/>
  <c r="AY109" i="24"/>
  <c r="BD109" i="24"/>
  <c r="BK109" i="24"/>
  <c r="BH149" i="49"/>
  <c r="BV149" i="49"/>
  <c r="AY149" i="49"/>
  <c r="BA149" i="49"/>
  <c r="BH297" i="49"/>
  <c r="AY297" i="49"/>
  <c r="BA297" i="49"/>
  <c r="BK271" i="24"/>
  <c r="BY271" i="24"/>
  <c r="AY271" i="24"/>
  <c r="BD271" i="24"/>
  <c r="AY305" i="24"/>
  <c r="BD305" i="24"/>
  <c r="BJ305" i="24"/>
  <c r="BY305" i="24"/>
  <c r="BV103" i="49"/>
  <c r="BG270" i="49"/>
  <c r="BV270" i="49"/>
  <c r="AY270" i="49"/>
  <c r="BA270" i="49"/>
  <c r="AY22" i="24"/>
  <c r="BD22" i="24"/>
  <c r="BJ248" i="24"/>
  <c r="AG8" i="49"/>
  <c r="BH8" i="49"/>
  <c r="BN8" i="49"/>
  <c r="AJ208" i="24"/>
  <c r="BM208" i="24"/>
  <c r="BL46" i="24"/>
  <c r="AF265" i="24"/>
  <c r="AY265" i="24"/>
  <c r="BD265" i="24"/>
  <c r="BX197" i="24"/>
  <c r="BV197" i="24"/>
  <c r="BL288" i="49"/>
  <c r="BL246" i="49"/>
  <c r="BV246" i="49"/>
  <c r="BP245" i="49"/>
  <c r="BS239" i="49"/>
  <c r="BV239" i="49"/>
  <c r="AJ186" i="49"/>
  <c r="BJ186" i="49"/>
  <c r="BI170" i="49"/>
  <c r="BV170" i="49"/>
  <c r="AJ166" i="49"/>
  <c r="AF166" i="49"/>
  <c r="BF102" i="49"/>
  <c r="BV102" i="49"/>
  <c r="AJ31" i="49"/>
  <c r="AF31" i="49"/>
  <c r="AY31" i="49"/>
  <c r="BA31" i="49"/>
  <c r="BU17" i="49"/>
  <c r="EX266" i="24"/>
  <c r="BE248" i="24"/>
  <c r="BF281" i="49"/>
  <c r="BV281" i="49"/>
  <c r="BL29" i="49"/>
  <c r="BX19" i="24"/>
  <c r="BM159" i="49"/>
  <c r="BJ166" i="49"/>
  <c r="BV29" i="49"/>
  <c r="BK96" i="24"/>
  <c r="BY96" i="24"/>
  <c r="DJ326" i="49"/>
  <c r="DJ327" i="49"/>
  <c r="BJ31" i="49"/>
  <c r="AF186" i="49"/>
  <c r="AY186" i="49"/>
  <c r="BA186" i="49"/>
  <c r="BJ265" i="24"/>
  <c r="BY265" i="24"/>
  <c r="EL322" i="49"/>
  <c r="EL324" i="49"/>
  <c r="EL326" i="49"/>
  <c r="EL327" i="49"/>
  <c r="BK197" i="24"/>
  <c r="BY197" i="24"/>
  <c r="AY197" i="24"/>
  <c r="BD197" i="24"/>
  <c r="FQ322" i="49"/>
  <c r="FQ323" i="49"/>
  <c r="EX326" i="49"/>
  <c r="EX327" i="49"/>
  <c r="FL322" i="49"/>
  <c r="FL324" i="49"/>
  <c r="CH322" i="49"/>
  <c r="CH324" i="49"/>
  <c r="CK322" i="49"/>
  <c r="CK324" i="49"/>
  <c r="EN322" i="49"/>
  <c r="EN324" i="49"/>
  <c r="ER326" i="49"/>
  <c r="ER327" i="49"/>
  <c r="DU322" i="49"/>
  <c r="DU324" i="49"/>
  <c r="DW322" i="49"/>
  <c r="DW324" i="49"/>
  <c r="CJ322" i="49"/>
  <c r="CJ324" i="49"/>
  <c r="CV322" i="49"/>
  <c r="CV324" i="49"/>
  <c r="DS326" i="49"/>
  <c r="DS327" i="49"/>
  <c r="EP322" i="49"/>
  <c r="EP324" i="49"/>
  <c r="DJ322" i="49"/>
  <c r="DJ324" i="49"/>
  <c r="DS322" i="49"/>
  <c r="DS324" i="49"/>
  <c r="EJ326" i="49"/>
  <c r="EJ327" i="49"/>
  <c r="CG322" i="49"/>
  <c r="CG324" i="49"/>
  <c r="AJ318" i="49"/>
  <c r="AG301" i="24"/>
  <c r="BV65" i="49"/>
  <c r="BJ158" i="24"/>
  <c r="BY158" i="24"/>
  <c r="AY158" i="24"/>
  <c r="BD158" i="24"/>
  <c r="DX326" i="49"/>
  <c r="DX327" i="49"/>
  <c r="BQ300" i="24"/>
  <c r="AG300" i="24"/>
  <c r="BK300" i="24"/>
  <c r="AY81" i="24"/>
  <c r="BD81" i="24"/>
  <c r="BJ81" i="24"/>
  <c r="BJ284" i="24"/>
  <c r="AY284" i="24"/>
  <c r="BD284" i="24"/>
  <c r="AY56" i="24"/>
  <c r="BD56" i="24"/>
  <c r="BK56" i="24"/>
  <c r="BY56" i="24"/>
  <c r="BY21" i="24"/>
  <c r="BH9" i="49"/>
  <c r="AY296" i="49"/>
  <c r="BA296" i="49"/>
  <c r="BH296" i="49"/>
  <c r="BV296" i="49"/>
  <c r="BK171" i="24"/>
  <c r="BY171" i="24"/>
  <c r="AY171" i="24"/>
  <c r="BD171" i="24"/>
  <c r="BV220" i="49"/>
  <c r="AY236" i="24"/>
  <c r="BD236" i="24"/>
  <c r="BH290" i="49"/>
  <c r="BV290" i="49"/>
  <c r="AY276" i="49"/>
  <c r="BA276" i="49"/>
  <c r="BM81" i="24"/>
  <c r="BJ222" i="24"/>
  <c r="BY222" i="24"/>
  <c r="AG169" i="49"/>
  <c r="AY59" i="24"/>
  <c r="BD59" i="24"/>
  <c r="AY17" i="49"/>
  <c r="BA17" i="49"/>
  <c r="AY49" i="49"/>
  <c r="BA49" i="49"/>
  <c r="BJ203" i="24"/>
  <c r="BY203" i="24"/>
  <c r="AY182" i="49"/>
  <c r="BA182" i="49"/>
  <c r="BM284" i="24"/>
  <c r="AY106" i="24"/>
  <c r="BD106" i="24"/>
  <c r="BV41" i="49"/>
  <c r="AY131" i="24"/>
  <c r="BD131" i="24"/>
  <c r="AY22" i="49"/>
  <c r="BA22" i="49"/>
  <c r="BM238" i="24"/>
  <c r="BJ40" i="24"/>
  <c r="BY40" i="24"/>
  <c r="AG184" i="24"/>
  <c r="BY160" i="24"/>
  <c r="AY47" i="49"/>
  <c r="BA47" i="49"/>
  <c r="BG47" i="49"/>
  <c r="BV47" i="49"/>
  <c r="AY19" i="24"/>
  <c r="BD19" i="24"/>
  <c r="BN185" i="49"/>
  <c r="BK78" i="24"/>
  <c r="BV198" i="49"/>
  <c r="BH235" i="49"/>
  <c r="BV235" i="49"/>
  <c r="AG105" i="49"/>
  <c r="AY35" i="49"/>
  <c r="BA35" i="49"/>
  <c r="BH300" i="49"/>
  <c r="BV300" i="49"/>
  <c r="AG18" i="24"/>
  <c r="AG120" i="49"/>
  <c r="BN120" i="49"/>
  <c r="AG249" i="49"/>
  <c r="AY101" i="24"/>
  <c r="BD101" i="24"/>
  <c r="BQ68" i="24"/>
  <c r="BN181" i="49"/>
  <c r="BV181" i="49"/>
  <c r="AG306" i="49"/>
  <c r="AG23" i="24"/>
  <c r="AG128" i="24"/>
  <c r="BM295" i="24"/>
  <c r="BQ31" i="24"/>
  <c r="AG31" i="24"/>
  <c r="BK31" i="24"/>
  <c r="AY194" i="24"/>
  <c r="BD194" i="24"/>
  <c r="AG311" i="49"/>
  <c r="AY311" i="49"/>
  <c r="BA311" i="49"/>
  <c r="BN311" i="49"/>
  <c r="BH243" i="49"/>
  <c r="AY243" i="49"/>
  <c r="BA243" i="49"/>
  <c r="BJ45" i="49"/>
  <c r="AY145" i="49"/>
  <c r="BA145" i="49"/>
  <c r="BM31" i="24"/>
  <c r="AF31" i="24"/>
  <c r="AF262" i="49"/>
  <c r="BJ262" i="49"/>
  <c r="AG39" i="49"/>
  <c r="BN39" i="49"/>
  <c r="AF125" i="24"/>
  <c r="BM125" i="24"/>
  <c r="BK44" i="24"/>
  <c r="BY44" i="24"/>
  <c r="AY44" i="24"/>
  <c r="BD44" i="24"/>
  <c r="BH125" i="49"/>
  <c r="AY125" i="49"/>
  <c r="BA125" i="49"/>
  <c r="BN165" i="49"/>
  <c r="AG165" i="49"/>
  <c r="AF194" i="49"/>
  <c r="BJ194" i="49"/>
  <c r="AF70" i="49"/>
  <c r="BJ70" i="49"/>
  <c r="AF99" i="49"/>
  <c r="BJ99" i="49"/>
  <c r="AG243" i="24"/>
  <c r="BQ243" i="24"/>
  <c r="BJ109" i="49"/>
  <c r="AG213" i="49"/>
  <c r="AF307" i="49"/>
  <c r="AF202" i="49"/>
  <c r="BN313" i="49"/>
  <c r="BV313" i="49"/>
  <c r="AG226" i="24"/>
  <c r="BJ174" i="49"/>
  <c r="BV174" i="49"/>
  <c r="BN243" i="49"/>
  <c r="AG159" i="49"/>
  <c r="BJ77" i="49"/>
  <c r="BV77" i="49"/>
  <c r="BN18" i="49"/>
  <c r="AF9" i="49"/>
  <c r="AF42" i="49"/>
  <c r="AF14" i="49"/>
  <c r="BJ14" i="49"/>
  <c r="AG266" i="49"/>
  <c r="BN266" i="49"/>
  <c r="AF157" i="24"/>
  <c r="BM157" i="24"/>
  <c r="AF300" i="24"/>
  <c r="BJ300" i="24"/>
  <c r="BY300" i="24"/>
  <c r="BM300" i="24"/>
  <c r="AF84" i="49"/>
  <c r="BJ84" i="49"/>
  <c r="BJ144" i="49"/>
  <c r="AF144" i="49"/>
  <c r="BJ261" i="49"/>
  <c r="BV261" i="49"/>
  <c r="BG206" i="49"/>
  <c r="BV206" i="49"/>
  <c r="AF123" i="49"/>
  <c r="AG106" i="49"/>
  <c r="BH106" i="49"/>
  <c r="BV106" i="49"/>
  <c r="AF280" i="49"/>
  <c r="BG280" i="49"/>
  <c r="BV280" i="49"/>
  <c r="AF111" i="49"/>
  <c r="BG111" i="49"/>
  <c r="BV111" i="49"/>
  <c r="BJ111" i="49"/>
  <c r="BJ133" i="49"/>
  <c r="AF133" i="49"/>
  <c r="AY133" i="49"/>
  <c r="BA133" i="49"/>
  <c r="BM133" i="24"/>
  <c r="AF133" i="24"/>
  <c r="AF255" i="49"/>
  <c r="AF49" i="24"/>
  <c r="BJ49" i="24"/>
  <c r="BY49" i="24"/>
  <c r="BM49" i="24"/>
  <c r="AG79" i="49"/>
  <c r="AF269" i="49"/>
  <c r="BJ269" i="49"/>
  <c r="AF104" i="49"/>
  <c r="BG104" i="49"/>
  <c r="BV104" i="49"/>
  <c r="BJ104" i="49"/>
  <c r="AG245" i="49"/>
  <c r="BN245" i="49"/>
  <c r="BJ106" i="49"/>
  <c r="AF106" i="49"/>
  <c r="BM282" i="24"/>
  <c r="AF282" i="24"/>
  <c r="AY282" i="24"/>
  <c r="BD282" i="24"/>
  <c r="BJ230" i="49"/>
  <c r="AF230" i="49"/>
  <c r="AG288" i="49"/>
  <c r="BH288" i="49"/>
  <c r="BN288" i="49"/>
  <c r="AF168" i="24"/>
  <c r="AY168" i="24"/>
  <c r="BD168" i="24"/>
  <c r="BM168" i="24"/>
  <c r="BM35" i="24"/>
  <c r="AG123" i="49"/>
  <c r="BH123" i="49"/>
  <c r="BJ43" i="49"/>
  <c r="BV43" i="49"/>
  <c r="AF57" i="49"/>
  <c r="BJ115" i="49"/>
  <c r="BV115" i="49"/>
  <c r="BN125" i="49"/>
  <c r="AF233" i="49"/>
  <c r="BN236" i="49"/>
  <c r="BV236" i="49"/>
  <c r="BM100" i="24"/>
  <c r="BY100" i="24"/>
  <c r="BM29" i="24"/>
  <c r="BM84" i="24"/>
  <c r="BY84" i="24"/>
  <c r="AF200" i="24"/>
  <c r="BJ200" i="24"/>
  <c r="BY200" i="24"/>
  <c r="BS295" i="24"/>
  <c r="BR284" i="24"/>
  <c r="AQ283" i="24"/>
  <c r="AG283" i="24"/>
  <c r="AQ269" i="24"/>
  <c r="AG269" i="24"/>
  <c r="AQ248" i="24"/>
  <c r="AQ231" i="24"/>
  <c r="AG231" i="24"/>
  <c r="CK155" i="24"/>
  <c r="AQ130" i="24"/>
  <c r="AQ129" i="24"/>
  <c r="AG129" i="24"/>
  <c r="BI104" i="24"/>
  <c r="AQ62" i="24"/>
  <c r="BQ62" i="24"/>
  <c r="BJ278" i="49"/>
  <c r="BJ161" i="49"/>
  <c r="AJ212" i="24"/>
  <c r="AQ279" i="24"/>
  <c r="AQ214" i="24"/>
  <c r="BQ214" i="24"/>
  <c r="BY214" i="24"/>
  <c r="BT66" i="24"/>
  <c r="BL66" i="24"/>
  <c r="AC40" i="24"/>
  <c r="EX40" i="24"/>
  <c r="BI309" i="24"/>
  <c r="BY309" i="24"/>
  <c r="AQ254" i="24"/>
  <c r="AQ221" i="24"/>
  <c r="AQ199" i="24"/>
  <c r="BQ199" i="24"/>
  <c r="BX113" i="24"/>
  <c r="BY113" i="24"/>
  <c r="BP79" i="24"/>
  <c r="EX79" i="24"/>
  <c r="BT286" i="49"/>
  <c r="BV286" i="49"/>
  <c r="AQ233" i="49"/>
  <c r="BN233" i="49"/>
  <c r="BI161" i="49"/>
  <c r="BF229" i="49"/>
  <c r="BK229" i="49"/>
  <c r="BS63" i="49"/>
  <c r="BU63" i="49"/>
  <c r="AQ202" i="49"/>
  <c r="AG202" i="49"/>
  <c r="BT174" i="49"/>
  <c r="AQ131" i="49"/>
  <c r="AG131" i="49"/>
  <c r="AQ108" i="49"/>
  <c r="BN108" i="49"/>
  <c r="BX72" i="24"/>
  <c r="BY72" i="24"/>
  <c r="DO327" i="49"/>
  <c r="AQ227" i="49"/>
  <c r="AG227" i="49"/>
  <c r="AQ190" i="49"/>
  <c r="BT189" i="49"/>
  <c r="BV189" i="49"/>
  <c r="AG190" i="49"/>
  <c r="BN190" i="49"/>
  <c r="BN202" i="49"/>
  <c r="BQ129" i="24"/>
  <c r="BK184" i="24"/>
  <c r="AY184" i="24"/>
  <c r="BD184" i="24"/>
  <c r="BN227" i="49"/>
  <c r="AG108" i="49"/>
  <c r="AY108" i="49"/>
  <c r="BA108" i="49"/>
  <c r="BQ221" i="24"/>
  <c r="AG221" i="24"/>
  <c r="AG214" i="24"/>
  <c r="AY214" i="24"/>
  <c r="BD214" i="24"/>
  <c r="AG130" i="24"/>
  <c r="BQ130" i="24"/>
  <c r="BQ269" i="24"/>
  <c r="AY200" i="24"/>
  <c r="BD200" i="24"/>
  <c r="AY288" i="49"/>
  <c r="BA288" i="49"/>
  <c r="BH245" i="49"/>
  <c r="BV245" i="49"/>
  <c r="AY245" i="49"/>
  <c r="BA245" i="49"/>
  <c r="BG269" i="49"/>
  <c r="BV269" i="49"/>
  <c r="AY269" i="49"/>
  <c r="BA269" i="49"/>
  <c r="AY49" i="24"/>
  <c r="BD49" i="24"/>
  <c r="BG133" i="49"/>
  <c r="BV133" i="49"/>
  <c r="AY280" i="49"/>
  <c r="BA280" i="49"/>
  <c r="BG84" i="49"/>
  <c r="BV84" i="49"/>
  <c r="AY84" i="49"/>
  <c r="BA84" i="49"/>
  <c r="BJ157" i="24"/>
  <c r="BY157" i="24"/>
  <c r="AY157" i="24"/>
  <c r="BD157" i="24"/>
  <c r="AY14" i="49"/>
  <c r="BA14" i="49"/>
  <c r="BG14" i="49"/>
  <c r="BV14" i="49"/>
  <c r="BK226" i="24"/>
  <c r="BY226" i="24"/>
  <c r="AY226" i="24"/>
  <c r="BD226" i="24"/>
  <c r="BH213" i="49"/>
  <c r="BV213" i="49"/>
  <c r="AY213" i="49"/>
  <c r="BA213" i="49"/>
  <c r="BG99" i="49"/>
  <c r="BV99" i="49"/>
  <c r="AY99" i="49"/>
  <c r="BA99" i="49"/>
  <c r="BG194" i="49"/>
  <c r="BV194" i="49"/>
  <c r="AY194" i="49"/>
  <c r="BA194" i="49"/>
  <c r="BV125" i="49"/>
  <c r="BJ125" i="24"/>
  <c r="BY125" i="24"/>
  <c r="AY125" i="24"/>
  <c r="BD125" i="24"/>
  <c r="AY262" i="49"/>
  <c r="BA262" i="49"/>
  <c r="BG262" i="49"/>
  <c r="BV262" i="49"/>
  <c r="BH306" i="49"/>
  <c r="BV306" i="49"/>
  <c r="AY306" i="49"/>
  <c r="BA306" i="49"/>
  <c r="AG248" i="24"/>
  <c r="BQ248" i="24"/>
  <c r="BY29" i="24"/>
  <c r="AG279" i="24"/>
  <c r="AY279" i="24"/>
  <c r="BD279" i="24"/>
  <c r="BQ279" i="24"/>
  <c r="AG62" i="24"/>
  <c r="AY62" i="24"/>
  <c r="BD62" i="24"/>
  <c r="BG57" i="49"/>
  <c r="BV57" i="49"/>
  <c r="AY57" i="49"/>
  <c r="BA57" i="49"/>
  <c r="AY230" i="49"/>
  <c r="BA230" i="49"/>
  <c r="BG230" i="49"/>
  <c r="BV230" i="49"/>
  <c r="AY106" i="49"/>
  <c r="BA106" i="49"/>
  <c r="BG106" i="49"/>
  <c r="BH79" i="49"/>
  <c r="AY79" i="49"/>
  <c r="BA79" i="49"/>
  <c r="BG255" i="49"/>
  <c r="BV255" i="49"/>
  <c r="AY255" i="49"/>
  <c r="BA255" i="49"/>
  <c r="AY144" i="49"/>
  <c r="BA144" i="49"/>
  <c r="BG144" i="49"/>
  <c r="BV144" i="49"/>
  <c r="BG42" i="49"/>
  <c r="BV42" i="49"/>
  <c r="AY42" i="49"/>
  <c r="BA42" i="49"/>
  <c r="BH159" i="49"/>
  <c r="BV159" i="49"/>
  <c r="AY159" i="49"/>
  <c r="BA159" i="49"/>
  <c r="BK243" i="24"/>
  <c r="BY243" i="24"/>
  <c r="AY243" i="24"/>
  <c r="BD243" i="24"/>
  <c r="BH165" i="49"/>
  <c r="BV165" i="49"/>
  <c r="AY165" i="49"/>
  <c r="BA165" i="49"/>
  <c r="BJ31" i="24"/>
  <c r="AY31" i="24"/>
  <c r="BD31" i="24"/>
  <c r="BH311" i="49"/>
  <c r="BV311" i="49"/>
  <c r="BH249" i="49"/>
  <c r="AY249" i="49"/>
  <c r="BA249" i="49"/>
  <c r="BH120" i="49"/>
  <c r="AY120" i="49"/>
  <c r="BA120" i="49"/>
  <c r="BY79" i="24"/>
  <c r="AY169" i="49"/>
  <c r="BA169" i="49"/>
  <c r="BH169" i="49"/>
  <c r="BV169" i="49"/>
  <c r="BY66" i="24"/>
  <c r="BY81" i="24"/>
  <c r="BV229" i="49"/>
  <c r="AY111" i="49"/>
  <c r="BA111" i="49"/>
  <c r="BG307" i="49"/>
  <c r="BV307" i="49"/>
  <c r="AY307" i="49"/>
  <c r="BA307" i="49"/>
  <c r="AY23" i="24"/>
  <c r="BD23" i="24"/>
  <c r="BK23" i="24"/>
  <c r="BY23" i="24"/>
  <c r="BQ254" i="24"/>
  <c r="AG254" i="24"/>
  <c r="BM212" i="24"/>
  <c r="AF212" i="24"/>
  <c r="BJ168" i="24"/>
  <c r="BY168" i="24"/>
  <c r="AY104" i="49"/>
  <c r="BA104" i="49"/>
  <c r="AY133" i="24"/>
  <c r="BD133" i="24"/>
  <c r="BJ133" i="24"/>
  <c r="BY133" i="24"/>
  <c r="BG123" i="49"/>
  <c r="BV123" i="49"/>
  <c r="AY300" i="24"/>
  <c r="BD300" i="24"/>
  <c r="BH266" i="49"/>
  <c r="BV266" i="49"/>
  <c r="AY266" i="49"/>
  <c r="BA266" i="49"/>
  <c r="BG9" i="49"/>
  <c r="AY9" i="49"/>
  <c r="BA9" i="49"/>
  <c r="BG202" i="49"/>
  <c r="BG70" i="49"/>
  <c r="BV70" i="49"/>
  <c r="AY70" i="49"/>
  <c r="BA70" i="49"/>
  <c r="AY39" i="49"/>
  <c r="BA39" i="49"/>
  <c r="BH39" i="49"/>
  <c r="BV39" i="49"/>
  <c r="BV243" i="49"/>
  <c r="BK128" i="24"/>
  <c r="BY128" i="24"/>
  <c r="AY128" i="24"/>
  <c r="BD128" i="24"/>
  <c r="BK18" i="24"/>
  <c r="BY18" i="24"/>
  <c r="AY18" i="24"/>
  <c r="BD18" i="24"/>
  <c r="BH105" i="49"/>
  <c r="BV105" i="49"/>
  <c r="AY105" i="49"/>
  <c r="BA105" i="49"/>
  <c r="BK301" i="24"/>
  <c r="BY301" i="24"/>
  <c r="AY301" i="24"/>
  <c r="BD301" i="24"/>
  <c r="BJ212" i="24"/>
  <c r="AY212" i="24"/>
  <c r="BD212" i="24"/>
  <c r="AY248" i="24"/>
  <c r="BD248" i="24"/>
  <c r="BK248" i="24"/>
  <c r="BY248" i="24"/>
  <c r="BK214" i="24"/>
  <c r="BH108" i="49"/>
  <c r="BV108" i="49"/>
  <c r="BV9" i="49"/>
  <c r="BK254" i="24"/>
  <c r="BY254" i="24"/>
  <c r="AY254" i="24"/>
  <c r="BD254" i="24"/>
  <c r="BK130" i="24"/>
  <c r="BY130" i="24"/>
  <c r="AY130" i="24"/>
  <c r="BD130" i="24"/>
  <c r="BK221" i="24"/>
  <c r="BY221" i="24"/>
  <c r="AY221" i="24"/>
  <c r="BD221" i="24"/>
  <c r="AY190" i="49"/>
  <c r="BA190" i="49"/>
  <c r="BH190" i="49"/>
  <c r="BV190" i="49"/>
  <c r="CS322" i="49"/>
  <c r="CS324" i="49"/>
  <c r="CR322" i="49"/>
  <c r="CR324" i="49"/>
  <c r="CU322" i="49"/>
  <c r="CU324" i="49"/>
  <c r="CT322" i="49"/>
  <c r="CT324" i="49"/>
  <c r="CN322" i="49"/>
  <c r="CN324" i="49"/>
  <c r="CM322" i="49"/>
  <c r="CM324" i="49"/>
  <c r="DO324" i="49"/>
  <c r="FD324" i="49"/>
  <c r="CL328" i="49"/>
  <c r="EV322" i="49"/>
  <c r="EV324" i="49"/>
  <c r="EV326" i="49"/>
  <c r="EV327" i="49"/>
  <c r="EM322" i="49"/>
  <c r="EM324" i="49"/>
  <c r="EM326" i="49"/>
  <c r="EM327" i="49"/>
  <c r="DU326" i="49"/>
  <c r="DU327" i="49"/>
  <c r="EU322" i="49"/>
  <c r="EU324" i="49"/>
  <c r="DK326" i="49"/>
  <c r="DK327" i="49"/>
  <c r="DK322" i="49"/>
  <c r="DK324" i="49"/>
  <c r="DP322" i="49"/>
  <c r="DP324" i="49"/>
  <c r="EO326" i="49"/>
  <c r="EO327" i="49"/>
  <c r="DT324" i="49"/>
  <c r="CI322" i="49"/>
  <c r="CI324" i="49"/>
  <c r="CP322" i="49"/>
  <c r="CP324" i="49"/>
  <c r="BK65" i="24"/>
  <c r="AY65" i="24"/>
  <c r="BD65" i="24"/>
  <c r="BK316" i="24"/>
  <c r="AY316" i="24"/>
  <c r="BD316" i="24"/>
  <c r="AY158" i="49"/>
  <c r="BA158" i="49"/>
  <c r="BH158" i="49"/>
  <c r="BV158" i="49"/>
  <c r="BK150" i="24"/>
  <c r="BY150" i="24"/>
  <c r="AY150" i="24"/>
  <c r="BD150" i="24"/>
  <c r="BV148" i="49"/>
  <c r="BJ120" i="24"/>
  <c r="AY120" i="24"/>
  <c r="BD120" i="24"/>
  <c r="BH113" i="49"/>
  <c r="BV113" i="49"/>
  <c r="AY113" i="49"/>
  <c r="BA113" i="49"/>
  <c r="AY305" i="49"/>
  <c r="BA305" i="49"/>
  <c r="BH305" i="49"/>
  <c r="BV305" i="49"/>
  <c r="BH131" i="49"/>
  <c r="BV131" i="49"/>
  <c r="AY131" i="49"/>
  <c r="BA131" i="49"/>
  <c r="BG166" i="49"/>
  <c r="BK148" i="24"/>
  <c r="AY148" i="24"/>
  <c r="BD148" i="24"/>
  <c r="BV214" i="49"/>
  <c r="BG31" i="49"/>
  <c r="BV31" i="49"/>
  <c r="AY8" i="49"/>
  <c r="AY173" i="24"/>
  <c r="BD173" i="24"/>
  <c r="AY192" i="49"/>
  <c r="BA192" i="49"/>
  <c r="BQ9" i="24"/>
  <c r="AG9" i="24"/>
  <c r="AF137" i="49"/>
  <c r="BJ137" i="49"/>
  <c r="AY109" i="49"/>
  <c r="BA109" i="49"/>
  <c r="BG109" i="49"/>
  <c r="BV109" i="49"/>
  <c r="AY123" i="49"/>
  <c r="BA123" i="49"/>
  <c r="BG233" i="49"/>
  <c r="AG233" i="49"/>
  <c r="AY233" i="49"/>
  <c r="BA233" i="49"/>
  <c r="BJ282" i="24"/>
  <c r="BY282" i="24"/>
  <c r="BQ283" i="24"/>
  <c r="BN131" i="49"/>
  <c r="AG199" i="24"/>
  <c r="BK199" i="24"/>
  <c r="AF208" i="24"/>
  <c r="AY161" i="24"/>
  <c r="BD161" i="24"/>
  <c r="BJ103" i="24"/>
  <c r="BY103" i="24"/>
  <c r="BM120" i="24"/>
  <c r="BQ65" i="24"/>
  <c r="AY253" i="24"/>
  <c r="BD253" i="24"/>
  <c r="BQ30" i="24"/>
  <c r="BQ148" i="24"/>
  <c r="AG261" i="24"/>
  <c r="BK261" i="24"/>
  <c r="AF199" i="24"/>
  <c r="BK185" i="24"/>
  <c r="BG107" i="49"/>
  <c r="AF41" i="24"/>
  <c r="AG215" i="49"/>
  <c r="AY116" i="24"/>
  <c r="BD116" i="24"/>
  <c r="AG301" i="49"/>
  <c r="BK112" i="24"/>
  <c r="BY112" i="24"/>
  <c r="AY112" i="24"/>
  <c r="BD112" i="24"/>
  <c r="AG37" i="24"/>
  <c r="BQ37" i="24"/>
  <c r="BQ231" i="24"/>
  <c r="BH46" i="49"/>
  <c r="BV46" i="49"/>
  <c r="BK296" i="24"/>
  <c r="BY296" i="24"/>
  <c r="AY102" i="49"/>
  <c r="BA102" i="49"/>
  <c r="BN231" i="49"/>
  <c r="AG231" i="49"/>
  <c r="AG224" i="24"/>
  <c r="BV267" i="49"/>
  <c r="BV173" i="49"/>
  <c r="AG234" i="49"/>
  <c r="BN234" i="49"/>
  <c r="AG250" i="49"/>
  <c r="BN250" i="49"/>
  <c r="AY293" i="49"/>
  <c r="BA293" i="49"/>
  <c r="BH293" i="49"/>
  <c r="BV293" i="49"/>
  <c r="BH187" i="49"/>
  <c r="BV187" i="49"/>
  <c r="BN297" i="49"/>
  <c r="BV297" i="49"/>
  <c r="AG80" i="24"/>
  <c r="AG213" i="24"/>
  <c r="BQ205" i="24"/>
  <c r="BY205" i="24"/>
  <c r="BN240" i="49"/>
  <c r="AG129" i="49"/>
  <c r="AG130" i="49"/>
  <c r="BV12" i="49"/>
  <c r="BG257" i="49"/>
  <c r="BV257" i="49"/>
  <c r="AG152" i="24"/>
  <c r="BQ90" i="24"/>
  <c r="BY90" i="24"/>
  <c r="BN209" i="49"/>
  <c r="BV209" i="49"/>
  <c r="AF16" i="24"/>
  <c r="AY18" i="49"/>
  <c r="BA18" i="49"/>
  <c r="BH18" i="49"/>
  <c r="BV18" i="49"/>
  <c r="BM50" i="24"/>
  <c r="AF50" i="24"/>
  <c r="BV310" i="49"/>
  <c r="AF153" i="49"/>
  <c r="AG108" i="24"/>
  <c r="AG124" i="24"/>
  <c r="AF121" i="49"/>
  <c r="BN91" i="49"/>
  <c r="AG91" i="49"/>
  <c r="BN146" i="49"/>
  <c r="AG146" i="49"/>
  <c r="BV92" i="49"/>
  <c r="AF101" i="49"/>
  <c r="BJ101" i="49"/>
  <c r="BN244" i="49"/>
  <c r="AG244" i="49"/>
  <c r="BM48" i="24"/>
  <c r="AF48" i="24"/>
  <c r="AF189" i="24"/>
  <c r="BM189" i="24"/>
  <c r="AG63" i="49"/>
  <c r="AG73" i="24"/>
  <c r="BJ98" i="49"/>
  <c r="BV98" i="49"/>
  <c r="BN287" i="49"/>
  <c r="AG104" i="24"/>
  <c r="BK104" i="24"/>
  <c r="BQ104" i="24"/>
  <c r="AF162" i="49"/>
  <c r="BJ162" i="49"/>
  <c r="AF221" i="49"/>
  <c r="BJ221" i="49"/>
  <c r="AF57" i="24"/>
  <c r="BM57" i="24"/>
  <c r="AF272" i="24"/>
  <c r="BM272" i="24"/>
  <c r="AQ294" i="24"/>
  <c r="BR292" i="24"/>
  <c r="AJ292" i="24"/>
  <c r="AF292" i="24"/>
  <c r="EW292" i="24"/>
  <c r="EX292" i="24"/>
  <c r="BH292" i="24"/>
  <c r="BI292" i="24"/>
  <c r="BE292" i="24"/>
  <c r="CK292" i="24"/>
  <c r="BP292" i="24"/>
  <c r="CL280" i="24"/>
  <c r="BI280" i="24"/>
  <c r="AJ280" i="24"/>
  <c r="BH280" i="24"/>
  <c r="BO280" i="24"/>
  <c r="BE280" i="24"/>
  <c r="EX280" i="24"/>
  <c r="BR280" i="24"/>
  <c r="BT280" i="24"/>
  <c r="BL280" i="24"/>
  <c r="AC236" i="24"/>
  <c r="BU236" i="24"/>
  <c r="BY236" i="24"/>
  <c r="BO216" i="24"/>
  <c r="BI216" i="24"/>
  <c r="BY216" i="24"/>
  <c r="CL193" i="24"/>
  <c r="BP193" i="24"/>
  <c r="BV193" i="24"/>
  <c r="BN139" i="24"/>
  <c r="BW139" i="24"/>
  <c r="BU139" i="24"/>
  <c r="BV139" i="24"/>
  <c r="AQ139" i="24"/>
  <c r="CI139" i="24"/>
  <c r="BR134" i="24"/>
  <c r="BU134" i="24"/>
  <c r="AJ134" i="24"/>
  <c r="AF134" i="24"/>
  <c r="BO134" i="24"/>
  <c r="AG87" i="24"/>
  <c r="BK87" i="24"/>
  <c r="BY87" i="24"/>
  <c r="BQ87" i="24"/>
  <c r="AF75" i="49"/>
  <c r="BJ75" i="49"/>
  <c r="AF107" i="24"/>
  <c r="BM107" i="24"/>
  <c r="BM294" i="24"/>
  <c r="EX294" i="24"/>
  <c r="BE294" i="24"/>
  <c r="BX294" i="24"/>
  <c r="BI294" i="24"/>
  <c r="CK294" i="24"/>
  <c r="EW294" i="24"/>
  <c r="BO261" i="24"/>
  <c r="BN261" i="24"/>
  <c r="BI261" i="24"/>
  <c r="BP261" i="24"/>
  <c r="BR261" i="24"/>
  <c r="AJ261" i="24"/>
  <c r="BS261" i="24"/>
  <c r="BU261" i="24"/>
  <c r="BV261" i="24"/>
  <c r="BW261" i="24"/>
  <c r="CI261" i="24"/>
  <c r="AC261" i="24"/>
  <c r="BL261" i="24"/>
  <c r="BU258" i="24"/>
  <c r="BR258" i="24"/>
  <c r="BQ180" i="24"/>
  <c r="AG180" i="24"/>
  <c r="BL175" i="24"/>
  <c r="EW175" i="24"/>
  <c r="BI175" i="24"/>
  <c r="BR175" i="24"/>
  <c r="CI175" i="24"/>
  <c r="BE175" i="24"/>
  <c r="EX147" i="24"/>
  <c r="BN147" i="24"/>
  <c r="CL147" i="24"/>
  <c r="BH147" i="24"/>
  <c r="BE125" i="24"/>
  <c r="EX125" i="24"/>
  <c r="BI109" i="24"/>
  <c r="BU109" i="24"/>
  <c r="AC109" i="24"/>
  <c r="BE109" i="24"/>
  <c r="BN109" i="24"/>
  <c r="BT109" i="24"/>
  <c r="BG265" i="49"/>
  <c r="AG25" i="49"/>
  <c r="BN25" i="49"/>
  <c r="BN318" i="49"/>
  <c r="AF168" i="49"/>
  <c r="BJ168" i="49"/>
  <c r="EX295" i="24"/>
  <c r="BR295" i="24"/>
  <c r="BW270" i="24"/>
  <c r="BI270" i="24"/>
  <c r="BR270" i="24"/>
  <c r="AJ270" i="24"/>
  <c r="BL270" i="24"/>
  <c r="EX270" i="24"/>
  <c r="CI270" i="24"/>
  <c r="AQ266" i="24"/>
  <c r="AG266" i="24"/>
  <c r="BK266" i="24"/>
  <c r="BL259" i="24"/>
  <c r="AJ259" i="24"/>
  <c r="BP259" i="24"/>
  <c r="BV259" i="24"/>
  <c r="BH259" i="24"/>
  <c r="BI259" i="24"/>
  <c r="BT259" i="24"/>
  <c r="BR259" i="24"/>
  <c r="BO259" i="24"/>
  <c r="BU259" i="24"/>
  <c r="CI240" i="24"/>
  <c r="BP240" i="24"/>
  <c r="BL240" i="24"/>
  <c r="BY240" i="24"/>
  <c r="BV176" i="24"/>
  <c r="BH176" i="24"/>
  <c r="BS176" i="24"/>
  <c r="CI176" i="24"/>
  <c r="BX176" i="24"/>
  <c r="BP176" i="24"/>
  <c r="BW176" i="24"/>
  <c r="BO159" i="24"/>
  <c r="BX159" i="24"/>
  <c r="EW159" i="24"/>
  <c r="BS159" i="24"/>
  <c r="AQ159" i="24"/>
  <c r="BH159" i="24"/>
  <c r="CJ159" i="24"/>
  <c r="BI159" i="24"/>
  <c r="AQ143" i="24"/>
  <c r="BO38" i="24"/>
  <c r="BR38" i="24"/>
  <c r="AC38" i="24"/>
  <c r="EW38" i="24"/>
  <c r="BL38" i="24"/>
  <c r="CL38" i="24"/>
  <c r="BI38" i="24"/>
  <c r="BN38" i="24"/>
  <c r="CI38" i="24"/>
  <c r="BB317" i="24"/>
  <c r="BT31" i="24"/>
  <c r="CL31" i="24"/>
  <c r="BO31" i="24"/>
  <c r="BY31" i="24"/>
  <c r="BV31" i="24"/>
  <c r="AF225" i="49"/>
  <c r="BJ225" i="49"/>
  <c r="AF56" i="49"/>
  <c r="BJ56" i="49"/>
  <c r="AF237" i="24"/>
  <c r="AG256" i="24"/>
  <c r="BQ256" i="24"/>
  <c r="AF201" i="49"/>
  <c r="BJ201" i="49"/>
  <c r="BN287" i="24"/>
  <c r="BI287" i="24"/>
  <c r="AC287" i="24"/>
  <c r="BO287" i="24"/>
  <c r="BE287" i="24"/>
  <c r="BR287" i="24"/>
  <c r="BT287" i="24"/>
  <c r="BU287" i="24"/>
  <c r="BV287" i="24"/>
  <c r="BW287" i="24"/>
  <c r="AJ287" i="24"/>
  <c r="BL287" i="24"/>
  <c r="CL287" i="24"/>
  <c r="BO266" i="24"/>
  <c r="BV266" i="24"/>
  <c r="BP266" i="24"/>
  <c r="AJ266" i="24"/>
  <c r="BR266" i="24"/>
  <c r="BP244" i="24"/>
  <c r="AJ244" i="24"/>
  <c r="AF244" i="24"/>
  <c r="AY244" i="24"/>
  <c r="BD244" i="24"/>
  <c r="CK244" i="24"/>
  <c r="BV244" i="24"/>
  <c r="EW244" i="24"/>
  <c r="BN244" i="24"/>
  <c r="BM244" i="24"/>
  <c r="BI234" i="24"/>
  <c r="EX234" i="24"/>
  <c r="BH234" i="24"/>
  <c r="EW234" i="24"/>
  <c r="BO211" i="24"/>
  <c r="AJ211" i="24"/>
  <c r="EX211" i="24"/>
  <c r="BK211" i="24"/>
  <c r="BV211" i="24"/>
  <c r="BP211" i="24"/>
  <c r="BQ211" i="24"/>
  <c r="AQ193" i="24"/>
  <c r="AQ192" i="24"/>
  <c r="BN192" i="24"/>
  <c r="BE188" i="24"/>
  <c r="BI188" i="24"/>
  <c r="BY188" i="24"/>
  <c r="BO188" i="24"/>
  <c r="BS166" i="24"/>
  <c r="EX166" i="24"/>
  <c r="AJ166" i="24"/>
  <c r="AC166" i="24"/>
  <c r="CL166" i="24"/>
  <c r="BR166" i="24"/>
  <c r="BP166" i="24"/>
  <c r="BT166" i="24"/>
  <c r="AJ104" i="24"/>
  <c r="AQ99" i="24"/>
  <c r="BV99" i="24"/>
  <c r="BL99" i="24"/>
  <c r="BE99" i="24"/>
  <c r="BP99" i="24"/>
  <c r="AJ85" i="24"/>
  <c r="BR85" i="24"/>
  <c r="BE85" i="24"/>
  <c r="BT85" i="24"/>
  <c r="AC85" i="24"/>
  <c r="CI85" i="24"/>
  <c r="DJ317" i="24"/>
  <c r="EX10" i="24"/>
  <c r="BX10" i="24"/>
  <c r="BF309" i="49"/>
  <c r="AC309" i="49"/>
  <c r="BP309" i="49"/>
  <c r="BQ287" i="49"/>
  <c r="BF287" i="49"/>
  <c r="BS287" i="49"/>
  <c r="BT287" i="49"/>
  <c r="BK249" i="49"/>
  <c r="BF176" i="49"/>
  <c r="BV176" i="49"/>
  <c r="BL249" i="49"/>
  <c r="BS61" i="49"/>
  <c r="BP100" i="49"/>
  <c r="BO100" i="49"/>
  <c r="AC100" i="49"/>
  <c r="AC318" i="49"/>
  <c r="BE287" i="49"/>
  <c r="BM287" i="49"/>
  <c r="BO287" i="49"/>
  <c r="BK309" i="49"/>
  <c r="BP185" i="24"/>
  <c r="BV185" i="24"/>
  <c r="BE163" i="24"/>
  <c r="BL163" i="24"/>
  <c r="S128" i="24"/>
  <c r="EW25" i="24"/>
  <c r="AQ25" i="24"/>
  <c r="CC328" i="49"/>
  <c r="BB137" i="49"/>
  <c r="AQ137" i="49"/>
  <c r="BI249" i="49"/>
  <c r="AQ205" i="49"/>
  <c r="AJ61" i="49"/>
  <c r="BT191" i="49"/>
  <c r="BQ191" i="49"/>
  <c r="BU265" i="49"/>
  <c r="BK89" i="49"/>
  <c r="BE146" i="49"/>
  <c r="BS182" i="49"/>
  <c r="AC182" i="49"/>
  <c r="BQ205" i="49"/>
  <c r="BT265" i="49"/>
  <c r="BE10" i="24"/>
  <c r="BV249" i="24"/>
  <c r="BY249" i="24"/>
  <c r="BJ267" i="24"/>
  <c r="BH267" i="24"/>
  <c r="EX285" i="24"/>
  <c r="BU288" i="24"/>
  <c r="BY288" i="24"/>
  <c r="BX291" i="24"/>
  <c r="BY291" i="24"/>
  <c r="BR307" i="24"/>
  <c r="BP316" i="24"/>
  <c r="BY316" i="24"/>
  <c r="CK203" i="24"/>
  <c r="BU191" i="49"/>
  <c r="BU249" i="49"/>
  <c r="BQ249" i="49"/>
  <c r="BP265" i="49"/>
  <c r="AQ10" i="24"/>
  <c r="BU10" i="24"/>
  <c r="BU183" i="24"/>
  <c r="AQ183" i="24"/>
  <c r="BI183" i="24"/>
  <c r="BR183" i="24"/>
  <c r="EX275" i="24"/>
  <c r="BH275" i="24"/>
  <c r="BP275" i="24"/>
  <c r="AQ302" i="24"/>
  <c r="BN252" i="49"/>
  <c r="BV252" i="49"/>
  <c r="BV172" i="24"/>
  <c r="BO172" i="24"/>
  <c r="CK172" i="24"/>
  <c r="BW311" i="24"/>
  <c r="BN311" i="24"/>
  <c r="BI311" i="24"/>
  <c r="AJ311" i="24"/>
  <c r="BW185" i="24"/>
  <c r="BL185" i="24"/>
  <c r="BT185" i="24"/>
  <c r="AC191" i="24"/>
  <c r="CL191" i="24"/>
  <c r="BE191" i="24"/>
  <c r="BO302" i="24"/>
  <c r="BR302" i="24"/>
  <c r="CK302" i="24"/>
  <c r="BP312" i="24"/>
  <c r="BN312" i="24"/>
  <c r="BO312" i="24"/>
  <c r="BS312" i="24"/>
  <c r="BT313" i="24"/>
  <c r="BS313" i="24"/>
  <c r="BI313" i="24"/>
  <c r="BV149" i="24"/>
  <c r="BI149" i="24"/>
  <c r="AC149" i="24"/>
  <c r="BR149" i="24"/>
  <c r="BO35" i="49"/>
  <c r="BS146" i="49"/>
  <c r="BK216" i="49"/>
  <c r="BO249" i="49"/>
  <c r="BL35" i="49"/>
  <c r="BL146" i="49"/>
  <c r="BB216" i="49"/>
  <c r="BT253" i="49"/>
  <c r="BR291" i="49"/>
  <c r="BV291" i="49"/>
  <c r="BO25" i="24"/>
  <c r="CI44" i="24"/>
  <c r="EW74" i="24"/>
  <c r="BT149" i="24"/>
  <c r="BO61" i="49"/>
  <c r="BL100" i="49"/>
  <c r="BK100" i="49"/>
  <c r="BM153" i="49"/>
  <c r="BU287" i="49"/>
  <c r="CI14" i="24"/>
  <c r="BP135" i="24"/>
  <c r="BY135" i="24"/>
  <c r="CI312" i="24"/>
  <c r="BR153" i="49"/>
  <c r="BR303" i="49"/>
  <c r="BH163" i="24"/>
  <c r="BE153" i="49"/>
  <c r="BV219" i="24"/>
  <c r="BY219" i="24"/>
  <c r="BW302" i="24"/>
  <c r="BP287" i="49"/>
  <c r="BK287" i="49"/>
  <c r="AQ285" i="24"/>
  <c r="DK317" i="24"/>
  <c r="DK319" i="24"/>
  <c r="BN252" i="24"/>
  <c r="BY252" i="24"/>
  <c r="BE212" i="24"/>
  <c r="CI212" i="24"/>
  <c r="AC212" i="24"/>
  <c r="BT212" i="24"/>
  <c r="BY212" i="24"/>
  <c r="CL212" i="24"/>
  <c r="BP208" i="24"/>
  <c r="AQ176" i="24"/>
  <c r="AQ137" i="24"/>
  <c r="BL117" i="24"/>
  <c r="BY117" i="24"/>
  <c r="CK64" i="24"/>
  <c r="AQ64" i="24"/>
  <c r="AQ61" i="24"/>
  <c r="BV35" i="24"/>
  <c r="BY35" i="24"/>
  <c r="CI35" i="24"/>
  <c r="AQ12" i="24"/>
  <c r="BI221" i="49"/>
  <c r="BK221" i="49"/>
  <c r="BP221" i="49"/>
  <c r="BM221" i="49"/>
  <c r="BT201" i="49"/>
  <c r="BO201" i="49"/>
  <c r="BQ127" i="49"/>
  <c r="AC127" i="49"/>
  <c r="BP127" i="49"/>
  <c r="BR8" i="49"/>
  <c r="BL8" i="49"/>
  <c r="AJ191" i="49"/>
  <c r="BB265" i="49"/>
  <c r="BV10" i="24"/>
  <c r="BI61" i="49"/>
  <c r="BI318" i="49"/>
  <c r="BO191" i="49"/>
  <c r="BL191" i="49"/>
  <c r="BQ265" i="49"/>
  <c r="BS89" i="49"/>
  <c r="BE89" i="49"/>
  <c r="BR146" i="49"/>
  <c r="BM182" i="49"/>
  <c r="BP182" i="49"/>
  <c r="BN10" i="24"/>
  <c r="CL249" i="24"/>
  <c r="BR267" i="24"/>
  <c r="EX288" i="24"/>
  <c r="EW291" i="24"/>
  <c r="AJ307" i="24"/>
  <c r="AF307" i="24"/>
  <c r="BU316" i="24"/>
  <c r="CI219" i="24"/>
  <c r="CL203" i="24"/>
  <c r="BQ100" i="49"/>
  <c r="BG249" i="49"/>
  <c r="BV249" i="49"/>
  <c r="BW10" i="24"/>
  <c r="CL10" i="24"/>
  <c r="BP183" i="24"/>
  <c r="CI183" i="24"/>
  <c r="AC183" i="24"/>
  <c r="BS275" i="24"/>
  <c r="BW275" i="24"/>
  <c r="AC275" i="24"/>
  <c r="AQ311" i="24"/>
  <c r="AG311" i="24"/>
  <c r="BK311" i="24"/>
  <c r="AQ313" i="24"/>
  <c r="BT172" i="24"/>
  <c r="BI172" i="24"/>
  <c r="AJ172" i="24"/>
  <c r="AF172" i="24"/>
  <c r="EX172" i="24"/>
  <c r="BT311" i="24"/>
  <c r="EX311" i="24"/>
  <c r="BE311" i="24"/>
  <c r="BR185" i="24"/>
  <c r="BS185" i="24"/>
  <c r="AC185" i="24"/>
  <c r="EW191" i="24"/>
  <c r="EX191" i="24"/>
  <c r="AQ275" i="24"/>
  <c r="AC302" i="24"/>
  <c r="BT302" i="24"/>
  <c r="EX302" i="24"/>
  <c r="AJ302" i="24"/>
  <c r="AF302" i="24"/>
  <c r="BH312" i="24"/>
  <c r="BL312" i="24"/>
  <c r="BE312" i="24"/>
  <c r="BO313" i="24"/>
  <c r="BN313" i="24"/>
  <c r="BV313" i="24"/>
  <c r="BP149" i="24"/>
  <c r="BW149" i="24"/>
  <c r="BH149" i="24"/>
  <c r="BQ172" i="24"/>
  <c r="BS35" i="49"/>
  <c r="BV35" i="49"/>
  <c r="BK253" i="49"/>
  <c r="BV253" i="49"/>
  <c r="BP146" i="49"/>
  <c r="BT216" i="49"/>
  <c r="BF301" i="49"/>
  <c r="CL330" i="49"/>
  <c r="BT10" i="24"/>
  <c r="BT61" i="49"/>
  <c r="BF61" i="49"/>
  <c r="BB100" i="49"/>
  <c r="BB318" i="49"/>
  <c r="BR100" i="49"/>
  <c r="AJ309" i="49"/>
  <c r="AF309" i="49"/>
  <c r="BU14" i="24"/>
  <c r="BY14" i="24"/>
  <c r="BN163" i="24"/>
  <c r="BF303" i="49"/>
  <c r="BV303" i="49"/>
  <c r="EW102" i="24"/>
  <c r="CL163" i="24"/>
  <c r="BL287" i="49"/>
  <c r="BR287" i="49"/>
  <c r="BL309" i="49"/>
  <c r="AC277" i="24"/>
  <c r="AQ270" i="24"/>
  <c r="AQ166" i="24"/>
  <c r="AQ147" i="24"/>
  <c r="AQ38" i="24"/>
  <c r="BJ13" i="24"/>
  <c r="BY13" i="24"/>
  <c r="BI278" i="49"/>
  <c r="BL278" i="49"/>
  <c r="BF225" i="49"/>
  <c r="AQ225" i="49"/>
  <c r="BO152" i="49"/>
  <c r="AQ152" i="49"/>
  <c r="BN57" i="24"/>
  <c r="EU326" i="49"/>
  <c r="EU327" i="49"/>
  <c r="BM172" i="24"/>
  <c r="BR318" i="49"/>
  <c r="AG205" i="49"/>
  <c r="BN205" i="49"/>
  <c r="BQ99" i="24"/>
  <c r="AG99" i="24"/>
  <c r="AF166" i="24"/>
  <c r="BM166" i="24"/>
  <c r="AG193" i="24"/>
  <c r="BQ193" i="24"/>
  <c r="AF287" i="24"/>
  <c r="BM287" i="24"/>
  <c r="BG201" i="49"/>
  <c r="BV201" i="49"/>
  <c r="AY201" i="49"/>
  <c r="BA201" i="49"/>
  <c r="AF270" i="24"/>
  <c r="BM270" i="24"/>
  <c r="BY109" i="24"/>
  <c r="AF261" i="24"/>
  <c r="BM261" i="24"/>
  <c r="BG75" i="49"/>
  <c r="BV75" i="49"/>
  <c r="AY75" i="49"/>
  <c r="BA75" i="49"/>
  <c r="BJ189" i="24"/>
  <c r="BY189" i="24"/>
  <c r="AY189" i="24"/>
  <c r="BD189" i="24"/>
  <c r="BH146" i="49"/>
  <c r="AY146" i="49"/>
  <c r="BA146" i="49"/>
  <c r="BG121" i="49"/>
  <c r="BV121" i="49"/>
  <c r="AY121" i="49"/>
  <c r="BA121" i="49"/>
  <c r="BH231" i="49"/>
  <c r="BV231" i="49"/>
  <c r="AY231" i="49"/>
  <c r="BA231" i="49"/>
  <c r="BH301" i="49"/>
  <c r="BV301" i="49"/>
  <c r="AY301" i="49"/>
  <c r="BA301" i="49"/>
  <c r="BK9" i="24"/>
  <c r="AY9" i="24"/>
  <c r="BD9" i="24"/>
  <c r="BA8" i="49"/>
  <c r="BQ38" i="24"/>
  <c r="AG38" i="24"/>
  <c r="BF318" i="49"/>
  <c r="AG152" i="49"/>
  <c r="BN152" i="49"/>
  <c r="BY149" i="24"/>
  <c r="BV182" i="49"/>
  <c r="BV127" i="49"/>
  <c r="BQ61" i="24"/>
  <c r="AG61" i="24"/>
  <c r="BQ137" i="24"/>
  <c r="AG137" i="24"/>
  <c r="BY163" i="24"/>
  <c r="BM318" i="49"/>
  <c r="BO318" i="49"/>
  <c r="AF311" i="24"/>
  <c r="BM311" i="24"/>
  <c r="BQ302" i="24"/>
  <c r="AG302" i="24"/>
  <c r="BK302" i="24"/>
  <c r="AG137" i="49"/>
  <c r="BH137" i="49"/>
  <c r="BN137" i="49"/>
  <c r="AG25" i="24"/>
  <c r="BQ25" i="24"/>
  <c r="DJ319" i="24"/>
  <c r="BY234" i="24"/>
  <c r="AF266" i="24"/>
  <c r="BM266" i="24"/>
  <c r="BQ266" i="24"/>
  <c r="BG56" i="49"/>
  <c r="BV56" i="49"/>
  <c r="AY56" i="49"/>
  <c r="BA56" i="49"/>
  <c r="BH25" i="49"/>
  <c r="BV25" i="49"/>
  <c r="AY25" i="49"/>
  <c r="BA25" i="49"/>
  <c r="AG318" i="49"/>
  <c r="BK180" i="24"/>
  <c r="BY180" i="24"/>
  <c r="AY180" i="24"/>
  <c r="BD180" i="24"/>
  <c r="BJ272" i="24"/>
  <c r="BG221" i="49"/>
  <c r="BV221" i="49"/>
  <c r="AY221" i="49"/>
  <c r="BA221" i="49"/>
  <c r="AY73" i="24"/>
  <c r="BD73" i="24"/>
  <c r="BK73" i="24"/>
  <c r="BY73" i="24"/>
  <c r="BJ48" i="24"/>
  <c r="BY48" i="24"/>
  <c r="AY48" i="24"/>
  <c r="BD48" i="24"/>
  <c r="BK124" i="24"/>
  <c r="BY124" i="24"/>
  <c r="AY124" i="24"/>
  <c r="BD124" i="24"/>
  <c r="BH130" i="49"/>
  <c r="AY234" i="49"/>
  <c r="BA234" i="49"/>
  <c r="BH234" i="49"/>
  <c r="BV234" i="49"/>
  <c r="BK37" i="24"/>
  <c r="BY37" i="24"/>
  <c r="AY37" i="24"/>
  <c r="BD37" i="24"/>
  <c r="BY185" i="24"/>
  <c r="BY148" i="24"/>
  <c r="AG147" i="24"/>
  <c r="BQ147" i="24"/>
  <c r="BG309" i="49"/>
  <c r="AY309" i="49"/>
  <c r="BA309" i="49"/>
  <c r="BV278" i="49"/>
  <c r="AG166" i="24"/>
  <c r="BK166" i="24"/>
  <c r="BQ166" i="24"/>
  <c r="BN225" i="49"/>
  <c r="AG225" i="49"/>
  <c r="BH225" i="49"/>
  <c r="AG270" i="24"/>
  <c r="BK270" i="24"/>
  <c r="BQ270" i="24"/>
  <c r="AG275" i="24"/>
  <c r="BQ275" i="24"/>
  <c r="BQ318" i="49"/>
  <c r="BJ307" i="24"/>
  <c r="AY307" i="24"/>
  <c r="BD307" i="24"/>
  <c r="BQ12" i="24"/>
  <c r="AG12" i="24"/>
  <c r="AG64" i="24"/>
  <c r="BQ64" i="24"/>
  <c r="BQ176" i="24"/>
  <c r="AG176" i="24"/>
  <c r="BV100" i="49"/>
  <c r="BJ309" i="49"/>
  <c r="BV309" i="49"/>
  <c r="BM302" i="24"/>
  <c r="BQ10" i="24"/>
  <c r="AG10" i="24"/>
  <c r="BM307" i="24"/>
  <c r="BV146" i="49"/>
  <c r="BP318" i="49"/>
  <c r="AF104" i="24"/>
  <c r="BM104" i="24"/>
  <c r="AF211" i="24"/>
  <c r="BM211" i="24"/>
  <c r="BK256" i="24"/>
  <c r="BY256" i="24"/>
  <c r="AY256" i="24"/>
  <c r="BD256" i="24"/>
  <c r="BQ143" i="24"/>
  <c r="AG143" i="24"/>
  <c r="AF259" i="24"/>
  <c r="BM259" i="24"/>
  <c r="BV265" i="49"/>
  <c r="BY175" i="24"/>
  <c r="BJ107" i="24"/>
  <c r="BY107" i="24"/>
  <c r="AY107" i="24"/>
  <c r="BD107" i="24"/>
  <c r="BM134" i="24"/>
  <c r="AF280" i="24"/>
  <c r="BM280" i="24"/>
  <c r="AY87" i="24"/>
  <c r="BD87" i="24"/>
  <c r="BH63" i="49"/>
  <c r="BV63" i="49"/>
  <c r="AY63" i="49"/>
  <c r="BA63" i="49"/>
  <c r="BG101" i="49"/>
  <c r="BV101" i="49"/>
  <c r="AY101" i="49"/>
  <c r="BA101" i="49"/>
  <c r="BH91" i="49"/>
  <c r="BV91" i="49"/>
  <c r="AY91" i="49"/>
  <c r="BA91" i="49"/>
  <c r="AY108" i="24"/>
  <c r="BD108" i="24"/>
  <c r="BK108" i="24"/>
  <c r="BY108" i="24"/>
  <c r="BJ50" i="24"/>
  <c r="BY50" i="24"/>
  <c r="AY50" i="24"/>
  <c r="BD50" i="24"/>
  <c r="BJ16" i="24"/>
  <c r="AY16" i="24"/>
  <c r="BD16" i="24"/>
  <c r="BK152" i="24"/>
  <c r="AY152" i="24"/>
  <c r="BD152" i="24"/>
  <c r="BH129" i="49"/>
  <c r="BV129" i="49"/>
  <c r="AY129" i="49"/>
  <c r="BA129" i="49"/>
  <c r="BK213" i="24"/>
  <c r="BY213" i="24"/>
  <c r="AY213" i="24"/>
  <c r="BD213" i="24"/>
  <c r="AY215" i="49"/>
  <c r="BA215" i="49"/>
  <c r="BH215" i="49"/>
  <c r="BV215" i="49"/>
  <c r="BJ199" i="24"/>
  <c r="BY199" i="24"/>
  <c r="AY199" i="24"/>
  <c r="BD199" i="24"/>
  <c r="BY120" i="24"/>
  <c r="AG313" i="24"/>
  <c r="BQ313" i="24"/>
  <c r="BE318" i="49"/>
  <c r="BV89" i="49"/>
  <c r="AF191" i="49"/>
  <c r="BJ191" i="49"/>
  <c r="BQ285" i="24"/>
  <c r="AG285" i="24"/>
  <c r="BV216" i="49"/>
  <c r="AG183" i="24"/>
  <c r="BQ183" i="24"/>
  <c r="BK318" i="49"/>
  <c r="BJ61" i="49"/>
  <c r="AF61" i="49"/>
  <c r="AF85" i="24"/>
  <c r="BM85" i="24"/>
  <c r="BQ192" i="24"/>
  <c r="AG192" i="24"/>
  <c r="BJ237" i="24"/>
  <c r="BG225" i="49"/>
  <c r="BV225" i="49"/>
  <c r="AY225" i="49"/>
  <c r="BA225" i="49"/>
  <c r="AG159" i="24"/>
  <c r="BQ159" i="24"/>
  <c r="BG168" i="49"/>
  <c r="BV168" i="49"/>
  <c r="AY168" i="49"/>
  <c r="BA168" i="49"/>
  <c r="BJ134" i="24"/>
  <c r="BY134" i="24"/>
  <c r="AY134" i="24"/>
  <c r="BD134" i="24"/>
  <c r="AG139" i="24"/>
  <c r="BQ139" i="24"/>
  <c r="BQ294" i="24"/>
  <c r="AG294" i="24"/>
  <c r="BJ57" i="24"/>
  <c r="BY57" i="24"/>
  <c r="AY57" i="24"/>
  <c r="BD57" i="24"/>
  <c r="AY162" i="49"/>
  <c r="BA162" i="49"/>
  <c r="BG162" i="49"/>
  <c r="BV162" i="49"/>
  <c r="BH244" i="49"/>
  <c r="AY244" i="49"/>
  <c r="BA244" i="49"/>
  <c r="BG153" i="49"/>
  <c r="BV153" i="49"/>
  <c r="AY153" i="49"/>
  <c r="BA153" i="49"/>
  <c r="BK80" i="24"/>
  <c r="BY80" i="24"/>
  <c r="AY80" i="24"/>
  <c r="BD80" i="24"/>
  <c r="AY250" i="49"/>
  <c r="BA250" i="49"/>
  <c r="BH250" i="49"/>
  <c r="BV250" i="49"/>
  <c r="BK224" i="24"/>
  <c r="BY224" i="24"/>
  <c r="AY224" i="24"/>
  <c r="BD224" i="24"/>
  <c r="AY41" i="24"/>
  <c r="BD41" i="24"/>
  <c r="BJ41" i="24"/>
  <c r="BY41" i="24"/>
  <c r="BJ208" i="24"/>
  <c r="BY208" i="24"/>
  <c r="AY208" i="24"/>
  <c r="BD208" i="24"/>
  <c r="AY137" i="49"/>
  <c r="BA137" i="49"/>
  <c r="BG137" i="49"/>
  <c r="BV137" i="49"/>
  <c r="BV8" i="49"/>
  <c r="AY294" i="24"/>
  <c r="BD294" i="24"/>
  <c r="BK294" i="24"/>
  <c r="BY294" i="24"/>
  <c r="AY159" i="24"/>
  <c r="BD159" i="24"/>
  <c r="BK159" i="24"/>
  <c r="BY159" i="24"/>
  <c r="BJ85" i="24"/>
  <c r="BY85" i="24"/>
  <c r="AY85" i="24"/>
  <c r="BD85" i="24"/>
  <c r="BF321" i="49"/>
  <c r="BJ280" i="24"/>
  <c r="BY280" i="24"/>
  <c r="AY280" i="24"/>
  <c r="BD280" i="24"/>
  <c r="AY259" i="24"/>
  <c r="BD259" i="24"/>
  <c r="BJ259" i="24"/>
  <c r="BK10" i="24"/>
  <c r="AY10" i="24"/>
  <c r="BD10" i="24"/>
  <c r="BK147" i="24"/>
  <c r="BY147" i="24"/>
  <c r="AY147" i="24"/>
  <c r="BD147" i="24"/>
  <c r="BM321" i="49"/>
  <c r="BK61" i="24"/>
  <c r="AY61" i="24"/>
  <c r="BD61" i="24"/>
  <c r="BJ270" i="24"/>
  <c r="BY270" i="24"/>
  <c r="AY270" i="24"/>
  <c r="BD270" i="24"/>
  <c r="BK193" i="24"/>
  <c r="BY193" i="24"/>
  <c r="AY193" i="24"/>
  <c r="BD193" i="24"/>
  <c r="BH205" i="49"/>
  <c r="BV205" i="49"/>
  <c r="AY205" i="49"/>
  <c r="BA205" i="49"/>
  <c r="AY104" i="24"/>
  <c r="BD104" i="24"/>
  <c r="BJ104" i="24"/>
  <c r="BY104" i="24"/>
  <c r="BJ266" i="24"/>
  <c r="BY266" i="24"/>
  <c r="AY266" i="24"/>
  <c r="BD266" i="24"/>
  <c r="BJ261" i="24"/>
  <c r="AY261" i="24"/>
  <c r="BD261" i="24"/>
  <c r="BK192" i="24"/>
  <c r="BY192" i="24"/>
  <c r="AY192" i="24"/>
  <c r="BD192" i="24"/>
  <c r="BG191" i="49"/>
  <c r="BV191" i="49"/>
  <c r="AY191" i="49"/>
  <c r="BA191" i="49"/>
  <c r="AY143" i="24"/>
  <c r="BD143" i="24"/>
  <c r="BK143" i="24"/>
  <c r="BY143" i="24"/>
  <c r="BK64" i="24"/>
  <c r="BY64" i="24"/>
  <c r="AY64" i="24"/>
  <c r="BD64" i="24"/>
  <c r="BK275" i="24"/>
  <c r="BY275" i="24"/>
  <c r="AY275" i="24"/>
  <c r="BD275" i="24"/>
  <c r="BK25" i="24"/>
  <c r="BY25" i="24"/>
  <c r="AY25" i="24"/>
  <c r="BD25" i="24"/>
  <c r="BJ311" i="24"/>
  <c r="AY311" i="24"/>
  <c r="BD311" i="24"/>
  <c r="BK137" i="24"/>
  <c r="AY137" i="24"/>
  <c r="BD137" i="24"/>
  <c r="BH152" i="49"/>
  <c r="BV152" i="49"/>
  <c r="AY152" i="49"/>
  <c r="BA152" i="49"/>
  <c r="AY38" i="24"/>
  <c r="BD38" i="24"/>
  <c r="BK38" i="24"/>
  <c r="BY38" i="24"/>
  <c r="BJ287" i="24"/>
  <c r="BY287" i="24"/>
  <c r="AY287" i="24"/>
  <c r="BD287" i="24"/>
  <c r="BJ166" i="24"/>
  <c r="BY166" i="24"/>
  <c r="AY166" i="24"/>
  <c r="BD166" i="24"/>
  <c r="BK139" i="24"/>
  <c r="BY139" i="24"/>
  <c r="AY139" i="24"/>
  <c r="BD139" i="24"/>
  <c r="BG61" i="49"/>
  <c r="BV61" i="49"/>
  <c r="AY61" i="49"/>
  <c r="BA61" i="49"/>
  <c r="BK183" i="24"/>
  <c r="AY183" i="24"/>
  <c r="BD183" i="24"/>
  <c r="AY285" i="24"/>
  <c r="BD285" i="24"/>
  <c r="BK285" i="24"/>
  <c r="BY285" i="24"/>
  <c r="AY313" i="24"/>
  <c r="BD313" i="24"/>
  <c r="BK313" i="24"/>
  <c r="BY313" i="24"/>
  <c r="BJ211" i="24"/>
  <c r="AY211" i="24"/>
  <c r="BD211" i="24"/>
  <c r="BK176" i="24"/>
  <c r="BK12" i="24"/>
  <c r="BY12" i="24"/>
  <c r="AY12" i="24"/>
  <c r="BD12" i="24"/>
  <c r="BY307" i="24"/>
  <c r="AY99" i="24"/>
  <c r="BD99" i="24"/>
  <c r="BK99" i="24"/>
  <c r="BY99" i="24"/>
  <c r="BJ172" i="24"/>
  <c r="BY172" i="24"/>
  <c r="AY172" i="24"/>
  <c r="BD172" i="24"/>
  <c r="BY10" i="24"/>
  <c r="FM322" i="49"/>
  <c r="FM324" i="49"/>
  <c r="FN322" i="49"/>
  <c r="FN324" i="49"/>
  <c r="FT322" i="49"/>
  <c r="FT327" i="49"/>
  <c r="BY137" i="24"/>
  <c r="BJ302" i="24"/>
  <c r="AY302" i="24"/>
  <c r="BD302" i="24"/>
  <c r="BJ292" i="24"/>
  <c r="AY292" i="24"/>
  <c r="BD292" i="24"/>
  <c r="AY202" i="49"/>
  <c r="BA202" i="49"/>
  <c r="BH202" i="49"/>
  <c r="BV202" i="49"/>
  <c r="AY129" i="24"/>
  <c r="BD129" i="24"/>
  <c r="BK129" i="24"/>
  <c r="BY129" i="24"/>
  <c r="AY283" i="24"/>
  <c r="BD283" i="24"/>
  <c r="BK283" i="24"/>
  <c r="BY283" i="24"/>
  <c r="BV288" i="49"/>
  <c r="BK237" i="24"/>
  <c r="AY237" i="24"/>
  <c r="BD237" i="24"/>
  <c r="BK11" i="24"/>
  <c r="AY11" i="24"/>
  <c r="BD11" i="24"/>
  <c r="BH185" i="49"/>
  <c r="BV185" i="49"/>
  <c r="AY185" i="49"/>
  <c r="BA185" i="49"/>
  <c r="AY177" i="49"/>
  <c r="BA177" i="49"/>
  <c r="BH177" i="49"/>
  <c r="BV177" i="49"/>
  <c r="AY107" i="49"/>
  <c r="BA107" i="49"/>
  <c r="BG130" i="49"/>
  <c r="BV130" i="49"/>
  <c r="AY130" i="49"/>
  <c r="BA130" i="49"/>
  <c r="BJ238" i="24"/>
  <c r="BY238" i="24"/>
  <c r="AY238" i="24"/>
  <c r="BD238" i="24"/>
  <c r="AY227" i="49"/>
  <c r="BA227" i="49"/>
  <c r="BH227" i="49"/>
  <c r="BV227" i="49"/>
  <c r="BK231" i="24"/>
  <c r="BY231" i="24"/>
  <c r="AY231" i="24"/>
  <c r="BD231" i="24"/>
  <c r="BK269" i="24"/>
  <c r="BY269" i="24"/>
  <c r="AY269" i="24"/>
  <c r="BD269" i="24"/>
  <c r="AY215" i="24"/>
  <c r="BD215" i="24"/>
  <c r="BK215" i="24"/>
  <c r="AY30" i="24"/>
  <c r="BD30" i="24"/>
  <c r="BK30" i="24"/>
  <c r="BY30" i="24"/>
  <c r="AY52" i="24"/>
  <c r="BD52" i="24"/>
  <c r="BK52" i="24"/>
  <c r="BY52" i="24"/>
  <c r="AY258" i="24"/>
  <c r="BD258" i="24"/>
  <c r="BJ258" i="24"/>
  <c r="BY258" i="24"/>
  <c r="BK140" i="24"/>
  <c r="BY140" i="24"/>
  <c r="AY140" i="24"/>
  <c r="BD140" i="24"/>
  <c r="BK209" i="24"/>
  <c r="BY209" i="24"/>
  <c r="AY209" i="24"/>
  <c r="BD209" i="24"/>
  <c r="AY295" i="24"/>
  <c r="BD295" i="24"/>
  <c r="BK295" i="24"/>
  <c r="BY295" i="24"/>
  <c r="AY141" i="49"/>
  <c r="BA141" i="49"/>
  <c r="BQ311" i="24"/>
  <c r="BY311" i="24"/>
  <c r="BS318" i="49"/>
  <c r="BU321" i="49"/>
  <c r="BJ244" i="24"/>
  <c r="BY244" i="24"/>
  <c r="BM292" i="24"/>
  <c r="BH233" i="49"/>
  <c r="BV233" i="49"/>
  <c r="BK62" i="24"/>
  <c r="BY62" i="24"/>
  <c r="BK279" i="24"/>
  <c r="BY279" i="24"/>
  <c r="BG186" i="49"/>
  <c r="BV186" i="49"/>
  <c r="AG166" i="49"/>
  <c r="BG69" i="49"/>
  <c r="BV69" i="49"/>
  <c r="AY245" i="24"/>
  <c r="BD245" i="24"/>
  <c r="BQ237" i="24"/>
  <c r="BQ215" i="24"/>
  <c r="AG260" i="49"/>
  <c r="BQ11" i="24"/>
  <c r="BG67" i="49"/>
  <c r="BV67" i="49"/>
  <c r="BH126" i="49"/>
  <c r="BV126" i="49"/>
  <c r="AY157" i="49"/>
  <c r="BA157" i="49"/>
  <c r="AY267" i="24"/>
  <c r="BD267" i="24"/>
  <c r="AY310" i="24"/>
  <c r="BD310" i="24"/>
  <c r="AY271" i="49"/>
  <c r="BA271" i="49"/>
  <c r="AY60" i="49"/>
  <c r="BA60" i="49"/>
  <c r="AY44" i="49"/>
  <c r="BA44" i="49"/>
  <c r="BN141" i="49"/>
  <c r="AG141" i="49"/>
  <c r="BH141" i="49"/>
  <c r="BY116" i="24"/>
  <c r="AY240" i="49"/>
  <c r="BA240" i="49"/>
  <c r="BH240" i="49"/>
  <c r="BV240" i="49"/>
  <c r="AY251" i="49"/>
  <c r="BA251" i="49"/>
  <c r="BH251" i="49"/>
  <c r="BV251" i="49"/>
  <c r="BY132" i="24"/>
  <c r="AY102" i="24"/>
  <c r="BD102" i="24"/>
  <c r="BK102" i="24"/>
  <c r="BY102" i="24"/>
  <c r="BV298" i="49"/>
  <c r="BV141" i="49"/>
  <c r="BN217" i="49"/>
  <c r="AG217" i="49"/>
  <c r="AY195" i="24"/>
  <c r="BD195" i="24"/>
  <c r="BK195" i="24"/>
  <c r="BY195" i="24"/>
  <c r="BG76" i="49"/>
  <c r="BV76" i="49"/>
  <c r="AY76" i="49"/>
  <c r="BA76" i="49"/>
  <c r="BJ286" i="24"/>
  <c r="BH7" i="49"/>
  <c r="AY7" i="49"/>
  <c r="BG155" i="49"/>
  <c r="BV155" i="49"/>
  <c r="AY155" i="49"/>
  <c r="BA155" i="49"/>
  <c r="BV192" i="49"/>
  <c r="BG119" i="49"/>
  <c r="BV119" i="49"/>
  <c r="AY119" i="49"/>
  <c r="BA119" i="49"/>
  <c r="BG199" i="49"/>
  <c r="BV199" i="49"/>
  <c r="AY199" i="49"/>
  <c r="BA199" i="49"/>
  <c r="BQ202" i="24"/>
  <c r="BY202" i="24"/>
  <c r="AG107" i="49"/>
  <c r="BH107" i="49"/>
  <c r="BV107" i="49"/>
  <c r="AF274" i="24"/>
  <c r="AG140" i="49"/>
  <c r="BK156" i="24"/>
  <c r="BY156" i="24"/>
  <c r="AY156" i="24"/>
  <c r="BD156" i="24"/>
  <c r="AY277" i="24"/>
  <c r="BD277" i="24"/>
  <c r="AF59" i="49"/>
  <c r="AF287" i="49"/>
  <c r="BJ287" i="49"/>
  <c r="AF16" i="49"/>
  <c r="BJ16" i="49"/>
  <c r="BJ318" i="49"/>
  <c r="EO319" i="24"/>
  <c r="CV318" i="24"/>
  <c r="BI312" i="24"/>
  <c r="BW312" i="24"/>
  <c r="BU312" i="24"/>
  <c r="EW312" i="24"/>
  <c r="BX312" i="24"/>
  <c r="S311" i="24"/>
  <c r="S317" i="24"/>
  <c r="BI308" i="24"/>
  <c r="BY308" i="24"/>
  <c r="BV308" i="24"/>
  <c r="BS299" i="24"/>
  <c r="BP299" i="24"/>
  <c r="EW299" i="24"/>
  <c r="BE299" i="24"/>
  <c r="BT299" i="24"/>
  <c r="BI299" i="24"/>
  <c r="AC299" i="24"/>
  <c r="BV299" i="24"/>
  <c r="BS297" i="24"/>
  <c r="AJ297" i="24"/>
  <c r="BH297" i="24"/>
  <c r="BV297" i="24"/>
  <c r="AC297" i="24"/>
  <c r="BT297" i="24"/>
  <c r="BE297" i="24"/>
  <c r="BP297" i="24"/>
  <c r="EW297" i="24"/>
  <c r="AQ286" i="24"/>
  <c r="CL284" i="24"/>
  <c r="BN284" i="24"/>
  <c r="BS284" i="24"/>
  <c r="BV284" i="24"/>
  <c r="EX284" i="24"/>
  <c r="CK284" i="24"/>
  <c r="BK284" i="24"/>
  <c r="BO284" i="24"/>
  <c r="AQ277" i="24"/>
  <c r="AG277" i="24"/>
  <c r="BK277" i="24"/>
  <c r="BY277" i="24"/>
  <c r="BS276" i="24"/>
  <c r="BI276" i="24"/>
  <c r="BW276" i="24"/>
  <c r="BL276" i="24"/>
  <c r="BO276" i="24"/>
  <c r="EX276" i="24"/>
  <c r="BT276" i="24"/>
  <c r="BV276" i="24"/>
  <c r="AQ272" i="24"/>
  <c r="BH272" i="24"/>
  <c r="EW261" i="24"/>
  <c r="BX261" i="24"/>
  <c r="BY261" i="24"/>
  <c r="BN259" i="24"/>
  <c r="BY259" i="24"/>
  <c r="EX259" i="24"/>
  <c r="AJ246" i="24"/>
  <c r="BL246" i="24"/>
  <c r="BT246" i="24"/>
  <c r="AC246" i="24"/>
  <c r="BN246" i="24"/>
  <c r="BV246" i="24"/>
  <c r="BO246" i="24"/>
  <c r="BE246" i="24"/>
  <c r="AQ232" i="24"/>
  <c r="BP215" i="24"/>
  <c r="BT215" i="24"/>
  <c r="EW194" i="24"/>
  <c r="BR194" i="24"/>
  <c r="BY194" i="24"/>
  <c r="AQ191" i="24"/>
  <c r="BS187" i="24"/>
  <c r="BK187" i="24"/>
  <c r="BR187" i="24"/>
  <c r="EX187" i="24"/>
  <c r="BH187" i="24"/>
  <c r="AJ187" i="24"/>
  <c r="BI187" i="24"/>
  <c r="BU187" i="24"/>
  <c r="BP187" i="24"/>
  <c r="EW187" i="24"/>
  <c r="BE183" i="24"/>
  <c r="EX183" i="24"/>
  <c r="BT183" i="24"/>
  <c r="BY183" i="24"/>
  <c r="EW183" i="24"/>
  <c r="BN179" i="24"/>
  <c r="BH179" i="24"/>
  <c r="AC179" i="24"/>
  <c r="AJ179" i="24"/>
  <c r="BW179" i="24"/>
  <c r="BL179" i="24"/>
  <c r="CL179" i="24"/>
  <c r="BR179" i="24"/>
  <c r="EX179" i="24"/>
  <c r="BR174" i="24"/>
  <c r="CK174" i="24"/>
  <c r="AC174" i="24"/>
  <c r="BO174" i="24"/>
  <c r="CI174" i="24"/>
  <c r="BP174" i="24"/>
  <c r="EX174" i="24"/>
  <c r="AJ174" i="24"/>
  <c r="BX170" i="24"/>
  <c r="BH170" i="24"/>
  <c r="BS162" i="24"/>
  <c r="AJ162" i="24"/>
  <c r="BT162" i="24"/>
  <c r="CK153" i="24"/>
  <c r="BL153" i="24"/>
  <c r="BY153" i="24"/>
  <c r="BX152" i="24"/>
  <c r="EX152" i="24"/>
  <c r="BW152" i="24"/>
  <c r="BI152" i="24"/>
  <c r="BY152" i="24"/>
  <c r="BO152" i="24"/>
  <c r="AF317" i="49"/>
  <c r="BJ317" i="49"/>
  <c r="AG45" i="49"/>
  <c r="BN45" i="49"/>
  <c r="BL302" i="24"/>
  <c r="BP302" i="24"/>
  <c r="BE302" i="24"/>
  <c r="BI302" i="24"/>
  <c r="BV302" i="24"/>
  <c r="BE286" i="24"/>
  <c r="BS286" i="24"/>
  <c r="BN277" i="24"/>
  <c r="BQ277" i="24"/>
  <c r="AJ232" i="24"/>
  <c r="BP232" i="24"/>
  <c r="EW232" i="24"/>
  <c r="AC232" i="24"/>
  <c r="EX232" i="24"/>
  <c r="BI232" i="24"/>
  <c r="CI232" i="24"/>
  <c r="BS211" i="24"/>
  <c r="BN211" i="24"/>
  <c r="BL211" i="24"/>
  <c r="BY211" i="24"/>
  <c r="BP191" i="24"/>
  <c r="BL191" i="24"/>
  <c r="CI191" i="24"/>
  <c r="EW186" i="24"/>
  <c r="AC186" i="24"/>
  <c r="BV184" i="24"/>
  <c r="BL184" i="24"/>
  <c r="BT182" i="24"/>
  <c r="BU182" i="24"/>
  <c r="AJ182" i="24"/>
  <c r="AC182" i="24"/>
  <c r="BP182" i="24"/>
  <c r="EX182" i="24"/>
  <c r="EW182" i="24"/>
  <c r="BS182" i="24"/>
  <c r="BO182" i="24"/>
  <c r="BX181" i="24"/>
  <c r="AC181" i="24"/>
  <c r="AJ181" i="24"/>
  <c r="BO181" i="24"/>
  <c r="BL181" i="24"/>
  <c r="BU181" i="24"/>
  <c r="BR181" i="24"/>
  <c r="BE176" i="24"/>
  <c r="AJ176" i="24"/>
  <c r="BN176" i="24"/>
  <c r="BU169" i="24"/>
  <c r="BO169" i="24"/>
  <c r="EX169" i="24"/>
  <c r="EW169" i="24"/>
  <c r="BH169" i="24"/>
  <c r="CL169" i="24"/>
  <c r="AJ169" i="24"/>
  <c r="BL169" i="24"/>
  <c r="CK169" i="24"/>
  <c r="BP165" i="24"/>
  <c r="BY165" i="24"/>
  <c r="BT165" i="24"/>
  <c r="AJ154" i="24"/>
  <c r="EW154" i="24"/>
  <c r="BS142" i="24"/>
  <c r="EW142" i="24"/>
  <c r="BP142" i="24"/>
  <c r="BW137" i="24"/>
  <c r="AC137" i="24"/>
  <c r="BO116" i="24"/>
  <c r="CK116" i="24"/>
  <c r="BL116" i="24"/>
  <c r="BL106" i="24"/>
  <c r="BY106" i="24"/>
  <c r="EX106" i="24"/>
  <c r="EX95" i="24"/>
  <c r="AQ95" i="24"/>
  <c r="BP95" i="24"/>
  <c r="BN78" i="24"/>
  <c r="BT78" i="24"/>
  <c r="BY78" i="24"/>
  <c r="CL78" i="24"/>
  <c r="BH68" i="24"/>
  <c r="BY68" i="24"/>
  <c r="BU68" i="24"/>
  <c r="EX68" i="24"/>
  <c r="BP68" i="24"/>
  <c r="EX65" i="24"/>
  <c r="BN65" i="24"/>
  <c r="BW65" i="24"/>
  <c r="BU61" i="24"/>
  <c r="BS61" i="24"/>
  <c r="BY61" i="24"/>
  <c r="AJ58" i="24"/>
  <c r="BX58" i="24"/>
  <c r="AC55" i="24"/>
  <c r="EX55" i="24"/>
  <c r="EX317" i="24"/>
  <c r="BS55" i="24"/>
  <c r="BE55" i="24"/>
  <c r="BE317" i="24"/>
  <c r="BV55" i="24"/>
  <c r="BN55" i="24"/>
  <c r="BY55" i="24"/>
  <c r="EV317" i="24"/>
  <c r="EV319" i="24"/>
  <c r="BL51" i="24"/>
  <c r="CI51" i="24"/>
  <c r="BR51" i="24"/>
  <c r="BR317" i="24"/>
  <c r="BU51" i="24"/>
  <c r="CI46" i="24"/>
  <c r="CK46" i="24"/>
  <c r="BW8" i="24"/>
  <c r="BW317" i="24"/>
  <c r="DR327" i="49"/>
  <c r="BU42" i="24"/>
  <c r="BU317" i="24"/>
  <c r="CI9" i="24"/>
  <c r="BH11" i="24"/>
  <c r="CK11" i="24"/>
  <c r="BN42" i="24"/>
  <c r="BY42" i="24"/>
  <c r="EW42" i="24"/>
  <c r="BH39" i="24"/>
  <c r="BY39" i="24"/>
  <c r="BV8" i="24"/>
  <c r="BI16" i="24"/>
  <c r="AQ142" i="24"/>
  <c r="AQ110" i="24"/>
  <c r="BX97" i="24"/>
  <c r="BY97" i="24"/>
  <c r="BT22" i="24"/>
  <c r="BX22" i="24"/>
  <c r="BN9" i="24"/>
  <c r="AQ8" i="24"/>
  <c r="EK324" i="49"/>
  <c r="EI324" i="49"/>
  <c r="EC324" i="49"/>
  <c r="EA324" i="49"/>
  <c r="BT37" i="49"/>
  <c r="BU161" i="49"/>
  <c r="BU318" i="49"/>
  <c r="BL78" i="49"/>
  <c r="BV78" i="49"/>
  <c r="BL318" i="49"/>
  <c r="BK321" i="49"/>
  <c r="BV37" i="49"/>
  <c r="BT318" i="49"/>
  <c r="BY9" i="24"/>
  <c r="BN317" i="24"/>
  <c r="BT317" i="24"/>
  <c r="BY22" i="24"/>
  <c r="AG110" i="24"/>
  <c r="BQ110" i="24"/>
  <c r="BY16" i="24"/>
  <c r="BI317" i="24"/>
  <c r="BY11" i="24"/>
  <c r="BH317" i="24"/>
  <c r="BY51" i="24"/>
  <c r="BL317" i="24"/>
  <c r="EX321" i="24"/>
  <c r="EX323" i="24"/>
  <c r="BM154" i="24"/>
  <c r="AF154" i="24"/>
  <c r="BM182" i="24"/>
  <c r="AF182" i="24"/>
  <c r="BH45" i="49"/>
  <c r="BV45" i="49"/>
  <c r="AY45" i="49"/>
  <c r="BA45" i="49"/>
  <c r="BG317" i="49"/>
  <c r="BV317" i="49"/>
  <c r="AY317" i="49"/>
  <c r="BA317" i="49"/>
  <c r="AF174" i="24"/>
  <c r="BM174" i="24"/>
  <c r="AG232" i="24"/>
  <c r="BK232" i="24"/>
  <c r="BQ232" i="24"/>
  <c r="BM246" i="24"/>
  <c r="AF246" i="24"/>
  <c r="AG272" i="24"/>
  <c r="BQ272" i="24"/>
  <c r="AG286" i="24"/>
  <c r="BQ286" i="24"/>
  <c r="BY312" i="24"/>
  <c r="BG16" i="49"/>
  <c r="AY16" i="49"/>
  <c r="BA16" i="49"/>
  <c r="AF318" i="49"/>
  <c r="AY287" i="49"/>
  <c r="BA287" i="49"/>
  <c r="BG287" i="49"/>
  <c r="BV287" i="49"/>
  <c r="BJ274" i="24"/>
  <c r="BY274" i="24"/>
  <c r="AY274" i="24"/>
  <c r="BD274" i="24"/>
  <c r="BA7" i="49"/>
  <c r="BA318" i="49"/>
  <c r="AY318" i="49"/>
  <c r="BH217" i="49"/>
  <c r="BV217" i="49"/>
  <c r="AY217" i="49"/>
  <c r="BA217" i="49"/>
  <c r="AY260" i="49"/>
  <c r="BA260" i="49"/>
  <c r="BH260" i="49"/>
  <c r="BV260" i="49"/>
  <c r="BY237" i="24"/>
  <c r="BY292" i="24"/>
  <c r="BQ8" i="24"/>
  <c r="AG8" i="24"/>
  <c r="BX317" i="24"/>
  <c r="AG142" i="24"/>
  <c r="BQ142" i="24"/>
  <c r="BV317" i="24"/>
  <c r="BX319" i="24"/>
  <c r="EW317" i="24"/>
  <c r="BS317" i="24"/>
  <c r="AC317" i="24"/>
  <c r="AF58" i="24"/>
  <c r="BM58" i="24"/>
  <c r="BY65" i="24"/>
  <c r="BP317" i="24"/>
  <c r="BQ95" i="24"/>
  <c r="AG95" i="24"/>
  <c r="BO317" i="24"/>
  <c r="BM169" i="24"/>
  <c r="AF169" i="24"/>
  <c r="AF176" i="24"/>
  <c r="BM176" i="24"/>
  <c r="BM181" i="24"/>
  <c r="AF181" i="24"/>
  <c r="BY184" i="24"/>
  <c r="AF232" i="24"/>
  <c r="BM232" i="24"/>
  <c r="BY302" i="24"/>
  <c r="AF162" i="24"/>
  <c r="BM162" i="24"/>
  <c r="BY170" i="24"/>
  <c r="AF179" i="24"/>
  <c r="BM179" i="24"/>
  <c r="BM187" i="24"/>
  <c r="AF187" i="24"/>
  <c r="BQ191" i="24"/>
  <c r="AG191" i="24"/>
  <c r="BY276" i="24"/>
  <c r="BY284" i="24"/>
  <c r="AF297" i="24"/>
  <c r="BM297" i="24"/>
  <c r="BY299" i="24"/>
  <c r="BG59" i="49"/>
  <c r="BV59" i="49"/>
  <c r="AY59" i="49"/>
  <c r="BA59" i="49"/>
  <c r="AY140" i="49"/>
  <c r="BA140" i="49"/>
  <c r="BH140" i="49"/>
  <c r="BV140" i="49"/>
  <c r="BV7" i="49"/>
  <c r="BH318" i="49"/>
  <c r="BH166" i="49"/>
  <c r="BV166" i="49"/>
  <c r="AY166" i="49"/>
  <c r="BA166" i="49"/>
  <c r="BY215" i="24"/>
  <c r="BV161" i="49"/>
  <c r="AY297" i="24"/>
  <c r="BD297" i="24"/>
  <c r="BJ297" i="24"/>
  <c r="BY297" i="24"/>
  <c r="BJ162" i="24"/>
  <c r="BY162" i="24"/>
  <c r="AY162" i="24"/>
  <c r="BD162" i="24"/>
  <c r="BJ176" i="24"/>
  <c r="BY176" i="24"/>
  <c r="AY176" i="24"/>
  <c r="BD176" i="24"/>
  <c r="BJ169" i="24"/>
  <c r="BY169" i="24"/>
  <c r="AY169" i="24"/>
  <c r="BD169" i="24"/>
  <c r="BJ58" i="24"/>
  <c r="AY58" i="24"/>
  <c r="BD58" i="24"/>
  <c r="BK142" i="24"/>
  <c r="BY142" i="24"/>
  <c r="AY142" i="24"/>
  <c r="BD142" i="24"/>
  <c r="BK8" i="24"/>
  <c r="AY8" i="24"/>
  <c r="BD8" i="24"/>
  <c r="BG318" i="49"/>
  <c r="BV319" i="49"/>
  <c r="BV16" i="49"/>
  <c r="BJ246" i="24"/>
  <c r="BY246" i="24"/>
  <c r="AY246" i="24"/>
  <c r="BD246" i="24"/>
  <c r="AY174" i="24"/>
  <c r="BD174" i="24"/>
  <c r="BJ174" i="24"/>
  <c r="BY174" i="24"/>
  <c r="BJ182" i="24"/>
  <c r="BY182" i="24"/>
  <c r="AY182" i="24"/>
  <c r="BD182" i="24"/>
  <c r="BJ154" i="24"/>
  <c r="BY154" i="24"/>
  <c r="AY154" i="24"/>
  <c r="BD154" i="24"/>
  <c r="BI319" i="24"/>
  <c r="BN319" i="24"/>
  <c r="BV318" i="49"/>
  <c r="AY191" i="24"/>
  <c r="BD191" i="24"/>
  <c r="BK191" i="24"/>
  <c r="BY191" i="24"/>
  <c r="BJ187" i="24"/>
  <c r="BY187" i="24"/>
  <c r="AY187" i="24"/>
  <c r="BD187" i="24"/>
  <c r="BJ179" i="24"/>
  <c r="BY179" i="24"/>
  <c r="AY179" i="24"/>
  <c r="BD179" i="24"/>
  <c r="BJ232" i="24"/>
  <c r="BY232" i="24"/>
  <c r="AY232" i="24"/>
  <c r="BD232" i="24"/>
  <c r="BJ181" i="24"/>
  <c r="BY181" i="24"/>
  <c r="AY181" i="24"/>
  <c r="BD181" i="24"/>
  <c r="BK95" i="24"/>
  <c r="BY95" i="24"/>
  <c r="AY95" i="24"/>
  <c r="BD95" i="24"/>
  <c r="BP319" i="24"/>
  <c r="BM317" i="24"/>
  <c r="EW323" i="24"/>
  <c r="CY323" i="24"/>
  <c r="CY324" i="24"/>
  <c r="BQ317" i="24"/>
  <c r="BK286" i="24"/>
  <c r="BY286" i="24"/>
  <c r="AY286" i="24"/>
  <c r="BD286" i="24"/>
  <c r="BK272" i="24"/>
  <c r="BY272" i="24"/>
  <c r="AY272" i="24"/>
  <c r="BD272" i="24"/>
  <c r="AY110" i="24"/>
  <c r="BD110" i="24"/>
  <c r="BK110" i="24"/>
  <c r="BY110" i="24"/>
  <c r="BY8" i="24"/>
  <c r="BK317" i="24"/>
  <c r="BY58" i="24"/>
  <c r="BJ317" i="24"/>
  <c r="BY318" i="24"/>
  <c r="BD317" i="24"/>
  <c r="BI321" i="49"/>
  <c r="BV321" i="49"/>
  <c r="BL319" i="24"/>
  <c r="BY319" i="24"/>
  <c r="BY317" i="24"/>
  <c r="BY320" i="24"/>
  <c r="BM330" i="24"/>
</calcChain>
</file>

<file path=xl/comments1.xml><?xml version="1.0" encoding="utf-8"?>
<comments xmlns="http://schemas.openxmlformats.org/spreadsheetml/2006/main">
  <authors>
    <author>Автор</author>
  </authors>
  <commentList>
    <comment ref="AL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менять по договору</t>
        </r>
      </text>
    </comment>
    <comment ref="BO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менять по договору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L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менять по договору</t>
        </r>
      </text>
    </comment>
    <comment ref="BL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менять по договору</t>
        </r>
      </text>
    </comment>
  </commentList>
</comments>
</file>

<file path=xl/sharedStrings.xml><?xml version="1.0" encoding="utf-8"?>
<sst xmlns="http://schemas.openxmlformats.org/spreadsheetml/2006/main" count="3960" uniqueCount="964">
  <si>
    <t>Улица</t>
  </si>
  <si>
    <t>Адрес</t>
  </si>
  <si>
    <t>Корпус</t>
  </si>
  <si>
    <t>Дом</t>
  </si>
  <si>
    <t>№ п/п</t>
  </si>
  <si>
    <t>Всего</t>
  </si>
  <si>
    <t xml:space="preserve"> 1</t>
  </si>
  <si>
    <t>Антонова</t>
  </si>
  <si>
    <t>1</t>
  </si>
  <si>
    <t>а</t>
  </si>
  <si>
    <t xml:space="preserve"> 2</t>
  </si>
  <si>
    <t>3</t>
  </si>
  <si>
    <t/>
  </si>
  <si>
    <t xml:space="preserve"> 3</t>
  </si>
  <si>
    <t xml:space="preserve"> 4</t>
  </si>
  <si>
    <t>7</t>
  </si>
  <si>
    <t xml:space="preserve"> 5</t>
  </si>
  <si>
    <t>8</t>
  </si>
  <si>
    <t xml:space="preserve"> 6</t>
  </si>
  <si>
    <t>9</t>
  </si>
  <si>
    <t xml:space="preserve"> 7</t>
  </si>
  <si>
    <t>10</t>
  </si>
  <si>
    <t xml:space="preserve"> 8</t>
  </si>
  <si>
    <t>11</t>
  </si>
  <si>
    <t xml:space="preserve"> 9</t>
  </si>
  <si>
    <t>13</t>
  </si>
  <si>
    <t xml:space="preserve"> 10</t>
  </si>
  <si>
    <t>15</t>
  </si>
  <si>
    <t xml:space="preserve"> 11</t>
  </si>
  <si>
    <t xml:space="preserve"> 12</t>
  </si>
  <si>
    <t>б</t>
  </si>
  <si>
    <t xml:space="preserve"> 13</t>
  </si>
  <si>
    <t>17</t>
  </si>
  <si>
    <t xml:space="preserve"> 14</t>
  </si>
  <si>
    <t>19</t>
  </si>
  <si>
    <t xml:space="preserve"> 15</t>
  </si>
  <si>
    <t xml:space="preserve"> 16</t>
  </si>
  <si>
    <t>21</t>
  </si>
  <si>
    <t xml:space="preserve"> 17</t>
  </si>
  <si>
    <t>25</t>
  </si>
  <si>
    <t xml:space="preserve"> 18</t>
  </si>
  <si>
    <t>29</t>
  </si>
  <si>
    <t xml:space="preserve"> 19</t>
  </si>
  <si>
    <t>Батавина</t>
  </si>
  <si>
    <t>2</t>
  </si>
  <si>
    <t xml:space="preserve"> 20</t>
  </si>
  <si>
    <t>4</t>
  </si>
  <si>
    <t xml:space="preserve"> 21</t>
  </si>
  <si>
    <t>6</t>
  </si>
  <si>
    <t xml:space="preserve"> 22</t>
  </si>
  <si>
    <t>Блинова</t>
  </si>
  <si>
    <t xml:space="preserve"> 23</t>
  </si>
  <si>
    <t>36</t>
  </si>
  <si>
    <t xml:space="preserve"> 24</t>
  </si>
  <si>
    <t>Гусельская</t>
  </si>
  <si>
    <t xml:space="preserve"> 25</t>
  </si>
  <si>
    <t>Деловая</t>
  </si>
  <si>
    <t>26</t>
  </si>
  <si>
    <t xml:space="preserve"> 26</t>
  </si>
  <si>
    <t>Днепропетровская</t>
  </si>
  <si>
    <t xml:space="preserve"> 28</t>
  </si>
  <si>
    <t xml:space="preserve"> 29</t>
  </si>
  <si>
    <t>12</t>
  </si>
  <si>
    <t xml:space="preserve"> 30</t>
  </si>
  <si>
    <t>14</t>
  </si>
  <si>
    <t xml:space="preserve"> 31</t>
  </si>
  <si>
    <t>Загороднева</t>
  </si>
  <si>
    <t>5</t>
  </si>
  <si>
    <t xml:space="preserve"> 32</t>
  </si>
  <si>
    <t xml:space="preserve"> 33</t>
  </si>
  <si>
    <t xml:space="preserve"> 34</t>
  </si>
  <si>
    <t xml:space="preserve"> 35</t>
  </si>
  <si>
    <t xml:space="preserve"> 36</t>
  </si>
  <si>
    <t xml:space="preserve"> 37</t>
  </si>
  <si>
    <t>Зеркальная</t>
  </si>
  <si>
    <t xml:space="preserve"> 38</t>
  </si>
  <si>
    <t xml:space="preserve"> 39</t>
  </si>
  <si>
    <t xml:space="preserve"> 40</t>
  </si>
  <si>
    <t xml:space="preserve"> 41</t>
  </si>
  <si>
    <t>16</t>
  </si>
  <si>
    <t xml:space="preserve"> 42</t>
  </si>
  <si>
    <t>Измайлова</t>
  </si>
  <si>
    <t xml:space="preserve"> 43</t>
  </si>
  <si>
    <t xml:space="preserve"> 44</t>
  </si>
  <si>
    <t xml:space="preserve"> 45</t>
  </si>
  <si>
    <t xml:space="preserve"> 46</t>
  </si>
  <si>
    <t xml:space="preserve"> 47</t>
  </si>
  <si>
    <t xml:space="preserve"> 48</t>
  </si>
  <si>
    <t xml:space="preserve"> 49</t>
  </si>
  <si>
    <t>18</t>
  </si>
  <si>
    <t xml:space="preserve"> 50</t>
  </si>
  <si>
    <t>им. Шевченко Т.Г.</t>
  </si>
  <si>
    <t xml:space="preserve"> 51</t>
  </si>
  <si>
    <t>Ипподромная</t>
  </si>
  <si>
    <t xml:space="preserve"> 52</t>
  </si>
  <si>
    <t xml:space="preserve"> 53</t>
  </si>
  <si>
    <t xml:space="preserve"> 54</t>
  </si>
  <si>
    <t>Куприянова</t>
  </si>
  <si>
    <t xml:space="preserve"> 55</t>
  </si>
  <si>
    <t xml:space="preserve"> 56</t>
  </si>
  <si>
    <t xml:space="preserve"> 57</t>
  </si>
  <si>
    <t xml:space="preserve"> 58</t>
  </si>
  <si>
    <t xml:space="preserve"> 59</t>
  </si>
  <si>
    <t xml:space="preserve"> 60</t>
  </si>
  <si>
    <t xml:space="preserve"> 61</t>
  </si>
  <si>
    <t>Кутякова</t>
  </si>
  <si>
    <t>23</t>
  </si>
  <si>
    <t xml:space="preserve"> 62</t>
  </si>
  <si>
    <t>Лебедева-Кумача</t>
  </si>
  <si>
    <t>55</t>
  </si>
  <si>
    <t xml:space="preserve"> 63</t>
  </si>
  <si>
    <t>60</t>
  </si>
  <si>
    <t xml:space="preserve"> 64</t>
  </si>
  <si>
    <t>61</t>
  </si>
  <si>
    <t xml:space="preserve"> 65</t>
  </si>
  <si>
    <t>62</t>
  </si>
  <si>
    <t xml:space="preserve"> 66</t>
  </si>
  <si>
    <t>63</t>
  </si>
  <si>
    <t xml:space="preserve"> 67</t>
  </si>
  <si>
    <t>64</t>
  </si>
  <si>
    <t xml:space="preserve"> 68</t>
  </si>
  <si>
    <t xml:space="preserve"> 69</t>
  </si>
  <si>
    <t>65</t>
  </si>
  <si>
    <t xml:space="preserve"> 70</t>
  </si>
  <si>
    <t>66</t>
  </si>
  <si>
    <t xml:space="preserve"> 71</t>
  </si>
  <si>
    <t xml:space="preserve"> 72</t>
  </si>
  <si>
    <t>67</t>
  </si>
  <si>
    <t xml:space="preserve"> 73</t>
  </si>
  <si>
    <t>68</t>
  </si>
  <si>
    <t xml:space="preserve"> 74</t>
  </si>
  <si>
    <t>69</t>
  </si>
  <si>
    <t xml:space="preserve"> 75</t>
  </si>
  <si>
    <t>71</t>
  </si>
  <si>
    <t xml:space="preserve"> 76</t>
  </si>
  <si>
    <t>72</t>
  </si>
  <si>
    <t xml:space="preserve"> 77</t>
  </si>
  <si>
    <t>74</t>
  </si>
  <si>
    <t xml:space="preserve"> 78</t>
  </si>
  <si>
    <t xml:space="preserve"> 79</t>
  </si>
  <si>
    <t>77</t>
  </si>
  <si>
    <t xml:space="preserve"> 80</t>
  </si>
  <si>
    <t>78</t>
  </si>
  <si>
    <t xml:space="preserve"> 81</t>
  </si>
  <si>
    <t>79</t>
  </si>
  <si>
    <t xml:space="preserve"> 82</t>
  </si>
  <si>
    <t>81</t>
  </si>
  <si>
    <t xml:space="preserve"> 83</t>
  </si>
  <si>
    <t>82</t>
  </si>
  <si>
    <t xml:space="preserve"> 84</t>
  </si>
  <si>
    <t>84</t>
  </si>
  <si>
    <t xml:space="preserve"> 85</t>
  </si>
  <si>
    <t xml:space="preserve"> 86</t>
  </si>
  <si>
    <t>86</t>
  </si>
  <si>
    <t xml:space="preserve"> 87</t>
  </si>
  <si>
    <t>Ломоносова</t>
  </si>
  <si>
    <t xml:space="preserve"> 88</t>
  </si>
  <si>
    <t xml:space="preserve"> 89</t>
  </si>
  <si>
    <t xml:space="preserve"> 90</t>
  </si>
  <si>
    <t xml:space="preserve"> 91</t>
  </si>
  <si>
    <t xml:space="preserve"> 92</t>
  </si>
  <si>
    <t xml:space="preserve"> 93</t>
  </si>
  <si>
    <t xml:space="preserve"> 94</t>
  </si>
  <si>
    <t xml:space="preserve"> 95</t>
  </si>
  <si>
    <t xml:space="preserve"> 96</t>
  </si>
  <si>
    <t xml:space="preserve"> 97</t>
  </si>
  <si>
    <t xml:space="preserve"> 98</t>
  </si>
  <si>
    <t xml:space="preserve"> 99</t>
  </si>
  <si>
    <t xml:space="preserve"> 100</t>
  </si>
  <si>
    <t xml:space="preserve"> 101</t>
  </si>
  <si>
    <t xml:space="preserve"> 102</t>
  </si>
  <si>
    <t xml:space="preserve"> 103</t>
  </si>
  <si>
    <t xml:space="preserve"> 104</t>
  </si>
  <si>
    <t>Лунная</t>
  </si>
  <si>
    <t xml:space="preserve"> 105</t>
  </si>
  <si>
    <t xml:space="preserve"> 106</t>
  </si>
  <si>
    <t xml:space="preserve"> 107</t>
  </si>
  <si>
    <t xml:space="preserve"> 108</t>
  </si>
  <si>
    <t xml:space="preserve"> 109</t>
  </si>
  <si>
    <t>27</t>
  </si>
  <si>
    <t xml:space="preserve"> 110</t>
  </si>
  <si>
    <t xml:space="preserve"> 111</t>
  </si>
  <si>
    <t>Мамонтовой</t>
  </si>
  <si>
    <t xml:space="preserve"> 112</t>
  </si>
  <si>
    <t>Перспективная</t>
  </si>
  <si>
    <t xml:space="preserve"> 113</t>
  </si>
  <si>
    <t xml:space="preserve"> 114</t>
  </si>
  <si>
    <t xml:space="preserve"> 115</t>
  </si>
  <si>
    <t xml:space="preserve"> 116</t>
  </si>
  <si>
    <t xml:space="preserve"> 117</t>
  </si>
  <si>
    <t xml:space="preserve"> 118</t>
  </si>
  <si>
    <t xml:space="preserve"> 119</t>
  </si>
  <si>
    <t xml:space="preserve"> 120</t>
  </si>
  <si>
    <t xml:space="preserve"> 121</t>
  </si>
  <si>
    <t xml:space="preserve"> 122</t>
  </si>
  <si>
    <t xml:space="preserve"> 123</t>
  </si>
  <si>
    <t xml:space="preserve"> 124</t>
  </si>
  <si>
    <t xml:space="preserve"> 125</t>
  </si>
  <si>
    <t xml:space="preserve"> 126</t>
  </si>
  <si>
    <t xml:space="preserve"> 127</t>
  </si>
  <si>
    <t xml:space="preserve"> 128</t>
  </si>
  <si>
    <t xml:space="preserve"> 129</t>
  </si>
  <si>
    <t xml:space="preserve"> 130</t>
  </si>
  <si>
    <t>31</t>
  </si>
  <si>
    <t xml:space="preserve"> 131</t>
  </si>
  <si>
    <t xml:space="preserve"> 132</t>
  </si>
  <si>
    <t>в</t>
  </si>
  <si>
    <t xml:space="preserve"> 133</t>
  </si>
  <si>
    <t>пр-д Строителей-1</t>
  </si>
  <si>
    <t xml:space="preserve"> 134</t>
  </si>
  <si>
    <t xml:space="preserve"> 135</t>
  </si>
  <si>
    <t xml:space="preserve"> 136</t>
  </si>
  <si>
    <t xml:space="preserve"> 137</t>
  </si>
  <si>
    <t xml:space="preserve"> 138</t>
  </si>
  <si>
    <t xml:space="preserve"> 139</t>
  </si>
  <si>
    <t>пр-д Строителей-3</t>
  </si>
  <si>
    <t xml:space="preserve"> 140</t>
  </si>
  <si>
    <t xml:space="preserve"> 141</t>
  </si>
  <si>
    <t xml:space="preserve"> 142</t>
  </si>
  <si>
    <t xml:space="preserve"> 143</t>
  </si>
  <si>
    <t xml:space="preserve"> 144</t>
  </si>
  <si>
    <t>пр-кт Строителей</t>
  </si>
  <si>
    <t xml:space="preserve"> 145</t>
  </si>
  <si>
    <t xml:space="preserve"> 146</t>
  </si>
  <si>
    <t xml:space="preserve"> 147</t>
  </si>
  <si>
    <t xml:space="preserve"> 148</t>
  </si>
  <si>
    <t xml:space="preserve"> 149</t>
  </si>
  <si>
    <t xml:space="preserve"> 150</t>
  </si>
  <si>
    <t xml:space="preserve"> 151</t>
  </si>
  <si>
    <t xml:space="preserve"> 152</t>
  </si>
  <si>
    <t xml:space="preserve"> 153</t>
  </si>
  <si>
    <t xml:space="preserve"> 154</t>
  </si>
  <si>
    <t xml:space="preserve"> 155</t>
  </si>
  <si>
    <t xml:space="preserve"> 156</t>
  </si>
  <si>
    <t xml:space="preserve"> 157</t>
  </si>
  <si>
    <t>20</t>
  </si>
  <si>
    <t xml:space="preserve"> 158</t>
  </si>
  <si>
    <t xml:space="preserve"> 159</t>
  </si>
  <si>
    <t xml:space="preserve"> 160</t>
  </si>
  <si>
    <t xml:space="preserve"> 161</t>
  </si>
  <si>
    <t>30</t>
  </si>
  <si>
    <t xml:space="preserve"> 162</t>
  </si>
  <si>
    <t xml:space="preserve"> 163</t>
  </si>
  <si>
    <t>38</t>
  </si>
  <si>
    <t xml:space="preserve"> 164</t>
  </si>
  <si>
    <t>40</t>
  </si>
  <si>
    <t xml:space="preserve"> 165</t>
  </si>
  <si>
    <t>42</t>
  </si>
  <si>
    <t xml:space="preserve"> 166</t>
  </si>
  <si>
    <t>44</t>
  </si>
  <si>
    <t xml:space="preserve"> 167</t>
  </si>
  <si>
    <t>46</t>
  </si>
  <si>
    <t xml:space="preserve"> 168</t>
  </si>
  <si>
    <t>48</t>
  </si>
  <si>
    <t xml:space="preserve"> 169</t>
  </si>
  <si>
    <t>52</t>
  </si>
  <si>
    <t xml:space="preserve"> 170</t>
  </si>
  <si>
    <t>56</t>
  </si>
  <si>
    <t xml:space="preserve"> 171</t>
  </si>
  <si>
    <t xml:space="preserve"> 172</t>
  </si>
  <si>
    <t xml:space="preserve"> 173</t>
  </si>
  <si>
    <t xml:space="preserve"> 174</t>
  </si>
  <si>
    <t>70</t>
  </si>
  <si>
    <t xml:space="preserve"> 175</t>
  </si>
  <si>
    <t xml:space="preserve"> 176</t>
  </si>
  <si>
    <t xml:space="preserve"> 177</t>
  </si>
  <si>
    <t xml:space="preserve"> 178</t>
  </si>
  <si>
    <t>88</t>
  </si>
  <si>
    <t xml:space="preserve"> 179</t>
  </si>
  <si>
    <t>Производственная</t>
  </si>
  <si>
    <t xml:space="preserve"> 180</t>
  </si>
  <si>
    <t>Прокатная-1</t>
  </si>
  <si>
    <t xml:space="preserve"> 181</t>
  </si>
  <si>
    <t xml:space="preserve"> 182</t>
  </si>
  <si>
    <t xml:space="preserve"> 183</t>
  </si>
  <si>
    <t xml:space="preserve"> 184</t>
  </si>
  <si>
    <t xml:space="preserve"> 185</t>
  </si>
  <si>
    <t>Прокатная-2</t>
  </si>
  <si>
    <t xml:space="preserve"> 186</t>
  </si>
  <si>
    <t xml:space="preserve"> 187</t>
  </si>
  <si>
    <t xml:space="preserve"> 188</t>
  </si>
  <si>
    <t xml:space="preserve"> 189</t>
  </si>
  <si>
    <t xml:space="preserve"> 190</t>
  </si>
  <si>
    <t xml:space="preserve"> 191</t>
  </si>
  <si>
    <t xml:space="preserve"> 192</t>
  </si>
  <si>
    <t xml:space="preserve"> 193</t>
  </si>
  <si>
    <t>22</t>
  </si>
  <si>
    <t xml:space="preserve"> 194</t>
  </si>
  <si>
    <t>24</t>
  </si>
  <si>
    <t xml:space="preserve"> 195</t>
  </si>
  <si>
    <t xml:space="preserve"> 196</t>
  </si>
  <si>
    <t>Прокатная-4</t>
  </si>
  <si>
    <t xml:space="preserve"> 197</t>
  </si>
  <si>
    <t xml:space="preserve"> 198</t>
  </si>
  <si>
    <t xml:space="preserve"> 199</t>
  </si>
  <si>
    <t xml:space="preserve"> 200</t>
  </si>
  <si>
    <t>Рижская</t>
  </si>
  <si>
    <t xml:space="preserve"> 201</t>
  </si>
  <si>
    <t xml:space="preserve"> 202</t>
  </si>
  <si>
    <t>Тархова</t>
  </si>
  <si>
    <t xml:space="preserve"> 203</t>
  </si>
  <si>
    <t xml:space="preserve"> 204</t>
  </si>
  <si>
    <t xml:space="preserve"> 205</t>
  </si>
  <si>
    <t xml:space="preserve"> 206</t>
  </si>
  <si>
    <t xml:space="preserve"> 207</t>
  </si>
  <si>
    <t xml:space="preserve"> 208</t>
  </si>
  <si>
    <t xml:space="preserve"> 209</t>
  </si>
  <si>
    <t xml:space="preserve"> 210</t>
  </si>
  <si>
    <t xml:space="preserve"> 211</t>
  </si>
  <si>
    <t xml:space="preserve"> 212</t>
  </si>
  <si>
    <t xml:space="preserve"> 213</t>
  </si>
  <si>
    <t xml:space="preserve"> 214</t>
  </si>
  <si>
    <t xml:space="preserve"> 215</t>
  </si>
  <si>
    <t xml:space="preserve"> 216</t>
  </si>
  <si>
    <t xml:space="preserve"> 217</t>
  </si>
  <si>
    <t xml:space="preserve"> 218</t>
  </si>
  <si>
    <t xml:space="preserve"> 219</t>
  </si>
  <si>
    <t xml:space="preserve"> 220</t>
  </si>
  <si>
    <t xml:space="preserve"> 221</t>
  </si>
  <si>
    <t xml:space="preserve"> 222</t>
  </si>
  <si>
    <t xml:space="preserve"> 223</t>
  </si>
  <si>
    <t xml:space="preserve"> 224</t>
  </si>
  <si>
    <t>Топольчанская</t>
  </si>
  <si>
    <t xml:space="preserve"> 225</t>
  </si>
  <si>
    <t xml:space="preserve"> 226</t>
  </si>
  <si>
    <t xml:space="preserve"> 227</t>
  </si>
  <si>
    <t xml:space="preserve"> 228</t>
  </si>
  <si>
    <t>Уфимцева</t>
  </si>
  <si>
    <t xml:space="preserve"> 229</t>
  </si>
  <si>
    <t xml:space="preserve"> 230</t>
  </si>
  <si>
    <t xml:space="preserve"> 231</t>
  </si>
  <si>
    <t>Центральная</t>
  </si>
  <si>
    <t xml:space="preserve"> 232</t>
  </si>
  <si>
    <t>Чемодурова</t>
  </si>
  <si>
    <t xml:space="preserve"> 233</t>
  </si>
  <si>
    <t xml:space="preserve"> 234</t>
  </si>
  <si>
    <t xml:space="preserve"> 235</t>
  </si>
  <si>
    <t xml:space="preserve"> 236</t>
  </si>
  <si>
    <t xml:space="preserve"> 237</t>
  </si>
  <si>
    <t xml:space="preserve"> 238</t>
  </si>
  <si>
    <t xml:space="preserve"> 239</t>
  </si>
  <si>
    <t xml:space="preserve"> 240</t>
  </si>
  <si>
    <t xml:space="preserve"> 241</t>
  </si>
  <si>
    <t>Черниговская</t>
  </si>
  <si>
    <t xml:space="preserve"> 242</t>
  </si>
  <si>
    <t>Чехова</t>
  </si>
  <si>
    <t xml:space="preserve"> 243</t>
  </si>
  <si>
    <t>Шехурдина</t>
  </si>
  <si>
    <t xml:space="preserve"> 244</t>
  </si>
  <si>
    <t xml:space="preserve"> 245</t>
  </si>
  <si>
    <t xml:space="preserve"> 246</t>
  </si>
  <si>
    <t>32</t>
  </si>
  <si>
    <t xml:space="preserve"> 247</t>
  </si>
  <si>
    <t xml:space="preserve"> 248</t>
  </si>
  <si>
    <t>34</t>
  </si>
  <si>
    <t xml:space="preserve"> 249</t>
  </si>
  <si>
    <t xml:space="preserve"> 250</t>
  </si>
  <si>
    <t xml:space="preserve"> 251</t>
  </si>
  <si>
    <t>Школьная</t>
  </si>
  <si>
    <t xml:space="preserve"> 252</t>
  </si>
  <si>
    <t xml:space="preserve"> 253</t>
  </si>
  <si>
    <t xml:space="preserve"> 254</t>
  </si>
  <si>
    <t xml:space="preserve"> 255</t>
  </si>
  <si>
    <t>Электронная-2</t>
  </si>
  <si>
    <t xml:space="preserve"> 256</t>
  </si>
  <si>
    <t xml:space="preserve"> 257</t>
  </si>
  <si>
    <t xml:space="preserve"> 258</t>
  </si>
  <si>
    <t xml:space="preserve"> 259</t>
  </si>
  <si>
    <t xml:space="preserve"> 260</t>
  </si>
  <si>
    <t xml:space="preserve"> 261</t>
  </si>
  <si>
    <t>Электронная</t>
  </si>
  <si>
    <t xml:space="preserve"> 262</t>
  </si>
  <si>
    <t xml:space="preserve"> 263</t>
  </si>
  <si>
    <t>площадь помещений</t>
  </si>
  <si>
    <t>Потребление электроэнергии на ОДН, руб.</t>
  </si>
  <si>
    <t>Потребление ХВС на ОДН руб.</t>
  </si>
  <si>
    <t>Водоотведение  на ОДН  руб.</t>
  </si>
  <si>
    <t>площадь жилых помещений</t>
  </si>
  <si>
    <t>площадь нежилых помещений</t>
  </si>
  <si>
    <t>Приложение№ 1</t>
  </si>
  <si>
    <t>Стоимость коммунальных ресурсов, используемых в целях содержания и использования общего имущества многоквартирного дома по показаниям коллективного (общедомового) прибора учета</t>
  </si>
  <si>
    <t>за август 2021г.</t>
  </si>
  <si>
    <t>норм</t>
  </si>
  <si>
    <t>Генеральный директор                                                                           А.П. Логинов</t>
  </si>
  <si>
    <t>горячая вода, руб./м²</t>
  </si>
  <si>
    <t>холодная вода, руб./м²</t>
  </si>
  <si>
    <t>отведение сточных вод, руб./м²</t>
  </si>
  <si>
    <t>площадь помещений константа</t>
  </si>
  <si>
    <t>тариф по протоколу</t>
  </si>
  <si>
    <t>Дата линцензии</t>
  </si>
  <si>
    <t>Антонова 3</t>
  </si>
  <si>
    <t>Антонова 8</t>
  </si>
  <si>
    <t>Антонова 10</t>
  </si>
  <si>
    <t>Антонова 11</t>
  </si>
  <si>
    <t>Антонова 13</t>
  </si>
  <si>
    <t>Антонова 15</t>
  </si>
  <si>
    <t>Антонова 17</t>
  </si>
  <si>
    <t>Антонова 21</t>
  </si>
  <si>
    <t>Антонова 25</t>
  </si>
  <si>
    <t>Антонова 29</t>
  </si>
  <si>
    <t>Батавина 6</t>
  </si>
  <si>
    <t>Батавина 4</t>
  </si>
  <si>
    <t>Днепропетровская 10</t>
  </si>
  <si>
    <t>Днепропетровская 12</t>
  </si>
  <si>
    <t>Днепропетровская 14</t>
  </si>
  <si>
    <t>Загороднева 13</t>
  </si>
  <si>
    <t>Загороднева 14</t>
  </si>
  <si>
    <t>Загороднева 15</t>
  </si>
  <si>
    <t>Зеркальная 6</t>
  </si>
  <si>
    <t>Зеркальная 14</t>
  </si>
  <si>
    <t>Зеркальная 16</t>
  </si>
  <si>
    <t>Измайлова 9</t>
  </si>
  <si>
    <t>Измайлова 11</t>
  </si>
  <si>
    <t>Измайлова 13</t>
  </si>
  <si>
    <t>Измайлова 16</t>
  </si>
  <si>
    <t>Измайлова 18</t>
  </si>
  <si>
    <t>Измайлова 2</t>
  </si>
  <si>
    <t>Ипподромная 15</t>
  </si>
  <si>
    <t>Куприянова 13</t>
  </si>
  <si>
    <t>Куприянова 14</t>
  </si>
  <si>
    <t>Куприянова 16</t>
  </si>
  <si>
    <t>Лебедева-Кумача 62</t>
  </si>
  <si>
    <t>Лебедева-Кумача 63</t>
  </si>
  <si>
    <t>Лебедева-Кумача 64</t>
  </si>
  <si>
    <t>Лебедева-Кумача 66</t>
  </si>
  <si>
    <t>Лебедева-Кумача 69</t>
  </si>
  <si>
    <t>Лебедева-Кумача 72</t>
  </si>
  <si>
    <t>Лебедева-Кумача 74</t>
  </si>
  <si>
    <t>Лебедева-Кумача 77</t>
  </si>
  <si>
    <t>Лебедева-Кумача 78</t>
  </si>
  <si>
    <t>Лебедева-Кумача 79</t>
  </si>
  <si>
    <t>Лебедева-Кумача 81</t>
  </si>
  <si>
    <t>Лебедева-Кумача 84</t>
  </si>
  <si>
    <t>Лебедева-Кумача 86</t>
  </si>
  <si>
    <t>Ломоносова 3</t>
  </si>
  <si>
    <t>Ломоносова 4</t>
  </si>
  <si>
    <t>Ломоносова 5</t>
  </si>
  <si>
    <t>Ломоносова 7</t>
  </si>
  <si>
    <t>Ломоносова 8</t>
  </si>
  <si>
    <t>Ломоносова 11</t>
  </si>
  <si>
    <t>Ломоносова 12</t>
  </si>
  <si>
    <t>Ломоносова 13</t>
  </si>
  <si>
    <t>Ломоносова 14</t>
  </si>
  <si>
    <t>Ломоносова 16</t>
  </si>
  <si>
    <t>Ломоносова 17</t>
  </si>
  <si>
    <t>Ломоносова 18</t>
  </si>
  <si>
    <t>Ломоносова 19</t>
  </si>
  <si>
    <t>Ломоносова 21</t>
  </si>
  <si>
    <t>Ломоносова 23</t>
  </si>
  <si>
    <t>Ломоносова 1</t>
  </si>
  <si>
    <t>Лунная 5</t>
  </si>
  <si>
    <t>Лунная 19</t>
  </si>
  <si>
    <t>Лунная 27</t>
  </si>
  <si>
    <t>Лунная 29</t>
  </si>
  <si>
    <t>Лунная 1</t>
  </si>
  <si>
    <t>Перспективная 5</t>
  </si>
  <si>
    <t>Перспективная 6</t>
  </si>
  <si>
    <t>Перспективная 7</t>
  </si>
  <si>
    <t>Перспективная 8</t>
  </si>
  <si>
    <t>Перспективная 10</t>
  </si>
  <si>
    <t>Перспективная 12</t>
  </si>
  <si>
    <t>Перспективная 13</t>
  </si>
  <si>
    <t>Перспективная 17</t>
  </si>
  <si>
    <t>Перспективная 21</t>
  </si>
  <si>
    <t>Перспективная 23</t>
  </si>
  <si>
    <t>Перспективная 25</t>
  </si>
  <si>
    <t>Перспективная 27</t>
  </si>
  <si>
    <t>Перспективная 31</t>
  </si>
  <si>
    <t>пр-д Строителей-1 4</t>
  </si>
  <si>
    <t>пр-д Строителей-1 8</t>
  </si>
  <si>
    <t>пр-д Строителей-1 10</t>
  </si>
  <si>
    <t>пр-д Строителей-1 12</t>
  </si>
  <si>
    <t>пр-д Строителей-3 8</t>
  </si>
  <si>
    <t>пр-д Строителей-3 10</t>
  </si>
  <si>
    <t>пр-кт Строителей 4</t>
  </si>
  <si>
    <t>пр-кт Строителей 6</t>
  </si>
  <si>
    <t>пр-кт Строителей 12</t>
  </si>
  <si>
    <t>пр-кт Строителей 14</t>
  </si>
  <si>
    <t>пр-кт Строителей 15</t>
  </si>
  <si>
    <t>пр-кт Строителей 17</t>
  </si>
  <si>
    <t>пр-кт Строителей 19</t>
  </si>
  <si>
    <t>пр-кт Строителей 20</t>
  </si>
  <si>
    <t>пр-кт Строителей 23</t>
  </si>
  <si>
    <t>пр-кт Строителей 29</t>
  </si>
  <si>
    <t>пр-кт Строителей 30</t>
  </si>
  <si>
    <t>пр-кт Строителей 36</t>
  </si>
  <si>
    <t>пр-кт Строителей 38</t>
  </si>
  <si>
    <t>пр-кт Строителей 40</t>
  </si>
  <si>
    <t>пр-кт Строителей 46</t>
  </si>
  <si>
    <t>пр-кт Строителей 48</t>
  </si>
  <si>
    <t>пр-кт Строителей 52</t>
  </si>
  <si>
    <t>пр-кт Строителей 56</t>
  </si>
  <si>
    <t>пр-кт Строителей 68</t>
  </si>
  <si>
    <t>пр-кт Строителей 70</t>
  </si>
  <si>
    <t>пр-кт Строителей 78</t>
  </si>
  <si>
    <t>пр-кт Строителей 88</t>
  </si>
  <si>
    <t>Прокатная-1 21</t>
  </si>
  <si>
    <t>Прокатная-1 25</t>
  </si>
  <si>
    <t>Прокатная-2 15</t>
  </si>
  <si>
    <t>Прокатная-2 17</t>
  </si>
  <si>
    <t>Прокатная-2 18</t>
  </si>
  <si>
    <t>Прокатная-2 19</t>
  </si>
  <si>
    <t>Прокатная-2 20</t>
  </si>
  <si>
    <t>Прокатная-2 22</t>
  </si>
  <si>
    <t>Прокатная-2 24</t>
  </si>
  <si>
    <t>Прокатная-2 8</t>
  </si>
  <si>
    <t>Прокатная-4 17</t>
  </si>
  <si>
    <t>Прокатная-4 18</t>
  </si>
  <si>
    <t>Прокатная-4 20</t>
  </si>
  <si>
    <t>Тархова 5</t>
  </si>
  <si>
    <t>Тархова 6</t>
  </si>
  <si>
    <t>Тархова 7</t>
  </si>
  <si>
    <t>Тархова 12</t>
  </si>
  <si>
    <t>Тархова 13</t>
  </si>
  <si>
    <t>Тархова 14</t>
  </si>
  <si>
    <t>Тархова 15</t>
  </si>
  <si>
    <t>Тархова 19</t>
  </si>
  <si>
    <t>Тархова 21</t>
  </si>
  <si>
    <t>Тархова 23</t>
  </si>
  <si>
    <t>Тархова 31</t>
  </si>
  <si>
    <t>Топольчанская 3</t>
  </si>
  <si>
    <t>Уфимцева 12</t>
  </si>
  <si>
    <t>Уфимцева 6</t>
  </si>
  <si>
    <t>Чемодурова 5</t>
  </si>
  <si>
    <t>Чемодурова 6</t>
  </si>
  <si>
    <t>Чемодурова 7</t>
  </si>
  <si>
    <t>Чемодурова 8</t>
  </si>
  <si>
    <t>Чемодурова 12</t>
  </si>
  <si>
    <t>Чемодурова 1</t>
  </si>
  <si>
    <t>Шехурдина 30</t>
  </si>
  <si>
    <t>Шехурдина 32</t>
  </si>
  <si>
    <t>Шехурдина 34</t>
  </si>
  <si>
    <t>Шехурдина 38</t>
  </si>
  <si>
    <t>Школьная 27</t>
  </si>
  <si>
    <t>Электронная-2 6</t>
  </si>
  <si>
    <t>Электронная-2 8</t>
  </si>
  <si>
    <t>Электронная-2 10</t>
  </si>
  <si>
    <t>Электронная-2 12</t>
  </si>
  <si>
    <t>Электронная 10</t>
  </si>
  <si>
    <t>Антонова 1 а</t>
  </si>
  <si>
    <t>Антонова 3 а</t>
  </si>
  <si>
    <t>Антонова 7 а</t>
  </si>
  <si>
    <t>Антонова 9 а</t>
  </si>
  <si>
    <t>Антонова 15 а</t>
  </si>
  <si>
    <t>Антонова 15 б</t>
  </si>
  <si>
    <t>Антонова 19 а</t>
  </si>
  <si>
    <t>Антонова 19 б</t>
  </si>
  <si>
    <t>Деловая 26 а</t>
  </si>
  <si>
    <t>Загороднева 15 а</t>
  </si>
  <si>
    <t>Зеркальная 1 а</t>
  </si>
  <si>
    <t>Зеркальная 3 б</t>
  </si>
  <si>
    <t>Измайлова 11 а</t>
  </si>
  <si>
    <t>Ипподромная 5 а</t>
  </si>
  <si>
    <t>Куприянова 7 а</t>
  </si>
  <si>
    <t>Куприянова 14 а</t>
  </si>
  <si>
    <t>Куприянова 16 а</t>
  </si>
  <si>
    <t>Лебедева-Кумача 64 а</t>
  </si>
  <si>
    <t>Лебедева-Кумача 66 а</t>
  </si>
  <si>
    <t>Лебедева-Кумача 67 а</t>
  </si>
  <si>
    <t>Лебедева-Кумача 71 б</t>
  </si>
  <si>
    <t>Лебедева-Кумача 74 а</t>
  </si>
  <si>
    <t>Лебедева-Кумача 84 а</t>
  </si>
  <si>
    <t>Лунная 25 а</t>
  </si>
  <si>
    <t>Перспективная 3 а</t>
  </si>
  <si>
    <t>Перспективная 5 а</t>
  </si>
  <si>
    <t>Перспективная 7 а</t>
  </si>
  <si>
    <t>Перспективная 12 а</t>
  </si>
  <si>
    <t>Перспективная 27 а</t>
  </si>
  <si>
    <t>Перспективная 31 б</t>
  </si>
  <si>
    <t>Перспективная 31 в</t>
  </si>
  <si>
    <t>пр-д Строителей-3 8 а</t>
  </si>
  <si>
    <t>пр-кт Строителей 2 а</t>
  </si>
  <si>
    <t>пр-кт Строителей 4 а</t>
  </si>
  <si>
    <t>пр-кт Строителей 6 а</t>
  </si>
  <si>
    <t>пр-кт Строителей 8 а</t>
  </si>
  <si>
    <t>пр-кт Строителей 16 а</t>
  </si>
  <si>
    <t>пр-кт Строителей 29 а</t>
  </si>
  <si>
    <t>пр-кт Строителей 52 а</t>
  </si>
  <si>
    <t>пр-кт Строителей 68 а</t>
  </si>
  <si>
    <t>пр-кт Строителей 68 б</t>
  </si>
  <si>
    <t>пр-кт Строителей 70 а</t>
  </si>
  <si>
    <t>пр-кт Строителей 70 б</t>
  </si>
  <si>
    <t>Прокатная-1 25 а</t>
  </si>
  <si>
    <t>Прокатная-2 3 а</t>
  </si>
  <si>
    <t>Прокатная-2 20 а</t>
  </si>
  <si>
    <t>Прокатная-2 24 а</t>
  </si>
  <si>
    <t>Рижская 2 а</t>
  </si>
  <si>
    <t>Тархова 1 а</t>
  </si>
  <si>
    <t>Тархова 4 а</t>
  </si>
  <si>
    <t>Тархова 4 б</t>
  </si>
  <si>
    <t>Тархова 6 б</t>
  </si>
  <si>
    <t>Тархова 14 а</t>
  </si>
  <si>
    <t>Тархова 14 б</t>
  </si>
  <si>
    <t>Тархова 17 а</t>
  </si>
  <si>
    <t>Тархова 19 а</t>
  </si>
  <si>
    <t>Тархова 21 а</t>
  </si>
  <si>
    <t>Тархова 21 б</t>
  </si>
  <si>
    <t>Топольчанская 1 а</t>
  </si>
  <si>
    <t>Топольчанская 1 б</t>
  </si>
  <si>
    <t>Топольчанская 3 а</t>
  </si>
  <si>
    <t>Уфимцева 12 а</t>
  </si>
  <si>
    <t>Чемодурова 5 а</t>
  </si>
  <si>
    <t>Чемодурова 8 а</t>
  </si>
  <si>
    <t>Шехурдина 30 а</t>
  </si>
  <si>
    <t>Шехурдина 32 а</t>
  </si>
  <si>
    <t>Шехурдина 36 а</t>
  </si>
  <si>
    <t>Школьная 27 а</t>
  </si>
  <si>
    <t>Антонова 33 а</t>
  </si>
  <si>
    <t>Бардина 6</t>
  </si>
  <si>
    <t>Бардина 2</t>
  </si>
  <si>
    <t>Бардина 4</t>
  </si>
  <si>
    <t>Бардина 1</t>
  </si>
  <si>
    <t>Батавина 2</t>
  </si>
  <si>
    <t>Батавина 11</t>
  </si>
  <si>
    <t>Блинова 3</t>
  </si>
  <si>
    <t>Блинова 5</t>
  </si>
  <si>
    <t>Гусельская 4</t>
  </si>
  <si>
    <t>Деловая 26</t>
  </si>
  <si>
    <t>Днепропетровская 6</t>
  </si>
  <si>
    <t>Днепропетровская 8</t>
  </si>
  <si>
    <t>Загороднева 12</t>
  </si>
  <si>
    <t>Загороднева 5</t>
  </si>
  <si>
    <t>Зеркальная 11</t>
  </si>
  <si>
    <t>Измайлова 7</t>
  </si>
  <si>
    <t>им. Шевченко Т.Г. 18</t>
  </si>
  <si>
    <t>Ипподромная 2</t>
  </si>
  <si>
    <t>Ипподромная 5</t>
  </si>
  <si>
    <t>Куприянова 15</t>
  </si>
  <si>
    <t>Куприянова 7</t>
  </si>
  <si>
    <t>Кутякова 23/25</t>
  </si>
  <si>
    <t>Лебедева-Кумача 60</t>
  </si>
  <si>
    <t>Лебедева-Кумача 72 а</t>
  </si>
  <si>
    <t>Лебедева-Кумача 82/17</t>
  </si>
  <si>
    <t>Лебедева-Кумача 88</t>
  </si>
  <si>
    <t>Лебедева-Кумача 55</t>
  </si>
  <si>
    <t>Ломоносова 10 а</t>
  </si>
  <si>
    <t>Ломоносова 2</t>
  </si>
  <si>
    <t>Лунная 3</t>
  </si>
  <si>
    <t>Мамонтовой 4</t>
  </si>
  <si>
    <t>Перспективная 1</t>
  </si>
  <si>
    <t>Перспективная 15</t>
  </si>
  <si>
    <t>Перспективная 19</t>
  </si>
  <si>
    <t>Перспективная 25 а</t>
  </si>
  <si>
    <t>Перспективная 4</t>
  </si>
  <si>
    <t>Перспективная 8 а</t>
  </si>
  <si>
    <t>Перспективная 8 б</t>
  </si>
  <si>
    <t>пр-д Строителей-1 2</t>
  </si>
  <si>
    <t>пр-д Строителей-1 3</t>
  </si>
  <si>
    <t>пр-д Строителей-3 4</t>
  </si>
  <si>
    <t>пр-д Строителей-3 5</t>
  </si>
  <si>
    <t>пр-кт Строителей 44/1</t>
  </si>
  <si>
    <t>пр-кт Строителей 64</t>
  </si>
  <si>
    <t>пр-кт Строителей 72</t>
  </si>
  <si>
    <t>пр-кт Строителей 74</t>
  </si>
  <si>
    <t>пр-кт Строителей 80</t>
  </si>
  <si>
    <t>пр-кт Строителей 2</t>
  </si>
  <si>
    <t>пр-кт Строителей 42/2</t>
  </si>
  <si>
    <t>Производственная 44</t>
  </si>
  <si>
    <t>Прокатная-1 11</t>
  </si>
  <si>
    <t>Прокатная-1 5</t>
  </si>
  <si>
    <t>Прокатная-2 4</t>
  </si>
  <si>
    <t>Прокатная-4 14</t>
  </si>
  <si>
    <t>Прокатная-4 16</t>
  </si>
  <si>
    <t>Прокатная-4 8</t>
  </si>
  <si>
    <t>Рижская 20</t>
  </si>
  <si>
    <t>Тархова 24</t>
  </si>
  <si>
    <t>Тархова 29</t>
  </si>
  <si>
    <t>Тархова 25/23</t>
  </si>
  <si>
    <t>Тархова 3</t>
  </si>
  <si>
    <t>Тархова 6 а</t>
  </si>
  <si>
    <t>Топольчанская 5</t>
  </si>
  <si>
    <t>Топольчанская 1</t>
  </si>
  <si>
    <t>Уфимцева 2</t>
  </si>
  <si>
    <t>Уфимцева 3</t>
  </si>
  <si>
    <t>Уфимцева 4</t>
  </si>
  <si>
    <t>Уфимцева 10</t>
  </si>
  <si>
    <t>Центральная 6</t>
  </si>
  <si>
    <t>Чемодурова 13</t>
  </si>
  <si>
    <t>Чемодурова 3</t>
  </si>
  <si>
    <t>Чемодурова 9</t>
  </si>
  <si>
    <t>Черниговская 31</t>
  </si>
  <si>
    <t>Чехова 1</t>
  </si>
  <si>
    <t>Шехурдина 26</t>
  </si>
  <si>
    <t>Школьная 21</t>
  </si>
  <si>
    <t>Школьная 25</t>
  </si>
  <si>
    <t>Электронная 10 а</t>
  </si>
  <si>
    <t>Электронная 12/9</t>
  </si>
  <si>
    <t>Электронная 6</t>
  </si>
  <si>
    <t>Электронная 7</t>
  </si>
  <si>
    <t>Электронная 7 а</t>
  </si>
  <si>
    <t>Электронная-2 2</t>
  </si>
  <si>
    <t>Электронная-2 4</t>
  </si>
  <si>
    <t>Лебедева-Кумача 61/2</t>
  </si>
  <si>
    <t>Текущий ремонт</t>
  </si>
  <si>
    <t>Управление МКД</t>
  </si>
  <si>
    <t>Итого</t>
  </si>
  <si>
    <t>Ипподромная 8 а</t>
  </si>
  <si>
    <t>Тархова 1</t>
  </si>
  <si>
    <t>Лебедева-Кумача 65/9</t>
  </si>
  <si>
    <t>Лебедева-Кумача 68/2</t>
  </si>
  <si>
    <t>Батавина 9</t>
  </si>
  <si>
    <t>Лунная 31</t>
  </si>
  <si>
    <t>тариф на 1.09</t>
  </si>
  <si>
    <t>Содержание помещений общего пользования</t>
  </si>
  <si>
    <t>Площадь помещений</t>
  </si>
  <si>
    <t>Площадь жилых помещений</t>
  </si>
  <si>
    <t>Площадь нежилых помещений</t>
  </si>
  <si>
    <t xml:space="preserve"> Уборка земельного участка, входящего в состав общего имущества многоквартирного дома</t>
  </si>
  <si>
    <t xml:space="preserve"> Подготовка многоквартирного дома к сезонной эксплуатации</t>
  </si>
  <si>
    <r>
      <t>электрическая энергия, руб./м</t>
    </r>
    <r>
      <rPr>
        <b/>
        <sz val="9"/>
        <rFont val="Calibri"/>
        <family val="2"/>
        <charset val="204"/>
      </rPr>
      <t>²</t>
    </r>
  </si>
  <si>
    <t xml:space="preserve">Проведение технических осмотров и мелких ремонтов </t>
  </si>
  <si>
    <t>Обслуживание внутридомовых инженерных коммуникаций</t>
  </si>
  <si>
    <t>ТО Кровли</t>
  </si>
  <si>
    <t>Тех. обслуж. кровли</t>
  </si>
  <si>
    <t>Содержание лифтов</t>
  </si>
  <si>
    <t>комплексное обслужива-ние</t>
  </si>
  <si>
    <t>освидетель-ствование  лифтов</t>
  </si>
  <si>
    <t>Техническое обслуживание коллективных приборов учета ХВС, электроэнергия</t>
  </si>
  <si>
    <t>Вентиляционные каналы</t>
  </si>
  <si>
    <t>Техническое обслуживание и ремонт внутридомового газового оборудования</t>
  </si>
  <si>
    <t>Техническое обслуживание коллективных приборов учета тепловой энергии</t>
  </si>
  <si>
    <t>Дератизация, дезинсекция</t>
  </si>
  <si>
    <t>газовая плита</t>
  </si>
  <si>
    <t>Технический ремонт</t>
  </si>
  <si>
    <t>Прочие работы по содержанию общего имущества жилого дома</t>
  </si>
  <si>
    <t>Обработка лицевых счетов (РКО)</t>
  </si>
  <si>
    <t>ИТОГО</t>
  </si>
  <si>
    <t>33</t>
  </si>
  <si>
    <t xml:space="preserve"> коммунальный ресурс, используемый в целях содержания общего имущества многоквартирного дома Норматив</t>
  </si>
  <si>
    <t>электрическая энергия</t>
  </si>
  <si>
    <t>холодная вода</t>
  </si>
  <si>
    <t>горячая вода</t>
  </si>
  <si>
    <t>отведение сточных вод</t>
  </si>
  <si>
    <t>Бардина</t>
  </si>
  <si>
    <t xml:space="preserve">б </t>
  </si>
  <si>
    <t>80</t>
  </si>
  <si>
    <t xml:space="preserve">Гвардейская </t>
  </si>
  <si>
    <t>Гвардейская 36</t>
  </si>
  <si>
    <t>Размер взносов в фонд капитального ремонта             (руб./м²)</t>
  </si>
  <si>
    <t>рег.оп.</t>
  </si>
  <si>
    <t>Сфера</t>
  </si>
  <si>
    <t>Кол-во подьездов</t>
  </si>
  <si>
    <t>Кол-во лицевых счетов</t>
  </si>
  <si>
    <t>Кол-во кв</t>
  </si>
  <si>
    <t>Кол.проживающих</t>
  </si>
  <si>
    <t>Кол-во лифтов</t>
  </si>
  <si>
    <t>нет</t>
  </si>
  <si>
    <t>Кол-во эт.</t>
  </si>
  <si>
    <t xml:space="preserve"> 264</t>
  </si>
  <si>
    <t xml:space="preserve"> 265</t>
  </si>
  <si>
    <t xml:space="preserve"> 266</t>
  </si>
  <si>
    <t xml:space="preserve"> 267</t>
  </si>
  <si>
    <t xml:space="preserve"> 268</t>
  </si>
  <si>
    <t xml:space="preserve"> 269</t>
  </si>
  <si>
    <t xml:space="preserve"> 270</t>
  </si>
  <si>
    <t xml:space="preserve"> 271</t>
  </si>
  <si>
    <t xml:space="preserve"> 272</t>
  </si>
  <si>
    <t xml:space="preserve"> 273</t>
  </si>
  <si>
    <t xml:space="preserve"> 274</t>
  </si>
  <si>
    <t xml:space="preserve"> 275</t>
  </si>
  <si>
    <t xml:space="preserve"> 276</t>
  </si>
  <si>
    <t xml:space="preserve"> 277</t>
  </si>
  <si>
    <t xml:space="preserve"> 278</t>
  </si>
  <si>
    <t xml:space="preserve"> 279</t>
  </si>
  <si>
    <t xml:space="preserve"> 280</t>
  </si>
  <si>
    <t xml:space="preserve"> 281</t>
  </si>
  <si>
    <t xml:space="preserve"> 282</t>
  </si>
  <si>
    <t xml:space="preserve"> 283</t>
  </si>
  <si>
    <t xml:space="preserve"> 284</t>
  </si>
  <si>
    <t xml:space="preserve"> 285</t>
  </si>
  <si>
    <t xml:space="preserve"> 286</t>
  </si>
  <si>
    <t xml:space="preserve"> 287</t>
  </si>
  <si>
    <t xml:space="preserve"> 288</t>
  </si>
  <si>
    <t xml:space="preserve"> 289</t>
  </si>
  <si>
    <t xml:space="preserve"> 290</t>
  </si>
  <si>
    <t xml:space="preserve"> 291</t>
  </si>
  <si>
    <t xml:space="preserve"> 292</t>
  </si>
  <si>
    <t xml:space="preserve"> 293</t>
  </si>
  <si>
    <t xml:space="preserve"> 294</t>
  </si>
  <si>
    <t xml:space="preserve"> 295</t>
  </si>
  <si>
    <t xml:space="preserve"> 296</t>
  </si>
  <si>
    <t xml:space="preserve"> 297</t>
  </si>
  <si>
    <t xml:space="preserve"> 298</t>
  </si>
  <si>
    <t xml:space="preserve"> 299</t>
  </si>
  <si>
    <t xml:space="preserve"> 300</t>
  </si>
  <si>
    <t xml:space="preserve"> 301</t>
  </si>
  <si>
    <t xml:space="preserve"> 302</t>
  </si>
  <si>
    <t xml:space="preserve"> 303</t>
  </si>
  <si>
    <t xml:space="preserve"> 304</t>
  </si>
  <si>
    <t xml:space="preserve"> 305</t>
  </si>
  <si>
    <t xml:space="preserve"> 306</t>
  </si>
  <si>
    <t xml:space="preserve"> 307</t>
  </si>
  <si>
    <t xml:space="preserve"> 308</t>
  </si>
  <si>
    <t>РУБ</t>
  </si>
  <si>
    <t>с учетом насосов и обслуживания  бойлеров</t>
  </si>
  <si>
    <t>темп 2</t>
  </si>
  <si>
    <t>темп 1</t>
  </si>
  <si>
    <t>техстекло 3</t>
  </si>
  <si>
    <t>техстекло 2</t>
  </si>
  <si>
    <t>техстекло 1</t>
  </si>
  <si>
    <t>Днепр 1-1</t>
  </si>
  <si>
    <t>Реестр Корнаухова Л В</t>
  </si>
  <si>
    <t>Лестничные клетки</t>
  </si>
  <si>
    <t>Площадь подвала</t>
  </si>
  <si>
    <t>Площадь чердака</t>
  </si>
  <si>
    <t>Паспорт</t>
  </si>
  <si>
    <t>Мирскова</t>
  </si>
  <si>
    <t>ЛК 6,7</t>
  </si>
  <si>
    <t>-</t>
  </si>
  <si>
    <t>Горячее водоснабжение на ОДН за август 2021 г.</t>
  </si>
  <si>
    <t>Днепр 2-1</t>
  </si>
  <si>
    <t>Днепр 3-1</t>
  </si>
  <si>
    <t>Днепр 4-1</t>
  </si>
  <si>
    <t>Днепр 1-2</t>
  </si>
  <si>
    <t>норматив потребления</t>
  </si>
  <si>
    <t>холодная вода11</t>
  </si>
  <si>
    <t>Тепло (Гкал)</t>
  </si>
  <si>
    <t>отведение сточных вод12</t>
  </si>
  <si>
    <t>Днепр 2-2</t>
  </si>
  <si>
    <t>Солнечный 1</t>
  </si>
  <si>
    <t>Солнечный 2</t>
  </si>
  <si>
    <t>гвардейская 36</t>
  </si>
  <si>
    <t>проверка</t>
  </si>
  <si>
    <t>гк</t>
  </si>
  <si>
    <t>центр.</t>
  </si>
  <si>
    <t>капитальный ремонт</t>
  </si>
  <si>
    <t>сан сод</t>
  </si>
  <si>
    <t>тех обсл</t>
  </si>
  <si>
    <t>лифты</t>
  </si>
  <si>
    <t>кровля</t>
  </si>
  <si>
    <t>вент каналы</t>
  </si>
  <si>
    <t>приборы</t>
  </si>
  <si>
    <t>вдго</t>
  </si>
  <si>
    <t>цн</t>
  </si>
  <si>
    <t>текущий ремонт</t>
  </si>
  <si>
    <t>Жил контроль</t>
  </si>
  <si>
    <t>Юр. Услуги</t>
  </si>
  <si>
    <t>Кровля Велес</t>
  </si>
  <si>
    <t>Кровля Сантех строй</t>
  </si>
  <si>
    <t>Лифт ком</t>
  </si>
  <si>
    <t>Лифт ком +</t>
  </si>
  <si>
    <t>Тех обслуж Жил Сервис</t>
  </si>
  <si>
    <t>Тех обслуж Рем Строй</t>
  </si>
  <si>
    <t>Тех обслуж Сантех строй</t>
  </si>
  <si>
    <t>ВДГО ТО ВЕНТ-СВ</t>
  </si>
  <si>
    <t>УПРАВЛЕНИЕ</t>
  </si>
  <si>
    <t>НАЧИСЛЕНО        Потребление электроэнергии на ОДН, руб.</t>
  </si>
  <si>
    <t>НАЧИСЛЕНО        Горячее водоснабжение на ОДН руб.</t>
  </si>
  <si>
    <t>НАЧИСЛЕНО     Потребление ХВС на ОДН руб.</t>
  </si>
  <si>
    <t>НАЧИСЛЕНО          Водоотведение  на ОДН  руб.</t>
  </si>
  <si>
    <t>ВЫСТАВИЛ РСО   Потребление электроэнергии на ОДН, руб.</t>
  </si>
  <si>
    <t>ВЫСТАВИЛ РСО      Горячее водоснабжение на ОДН, руб</t>
  </si>
  <si>
    <t>ВЫСТАВИЛ РСО    Потребление ХВС на ОДН руб.</t>
  </si>
  <si>
    <t>ВЫСТАВИЛ РСО    Водоотведение  на ОДН  руб.</t>
  </si>
  <si>
    <t>ЦН</t>
  </si>
  <si>
    <t>ПРОЧИЕ</t>
  </si>
  <si>
    <t>Горячее водоснабжение на ОДН, руб</t>
  </si>
  <si>
    <t xml:space="preserve"> Водоотведение  на ОДН  руб.</t>
  </si>
  <si>
    <t>прописаны на 31.10.2021</t>
  </si>
  <si>
    <t xml:space="preserve"> коррект</t>
  </si>
  <si>
    <t>Притензия водоотведение</t>
  </si>
  <si>
    <t>Содержание жилья</t>
  </si>
  <si>
    <t>Доходы</t>
  </si>
  <si>
    <t>Содержание жилья (электроэнергия на ОДН)</t>
  </si>
  <si>
    <t>Содержание жилья (водоотведение на ОДН)</t>
  </si>
  <si>
    <t>Содержание жилья (горячая вода на ОДН)</t>
  </si>
  <si>
    <t>Содержание жилья (холодная вода на ОДН)</t>
  </si>
  <si>
    <t>Оплачено</t>
  </si>
  <si>
    <t>ДЕКАБРЬ начислено</t>
  </si>
  <si>
    <t>ДЕКАБРЬ СОИ ПРИНЯТО</t>
  </si>
  <si>
    <t>ДЕКАБРЬ  выставлено РСО</t>
  </si>
  <si>
    <t>Пего ДЕКАБРЬ</t>
  </si>
  <si>
    <t>Пего ХВС ДЕКАБРЬ</t>
  </si>
  <si>
    <t>Спец Авто Люкс (сан. содержание)</t>
  </si>
  <si>
    <t>СБ-Сервис (сан. содержание)</t>
  </si>
  <si>
    <t>Эко Строй сервис (сан. содержание)</t>
  </si>
  <si>
    <t>Велес (очистка от наледи)</t>
  </si>
  <si>
    <t>Велес (очистка от сосулек)</t>
  </si>
  <si>
    <t>ООО "АВК -Эксперт"</t>
  </si>
  <si>
    <t>Лифт-Эксперт ДЕКАБРЬ</t>
  </si>
  <si>
    <t>ООО "Фаворит"</t>
  </si>
  <si>
    <t>Справка о погодных условиях</t>
  </si>
  <si>
    <t>БТИ</t>
  </si>
  <si>
    <t>Спец Авто Люкс (очистка от снега) часы</t>
  </si>
  <si>
    <t>Спец Авто Люкс (очистка от снега) рубли</t>
  </si>
  <si>
    <t>СБ-Сервис  (очистка от снега) рубли</t>
  </si>
  <si>
    <t>СБ-Сервис  (очистка от снега) часы</t>
  </si>
  <si>
    <t>Эко Строй сервис (очистка от снега) рубли</t>
  </si>
  <si>
    <t>Эко Строй сервис (очистка от снега) часы</t>
  </si>
  <si>
    <t>Сантех строй  (очистка от снега) рубли</t>
  </si>
  <si>
    <t>Сантех строй  (очистка от снега) кв.м</t>
  </si>
  <si>
    <t>Сантех строй  (очистка от сосулек) кв.м</t>
  </si>
  <si>
    <t>Топольчанская 9</t>
  </si>
  <si>
    <t>пр-кт Героев Отечества</t>
  </si>
  <si>
    <t>пр-кт Героев Отечества 6 а</t>
  </si>
  <si>
    <t xml:space="preserve"> 27</t>
  </si>
  <si>
    <t xml:space="preserve"> 309</t>
  </si>
  <si>
    <t xml:space="preserve"> 310</t>
  </si>
  <si>
    <t xml:space="preserve"> 311</t>
  </si>
  <si>
    <t xml:space="preserve">тариф </t>
  </si>
  <si>
    <t>Велес (очистка от наледи) руб</t>
  </si>
  <si>
    <t>Велес (очистка от наледи) кв.м</t>
  </si>
  <si>
    <t>Велес (очистка от сосулек) кв. м</t>
  </si>
  <si>
    <t>Велес (очистка от сосулек) руб.</t>
  </si>
  <si>
    <t>Сантех строй  (очистка от сосулек) рубли</t>
  </si>
  <si>
    <t>Лифт-Эксперт</t>
  </si>
  <si>
    <t>ООО "Жилсервис"</t>
  </si>
  <si>
    <t>ООО "Ремстрой"</t>
  </si>
  <si>
    <t xml:space="preserve">Пего ХВС </t>
  </si>
  <si>
    <t xml:space="preserve">Тех обслуж Пего </t>
  </si>
  <si>
    <t>Коммунальные ресурсы</t>
  </si>
  <si>
    <t>АДРЕС</t>
  </si>
  <si>
    <t>начислено</t>
  </si>
  <si>
    <t>оплачено</t>
  </si>
  <si>
    <t>Тепловизионное обследование квартир Велес</t>
  </si>
  <si>
    <t>ООО "Спец монтаж сторой+1"</t>
  </si>
  <si>
    <t>МУП Городское БТИ</t>
  </si>
  <si>
    <t>ООО "Жилсервис" электроснабжение</t>
  </si>
  <si>
    <t>ООО "Техжилсервис"</t>
  </si>
  <si>
    <t>Тех обслуж Сантех строй (жил фонд)</t>
  </si>
  <si>
    <t>Тех обслуж Сантех строй (вент каналы)</t>
  </si>
  <si>
    <t xml:space="preserve">ВЕНТ-СВ </t>
  </si>
  <si>
    <t>Притензия пао т плюс</t>
  </si>
  <si>
    <t>ВЫСТАВИЛ РСО   отопление, руб</t>
  </si>
  <si>
    <t>ВЫСТАВИЛ РСО   мусор, руб</t>
  </si>
  <si>
    <t>итого</t>
  </si>
  <si>
    <t>ПЕНИ</t>
  </si>
  <si>
    <t xml:space="preserve">ООО "Корунд" </t>
  </si>
  <si>
    <t>Доходы прочие</t>
  </si>
  <si>
    <t>провайдеры</t>
  </si>
  <si>
    <t>коммун рессурсы</t>
  </si>
  <si>
    <t xml:space="preserve"> пао т плюс</t>
  </si>
  <si>
    <t>76,5,1 дебиторка сфера</t>
  </si>
  <si>
    <t>итого начислено</t>
  </si>
  <si>
    <t>итого оплачено</t>
  </si>
  <si>
    <t>процент сбора</t>
  </si>
  <si>
    <t>Задолженность на 01.12.2022</t>
  </si>
  <si>
    <t>АО "Саратов Газ" в мае телем и пао т</t>
  </si>
  <si>
    <t>ВЫСТАВИЛ РСО    ХВС  на ОДН  руб.</t>
  </si>
  <si>
    <t>Начисление</t>
  </si>
  <si>
    <t>Притензия</t>
  </si>
  <si>
    <t>ИП Чечиков Д.В Выезд Бригады ООО "Вектор+"</t>
  </si>
  <si>
    <t>ОДН</t>
  </si>
  <si>
    <t>ВСЕГО</t>
  </si>
  <si>
    <t>начислено общ</t>
  </si>
  <si>
    <t>Итого содержание</t>
  </si>
  <si>
    <t>Итого одн</t>
  </si>
  <si>
    <t>оплачено  общ</t>
  </si>
  <si>
    <t>задолженность нежилые</t>
  </si>
  <si>
    <t>на 01.01.2023</t>
  </si>
  <si>
    <t>нежилые доход всего</t>
  </si>
  <si>
    <t>Итого задолженность на 01.01.2022</t>
  </si>
  <si>
    <t>Итого задолженность на 01.01.2023</t>
  </si>
  <si>
    <t>ЗАТРАТЫ</t>
  </si>
  <si>
    <t>Содержание</t>
  </si>
  <si>
    <t>остатки содержание</t>
  </si>
  <si>
    <t>Остатки одн</t>
  </si>
  <si>
    <t>+ Прибыль/  - Убыток</t>
  </si>
  <si>
    <t>2022 год</t>
  </si>
  <si>
    <t>2023 год</t>
  </si>
  <si>
    <t>2023 год с учетом 2022 года</t>
  </si>
  <si>
    <t>Задолженность провайдеры</t>
  </si>
  <si>
    <t>Задолженность  нежилые</t>
  </si>
  <si>
    <t>тариф с 01.06.2026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</si>
</sst>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71" formatCode="_-* #,##0.00_р_._-;\-* #,##0.00_р_._-;_-* &quot;-&quot;??_р_._-;_-@_-"/>
    <numFmt numFmtId="184" formatCode="0.0"/>
    <numFmt numFmtId="192" formatCode="0.0000"/>
    <numFmt numFmtId="195" formatCode="0.00000"/>
    <numFmt numFmtId="204" formatCode="#\ ###\ ###\ #00.00"/>
    <numFmt numFmtId="209" formatCode="#,##0.00_ ;\-#,##0.00\ "/>
  </numFmts>
  <fonts count="22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9"/>
      <name val="Calibri"/>
      <family val="2"/>
      <charset val="204"/>
    </font>
    <font>
      <sz val="9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name val="Arial Cyr"/>
      <charset val="204"/>
    </font>
    <font>
      <sz val="8"/>
      <name val="Arial Cyr"/>
      <charset val="204"/>
    </font>
    <font>
      <b/>
      <sz val="8"/>
      <name val="Times New Roman"/>
      <family val="1"/>
      <charset val="204"/>
    </font>
    <font>
      <b/>
      <sz val="8"/>
      <name val="Arial Cyr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8" fillId="0" borderId="0"/>
    <xf numFmtId="0" fontId="3" fillId="0" borderId="0"/>
    <xf numFmtId="0" fontId="2" fillId="0" borderId="1">
      <alignment horizontal="center" vertical="center" wrapText="1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</cellStyleXfs>
  <cellXfs count="511">
    <xf numFmtId="0" fontId="0" fillId="0" borderId="0" xfId="0"/>
    <xf numFmtId="0" fontId="2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71" fontId="4" fillId="0" borderId="0" xfId="4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1" applyFont="1" applyFill="1" applyAlignment="1">
      <alignment horizontal="right" vertical="center"/>
    </xf>
    <xf numFmtId="0" fontId="4" fillId="0" borderId="0" xfId="0" applyFont="1" applyAlignment="1">
      <alignment vertical="center"/>
    </xf>
    <xf numFmtId="171" fontId="4" fillId="0" borderId="2" xfId="4" applyFont="1" applyBorder="1" applyAlignment="1">
      <alignment vertical="center"/>
    </xf>
    <xf numFmtId="14" fontId="4" fillId="0" borderId="2" xfId="4" applyNumberFormat="1" applyFont="1" applyBorder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171" fontId="4" fillId="0" borderId="2" xfId="4" applyFont="1" applyFill="1" applyBorder="1" applyAlignment="1">
      <alignment vertical="center"/>
    </xf>
    <xf numFmtId="49" fontId="7" fillId="0" borderId="2" xfId="0" applyNumberFormat="1" applyFont="1" applyBorder="1" applyAlignment="1">
      <alignment horizontal="center" vertical="center" wrapText="1"/>
    </xf>
    <xf numFmtId="171" fontId="7" fillId="0" borderId="2" xfId="4" applyFont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left" vertical="center" wrapText="1"/>
    </xf>
    <xf numFmtId="2" fontId="4" fillId="0" borderId="2" xfId="4" applyNumberFormat="1" applyFont="1" applyBorder="1" applyAlignment="1">
      <alignment vertical="center"/>
    </xf>
    <xf numFmtId="171" fontId="4" fillId="2" borderId="2" xfId="4" applyFont="1" applyFill="1" applyBorder="1" applyAlignment="1">
      <alignment vertical="center"/>
    </xf>
    <xf numFmtId="171" fontId="4" fillId="3" borderId="2" xfId="4" applyFont="1" applyFill="1" applyBorder="1" applyAlignment="1">
      <alignment vertical="center"/>
    </xf>
    <xf numFmtId="49" fontId="4" fillId="3" borderId="0" xfId="0" applyNumberFormat="1" applyFont="1" applyFill="1" applyAlignment="1">
      <alignment vertical="center"/>
    </xf>
    <xf numFmtId="171" fontId="4" fillId="4" borderId="2" xfId="4" applyFont="1" applyFill="1" applyBorder="1" applyAlignment="1">
      <alignment vertical="center"/>
    </xf>
    <xf numFmtId="171" fontId="4" fillId="4" borderId="0" xfId="4" applyFont="1" applyFill="1" applyAlignment="1">
      <alignment vertical="center"/>
    </xf>
    <xf numFmtId="2" fontId="2" fillId="4" borderId="2" xfId="4" applyNumberFormat="1" applyFont="1" applyFill="1" applyBorder="1" applyAlignment="1">
      <alignment vertical="center"/>
    </xf>
    <xf numFmtId="171" fontId="4" fillId="2" borderId="0" xfId="4" applyFont="1" applyFill="1" applyAlignment="1">
      <alignment vertical="center"/>
    </xf>
    <xf numFmtId="2" fontId="2" fillId="2" borderId="2" xfId="4" applyNumberFormat="1" applyFont="1" applyFill="1" applyBorder="1" applyAlignment="1">
      <alignment vertical="center"/>
    </xf>
    <xf numFmtId="0" fontId="7" fillId="0" borderId="2" xfId="1" applyFont="1" applyFill="1" applyBorder="1" applyAlignment="1">
      <alignment horizontal="center" vertical="center" wrapText="1"/>
    </xf>
    <xf numFmtId="2" fontId="4" fillId="0" borderId="2" xfId="4" applyNumberFormat="1" applyFont="1" applyFill="1" applyBorder="1" applyAlignment="1">
      <alignment vertical="center"/>
    </xf>
    <xf numFmtId="171" fontId="4" fillId="0" borderId="0" xfId="4" applyFont="1" applyFill="1" applyAlignment="1">
      <alignment vertical="center"/>
    </xf>
    <xf numFmtId="2" fontId="4" fillId="0" borderId="2" xfId="4" applyNumberFormat="1" applyFont="1" applyFill="1" applyBorder="1" applyAlignment="1">
      <alignment horizontal="right" vertical="center"/>
    </xf>
    <xf numFmtId="14" fontId="4" fillId="0" borderId="2" xfId="4" applyNumberFormat="1" applyFont="1" applyFill="1" applyBorder="1" applyAlignment="1">
      <alignment vertical="center"/>
    </xf>
    <xf numFmtId="4" fontId="19" fillId="0" borderId="1" xfId="1" applyNumberFormat="1" applyFont="1" applyFill="1" applyBorder="1" applyAlignment="1">
      <alignment vertical="center" wrapText="1"/>
    </xf>
    <xf numFmtId="4" fontId="19" fillId="0" borderId="2" xfId="1" applyNumberFormat="1" applyFont="1" applyFill="1" applyBorder="1" applyAlignment="1">
      <alignment vertical="center" wrapText="1"/>
    </xf>
    <xf numFmtId="49" fontId="7" fillId="0" borderId="3" xfId="0" applyNumberFormat="1" applyFont="1" applyBorder="1" applyAlignment="1">
      <alignment horizontal="center" vertical="center" wrapText="1"/>
    </xf>
    <xf numFmtId="2" fontId="4" fillId="0" borderId="2" xfId="4" applyNumberFormat="1" applyFont="1" applyBorder="1" applyAlignment="1">
      <alignment horizontal="right" vertical="center"/>
    </xf>
    <xf numFmtId="49" fontId="4" fillId="5" borderId="2" xfId="0" applyNumberFormat="1" applyFont="1" applyFill="1" applyBorder="1" applyAlignment="1">
      <alignment vertical="center"/>
    </xf>
    <xf numFmtId="49" fontId="4" fillId="5" borderId="2" xfId="0" applyNumberFormat="1" applyFont="1" applyFill="1" applyBorder="1" applyAlignment="1">
      <alignment horizontal="center" vertical="center"/>
    </xf>
    <xf numFmtId="0" fontId="4" fillId="5" borderId="2" xfId="0" applyNumberFormat="1" applyFont="1" applyFill="1" applyBorder="1" applyAlignment="1">
      <alignment horizontal="left" vertical="center"/>
    </xf>
    <xf numFmtId="171" fontId="7" fillId="0" borderId="1" xfId="4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/>
    </xf>
    <xf numFmtId="171" fontId="7" fillId="0" borderId="1" xfId="4" applyFont="1" applyFill="1" applyBorder="1" applyAlignment="1">
      <alignment horizontal="center" vertical="center" textRotation="90" wrapText="1"/>
    </xf>
    <xf numFmtId="171" fontId="7" fillId="0" borderId="4" xfId="4" applyFont="1" applyFill="1" applyBorder="1" applyAlignment="1">
      <alignment horizontal="center" vertical="center" textRotation="90" wrapText="1"/>
    </xf>
    <xf numFmtId="2" fontId="2" fillId="0" borderId="2" xfId="4" applyNumberFormat="1" applyFont="1" applyFill="1" applyBorder="1" applyAlignment="1">
      <alignment vertical="center"/>
    </xf>
    <xf numFmtId="171" fontId="4" fillId="6" borderId="2" xfId="4" applyFont="1" applyFill="1" applyBorder="1" applyAlignment="1">
      <alignment vertical="center"/>
    </xf>
    <xf numFmtId="171" fontId="4" fillId="0" borderId="2" xfId="4" applyNumberFormat="1" applyFont="1" applyBorder="1" applyAlignment="1">
      <alignment horizontal="right"/>
    </xf>
    <xf numFmtId="49" fontId="4" fillId="0" borderId="2" xfId="0" applyNumberFormat="1" applyFont="1" applyFill="1" applyBorder="1" applyAlignment="1">
      <alignment horizontal="center" vertical="center"/>
    </xf>
    <xf numFmtId="171" fontId="4" fillId="7" borderId="2" xfId="4" applyNumberFormat="1" applyFont="1" applyFill="1" applyBorder="1" applyAlignment="1">
      <alignment horizontal="right"/>
    </xf>
    <xf numFmtId="171" fontId="4" fillId="7" borderId="2" xfId="4" applyFont="1" applyFill="1" applyBorder="1" applyAlignment="1">
      <alignment vertical="center"/>
    </xf>
    <xf numFmtId="49" fontId="4" fillId="7" borderId="2" xfId="0" applyNumberFormat="1" applyFont="1" applyFill="1" applyBorder="1" applyAlignment="1">
      <alignment vertical="center"/>
    </xf>
    <xf numFmtId="49" fontId="4" fillId="7" borderId="2" xfId="0" applyNumberFormat="1" applyFont="1" applyFill="1" applyBorder="1" applyAlignment="1">
      <alignment horizontal="center" vertical="center"/>
    </xf>
    <xf numFmtId="0" fontId="4" fillId="7" borderId="2" xfId="0" applyNumberFormat="1" applyFont="1" applyFill="1" applyBorder="1" applyAlignment="1">
      <alignment horizontal="left" vertical="center"/>
    </xf>
    <xf numFmtId="49" fontId="4" fillId="6" borderId="2" xfId="0" applyNumberFormat="1" applyFont="1" applyFill="1" applyBorder="1" applyAlignment="1">
      <alignment vertical="center"/>
    </xf>
    <xf numFmtId="49" fontId="4" fillId="6" borderId="2" xfId="0" applyNumberFormat="1" applyFont="1" applyFill="1" applyBorder="1" applyAlignment="1">
      <alignment horizontal="center" vertical="center"/>
    </xf>
    <xf numFmtId="0" fontId="4" fillId="6" borderId="2" xfId="0" applyNumberFormat="1" applyFont="1" applyFill="1" applyBorder="1" applyAlignment="1">
      <alignment horizontal="left" vertical="center"/>
    </xf>
    <xf numFmtId="171" fontId="4" fillId="6" borderId="2" xfId="4" applyNumberFormat="1" applyFont="1" applyFill="1" applyBorder="1" applyAlignment="1">
      <alignment horizontal="right"/>
    </xf>
    <xf numFmtId="49" fontId="4" fillId="8" borderId="2" xfId="0" applyNumberFormat="1" applyFont="1" applyFill="1" applyBorder="1" applyAlignment="1">
      <alignment vertical="center"/>
    </xf>
    <xf numFmtId="49" fontId="4" fillId="8" borderId="2" xfId="0" applyNumberFormat="1" applyFont="1" applyFill="1" applyBorder="1" applyAlignment="1">
      <alignment horizontal="center" vertical="center"/>
    </xf>
    <xf numFmtId="0" fontId="4" fillId="8" borderId="2" xfId="0" applyNumberFormat="1" applyFont="1" applyFill="1" applyBorder="1" applyAlignment="1">
      <alignment horizontal="left" vertical="center"/>
    </xf>
    <xf numFmtId="171" fontId="4" fillId="8" borderId="2" xfId="4" applyNumberFormat="1" applyFont="1" applyFill="1" applyBorder="1" applyAlignment="1">
      <alignment horizontal="right"/>
    </xf>
    <xf numFmtId="171" fontId="4" fillId="8" borderId="2" xfId="4" applyFont="1" applyFill="1" applyBorder="1" applyAlignment="1">
      <alignment vertical="center"/>
    </xf>
    <xf numFmtId="49" fontId="4" fillId="9" borderId="2" xfId="0" applyNumberFormat="1" applyFont="1" applyFill="1" applyBorder="1" applyAlignment="1">
      <alignment vertical="center"/>
    </xf>
    <xf numFmtId="49" fontId="4" fillId="9" borderId="2" xfId="0" applyNumberFormat="1" applyFont="1" applyFill="1" applyBorder="1" applyAlignment="1">
      <alignment horizontal="center" vertical="center"/>
    </xf>
    <xf numFmtId="0" fontId="4" fillId="9" borderId="2" xfId="0" applyNumberFormat="1" applyFont="1" applyFill="1" applyBorder="1" applyAlignment="1">
      <alignment horizontal="left" vertical="center"/>
    </xf>
    <xf numFmtId="171" fontId="4" fillId="9" borderId="2" xfId="4" applyNumberFormat="1" applyFont="1" applyFill="1" applyBorder="1" applyAlignment="1">
      <alignment horizontal="right"/>
    </xf>
    <xf numFmtId="171" fontId="4" fillId="9" borderId="2" xfId="4" applyFont="1" applyFill="1" applyBorder="1" applyAlignment="1">
      <alignment vertical="center"/>
    </xf>
    <xf numFmtId="49" fontId="4" fillId="9" borderId="2" xfId="1" applyNumberFormat="1" applyFont="1" applyFill="1" applyBorder="1" applyAlignment="1"/>
    <xf numFmtId="49" fontId="4" fillId="10" borderId="2" xfId="0" applyNumberFormat="1" applyFont="1" applyFill="1" applyBorder="1" applyAlignment="1">
      <alignment vertical="center"/>
    </xf>
    <xf numFmtId="49" fontId="4" fillId="10" borderId="2" xfId="0" applyNumberFormat="1" applyFont="1" applyFill="1" applyBorder="1" applyAlignment="1">
      <alignment horizontal="center" vertical="center"/>
    </xf>
    <xf numFmtId="0" fontId="4" fillId="10" borderId="2" xfId="0" applyNumberFormat="1" applyFont="1" applyFill="1" applyBorder="1" applyAlignment="1">
      <alignment horizontal="left" vertical="center"/>
    </xf>
    <xf numFmtId="171" fontId="4" fillId="10" borderId="2" xfId="4" applyNumberFormat="1" applyFont="1" applyFill="1" applyBorder="1" applyAlignment="1">
      <alignment horizontal="right"/>
    </xf>
    <xf numFmtId="171" fontId="4" fillId="10" borderId="2" xfId="4" applyFont="1" applyFill="1" applyBorder="1" applyAlignment="1">
      <alignment vertical="center"/>
    </xf>
    <xf numFmtId="49" fontId="4" fillId="10" borderId="0" xfId="0" applyNumberFormat="1" applyFont="1" applyFill="1" applyAlignment="1">
      <alignment vertical="center"/>
    </xf>
    <xf numFmtId="49" fontId="4" fillId="8" borderId="0" xfId="0" applyNumberFormat="1" applyFont="1" applyFill="1" applyAlignment="1">
      <alignment vertical="center"/>
    </xf>
    <xf numFmtId="49" fontId="4" fillId="9" borderId="0" xfId="0" applyNumberFormat="1" applyFont="1" applyFill="1" applyAlignment="1">
      <alignment vertical="center"/>
    </xf>
    <xf numFmtId="49" fontId="4" fillId="6" borderId="0" xfId="0" applyNumberFormat="1" applyFont="1" applyFill="1" applyAlignment="1">
      <alignment vertical="center"/>
    </xf>
    <xf numFmtId="49" fontId="4" fillId="7" borderId="0" xfId="0" applyNumberFormat="1" applyFont="1" applyFill="1" applyAlignment="1">
      <alignment vertical="center"/>
    </xf>
    <xf numFmtId="2" fontId="4" fillId="0" borderId="0" xfId="0" applyNumberFormat="1" applyFont="1" applyAlignment="1">
      <alignment horizontal="center" vertical="center"/>
    </xf>
    <xf numFmtId="49" fontId="4" fillId="11" borderId="0" xfId="0" applyNumberFormat="1" applyFont="1" applyFill="1" applyAlignment="1">
      <alignment vertical="center"/>
    </xf>
    <xf numFmtId="49" fontId="4" fillId="11" borderId="2" xfId="0" applyNumberFormat="1" applyFont="1" applyFill="1" applyBorder="1" applyAlignment="1">
      <alignment vertical="center"/>
    </xf>
    <xf numFmtId="49" fontId="4" fillId="11" borderId="2" xfId="0" applyNumberFormat="1" applyFont="1" applyFill="1" applyBorder="1" applyAlignment="1">
      <alignment horizontal="center" vertical="center"/>
    </xf>
    <xf numFmtId="0" fontId="4" fillId="11" borderId="2" xfId="0" applyNumberFormat="1" applyFont="1" applyFill="1" applyBorder="1" applyAlignment="1">
      <alignment horizontal="left" vertical="center"/>
    </xf>
    <xf numFmtId="171" fontId="4" fillId="11" borderId="2" xfId="4" applyNumberFormat="1" applyFont="1" applyFill="1" applyBorder="1" applyAlignment="1">
      <alignment horizontal="right"/>
    </xf>
    <xf numFmtId="171" fontId="4" fillId="11" borderId="2" xfId="4" applyFont="1" applyFill="1" applyBorder="1" applyAlignment="1">
      <alignment vertical="center"/>
    </xf>
    <xf numFmtId="0" fontId="4" fillId="6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2" fontId="4" fillId="3" borderId="2" xfId="4" applyNumberFormat="1" applyFont="1" applyFill="1" applyBorder="1" applyAlignment="1">
      <alignment horizontal="right" vertical="center"/>
    </xf>
    <xf numFmtId="2" fontId="4" fillId="3" borderId="2" xfId="4" applyNumberFormat="1" applyFont="1" applyFill="1" applyBorder="1" applyAlignment="1">
      <alignment vertical="center"/>
    </xf>
    <xf numFmtId="49" fontId="7" fillId="12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/>
    </xf>
    <xf numFmtId="2" fontId="4" fillId="0" borderId="2" xfId="4" applyNumberFormat="1" applyFont="1" applyFill="1" applyBorder="1" applyAlignment="1">
      <alignment horizontal="center" vertical="center"/>
    </xf>
    <xf numFmtId="192" fontId="4" fillId="0" borderId="2" xfId="4" applyNumberFormat="1" applyFont="1" applyFill="1" applyBorder="1" applyAlignment="1">
      <alignment horizontal="center" vertical="center"/>
    </xf>
    <xf numFmtId="171" fontId="4" fillId="0" borderId="1" xfId="4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71" fontId="4" fillId="0" borderId="2" xfId="4" applyNumberFormat="1" applyFont="1" applyFill="1" applyBorder="1" applyAlignment="1">
      <alignment horizontal="right"/>
    </xf>
    <xf numFmtId="0" fontId="4" fillId="0" borderId="0" xfId="0" applyFont="1" applyFill="1" applyAlignment="1">
      <alignment vertical="center"/>
    </xf>
    <xf numFmtId="49" fontId="4" fillId="13" borderId="2" xfId="0" applyNumberFormat="1" applyFont="1" applyFill="1" applyBorder="1" applyAlignment="1">
      <alignment horizontal="center" vertical="center"/>
    </xf>
    <xf numFmtId="171" fontId="4" fillId="0" borderId="5" xfId="4" applyFont="1" applyBorder="1" applyAlignment="1">
      <alignment vertical="center"/>
    </xf>
    <xf numFmtId="49" fontId="4" fillId="14" borderId="0" xfId="0" applyNumberFormat="1" applyFont="1" applyFill="1" applyAlignment="1">
      <alignment vertical="center"/>
    </xf>
    <xf numFmtId="49" fontId="4" fillId="14" borderId="2" xfId="0" applyNumberFormat="1" applyFont="1" applyFill="1" applyBorder="1" applyAlignment="1">
      <alignment vertical="center"/>
    </xf>
    <xf numFmtId="49" fontId="4" fillId="14" borderId="2" xfId="0" applyNumberFormat="1" applyFont="1" applyFill="1" applyBorder="1" applyAlignment="1">
      <alignment horizontal="center" vertical="center"/>
    </xf>
    <xf numFmtId="0" fontId="4" fillId="14" borderId="2" xfId="0" applyNumberFormat="1" applyFont="1" applyFill="1" applyBorder="1" applyAlignment="1">
      <alignment horizontal="left" vertical="center"/>
    </xf>
    <xf numFmtId="171" fontId="4" fillId="14" borderId="2" xfId="4" applyNumberFormat="1" applyFont="1" applyFill="1" applyBorder="1" applyAlignment="1">
      <alignment horizontal="right"/>
    </xf>
    <xf numFmtId="171" fontId="4" fillId="14" borderId="2" xfId="4" applyFont="1" applyFill="1" applyBorder="1" applyAlignment="1">
      <alignment vertical="center"/>
    </xf>
    <xf numFmtId="49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171" fontId="4" fillId="0" borderId="2" xfId="4" applyNumberFormat="1" applyFont="1" applyFill="1" applyBorder="1" applyAlignment="1">
      <alignment vertical="center"/>
    </xf>
    <xf numFmtId="171" fontId="4" fillId="0" borderId="1" xfId="4" applyFont="1" applyFill="1" applyBorder="1" applyAlignment="1">
      <alignment vertical="center"/>
    </xf>
    <xf numFmtId="171" fontId="4" fillId="15" borderId="2" xfId="4" applyNumberFormat="1" applyFont="1" applyFill="1" applyBorder="1" applyAlignment="1">
      <alignment horizontal="right"/>
    </xf>
    <xf numFmtId="171" fontId="4" fillId="15" borderId="2" xfId="4" applyFont="1" applyFill="1" applyBorder="1" applyAlignment="1">
      <alignment vertical="center"/>
    </xf>
    <xf numFmtId="49" fontId="4" fillId="15" borderId="0" xfId="0" applyNumberFormat="1" applyFont="1" applyFill="1" applyAlignment="1">
      <alignment vertical="center"/>
    </xf>
    <xf numFmtId="49" fontId="4" fillId="15" borderId="2" xfId="0" applyNumberFormat="1" applyFont="1" applyFill="1" applyBorder="1" applyAlignment="1">
      <alignment vertical="center"/>
    </xf>
    <xf numFmtId="49" fontId="4" fillId="15" borderId="2" xfId="0" applyNumberFormat="1" applyFont="1" applyFill="1" applyBorder="1" applyAlignment="1">
      <alignment horizontal="center" vertical="center"/>
    </xf>
    <xf numFmtId="0" fontId="4" fillId="15" borderId="2" xfId="0" applyNumberFormat="1" applyFont="1" applyFill="1" applyBorder="1" applyAlignment="1">
      <alignment horizontal="left" vertical="center"/>
    </xf>
    <xf numFmtId="49" fontId="4" fillId="16" borderId="0" xfId="0" applyNumberFormat="1" applyFont="1" applyFill="1" applyAlignment="1">
      <alignment vertical="center"/>
    </xf>
    <xf numFmtId="49" fontId="4" fillId="16" borderId="2" xfId="0" applyNumberFormat="1" applyFont="1" applyFill="1" applyBorder="1" applyAlignment="1">
      <alignment vertical="center"/>
    </xf>
    <xf numFmtId="49" fontId="4" fillId="16" borderId="2" xfId="0" applyNumberFormat="1" applyFont="1" applyFill="1" applyBorder="1" applyAlignment="1">
      <alignment horizontal="center" vertical="center"/>
    </xf>
    <xf numFmtId="0" fontId="4" fillId="16" borderId="2" xfId="0" applyNumberFormat="1" applyFont="1" applyFill="1" applyBorder="1" applyAlignment="1">
      <alignment horizontal="left" vertical="center"/>
    </xf>
    <xf numFmtId="171" fontId="4" fillId="16" borderId="2" xfId="4" applyNumberFormat="1" applyFont="1" applyFill="1" applyBorder="1" applyAlignment="1">
      <alignment horizontal="right"/>
    </xf>
    <xf numFmtId="171" fontId="4" fillId="16" borderId="2" xfId="4" applyFont="1" applyFill="1" applyBorder="1" applyAlignment="1">
      <alignment vertical="center"/>
    </xf>
    <xf numFmtId="49" fontId="4" fillId="17" borderId="0" xfId="0" applyNumberFormat="1" applyFont="1" applyFill="1" applyAlignment="1">
      <alignment vertical="center"/>
    </xf>
    <xf numFmtId="49" fontId="4" fillId="17" borderId="2" xfId="0" applyNumberFormat="1" applyFont="1" applyFill="1" applyBorder="1" applyAlignment="1">
      <alignment vertical="center"/>
    </xf>
    <xf numFmtId="49" fontId="4" fillId="17" borderId="2" xfId="0" applyNumberFormat="1" applyFont="1" applyFill="1" applyBorder="1" applyAlignment="1">
      <alignment horizontal="center" vertical="center"/>
    </xf>
    <xf numFmtId="0" fontId="4" fillId="17" borderId="2" xfId="0" applyNumberFormat="1" applyFont="1" applyFill="1" applyBorder="1" applyAlignment="1">
      <alignment horizontal="left" vertical="center"/>
    </xf>
    <xf numFmtId="171" fontId="4" fillId="17" borderId="2" xfId="4" applyNumberFormat="1" applyFont="1" applyFill="1" applyBorder="1" applyAlignment="1">
      <alignment horizontal="right"/>
    </xf>
    <xf numFmtId="171" fontId="4" fillId="17" borderId="2" xfId="4" applyFont="1" applyFill="1" applyBorder="1" applyAlignment="1">
      <alignment vertical="center"/>
    </xf>
    <xf numFmtId="49" fontId="4" fillId="17" borderId="2" xfId="1" applyNumberFormat="1" applyFont="1" applyFill="1" applyBorder="1" applyAlignment="1"/>
    <xf numFmtId="4" fontId="19" fillId="12" borderId="1" xfId="1" applyNumberFormat="1" applyFont="1" applyFill="1" applyBorder="1" applyAlignment="1">
      <alignment vertical="center" wrapText="1"/>
    </xf>
    <xf numFmtId="2" fontId="4" fillId="0" borderId="2" xfId="4" applyNumberFormat="1" applyFont="1" applyBorder="1" applyAlignment="1">
      <alignment horizontal="center" vertical="center"/>
    </xf>
    <xf numFmtId="192" fontId="4" fillId="0" borderId="2" xfId="4" applyNumberFormat="1" applyFont="1" applyBorder="1" applyAlignment="1">
      <alignment horizontal="center" vertical="center"/>
    </xf>
    <xf numFmtId="195" fontId="4" fillId="0" borderId="2" xfId="4" applyNumberFormat="1" applyFont="1" applyBorder="1" applyAlignment="1">
      <alignment horizontal="center" vertical="center"/>
    </xf>
    <xf numFmtId="0" fontId="4" fillId="18" borderId="2" xfId="0" applyNumberFormat="1" applyFont="1" applyFill="1" applyBorder="1" applyAlignment="1">
      <alignment horizontal="center" vertical="center"/>
    </xf>
    <xf numFmtId="2" fontId="4" fillId="18" borderId="2" xfId="0" applyNumberFormat="1" applyFont="1" applyFill="1" applyBorder="1" applyAlignment="1">
      <alignment horizontal="center" vertical="center"/>
    </xf>
    <xf numFmtId="184" fontId="4" fillId="18" borderId="2" xfId="0" applyNumberFormat="1" applyFont="1" applyFill="1" applyBorder="1" applyAlignment="1">
      <alignment horizontal="center" vertical="center"/>
    </xf>
    <xf numFmtId="2" fontId="4" fillId="19" borderId="2" xfId="0" applyNumberFormat="1" applyFont="1" applyFill="1" applyBorder="1" applyAlignment="1">
      <alignment horizontal="center" vertical="center"/>
    </xf>
    <xf numFmtId="0" fontId="4" fillId="20" borderId="2" xfId="0" applyNumberFormat="1" applyFont="1" applyFill="1" applyBorder="1" applyAlignment="1">
      <alignment horizontal="center" vertical="center"/>
    </xf>
    <xf numFmtId="2" fontId="4" fillId="20" borderId="2" xfId="0" applyNumberFormat="1" applyFont="1" applyFill="1" applyBorder="1" applyAlignment="1">
      <alignment horizontal="center" vertical="center"/>
    </xf>
    <xf numFmtId="184" fontId="4" fillId="20" borderId="2" xfId="0" applyNumberFormat="1" applyFont="1" applyFill="1" applyBorder="1" applyAlignment="1">
      <alignment horizontal="center" vertical="center"/>
    </xf>
    <xf numFmtId="49" fontId="4" fillId="21" borderId="0" xfId="0" applyNumberFormat="1" applyFont="1" applyFill="1" applyAlignment="1">
      <alignment vertical="center"/>
    </xf>
    <xf numFmtId="49" fontId="4" fillId="21" borderId="2" xfId="0" applyNumberFormat="1" applyFont="1" applyFill="1" applyBorder="1" applyAlignment="1">
      <alignment vertical="center"/>
    </xf>
    <xf numFmtId="49" fontId="4" fillId="21" borderId="2" xfId="0" applyNumberFormat="1" applyFont="1" applyFill="1" applyBorder="1" applyAlignment="1">
      <alignment horizontal="center" vertical="center"/>
    </xf>
    <xf numFmtId="0" fontId="4" fillId="21" borderId="2" xfId="0" applyNumberFormat="1" applyFont="1" applyFill="1" applyBorder="1" applyAlignment="1">
      <alignment horizontal="left" vertical="center"/>
    </xf>
    <xf numFmtId="171" fontId="4" fillId="21" borderId="2" xfId="4" applyNumberFormat="1" applyFont="1" applyFill="1" applyBorder="1" applyAlignment="1">
      <alignment horizontal="right"/>
    </xf>
    <xf numFmtId="171" fontId="4" fillId="21" borderId="2" xfId="4" applyFont="1" applyFill="1" applyBorder="1" applyAlignment="1">
      <alignment vertical="center"/>
    </xf>
    <xf numFmtId="1" fontId="4" fillId="18" borderId="2" xfId="0" applyNumberFormat="1" applyFont="1" applyFill="1" applyBorder="1" applyAlignment="1">
      <alignment horizontal="center" vertical="center"/>
    </xf>
    <xf numFmtId="49" fontId="4" fillId="22" borderId="0" xfId="0" applyNumberFormat="1" applyFont="1" applyFill="1" applyAlignment="1">
      <alignment vertical="center"/>
    </xf>
    <xf numFmtId="49" fontId="4" fillId="22" borderId="2" xfId="0" applyNumberFormat="1" applyFont="1" applyFill="1" applyBorder="1" applyAlignment="1">
      <alignment vertical="center"/>
    </xf>
    <xf numFmtId="49" fontId="4" fillId="22" borderId="2" xfId="0" applyNumberFormat="1" applyFont="1" applyFill="1" applyBorder="1" applyAlignment="1">
      <alignment horizontal="center" vertical="center"/>
    </xf>
    <xf numFmtId="0" fontId="4" fillId="22" borderId="2" xfId="0" applyNumberFormat="1" applyFont="1" applyFill="1" applyBorder="1" applyAlignment="1">
      <alignment horizontal="left" vertical="center"/>
    </xf>
    <xf numFmtId="171" fontId="4" fillId="22" borderId="2" xfId="4" applyNumberFormat="1" applyFont="1" applyFill="1" applyBorder="1" applyAlignment="1">
      <alignment horizontal="right"/>
    </xf>
    <xf numFmtId="171" fontId="4" fillId="22" borderId="2" xfId="4" applyFont="1" applyFill="1" applyBorder="1" applyAlignment="1">
      <alignment vertical="center"/>
    </xf>
    <xf numFmtId="49" fontId="4" fillId="22" borderId="2" xfId="1" applyNumberFormat="1" applyFont="1" applyFill="1" applyBorder="1" applyAlignment="1"/>
    <xf numFmtId="49" fontId="4" fillId="22" borderId="2" xfId="1" applyNumberFormat="1" applyFont="1" applyFill="1" applyBorder="1" applyAlignment="1">
      <alignment horizontal="center"/>
    </xf>
    <xf numFmtId="49" fontId="4" fillId="23" borderId="0" xfId="0" applyNumberFormat="1" applyFont="1" applyFill="1" applyAlignment="1">
      <alignment vertical="center"/>
    </xf>
    <xf numFmtId="49" fontId="4" fillId="23" borderId="2" xfId="0" applyNumberFormat="1" applyFont="1" applyFill="1" applyBorder="1" applyAlignment="1">
      <alignment vertical="center"/>
    </xf>
    <xf numFmtId="49" fontId="4" fillId="23" borderId="2" xfId="0" applyNumberFormat="1" applyFont="1" applyFill="1" applyBorder="1" applyAlignment="1">
      <alignment horizontal="center" vertical="center"/>
    </xf>
    <xf numFmtId="0" fontId="4" fillId="23" borderId="2" xfId="0" applyNumberFormat="1" applyFont="1" applyFill="1" applyBorder="1" applyAlignment="1">
      <alignment horizontal="left" vertical="center"/>
    </xf>
    <xf numFmtId="171" fontId="4" fillId="23" borderId="2" xfId="4" applyNumberFormat="1" applyFont="1" applyFill="1" applyBorder="1" applyAlignment="1">
      <alignment horizontal="right"/>
    </xf>
    <xf numFmtId="171" fontId="4" fillId="23" borderId="2" xfId="4" applyFont="1" applyFill="1" applyBorder="1" applyAlignment="1">
      <alignment vertical="center"/>
    </xf>
    <xf numFmtId="0" fontId="10" fillId="0" borderId="4" xfId="0" applyFont="1" applyBorder="1"/>
    <xf numFmtId="49" fontId="4" fillId="4" borderId="0" xfId="0" applyNumberFormat="1" applyFont="1" applyFill="1" applyAlignment="1">
      <alignment vertical="center"/>
    </xf>
    <xf numFmtId="49" fontId="4" fillId="4" borderId="2" xfId="0" applyNumberFormat="1" applyFont="1" applyFill="1" applyBorder="1" applyAlignment="1">
      <alignment vertical="center"/>
    </xf>
    <xf numFmtId="49" fontId="4" fillId="4" borderId="2" xfId="0" applyNumberFormat="1" applyFont="1" applyFill="1" applyBorder="1" applyAlignment="1">
      <alignment horizontal="center" vertical="center"/>
    </xf>
    <xf numFmtId="0" fontId="4" fillId="4" borderId="2" xfId="0" applyNumberFormat="1" applyFont="1" applyFill="1" applyBorder="1" applyAlignment="1">
      <alignment horizontal="left" vertical="center"/>
    </xf>
    <xf numFmtId="171" fontId="4" fillId="4" borderId="2" xfId="4" applyNumberFormat="1" applyFont="1" applyFill="1" applyBorder="1" applyAlignment="1">
      <alignment horizontal="right"/>
    </xf>
    <xf numFmtId="49" fontId="4" fillId="4" borderId="2" xfId="1" applyNumberFormat="1" applyFont="1" applyFill="1" applyBorder="1" applyAlignment="1"/>
    <xf numFmtId="49" fontId="20" fillId="4" borderId="2" xfId="1" applyNumberFormat="1" applyFont="1" applyFill="1" applyBorder="1" applyAlignment="1"/>
    <xf numFmtId="171" fontId="4" fillId="3" borderId="2" xfId="4" applyNumberFormat="1" applyFont="1" applyFill="1" applyBorder="1" applyAlignment="1">
      <alignment horizontal="right"/>
    </xf>
    <xf numFmtId="49" fontId="4" fillId="10" borderId="2" xfId="1" applyNumberFormat="1" applyFont="1" applyFill="1" applyBorder="1" applyAlignment="1"/>
    <xf numFmtId="192" fontId="4" fillId="2" borderId="2" xfId="4" applyNumberFormat="1" applyFont="1" applyFill="1" applyBorder="1" applyAlignment="1">
      <alignment horizontal="center" vertical="center"/>
    </xf>
    <xf numFmtId="195" fontId="4" fillId="2" borderId="2" xfId="4" applyNumberFormat="1" applyFont="1" applyFill="1" applyBorder="1" applyAlignment="1">
      <alignment horizontal="center" vertical="center"/>
    </xf>
    <xf numFmtId="2" fontId="4" fillId="20" borderId="2" xfId="4" applyNumberFormat="1" applyFont="1" applyFill="1" applyBorder="1" applyAlignment="1">
      <alignment vertical="center"/>
    </xf>
    <xf numFmtId="171" fontId="4" fillId="20" borderId="2" xfId="4" applyFont="1" applyFill="1" applyBorder="1" applyAlignment="1">
      <alignment vertical="center"/>
    </xf>
    <xf numFmtId="0" fontId="0" fillId="0" borderId="0" xfId="0" applyFill="1"/>
    <xf numFmtId="171" fontId="4" fillId="17" borderId="0" xfId="4" applyFont="1" applyFill="1" applyAlignment="1">
      <alignment vertical="center"/>
    </xf>
    <xf numFmtId="171" fontId="4" fillId="24" borderId="0" xfId="4" applyFont="1" applyFill="1" applyAlignment="1">
      <alignment vertical="center"/>
    </xf>
    <xf numFmtId="171" fontId="4" fillId="9" borderId="0" xfId="4" applyFont="1" applyFill="1" applyAlignment="1">
      <alignment vertical="center"/>
    </xf>
    <xf numFmtId="2" fontId="2" fillId="9" borderId="2" xfId="4" applyNumberFormat="1" applyFont="1" applyFill="1" applyBorder="1" applyAlignment="1">
      <alignment vertical="center"/>
    </xf>
    <xf numFmtId="171" fontId="4" fillId="25" borderId="0" xfId="4" applyFont="1" applyFill="1" applyAlignment="1">
      <alignment vertical="center"/>
    </xf>
    <xf numFmtId="2" fontId="2" fillId="25" borderId="2" xfId="4" applyNumberFormat="1" applyFont="1" applyFill="1" applyBorder="1" applyAlignment="1">
      <alignment vertical="center"/>
    </xf>
    <xf numFmtId="2" fontId="2" fillId="17" borderId="2" xfId="4" applyNumberFormat="1" applyFont="1" applyFill="1" applyBorder="1" applyAlignment="1">
      <alignment vertical="center"/>
    </xf>
    <xf numFmtId="171" fontId="4" fillId="7" borderId="0" xfId="4" applyFont="1" applyFill="1" applyAlignment="1">
      <alignment vertical="center"/>
    </xf>
    <xf numFmtId="171" fontId="4" fillId="26" borderId="0" xfId="4" applyFont="1" applyFill="1" applyAlignment="1">
      <alignment vertical="center"/>
    </xf>
    <xf numFmtId="2" fontId="2" fillId="26" borderId="2" xfId="4" applyNumberFormat="1" applyFont="1" applyFill="1" applyBorder="1" applyAlignment="1">
      <alignment vertical="center"/>
    </xf>
    <xf numFmtId="2" fontId="2" fillId="24" borderId="2" xfId="4" applyNumberFormat="1" applyFont="1" applyFill="1" applyBorder="1" applyAlignment="1">
      <alignment vertical="center"/>
    </xf>
    <xf numFmtId="2" fontId="2" fillId="13" borderId="2" xfId="4" applyNumberFormat="1" applyFont="1" applyFill="1" applyBorder="1" applyAlignment="1">
      <alignment vertical="center"/>
    </xf>
    <xf numFmtId="2" fontId="2" fillId="7" borderId="2" xfId="4" applyNumberFormat="1" applyFont="1" applyFill="1" applyBorder="1" applyAlignment="1">
      <alignment vertical="center"/>
    </xf>
    <xf numFmtId="171" fontId="4" fillId="13" borderId="0" xfId="4" applyFont="1" applyFill="1" applyAlignment="1">
      <alignment vertical="center"/>
    </xf>
    <xf numFmtId="2" fontId="2" fillId="22" borderId="2" xfId="4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left" vertical="center"/>
    </xf>
    <xf numFmtId="195" fontId="4" fillId="0" borderId="2" xfId="4" applyNumberFormat="1" applyFont="1" applyFill="1" applyBorder="1" applyAlignment="1">
      <alignment horizontal="center" vertical="center"/>
    </xf>
    <xf numFmtId="39" fontId="2" fillId="0" borderId="2" xfId="4" applyNumberFormat="1" applyFont="1" applyFill="1" applyBorder="1" applyAlignment="1">
      <alignment vertical="center"/>
    </xf>
    <xf numFmtId="171" fontId="2" fillId="0" borderId="2" xfId="4" applyFont="1" applyFill="1" applyBorder="1" applyAlignment="1">
      <alignment vertical="center"/>
    </xf>
    <xf numFmtId="171" fontId="4" fillId="22" borderId="0" xfId="4" applyFont="1" applyFill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vertical="center"/>
    </xf>
    <xf numFmtId="3" fontId="4" fillId="2" borderId="2" xfId="0" applyNumberFormat="1" applyFont="1" applyFill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184" fontId="4" fillId="0" borderId="2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171" fontId="7" fillId="0" borderId="6" xfId="4" applyFont="1" applyBorder="1" applyAlignment="1">
      <alignment vertical="center" wrapText="1"/>
    </xf>
    <xf numFmtId="171" fontId="7" fillId="0" borderId="7" xfId="4" applyFont="1" applyBorder="1" applyAlignment="1">
      <alignment vertical="center" wrapText="1"/>
    </xf>
    <xf numFmtId="171" fontId="7" fillId="0" borderId="8" xfId="4" applyFont="1" applyBorder="1" applyAlignment="1">
      <alignment vertical="center" wrapText="1"/>
    </xf>
    <xf numFmtId="171" fontId="4" fillId="0" borderId="9" xfId="4" applyFont="1" applyBorder="1" applyAlignment="1">
      <alignment vertical="center"/>
    </xf>
    <xf numFmtId="171" fontId="4" fillId="0" borderId="0" xfId="0" applyNumberFormat="1" applyFont="1" applyAlignment="1">
      <alignment vertical="center"/>
    </xf>
    <xf numFmtId="171" fontId="7" fillId="0" borderId="10" xfId="4" applyFont="1" applyFill="1" applyBorder="1" applyAlignment="1">
      <alignment horizontal="center" vertical="center" wrapText="1"/>
    </xf>
    <xf numFmtId="171" fontId="4" fillId="0" borderId="0" xfId="4" applyFont="1" applyFill="1" applyAlignment="1">
      <alignment horizontal="center" vertical="center"/>
    </xf>
    <xf numFmtId="171" fontId="7" fillId="2" borderId="2" xfId="4" applyFont="1" applyFill="1" applyBorder="1" applyAlignment="1">
      <alignment vertical="center" wrapText="1"/>
    </xf>
    <xf numFmtId="171" fontId="4" fillId="2" borderId="5" xfId="4" applyFont="1" applyFill="1" applyBorder="1" applyAlignment="1">
      <alignment vertical="center"/>
    </xf>
    <xf numFmtId="0" fontId="14" fillId="0" borderId="0" xfId="0" applyFont="1"/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15" fillId="0" borderId="2" xfId="4" applyNumberFormat="1" applyFont="1" applyBorder="1" applyAlignment="1">
      <alignment vertical="center"/>
    </xf>
    <xf numFmtId="171" fontId="5" fillId="0" borderId="0" xfId="4" applyFont="1" applyAlignment="1">
      <alignment vertical="center"/>
    </xf>
    <xf numFmtId="171" fontId="5" fillId="4" borderId="0" xfId="4" applyFont="1" applyFill="1" applyAlignment="1">
      <alignment vertical="center"/>
    </xf>
    <xf numFmtId="171" fontId="5" fillId="2" borderId="0" xfId="4" applyFont="1" applyFill="1" applyAlignment="1">
      <alignment vertical="center"/>
    </xf>
    <xf numFmtId="171" fontId="5" fillId="0" borderId="0" xfId="4" applyFont="1" applyFill="1" applyAlignment="1">
      <alignment vertical="center"/>
    </xf>
    <xf numFmtId="0" fontId="2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171" fontId="7" fillId="2" borderId="6" xfId="4" applyFont="1" applyFill="1" applyBorder="1" applyAlignment="1">
      <alignment vertical="center" wrapText="1"/>
    </xf>
    <xf numFmtId="171" fontId="7" fillId="2" borderId="7" xfId="4" applyFont="1" applyFill="1" applyBorder="1" applyAlignment="1">
      <alignment vertical="center" wrapText="1"/>
    </xf>
    <xf numFmtId="171" fontId="7" fillId="2" borderId="8" xfId="4" applyFont="1" applyFill="1" applyBorder="1" applyAlignment="1">
      <alignment vertical="center" wrapText="1"/>
    </xf>
    <xf numFmtId="171" fontId="7" fillId="0" borderId="11" xfId="4" applyFont="1" applyFill="1" applyBorder="1" applyAlignment="1">
      <alignment vertical="center" wrapText="1"/>
    </xf>
    <xf numFmtId="171" fontId="7" fillId="0" borderId="12" xfId="4" applyFont="1" applyFill="1" applyBorder="1" applyAlignment="1">
      <alignment vertical="center" wrapText="1"/>
    </xf>
    <xf numFmtId="171" fontId="7" fillId="0" borderId="13" xfId="4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/>
    </xf>
    <xf numFmtId="171" fontId="2" fillId="0" borderId="0" xfId="4" applyFont="1" applyFill="1" applyAlignment="1">
      <alignment vertical="center"/>
    </xf>
    <xf numFmtId="195" fontId="4" fillId="0" borderId="0" xfId="0" applyNumberFormat="1" applyFont="1" applyFill="1" applyAlignment="1">
      <alignment vertical="center"/>
    </xf>
    <xf numFmtId="171" fontId="4" fillId="0" borderId="9" xfId="4" applyFont="1" applyBorder="1" applyAlignment="1">
      <alignment horizontal="right" vertical="center"/>
    </xf>
    <xf numFmtId="4" fontId="8" fillId="0" borderId="2" xfId="1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 wrapText="1"/>
    </xf>
    <xf numFmtId="171" fontId="2" fillId="0" borderId="2" xfId="0" applyNumberFormat="1" applyFont="1" applyFill="1" applyBorder="1" applyAlignment="1">
      <alignment vertical="center"/>
    </xf>
    <xf numFmtId="171" fontId="7" fillId="0" borderId="0" xfId="0" applyNumberFormat="1" applyFont="1" applyFill="1" applyAlignment="1">
      <alignment vertical="center"/>
    </xf>
    <xf numFmtId="2" fontId="4" fillId="0" borderId="0" xfId="0" applyNumberFormat="1" applyFont="1" applyFill="1" applyAlignment="1">
      <alignment vertical="center"/>
    </xf>
    <xf numFmtId="49" fontId="4" fillId="2" borderId="2" xfId="0" applyNumberFormat="1" applyFont="1" applyFill="1" applyBorder="1" applyAlignment="1">
      <alignment horizontal="center" vertical="center"/>
    </xf>
    <xf numFmtId="171" fontId="4" fillId="0" borderId="0" xfId="0" applyNumberFormat="1" applyFont="1" applyFill="1" applyAlignment="1">
      <alignment vertical="center"/>
    </xf>
    <xf numFmtId="2" fontId="0" fillId="0" borderId="0" xfId="0" applyNumberFormat="1" applyFill="1"/>
    <xf numFmtId="3" fontId="4" fillId="0" borderId="0" xfId="0" applyNumberFormat="1" applyFont="1" applyFill="1" applyAlignment="1">
      <alignment vertical="center"/>
    </xf>
    <xf numFmtId="0" fontId="14" fillId="2" borderId="0" xfId="0" applyFont="1" applyFill="1"/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2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vertical="center"/>
    </xf>
    <xf numFmtId="1" fontId="2" fillId="0" borderId="2" xfId="4" applyNumberFormat="1" applyFont="1" applyFill="1" applyBorder="1" applyAlignment="1">
      <alignment vertical="center"/>
    </xf>
    <xf numFmtId="2" fontId="5" fillId="13" borderId="0" xfId="0" applyNumberFormat="1" applyFont="1" applyFill="1" applyAlignment="1">
      <alignment vertical="center"/>
    </xf>
    <xf numFmtId="0" fontId="5" fillId="13" borderId="0" xfId="0" applyFont="1" applyFill="1" applyAlignment="1">
      <alignment vertical="center"/>
    </xf>
    <xf numFmtId="3" fontId="5" fillId="13" borderId="0" xfId="0" applyNumberFormat="1" applyFont="1" applyFill="1" applyAlignment="1">
      <alignment vertical="center"/>
    </xf>
    <xf numFmtId="0" fontId="14" fillId="13" borderId="0" xfId="0" applyFont="1" applyFill="1"/>
    <xf numFmtId="0" fontId="4" fillId="2" borderId="2" xfId="0" applyNumberFormat="1" applyFont="1" applyFill="1" applyBorder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vertical="center"/>
    </xf>
    <xf numFmtId="4" fontId="5" fillId="0" borderId="0" xfId="4" applyNumberFormat="1" applyFont="1" applyAlignment="1">
      <alignment vertical="center"/>
    </xf>
    <xf numFmtId="4" fontId="5" fillId="4" borderId="0" xfId="4" applyNumberFormat="1" applyFont="1" applyFill="1" applyAlignment="1">
      <alignment vertical="center"/>
    </xf>
    <xf numFmtId="4" fontId="5" fillId="2" borderId="0" xfId="4" applyNumberFormat="1" applyFont="1" applyFill="1" applyAlignment="1">
      <alignment vertical="center"/>
    </xf>
    <xf numFmtId="4" fontId="5" fillId="0" borderId="0" xfId="4" applyNumberFormat="1" applyFont="1" applyFill="1" applyAlignment="1">
      <alignment vertical="center"/>
    </xf>
    <xf numFmtId="4" fontId="5" fillId="0" borderId="0" xfId="0" applyNumberFormat="1" applyFont="1" applyFill="1" applyAlignment="1">
      <alignment vertical="center"/>
    </xf>
    <xf numFmtId="4" fontId="15" fillId="0" borderId="0" xfId="0" applyNumberFormat="1" applyFont="1" applyFill="1" applyAlignment="1">
      <alignment vertical="center"/>
    </xf>
    <xf numFmtId="4" fontId="14" fillId="0" borderId="0" xfId="0" applyNumberFormat="1" applyFont="1" applyFill="1"/>
    <xf numFmtId="4" fontId="15" fillId="0" borderId="0" xfId="4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" fontId="5" fillId="0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4" fontId="15" fillId="0" borderId="1" xfId="4" applyNumberFormat="1" applyFont="1" applyBorder="1" applyAlignment="1">
      <alignment vertical="center"/>
    </xf>
    <xf numFmtId="49" fontId="4" fillId="0" borderId="14" xfId="0" applyNumberFormat="1" applyFont="1" applyFill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/>
    </xf>
    <xf numFmtId="171" fontId="4" fillId="0" borderId="14" xfId="4" applyFont="1" applyBorder="1" applyAlignment="1">
      <alignment vertical="center"/>
    </xf>
    <xf numFmtId="171" fontId="4" fillId="4" borderId="14" xfId="4" applyFont="1" applyFill="1" applyBorder="1" applyAlignment="1">
      <alignment vertical="center"/>
    </xf>
    <xf numFmtId="171" fontId="4" fillId="2" borderId="14" xfId="4" applyFont="1" applyFill="1" applyBorder="1" applyAlignment="1">
      <alignment vertical="center"/>
    </xf>
    <xf numFmtId="171" fontId="4" fillId="0" borderId="14" xfId="4" applyFont="1" applyFill="1" applyBorder="1" applyAlignment="1">
      <alignment vertical="center"/>
    </xf>
    <xf numFmtId="171" fontId="4" fillId="9" borderId="14" xfId="4" applyFont="1" applyFill="1" applyBorder="1" applyAlignment="1">
      <alignment vertical="center"/>
    </xf>
    <xf numFmtId="171" fontId="4" fillId="25" borderId="14" xfId="4" applyFont="1" applyFill="1" applyBorder="1" applyAlignment="1">
      <alignment vertical="center"/>
    </xf>
    <xf numFmtId="171" fontId="4" fillId="17" borderId="14" xfId="4" applyFont="1" applyFill="1" applyBorder="1" applyAlignment="1">
      <alignment vertical="center"/>
    </xf>
    <xf numFmtId="171" fontId="4" fillId="26" borderId="14" xfId="4" applyFont="1" applyFill="1" applyBorder="1" applyAlignment="1">
      <alignment vertical="center"/>
    </xf>
    <xf numFmtId="171" fontId="4" fillId="13" borderId="14" xfId="4" applyFont="1" applyFill="1" applyBorder="1" applyAlignment="1">
      <alignment vertical="center"/>
    </xf>
    <xf numFmtId="171" fontId="4" fillId="7" borderId="14" xfId="4" applyFont="1" applyFill="1" applyBorder="1" applyAlignment="1">
      <alignment vertical="center"/>
    </xf>
    <xf numFmtId="171" fontId="4" fillId="22" borderId="14" xfId="4" applyFont="1" applyFill="1" applyBorder="1" applyAlignment="1">
      <alignment vertical="center"/>
    </xf>
    <xf numFmtId="171" fontId="4" fillId="24" borderId="14" xfId="4" applyFont="1" applyFill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4" xfId="0" applyFont="1" applyFill="1" applyBorder="1" applyAlignment="1">
      <alignment vertical="center"/>
    </xf>
    <xf numFmtId="4" fontId="5" fillId="0" borderId="12" xfId="0" applyNumberFormat="1" applyFont="1" applyFill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 vertical="center"/>
    </xf>
    <xf numFmtId="4" fontId="15" fillId="0" borderId="12" xfId="4" applyNumberFormat="1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horizontal="left" vertical="center"/>
    </xf>
    <xf numFmtId="2" fontId="4" fillId="0" borderId="0" xfId="0" applyNumberFormat="1" applyFont="1" applyFill="1" applyAlignment="1">
      <alignment horizontal="center" vertical="center"/>
    </xf>
    <xf numFmtId="171" fontId="5" fillId="0" borderId="0" xfId="0" applyNumberFormat="1" applyFont="1" applyFill="1" applyAlignment="1">
      <alignment vertical="center"/>
    </xf>
    <xf numFmtId="43" fontId="4" fillId="0" borderId="0" xfId="0" applyNumberFormat="1" applyFont="1" applyFill="1" applyBorder="1" applyAlignment="1">
      <alignment vertical="center"/>
    </xf>
    <xf numFmtId="49" fontId="7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171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" fontId="7" fillId="0" borderId="0" xfId="0" applyNumberFormat="1" applyFont="1" applyFill="1" applyAlignment="1">
      <alignment horizontal="center" vertical="center"/>
    </xf>
    <xf numFmtId="2" fontId="4" fillId="0" borderId="2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2" fontId="4" fillId="0" borderId="15" xfId="0" applyNumberFormat="1" applyFont="1" applyFill="1" applyBorder="1" applyAlignment="1">
      <alignment vertical="center"/>
    </xf>
    <xf numFmtId="4" fontId="16" fillId="0" borderId="0" xfId="0" applyNumberFormat="1" applyFont="1" applyFill="1" applyAlignment="1">
      <alignment horizontal="center"/>
    </xf>
    <xf numFmtId="171" fontId="2" fillId="0" borderId="16" xfId="0" applyNumberFormat="1" applyFont="1" applyFill="1" applyBorder="1" applyAlignment="1">
      <alignment vertical="center"/>
    </xf>
    <xf numFmtId="171" fontId="4" fillId="0" borderId="4" xfId="4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horizontal="right"/>
    </xf>
    <xf numFmtId="171" fontId="4" fillId="0" borderId="17" xfId="4" applyFont="1" applyFill="1" applyBorder="1" applyAlignment="1">
      <alignment vertical="center"/>
    </xf>
    <xf numFmtId="171" fontId="4" fillId="0" borderId="18" xfId="4" applyFont="1" applyFill="1" applyBorder="1" applyAlignment="1">
      <alignment vertical="center"/>
    </xf>
    <xf numFmtId="171" fontId="2" fillId="0" borderId="19" xfId="0" applyNumberFormat="1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43" fontId="4" fillId="0" borderId="0" xfId="0" applyNumberFormat="1" applyFont="1" applyFill="1" applyAlignment="1">
      <alignment vertical="center"/>
    </xf>
    <xf numFmtId="0" fontId="4" fillId="0" borderId="1" xfId="0" applyFont="1" applyBorder="1" applyAlignment="1">
      <alignment vertical="center"/>
    </xf>
    <xf numFmtId="171" fontId="4" fillId="0" borderId="2" xfId="0" applyNumberFormat="1" applyFont="1" applyBorder="1" applyAlignment="1">
      <alignment vertical="center"/>
    </xf>
    <xf numFmtId="1" fontId="0" fillId="0" borderId="0" xfId="0" applyNumberFormat="1" applyFill="1"/>
    <xf numFmtId="2" fontId="4" fillId="2" borderId="2" xfId="4" applyNumberFormat="1" applyFont="1" applyFill="1" applyBorder="1" applyAlignment="1">
      <alignment horizontal="right" vertical="center"/>
    </xf>
    <xf numFmtId="171" fontId="7" fillId="0" borderId="2" xfId="4" applyFont="1" applyFill="1" applyBorder="1" applyAlignment="1">
      <alignment horizontal="center" vertical="center" wrapText="1"/>
    </xf>
    <xf numFmtId="171" fontId="7" fillId="25" borderId="11" xfId="4" applyFont="1" applyFill="1" applyBorder="1" applyAlignment="1">
      <alignment vertical="center" wrapText="1"/>
    </xf>
    <xf numFmtId="171" fontId="7" fillId="25" borderId="13" xfId="4" applyFont="1" applyFill="1" applyBorder="1" applyAlignment="1">
      <alignment vertical="center" wrapText="1"/>
    </xf>
    <xf numFmtId="171" fontId="7" fillId="25" borderId="20" xfId="4" applyFont="1" applyFill="1" applyBorder="1" applyAlignment="1">
      <alignment vertical="center" wrapText="1"/>
    </xf>
    <xf numFmtId="171" fontId="7" fillId="25" borderId="14" xfId="4" applyFont="1" applyFill="1" applyBorder="1" applyAlignment="1">
      <alignment vertical="center" wrapText="1"/>
    </xf>
    <xf numFmtId="171" fontId="7" fillId="25" borderId="16" xfId="4" applyFont="1" applyFill="1" applyBorder="1" applyAlignment="1">
      <alignment vertical="center" wrapText="1"/>
    </xf>
    <xf numFmtId="1" fontId="2" fillId="25" borderId="2" xfId="4" applyNumberFormat="1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171" fontId="2" fillId="0" borderId="21" xfId="0" applyNumberFormat="1" applyFont="1" applyFill="1" applyBorder="1" applyAlignment="1">
      <alignment vertical="center"/>
    </xf>
    <xf numFmtId="171" fontId="4" fillId="0" borderId="0" xfId="0" applyNumberFormat="1" applyFont="1" applyFill="1" applyBorder="1" applyAlignment="1">
      <alignment vertical="center"/>
    </xf>
    <xf numFmtId="4" fontId="8" fillId="0" borderId="15" xfId="1" applyNumberFormat="1" applyFont="1" applyFill="1" applyBorder="1" applyAlignment="1">
      <alignment horizontal="center" vertical="center" wrapText="1"/>
    </xf>
    <xf numFmtId="204" fontId="4" fillId="0" borderId="0" xfId="0" applyNumberFormat="1" applyFont="1" applyFill="1" applyAlignment="1">
      <alignment horizontal="center" vertical="center"/>
    </xf>
    <xf numFmtId="171" fontId="4" fillId="0" borderId="2" xfId="5" applyFont="1" applyFill="1" applyBorder="1" applyAlignment="1">
      <alignment vertical="center"/>
    </xf>
    <xf numFmtId="4" fontId="8" fillId="0" borderId="18" xfId="1" applyNumberFormat="1" applyFont="1" applyFill="1" applyBorder="1" applyAlignment="1">
      <alignment horizontal="center" vertical="center" wrapText="1"/>
    </xf>
    <xf numFmtId="4" fontId="8" fillId="4" borderId="2" xfId="1" applyNumberFormat="1" applyFont="1" applyFill="1" applyBorder="1" applyAlignment="1">
      <alignment horizontal="center" vertical="center" wrapText="1"/>
    </xf>
    <xf numFmtId="4" fontId="8" fillId="4" borderId="5" xfId="1" applyNumberFormat="1" applyFont="1" applyFill="1" applyBorder="1" applyAlignment="1">
      <alignment horizontal="center" vertical="center" wrapText="1"/>
    </xf>
    <xf numFmtId="4" fontId="8" fillId="4" borderId="22" xfId="1" applyNumberFormat="1" applyFont="1" applyFill="1" applyBorder="1" applyAlignment="1">
      <alignment horizontal="center" vertical="center" wrapText="1"/>
    </xf>
    <xf numFmtId="4" fontId="8" fillId="4" borderId="9" xfId="1" applyNumberFormat="1" applyFont="1" applyFill="1" applyBorder="1" applyAlignment="1">
      <alignment horizontal="center" vertical="center" wrapText="1"/>
    </xf>
    <xf numFmtId="4" fontId="8" fillId="4" borderId="23" xfId="1" applyNumberFormat="1" applyFont="1" applyFill="1" applyBorder="1" applyAlignment="1">
      <alignment horizontal="center" vertical="center" wrapText="1"/>
    </xf>
    <xf numFmtId="4" fontId="8" fillId="4" borderId="24" xfId="1" applyNumberFormat="1" applyFont="1" applyFill="1" applyBorder="1" applyAlignment="1">
      <alignment horizontal="center" vertical="center" wrapText="1"/>
    </xf>
    <xf numFmtId="4" fontId="8" fillId="4" borderId="25" xfId="1" applyNumberFormat="1" applyFont="1" applyFill="1" applyBorder="1" applyAlignment="1">
      <alignment horizontal="center" vertical="center" wrapText="1"/>
    </xf>
    <xf numFmtId="4" fontId="8" fillId="4" borderId="26" xfId="1" applyNumberFormat="1" applyFont="1" applyFill="1" applyBorder="1" applyAlignment="1">
      <alignment horizontal="center" vertical="center" wrapText="1"/>
    </xf>
    <xf numFmtId="4" fontId="8" fillId="4" borderId="27" xfId="1" applyNumberFormat="1" applyFont="1" applyFill="1" applyBorder="1" applyAlignment="1">
      <alignment horizontal="center" vertical="center" wrapText="1"/>
    </xf>
    <xf numFmtId="4" fontId="8" fillId="4" borderId="28" xfId="1" applyNumberFormat="1" applyFont="1" applyFill="1" applyBorder="1" applyAlignment="1">
      <alignment horizontal="center" vertical="center" wrapText="1"/>
    </xf>
    <xf numFmtId="171" fontId="2" fillId="0" borderId="17" xfId="4" applyFont="1" applyFill="1" applyBorder="1" applyAlignment="1">
      <alignment vertical="center"/>
    </xf>
    <xf numFmtId="209" fontId="4" fillId="0" borderId="0" xfId="0" applyNumberFormat="1" applyFont="1" applyFill="1" applyAlignment="1">
      <alignment horizontal="center" vertical="center"/>
    </xf>
    <xf numFmtId="4" fontId="8" fillId="0" borderId="15" xfId="1" applyNumberFormat="1" applyFont="1" applyFill="1" applyBorder="1" applyAlignment="1">
      <alignment vertical="center" wrapText="1"/>
    </xf>
    <xf numFmtId="171" fontId="2" fillId="0" borderId="0" xfId="4" applyFont="1" applyFill="1" applyBorder="1" applyAlignment="1">
      <alignment vertical="center"/>
    </xf>
    <xf numFmtId="0" fontId="15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vertical="center"/>
    </xf>
    <xf numFmtId="0" fontId="14" fillId="0" borderId="0" xfId="0" applyNumberFormat="1" applyFont="1" applyFill="1"/>
    <xf numFmtId="0" fontId="1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vertical="center"/>
    </xf>
    <xf numFmtId="0" fontId="2" fillId="0" borderId="29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3" fontId="2" fillId="25" borderId="2" xfId="0" applyNumberFormat="1" applyFont="1" applyFill="1" applyBorder="1" applyAlignment="1">
      <alignment vertical="center" wrapText="1"/>
    </xf>
    <xf numFmtId="171" fontId="4" fillId="0" borderId="2" xfId="0" applyNumberFormat="1" applyFont="1" applyFill="1" applyBorder="1" applyAlignment="1">
      <alignment vertical="center"/>
    </xf>
    <xf numFmtId="171" fontId="2" fillId="25" borderId="16" xfId="0" applyNumberFormat="1" applyFont="1" applyFill="1" applyBorder="1" applyAlignment="1">
      <alignment vertical="center"/>
    </xf>
    <xf numFmtId="171" fontId="2" fillId="25" borderId="30" xfId="0" applyNumberFormat="1" applyFont="1" applyFill="1" applyBorder="1" applyAlignment="1">
      <alignment vertical="center"/>
    </xf>
    <xf numFmtId="2" fontId="4" fillId="0" borderId="0" xfId="0" applyNumberFormat="1" applyFont="1" applyFill="1"/>
    <xf numFmtId="0" fontId="2" fillId="0" borderId="5" xfId="0" applyFont="1" applyFill="1" applyBorder="1" applyAlignment="1">
      <alignment horizontal="center" vertical="center" wrapText="1"/>
    </xf>
    <xf numFmtId="171" fontId="7" fillId="25" borderId="4" xfId="4" applyFont="1" applyFill="1" applyBorder="1" applyAlignment="1">
      <alignment vertical="center" wrapText="1"/>
    </xf>
    <xf numFmtId="171" fontId="4" fillId="0" borderId="4" xfId="0" applyNumberFormat="1" applyFont="1" applyBorder="1" applyAlignment="1">
      <alignment vertical="center"/>
    </xf>
    <xf numFmtId="4" fontId="17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vertical="center"/>
    </xf>
    <xf numFmtId="4" fontId="17" fillId="0" borderId="0" xfId="0" applyNumberFormat="1" applyFont="1" applyFill="1" applyAlignment="1">
      <alignment horizontal="left" vertical="center"/>
    </xf>
    <xf numFmtId="4" fontId="17" fillId="0" borderId="0" xfId="4" applyNumberFormat="1" applyFont="1" applyFill="1" applyAlignment="1">
      <alignment vertical="center"/>
    </xf>
    <xf numFmtId="4" fontId="17" fillId="0" borderId="0" xfId="0" applyNumberFormat="1" applyFont="1" applyAlignment="1">
      <alignment vertical="center"/>
    </xf>
    <xf numFmtId="4" fontId="17" fillId="0" borderId="0" xfId="0" applyNumberFormat="1" applyFont="1" applyFill="1"/>
    <xf numFmtId="4" fontId="17" fillId="0" borderId="2" xfId="0" applyNumberFormat="1" applyFont="1" applyFill="1" applyBorder="1"/>
    <xf numFmtId="0" fontId="4" fillId="0" borderId="2" xfId="0" applyFont="1" applyFill="1" applyBorder="1" applyAlignment="1">
      <alignment horizontal="center" vertical="center" wrapText="1"/>
    </xf>
    <xf numFmtId="171" fontId="4" fillId="0" borderId="2" xfId="0" applyNumberFormat="1" applyFont="1" applyFill="1" applyBorder="1" applyAlignment="1">
      <alignment horizontal="center" vertical="center" wrapText="1"/>
    </xf>
    <xf numFmtId="4" fontId="8" fillId="6" borderId="31" xfId="1" applyNumberFormat="1" applyFont="1" applyFill="1" applyBorder="1" applyAlignment="1">
      <alignment horizontal="center" vertical="center" wrapText="1"/>
    </xf>
    <xf numFmtId="4" fontId="8" fillId="6" borderId="32" xfId="1" applyNumberFormat="1" applyFont="1" applyFill="1" applyBorder="1" applyAlignment="1">
      <alignment horizontal="center" vertical="center" wrapText="1"/>
    </xf>
    <xf numFmtId="0" fontId="2" fillId="6" borderId="33" xfId="0" applyFont="1" applyFill="1" applyBorder="1" applyAlignment="1">
      <alignment horizontal="center" vertical="center" wrapText="1"/>
    </xf>
    <xf numFmtId="0" fontId="2" fillId="6" borderId="34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35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36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/>
    </xf>
    <xf numFmtId="49" fontId="4" fillId="0" borderId="2" xfId="1" applyNumberFormat="1" applyFont="1" applyFill="1" applyBorder="1" applyAlignment="1"/>
    <xf numFmtId="49" fontId="4" fillId="0" borderId="2" xfId="0" applyNumberFormat="1" applyFont="1" applyFill="1" applyBorder="1" applyAlignment="1">
      <alignment vertical="center"/>
    </xf>
    <xf numFmtId="49" fontId="20" fillId="0" borderId="2" xfId="1" applyNumberFormat="1" applyFont="1" applyFill="1" applyBorder="1" applyAlignment="1"/>
    <xf numFmtId="4" fontId="5" fillId="0" borderId="0" xfId="0" applyNumberFormat="1" applyFont="1" applyFill="1" applyAlignment="1">
      <alignment horizontal="left" vertical="center"/>
    </xf>
    <xf numFmtId="4" fontId="19" fillId="2" borderId="2" xfId="1" applyNumberFormat="1" applyFont="1" applyFill="1" applyBorder="1" applyAlignment="1">
      <alignment vertical="center" wrapText="1"/>
    </xf>
    <xf numFmtId="2" fontId="4" fillId="2" borderId="2" xfId="4" applyNumberFormat="1" applyFont="1" applyFill="1" applyBorder="1" applyAlignment="1">
      <alignment vertical="center"/>
    </xf>
    <xf numFmtId="171" fontId="2" fillId="2" borderId="2" xfId="4" applyFont="1" applyFill="1" applyBorder="1" applyAlignment="1">
      <alignment vertical="center"/>
    </xf>
    <xf numFmtId="0" fontId="4" fillId="0" borderId="15" xfId="0" applyFont="1" applyFill="1" applyBorder="1" applyAlignment="1">
      <alignment vertical="center"/>
    </xf>
    <xf numFmtId="0" fontId="4" fillId="0" borderId="37" xfId="0" applyFont="1" applyFill="1" applyBorder="1" applyAlignment="1">
      <alignment vertical="center"/>
    </xf>
    <xf numFmtId="4" fontId="8" fillId="25" borderId="31" xfId="1" applyNumberFormat="1" applyFont="1" applyFill="1" applyBorder="1" applyAlignment="1">
      <alignment horizontal="center" vertical="center" wrapText="1"/>
    </xf>
    <xf numFmtId="4" fontId="8" fillId="25" borderId="32" xfId="1" applyNumberFormat="1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27" borderId="2" xfId="0" applyFont="1" applyFill="1" applyBorder="1" applyAlignment="1">
      <alignment vertical="center" wrapText="1"/>
    </xf>
    <xf numFmtId="49" fontId="2" fillId="27" borderId="2" xfId="0" applyNumberFormat="1" applyFont="1" applyFill="1" applyBorder="1" applyAlignment="1">
      <alignment vertical="center" wrapText="1"/>
    </xf>
    <xf numFmtId="0" fontId="2" fillId="25" borderId="1" xfId="0" applyFont="1" applyFill="1" applyBorder="1" applyAlignment="1">
      <alignment vertical="center" wrapText="1"/>
    </xf>
    <xf numFmtId="49" fontId="2" fillId="25" borderId="1" xfId="0" applyNumberFormat="1" applyFont="1" applyFill="1" applyBorder="1" applyAlignment="1">
      <alignment vertical="center" wrapText="1"/>
    </xf>
    <xf numFmtId="4" fontId="2" fillId="25" borderId="2" xfId="4" applyNumberFormat="1" applyFont="1" applyFill="1" applyBorder="1" applyAlignment="1">
      <alignment vertical="center"/>
    </xf>
    <xf numFmtId="2" fontId="4" fillId="0" borderId="2" xfId="5" applyNumberFormat="1" applyFont="1" applyFill="1" applyBorder="1" applyAlignment="1">
      <alignment horizontal="right" vertical="center"/>
    </xf>
    <xf numFmtId="4" fontId="19" fillId="2" borderId="10" xfId="1" applyNumberFormat="1" applyFont="1" applyFill="1" applyBorder="1" applyAlignment="1">
      <alignment horizontal="center" vertical="center" wrapText="1"/>
    </xf>
    <xf numFmtId="4" fontId="8" fillId="2" borderId="0" xfId="1" applyNumberFormat="1" applyFont="1" applyFill="1" applyBorder="1" applyAlignment="1">
      <alignment horizontal="center" vertical="center" wrapText="1"/>
    </xf>
    <xf numFmtId="4" fontId="8" fillId="2" borderId="15" xfId="1" applyNumberFormat="1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center" vertical="center" wrapText="1"/>
    </xf>
    <xf numFmtId="0" fontId="2" fillId="6" borderId="38" xfId="0" applyFont="1" applyFill="1" applyBorder="1" applyAlignment="1">
      <alignment horizontal="center" vertical="center" wrapText="1"/>
    </xf>
    <xf numFmtId="171" fontId="8" fillId="0" borderId="4" xfId="4" applyFont="1" applyFill="1" applyBorder="1" applyAlignment="1">
      <alignment vertical="center" wrapText="1"/>
    </xf>
    <xf numFmtId="171" fontId="8" fillId="0" borderId="2" xfId="4" applyFont="1" applyFill="1" applyBorder="1" applyAlignment="1">
      <alignment vertical="center" wrapText="1"/>
    </xf>
    <xf numFmtId="171" fontId="17" fillId="0" borderId="2" xfId="4" applyFont="1" applyFill="1" applyBorder="1" applyAlignment="1">
      <alignment vertical="center" wrapText="1"/>
    </xf>
    <xf numFmtId="171" fontId="8" fillId="2" borderId="2" xfId="4" applyFont="1" applyFill="1" applyBorder="1" applyAlignment="1">
      <alignment vertical="center" wrapText="1"/>
    </xf>
    <xf numFmtId="1" fontId="4" fillId="0" borderId="5" xfId="0" applyNumberFormat="1" applyFont="1" applyBorder="1" applyAlignment="1">
      <alignment vertical="center"/>
    </xf>
    <xf numFmtId="1" fontId="4" fillId="0" borderId="3" xfId="0" applyNumberFormat="1" applyFont="1" applyBorder="1" applyAlignment="1">
      <alignment vertical="center"/>
    </xf>
    <xf numFmtId="2" fontId="2" fillId="25" borderId="5" xfId="4" applyNumberFormat="1" applyFont="1" applyFill="1" applyBorder="1" applyAlignment="1">
      <alignment vertical="center"/>
    </xf>
    <xf numFmtId="171" fontId="4" fillId="0" borderId="15" xfId="0" applyNumberFormat="1" applyFont="1" applyBorder="1" applyAlignment="1">
      <alignment vertical="center"/>
    </xf>
    <xf numFmtId="171" fontId="4" fillId="0" borderId="37" xfId="0" applyNumberFormat="1" applyFont="1" applyBorder="1" applyAlignment="1">
      <alignment vertical="center"/>
    </xf>
    <xf numFmtId="2" fontId="2" fillId="25" borderId="15" xfId="4" applyNumberFormat="1" applyFont="1" applyFill="1" applyBorder="1" applyAlignment="1">
      <alignment vertical="center"/>
    </xf>
    <xf numFmtId="171" fontId="8" fillId="0" borderId="0" xfId="4" applyFont="1" applyFill="1" applyBorder="1" applyAlignment="1">
      <alignment vertical="center" wrapText="1"/>
    </xf>
    <xf numFmtId="0" fontId="0" fillId="0" borderId="2" xfId="0" applyBorder="1" applyAlignment="1">
      <alignment horizontal="center"/>
    </xf>
    <xf numFmtId="2" fontId="4" fillId="2" borderId="2" xfId="0" applyNumberFormat="1" applyFont="1" applyFill="1" applyBorder="1" applyAlignment="1">
      <alignment vertical="center"/>
    </xf>
    <xf numFmtId="0" fontId="0" fillId="2" borderId="2" xfId="0" applyFill="1" applyBorder="1" applyAlignment="1">
      <alignment horizontal="center"/>
    </xf>
    <xf numFmtId="0" fontId="4" fillId="2" borderId="2" xfId="0" applyNumberFormat="1" applyFont="1" applyFill="1" applyBorder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4" fontId="8" fillId="0" borderId="5" xfId="1" applyNumberFormat="1" applyFont="1" applyFill="1" applyBorder="1" applyAlignment="1">
      <alignment horizontal="center" vertical="center" wrapText="1"/>
    </xf>
    <xf numFmtId="4" fontId="8" fillId="0" borderId="18" xfId="1" applyNumberFormat="1" applyFont="1" applyFill="1" applyBorder="1" applyAlignment="1">
      <alignment horizontal="center" vertical="center" wrapText="1"/>
    </xf>
    <xf numFmtId="4" fontId="8" fillId="0" borderId="15" xfId="1" applyNumberFormat="1" applyFont="1" applyFill="1" applyBorder="1" applyAlignment="1">
      <alignment horizontal="center" vertical="center" wrapText="1"/>
    </xf>
    <xf numFmtId="171" fontId="7" fillId="0" borderId="27" xfId="4" applyFont="1" applyBorder="1" applyAlignment="1">
      <alignment horizontal="center" vertical="center" wrapText="1"/>
    </xf>
    <xf numFmtId="171" fontId="7" fillId="0" borderId="39" xfId="4" applyFont="1" applyBorder="1" applyAlignment="1">
      <alignment horizontal="center" vertical="center" wrapText="1"/>
    </xf>
    <xf numFmtId="4" fontId="19" fillId="2" borderId="3" xfId="1" applyNumberFormat="1" applyFont="1" applyFill="1" applyBorder="1" applyAlignment="1">
      <alignment horizontal="center" vertical="center" wrapText="1"/>
    </xf>
    <xf numFmtId="4" fontId="19" fillId="2" borderId="10" xfId="1" applyNumberFormat="1" applyFont="1" applyFill="1" applyBorder="1" applyAlignment="1">
      <alignment horizontal="center" vertical="center" wrapText="1"/>
    </xf>
    <xf numFmtId="4" fontId="19" fillId="2" borderId="37" xfId="1" applyNumberFormat="1" applyFont="1" applyFill="1" applyBorder="1" applyAlignment="1">
      <alignment horizontal="center" vertical="center" wrapText="1"/>
    </xf>
    <xf numFmtId="171" fontId="7" fillId="0" borderId="2" xfId="4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171" fontId="7" fillId="0" borderId="1" xfId="4" applyFont="1" applyBorder="1" applyAlignment="1">
      <alignment horizontal="center" vertical="center" textRotation="90" wrapText="1"/>
    </xf>
    <xf numFmtId="171" fontId="7" fillId="0" borderId="4" xfId="4" applyFont="1" applyBorder="1" applyAlignment="1">
      <alignment horizontal="center" vertical="center" textRotation="90" wrapText="1"/>
    </xf>
    <xf numFmtId="4" fontId="19" fillId="0" borderId="3" xfId="1" applyNumberFormat="1" applyFont="1" applyFill="1" applyBorder="1" applyAlignment="1">
      <alignment horizontal="center" vertical="center" wrapText="1"/>
    </xf>
    <xf numFmtId="4" fontId="19" fillId="0" borderId="10" xfId="1" applyNumberFormat="1" applyFont="1" applyFill="1" applyBorder="1" applyAlignment="1">
      <alignment horizontal="center" vertical="center" wrapText="1"/>
    </xf>
    <xf numFmtId="4" fontId="19" fillId="0" borderId="37" xfId="1" applyNumberFormat="1" applyFont="1" applyFill="1" applyBorder="1" applyAlignment="1">
      <alignment horizontal="center" vertical="center" wrapText="1"/>
    </xf>
    <xf numFmtId="171" fontId="7" fillId="0" borderId="1" xfId="4" applyFont="1" applyBorder="1" applyAlignment="1">
      <alignment horizontal="center" vertical="center" wrapText="1"/>
    </xf>
    <xf numFmtId="171" fontId="7" fillId="0" borderId="4" xfId="4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" fontId="8" fillId="0" borderId="2" xfId="1" applyNumberFormat="1" applyFont="1" applyFill="1" applyBorder="1" applyAlignment="1">
      <alignment horizontal="center" vertical="center" wrapText="1"/>
    </xf>
    <xf numFmtId="171" fontId="7" fillId="2" borderId="1" xfId="4" applyFont="1" applyFill="1" applyBorder="1" applyAlignment="1">
      <alignment horizontal="center" vertical="center" textRotation="90" wrapText="1"/>
    </xf>
    <xf numFmtId="171" fontId="7" fillId="2" borderId="4" xfId="4" applyFont="1" applyFill="1" applyBorder="1" applyAlignment="1">
      <alignment horizontal="center" vertical="center" textRotation="90" wrapText="1"/>
    </xf>
    <xf numFmtId="171" fontId="7" fillId="4" borderId="1" xfId="4" applyFont="1" applyFill="1" applyBorder="1" applyAlignment="1">
      <alignment horizontal="center" vertical="center" textRotation="90" wrapText="1"/>
    </xf>
    <xf numFmtId="171" fontId="7" fillId="4" borderId="4" xfId="4" applyFont="1" applyFill="1" applyBorder="1" applyAlignment="1">
      <alignment horizontal="center" vertical="center" textRotation="90" wrapText="1"/>
    </xf>
    <xf numFmtId="171" fontId="7" fillId="0" borderId="5" xfId="4" applyFont="1" applyBorder="1" applyAlignment="1">
      <alignment horizontal="center" vertical="center" wrapText="1"/>
    </xf>
    <xf numFmtId="171" fontId="7" fillId="0" borderId="15" xfId="4" applyFont="1" applyBorder="1" applyAlignment="1">
      <alignment horizontal="center" vertical="center" wrapText="1"/>
    </xf>
    <xf numFmtId="171" fontId="7" fillId="0" borderId="1" xfId="4" applyFont="1" applyBorder="1" applyAlignment="1">
      <alignment horizontal="center" vertical="top" wrapText="1"/>
    </xf>
    <xf numFmtId="171" fontId="7" fillId="0" borderId="4" xfId="4" applyFont="1" applyBorder="1" applyAlignment="1">
      <alignment horizontal="center" vertical="top" wrapText="1"/>
    </xf>
    <xf numFmtId="0" fontId="10" fillId="0" borderId="4" xfId="0" applyFont="1" applyBorder="1"/>
    <xf numFmtId="171" fontId="7" fillId="2" borderId="1" xfId="4" applyFont="1" applyFill="1" applyBorder="1" applyAlignment="1">
      <alignment horizontal="center" vertical="top" wrapText="1"/>
    </xf>
    <xf numFmtId="171" fontId="7" fillId="2" borderId="4" xfId="4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49" fontId="7" fillId="0" borderId="18" xfId="0" applyNumberFormat="1" applyFont="1" applyFill="1" applyBorder="1" applyAlignment="1">
      <alignment horizontal="center" vertical="center" wrapText="1"/>
    </xf>
    <xf numFmtId="49" fontId="7" fillId="0" borderId="15" xfId="0" applyNumberFormat="1" applyFont="1" applyFill="1" applyBorder="1" applyAlignment="1">
      <alignment horizontal="center" vertical="center" wrapText="1"/>
    </xf>
    <xf numFmtId="49" fontId="7" fillId="12" borderId="5" xfId="0" applyNumberFormat="1" applyFont="1" applyFill="1" applyBorder="1" applyAlignment="1">
      <alignment horizontal="center" vertical="center" wrapText="1"/>
    </xf>
    <xf numFmtId="49" fontId="7" fillId="12" borderId="18" xfId="0" applyNumberFormat="1" applyFont="1" applyFill="1" applyBorder="1" applyAlignment="1">
      <alignment horizontal="center" vertical="center" wrapText="1"/>
    </xf>
    <xf numFmtId="171" fontId="7" fillId="12" borderId="3" xfId="4" applyFont="1" applyFill="1" applyBorder="1" applyAlignment="1">
      <alignment horizontal="center" vertical="center" textRotation="90" wrapText="1"/>
    </xf>
    <xf numFmtId="171" fontId="7" fillId="12" borderId="10" xfId="4" applyFont="1" applyFill="1" applyBorder="1" applyAlignment="1">
      <alignment horizontal="center" vertical="center" textRotation="90" wrapText="1"/>
    </xf>
    <xf numFmtId="171" fontId="7" fillId="12" borderId="37" xfId="4" applyFont="1" applyFill="1" applyBorder="1" applyAlignment="1">
      <alignment horizontal="center" vertical="center" textRotation="90" wrapText="1"/>
    </xf>
    <xf numFmtId="171" fontId="7" fillId="0" borderId="3" xfId="4" applyFont="1" applyBorder="1" applyAlignment="1">
      <alignment horizontal="center" vertical="center" wrapText="1"/>
    </xf>
    <xf numFmtId="171" fontId="7" fillId="0" borderId="10" xfId="4" applyFont="1" applyBorder="1" applyAlignment="1">
      <alignment horizontal="center" vertical="center" wrapText="1"/>
    </xf>
    <xf numFmtId="171" fontId="7" fillId="0" borderId="37" xfId="4" applyFont="1" applyBorder="1" applyAlignment="1">
      <alignment horizontal="center" vertical="center" wrapText="1"/>
    </xf>
    <xf numFmtId="0" fontId="2" fillId="6" borderId="41" xfId="0" applyFont="1" applyFill="1" applyBorder="1" applyAlignment="1">
      <alignment horizontal="center" vertical="center" wrapText="1"/>
    </xf>
    <xf numFmtId="0" fontId="2" fillId="25" borderId="5" xfId="0" applyFont="1" applyFill="1" applyBorder="1" applyAlignment="1">
      <alignment horizontal="center" vertical="center" wrapText="1"/>
    </xf>
    <xf numFmtId="0" fontId="2" fillId="25" borderId="18" xfId="0" applyFont="1" applyFill="1" applyBorder="1" applyAlignment="1">
      <alignment horizontal="center" vertical="center" wrapText="1"/>
    </xf>
    <xf numFmtId="0" fontId="2" fillId="25" borderId="15" xfId="0" applyFont="1" applyFill="1" applyBorder="1" applyAlignment="1">
      <alignment horizontal="center" vertical="center" wrapText="1"/>
    </xf>
    <xf numFmtId="4" fontId="14" fillId="0" borderId="10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vertical="center"/>
    </xf>
    <xf numFmtId="0" fontId="2" fillId="0" borderId="19" xfId="0" applyNumberFormat="1" applyFont="1" applyFill="1" applyBorder="1" applyAlignment="1">
      <alignment horizontal="center" vertical="center"/>
    </xf>
    <xf numFmtId="0" fontId="2" fillId="0" borderId="46" xfId="0" applyNumberFormat="1" applyFont="1" applyFill="1" applyBorder="1" applyAlignment="1">
      <alignment horizontal="center" vertical="center"/>
    </xf>
    <xf numFmtId="4" fontId="8" fillId="6" borderId="2" xfId="1" applyNumberFormat="1" applyFont="1" applyFill="1" applyBorder="1" applyAlignment="1">
      <alignment horizontal="center" vertical="center" wrapText="1"/>
    </xf>
    <xf numFmtId="0" fontId="2" fillId="6" borderId="49" xfId="0" applyFont="1" applyFill="1" applyBorder="1" applyAlignment="1">
      <alignment horizontal="center" vertical="center" wrapText="1"/>
    </xf>
    <xf numFmtId="0" fontId="2" fillId="6" borderId="50" xfId="0" applyFont="1" applyFill="1" applyBorder="1" applyAlignment="1">
      <alignment horizontal="center" vertical="center" wrapText="1"/>
    </xf>
    <xf numFmtId="0" fontId="2" fillId="6" borderId="51" xfId="0" applyFont="1" applyFill="1" applyBorder="1" applyAlignment="1">
      <alignment horizontal="center" vertical="center" wrapText="1"/>
    </xf>
    <xf numFmtId="0" fontId="2" fillId="6" borderId="38" xfId="0" applyFont="1" applyFill="1" applyBorder="1" applyAlignment="1">
      <alignment horizontal="center" vertical="center" wrapText="1"/>
    </xf>
    <xf numFmtId="4" fontId="8" fillId="25" borderId="2" xfId="1" applyNumberFormat="1" applyFont="1" applyFill="1" applyBorder="1" applyAlignment="1">
      <alignment horizontal="center" vertical="center" wrapText="1"/>
    </xf>
    <xf numFmtId="0" fontId="2" fillId="27" borderId="2" xfId="0" applyFont="1" applyFill="1" applyBorder="1" applyAlignment="1">
      <alignment horizontal="center" vertical="center" wrapText="1"/>
    </xf>
    <xf numFmtId="4" fontId="21" fillId="25" borderId="19" xfId="1" applyNumberFormat="1" applyFont="1" applyFill="1" applyBorder="1" applyAlignment="1">
      <alignment horizontal="center" vertical="center" wrapText="1"/>
    </xf>
    <xf numFmtId="4" fontId="21" fillId="25" borderId="45" xfId="1" applyNumberFormat="1" applyFont="1" applyFill="1" applyBorder="1" applyAlignment="1">
      <alignment horizontal="center" vertical="center" wrapText="1"/>
    </xf>
    <xf numFmtId="4" fontId="21" fillId="25" borderId="46" xfId="1" applyNumberFormat="1" applyFont="1" applyFill="1" applyBorder="1" applyAlignment="1">
      <alignment horizontal="center" vertical="center" wrapText="1"/>
    </xf>
    <xf numFmtId="0" fontId="2" fillId="25" borderId="47" xfId="0" applyFont="1" applyFill="1" applyBorder="1" applyAlignment="1">
      <alignment horizontal="center" vertical="center" wrapText="1"/>
    </xf>
    <xf numFmtId="0" fontId="2" fillId="25" borderId="19" xfId="0" applyFont="1" applyFill="1" applyBorder="1" applyAlignment="1">
      <alignment horizontal="center" vertical="center" wrapText="1"/>
    </xf>
    <xf numFmtId="0" fontId="2" fillId="25" borderId="46" xfId="0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center" vertical="center" wrapText="1"/>
    </xf>
    <xf numFmtId="0" fontId="2" fillId="25" borderId="48" xfId="0" applyFont="1" applyFill="1" applyBorder="1" applyAlignment="1">
      <alignment horizontal="center" vertical="center" wrapText="1"/>
    </xf>
    <xf numFmtId="4" fontId="8" fillId="2" borderId="18" xfId="1" applyNumberFormat="1" applyFont="1" applyFill="1" applyBorder="1" applyAlignment="1">
      <alignment horizontal="center" vertical="center" wrapText="1"/>
    </xf>
    <xf numFmtId="4" fontId="8" fillId="2" borderId="15" xfId="1" applyNumberFormat="1" applyFont="1" applyFill="1" applyBorder="1" applyAlignment="1">
      <alignment horizontal="center" vertical="center" wrapText="1"/>
    </xf>
    <xf numFmtId="4" fontId="8" fillId="2" borderId="2" xfId="1" applyNumberFormat="1" applyFont="1" applyFill="1" applyBorder="1" applyAlignment="1">
      <alignment horizontal="center" vertical="center" wrapText="1"/>
    </xf>
    <xf numFmtId="4" fontId="8" fillId="4" borderId="40" xfId="1" applyNumberFormat="1" applyFont="1" applyFill="1" applyBorder="1" applyAlignment="1">
      <alignment horizontal="center" vertical="center" wrapText="1"/>
    </xf>
    <xf numFmtId="4" fontId="8" fillId="4" borderId="41" xfId="1" applyNumberFormat="1" applyFont="1" applyFill="1" applyBorder="1" applyAlignment="1">
      <alignment horizontal="center" vertical="center" wrapText="1"/>
    </xf>
    <xf numFmtId="4" fontId="8" fillId="4" borderId="42" xfId="1" applyNumberFormat="1" applyFont="1" applyFill="1" applyBorder="1" applyAlignment="1">
      <alignment horizontal="center" vertical="center" wrapText="1"/>
    </xf>
    <xf numFmtId="4" fontId="8" fillId="4" borderId="43" xfId="1" applyNumberFormat="1" applyFont="1" applyFill="1" applyBorder="1" applyAlignment="1">
      <alignment horizontal="center" vertical="center" wrapText="1"/>
    </xf>
    <xf numFmtId="4" fontId="8" fillId="4" borderId="44" xfId="1" applyNumberFormat="1" applyFont="1" applyFill="1" applyBorder="1" applyAlignment="1">
      <alignment horizontal="center" vertical="center" wrapText="1"/>
    </xf>
    <xf numFmtId="171" fontId="7" fillId="0" borderId="1" xfId="4" applyFont="1" applyFill="1" applyBorder="1" applyAlignment="1">
      <alignment horizontal="center" vertical="top" wrapText="1"/>
    </xf>
    <xf numFmtId="0" fontId="10" fillId="0" borderId="4" xfId="0" applyFont="1" applyFill="1" applyBorder="1"/>
    <xf numFmtId="49" fontId="7" fillId="0" borderId="2" xfId="0" applyNumberFormat="1" applyFont="1" applyFill="1" applyBorder="1" applyAlignment="1">
      <alignment horizontal="center" vertical="center" wrapText="1"/>
    </xf>
    <xf numFmtId="171" fontId="7" fillId="0" borderId="1" xfId="4" applyFont="1" applyFill="1" applyBorder="1" applyAlignment="1">
      <alignment horizontal="center" vertical="center" wrapText="1"/>
    </xf>
    <xf numFmtId="171" fontId="7" fillId="0" borderId="4" xfId="4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3" xfId="2"/>
    <cellStyle name="Стиль 1" xfId="3"/>
    <cellStyle name="Финансовый" xfId="4" builtinId="3"/>
    <cellStyle name="Финансовый 2" xf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7;&#1072;&#1090;&#1088;&#1072;&#1090;&#1099;%20&#1087;&#1086;&#1084;&#1077;&#1089;&#1103;&#1095;&#1085;&#1086;%20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Управление август"/>
      <sheetName val="Управление сентябрь"/>
      <sheetName val="Управление октябрь"/>
      <sheetName val="Управление ноябрь"/>
      <sheetName val="Управление декабрь"/>
      <sheetName val="Лист2"/>
      <sheetName val="Затраты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свод"/>
      <sheetName val="Декабрь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3">
          <cell r="GA33">
            <v>681831.8</v>
          </cell>
          <cell r="GB33">
            <v>52903.78</v>
          </cell>
        </row>
        <row r="317">
          <cell r="GA317">
            <v>48361576.619999997</v>
          </cell>
          <cell r="GB317">
            <v>5664853.5</v>
          </cell>
        </row>
      </sheetData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W340"/>
  <sheetViews>
    <sheetView topLeftCell="A5" zoomScale="110" zoomScaleNormal="110" workbookViewId="0">
      <pane xSplit="5" ySplit="2" topLeftCell="CM85" activePane="bottomRight" state="frozen"/>
      <selection activeCell="C107" sqref="C107"/>
      <selection pane="topRight" activeCell="C107" sqref="C107"/>
      <selection pane="bottomLeft" activeCell="C107" sqref="C107"/>
      <selection pane="bottomRight" activeCell="C107" sqref="C107"/>
    </sheetView>
  </sheetViews>
  <sheetFormatPr defaultRowHeight="12.75" x14ac:dyDescent="0.2"/>
  <cols>
    <col min="1" max="1" width="5.5703125" style="3" bestFit="1" customWidth="1"/>
    <col min="2" max="2" width="4.85546875" style="2" customWidth="1"/>
    <col min="3" max="3" width="8.7109375" style="3" bestFit="1" customWidth="1"/>
    <col min="4" max="4" width="19.85546875" style="12" customWidth="1"/>
    <col min="5" max="5" width="11.140625" style="3" bestFit="1" customWidth="1"/>
    <col min="6" max="6" width="9.7109375" style="3" customWidth="1"/>
    <col min="7" max="7" width="10.85546875" style="3" customWidth="1"/>
    <col min="8" max="8" width="9.5703125" style="3" customWidth="1"/>
    <col min="9" max="9" width="10.7109375" style="3" customWidth="1"/>
    <col min="10" max="10" width="10.7109375" style="3" bestFit="1" customWidth="1"/>
    <col min="11" max="11" width="20.42578125" style="3" customWidth="1"/>
    <col min="12" max="12" width="10.5703125" style="3" customWidth="1"/>
    <col min="13" max="13" width="15.42578125" style="104" customWidth="1"/>
    <col min="14" max="15" width="12.85546875" style="104" customWidth="1"/>
    <col min="16" max="16" width="15.42578125" style="3" customWidth="1"/>
    <col min="17" max="18" width="12.85546875" style="3" customWidth="1"/>
    <col min="19" max="19" width="10.140625" style="3" customWidth="1"/>
    <col min="20" max="20" width="10.7109375" style="3" customWidth="1"/>
    <col min="21" max="21" width="18.140625" style="5" customWidth="1"/>
    <col min="22" max="22" width="12.7109375" style="5" customWidth="1"/>
    <col min="23" max="23" width="11.140625" style="5" customWidth="1"/>
    <col min="24" max="24" width="9.42578125" style="5" customWidth="1"/>
    <col min="25" max="25" width="14.140625" style="5" customWidth="1"/>
    <col min="26" max="26" width="19.140625" style="5" customWidth="1"/>
    <col min="27" max="27" width="14.7109375" style="5" bestFit="1" customWidth="1"/>
    <col min="28" max="28" width="10.5703125" style="5" customWidth="1"/>
    <col min="29" max="29" width="11.42578125" style="5" bestFit="1" customWidth="1"/>
    <col min="30" max="30" width="19.140625" style="5" bestFit="1" customWidth="1"/>
    <col min="31" max="31" width="28.28515625" style="5" bestFit="1" customWidth="1"/>
    <col min="32" max="32" width="21.42578125" style="22" bestFit="1" customWidth="1"/>
    <col min="33" max="33" width="19.140625" style="24" bestFit="1" customWidth="1"/>
    <col min="34" max="34" width="21.42578125" style="5" bestFit="1" customWidth="1"/>
    <col min="35" max="35" width="11.28515625" style="28" bestFit="1" customWidth="1"/>
    <col min="36" max="36" width="7.7109375" style="22" bestFit="1" customWidth="1"/>
    <col min="37" max="37" width="13.7109375" style="5" bestFit="1" customWidth="1"/>
    <col min="38" max="38" width="13.42578125" style="5" bestFit="1" customWidth="1"/>
    <col min="39" max="39" width="28.28515625" style="5" bestFit="1" customWidth="1"/>
    <col min="40" max="40" width="8.28515625" style="28" bestFit="1" customWidth="1"/>
    <col min="41" max="41" width="11.28515625" style="28" bestFit="1" customWidth="1"/>
    <col min="42" max="42" width="6.5703125" style="28" bestFit="1" customWidth="1"/>
    <col min="43" max="43" width="10" style="24" bestFit="1" customWidth="1"/>
    <col min="44" max="45" width="26" style="5" bestFit="1" customWidth="1"/>
    <col min="46" max="46" width="12.28515625" style="5" bestFit="1" customWidth="1"/>
    <col min="47" max="47" width="7.7109375" style="5" bestFit="1" customWidth="1"/>
    <col min="48" max="48" width="19.140625" style="5" bestFit="1" customWidth="1"/>
    <col min="49" max="49" width="14.5703125" style="5" bestFit="1" customWidth="1"/>
    <col min="50" max="50" width="7.7109375" style="5" bestFit="1" customWidth="1"/>
    <col min="51" max="51" width="7.42578125" style="5" bestFit="1" customWidth="1"/>
    <col min="52" max="52" width="18.85546875" style="5" hidden="1" customWidth="1"/>
    <col min="53" max="53" width="13.7109375" style="5" hidden="1" customWidth="1"/>
    <col min="54" max="54" width="10.42578125" style="5" hidden="1" customWidth="1"/>
    <col min="55" max="55" width="9.140625" style="5" customWidth="1"/>
    <col min="56" max="56" width="9.140625" style="5" hidden="1" customWidth="1"/>
    <col min="57" max="57" width="13.7109375" style="5" hidden="1" customWidth="1"/>
    <col min="58" max="58" width="12" style="5" hidden="1" customWidth="1"/>
    <col min="59" max="59" width="14.28515625" style="5" customWidth="1"/>
    <col min="60" max="61" width="15.42578125" style="5" hidden="1" customWidth="1"/>
    <col min="62" max="62" width="15.42578125" style="22" hidden="1" customWidth="1"/>
    <col min="63" max="63" width="15.42578125" style="24" hidden="1" customWidth="1"/>
    <col min="64" max="64" width="15.42578125" style="5" hidden="1" customWidth="1"/>
    <col min="65" max="65" width="15.42578125" style="22" hidden="1" customWidth="1"/>
    <col min="66" max="68" width="15.42578125" style="5" hidden="1" customWidth="1"/>
    <col min="69" max="69" width="15.42578125" style="24" hidden="1" customWidth="1"/>
    <col min="70" max="76" width="15.42578125" style="5" hidden="1" customWidth="1"/>
    <col min="77" max="77" width="13.5703125" style="5" hidden="1" customWidth="1"/>
    <col min="78" max="78" width="9" style="5" hidden="1" customWidth="1"/>
    <col min="79" max="80" width="6.85546875" style="5" hidden="1" customWidth="1"/>
    <col min="81" max="82" width="6.85546875" style="28" hidden="1" customWidth="1"/>
    <col min="83" max="85" width="10.5703125" style="5" hidden="1" customWidth="1"/>
    <col min="86" max="86" width="12.7109375" style="5" hidden="1" customWidth="1"/>
    <col min="87" max="87" width="10.7109375" style="8" hidden="1" customWidth="1"/>
    <col min="88" max="88" width="7.28515625" style="8" hidden="1" customWidth="1"/>
    <col min="89" max="89" width="8.5703125" style="95" hidden="1" customWidth="1"/>
    <col min="90" max="90" width="12.42578125" style="95" hidden="1" customWidth="1"/>
    <col min="91" max="91" width="15.7109375" style="95" bestFit="1" customWidth="1"/>
    <col min="92" max="92" width="16.7109375" style="95" bestFit="1" customWidth="1"/>
    <col min="93" max="93" width="16.140625" style="95" bestFit="1" customWidth="1"/>
    <col min="94" max="94" width="16.42578125" style="95" bestFit="1" customWidth="1"/>
    <col min="95" max="95" width="17.140625" style="95" bestFit="1" customWidth="1"/>
    <col min="96" max="100" width="17.140625" style="95" customWidth="1"/>
    <col min="101" max="101" width="13" style="8" bestFit="1" customWidth="1"/>
    <col min="102" max="102" width="11.5703125" style="8" bestFit="1" customWidth="1"/>
    <col min="103" max="103" width="13.5703125" style="8" bestFit="1" customWidth="1"/>
    <col min="104" max="104" width="13.5703125" style="8" customWidth="1"/>
    <col min="105" max="105" width="13.5703125" style="8" hidden="1" customWidth="1"/>
    <col min="106" max="109" width="13.5703125" style="8" customWidth="1"/>
    <col min="110" max="110" width="11.7109375" style="8" bestFit="1" customWidth="1"/>
    <col min="111" max="112" width="11.7109375" style="8" customWidth="1"/>
    <col min="113" max="113" width="11.7109375" style="8" bestFit="1" customWidth="1"/>
    <col min="114" max="114" width="13.7109375" style="8" bestFit="1" customWidth="1"/>
    <col min="115" max="115" width="11.28515625" style="8" customWidth="1"/>
    <col min="116" max="116" width="10.42578125" style="8" customWidth="1"/>
    <col min="117" max="117" width="12.28515625" style="8" customWidth="1"/>
    <col min="118" max="118" width="11" style="8" customWidth="1"/>
    <col min="119" max="119" width="11" style="8" hidden="1" customWidth="1"/>
    <col min="120" max="120" width="14.42578125" style="8" bestFit="1" customWidth="1"/>
    <col min="121" max="121" width="14.42578125" style="8" customWidth="1"/>
    <col min="122" max="122" width="14.42578125" style="8" hidden="1" customWidth="1"/>
    <col min="123" max="123" width="11.7109375" style="8" customWidth="1"/>
    <col min="124" max="125" width="11.7109375" style="8" hidden="1" customWidth="1"/>
    <col min="126" max="126" width="13.140625" style="8" bestFit="1" customWidth="1"/>
    <col min="127" max="127" width="11.140625" style="8" customWidth="1"/>
    <col min="128" max="128" width="11.85546875" style="8" bestFit="1" customWidth="1"/>
    <col min="129" max="130" width="11.85546875" style="8" customWidth="1"/>
    <col min="131" max="131" width="12.85546875" style="8" bestFit="1" customWidth="1"/>
    <col min="132" max="132" width="11.85546875" style="8" customWidth="1"/>
    <col min="133" max="136" width="9.140625" style="8"/>
    <col min="137" max="140" width="16.5703125" style="8" customWidth="1"/>
    <col min="141" max="151" width="15.42578125" style="8" customWidth="1"/>
    <col min="152" max="152" width="15.5703125" style="28" customWidth="1"/>
    <col min="153" max="154" width="21.5703125" style="8" customWidth="1"/>
    <col min="155" max="16384" width="9.140625" style="8"/>
  </cols>
  <sheetData>
    <row r="1" spans="1:154" ht="12.75" hidden="1" customHeight="1" x14ac:dyDescent="0.2">
      <c r="CI1" s="6"/>
      <c r="CJ1" s="6"/>
      <c r="CK1" s="105"/>
      <c r="CL1" s="7" t="s">
        <v>379</v>
      </c>
      <c r="CM1" s="7"/>
      <c r="CN1" s="7"/>
      <c r="CO1" s="7"/>
      <c r="CP1" s="7"/>
      <c r="CQ1" s="7"/>
      <c r="CR1" s="7"/>
      <c r="CS1" s="7"/>
      <c r="CT1" s="7"/>
      <c r="CU1" s="7"/>
      <c r="CV1" s="7"/>
    </row>
    <row r="2" spans="1:154" ht="60.75" hidden="1" customHeight="1" x14ac:dyDescent="0.2">
      <c r="CI2" s="462" t="s">
        <v>380</v>
      </c>
      <c r="CJ2" s="462"/>
      <c r="CK2" s="462"/>
      <c r="CL2" s="462"/>
      <c r="CM2" s="242"/>
      <c r="CN2" s="242"/>
      <c r="CO2" s="242"/>
      <c r="CP2" s="242"/>
      <c r="CQ2" s="242"/>
      <c r="CR2" s="242"/>
      <c r="CS2" s="242"/>
      <c r="CT2" s="242"/>
      <c r="CU2" s="242"/>
      <c r="CV2" s="242"/>
    </row>
    <row r="3" spans="1:154" ht="12.75" hidden="1" customHeight="1" x14ac:dyDescent="0.2">
      <c r="CI3" s="462" t="s">
        <v>381</v>
      </c>
      <c r="CJ3" s="462"/>
      <c r="CK3" s="462"/>
      <c r="CL3" s="462"/>
      <c r="CM3" s="242"/>
      <c r="CN3" s="242"/>
      <c r="CO3" s="242"/>
      <c r="CP3" s="242"/>
      <c r="CQ3" s="242"/>
      <c r="CR3" s="242"/>
      <c r="CS3" s="242"/>
      <c r="CT3" s="242"/>
      <c r="CU3" s="242"/>
      <c r="CV3" s="242"/>
    </row>
    <row r="4" spans="1:154" ht="12.75" hidden="1" customHeight="1" x14ac:dyDescent="0.2">
      <c r="EG4" s="202"/>
      <c r="EH4" s="202"/>
      <c r="EI4" s="202"/>
      <c r="EJ4" s="202"/>
      <c r="EK4" s="202"/>
      <c r="EL4" s="202"/>
      <c r="EM4" s="202"/>
      <c r="EN4" s="202"/>
      <c r="EO4" s="202"/>
      <c r="EP4" s="202"/>
      <c r="EQ4" s="202"/>
      <c r="ER4" s="202"/>
      <c r="ES4" s="202"/>
      <c r="ET4" s="202"/>
      <c r="EU4" s="202"/>
    </row>
    <row r="5" spans="1:154" s="1" customFormat="1" ht="46.5" customHeight="1" thickBot="1" x14ac:dyDescent="0.25">
      <c r="A5" s="463" t="s">
        <v>4</v>
      </c>
      <c r="B5" s="463" t="s">
        <v>1</v>
      </c>
      <c r="C5" s="463"/>
      <c r="D5" s="463"/>
      <c r="E5" s="463"/>
      <c r="F5" s="33"/>
      <c r="G5" s="33"/>
      <c r="H5" s="33"/>
      <c r="I5" s="33"/>
      <c r="J5" s="33"/>
      <c r="K5" s="33"/>
      <c r="L5" s="33"/>
      <c r="M5" s="464" t="s">
        <v>801</v>
      </c>
      <c r="N5" s="465"/>
      <c r="O5" s="466"/>
      <c r="P5" s="467" t="s">
        <v>805</v>
      </c>
      <c r="Q5" s="468"/>
      <c r="R5" s="468"/>
      <c r="S5" s="468"/>
      <c r="T5" s="88" t="s">
        <v>806</v>
      </c>
      <c r="U5" s="469" t="s">
        <v>814</v>
      </c>
      <c r="V5" s="470"/>
      <c r="W5" s="470"/>
      <c r="X5" s="470"/>
      <c r="Y5" s="471"/>
      <c r="Z5" s="472" t="s">
        <v>704</v>
      </c>
      <c r="AA5" s="473"/>
      <c r="AB5" s="474"/>
      <c r="AC5" s="440" t="s">
        <v>825</v>
      </c>
      <c r="AD5" s="440" t="s">
        <v>703</v>
      </c>
      <c r="AE5" s="440" t="s">
        <v>707</v>
      </c>
      <c r="AF5" s="451" t="s">
        <v>708</v>
      </c>
      <c r="AG5" s="449" t="s">
        <v>710</v>
      </c>
      <c r="AH5" s="440" t="s">
        <v>711</v>
      </c>
      <c r="AI5" s="40"/>
      <c r="AJ5" s="451" t="s">
        <v>713</v>
      </c>
      <c r="AK5" s="453" t="s">
        <v>714</v>
      </c>
      <c r="AL5" s="454"/>
      <c r="AM5" s="440" t="s">
        <v>717</v>
      </c>
      <c r="AN5" s="40"/>
      <c r="AO5" s="40"/>
      <c r="AP5" s="40"/>
      <c r="AQ5" s="449" t="s">
        <v>718</v>
      </c>
      <c r="AR5" s="440" t="s">
        <v>719</v>
      </c>
      <c r="AS5" s="440" t="s">
        <v>720</v>
      </c>
      <c r="AT5" s="440" t="s">
        <v>721</v>
      </c>
      <c r="AU5" s="440" t="s">
        <v>693</v>
      </c>
      <c r="AV5" s="440" t="s">
        <v>724</v>
      </c>
      <c r="AW5" s="440" t="s">
        <v>725</v>
      </c>
      <c r="AX5" s="440" t="s">
        <v>694</v>
      </c>
      <c r="AY5" s="440" t="s">
        <v>726</v>
      </c>
      <c r="AZ5" s="436" t="s">
        <v>387</v>
      </c>
      <c r="BA5" s="436"/>
      <c r="BB5" s="455" t="s">
        <v>373</v>
      </c>
      <c r="BC5" s="455" t="s">
        <v>388</v>
      </c>
      <c r="BD5" s="38"/>
      <c r="BE5" s="38" t="s">
        <v>695</v>
      </c>
      <c r="BF5" s="458" t="s">
        <v>702</v>
      </c>
      <c r="BG5" s="445" t="s">
        <v>389</v>
      </c>
      <c r="BH5" s="440" t="s">
        <v>703</v>
      </c>
      <c r="BI5" s="440" t="s">
        <v>707</v>
      </c>
      <c r="BJ5" s="451" t="s">
        <v>708</v>
      </c>
      <c r="BK5" s="449" t="s">
        <v>710</v>
      </c>
      <c r="BL5" s="440" t="s">
        <v>711</v>
      </c>
      <c r="BM5" s="451" t="s">
        <v>713</v>
      </c>
      <c r="BN5" s="453" t="s">
        <v>714</v>
      </c>
      <c r="BO5" s="454"/>
      <c r="BP5" s="440" t="s">
        <v>717</v>
      </c>
      <c r="BQ5" s="449" t="s">
        <v>718</v>
      </c>
      <c r="BR5" s="440" t="s">
        <v>719</v>
      </c>
      <c r="BS5" s="440" t="s">
        <v>720</v>
      </c>
      <c r="BT5" s="440" t="s">
        <v>721</v>
      </c>
      <c r="BU5" s="440" t="s">
        <v>693</v>
      </c>
      <c r="BV5" s="440" t="s">
        <v>724</v>
      </c>
      <c r="BW5" s="440" t="s">
        <v>725</v>
      </c>
      <c r="BX5" s="440" t="s">
        <v>694</v>
      </c>
      <c r="BY5" s="440" t="s">
        <v>726</v>
      </c>
      <c r="BZ5" s="442" t="s">
        <v>728</v>
      </c>
      <c r="CA5" s="443"/>
      <c r="CB5" s="443"/>
      <c r="CC5" s="443"/>
      <c r="CD5" s="444"/>
      <c r="CE5" s="445" t="s">
        <v>374</v>
      </c>
      <c r="CF5" s="436" t="s">
        <v>809</v>
      </c>
      <c r="CG5" s="436" t="s">
        <v>375</v>
      </c>
      <c r="CH5" s="436" t="s">
        <v>376</v>
      </c>
      <c r="CI5" s="448" t="s">
        <v>709</v>
      </c>
      <c r="CJ5" s="448" t="s">
        <v>384</v>
      </c>
      <c r="CK5" s="448" t="s">
        <v>385</v>
      </c>
      <c r="CL5" s="448" t="s">
        <v>386</v>
      </c>
      <c r="CM5" s="448" t="s">
        <v>862</v>
      </c>
      <c r="CN5" s="448"/>
      <c r="CO5" s="448"/>
      <c r="CP5" s="448"/>
      <c r="CQ5" s="448"/>
      <c r="CR5" s="428" t="s">
        <v>867</v>
      </c>
      <c r="CS5" s="429"/>
      <c r="CT5" s="429"/>
      <c r="CU5" s="429"/>
      <c r="CV5" s="430"/>
      <c r="EG5" s="431" t="s">
        <v>868</v>
      </c>
      <c r="EH5" s="432"/>
      <c r="EI5" s="432"/>
      <c r="EJ5" s="432"/>
      <c r="EK5" s="433" t="s">
        <v>869</v>
      </c>
      <c r="EL5" s="434"/>
      <c r="EM5" s="434"/>
      <c r="EN5" s="435"/>
      <c r="EO5" s="436" t="s">
        <v>870</v>
      </c>
      <c r="EP5" s="436"/>
      <c r="EQ5" s="436"/>
      <c r="ER5" s="436"/>
      <c r="ES5" s="437" t="s">
        <v>859</v>
      </c>
      <c r="ET5" s="438"/>
      <c r="EU5" s="439"/>
      <c r="EV5" s="211"/>
      <c r="EW5" s="447" t="s">
        <v>845</v>
      </c>
      <c r="EX5" s="447"/>
    </row>
    <row r="6" spans="1:154" s="1" customFormat="1" ht="94.5" customHeight="1" x14ac:dyDescent="0.2">
      <c r="A6" s="463"/>
      <c r="B6" s="14" t="s">
        <v>0</v>
      </c>
      <c r="C6" s="14" t="s">
        <v>3</v>
      </c>
      <c r="D6" s="16"/>
      <c r="E6" s="14" t="s">
        <v>2</v>
      </c>
      <c r="F6" s="14" t="s">
        <v>747</v>
      </c>
      <c r="G6" s="14" t="s">
        <v>741</v>
      </c>
      <c r="H6" s="14" t="s">
        <v>743</v>
      </c>
      <c r="I6" s="14" t="s">
        <v>742</v>
      </c>
      <c r="J6" s="14" t="s">
        <v>858</v>
      </c>
      <c r="K6" s="14" t="s">
        <v>744</v>
      </c>
      <c r="L6" s="14" t="s">
        <v>745</v>
      </c>
      <c r="M6" s="106" t="s">
        <v>802</v>
      </c>
      <c r="N6" s="106" t="s">
        <v>803</v>
      </c>
      <c r="O6" s="106" t="s">
        <v>804</v>
      </c>
      <c r="P6" s="88" t="s">
        <v>802</v>
      </c>
      <c r="Q6" s="88" t="s">
        <v>803</v>
      </c>
      <c r="R6" s="88" t="s">
        <v>804</v>
      </c>
      <c r="S6" s="88" t="s">
        <v>695</v>
      </c>
      <c r="T6" s="88" t="s">
        <v>807</v>
      </c>
      <c r="U6" s="129" t="s">
        <v>729</v>
      </c>
      <c r="V6" s="129" t="s">
        <v>815</v>
      </c>
      <c r="W6" s="31" t="s">
        <v>731</v>
      </c>
      <c r="X6" s="31" t="s">
        <v>816</v>
      </c>
      <c r="Y6" s="129" t="s">
        <v>817</v>
      </c>
      <c r="Z6" s="15" t="s">
        <v>705</v>
      </c>
      <c r="AA6" s="15" t="s">
        <v>706</v>
      </c>
      <c r="AB6" s="15" t="s">
        <v>695</v>
      </c>
      <c r="AC6" s="441"/>
      <c r="AD6" s="441"/>
      <c r="AE6" s="441"/>
      <c r="AF6" s="452"/>
      <c r="AG6" s="450"/>
      <c r="AH6" s="441"/>
      <c r="AI6" s="41"/>
      <c r="AJ6" s="452" t="s">
        <v>712</v>
      </c>
      <c r="AK6" s="26" t="s">
        <v>715</v>
      </c>
      <c r="AL6" s="26" t="s">
        <v>716</v>
      </c>
      <c r="AM6" s="441"/>
      <c r="AN6" s="41"/>
      <c r="AO6" s="41"/>
      <c r="AP6" s="41"/>
      <c r="AQ6" s="450"/>
      <c r="AR6" s="441" t="s">
        <v>722</v>
      </c>
      <c r="AS6" s="441"/>
      <c r="AT6" s="441"/>
      <c r="AU6" s="441" t="s">
        <v>723</v>
      </c>
      <c r="AV6" s="441"/>
      <c r="AW6" s="441"/>
      <c r="AX6" s="441"/>
      <c r="AY6" s="441"/>
      <c r="AZ6" s="15" t="s">
        <v>377</v>
      </c>
      <c r="BA6" s="15" t="s">
        <v>378</v>
      </c>
      <c r="BB6" s="456"/>
      <c r="BC6" s="457"/>
      <c r="BD6" s="161" t="s">
        <v>822</v>
      </c>
      <c r="BE6" s="39" t="s">
        <v>793</v>
      </c>
      <c r="BF6" s="459"/>
      <c r="BG6" s="446"/>
      <c r="BH6" s="441"/>
      <c r="BI6" s="441"/>
      <c r="BJ6" s="452"/>
      <c r="BK6" s="450"/>
      <c r="BL6" s="441"/>
      <c r="BM6" s="452" t="s">
        <v>712</v>
      </c>
      <c r="BN6" s="26" t="s">
        <v>715</v>
      </c>
      <c r="BO6" s="26" t="s">
        <v>716</v>
      </c>
      <c r="BP6" s="441"/>
      <c r="BQ6" s="450"/>
      <c r="BR6" s="441" t="s">
        <v>722</v>
      </c>
      <c r="BS6" s="441"/>
      <c r="BT6" s="441"/>
      <c r="BU6" s="441" t="s">
        <v>723</v>
      </c>
      <c r="BV6" s="441"/>
      <c r="BW6" s="441"/>
      <c r="BX6" s="441"/>
      <c r="BY6" s="441"/>
      <c r="BZ6" s="31" t="s">
        <v>729</v>
      </c>
      <c r="CA6" s="31" t="s">
        <v>730</v>
      </c>
      <c r="CB6" s="31" t="s">
        <v>731</v>
      </c>
      <c r="CC6" s="31" t="s">
        <v>732</v>
      </c>
      <c r="CD6" s="32" t="s">
        <v>738</v>
      </c>
      <c r="CE6" s="446"/>
      <c r="CF6" s="436"/>
      <c r="CG6" s="436"/>
      <c r="CH6" s="436"/>
      <c r="CI6" s="448"/>
      <c r="CJ6" s="448"/>
      <c r="CK6" s="448"/>
      <c r="CL6" s="448"/>
      <c r="CM6" s="241" t="s">
        <v>861</v>
      </c>
      <c r="CN6" s="241" t="s">
        <v>863</v>
      </c>
      <c r="CO6" s="241" t="s">
        <v>865</v>
      </c>
      <c r="CP6" s="241" t="s">
        <v>866</v>
      </c>
      <c r="CQ6" s="241" t="s">
        <v>864</v>
      </c>
      <c r="CR6" s="241" t="s">
        <v>861</v>
      </c>
      <c r="CS6" s="241" t="s">
        <v>863</v>
      </c>
      <c r="CT6" s="241" t="s">
        <v>865</v>
      </c>
      <c r="CU6" s="241" t="s">
        <v>866</v>
      </c>
      <c r="CV6" s="241" t="s">
        <v>864</v>
      </c>
      <c r="CW6" s="197" t="s">
        <v>835</v>
      </c>
      <c r="CX6" s="197" t="s">
        <v>836</v>
      </c>
      <c r="CY6" s="197" t="s">
        <v>874</v>
      </c>
      <c r="CZ6" s="197" t="s">
        <v>885</v>
      </c>
      <c r="DA6" s="197" t="s">
        <v>886</v>
      </c>
      <c r="DB6" s="197" t="s">
        <v>878</v>
      </c>
      <c r="DC6" s="253" t="s">
        <v>880</v>
      </c>
      <c r="DD6" s="197" t="s">
        <v>881</v>
      </c>
      <c r="DE6" s="197" t="s">
        <v>882</v>
      </c>
      <c r="DF6" s="197" t="s">
        <v>837</v>
      </c>
      <c r="DG6" s="197" t="s">
        <v>876</v>
      </c>
      <c r="DH6" s="197" t="s">
        <v>877</v>
      </c>
      <c r="DI6" s="197" t="s">
        <v>838</v>
      </c>
      <c r="DJ6" s="197" t="s">
        <v>839</v>
      </c>
      <c r="DK6" s="197" t="s">
        <v>840</v>
      </c>
      <c r="DL6" s="197" t="s">
        <v>879</v>
      </c>
      <c r="DM6" s="197" t="s">
        <v>873</v>
      </c>
      <c r="DN6" s="197" t="s">
        <v>884</v>
      </c>
      <c r="DO6" s="197" t="s">
        <v>883</v>
      </c>
      <c r="DP6" s="197" t="s">
        <v>875</v>
      </c>
      <c r="DQ6" s="197" t="s">
        <v>887</v>
      </c>
      <c r="DR6" s="197" t="s">
        <v>888</v>
      </c>
      <c r="DS6" s="197" t="s">
        <v>889</v>
      </c>
      <c r="DT6" s="197" t="s">
        <v>890</v>
      </c>
      <c r="DU6" s="197" t="s">
        <v>891</v>
      </c>
      <c r="DV6" s="197" t="s">
        <v>841</v>
      </c>
      <c r="DW6" s="197" t="s">
        <v>842</v>
      </c>
      <c r="DX6" s="197" t="s">
        <v>843</v>
      </c>
      <c r="DY6" s="197" t="s">
        <v>871</v>
      </c>
      <c r="DZ6" s="197" t="s">
        <v>872</v>
      </c>
      <c r="EA6" s="197" t="s">
        <v>834</v>
      </c>
      <c r="EB6" s="197" t="s">
        <v>844</v>
      </c>
      <c r="EC6" s="197"/>
      <c r="ED6" s="197"/>
      <c r="EE6" s="197"/>
      <c r="EF6" s="228"/>
      <c r="EG6" s="206" t="s">
        <v>846</v>
      </c>
      <c r="EH6" s="207" t="s">
        <v>847</v>
      </c>
      <c r="EI6" s="207" t="s">
        <v>848</v>
      </c>
      <c r="EJ6" s="208" t="s">
        <v>849</v>
      </c>
      <c r="EK6" s="231" t="s">
        <v>374</v>
      </c>
      <c r="EL6" s="232" t="s">
        <v>856</v>
      </c>
      <c r="EM6" s="232" t="s">
        <v>375</v>
      </c>
      <c r="EN6" s="233" t="s">
        <v>857</v>
      </c>
      <c r="EO6" s="234" t="s">
        <v>850</v>
      </c>
      <c r="EP6" s="235" t="s">
        <v>851</v>
      </c>
      <c r="EQ6" s="235" t="s">
        <v>852</v>
      </c>
      <c r="ER6" s="236" t="s">
        <v>853</v>
      </c>
      <c r="ES6" s="235" t="s">
        <v>852</v>
      </c>
      <c r="ET6" s="236" t="s">
        <v>853</v>
      </c>
      <c r="EU6" s="234" t="s">
        <v>850</v>
      </c>
      <c r="EV6" s="213" t="s">
        <v>860</v>
      </c>
      <c r="EW6" s="197" t="s">
        <v>854</v>
      </c>
      <c r="EX6" s="197" t="s">
        <v>855</v>
      </c>
    </row>
    <row r="7" spans="1:154" ht="12.75" customHeight="1" x14ac:dyDescent="0.2">
      <c r="A7" s="246" t="s">
        <v>6</v>
      </c>
      <c r="B7" s="113" t="s">
        <v>7</v>
      </c>
      <c r="C7" s="114" t="s">
        <v>8</v>
      </c>
      <c r="D7" s="115" t="s">
        <v>539</v>
      </c>
      <c r="E7" s="114" t="s">
        <v>9</v>
      </c>
      <c r="F7" s="11">
        <v>5</v>
      </c>
      <c r="G7" s="11">
        <v>4</v>
      </c>
      <c r="H7" s="11">
        <v>80</v>
      </c>
      <c r="I7" s="11">
        <v>80</v>
      </c>
      <c r="J7" s="11">
        <v>176</v>
      </c>
      <c r="K7" s="11">
        <v>195</v>
      </c>
      <c r="L7" s="11" t="s">
        <v>746</v>
      </c>
      <c r="M7" s="84">
        <v>222.8</v>
      </c>
      <c r="N7" s="84">
        <v>717.6</v>
      </c>
      <c r="O7" s="84">
        <v>0</v>
      </c>
      <c r="P7" s="133">
        <v>222.8</v>
      </c>
      <c r="Q7" s="133">
        <v>717.6</v>
      </c>
      <c r="R7" s="133">
        <v>0</v>
      </c>
      <c r="S7" s="133">
        <f>SUM(P7:R7)</f>
        <v>940.4</v>
      </c>
      <c r="T7" s="134">
        <v>222.8</v>
      </c>
      <c r="U7" s="130">
        <v>1.53</v>
      </c>
      <c r="V7" s="131">
        <v>1.9800000000000002E-2</v>
      </c>
      <c r="W7" s="131">
        <v>1.9800000000000002E-2</v>
      </c>
      <c r="X7" s="132">
        <v>1.32E-3</v>
      </c>
      <c r="Y7" s="131">
        <v>3.95E-2</v>
      </c>
      <c r="Z7" s="29">
        <v>3515.25</v>
      </c>
      <c r="AA7" s="34"/>
      <c r="AB7" s="9">
        <f>Z7+AA7</f>
        <v>3515.25</v>
      </c>
      <c r="AC7" s="9">
        <f>SUM(AB7*6.33)</f>
        <v>22251.53</v>
      </c>
      <c r="AD7" s="9">
        <v>0.39</v>
      </c>
      <c r="AE7" s="9">
        <v>3.88</v>
      </c>
      <c r="AF7" s="21">
        <f>2.42-AJ7</f>
        <v>2.1800000000000002</v>
      </c>
      <c r="AG7" s="18">
        <f>0.54-AQ7</f>
        <v>0.43</v>
      </c>
      <c r="AH7" s="9">
        <v>2.78</v>
      </c>
      <c r="AI7" s="43">
        <v>841</v>
      </c>
      <c r="AJ7" s="21">
        <f t="shared" ref="AJ7:AJ70" si="0">SUM(AI7/AB7)</f>
        <v>0.24</v>
      </c>
      <c r="AK7" s="9">
        <v>0</v>
      </c>
      <c r="AL7" s="9">
        <v>0</v>
      </c>
      <c r="AM7" s="9">
        <v>0.27</v>
      </c>
      <c r="AN7" s="13"/>
      <c r="AO7" s="13">
        <v>801.6</v>
      </c>
      <c r="AP7" s="13">
        <f>5.58</f>
        <v>5.58</v>
      </c>
      <c r="AQ7" s="18">
        <f t="shared" ref="AQ7:AQ70" si="1">SUM(AN7:AO7)*AP7/AB7/12</f>
        <v>0.11</v>
      </c>
      <c r="AR7" s="9">
        <v>0.78</v>
      </c>
      <c r="AS7" s="9">
        <v>0.39</v>
      </c>
      <c r="AT7" s="9">
        <v>7.0000000000000007E-2</v>
      </c>
      <c r="AU7" s="9">
        <v>4.7300000000000004</v>
      </c>
      <c r="AV7" s="9">
        <v>0.12</v>
      </c>
      <c r="AW7" s="9">
        <f>1.03+0.32+0.41</f>
        <v>1.76</v>
      </c>
      <c r="AX7" s="9">
        <f>1.42+0.56</f>
        <v>1.98</v>
      </c>
      <c r="AY7" s="110">
        <f>SUM(AD7:AH7,AJ7:AM7,AQ7:AX7)</f>
        <v>20.11</v>
      </c>
      <c r="AZ7" s="111">
        <v>3516.6</v>
      </c>
      <c r="BA7" s="111">
        <v>0</v>
      </c>
      <c r="BB7" s="111">
        <f>AZ7+BA7</f>
        <v>3516.6</v>
      </c>
      <c r="BC7" s="18">
        <v>20.11</v>
      </c>
      <c r="BD7" s="13">
        <f>SUM(AY7-BC7)</f>
        <v>0</v>
      </c>
      <c r="BE7" s="9">
        <f t="shared" ref="BE7:BE70" si="2">SUM(AB7*BC7)</f>
        <v>70691.679999999993</v>
      </c>
      <c r="BF7" s="9">
        <v>20.11</v>
      </c>
      <c r="BG7" s="10">
        <v>44378</v>
      </c>
      <c r="BH7" s="9">
        <f t="shared" ref="BH7:BH70" si="3">SUM(AB7*AD7)</f>
        <v>1370.95</v>
      </c>
      <c r="BI7" s="9">
        <f t="shared" ref="BI7:BI70" si="4">SUM(AB7*AE7)</f>
        <v>13639.17</v>
      </c>
      <c r="BJ7" s="9">
        <f t="shared" ref="BJ7:BJ70" si="5">SUM(AB7*AF7)</f>
        <v>7663.25</v>
      </c>
      <c r="BK7" s="9">
        <f t="shared" ref="BK7:BK70" si="6">SUM(AB7*AG7)</f>
        <v>1511.56</v>
      </c>
      <c r="BL7" s="9">
        <f t="shared" ref="BL7:BL70" si="7">SUM(AB7*AH7)</f>
        <v>9772.4</v>
      </c>
      <c r="BM7" s="9">
        <f t="shared" ref="BM7:BM70" si="8">SUM(AB7*AJ7)</f>
        <v>843.66</v>
      </c>
      <c r="BN7" s="9">
        <f t="shared" ref="BN7:BN70" si="9">SUM(AB7*AK7)</f>
        <v>0</v>
      </c>
      <c r="BO7" s="9">
        <f t="shared" ref="BO7:BO70" si="10">SUM(AB7*AL7)</f>
        <v>0</v>
      </c>
      <c r="BP7" s="9">
        <f t="shared" ref="BP7:BP70" si="11">SUM(AB7*AM7)</f>
        <v>949.12</v>
      </c>
      <c r="BQ7" s="9">
        <f t="shared" ref="BQ7:BQ70" si="12">SUM(AB7*AQ7)</f>
        <v>386.68</v>
      </c>
      <c r="BR7" s="9">
        <f t="shared" ref="BR7:BR70" si="13">SUM(AB7*AR7)</f>
        <v>2741.9</v>
      </c>
      <c r="BS7" s="9">
        <f t="shared" ref="BS7:BS70" si="14">SUM(AB7*AS7)</f>
        <v>1370.95</v>
      </c>
      <c r="BT7" s="9">
        <f t="shared" ref="BT7:BT70" si="15">SUM(AB7*AT7)</f>
        <v>246.07</v>
      </c>
      <c r="BU7" s="9">
        <f t="shared" ref="BU7:BU70" si="16">SUM(AB7*AU7)</f>
        <v>16627.13</v>
      </c>
      <c r="BV7" s="9">
        <f t="shared" ref="BV7:BV70" si="17">SUM(AB7*AV7)</f>
        <v>421.83</v>
      </c>
      <c r="BW7" s="9">
        <f t="shared" ref="BW7:BW70" si="18">SUM(AB7*AW7)</f>
        <v>6186.84</v>
      </c>
      <c r="BX7" s="9">
        <f t="shared" ref="BX7:BX70" si="19">SUM(AB7*AX7)</f>
        <v>6960.2</v>
      </c>
      <c r="BY7" s="17">
        <f t="shared" ref="BY7:BY70" si="20">SUM(BH7:BX7)</f>
        <v>70691.710000000006</v>
      </c>
      <c r="BZ7" s="17">
        <v>1.62</v>
      </c>
      <c r="CA7" s="17">
        <v>0.03</v>
      </c>
      <c r="CB7" s="17">
        <v>0.22</v>
      </c>
      <c r="CC7" s="27">
        <v>0.04</v>
      </c>
      <c r="CD7" s="29">
        <v>6.33</v>
      </c>
      <c r="CE7" s="9">
        <v>7415.95</v>
      </c>
      <c r="CF7" s="9"/>
      <c r="CG7" s="9">
        <v>1972.75</v>
      </c>
      <c r="CH7" s="9">
        <v>1081.07</v>
      </c>
      <c r="CI7" s="9">
        <f t="shared" ref="CI7:CI24" si="21">IF(CE7&gt;0,CE7/AB7,0)</f>
        <v>2.11</v>
      </c>
      <c r="CJ7" s="9">
        <f t="shared" ref="CJ7:CJ24" si="22">IF(CF7&gt;0,CF7/AB7,0)</f>
        <v>0</v>
      </c>
      <c r="CK7" s="13">
        <f t="shared" ref="CK7:CK24" si="23">IF(CG7&gt;0,CG7/AB7,0)</f>
        <v>0.56000000000000005</v>
      </c>
      <c r="CL7" s="13">
        <f t="shared" ref="CL7:CL24" si="24">IF(CH7&gt;0,CH7/AB7,0)</f>
        <v>0.31</v>
      </c>
      <c r="CM7" s="13">
        <v>70691.66</v>
      </c>
      <c r="CN7" s="13">
        <v>0</v>
      </c>
      <c r="CO7" s="13">
        <v>0</v>
      </c>
      <c r="CP7" s="13">
        <v>0</v>
      </c>
      <c r="CQ7" s="13">
        <v>70.28</v>
      </c>
      <c r="CR7" s="13">
        <v>66579.78</v>
      </c>
      <c r="CS7" s="13">
        <v>2988.96</v>
      </c>
      <c r="CT7" s="13">
        <v>118</v>
      </c>
      <c r="CU7" s="13">
        <v>367.28</v>
      </c>
      <c r="CV7" s="13">
        <v>252.43</v>
      </c>
      <c r="CW7" s="202">
        <v>3063</v>
      </c>
      <c r="CX7" s="200">
        <v>1757</v>
      </c>
      <c r="CY7" s="202"/>
      <c r="CZ7" s="202"/>
      <c r="DA7" s="202"/>
      <c r="DB7" s="202"/>
      <c r="DC7" s="202"/>
      <c r="DD7" s="460">
        <v>6328</v>
      </c>
      <c r="DE7" s="255"/>
      <c r="DF7" s="202"/>
      <c r="DG7" s="202"/>
      <c r="DH7" s="202"/>
      <c r="DI7" s="204">
        <v>841</v>
      </c>
      <c r="DJ7" s="202"/>
      <c r="DK7" s="202"/>
      <c r="DL7" s="202"/>
      <c r="DM7" s="202">
        <v>15325</v>
      </c>
      <c r="DN7" s="202">
        <v>1700</v>
      </c>
      <c r="DO7" s="202">
        <v>1</v>
      </c>
      <c r="DP7" s="202"/>
      <c r="DQ7" s="202"/>
      <c r="DR7" s="202"/>
      <c r="DS7" s="202">
        <v>16470</v>
      </c>
      <c r="DT7" s="254">
        <v>546</v>
      </c>
      <c r="DU7" s="254">
        <v>282</v>
      </c>
      <c r="DV7" s="202"/>
      <c r="DW7" s="202">
        <v>15971</v>
      </c>
      <c r="DX7" s="202"/>
      <c r="DY7" s="107">
        <v>1365</v>
      </c>
      <c r="DZ7" s="107">
        <v>942</v>
      </c>
      <c r="EA7" s="202"/>
      <c r="EB7" s="202"/>
      <c r="EC7" s="202"/>
      <c r="ED7" s="202"/>
      <c r="EE7" s="202"/>
      <c r="EF7" s="229"/>
      <c r="EG7" s="202"/>
      <c r="EH7" s="202"/>
      <c r="EI7" s="202"/>
      <c r="EJ7" s="202"/>
      <c r="EK7" s="202">
        <v>0</v>
      </c>
      <c r="EL7" s="202">
        <v>0</v>
      </c>
      <c r="EM7" s="202">
        <v>0</v>
      </c>
      <c r="EN7" s="202">
        <v>62.41</v>
      </c>
      <c r="EO7" s="202">
        <v>0</v>
      </c>
      <c r="EP7" s="202"/>
      <c r="EQ7" s="202">
        <v>0</v>
      </c>
      <c r="ER7" s="202">
        <v>62.41</v>
      </c>
      <c r="ES7" s="202"/>
      <c r="ET7" s="202"/>
      <c r="EU7" s="202"/>
      <c r="EV7" s="214">
        <v>6.76</v>
      </c>
      <c r="EW7" s="240">
        <f t="shared" ref="EW7:EW70" si="25">SUM(AB7*2.18716)</f>
        <v>7688.41</v>
      </c>
      <c r="EX7" s="209">
        <f t="shared" ref="EX7:EX70" si="26">SUM(AB7*1.42352)</f>
        <v>5004.03</v>
      </c>
    </row>
    <row r="8" spans="1:154" ht="12.75" customHeight="1" x14ac:dyDescent="0.2">
      <c r="A8" s="246" t="s">
        <v>10</v>
      </c>
      <c r="B8" s="113" t="s">
        <v>7</v>
      </c>
      <c r="C8" s="114" t="s">
        <v>11</v>
      </c>
      <c r="D8" s="115" t="s">
        <v>390</v>
      </c>
      <c r="E8" s="114" t="s">
        <v>12</v>
      </c>
      <c r="F8" s="11">
        <v>5</v>
      </c>
      <c r="G8" s="11">
        <v>4</v>
      </c>
      <c r="H8" s="11">
        <v>80</v>
      </c>
      <c r="I8" s="11">
        <v>84</v>
      </c>
      <c r="J8" s="11">
        <v>156</v>
      </c>
      <c r="K8" s="11">
        <v>185</v>
      </c>
      <c r="L8" s="11" t="s">
        <v>746</v>
      </c>
      <c r="M8" s="84">
        <v>281</v>
      </c>
      <c r="N8" s="84">
        <v>920</v>
      </c>
      <c r="O8" s="84">
        <v>0</v>
      </c>
      <c r="P8" s="133">
        <v>281</v>
      </c>
      <c r="Q8" s="133">
        <f>1199.7-P8</f>
        <v>918.7</v>
      </c>
      <c r="R8" s="133">
        <v>0</v>
      </c>
      <c r="S8" s="133">
        <f t="shared" ref="S8:S71" si="27">SUM(P8:R8)</f>
        <v>1199.7</v>
      </c>
      <c r="T8" s="134">
        <v>281</v>
      </c>
      <c r="U8" s="130">
        <v>1.53</v>
      </c>
      <c r="V8" s="131">
        <v>1.9800000000000002E-2</v>
      </c>
      <c r="W8" s="131">
        <v>1.9800000000000002E-2</v>
      </c>
      <c r="X8" s="132">
        <v>1.32E-3</v>
      </c>
      <c r="Y8" s="131">
        <v>3.95E-2</v>
      </c>
      <c r="Z8" s="29">
        <v>3398.22</v>
      </c>
      <c r="AA8" s="34">
        <v>110.6</v>
      </c>
      <c r="AB8" s="9">
        <f>Z8+AA8</f>
        <v>3508.82</v>
      </c>
      <c r="AC8" s="9">
        <f>SUM(AB8*6.33)</f>
        <v>22210.83</v>
      </c>
      <c r="AD8" s="9">
        <v>0.39</v>
      </c>
      <c r="AE8" s="9">
        <v>3.82</v>
      </c>
      <c r="AF8" s="21">
        <f>2.42-AJ8</f>
        <v>2.17</v>
      </c>
      <c r="AG8" s="18">
        <f>0.53-AQ8</f>
        <v>0.42</v>
      </c>
      <c r="AH8" s="9">
        <v>2.78</v>
      </c>
      <c r="AI8" s="43">
        <v>883</v>
      </c>
      <c r="AJ8" s="21">
        <f t="shared" si="0"/>
        <v>0.25</v>
      </c>
      <c r="AK8" s="9">
        <v>0</v>
      </c>
      <c r="AL8" s="9">
        <v>0</v>
      </c>
      <c r="AM8" s="9">
        <v>0.27</v>
      </c>
      <c r="AN8" s="13"/>
      <c r="AO8" s="13">
        <v>801.6</v>
      </c>
      <c r="AP8" s="13">
        <f t="shared" ref="AP8:AP72" si="28">5.58</f>
        <v>5.58</v>
      </c>
      <c r="AQ8" s="18">
        <f t="shared" si="1"/>
        <v>0.11</v>
      </c>
      <c r="AR8" s="9">
        <v>0.76</v>
      </c>
      <c r="AS8" s="9">
        <v>0.38</v>
      </c>
      <c r="AT8" s="9">
        <v>7.0000000000000007E-2</v>
      </c>
      <c r="AU8" s="9">
        <v>4.58</v>
      </c>
      <c r="AV8" s="9">
        <v>0.12</v>
      </c>
      <c r="AW8" s="9">
        <f>1.02+0.33+0.4</f>
        <v>1.75</v>
      </c>
      <c r="AX8" s="9">
        <f>1.41+0.56</f>
        <v>1.97</v>
      </c>
      <c r="AY8" s="110">
        <f t="shared" ref="AY8:AY72" si="29">SUM(AD8:AH8,AJ8:AM8,AQ8:AX8)</f>
        <v>19.84</v>
      </c>
      <c r="AZ8" s="111">
        <v>3441.2</v>
      </c>
      <c r="BA8" s="111">
        <v>110.6</v>
      </c>
      <c r="BB8" s="111">
        <f t="shared" ref="BB8:BB85" si="30">AZ8+BA8</f>
        <v>3551.8</v>
      </c>
      <c r="BC8" s="18">
        <v>19.84</v>
      </c>
      <c r="BD8" s="13">
        <f t="shared" ref="BD8:BD71" si="31">SUM(AY8-BC8)</f>
        <v>0</v>
      </c>
      <c r="BE8" s="9">
        <f t="shared" si="2"/>
        <v>69614.990000000005</v>
      </c>
      <c r="BF8" s="9">
        <v>19.84</v>
      </c>
      <c r="BG8" s="10">
        <v>44409</v>
      </c>
      <c r="BH8" s="9">
        <f t="shared" si="3"/>
        <v>1368.44</v>
      </c>
      <c r="BI8" s="9">
        <f t="shared" si="4"/>
        <v>13403.69</v>
      </c>
      <c r="BJ8" s="9">
        <f t="shared" si="5"/>
        <v>7614.14</v>
      </c>
      <c r="BK8" s="9">
        <f t="shared" si="6"/>
        <v>1473.7</v>
      </c>
      <c r="BL8" s="9">
        <f t="shared" si="7"/>
        <v>9754.52</v>
      </c>
      <c r="BM8" s="9">
        <f t="shared" si="8"/>
        <v>877.21</v>
      </c>
      <c r="BN8" s="9">
        <f t="shared" si="9"/>
        <v>0</v>
      </c>
      <c r="BO8" s="9">
        <f t="shared" si="10"/>
        <v>0</v>
      </c>
      <c r="BP8" s="9">
        <f t="shared" si="11"/>
        <v>947.38</v>
      </c>
      <c r="BQ8" s="9">
        <f t="shared" si="12"/>
        <v>385.97</v>
      </c>
      <c r="BR8" s="9">
        <f t="shared" si="13"/>
        <v>2666.7</v>
      </c>
      <c r="BS8" s="9">
        <f t="shared" si="14"/>
        <v>1333.35</v>
      </c>
      <c r="BT8" s="9">
        <f t="shared" si="15"/>
        <v>245.62</v>
      </c>
      <c r="BU8" s="9">
        <f t="shared" si="16"/>
        <v>16070.4</v>
      </c>
      <c r="BV8" s="9">
        <f t="shared" si="17"/>
        <v>421.06</v>
      </c>
      <c r="BW8" s="9">
        <f t="shared" si="18"/>
        <v>6140.44</v>
      </c>
      <c r="BX8" s="9">
        <f t="shared" si="19"/>
        <v>6912.38</v>
      </c>
      <c r="BY8" s="17">
        <f t="shared" si="20"/>
        <v>69615</v>
      </c>
      <c r="BZ8" s="17">
        <v>1.91</v>
      </c>
      <c r="CA8" s="17">
        <v>0.04</v>
      </c>
      <c r="CB8" s="17">
        <v>0.26</v>
      </c>
      <c r="CC8" s="27">
        <v>0.04</v>
      </c>
      <c r="CD8" s="29">
        <v>6.33</v>
      </c>
      <c r="CE8" s="9">
        <v>7353.56</v>
      </c>
      <c r="CF8" s="9"/>
      <c r="CG8" s="9">
        <v>7296.48</v>
      </c>
      <c r="CH8" s="9">
        <v>3898.68</v>
      </c>
      <c r="CI8" s="9">
        <f t="shared" si="21"/>
        <v>2.1</v>
      </c>
      <c r="CJ8" s="9">
        <f t="shared" si="22"/>
        <v>0</v>
      </c>
      <c r="CK8" s="13">
        <f t="shared" si="23"/>
        <v>2.08</v>
      </c>
      <c r="CL8" s="13">
        <f t="shared" si="24"/>
        <v>1.1100000000000001</v>
      </c>
      <c r="CM8" s="13">
        <v>67420.710000000006</v>
      </c>
      <c r="CN8" s="13">
        <v>0</v>
      </c>
      <c r="CO8" s="13">
        <v>0</v>
      </c>
      <c r="CP8" s="13">
        <v>203.86</v>
      </c>
      <c r="CQ8" s="13">
        <v>67.989999999999995</v>
      </c>
      <c r="CR8" s="13">
        <v>78041.53</v>
      </c>
      <c r="CS8" s="13">
        <v>2080.4899999999998</v>
      </c>
      <c r="CT8" s="13">
        <v>223.55</v>
      </c>
      <c r="CU8" s="13">
        <v>4254.08</v>
      </c>
      <c r="CV8" s="13">
        <v>2276.56</v>
      </c>
      <c r="CW8" s="202">
        <v>3083</v>
      </c>
      <c r="CX8" s="200">
        <v>1769</v>
      </c>
      <c r="CY8" s="202"/>
      <c r="CZ8" s="202"/>
      <c r="DA8" s="202"/>
      <c r="DB8" s="202"/>
      <c r="DC8" s="202"/>
      <c r="DD8" s="461"/>
      <c r="DE8" s="256"/>
      <c r="DF8" s="202"/>
      <c r="DG8" s="202"/>
      <c r="DH8" s="202"/>
      <c r="DI8" s="204">
        <v>883</v>
      </c>
      <c r="DJ8" s="202"/>
      <c r="DK8" s="202"/>
      <c r="DL8" s="202"/>
      <c r="DM8" s="202">
        <v>15305</v>
      </c>
      <c r="DN8" s="202">
        <v>1700</v>
      </c>
      <c r="DO8" s="202">
        <v>1</v>
      </c>
      <c r="DP8" s="202"/>
      <c r="DQ8" s="202"/>
      <c r="DR8" s="202"/>
      <c r="DS8" s="202">
        <v>17190</v>
      </c>
      <c r="DT8" s="254">
        <v>570</v>
      </c>
      <c r="DU8" s="254">
        <v>294</v>
      </c>
      <c r="DV8" s="202"/>
      <c r="DW8" s="202">
        <v>16126</v>
      </c>
      <c r="DX8" s="202"/>
      <c r="DY8" s="107">
        <v>1365</v>
      </c>
      <c r="DZ8" s="107"/>
      <c r="EA8" s="202">
        <v>2223.23</v>
      </c>
      <c r="EB8" s="202"/>
      <c r="EC8" s="202"/>
      <c r="ED8" s="202"/>
      <c r="EE8" s="202"/>
      <c r="EF8" s="229"/>
      <c r="EG8" s="202"/>
      <c r="EH8" s="202"/>
      <c r="EI8" s="202"/>
      <c r="EJ8" s="202"/>
      <c r="EK8" s="202">
        <v>0</v>
      </c>
      <c r="EL8" s="202">
        <v>0</v>
      </c>
      <c r="EM8" s="202">
        <v>225.53</v>
      </c>
      <c r="EN8" s="202">
        <v>78.72</v>
      </c>
      <c r="EO8" s="202">
        <v>0</v>
      </c>
      <c r="EP8" s="202"/>
      <c r="EQ8" s="202">
        <v>225.53</v>
      </c>
      <c r="ER8" s="202">
        <v>78.72</v>
      </c>
      <c r="ES8" s="202"/>
      <c r="ET8" s="202"/>
      <c r="EU8" s="202"/>
      <c r="EV8" s="214">
        <f>268.61+7125.04</f>
        <v>7393.65</v>
      </c>
      <c r="EW8" s="240">
        <f t="shared" si="25"/>
        <v>7674.35</v>
      </c>
      <c r="EX8" s="209">
        <f t="shared" si="26"/>
        <v>4994.88</v>
      </c>
    </row>
    <row r="9" spans="1:154" ht="12.75" customHeight="1" x14ac:dyDescent="0.2">
      <c r="A9" s="246" t="s">
        <v>13</v>
      </c>
      <c r="B9" s="113" t="s">
        <v>7</v>
      </c>
      <c r="C9" s="114" t="s">
        <v>11</v>
      </c>
      <c r="D9" s="115" t="s">
        <v>540</v>
      </c>
      <c r="E9" s="114" t="s">
        <v>9</v>
      </c>
      <c r="F9" s="11">
        <v>5</v>
      </c>
      <c r="G9" s="11">
        <v>4</v>
      </c>
      <c r="H9" s="11">
        <v>80</v>
      </c>
      <c r="I9" s="11">
        <v>80</v>
      </c>
      <c r="J9" s="11">
        <v>170</v>
      </c>
      <c r="K9" s="11">
        <v>194</v>
      </c>
      <c r="L9" s="11" t="s">
        <v>746</v>
      </c>
      <c r="M9" s="84">
        <v>252</v>
      </c>
      <c r="N9" s="84">
        <v>732.1</v>
      </c>
      <c r="O9" s="84">
        <v>0</v>
      </c>
      <c r="P9" s="133">
        <v>252</v>
      </c>
      <c r="Q9" s="133">
        <v>732.1</v>
      </c>
      <c r="R9" s="133">
        <v>0</v>
      </c>
      <c r="S9" s="133">
        <f t="shared" si="27"/>
        <v>984.1</v>
      </c>
      <c r="T9" s="136">
        <v>226.4</v>
      </c>
      <c r="U9" s="130">
        <v>1.53</v>
      </c>
      <c r="V9" s="131">
        <v>1.9800000000000002E-2</v>
      </c>
      <c r="W9" s="131">
        <v>1.9800000000000002E-2</v>
      </c>
      <c r="X9" s="132">
        <v>1.32E-3</v>
      </c>
      <c r="Y9" s="131">
        <v>3.95E-2</v>
      </c>
      <c r="Z9" s="29">
        <v>3560.66</v>
      </c>
      <c r="AA9" s="34"/>
      <c r="AB9" s="9">
        <f t="shared" ref="AB9:AB85" si="32">Z9+AA9</f>
        <v>3560.66</v>
      </c>
      <c r="AC9" s="9">
        <f>SUM(AB9*6.33)</f>
        <v>22538.98</v>
      </c>
      <c r="AD9" s="9">
        <v>0.36</v>
      </c>
      <c r="AE9" s="9">
        <v>5.07</v>
      </c>
      <c r="AF9" s="21">
        <f>2.43-AJ9</f>
        <v>2.1800000000000002</v>
      </c>
      <c r="AG9" s="18">
        <f>0.53-AQ9</f>
        <v>0.43</v>
      </c>
      <c r="AH9" s="9">
        <v>2.78</v>
      </c>
      <c r="AI9" s="43">
        <v>883</v>
      </c>
      <c r="AJ9" s="21">
        <f t="shared" si="0"/>
        <v>0.25</v>
      </c>
      <c r="AK9" s="9">
        <v>0</v>
      </c>
      <c r="AL9" s="9">
        <v>0</v>
      </c>
      <c r="AM9" s="9">
        <v>0.26</v>
      </c>
      <c r="AN9" s="13"/>
      <c r="AO9" s="13">
        <v>801.6</v>
      </c>
      <c r="AP9" s="13">
        <f t="shared" si="28"/>
        <v>5.58</v>
      </c>
      <c r="AQ9" s="18">
        <f t="shared" si="1"/>
        <v>0.1</v>
      </c>
      <c r="AR9" s="9">
        <v>0.77</v>
      </c>
      <c r="AS9" s="9">
        <v>0.38</v>
      </c>
      <c r="AT9" s="9">
        <v>7.0000000000000007E-2</v>
      </c>
      <c r="AU9" s="9">
        <v>3.31</v>
      </c>
      <c r="AV9" s="9">
        <v>0.13</v>
      </c>
      <c r="AW9" s="9">
        <f>1.13+0.31+0.29</f>
        <v>1.73</v>
      </c>
      <c r="AX9" s="9">
        <f>1.56+0.42</f>
        <v>1.98</v>
      </c>
      <c r="AY9" s="110">
        <f t="shared" si="29"/>
        <v>19.8</v>
      </c>
      <c r="AZ9" s="111">
        <v>3576.9</v>
      </c>
      <c r="BA9" s="111">
        <v>0</v>
      </c>
      <c r="BB9" s="111">
        <f t="shared" si="30"/>
        <v>3576.9</v>
      </c>
      <c r="BC9" s="18">
        <v>19.8</v>
      </c>
      <c r="BD9" s="13">
        <f t="shared" si="31"/>
        <v>0</v>
      </c>
      <c r="BE9" s="9">
        <f t="shared" si="2"/>
        <v>70501.070000000007</v>
      </c>
      <c r="BF9" s="9">
        <v>19.8</v>
      </c>
      <c r="BG9" s="10">
        <v>44409</v>
      </c>
      <c r="BH9" s="9">
        <f t="shared" si="3"/>
        <v>1281.8399999999999</v>
      </c>
      <c r="BI9" s="9">
        <f t="shared" si="4"/>
        <v>18052.55</v>
      </c>
      <c r="BJ9" s="9">
        <f t="shared" si="5"/>
        <v>7762.24</v>
      </c>
      <c r="BK9" s="9">
        <f t="shared" si="6"/>
        <v>1531.08</v>
      </c>
      <c r="BL9" s="9">
        <f t="shared" si="7"/>
        <v>9898.6299999999992</v>
      </c>
      <c r="BM9" s="9">
        <f t="shared" si="8"/>
        <v>890.17</v>
      </c>
      <c r="BN9" s="9">
        <f t="shared" si="9"/>
        <v>0</v>
      </c>
      <c r="BO9" s="9">
        <f t="shared" si="10"/>
        <v>0</v>
      </c>
      <c r="BP9" s="9">
        <f t="shared" si="11"/>
        <v>925.77</v>
      </c>
      <c r="BQ9" s="9">
        <f t="shared" si="12"/>
        <v>356.07</v>
      </c>
      <c r="BR9" s="9">
        <f t="shared" si="13"/>
        <v>2741.71</v>
      </c>
      <c r="BS9" s="9">
        <f t="shared" si="14"/>
        <v>1353.05</v>
      </c>
      <c r="BT9" s="9">
        <f t="shared" si="15"/>
        <v>249.25</v>
      </c>
      <c r="BU9" s="9">
        <f t="shared" si="16"/>
        <v>11785.78</v>
      </c>
      <c r="BV9" s="9">
        <f t="shared" si="17"/>
        <v>462.89</v>
      </c>
      <c r="BW9" s="9">
        <f t="shared" si="18"/>
        <v>6159.94</v>
      </c>
      <c r="BX9" s="9">
        <f t="shared" si="19"/>
        <v>7050.11</v>
      </c>
      <c r="BY9" s="17">
        <f t="shared" si="20"/>
        <v>70501.08</v>
      </c>
      <c r="BZ9" s="17">
        <v>1.56</v>
      </c>
      <c r="CA9" s="17">
        <v>0.03</v>
      </c>
      <c r="CB9" s="17">
        <v>0.18</v>
      </c>
      <c r="CC9" s="27">
        <v>0.03</v>
      </c>
      <c r="CD9" s="29">
        <v>6.33</v>
      </c>
      <c r="CE9" s="9">
        <v>1246.4000000000001</v>
      </c>
      <c r="CF9" s="9"/>
      <c r="CG9" s="9">
        <v>10269.120000000001</v>
      </c>
      <c r="CH9" s="9">
        <v>5439.66</v>
      </c>
      <c r="CI9" s="9">
        <f t="shared" si="21"/>
        <v>0.35</v>
      </c>
      <c r="CJ9" s="9">
        <f t="shared" si="22"/>
        <v>0</v>
      </c>
      <c r="CK9" s="13">
        <f t="shared" si="23"/>
        <v>2.88</v>
      </c>
      <c r="CL9" s="13">
        <f t="shared" si="24"/>
        <v>1.53</v>
      </c>
      <c r="CM9" s="13">
        <v>70501.06</v>
      </c>
      <c r="CN9" s="13">
        <v>15951.77</v>
      </c>
      <c r="CO9" s="13">
        <v>0</v>
      </c>
      <c r="CP9" s="13">
        <v>8331.93</v>
      </c>
      <c r="CQ9" s="13">
        <v>4415.21</v>
      </c>
      <c r="CR9" s="13">
        <v>68946.990000000005</v>
      </c>
      <c r="CS9" s="13">
        <v>10210.42</v>
      </c>
      <c r="CT9" s="13">
        <v>104.42</v>
      </c>
      <c r="CU9" s="13">
        <v>4806.33</v>
      </c>
      <c r="CV9" s="13">
        <v>2570.6999999999998</v>
      </c>
      <c r="CW9" s="202">
        <v>3102</v>
      </c>
      <c r="CX9" s="200">
        <v>1780</v>
      </c>
      <c r="CY9" s="202"/>
      <c r="CZ9" s="202"/>
      <c r="DA9" s="202"/>
      <c r="DB9" s="202"/>
      <c r="DC9" s="202"/>
      <c r="DD9" s="461"/>
      <c r="DE9" s="256"/>
      <c r="DF9" s="202"/>
      <c r="DG9" s="202"/>
      <c r="DH9" s="202"/>
      <c r="DI9" s="204">
        <v>883</v>
      </c>
      <c r="DJ9" s="202"/>
      <c r="DK9" s="202"/>
      <c r="DL9" s="202"/>
      <c r="DM9" s="202">
        <v>19805</v>
      </c>
      <c r="DN9" s="202"/>
      <c r="DO9" s="202"/>
      <c r="DP9" s="202"/>
      <c r="DQ9" s="202"/>
      <c r="DR9" s="202"/>
      <c r="DS9" s="202">
        <v>17190</v>
      </c>
      <c r="DT9" s="254">
        <v>570</v>
      </c>
      <c r="DU9" s="254">
        <v>294</v>
      </c>
      <c r="DV9" s="202"/>
      <c r="DW9" s="202">
        <v>16266</v>
      </c>
      <c r="DX9" s="202"/>
      <c r="DY9" s="107">
        <v>1365</v>
      </c>
      <c r="DZ9" s="107"/>
      <c r="EA9" s="202"/>
      <c r="EB9" s="202"/>
      <c r="EC9" s="202"/>
      <c r="ED9" s="202"/>
      <c r="EE9" s="202"/>
      <c r="EF9" s="229"/>
      <c r="EG9" s="202"/>
      <c r="EH9" s="202"/>
      <c r="EI9" s="202"/>
      <c r="EJ9" s="202"/>
      <c r="EK9" s="202">
        <v>15943.41</v>
      </c>
      <c r="EL9" s="202">
        <v>0</v>
      </c>
      <c r="EM9" s="202">
        <v>8323.39</v>
      </c>
      <c r="EN9" s="202">
        <v>4421.01</v>
      </c>
      <c r="EO9" s="202">
        <v>15943.41</v>
      </c>
      <c r="EP9" s="202"/>
      <c r="EQ9" s="202">
        <v>8323.39</v>
      </c>
      <c r="ER9" s="202">
        <v>4421.01</v>
      </c>
      <c r="ES9" s="202"/>
      <c r="ET9" s="202"/>
      <c r="EU9" s="202"/>
      <c r="EV9" s="214">
        <v>99.69</v>
      </c>
      <c r="EW9" s="240">
        <f t="shared" si="25"/>
        <v>7787.73</v>
      </c>
      <c r="EX9" s="209">
        <f t="shared" si="26"/>
        <v>5068.67</v>
      </c>
    </row>
    <row r="10" spans="1:154" ht="12.75" customHeight="1" x14ac:dyDescent="0.2">
      <c r="A10" s="246" t="s">
        <v>14</v>
      </c>
      <c r="B10" s="113" t="s">
        <v>7</v>
      </c>
      <c r="C10" s="114" t="s">
        <v>15</v>
      </c>
      <c r="D10" s="115" t="s">
        <v>541</v>
      </c>
      <c r="E10" s="114" t="s">
        <v>9</v>
      </c>
      <c r="F10" s="11">
        <v>5</v>
      </c>
      <c r="G10" s="11">
        <v>4</v>
      </c>
      <c r="H10" s="11">
        <v>80</v>
      </c>
      <c r="I10" s="11">
        <v>81</v>
      </c>
      <c r="J10" s="11">
        <v>188</v>
      </c>
      <c r="K10" s="11">
        <v>178</v>
      </c>
      <c r="L10" s="11" t="s">
        <v>746</v>
      </c>
      <c r="M10" s="84">
        <v>281</v>
      </c>
      <c r="N10" s="137">
        <v>920</v>
      </c>
      <c r="O10" s="137">
        <v>0</v>
      </c>
      <c r="P10" s="133">
        <v>281</v>
      </c>
      <c r="Q10" s="137">
        <v>920</v>
      </c>
      <c r="R10" s="137">
        <v>0</v>
      </c>
      <c r="S10" s="133">
        <f t="shared" si="27"/>
        <v>1201</v>
      </c>
      <c r="T10" s="134">
        <v>281</v>
      </c>
      <c r="U10" s="130">
        <v>1.53</v>
      </c>
      <c r="V10" s="131">
        <v>1.9800000000000002E-2</v>
      </c>
      <c r="W10" s="131">
        <v>1.9800000000000002E-2</v>
      </c>
      <c r="X10" s="132">
        <v>1.32E-3</v>
      </c>
      <c r="Y10" s="131">
        <v>3.95E-2</v>
      </c>
      <c r="Z10" s="29">
        <v>3553.06</v>
      </c>
      <c r="AA10" s="34"/>
      <c r="AB10" s="9">
        <f t="shared" si="32"/>
        <v>3553.06</v>
      </c>
      <c r="AC10" s="174">
        <v>0</v>
      </c>
      <c r="AD10" s="9">
        <v>0.4</v>
      </c>
      <c r="AE10" s="9">
        <v>4.5199999999999996</v>
      </c>
      <c r="AF10" s="21">
        <f>2.35-AJ10</f>
        <v>2.1</v>
      </c>
      <c r="AG10" s="18">
        <f>0.53-AQ10</f>
        <v>0.43</v>
      </c>
      <c r="AH10" s="9">
        <f>2.78</f>
        <v>2.78</v>
      </c>
      <c r="AI10" s="43">
        <v>883</v>
      </c>
      <c r="AJ10" s="21">
        <f t="shared" si="0"/>
        <v>0.25</v>
      </c>
      <c r="AK10" s="9">
        <v>0</v>
      </c>
      <c r="AL10" s="9">
        <v>0</v>
      </c>
      <c r="AM10" s="9">
        <v>0.16</v>
      </c>
      <c r="AN10" s="13"/>
      <c r="AO10" s="13">
        <v>801.6</v>
      </c>
      <c r="AP10" s="13">
        <f t="shared" si="28"/>
        <v>5.58</v>
      </c>
      <c r="AQ10" s="18">
        <f t="shared" si="1"/>
        <v>0.1</v>
      </c>
      <c r="AR10" s="9">
        <v>0.78</v>
      </c>
      <c r="AS10" s="9">
        <v>0.38</v>
      </c>
      <c r="AT10" s="9">
        <v>7.0000000000000007E-2</v>
      </c>
      <c r="AU10" s="9">
        <v>4.26</v>
      </c>
      <c r="AV10" s="9">
        <v>0.12</v>
      </c>
      <c r="AW10" s="9">
        <f>1.07+0.38+0.32</f>
        <v>1.77</v>
      </c>
      <c r="AX10" s="9">
        <f>1.47+0.5</f>
        <v>1.97</v>
      </c>
      <c r="AY10" s="110">
        <f t="shared" si="29"/>
        <v>20.09</v>
      </c>
      <c r="AZ10" s="111">
        <v>3550.1</v>
      </c>
      <c r="BA10" s="111">
        <v>0</v>
      </c>
      <c r="BB10" s="111">
        <f t="shared" si="30"/>
        <v>3550.1</v>
      </c>
      <c r="BC10" s="18">
        <v>20.09</v>
      </c>
      <c r="BD10" s="13">
        <f t="shared" si="31"/>
        <v>0</v>
      </c>
      <c r="BE10" s="9">
        <f t="shared" si="2"/>
        <v>71380.98</v>
      </c>
      <c r="BF10" s="9">
        <v>20.09</v>
      </c>
      <c r="BG10" s="10">
        <v>44409</v>
      </c>
      <c r="BH10" s="9">
        <f t="shared" si="3"/>
        <v>1421.22</v>
      </c>
      <c r="BI10" s="9">
        <f t="shared" si="4"/>
        <v>16059.83</v>
      </c>
      <c r="BJ10" s="9">
        <f t="shared" si="5"/>
        <v>7461.43</v>
      </c>
      <c r="BK10" s="9">
        <f t="shared" si="6"/>
        <v>1527.82</v>
      </c>
      <c r="BL10" s="9">
        <f t="shared" si="7"/>
        <v>9877.51</v>
      </c>
      <c r="BM10" s="9">
        <f t="shared" si="8"/>
        <v>888.27</v>
      </c>
      <c r="BN10" s="9">
        <f t="shared" si="9"/>
        <v>0</v>
      </c>
      <c r="BO10" s="9">
        <f t="shared" si="10"/>
        <v>0</v>
      </c>
      <c r="BP10" s="9">
        <f t="shared" si="11"/>
        <v>568.49</v>
      </c>
      <c r="BQ10" s="9">
        <f t="shared" si="12"/>
        <v>355.31</v>
      </c>
      <c r="BR10" s="9">
        <f t="shared" si="13"/>
        <v>2771.39</v>
      </c>
      <c r="BS10" s="9">
        <f t="shared" si="14"/>
        <v>1350.16</v>
      </c>
      <c r="BT10" s="9">
        <f t="shared" si="15"/>
        <v>248.71</v>
      </c>
      <c r="BU10" s="9">
        <f t="shared" si="16"/>
        <v>15136.04</v>
      </c>
      <c r="BV10" s="9">
        <f t="shared" si="17"/>
        <v>426.37</v>
      </c>
      <c r="BW10" s="9">
        <f t="shared" si="18"/>
        <v>6288.92</v>
      </c>
      <c r="BX10" s="9">
        <f t="shared" si="19"/>
        <v>6999.53</v>
      </c>
      <c r="BY10" s="17">
        <f t="shared" si="20"/>
        <v>71381</v>
      </c>
      <c r="BZ10" s="17">
        <v>1.98</v>
      </c>
      <c r="CA10" s="17">
        <v>0.04</v>
      </c>
      <c r="CB10" s="17">
        <v>0.26</v>
      </c>
      <c r="CC10" s="27">
        <v>0.04</v>
      </c>
      <c r="CD10" s="29" t="s">
        <v>739</v>
      </c>
      <c r="CE10" s="9">
        <v>14238.48</v>
      </c>
      <c r="CF10" s="9">
        <v>3706.85</v>
      </c>
      <c r="CG10" s="9">
        <v>6053.38</v>
      </c>
      <c r="CH10" s="9">
        <v>3247.87</v>
      </c>
      <c r="CI10" s="9">
        <f t="shared" si="21"/>
        <v>4.01</v>
      </c>
      <c r="CJ10" s="9">
        <f t="shared" si="22"/>
        <v>1.04</v>
      </c>
      <c r="CK10" s="13">
        <f t="shared" si="23"/>
        <v>1.7</v>
      </c>
      <c r="CL10" s="13">
        <f t="shared" si="24"/>
        <v>0.91</v>
      </c>
      <c r="CM10" s="13">
        <v>71381.070000000007</v>
      </c>
      <c r="CN10" s="13">
        <v>852.73</v>
      </c>
      <c r="CO10" s="13">
        <v>0</v>
      </c>
      <c r="CP10" s="13">
        <v>2984.57</v>
      </c>
      <c r="CQ10" s="13">
        <v>1634.41</v>
      </c>
      <c r="CR10" s="13">
        <v>75173.84</v>
      </c>
      <c r="CS10" s="13">
        <v>4994.03</v>
      </c>
      <c r="CT10" s="13">
        <v>5654.22</v>
      </c>
      <c r="CU10" s="13">
        <v>1561.37</v>
      </c>
      <c r="CV10" s="13">
        <v>897.72</v>
      </c>
      <c r="CW10" s="202">
        <v>3096</v>
      </c>
      <c r="CX10" s="200">
        <v>1776</v>
      </c>
      <c r="CY10" s="202"/>
      <c r="CZ10" s="202"/>
      <c r="DA10" s="202"/>
      <c r="DB10" s="202"/>
      <c r="DC10" s="202"/>
      <c r="DD10" s="461"/>
      <c r="DE10" s="256"/>
      <c r="DF10" s="202"/>
      <c r="DG10" s="202"/>
      <c r="DH10" s="202"/>
      <c r="DI10" s="204">
        <v>883</v>
      </c>
      <c r="DJ10" s="202"/>
      <c r="DK10" s="202"/>
      <c r="DL10" s="202"/>
      <c r="DM10" s="202">
        <v>17807</v>
      </c>
      <c r="DN10" s="202">
        <v>2550</v>
      </c>
      <c r="DO10" s="202">
        <v>1.5</v>
      </c>
      <c r="DP10" s="202"/>
      <c r="DQ10" s="202"/>
      <c r="DR10" s="202"/>
      <c r="DS10" s="202">
        <v>9085</v>
      </c>
      <c r="DT10" s="254">
        <v>285</v>
      </c>
      <c r="DU10" s="254">
        <v>196</v>
      </c>
      <c r="DV10" s="202"/>
      <c r="DW10" s="202">
        <v>15911</v>
      </c>
      <c r="DX10" s="202"/>
      <c r="DY10" s="107">
        <v>1365</v>
      </c>
      <c r="DZ10" s="107">
        <v>577</v>
      </c>
      <c r="EA10" s="202"/>
      <c r="EB10" s="202"/>
      <c r="EC10" s="202"/>
      <c r="ED10" s="202"/>
      <c r="EE10" s="202"/>
      <c r="EF10" s="229"/>
      <c r="EG10" s="202"/>
      <c r="EH10" s="202"/>
      <c r="EI10" s="202"/>
      <c r="EJ10" s="202"/>
      <c r="EK10" s="202">
        <v>857.46</v>
      </c>
      <c r="EL10" s="202">
        <v>0</v>
      </c>
      <c r="EM10" s="202">
        <v>2999.66</v>
      </c>
      <c r="EN10" s="202">
        <v>1649.14</v>
      </c>
      <c r="EO10" s="202">
        <v>857.46</v>
      </c>
      <c r="EP10" s="202"/>
      <c r="EQ10" s="202">
        <v>2999.66</v>
      </c>
      <c r="ER10" s="202">
        <v>1649.14</v>
      </c>
      <c r="ES10" s="202"/>
      <c r="ET10" s="202"/>
      <c r="EU10" s="202"/>
      <c r="EV10" s="214">
        <f>25.61+12789.14</f>
        <v>12814.75</v>
      </c>
      <c r="EW10" s="240">
        <f t="shared" si="25"/>
        <v>7771.11</v>
      </c>
      <c r="EX10" s="209">
        <f t="shared" si="26"/>
        <v>5057.8500000000004</v>
      </c>
    </row>
    <row r="11" spans="1:154" ht="12.75" customHeight="1" x14ac:dyDescent="0.2">
      <c r="A11" s="246" t="s">
        <v>16</v>
      </c>
      <c r="B11" s="60" t="s">
        <v>7</v>
      </c>
      <c r="C11" s="61" t="s">
        <v>17</v>
      </c>
      <c r="D11" s="62" t="s">
        <v>391</v>
      </c>
      <c r="E11" s="61" t="s">
        <v>12</v>
      </c>
      <c r="F11" s="11">
        <v>9</v>
      </c>
      <c r="G11" s="11">
        <v>4</v>
      </c>
      <c r="H11" s="11">
        <v>204</v>
      </c>
      <c r="I11" s="11">
        <v>202</v>
      </c>
      <c r="J11" s="11">
        <v>467</v>
      </c>
      <c r="K11" s="11">
        <v>559</v>
      </c>
      <c r="L11" s="84">
        <v>4</v>
      </c>
      <c r="M11" s="84">
        <v>937</v>
      </c>
      <c r="N11" s="84">
        <v>1432</v>
      </c>
      <c r="O11" s="84">
        <v>1432</v>
      </c>
      <c r="P11" s="133">
        <f>484.8+968.6+436.4</f>
        <v>1889.8</v>
      </c>
      <c r="Q11" s="133">
        <v>1155.8</v>
      </c>
      <c r="R11" s="133">
        <v>1435.5</v>
      </c>
      <c r="S11" s="133">
        <f t="shared" si="27"/>
        <v>4481.1000000000004</v>
      </c>
      <c r="T11" s="134">
        <v>1889.8</v>
      </c>
      <c r="U11" s="130">
        <v>2.44</v>
      </c>
      <c r="V11" s="91">
        <v>1.9800000000000002E-2</v>
      </c>
      <c r="W11" s="91">
        <v>1.9800000000000002E-2</v>
      </c>
      <c r="X11" s="132">
        <v>1.32E-3</v>
      </c>
      <c r="Y11" s="91">
        <v>3.9699999999999999E-2</v>
      </c>
      <c r="Z11" s="29">
        <v>10371.459999999999</v>
      </c>
      <c r="AA11" s="34">
        <v>1264.9000000000001</v>
      </c>
      <c r="AB11" s="9">
        <f t="shared" si="32"/>
        <v>11636.36</v>
      </c>
      <c r="AC11" s="9">
        <f>SUM(AB11*6.33)</f>
        <v>73658.16</v>
      </c>
      <c r="AD11" s="9">
        <v>1.79</v>
      </c>
      <c r="AE11" s="9">
        <v>3.84</v>
      </c>
      <c r="AF11" s="21">
        <f>2.42-AJ11</f>
        <v>2.2999999999999998</v>
      </c>
      <c r="AG11" s="18">
        <f>0.57-AQ11</f>
        <v>0.52</v>
      </c>
      <c r="AH11" s="9">
        <v>2.4700000000000002</v>
      </c>
      <c r="AI11" s="43">
        <v>1375</v>
      </c>
      <c r="AJ11" s="21">
        <f t="shared" si="0"/>
        <v>0.12</v>
      </c>
      <c r="AK11" s="9">
        <v>1.49</v>
      </c>
      <c r="AL11" s="9">
        <v>0.27</v>
      </c>
      <c r="AM11" s="9">
        <v>0.05</v>
      </c>
      <c r="AN11" s="13"/>
      <c r="AO11" s="13">
        <v>1223.5999999999999</v>
      </c>
      <c r="AP11" s="13">
        <f t="shared" si="28"/>
        <v>5.58</v>
      </c>
      <c r="AQ11" s="18">
        <f t="shared" si="1"/>
        <v>0.05</v>
      </c>
      <c r="AR11" s="9">
        <v>0.55000000000000004</v>
      </c>
      <c r="AS11" s="9">
        <v>0.12</v>
      </c>
      <c r="AT11" s="9">
        <v>7.0000000000000007E-2</v>
      </c>
      <c r="AU11" s="9">
        <v>4.9800000000000004</v>
      </c>
      <c r="AV11" s="9">
        <v>0.13</v>
      </c>
      <c r="AW11" s="9">
        <f>1.22+0.27+0.44</f>
        <v>1.93</v>
      </c>
      <c r="AX11" s="9">
        <f>1.7+0.59</f>
        <v>2.29</v>
      </c>
      <c r="AY11" s="63">
        <f>SUM(AD11:AH11,AJ11:AM11,AQ11:AX11)</f>
        <v>22.97</v>
      </c>
      <c r="AZ11" s="64">
        <v>10301.799999999999</v>
      </c>
      <c r="BA11" s="64">
        <v>1264.9000000000001</v>
      </c>
      <c r="BB11" s="64">
        <f t="shared" si="30"/>
        <v>11566.7</v>
      </c>
      <c r="BC11" s="18">
        <v>22.97</v>
      </c>
      <c r="BD11" s="13">
        <f t="shared" si="31"/>
        <v>0</v>
      </c>
      <c r="BE11" s="9">
        <f t="shared" si="2"/>
        <v>267287.19</v>
      </c>
      <c r="BF11" s="9">
        <v>22.97</v>
      </c>
      <c r="BG11" s="10">
        <v>44409</v>
      </c>
      <c r="BH11" s="9">
        <f t="shared" si="3"/>
        <v>20829.080000000002</v>
      </c>
      <c r="BI11" s="9">
        <f t="shared" si="4"/>
        <v>44683.62</v>
      </c>
      <c r="BJ11" s="9">
        <f t="shared" si="5"/>
        <v>26763.63</v>
      </c>
      <c r="BK11" s="9">
        <f t="shared" si="6"/>
        <v>6050.91</v>
      </c>
      <c r="BL11" s="9">
        <f t="shared" si="7"/>
        <v>28741.81</v>
      </c>
      <c r="BM11" s="9">
        <f t="shared" si="8"/>
        <v>1396.36</v>
      </c>
      <c r="BN11" s="9">
        <f t="shared" si="9"/>
        <v>17338.18</v>
      </c>
      <c r="BO11" s="9">
        <f t="shared" si="10"/>
        <v>3141.82</v>
      </c>
      <c r="BP11" s="9">
        <f t="shared" si="11"/>
        <v>581.82000000000005</v>
      </c>
      <c r="BQ11" s="9">
        <f t="shared" si="12"/>
        <v>581.82000000000005</v>
      </c>
      <c r="BR11" s="9">
        <f t="shared" si="13"/>
        <v>6400</v>
      </c>
      <c r="BS11" s="9">
        <f t="shared" si="14"/>
        <v>1396.36</v>
      </c>
      <c r="BT11" s="9">
        <f t="shared" si="15"/>
        <v>814.55</v>
      </c>
      <c r="BU11" s="9">
        <f t="shared" si="16"/>
        <v>57949.07</v>
      </c>
      <c r="BV11" s="9">
        <f t="shared" si="17"/>
        <v>1512.73</v>
      </c>
      <c r="BW11" s="9">
        <f t="shared" si="18"/>
        <v>22458.17</v>
      </c>
      <c r="BX11" s="9">
        <f t="shared" si="19"/>
        <v>26647.26</v>
      </c>
      <c r="BY11" s="17">
        <f t="shared" si="20"/>
        <v>267287.19</v>
      </c>
      <c r="BZ11" s="17">
        <v>3.58</v>
      </c>
      <c r="CA11" s="17">
        <v>0.08</v>
      </c>
      <c r="CB11" s="17">
        <v>0.52</v>
      </c>
      <c r="CC11" s="27">
        <v>0.08</v>
      </c>
      <c r="CD11" s="29">
        <v>6.33</v>
      </c>
      <c r="CE11" s="9">
        <v>15469.37</v>
      </c>
      <c r="CF11" s="9"/>
      <c r="CG11" s="9">
        <v>2513.23</v>
      </c>
      <c r="CH11" s="9">
        <v>1845.15</v>
      </c>
      <c r="CI11" s="9">
        <f t="shared" si="21"/>
        <v>1.33</v>
      </c>
      <c r="CJ11" s="9">
        <f t="shared" si="22"/>
        <v>0</v>
      </c>
      <c r="CK11" s="13">
        <f t="shared" si="23"/>
        <v>0.22</v>
      </c>
      <c r="CL11" s="13">
        <f t="shared" si="24"/>
        <v>0.16</v>
      </c>
      <c r="CM11" s="13">
        <v>238232.52</v>
      </c>
      <c r="CN11" s="13">
        <v>0</v>
      </c>
      <c r="CO11" s="13">
        <v>0</v>
      </c>
      <c r="CP11" s="13">
        <v>3422.67</v>
      </c>
      <c r="CQ11" s="13">
        <v>2281.75</v>
      </c>
      <c r="CR11" s="13">
        <v>249777.38</v>
      </c>
      <c r="CS11" s="13">
        <v>20944.939999999999</v>
      </c>
      <c r="CT11" s="13">
        <v>931.03</v>
      </c>
      <c r="CU11" s="13">
        <v>3011.62</v>
      </c>
      <c r="CV11" s="13">
        <v>2090</v>
      </c>
      <c r="CW11" s="202">
        <v>10133</v>
      </c>
      <c r="CX11" s="200">
        <v>5813</v>
      </c>
      <c r="CY11" s="202"/>
      <c r="CZ11" s="202"/>
      <c r="DA11" s="202"/>
      <c r="DB11" s="202"/>
      <c r="DC11" s="202"/>
      <c r="DD11" s="461"/>
      <c r="DE11" s="256"/>
      <c r="DF11" s="202"/>
      <c r="DG11" s="202"/>
      <c r="DH11" s="202"/>
      <c r="DI11" s="204">
        <v>1375</v>
      </c>
      <c r="DJ11" s="202">
        <v>17200</v>
      </c>
      <c r="DK11" s="202"/>
      <c r="DL11" s="202"/>
      <c r="DM11" s="202"/>
      <c r="DN11" s="202"/>
      <c r="DO11" s="202"/>
      <c r="DP11" s="202">
        <v>63683</v>
      </c>
      <c r="DQ11" s="202">
        <v>3400</v>
      </c>
      <c r="DR11" s="202">
        <v>2</v>
      </c>
      <c r="DS11" s="202"/>
      <c r="DT11" s="254"/>
      <c r="DU11" s="254"/>
      <c r="DV11" s="202"/>
      <c r="DW11" s="202">
        <v>50777</v>
      </c>
      <c r="DX11" s="202"/>
      <c r="DY11" s="107">
        <v>1365</v>
      </c>
      <c r="DZ11" s="107">
        <v>577</v>
      </c>
      <c r="EA11" s="202">
        <f>19038.76+26940.39</f>
        <v>45979.15</v>
      </c>
      <c r="EB11" s="202"/>
      <c r="EC11" s="202"/>
      <c r="ED11" s="202"/>
      <c r="EE11" s="202"/>
      <c r="EF11" s="229"/>
      <c r="EG11" s="202"/>
      <c r="EH11" s="202"/>
      <c r="EI11" s="202"/>
      <c r="EJ11" s="202"/>
      <c r="EK11" s="202">
        <v>14795.29</v>
      </c>
      <c r="EL11" s="202">
        <v>0</v>
      </c>
      <c r="EM11" s="202">
        <v>3783.36</v>
      </c>
      <c r="EN11" s="202">
        <v>2510.11</v>
      </c>
      <c r="EO11" s="202">
        <v>14795.29</v>
      </c>
      <c r="EP11" s="202"/>
      <c r="EQ11" s="202">
        <v>3783.36</v>
      </c>
      <c r="ER11" s="202">
        <v>2510.11</v>
      </c>
      <c r="ES11" s="202"/>
      <c r="ET11" s="202"/>
      <c r="EU11" s="202"/>
      <c r="EV11" s="214">
        <v>-8.4600000000000009</v>
      </c>
      <c r="EW11" s="240">
        <f t="shared" si="25"/>
        <v>25450.58</v>
      </c>
      <c r="EX11" s="209">
        <f t="shared" si="26"/>
        <v>16564.59</v>
      </c>
    </row>
    <row r="12" spans="1:154" ht="12.75" customHeight="1" x14ac:dyDescent="0.2">
      <c r="A12" s="45" t="s">
        <v>18</v>
      </c>
      <c r="B12" s="113" t="s">
        <v>7</v>
      </c>
      <c r="C12" s="114" t="s">
        <v>19</v>
      </c>
      <c r="D12" s="115" t="s">
        <v>542</v>
      </c>
      <c r="E12" s="114" t="s">
        <v>9</v>
      </c>
      <c r="F12" s="11">
        <v>5</v>
      </c>
      <c r="G12" s="11">
        <v>4</v>
      </c>
      <c r="H12" s="11">
        <v>80</v>
      </c>
      <c r="I12" s="11">
        <v>0</v>
      </c>
      <c r="J12" s="11">
        <v>179</v>
      </c>
      <c r="K12" s="11">
        <v>196</v>
      </c>
      <c r="L12" s="84" t="s">
        <v>746</v>
      </c>
      <c r="M12" s="84">
        <v>281</v>
      </c>
      <c r="N12" s="84">
        <v>920</v>
      </c>
      <c r="O12" s="84">
        <v>0</v>
      </c>
      <c r="P12" s="133">
        <v>281</v>
      </c>
      <c r="Q12" s="133">
        <v>729.9</v>
      </c>
      <c r="R12" s="133">
        <v>0</v>
      </c>
      <c r="S12" s="133">
        <f t="shared" si="27"/>
        <v>1010.9</v>
      </c>
      <c r="T12" s="134">
        <v>281</v>
      </c>
      <c r="U12" s="130">
        <v>1.53</v>
      </c>
      <c r="V12" s="131">
        <v>1.9800000000000002E-2</v>
      </c>
      <c r="W12" s="91">
        <v>1.9800000000000002E-2</v>
      </c>
      <c r="X12" s="132">
        <v>1.2199999999999999E-3</v>
      </c>
      <c r="Y12" s="131">
        <v>3.95E-2</v>
      </c>
      <c r="Z12" s="29">
        <v>3593.2</v>
      </c>
      <c r="AA12" s="34"/>
      <c r="AB12" s="9">
        <f t="shared" si="32"/>
        <v>3593.2</v>
      </c>
      <c r="AC12" s="174">
        <v>0</v>
      </c>
      <c r="AD12" s="9">
        <v>0.39</v>
      </c>
      <c r="AE12" s="9">
        <v>4.46</v>
      </c>
      <c r="AF12" s="21">
        <f>2.35-AJ12</f>
        <v>2.1</v>
      </c>
      <c r="AG12" s="18">
        <f>0.53-AQ12</f>
        <v>0.43</v>
      </c>
      <c r="AH12" s="9">
        <v>2.78</v>
      </c>
      <c r="AI12" s="43">
        <v>883</v>
      </c>
      <c r="AJ12" s="21">
        <f t="shared" si="0"/>
        <v>0.25</v>
      </c>
      <c r="AK12" s="9">
        <v>0</v>
      </c>
      <c r="AL12" s="9">
        <v>0</v>
      </c>
      <c r="AM12" s="9">
        <v>0</v>
      </c>
      <c r="AN12" s="13"/>
      <c r="AO12" s="13">
        <v>801.6</v>
      </c>
      <c r="AP12" s="13">
        <f t="shared" si="28"/>
        <v>5.58</v>
      </c>
      <c r="AQ12" s="18">
        <f t="shared" si="1"/>
        <v>0.1</v>
      </c>
      <c r="AR12" s="9">
        <v>0.77</v>
      </c>
      <c r="AS12" s="9">
        <v>0.38</v>
      </c>
      <c r="AT12" s="9">
        <v>7.0000000000000007E-2</v>
      </c>
      <c r="AU12" s="9">
        <v>4.43</v>
      </c>
      <c r="AV12" s="9">
        <v>0.12</v>
      </c>
      <c r="AW12" s="9">
        <f>1.05+0.39+0.31</f>
        <v>1.75</v>
      </c>
      <c r="AX12" s="9">
        <f>1.44+0.53</f>
        <v>1.97</v>
      </c>
      <c r="AY12" s="110">
        <f t="shared" si="29"/>
        <v>20</v>
      </c>
      <c r="AZ12" s="111">
        <v>3604.7</v>
      </c>
      <c r="BA12" s="111">
        <v>0</v>
      </c>
      <c r="BB12" s="111">
        <f t="shared" si="30"/>
        <v>3604.7</v>
      </c>
      <c r="BC12" s="111">
        <v>20</v>
      </c>
      <c r="BD12" s="13">
        <f t="shared" si="31"/>
        <v>0</v>
      </c>
      <c r="BE12" s="9">
        <f t="shared" si="2"/>
        <v>71864</v>
      </c>
      <c r="BF12" s="9">
        <v>20</v>
      </c>
      <c r="BG12" s="10">
        <v>44409</v>
      </c>
      <c r="BH12" s="9">
        <f t="shared" si="3"/>
        <v>1401.35</v>
      </c>
      <c r="BI12" s="9">
        <f t="shared" si="4"/>
        <v>16025.67</v>
      </c>
      <c r="BJ12" s="9">
        <f t="shared" si="5"/>
        <v>7545.72</v>
      </c>
      <c r="BK12" s="9">
        <f t="shared" si="6"/>
        <v>1545.08</v>
      </c>
      <c r="BL12" s="9">
        <f t="shared" si="7"/>
        <v>9989.1</v>
      </c>
      <c r="BM12" s="9">
        <f t="shared" si="8"/>
        <v>898.3</v>
      </c>
      <c r="BN12" s="9">
        <f t="shared" si="9"/>
        <v>0</v>
      </c>
      <c r="BO12" s="9">
        <f t="shared" si="10"/>
        <v>0</v>
      </c>
      <c r="BP12" s="9">
        <f t="shared" si="11"/>
        <v>0</v>
      </c>
      <c r="BQ12" s="9">
        <f t="shared" si="12"/>
        <v>359.32</v>
      </c>
      <c r="BR12" s="9">
        <f t="shared" si="13"/>
        <v>2766.76</v>
      </c>
      <c r="BS12" s="9">
        <f t="shared" si="14"/>
        <v>1365.42</v>
      </c>
      <c r="BT12" s="9">
        <f t="shared" si="15"/>
        <v>251.52</v>
      </c>
      <c r="BU12" s="9">
        <f t="shared" si="16"/>
        <v>15917.88</v>
      </c>
      <c r="BV12" s="9">
        <f t="shared" si="17"/>
        <v>431.18</v>
      </c>
      <c r="BW12" s="9">
        <f t="shared" si="18"/>
        <v>6288.1</v>
      </c>
      <c r="BX12" s="9">
        <f t="shared" si="19"/>
        <v>7078.6</v>
      </c>
      <c r="BY12" s="17">
        <f t="shared" si="20"/>
        <v>71864</v>
      </c>
      <c r="BZ12" s="17">
        <v>1.96</v>
      </c>
      <c r="CA12" s="17">
        <v>0.04</v>
      </c>
      <c r="CB12" s="17">
        <v>0.24</v>
      </c>
      <c r="CC12" s="27">
        <v>0.04</v>
      </c>
      <c r="CD12" s="29" t="s">
        <v>739</v>
      </c>
      <c r="CE12" s="9">
        <v>4529.63</v>
      </c>
      <c r="CF12" s="9"/>
      <c r="CG12" s="9">
        <v>150.36000000000001</v>
      </c>
      <c r="CH12" s="9">
        <v>157.04</v>
      </c>
      <c r="CI12" s="9">
        <f t="shared" si="21"/>
        <v>1.26</v>
      </c>
      <c r="CJ12" s="9">
        <f t="shared" si="22"/>
        <v>0</v>
      </c>
      <c r="CK12" s="13">
        <f t="shared" si="23"/>
        <v>0.04</v>
      </c>
      <c r="CL12" s="13">
        <f t="shared" si="24"/>
        <v>0.04</v>
      </c>
      <c r="CM12" s="13">
        <v>71864</v>
      </c>
      <c r="CN12" s="13">
        <v>0</v>
      </c>
      <c r="CO12" s="13">
        <v>0</v>
      </c>
      <c r="CP12" s="13">
        <v>143.79</v>
      </c>
      <c r="CQ12" s="13">
        <v>143.79</v>
      </c>
      <c r="CR12" s="13">
        <v>73159.850000000006</v>
      </c>
      <c r="CS12" s="13">
        <v>6229.17</v>
      </c>
      <c r="CT12" s="13">
        <v>187.45</v>
      </c>
      <c r="CU12" s="13">
        <v>146.41</v>
      </c>
      <c r="CV12" s="13">
        <v>146.38999999999999</v>
      </c>
      <c r="CW12" s="202">
        <v>3131</v>
      </c>
      <c r="CX12" s="200">
        <v>1796</v>
      </c>
      <c r="CY12" s="202"/>
      <c r="CZ12" s="202"/>
      <c r="DA12" s="202"/>
      <c r="DB12" s="202">
        <v>242401.3</v>
      </c>
      <c r="DC12" s="202"/>
      <c r="DD12" s="461"/>
      <c r="DE12" s="256"/>
      <c r="DF12" s="202"/>
      <c r="DG12" s="202"/>
      <c r="DH12" s="202"/>
      <c r="DI12" s="204">
        <v>883</v>
      </c>
      <c r="DJ12" s="202"/>
      <c r="DK12" s="202"/>
      <c r="DL12" s="202"/>
      <c r="DM12" s="202">
        <v>17856</v>
      </c>
      <c r="DN12" s="202">
        <v>2550</v>
      </c>
      <c r="DO12" s="202">
        <v>1.5</v>
      </c>
      <c r="DP12" s="202"/>
      <c r="DQ12" s="202"/>
      <c r="DR12" s="202"/>
      <c r="DS12" s="202">
        <v>17190</v>
      </c>
      <c r="DT12" s="254">
        <v>570</v>
      </c>
      <c r="DU12" s="254">
        <v>294</v>
      </c>
      <c r="DV12" s="202"/>
      <c r="DW12" s="202">
        <v>16155</v>
      </c>
      <c r="DX12" s="202"/>
      <c r="DY12" s="107">
        <v>1365</v>
      </c>
      <c r="DZ12" s="107"/>
      <c r="EA12" s="202"/>
      <c r="EB12" s="202"/>
      <c r="EC12" s="202"/>
      <c r="ED12" s="202"/>
      <c r="EE12" s="202"/>
      <c r="EF12" s="229"/>
      <c r="EG12" s="202"/>
      <c r="EH12" s="202"/>
      <c r="EI12" s="202"/>
      <c r="EJ12" s="202"/>
      <c r="EK12" s="202">
        <v>0</v>
      </c>
      <c r="EL12" s="202">
        <v>0</v>
      </c>
      <c r="EM12" s="202">
        <v>150.36000000000001</v>
      </c>
      <c r="EN12" s="202">
        <v>157.04</v>
      </c>
      <c r="EO12" s="202">
        <v>0</v>
      </c>
      <c r="EP12" s="202"/>
      <c r="EQ12" s="202">
        <v>150.36000000000001</v>
      </c>
      <c r="ER12" s="202">
        <v>157.04</v>
      </c>
      <c r="ES12" s="202"/>
      <c r="ET12" s="202"/>
      <c r="EU12" s="202"/>
      <c r="EV12" s="214">
        <f>2.15+17190.59</f>
        <v>17192.740000000002</v>
      </c>
      <c r="EW12" s="240">
        <f t="shared" si="25"/>
        <v>7858.9</v>
      </c>
      <c r="EX12" s="209">
        <f t="shared" si="26"/>
        <v>5114.99</v>
      </c>
    </row>
    <row r="13" spans="1:154" ht="12.75" customHeight="1" x14ac:dyDescent="0.2">
      <c r="A13" s="45" t="s">
        <v>20</v>
      </c>
      <c r="B13" s="60" t="s">
        <v>7</v>
      </c>
      <c r="C13" s="61" t="s">
        <v>21</v>
      </c>
      <c r="D13" s="62" t="s">
        <v>392</v>
      </c>
      <c r="E13" s="61" t="s">
        <v>12</v>
      </c>
      <c r="F13" s="11">
        <v>9</v>
      </c>
      <c r="G13" s="11">
        <v>4</v>
      </c>
      <c r="H13" s="11">
        <v>141</v>
      </c>
      <c r="I13" s="11">
        <v>141</v>
      </c>
      <c r="J13" s="11">
        <v>327</v>
      </c>
      <c r="K13" s="11">
        <v>396</v>
      </c>
      <c r="L13" s="83">
        <v>4</v>
      </c>
      <c r="M13" s="84">
        <v>503</v>
      </c>
      <c r="N13" s="84">
        <v>1164</v>
      </c>
      <c r="O13" s="84">
        <v>1164</v>
      </c>
      <c r="P13" s="133">
        <v>1193</v>
      </c>
      <c r="Q13" s="133">
        <v>1158</v>
      </c>
      <c r="R13" s="133">
        <v>1225.4000000000001</v>
      </c>
      <c r="S13" s="133">
        <f t="shared" si="27"/>
        <v>3576.4</v>
      </c>
      <c r="T13" s="134">
        <v>1193</v>
      </c>
      <c r="U13" s="130">
        <v>2.44</v>
      </c>
      <c r="V13" s="91">
        <v>1.9800000000000002E-2</v>
      </c>
      <c r="W13" s="91">
        <v>1.9800000000000002E-2</v>
      </c>
      <c r="X13" s="132">
        <v>1.32E-3</v>
      </c>
      <c r="Y13" s="91">
        <v>3.9699999999999999E-2</v>
      </c>
      <c r="Z13" s="29">
        <v>7392.68</v>
      </c>
      <c r="AA13" s="34">
        <v>228.6</v>
      </c>
      <c r="AB13" s="9">
        <f t="shared" si="32"/>
        <v>7621.28</v>
      </c>
      <c r="AC13" s="9">
        <f t="shared" ref="AC13:AC19" si="33">SUM(AB13*6.33)</f>
        <v>48242.7</v>
      </c>
      <c r="AD13" s="9">
        <v>2.09</v>
      </c>
      <c r="AE13" s="9">
        <v>4.6900000000000004</v>
      </c>
      <c r="AF13" s="21">
        <f>2.4-AJ13</f>
        <v>2.25</v>
      </c>
      <c r="AG13" s="18">
        <f>0.64-AQ13</f>
        <v>0.59</v>
      </c>
      <c r="AH13" s="9">
        <v>2.78</v>
      </c>
      <c r="AI13" s="43">
        <v>1117</v>
      </c>
      <c r="AJ13" s="21">
        <f t="shared" si="0"/>
        <v>0.15</v>
      </c>
      <c r="AK13" s="9">
        <v>2.25</v>
      </c>
      <c r="AL13" s="9">
        <v>0.2</v>
      </c>
      <c r="AM13" s="9">
        <v>0.12</v>
      </c>
      <c r="AN13" s="13"/>
      <c r="AO13" s="13">
        <v>892.8</v>
      </c>
      <c r="AP13" s="13">
        <f t="shared" si="28"/>
        <v>5.58</v>
      </c>
      <c r="AQ13" s="18">
        <f t="shared" si="1"/>
        <v>0.05</v>
      </c>
      <c r="AR13" s="9">
        <v>0.56999999999999995</v>
      </c>
      <c r="AS13" s="9">
        <v>0.18</v>
      </c>
      <c r="AT13" s="9">
        <v>7.0000000000000007E-2</v>
      </c>
      <c r="AU13" s="9">
        <v>3.85</v>
      </c>
      <c r="AV13" s="9">
        <v>0.17</v>
      </c>
      <c r="AW13" s="9">
        <f>1.43+0.27+0.34</f>
        <v>2.04</v>
      </c>
      <c r="AX13" s="9">
        <f>2.01+0.46</f>
        <v>2.4700000000000002</v>
      </c>
      <c r="AY13" s="63">
        <f t="shared" si="29"/>
        <v>24.52</v>
      </c>
      <c r="AZ13" s="64">
        <v>7403.9</v>
      </c>
      <c r="BA13" s="64">
        <v>229.2</v>
      </c>
      <c r="BB13" s="64">
        <f t="shared" si="30"/>
        <v>7633.1</v>
      </c>
      <c r="BC13" s="64">
        <v>24.52</v>
      </c>
      <c r="BD13" s="13">
        <f t="shared" si="31"/>
        <v>0</v>
      </c>
      <c r="BE13" s="9">
        <f t="shared" si="2"/>
        <v>186873.79</v>
      </c>
      <c r="BF13" s="9">
        <v>24.52</v>
      </c>
      <c r="BG13" s="10">
        <v>44378</v>
      </c>
      <c r="BH13" s="9">
        <f t="shared" si="3"/>
        <v>15928.48</v>
      </c>
      <c r="BI13" s="9">
        <f t="shared" si="4"/>
        <v>35743.800000000003</v>
      </c>
      <c r="BJ13" s="9">
        <f t="shared" si="5"/>
        <v>17147.88</v>
      </c>
      <c r="BK13" s="9">
        <f t="shared" si="6"/>
        <v>4496.5600000000004</v>
      </c>
      <c r="BL13" s="9">
        <f t="shared" si="7"/>
        <v>21187.16</v>
      </c>
      <c r="BM13" s="9">
        <f t="shared" si="8"/>
        <v>1143.19</v>
      </c>
      <c r="BN13" s="9">
        <f t="shared" si="9"/>
        <v>17147.88</v>
      </c>
      <c r="BO13" s="9">
        <f t="shared" si="10"/>
        <v>1524.26</v>
      </c>
      <c r="BP13" s="9">
        <f t="shared" si="11"/>
        <v>914.55</v>
      </c>
      <c r="BQ13" s="9">
        <f t="shared" si="12"/>
        <v>381.06</v>
      </c>
      <c r="BR13" s="9">
        <f t="shared" si="13"/>
        <v>4344.13</v>
      </c>
      <c r="BS13" s="9">
        <f t="shared" si="14"/>
        <v>1371.83</v>
      </c>
      <c r="BT13" s="9">
        <f t="shared" si="15"/>
        <v>533.49</v>
      </c>
      <c r="BU13" s="9">
        <f t="shared" si="16"/>
        <v>29341.93</v>
      </c>
      <c r="BV13" s="9">
        <f t="shared" si="17"/>
        <v>1295.6199999999999</v>
      </c>
      <c r="BW13" s="9">
        <f t="shared" si="18"/>
        <v>15547.41</v>
      </c>
      <c r="BX13" s="9">
        <f t="shared" si="19"/>
        <v>18824.560000000001</v>
      </c>
      <c r="BY13" s="17">
        <f t="shared" si="20"/>
        <v>186873.79</v>
      </c>
      <c r="BZ13" s="17">
        <v>4.3499999999999996</v>
      </c>
      <c r="CA13" s="17">
        <v>0.08</v>
      </c>
      <c r="CB13" s="17">
        <v>0.54</v>
      </c>
      <c r="CC13" s="27">
        <v>0.09</v>
      </c>
      <c r="CD13" s="29">
        <v>6.33</v>
      </c>
      <c r="CE13" s="9">
        <v>60117.17</v>
      </c>
      <c r="CF13" s="9"/>
      <c r="CG13" s="9">
        <v>0</v>
      </c>
      <c r="CH13" s="9">
        <v>334.2</v>
      </c>
      <c r="CI13" s="9">
        <f t="shared" si="21"/>
        <v>7.89</v>
      </c>
      <c r="CJ13" s="9">
        <f t="shared" si="22"/>
        <v>0</v>
      </c>
      <c r="CK13" s="13">
        <f t="shared" si="23"/>
        <v>0</v>
      </c>
      <c r="CL13" s="13">
        <f t="shared" si="24"/>
        <v>0.04</v>
      </c>
      <c r="CM13" s="13">
        <v>181265.32</v>
      </c>
      <c r="CN13" s="13">
        <v>15523.77</v>
      </c>
      <c r="CO13" s="13">
        <v>-7.0000000000000007E-2</v>
      </c>
      <c r="CP13" s="13">
        <v>-0.01</v>
      </c>
      <c r="CQ13" s="13">
        <v>295.75</v>
      </c>
      <c r="CR13" s="13">
        <v>200602.05</v>
      </c>
      <c r="CS13" s="13">
        <v>26761.360000000001</v>
      </c>
      <c r="CT13" s="13">
        <v>518.49</v>
      </c>
      <c r="CU13" s="13">
        <v>76.77</v>
      </c>
      <c r="CV13" s="13">
        <v>335.26</v>
      </c>
      <c r="CW13" s="202">
        <v>6590</v>
      </c>
      <c r="CX13" s="200">
        <v>3780</v>
      </c>
      <c r="CY13" s="202"/>
      <c r="CZ13" s="202"/>
      <c r="DA13" s="202"/>
      <c r="DB13" s="202"/>
      <c r="DC13" s="202"/>
      <c r="DD13" s="461"/>
      <c r="DE13" s="256"/>
      <c r="DF13" s="202"/>
      <c r="DG13" s="202"/>
      <c r="DH13" s="202"/>
      <c r="DI13" s="204">
        <v>1117</v>
      </c>
      <c r="DJ13" s="202">
        <v>17200</v>
      </c>
      <c r="DK13" s="202"/>
      <c r="DL13" s="202"/>
      <c r="DM13" s="202"/>
      <c r="DN13" s="202"/>
      <c r="DO13" s="202"/>
      <c r="DP13" s="202">
        <v>50543</v>
      </c>
      <c r="DQ13" s="202">
        <v>2720</v>
      </c>
      <c r="DR13" s="202">
        <v>1.6</v>
      </c>
      <c r="DS13" s="202"/>
      <c r="DT13" s="254"/>
      <c r="DU13" s="254"/>
      <c r="DV13" s="202"/>
      <c r="DW13" s="202">
        <v>35560</v>
      </c>
      <c r="DX13" s="202"/>
      <c r="DY13" s="107">
        <v>1365</v>
      </c>
      <c r="DZ13" s="107">
        <v>942</v>
      </c>
      <c r="EA13" s="202"/>
      <c r="EB13" s="202"/>
      <c r="EC13" s="202"/>
      <c r="ED13" s="202"/>
      <c r="EE13" s="202"/>
      <c r="EF13" s="229"/>
      <c r="EG13" s="202"/>
      <c r="EH13" s="202"/>
      <c r="EI13" s="202"/>
      <c r="EJ13" s="202"/>
      <c r="EK13" s="202">
        <v>33568.300000000003</v>
      </c>
      <c r="EL13" s="202">
        <v>0</v>
      </c>
      <c r="EM13" s="202">
        <v>0</v>
      </c>
      <c r="EN13" s="202">
        <v>334.2</v>
      </c>
      <c r="EO13" s="202">
        <v>33568.300000000003</v>
      </c>
      <c r="EP13" s="202"/>
      <c r="EQ13" s="202">
        <v>0</v>
      </c>
      <c r="ER13" s="202">
        <v>334.2</v>
      </c>
      <c r="ES13" s="202"/>
      <c r="ET13" s="202"/>
      <c r="EU13" s="202"/>
      <c r="EV13" s="214">
        <v>-21.59</v>
      </c>
      <c r="EW13" s="240">
        <f t="shared" si="25"/>
        <v>16668.96</v>
      </c>
      <c r="EX13" s="209">
        <f t="shared" si="26"/>
        <v>10849.04</v>
      </c>
    </row>
    <row r="14" spans="1:154" ht="12.75" customHeight="1" x14ac:dyDescent="0.2">
      <c r="A14" s="45" t="s">
        <v>22</v>
      </c>
      <c r="B14" s="123" t="s">
        <v>7</v>
      </c>
      <c r="C14" s="124" t="s">
        <v>23</v>
      </c>
      <c r="D14" s="125" t="s">
        <v>393</v>
      </c>
      <c r="E14" s="124" t="s">
        <v>12</v>
      </c>
      <c r="F14" s="11">
        <v>9</v>
      </c>
      <c r="G14" s="11">
        <v>2</v>
      </c>
      <c r="H14" s="11">
        <v>72</v>
      </c>
      <c r="I14" s="11">
        <v>73</v>
      </c>
      <c r="J14" s="11">
        <v>187</v>
      </c>
      <c r="K14" s="11">
        <v>194</v>
      </c>
      <c r="L14" s="84">
        <v>2</v>
      </c>
      <c r="M14" s="137">
        <v>638</v>
      </c>
      <c r="N14" s="137">
        <v>616</v>
      </c>
      <c r="O14" s="137">
        <v>0</v>
      </c>
      <c r="P14" s="133">
        <v>638</v>
      </c>
      <c r="Q14" s="137">
        <v>616</v>
      </c>
      <c r="R14" s="137">
        <v>0</v>
      </c>
      <c r="S14" s="133">
        <f t="shared" si="27"/>
        <v>1254</v>
      </c>
      <c r="T14" s="134">
        <v>638</v>
      </c>
      <c r="U14" s="130">
        <v>2.44</v>
      </c>
      <c r="V14" s="131">
        <v>1.9800000000000002E-2</v>
      </c>
      <c r="W14" s="91">
        <v>1.9800000000000002E-2</v>
      </c>
      <c r="X14" s="132">
        <v>1.32E-3</v>
      </c>
      <c r="Y14" s="131">
        <v>3.9699999999999999E-2</v>
      </c>
      <c r="Z14" s="29">
        <v>3849.73</v>
      </c>
      <c r="AA14" s="34"/>
      <c r="AB14" s="9">
        <f t="shared" si="32"/>
        <v>3849.73</v>
      </c>
      <c r="AC14" s="9">
        <f t="shared" si="33"/>
        <v>24368.79</v>
      </c>
      <c r="AD14" s="9">
        <v>2.27</v>
      </c>
      <c r="AE14" s="9">
        <v>4.21</v>
      </c>
      <c r="AF14" s="21">
        <f>2.48-AJ14</f>
        <v>2.33</v>
      </c>
      <c r="AG14" s="18">
        <f>0.62-AQ14</f>
        <v>0.56999999999999995</v>
      </c>
      <c r="AH14" s="9">
        <v>2.78</v>
      </c>
      <c r="AI14" s="43">
        <v>591</v>
      </c>
      <c r="AJ14" s="21">
        <f t="shared" si="0"/>
        <v>0.15</v>
      </c>
      <c r="AK14" s="9">
        <v>2.2400000000000002</v>
      </c>
      <c r="AL14" s="9">
        <v>0.2</v>
      </c>
      <c r="AM14" s="9">
        <v>0.15</v>
      </c>
      <c r="AN14" s="13"/>
      <c r="AO14" s="13">
        <v>422.4</v>
      </c>
      <c r="AP14" s="13">
        <f t="shared" si="28"/>
        <v>5.58</v>
      </c>
      <c r="AQ14" s="18">
        <f t="shared" si="1"/>
        <v>0.05</v>
      </c>
      <c r="AR14" s="9">
        <v>0.57999999999999996</v>
      </c>
      <c r="AS14" s="9">
        <v>0.36</v>
      </c>
      <c r="AT14" s="9">
        <v>7.0000000000000007E-2</v>
      </c>
      <c r="AU14" s="9">
        <v>3.88</v>
      </c>
      <c r="AV14" s="9">
        <v>0.17</v>
      </c>
      <c r="AW14" s="9">
        <f>1.43+0.34+0.26</f>
        <v>2.0299999999999998</v>
      </c>
      <c r="AX14" s="9">
        <f>2.01+0.46</f>
        <v>2.4700000000000002</v>
      </c>
      <c r="AY14" s="126">
        <f t="shared" si="29"/>
        <v>24.51</v>
      </c>
      <c r="AZ14" s="127">
        <v>3844.2</v>
      </c>
      <c r="BA14" s="127">
        <v>0</v>
      </c>
      <c r="BB14" s="127">
        <f t="shared" si="30"/>
        <v>3844.2</v>
      </c>
      <c r="BC14" s="127">
        <v>24.51</v>
      </c>
      <c r="BD14" s="13">
        <f t="shared" si="31"/>
        <v>0</v>
      </c>
      <c r="BE14" s="9">
        <f t="shared" si="2"/>
        <v>94356.88</v>
      </c>
      <c r="BF14" s="9">
        <v>24.51</v>
      </c>
      <c r="BG14" s="10">
        <v>44378</v>
      </c>
      <c r="BH14" s="9">
        <f t="shared" si="3"/>
        <v>8738.89</v>
      </c>
      <c r="BI14" s="9">
        <f t="shared" si="4"/>
        <v>16207.36</v>
      </c>
      <c r="BJ14" s="9">
        <f t="shared" si="5"/>
        <v>8969.8700000000008</v>
      </c>
      <c r="BK14" s="9">
        <f t="shared" si="6"/>
        <v>2194.35</v>
      </c>
      <c r="BL14" s="9">
        <f t="shared" si="7"/>
        <v>10702.25</v>
      </c>
      <c r="BM14" s="9">
        <f t="shared" si="8"/>
        <v>577.46</v>
      </c>
      <c r="BN14" s="9">
        <f t="shared" si="9"/>
        <v>8623.4</v>
      </c>
      <c r="BO14" s="9">
        <f t="shared" si="10"/>
        <v>769.95</v>
      </c>
      <c r="BP14" s="9">
        <f t="shared" si="11"/>
        <v>577.46</v>
      </c>
      <c r="BQ14" s="9">
        <f t="shared" si="12"/>
        <v>192.49</v>
      </c>
      <c r="BR14" s="9">
        <f t="shared" si="13"/>
        <v>2232.84</v>
      </c>
      <c r="BS14" s="9">
        <f t="shared" si="14"/>
        <v>1385.9</v>
      </c>
      <c r="BT14" s="9">
        <f t="shared" si="15"/>
        <v>269.48</v>
      </c>
      <c r="BU14" s="9">
        <f t="shared" si="16"/>
        <v>14936.95</v>
      </c>
      <c r="BV14" s="9">
        <f t="shared" si="17"/>
        <v>654.45000000000005</v>
      </c>
      <c r="BW14" s="9">
        <f t="shared" si="18"/>
        <v>7814.95</v>
      </c>
      <c r="BX14" s="9">
        <f t="shared" si="19"/>
        <v>9508.83</v>
      </c>
      <c r="BY14" s="17">
        <f t="shared" si="20"/>
        <v>94356.88</v>
      </c>
      <c r="BZ14" s="17">
        <v>3.05</v>
      </c>
      <c r="CA14" s="17">
        <v>0.09</v>
      </c>
      <c r="CB14" s="17">
        <v>0.56000000000000005</v>
      </c>
      <c r="CC14" s="27">
        <v>0.09</v>
      </c>
      <c r="CD14" s="29">
        <v>6.33</v>
      </c>
      <c r="CE14" s="9">
        <v>21555.35</v>
      </c>
      <c r="CF14" s="9"/>
      <c r="CG14" s="9">
        <v>2134.9</v>
      </c>
      <c r="CH14" s="9">
        <v>1296.42</v>
      </c>
      <c r="CI14" s="9">
        <f t="shared" si="21"/>
        <v>5.6</v>
      </c>
      <c r="CJ14" s="9">
        <f t="shared" si="22"/>
        <v>0</v>
      </c>
      <c r="CK14" s="13">
        <f t="shared" si="23"/>
        <v>0.55000000000000004</v>
      </c>
      <c r="CL14" s="13">
        <f t="shared" si="24"/>
        <v>0.34</v>
      </c>
      <c r="CM14" s="13">
        <v>94356.93</v>
      </c>
      <c r="CN14" s="13">
        <v>4504.07</v>
      </c>
      <c r="CO14" s="13">
        <v>0</v>
      </c>
      <c r="CP14" s="13">
        <v>1308.8900000000001</v>
      </c>
      <c r="CQ14" s="13">
        <v>846.92</v>
      </c>
      <c r="CR14" s="13">
        <v>94097.74</v>
      </c>
      <c r="CS14" s="13">
        <v>4328.7299999999996</v>
      </c>
      <c r="CT14" s="13">
        <v>211.96</v>
      </c>
      <c r="CU14" s="13">
        <v>920.32</v>
      </c>
      <c r="CV14" s="13">
        <v>659.07</v>
      </c>
      <c r="CW14" s="202">
        <v>3354</v>
      </c>
      <c r="CX14" s="200">
        <v>1924</v>
      </c>
      <c r="CY14" s="202"/>
      <c r="CZ14" s="202"/>
      <c r="DA14" s="202"/>
      <c r="DB14" s="202"/>
      <c r="DC14" s="202"/>
      <c r="DD14" s="461"/>
      <c r="DE14" s="256"/>
      <c r="DF14" s="202"/>
      <c r="DG14" s="202"/>
      <c r="DH14" s="202"/>
      <c r="DI14" s="204">
        <v>591</v>
      </c>
      <c r="DJ14" s="202">
        <v>8600</v>
      </c>
      <c r="DK14" s="202"/>
      <c r="DL14" s="202"/>
      <c r="DM14" s="202">
        <v>25362</v>
      </c>
      <c r="DN14" s="202">
        <v>765</v>
      </c>
      <c r="DO14" s="202">
        <v>0.45</v>
      </c>
      <c r="DP14" s="202"/>
      <c r="DQ14" s="202"/>
      <c r="DR14" s="202"/>
      <c r="DS14" s="202"/>
      <c r="DT14" s="254"/>
      <c r="DU14" s="254"/>
      <c r="DV14" s="202">
        <v>17845</v>
      </c>
      <c r="DW14" s="202"/>
      <c r="DX14" s="202"/>
      <c r="DY14" s="107">
        <v>1365</v>
      </c>
      <c r="DZ14" s="107"/>
      <c r="EA14" s="202"/>
      <c r="EB14" s="202"/>
      <c r="EC14" s="202"/>
      <c r="ED14" s="202"/>
      <c r="EE14" s="202"/>
      <c r="EF14" s="229"/>
      <c r="EG14" s="202"/>
      <c r="EH14" s="202"/>
      <c r="EI14" s="202"/>
      <c r="EJ14" s="202"/>
      <c r="EK14" s="202">
        <v>4502.62</v>
      </c>
      <c r="EL14" s="202">
        <v>0</v>
      </c>
      <c r="EM14" s="202">
        <v>1297.1500000000001</v>
      </c>
      <c r="EN14" s="202">
        <v>857.83</v>
      </c>
      <c r="EO14" s="202">
        <v>4502.62</v>
      </c>
      <c r="EP14" s="202"/>
      <c r="EQ14" s="202">
        <v>1297.1500000000001</v>
      </c>
      <c r="ER14" s="202">
        <v>857.83</v>
      </c>
      <c r="ES14" s="202"/>
      <c r="ET14" s="202"/>
      <c r="EU14" s="202"/>
      <c r="EV14" s="214">
        <v>-1.55</v>
      </c>
      <c r="EW14" s="240">
        <f t="shared" si="25"/>
        <v>8419.98</v>
      </c>
      <c r="EX14" s="209">
        <f t="shared" si="26"/>
        <v>5480.17</v>
      </c>
    </row>
    <row r="15" spans="1:154" ht="12.75" customHeight="1" x14ac:dyDescent="0.2">
      <c r="A15" s="45" t="s">
        <v>24</v>
      </c>
      <c r="B15" s="141" t="s">
        <v>7</v>
      </c>
      <c r="C15" s="142" t="s">
        <v>25</v>
      </c>
      <c r="D15" s="143" t="s">
        <v>394</v>
      </c>
      <c r="E15" s="142" t="s">
        <v>12</v>
      </c>
      <c r="F15" s="11">
        <v>5</v>
      </c>
      <c r="G15" s="11">
        <v>6</v>
      </c>
      <c r="H15" s="11">
        <v>90</v>
      </c>
      <c r="I15" s="11">
        <v>90</v>
      </c>
      <c r="J15" s="11">
        <v>180</v>
      </c>
      <c r="K15" s="11">
        <v>188</v>
      </c>
      <c r="L15" s="84" t="s">
        <v>746</v>
      </c>
      <c r="M15" s="84">
        <v>416</v>
      </c>
      <c r="N15" s="84">
        <v>1264</v>
      </c>
      <c r="O15" s="84">
        <v>0</v>
      </c>
      <c r="P15" s="133">
        <v>414.5</v>
      </c>
      <c r="Q15" s="133">
        <v>1117.0999999999999</v>
      </c>
      <c r="R15" s="133">
        <v>0</v>
      </c>
      <c r="S15" s="133">
        <f t="shared" si="27"/>
        <v>1531.6</v>
      </c>
      <c r="T15" s="134">
        <v>414.5</v>
      </c>
      <c r="U15" s="130">
        <v>1.53</v>
      </c>
      <c r="V15" s="91">
        <v>1.9800000000000002E-2</v>
      </c>
      <c r="W15" s="91">
        <v>1.9800000000000002E-2</v>
      </c>
      <c r="X15" s="132">
        <v>1.2199999999999999E-3</v>
      </c>
      <c r="Y15" s="91">
        <v>3.95E-2</v>
      </c>
      <c r="Z15" s="29">
        <v>3972.44</v>
      </c>
      <c r="AA15" s="34"/>
      <c r="AB15" s="9">
        <f t="shared" si="32"/>
        <v>3972.44</v>
      </c>
      <c r="AC15" s="9">
        <f t="shared" si="33"/>
        <v>25145.55</v>
      </c>
      <c r="AD15" s="9">
        <v>0.52</v>
      </c>
      <c r="AE15" s="9">
        <v>4.4800000000000004</v>
      </c>
      <c r="AF15" s="21">
        <f>2.49-AJ15</f>
        <v>2.1800000000000002</v>
      </c>
      <c r="AG15" s="18">
        <f>0.56-AQ15</f>
        <v>0.45</v>
      </c>
      <c r="AH15" s="9">
        <v>2.78</v>
      </c>
      <c r="AI15" s="43">
        <v>1213</v>
      </c>
      <c r="AJ15" s="21">
        <f t="shared" si="0"/>
        <v>0.31</v>
      </c>
      <c r="AK15" s="9">
        <v>0</v>
      </c>
      <c r="AL15" s="9">
        <v>0</v>
      </c>
      <c r="AM15" s="9">
        <v>0.15</v>
      </c>
      <c r="AN15" s="13"/>
      <c r="AO15" s="13">
        <v>901.8</v>
      </c>
      <c r="AP15" s="13">
        <f t="shared" si="28"/>
        <v>5.58</v>
      </c>
      <c r="AQ15" s="18">
        <f t="shared" si="1"/>
        <v>0.11</v>
      </c>
      <c r="AR15" s="9">
        <v>0.79</v>
      </c>
      <c r="AS15" s="9">
        <v>0.34</v>
      </c>
      <c r="AT15" s="9">
        <v>7.0000000000000007E-2</v>
      </c>
      <c r="AU15" s="9">
        <v>4.05</v>
      </c>
      <c r="AV15" s="9">
        <v>0.13</v>
      </c>
      <c r="AW15" s="9">
        <f>1.09+0.32+0.36</f>
        <v>1.77</v>
      </c>
      <c r="AX15" s="9">
        <f>1.5+0.49</f>
        <v>1.99</v>
      </c>
      <c r="AY15" s="144">
        <f t="shared" si="29"/>
        <v>20.12</v>
      </c>
      <c r="AZ15" s="145">
        <v>3959.2</v>
      </c>
      <c r="BA15" s="145">
        <v>0</v>
      </c>
      <c r="BB15" s="145">
        <f t="shared" si="30"/>
        <v>3959.2</v>
      </c>
      <c r="BC15" s="145">
        <v>20.12</v>
      </c>
      <c r="BD15" s="13">
        <f t="shared" si="31"/>
        <v>0</v>
      </c>
      <c r="BE15" s="9">
        <f t="shared" si="2"/>
        <v>79925.490000000005</v>
      </c>
      <c r="BF15" s="9">
        <v>20.12</v>
      </c>
      <c r="BG15" s="10">
        <v>44409</v>
      </c>
      <c r="BH15" s="9">
        <f t="shared" si="3"/>
        <v>2065.67</v>
      </c>
      <c r="BI15" s="9">
        <f t="shared" si="4"/>
        <v>17796.53</v>
      </c>
      <c r="BJ15" s="9">
        <f t="shared" si="5"/>
        <v>8659.92</v>
      </c>
      <c r="BK15" s="9">
        <f t="shared" si="6"/>
        <v>1787.6</v>
      </c>
      <c r="BL15" s="9">
        <f t="shared" si="7"/>
        <v>11043.38</v>
      </c>
      <c r="BM15" s="9">
        <f t="shared" si="8"/>
        <v>1231.46</v>
      </c>
      <c r="BN15" s="9">
        <f t="shared" si="9"/>
        <v>0</v>
      </c>
      <c r="BO15" s="9">
        <f t="shared" si="10"/>
        <v>0</v>
      </c>
      <c r="BP15" s="9">
        <f t="shared" si="11"/>
        <v>595.87</v>
      </c>
      <c r="BQ15" s="9">
        <f t="shared" si="12"/>
        <v>436.97</v>
      </c>
      <c r="BR15" s="9">
        <f t="shared" si="13"/>
        <v>3138.23</v>
      </c>
      <c r="BS15" s="9">
        <f t="shared" si="14"/>
        <v>1350.63</v>
      </c>
      <c r="BT15" s="9">
        <f t="shared" si="15"/>
        <v>278.07</v>
      </c>
      <c r="BU15" s="9">
        <f t="shared" si="16"/>
        <v>16088.38</v>
      </c>
      <c r="BV15" s="9">
        <f t="shared" si="17"/>
        <v>516.41999999999996</v>
      </c>
      <c r="BW15" s="9">
        <f t="shared" si="18"/>
        <v>7031.22</v>
      </c>
      <c r="BX15" s="9">
        <f t="shared" si="19"/>
        <v>7905.16</v>
      </c>
      <c r="BY15" s="17">
        <f t="shared" si="20"/>
        <v>79925.509999999995</v>
      </c>
      <c r="BZ15" s="17">
        <v>2.27</v>
      </c>
      <c r="CA15" s="17">
        <v>0.06</v>
      </c>
      <c r="CB15" s="17">
        <v>0.33</v>
      </c>
      <c r="CC15" s="27">
        <v>0.06</v>
      </c>
      <c r="CD15" s="29">
        <v>6.33</v>
      </c>
      <c r="CE15" s="9">
        <v>16040.65</v>
      </c>
      <c r="CF15" s="9"/>
      <c r="CG15" s="9">
        <v>6134.45</v>
      </c>
      <c r="CH15" s="9">
        <v>3341.86</v>
      </c>
      <c r="CI15" s="9">
        <f t="shared" si="21"/>
        <v>4.04</v>
      </c>
      <c r="CJ15" s="9">
        <f t="shared" si="22"/>
        <v>0</v>
      </c>
      <c r="CK15" s="13">
        <f t="shared" si="23"/>
        <v>1.54</v>
      </c>
      <c r="CL15" s="13">
        <f t="shared" si="24"/>
        <v>0.84</v>
      </c>
      <c r="CM15" s="13">
        <v>79925.509999999995</v>
      </c>
      <c r="CN15" s="13">
        <v>1986.22</v>
      </c>
      <c r="CO15" s="13">
        <v>0</v>
      </c>
      <c r="CP15" s="13">
        <v>5362.98</v>
      </c>
      <c r="CQ15" s="13">
        <v>2899.92</v>
      </c>
      <c r="CR15" s="13">
        <v>72465.759999999995</v>
      </c>
      <c r="CS15" s="13">
        <v>2669.13</v>
      </c>
      <c r="CT15" s="13">
        <v>195.97</v>
      </c>
      <c r="CU15" s="13">
        <v>3169.76</v>
      </c>
      <c r="CV15" s="13">
        <v>1757.44</v>
      </c>
      <c r="CW15" s="202">
        <v>3461</v>
      </c>
      <c r="CX15" s="200">
        <v>1986</v>
      </c>
      <c r="CY15" s="202"/>
      <c r="CZ15" s="202"/>
      <c r="DA15" s="202"/>
      <c r="DB15" s="202"/>
      <c r="DC15" s="202"/>
      <c r="DD15" s="461"/>
      <c r="DE15" s="256"/>
      <c r="DF15" s="202"/>
      <c r="DG15" s="202"/>
      <c r="DH15" s="202"/>
      <c r="DI15" s="204">
        <v>1213</v>
      </c>
      <c r="DJ15" s="202"/>
      <c r="DK15" s="202"/>
      <c r="DL15" s="202"/>
      <c r="DM15" s="202">
        <v>20230</v>
      </c>
      <c r="DN15" s="202">
        <v>765</v>
      </c>
      <c r="DO15" s="202">
        <v>0.45</v>
      </c>
      <c r="DP15" s="202"/>
      <c r="DQ15" s="202"/>
      <c r="DR15" s="202"/>
      <c r="DS15" s="202">
        <v>10910</v>
      </c>
      <c r="DT15" s="254">
        <v>384</v>
      </c>
      <c r="DU15" s="254">
        <v>131</v>
      </c>
      <c r="DV15" s="202">
        <v>18307</v>
      </c>
      <c r="DW15" s="202"/>
      <c r="DX15" s="202"/>
      <c r="DY15" s="107">
        <v>1365</v>
      </c>
      <c r="DZ15" s="107"/>
      <c r="EA15" s="202"/>
      <c r="EB15" s="202"/>
      <c r="EC15" s="202"/>
      <c r="ED15" s="202"/>
      <c r="EE15" s="202"/>
      <c r="EF15" s="229"/>
      <c r="EG15" s="202"/>
      <c r="EH15" s="202"/>
      <c r="EI15" s="202"/>
      <c r="EJ15" s="202"/>
      <c r="EK15" s="202">
        <v>1988.19</v>
      </c>
      <c r="EL15" s="202">
        <v>0</v>
      </c>
      <c r="EM15" s="202">
        <v>5350.75</v>
      </c>
      <c r="EN15" s="202">
        <v>2917.42</v>
      </c>
      <c r="EO15" s="202">
        <v>1988.19</v>
      </c>
      <c r="EP15" s="202"/>
      <c r="EQ15" s="202">
        <v>5350.75</v>
      </c>
      <c r="ER15" s="202">
        <v>2917.42</v>
      </c>
      <c r="ES15" s="202"/>
      <c r="ET15" s="202"/>
      <c r="EU15" s="202"/>
      <c r="EV15" s="214">
        <v>94.98</v>
      </c>
      <c r="EW15" s="240">
        <f t="shared" si="25"/>
        <v>8688.36</v>
      </c>
      <c r="EX15" s="209">
        <f t="shared" si="26"/>
        <v>5654.85</v>
      </c>
    </row>
    <row r="16" spans="1:154" ht="12.75" customHeight="1" x14ac:dyDescent="0.2">
      <c r="A16" s="45" t="s">
        <v>26</v>
      </c>
      <c r="B16" s="141" t="s">
        <v>7</v>
      </c>
      <c r="C16" s="142" t="s">
        <v>27</v>
      </c>
      <c r="D16" s="143" t="s">
        <v>395</v>
      </c>
      <c r="E16" s="142" t="s">
        <v>12</v>
      </c>
      <c r="F16" s="11">
        <v>5</v>
      </c>
      <c r="G16" s="11">
        <v>6</v>
      </c>
      <c r="H16" s="11">
        <v>90</v>
      </c>
      <c r="I16" s="11">
        <v>90</v>
      </c>
      <c r="J16" s="11">
        <v>191</v>
      </c>
      <c r="K16" s="11">
        <v>214</v>
      </c>
      <c r="L16" s="84" t="s">
        <v>746</v>
      </c>
      <c r="M16" s="137">
        <v>415</v>
      </c>
      <c r="N16" s="137">
        <v>1264</v>
      </c>
      <c r="O16" s="137">
        <v>0</v>
      </c>
      <c r="P16" s="133">
        <v>415</v>
      </c>
      <c r="Q16" s="137">
        <v>1264</v>
      </c>
      <c r="R16" s="137">
        <v>0</v>
      </c>
      <c r="S16" s="133">
        <f t="shared" si="27"/>
        <v>1679</v>
      </c>
      <c r="T16" s="134">
        <v>415</v>
      </c>
      <c r="U16" s="130">
        <v>1.53</v>
      </c>
      <c r="V16" s="131">
        <v>1.9800000000000002E-2</v>
      </c>
      <c r="W16" s="91">
        <v>1.9800000000000002E-2</v>
      </c>
      <c r="X16" s="132">
        <v>1.2199999999999999E-3</v>
      </c>
      <c r="Y16" s="131">
        <v>3.95E-2</v>
      </c>
      <c r="Z16" s="29">
        <v>3972.7</v>
      </c>
      <c r="AA16" s="34"/>
      <c r="AB16" s="9">
        <f t="shared" si="32"/>
        <v>3972.7</v>
      </c>
      <c r="AC16" s="9">
        <f t="shared" si="33"/>
        <v>25147.19</v>
      </c>
      <c r="AD16" s="9">
        <v>0.52</v>
      </c>
      <c r="AE16" s="9">
        <f>5.1</f>
        <v>5.0999999999999996</v>
      </c>
      <c r="AF16" s="21">
        <f>2.5-AJ16</f>
        <v>2.19</v>
      </c>
      <c r="AG16" s="18">
        <f>0.56-AQ16</f>
        <v>0.45</v>
      </c>
      <c r="AH16" s="9">
        <v>2.78</v>
      </c>
      <c r="AI16" s="43">
        <v>1213</v>
      </c>
      <c r="AJ16" s="21">
        <f t="shared" si="0"/>
        <v>0.31</v>
      </c>
      <c r="AK16" s="9">
        <v>0</v>
      </c>
      <c r="AL16" s="9">
        <v>0</v>
      </c>
      <c r="AM16" s="9">
        <v>0</v>
      </c>
      <c r="AN16" s="13"/>
      <c r="AO16" s="13">
        <v>901.8</v>
      </c>
      <c r="AP16" s="13">
        <f t="shared" si="28"/>
        <v>5.58</v>
      </c>
      <c r="AQ16" s="18">
        <f t="shared" si="1"/>
        <v>0.11</v>
      </c>
      <c r="AR16" s="9">
        <v>0.79</v>
      </c>
      <c r="AS16" s="9">
        <v>0.34</v>
      </c>
      <c r="AT16" s="9">
        <v>7.0000000000000007E-2</v>
      </c>
      <c r="AU16" s="9">
        <v>3.58</v>
      </c>
      <c r="AV16" s="9">
        <v>0.13</v>
      </c>
      <c r="AW16" s="9">
        <f>1.13+0.32+0.32</f>
        <v>1.77</v>
      </c>
      <c r="AX16" s="9">
        <f>1.55+0.43</f>
        <v>1.98</v>
      </c>
      <c r="AY16" s="144">
        <f t="shared" si="29"/>
        <v>20.12</v>
      </c>
      <c r="AZ16" s="145">
        <v>3964.8</v>
      </c>
      <c r="BA16" s="145">
        <v>0</v>
      </c>
      <c r="BB16" s="145">
        <f t="shared" si="30"/>
        <v>3964.8</v>
      </c>
      <c r="BC16" s="145">
        <v>20.12</v>
      </c>
      <c r="BD16" s="13">
        <f t="shared" si="31"/>
        <v>0</v>
      </c>
      <c r="BE16" s="9">
        <f t="shared" si="2"/>
        <v>79930.720000000001</v>
      </c>
      <c r="BF16" s="9">
        <v>20.12</v>
      </c>
      <c r="BG16" s="10">
        <v>44409</v>
      </c>
      <c r="BH16" s="9">
        <f t="shared" si="3"/>
        <v>2065.8000000000002</v>
      </c>
      <c r="BI16" s="9">
        <f t="shared" si="4"/>
        <v>20260.77</v>
      </c>
      <c r="BJ16" s="9">
        <f t="shared" si="5"/>
        <v>8700.2099999999991</v>
      </c>
      <c r="BK16" s="9">
        <f t="shared" si="6"/>
        <v>1787.72</v>
      </c>
      <c r="BL16" s="9">
        <f t="shared" si="7"/>
        <v>11044.11</v>
      </c>
      <c r="BM16" s="9">
        <f t="shared" si="8"/>
        <v>1231.54</v>
      </c>
      <c r="BN16" s="9">
        <f t="shared" si="9"/>
        <v>0</v>
      </c>
      <c r="BO16" s="9">
        <f t="shared" si="10"/>
        <v>0</v>
      </c>
      <c r="BP16" s="9">
        <f t="shared" si="11"/>
        <v>0</v>
      </c>
      <c r="BQ16" s="9">
        <f t="shared" si="12"/>
        <v>437</v>
      </c>
      <c r="BR16" s="9">
        <f t="shared" si="13"/>
        <v>3138.43</v>
      </c>
      <c r="BS16" s="9">
        <f t="shared" si="14"/>
        <v>1350.72</v>
      </c>
      <c r="BT16" s="9">
        <f t="shared" si="15"/>
        <v>278.08999999999997</v>
      </c>
      <c r="BU16" s="9">
        <f t="shared" si="16"/>
        <v>14222.27</v>
      </c>
      <c r="BV16" s="9">
        <f t="shared" si="17"/>
        <v>516.45000000000005</v>
      </c>
      <c r="BW16" s="9">
        <f t="shared" si="18"/>
        <v>7031.68</v>
      </c>
      <c r="BX16" s="9">
        <f t="shared" si="19"/>
        <v>7865.95</v>
      </c>
      <c r="BY16" s="17">
        <f t="shared" si="20"/>
        <v>79930.740000000005</v>
      </c>
      <c r="BZ16" s="17">
        <v>2.48</v>
      </c>
      <c r="CA16" s="17">
        <v>0.06</v>
      </c>
      <c r="CB16" s="17">
        <v>0.33</v>
      </c>
      <c r="CC16" s="27">
        <v>0.06</v>
      </c>
      <c r="CD16" s="29">
        <v>6.33</v>
      </c>
      <c r="CE16" s="9">
        <v>11726.5</v>
      </c>
      <c r="CF16" s="9"/>
      <c r="CG16" s="9">
        <v>222.06</v>
      </c>
      <c r="CH16" s="9">
        <v>231.92</v>
      </c>
      <c r="CI16" s="9">
        <f t="shared" si="21"/>
        <v>2.95</v>
      </c>
      <c r="CJ16" s="9">
        <f t="shared" si="22"/>
        <v>0</v>
      </c>
      <c r="CK16" s="13">
        <f t="shared" si="23"/>
        <v>0.06</v>
      </c>
      <c r="CL16" s="13">
        <f t="shared" si="24"/>
        <v>0.06</v>
      </c>
      <c r="CM16" s="13">
        <v>79930.720000000001</v>
      </c>
      <c r="CN16" s="13">
        <v>3456.2</v>
      </c>
      <c r="CO16" s="13">
        <v>0</v>
      </c>
      <c r="CP16" s="13">
        <v>238.38</v>
      </c>
      <c r="CQ16" s="13">
        <v>238.38</v>
      </c>
      <c r="CR16" s="13">
        <v>80847.350000000006</v>
      </c>
      <c r="CS16" s="13">
        <v>3162.78</v>
      </c>
      <c r="CT16" s="13">
        <v>160.71</v>
      </c>
      <c r="CU16" s="13">
        <v>242.15</v>
      </c>
      <c r="CV16" s="13">
        <v>242.15</v>
      </c>
      <c r="CW16" s="202">
        <v>3461</v>
      </c>
      <c r="CX16" s="200">
        <v>1986</v>
      </c>
      <c r="CY16" s="202"/>
      <c r="CZ16" s="202"/>
      <c r="DA16" s="202"/>
      <c r="DB16" s="202"/>
      <c r="DC16" s="202"/>
      <c r="DD16" s="461"/>
      <c r="DE16" s="256"/>
      <c r="DF16" s="202"/>
      <c r="DG16" s="202"/>
      <c r="DH16" s="202"/>
      <c r="DI16" s="204">
        <v>1213</v>
      </c>
      <c r="DJ16" s="202"/>
      <c r="DK16" s="202"/>
      <c r="DL16" s="202"/>
      <c r="DM16" s="202">
        <v>22705</v>
      </c>
      <c r="DN16" s="202">
        <v>765</v>
      </c>
      <c r="DO16" s="202">
        <v>0.45</v>
      </c>
      <c r="DP16" s="202"/>
      <c r="DQ16" s="202"/>
      <c r="DR16" s="202"/>
      <c r="DS16" s="202">
        <v>10910</v>
      </c>
      <c r="DT16" s="254">
        <v>384</v>
      </c>
      <c r="DU16" s="254">
        <v>131</v>
      </c>
      <c r="DV16" s="202">
        <v>18344</v>
      </c>
      <c r="DW16" s="202"/>
      <c r="DX16" s="202"/>
      <c r="DY16" s="107">
        <v>1365</v>
      </c>
      <c r="DZ16" s="107"/>
      <c r="EA16" s="202"/>
      <c r="EB16" s="202"/>
      <c r="EC16" s="202"/>
      <c r="ED16" s="202"/>
      <c r="EE16" s="202"/>
      <c r="EF16" s="229"/>
      <c r="EG16" s="202"/>
      <c r="EH16" s="202"/>
      <c r="EI16" s="202"/>
      <c r="EJ16" s="202"/>
      <c r="EK16" s="202">
        <v>3440.83</v>
      </c>
      <c r="EL16" s="202">
        <v>0</v>
      </c>
      <c r="EM16" s="202">
        <v>222.06</v>
      </c>
      <c r="EN16" s="202">
        <v>231.92</v>
      </c>
      <c r="EO16" s="202">
        <v>3440.83</v>
      </c>
      <c r="EP16" s="202"/>
      <c r="EQ16" s="202">
        <v>222.06</v>
      </c>
      <c r="ER16" s="202">
        <v>231.92</v>
      </c>
      <c r="ES16" s="202"/>
      <c r="ET16" s="202"/>
      <c r="EU16" s="202"/>
      <c r="EV16" s="214">
        <v>2.15</v>
      </c>
      <c r="EW16" s="240">
        <f t="shared" si="25"/>
        <v>8688.93</v>
      </c>
      <c r="EX16" s="209">
        <f t="shared" si="26"/>
        <v>5655.22</v>
      </c>
    </row>
    <row r="17" spans="1:154" ht="12.75" customHeight="1" x14ac:dyDescent="0.2">
      <c r="A17" s="45" t="s">
        <v>28</v>
      </c>
      <c r="B17" s="141" t="s">
        <v>7</v>
      </c>
      <c r="C17" s="142" t="s">
        <v>27</v>
      </c>
      <c r="D17" s="143" t="s">
        <v>543</v>
      </c>
      <c r="E17" s="142" t="s">
        <v>9</v>
      </c>
      <c r="F17" s="11">
        <v>5</v>
      </c>
      <c r="G17" s="11">
        <v>4</v>
      </c>
      <c r="H17" s="11">
        <v>80</v>
      </c>
      <c r="I17" s="11">
        <v>80</v>
      </c>
      <c r="J17" s="11">
        <v>160</v>
      </c>
      <c r="K17" s="11">
        <v>192</v>
      </c>
      <c r="L17" s="84" t="s">
        <v>746</v>
      </c>
      <c r="M17" s="84">
        <v>279</v>
      </c>
      <c r="N17" s="84">
        <v>970</v>
      </c>
      <c r="O17" s="84">
        <v>0</v>
      </c>
      <c r="P17" s="133">
        <v>278.5</v>
      </c>
      <c r="Q17" s="133">
        <v>870.1</v>
      </c>
      <c r="R17" s="133">
        <v>0</v>
      </c>
      <c r="S17" s="133">
        <f t="shared" si="27"/>
        <v>1148.5999999999999</v>
      </c>
      <c r="T17" s="134">
        <v>278.5</v>
      </c>
      <c r="U17" s="130">
        <v>1.53</v>
      </c>
      <c r="V17" s="131">
        <v>1.9800000000000002E-2</v>
      </c>
      <c r="W17" s="131">
        <v>1.9800000000000002E-2</v>
      </c>
      <c r="X17" s="132">
        <v>1.2199999999999999E-3</v>
      </c>
      <c r="Y17" s="131">
        <v>3.95E-2</v>
      </c>
      <c r="Z17" s="29">
        <v>3525.88</v>
      </c>
      <c r="AA17" s="34"/>
      <c r="AB17" s="9">
        <f t="shared" si="32"/>
        <v>3525.88</v>
      </c>
      <c r="AC17" s="9">
        <f t="shared" si="33"/>
        <v>22318.82</v>
      </c>
      <c r="AD17" s="9">
        <v>0.4</v>
      </c>
      <c r="AE17" s="9">
        <v>4.2699999999999996</v>
      </c>
      <c r="AF17" s="21">
        <f>2.44-AJ17</f>
        <v>2.1800000000000002</v>
      </c>
      <c r="AG17" s="18">
        <f>0.54-AQ17</f>
        <v>0.43</v>
      </c>
      <c r="AH17" s="9">
        <v>2.78</v>
      </c>
      <c r="AI17" s="43">
        <v>931</v>
      </c>
      <c r="AJ17" s="21">
        <f t="shared" si="0"/>
        <v>0.26</v>
      </c>
      <c r="AK17" s="9">
        <v>0</v>
      </c>
      <c r="AL17" s="9">
        <v>0</v>
      </c>
      <c r="AM17" s="9">
        <v>0.16</v>
      </c>
      <c r="AN17" s="13"/>
      <c r="AO17" s="13">
        <v>801.6</v>
      </c>
      <c r="AP17" s="13">
        <f t="shared" si="28"/>
        <v>5.58</v>
      </c>
      <c r="AQ17" s="18">
        <f t="shared" si="1"/>
        <v>0.11</v>
      </c>
      <c r="AR17" s="9">
        <v>0.81</v>
      </c>
      <c r="AS17" s="9">
        <v>0.39</v>
      </c>
      <c r="AT17" s="9">
        <v>7.0000000000000007E-2</v>
      </c>
      <c r="AU17" s="9">
        <v>4.32</v>
      </c>
      <c r="AV17" s="9">
        <v>0.12</v>
      </c>
      <c r="AW17" s="9">
        <f>1.06+0.38+0.31</f>
        <v>1.75</v>
      </c>
      <c r="AX17" s="9">
        <f>1.46+0.51</f>
        <v>1.97</v>
      </c>
      <c r="AY17" s="144">
        <f t="shared" si="29"/>
        <v>20.02</v>
      </c>
      <c r="AZ17" s="145">
        <v>3522.8</v>
      </c>
      <c r="BA17" s="145">
        <v>0</v>
      </c>
      <c r="BB17" s="145">
        <f t="shared" si="30"/>
        <v>3522.8</v>
      </c>
      <c r="BC17" s="145">
        <v>20.02</v>
      </c>
      <c r="BD17" s="13">
        <f t="shared" si="31"/>
        <v>0</v>
      </c>
      <c r="BE17" s="9">
        <f t="shared" si="2"/>
        <v>70588.12</v>
      </c>
      <c r="BF17" s="9">
        <v>20.02</v>
      </c>
      <c r="BG17" s="10">
        <v>44409</v>
      </c>
      <c r="BH17" s="9">
        <f t="shared" si="3"/>
        <v>1410.35</v>
      </c>
      <c r="BI17" s="9">
        <f t="shared" si="4"/>
        <v>15055.51</v>
      </c>
      <c r="BJ17" s="9">
        <f t="shared" si="5"/>
        <v>7686.42</v>
      </c>
      <c r="BK17" s="9">
        <f t="shared" si="6"/>
        <v>1516.13</v>
      </c>
      <c r="BL17" s="9">
        <f t="shared" si="7"/>
        <v>9801.9500000000007</v>
      </c>
      <c r="BM17" s="9">
        <f t="shared" si="8"/>
        <v>916.73</v>
      </c>
      <c r="BN17" s="9">
        <f t="shared" si="9"/>
        <v>0</v>
      </c>
      <c r="BO17" s="9">
        <f t="shared" si="10"/>
        <v>0</v>
      </c>
      <c r="BP17" s="9">
        <f t="shared" si="11"/>
        <v>564.14</v>
      </c>
      <c r="BQ17" s="9">
        <f t="shared" si="12"/>
        <v>387.85</v>
      </c>
      <c r="BR17" s="9">
        <f t="shared" si="13"/>
        <v>2855.96</v>
      </c>
      <c r="BS17" s="9">
        <f t="shared" si="14"/>
        <v>1375.09</v>
      </c>
      <c r="BT17" s="9">
        <f t="shared" si="15"/>
        <v>246.81</v>
      </c>
      <c r="BU17" s="9">
        <f t="shared" si="16"/>
        <v>15231.8</v>
      </c>
      <c r="BV17" s="9">
        <f t="shared" si="17"/>
        <v>423.11</v>
      </c>
      <c r="BW17" s="9">
        <f t="shared" si="18"/>
        <v>6170.29</v>
      </c>
      <c r="BX17" s="9">
        <f t="shared" si="19"/>
        <v>6945.98</v>
      </c>
      <c r="BY17" s="17">
        <f t="shared" si="20"/>
        <v>70588.12</v>
      </c>
      <c r="BZ17" s="17">
        <v>2.04</v>
      </c>
      <c r="CA17" s="17">
        <v>0.04</v>
      </c>
      <c r="CB17" s="17">
        <v>0.25</v>
      </c>
      <c r="CC17" s="27">
        <v>0.04</v>
      </c>
      <c r="CD17" s="29">
        <v>6.33</v>
      </c>
      <c r="CE17" s="9">
        <v>0</v>
      </c>
      <c r="CF17" s="9"/>
      <c r="CG17" s="9">
        <v>0</v>
      </c>
      <c r="CH17" s="9">
        <v>78.16</v>
      </c>
      <c r="CI17" s="9">
        <f t="shared" si="21"/>
        <v>0</v>
      </c>
      <c r="CJ17" s="9">
        <f t="shared" si="22"/>
        <v>0</v>
      </c>
      <c r="CK17" s="13">
        <f t="shared" si="23"/>
        <v>0</v>
      </c>
      <c r="CL17" s="13">
        <f t="shared" si="24"/>
        <v>0.02</v>
      </c>
      <c r="CM17" s="13">
        <v>70588.09</v>
      </c>
      <c r="CN17" s="13">
        <v>0</v>
      </c>
      <c r="CO17" s="13">
        <v>10965.51</v>
      </c>
      <c r="CP17" s="13">
        <v>0</v>
      </c>
      <c r="CQ17" s="13">
        <v>70.489999999999995</v>
      </c>
      <c r="CR17" s="13">
        <v>71634.84</v>
      </c>
      <c r="CS17" s="13">
        <v>1427.53</v>
      </c>
      <c r="CT17" s="13">
        <v>6876.05</v>
      </c>
      <c r="CU17" s="13">
        <v>20.07</v>
      </c>
      <c r="CV17" s="13">
        <v>76.180000000000007</v>
      </c>
      <c r="CW17" s="202">
        <v>3072</v>
      </c>
      <c r="CX17" s="200">
        <v>1762</v>
      </c>
      <c r="CY17" s="202"/>
      <c r="CZ17" s="202"/>
      <c r="DA17" s="202"/>
      <c r="DB17" s="202"/>
      <c r="DC17" s="202"/>
      <c r="DD17" s="461"/>
      <c r="DE17" s="256"/>
      <c r="DF17" s="202"/>
      <c r="DG17" s="202"/>
      <c r="DH17" s="202"/>
      <c r="DI17" s="204">
        <v>931</v>
      </c>
      <c r="DJ17" s="202"/>
      <c r="DK17" s="202"/>
      <c r="DL17" s="202"/>
      <c r="DM17" s="202">
        <v>16801</v>
      </c>
      <c r="DN17" s="202">
        <v>765</v>
      </c>
      <c r="DO17" s="202">
        <v>0.45</v>
      </c>
      <c r="DP17" s="202"/>
      <c r="DQ17" s="202"/>
      <c r="DR17" s="202"/>
      <c r="DS17" s="202"/>
      <c r="DT17" s="254"/>
      <c r="DU17" s="254"/>
      <c r="DV17" s="202">
        <v>16035</v>
      </c>
      <c r="DW17" s="202"/>
      <c r="DX17" s="202"/>
      <c r="DY17" s="107"/>
      <c r="DZ17" s="107">
        <v>577</v>
      </c>
      <c r="EA17" s="202"/>
      <c r="EB17" s="202"/>
      <c r="EC17" s="202"/>
      <c r="ED17" s="202"/>
      <c r="EE17" s="202"/>
      <c r="EF17" s="229"/>
      <c r="EG17" s="202"/>
      <c r="EH17" s="202"/>
      <c r="EI17" s="202"/>
      <c r="EJ17" s="202"/>
      <c r="EK17" s="202">
        <v>0</v>
      </c>
      <c r="EL17" s="202">
        <v>10972.13</v>
      </c>
      <c r="EM17" s="202">
        <v>0</v>
      </c>
      <c r="EN17" s="202">
        <v>78.02</v>
      </c>
      <c r="EO17" s="202">
        <v>0</v>
      </c>
      <c r="EP17" s="202"/>
      <c r="EQ17" s="202">
        <v>0</v>
      </c>
      <c r="ER17" s="202">
        <v>78.02</v>
      </c>
      <c r="ES17" s="202"/>
      <c r="ET17" s="202"/>
      <c r="EU17" s="202"/>
      <c r="EV17" s="214">
        <f>-3.34+9682.84</f>
        <v>9679.5</v>
      </c>
      <c r="EW17" s="240">
        <f t="shared" si="25"/>
        <v>7711.66</v>
      </c>
      <c r="EX17" s="209">
        <f t="shared" si="26"/>
        <v>5019.16</v>
      </c>
    </row>
    <row r="18" spans="1:154" ht="12.75" customHeight="1" x14ac:dyDescent="0.2">
      <c r="A18" s="45" t="s">
        <v>29</v>
      </c>
      <c r="B18" s="141" t="s">
        <v>7</v>
      </c>
      <c r="C18" s="142" t="s">
        <v>27</v>
      </c>
      <c r="D18" s="143" t="s">
        <v>544</v>
      </c>
      <c r="E18" s="142" t="s">
        <v>30</v>
      </c>
      <c r="F18" s="11">
        <v>5</v>
      </c>
      <c r="G18" s="11">
        <v>4</v>
      </c>
      <c r="H18" s="11">
        <v>80</v>
      </c>
      <c r="I18" s="11">
        <v>81</v>
      </c>
      <c r="J18" s="11">
        <v>156</v>
      </c>
      <c r="K18" s="11">
        <v>187</v>
      </c>
      <c r="L18" s="84" t="s">
        <v>746</v>
      </c>
      <c r="M18" s="137">
        <v>277</v>
      </c>
      <c r="N18" s="137">
        <v>1040</v>
      </c>
      <c r="O18" s="137">
        <v>0</v>
      </c>
      <c r="P18" s="133">
        <v>277</v>
      </c>
      <c r="Q18" s="137">
        <v>1040</v>
      </c>
      <c r="R18" s="137">
        <v>0</v>
      </c>
      <c r="S18" s="133">
        <f t="shared" si="27"/>
        <v>1317</v>
      </c>
      <c r="T18" s="134">
        <v>277</v>
      </c>
      <c r="U18" s="130">
        <v>1.53</v>
      </c>
      <c r="V18" s="131">
        <v>1.9800000000000002E-2</v>
      </c>
      <c r="W18" s="131">
        <v>1.9800000000000002E-2</v>
      </c>
      <c r="X18" s="132">
        <v>1.2199999999999999E-3</v>
      </c>
      <c r="Y18" s="131">
        <v>3.95E-2</v>
      </c>
      <c r="Z18" s="29">
        <v>3536.86</v>
      </c>
      <c r="AA18" s="34"/>
      <c r="AB18" s="9">
        <f t="shared" si="32"/>
        <v>3536.86</v>
      </c>
      <c r="AC18" s="9">
        <f t="shared" si="33"/>
        <v>22388.32</v>
      </c>
      <c r="AD18" s="9">
        <v>0.39</v>
      </c>
      <c r="AE18" s="9">
        <v>3.97</v>
      </c>
      <c r="AF18" s="21">
        <f>2.42-AJ18</f>
        <v>2.14</v>
      </c>
      <c r="AG18" s="18">
        <f>0.54-AQ18</f>
        <v>0.43</v>
      </c>
      <c r="AH18" s="9">
        <v>2.78</v>
      </c>
      <c r="AI18" s="43">
        <v>998</v>
      </c>
      <c r="AJ18" s="21">
        <f t="shared" si="0"/>
        <v>0.28000000000000003</v>
      </c>
      <c r="AK18" s="9">
        <v>0</v>
      </c>
      <c r="AL18" s="9">
        <v>0</v>
      </c>
      <c r="AM18" s="9">
        <v>0.16</v>
      </c>
      <c r="AN18" s="13"/>
      <c r="AO18" s="13">
        <v>801.6</v>
      </c>
      <c r="AP18" s="13">
        <f t="shared" si="28"/>
        <v>5.58</v>
      </c>
      <c r="AQ18" s="18">
        <f t="shared" si="1"/>
        <v>0.11</v>
      </c>
      <c r="AR18" s="9">
        <v>0.81</v>
      </c>
      <c r="AS18" s="9">
        <v>0.39</v>
      </c>
      <c r="AT18" s="9">
        <v>7.0000000000000007E-2</v>
      </c>
      <c r="AU18" s="9">
        <v>4.7300000000000004</v>
      </c>
      <c r="AV18" s="9">
        <v>0.12</v>
      </c>
      <c r="AW18" s="9">
        <f>1.03+0.42+0.31</f>
        <v>1.76</v>
      </c>
      <c r="AX18" s="9">
        <f>1.42+0.56</f>
        <v>1.98</v>
      </c>
      <c r="AY18" s="144">
        <f t="shared" si="29"/>
        <v>20.12</v>
      </c>
      <c r="AZ18" s="145">
        <v>3525.4</v>
      </c>
      <c r="BA18" s="145">
        <v>0</v>
      </c>
      <c r="BB18" s="145">
        <f t="shared" si="30"/>
        <v>3525.4</v>
      </c>
      <c r="BC18" s="145">
        <v>20.12</v>
      </c>
      <c r="BD18" s="13">
        <f t="shared" si="31"/>
        <v>0</v>
      </c>
      <c r="BE18" s="9">
        <f t="shared" si="2"/>
        <v>71161.62</v>
      </c>
      <c r="BF18" s="9">
        <v>20.12</v>
      </c>
      <c r="BG18" s="10">
        <v>44409</v>
      </c>
      <c r="BH18" s="9">
        <f t="shared" si="3"/>
        <v>1379.38</v>
      </c>
      <c r="BI18" s="9">
        <f t="shared" si="4"/>
        <v>14041.33</v>
      </c>
      <c r="BJ18" s="9">
        <f t="shared" si="5"/>
        <v>7568.88</v>
      </c>
      <c r="BK18" s="9">
        <f t="shared" si="6"/>
        <v>1520.85</v>
      </c>
      <c r="BL18" s="9">
        <f t="shared" si="7"/>
        <v>9832.4699999999993</v>
      </c>
      <c r="BM18" s="9">
        <f t="shared" si="8"/>
        <v>990.32</v>
      </c>
      <c r="BN18" s="9">
        <f t="shared" si="9"/>
        <v>0</v>
      </c>
      <c r="BO18" s="9">
        <f t="shared" si="10"/>
        <v>0</v>
      </c>
      <c r="BP18" s="9">
        <f t="shared" si="11"/>
        <v>565.9</v>
      </c>
      <c r="BQ18" s="9">
        <f t="shared" si="12"/>
        <v>389.05</v>
      </c>
      <c r="BR18" s="9">
        <f t="shared" si="13"/>
        <v>2864.86</v>
      </c>
      <c r="BS18" s="9">
        <f t="shared" si="14"/>
        <v>1379.38</v>
      </c>
      <c r="BT18" s="9">
        <f t="shared" si="15"/>
        <v>247.58</v>
      </c>
      <c r="BU18" s="9">
        <f t="shared" si="16"/>
        <v>16729.349999999999</v>
      </c>
      <c r="BV18" s="9">
        <f t="shared" si="17"/>
        <v>424.42</v>
      </c>
      <c r="BW18" s="9">
        <f t="shared" si="18"/>
        <v>6224.87</v>
      </c>
      <c r="BX18" s="9">
        <f t="shared" si="19"/>
        <v>7002.98</v>
      </c>
      <c r="BY18" s="17">
        <f t="shared" si="20"/>
        <v>71161.62</v>
      </c>
      <c r="BZ18" s="17">
        <v>2.19</v>
      </c>
      <c r="CA18" s="17">
        <v>0.04</v>
      </c>
      <c r="CB18" s="17">
        <v>0.24</v>
      </c>
      <c r="CC18" s="27">
        <v>0.04</v>
      </c>
      <c r="CD18" s="29">
        <v>6.33</v>
      </c>
      <c r="CE18" s="9">
        <v>0</v>
      </c>
      <c r="CF18" s="9"/>
      <c r="CG18" s="9">
        <v>14674.03</v>
      </c>
      <c r="CH18" s="9">
        <v>7759.96</v>
      </c>
      <c r="CI18" s="9">
        <f t="shared" si="21"/>
        <v>0</v>
      </c>
      <c r="CJ18" s="9">
        <f t="shared" si="22"/>
        <v>0</v>
      </c>
      <c r="CK18" s="13">
        <f t="shared" si="23"/>
        <v>4.1500000000000004</v>
      </c>
      <c r="CL18" s="13">
        <f t="shared" si="24"/>
        <v>2.19</v>
      </c>
      <c r="CM18" s="13">
        <v>71161.61</v>
      </c>
      <c r="CN18" s="13">
        <v>0</v>
      </c>
      <c r="CO18" s="13">
        <v>0</v>
      </c>
      <c r="CP18" s="13">
        <v>12768.07</v>
      </c>
      <c r="CQ18" s="13">
        <v>6755.41</v>
      </c>
      <c r="CR18" s="13">
        <v>62608.05</v>
      </c>
      <c r="CS18" s="13">
        <v>1230.94</v>
      </c>
      <c r="CT18" s="13">
        <v>124.09</v>
      </c>
      <c r="CU18" s="13">
        <v>10014.16</v>
      </c>
      <c r="CV18" s="13">
        <v>5305.56</v>
      </c>
      <c r="CW18" s="202">
        <v>3081</v>
      </c>
      <c r="CX18" s="200">
        <v>1768</v>
      </c>
      <c r="CY18" s="202"/>
      <c r="CZ18" s="202"/>
      <c r="DA18" s="202"/>
      <c r="DB18" s="202"/>
      <c r="DC18" s="202"/>
      <c r="DD18" s="461"/>
      <c r="DE18" s="256"/>
      <c r="DF18" s="202"/>
      <c r="DG18" s="202"/>
      <c r="DH18" s="202"/>
      <c r="DI18" s="204">
        <v>998</v>
      </c>
      <c r="DJ18" s="202"/>
      <c r="DK18" s="202"/>
      <c r="DL18" s="202"/>
      <c r="DM18" s="202">
        <v>15733</v>
      </c>
      <c r="DN18" s="202">
        <v>765</v>
      </c>
      <c r="DO18" s="202">
        <v>0.45</v>
      </c>
      <c r="DP18" s="202"/>
      <c r="DQ18" s="202"/>
      <c r="DR18" s="202"/>
      <c r="DS18" s="202">
        <v>9100</v>
      </c>
      <c r="DT18" s="254">
        <v>320</v>
      </c>
      <c r="DU18" s="254">
        <v>110</v>
      </c>
      <c r="DV18" s="202">
        <v>16003</v>
      </c>
      <c r="DW18" s="202"/>
      <c r="DX18" s="202"/>
      <c r="DY18" s="107">
        <v>1365</v>
      </c>
      <c r="DZ18" s="107"/>
      <c r="EA18" s="202"/>
      <c r="EB18" s="202"/>
      <c r="EC18" s="202"/>
      <c r="ED18" s="202"/>
      <c r="EE18" s="202"/>
      <c r="EF18" s="229"/>
      <c r="EG18" s="202"/>
      <c r="EH18" s="202"/>
      <c r="EI18" s="202"/>
      <c r="EJ18" s="202"/>
      <c r="EK18" s="202">
        <v>0</v>
      </c>
      <c r="EL18" s="202">
        <v>0</v>
      </c>
      <c r="EM18" s="202">
        <v>12782.35</v>
      </c>
      <c r="EN18" s="202">
        <v>6769.6</v>
      </c>
      <c r="EO18" s="202">
        <v>0</v>
      </c>
      <c r="EP18" s="202"/>
      <c r="EQ18" s="202">
        <v>12782.35</v>
      </c>
      <c r="ER18" s="202">
        <v>6769.6</v>
      </c>
      <c r="ES18" s="202"/>
      <c r="ET18" s="202"/>
      <c r="EU18" s="202"/>
      <c r="EV18" s="214">
        <v>394.69</v>
      </c>
      <c r="EW18" s="240">
        <f t="shared" si="25"/>
        <v>7735.68</v>
      </c>
      <c r="EX18" s="209">
        <f t="shared" si="26"/>
        <v>5034.79</v>
      </c>
    </row>
    <row r="19" spans="1:154" ht="12.75" customHeight="1" x14ac:dyDescent="0.2">
      <c r="A19" s="45" t="s">
        <v>31</v>
      </c>
      <c r="B19" s="141" t="s">
        <v>7</v>
      </c>
      <c r="C19" s="142" t="s">
        <v>32</v>
      </c>
      <c r="D19" s="143" t="s">
        <v>396</v>
      </c>
      <c r="E19" s="142" t="s">
        <v>12</v>
      </c>
      <c r="F19" s="11">
        <v>5</v>
      </c>
      <c r="G19" s="11">
        <v>3</v>
      </c>
      <c r="H19" s="11">
        <v>60</v>
      </c>
      <c r="I19" s="11">
        <v>0</v>
      </c>
      <c r="J19" s="11">
        <v>128</v>
      </c>
      <c r="K19" s="11">
        <v>154</v>
      </c>
      <c r="L19" s="84" t="s">
        <v>746</v>
      </c>
      <c r="M19" s="84">
        <v>209</v>
      </c>
      <c r="N19" s="84">
        <v>750</v>
      </c>
      <c r="O19" s="84">
        <v>0</v>
      </c>
      <c r="P19" s="133">
        <v>208.5</v>
      </c>
      <c r="Q19" s="133">
        <v>504.6</v>
      </c>
      <c r="R19" s="133">
        <v>0</v>
      </c>
      <c r="S19" s="133">
        <f t="shared" si="27"/>
        <v>713.1</v>
      </c>
      <c r="T19" s="134">
        <v>209</v>
      </c>
      <c r="U19" s="130">
        <v>1.53</v>
      </c>
      <c r="V19" s="91">
        <v>1.9800000000000002E-2</v>
      </c>
      <c r="W19" s="91">
        <v>1.9800000000000002E-2</v>
      </c>
      <c r="X19" s="132">
        <v>1.2199999999999999E-3</v>
      </c>
      <c r="Y19" s="91">
        <v>3.95E-2</v>
      </c>
      <c r="Z19" s="29">
        <v>2588.02</v>
      </c>
      <c r="AA19" s="34"/>
      <c r="AB19" s="9">
        <f t="shared" si="32"/>
        <v>2588.02</v>
      </c>
      <c r="AC19" s="9">
        <f t="shared" si="33"/>
        <v>16382.17</v>
      </c>
      <c r="AD19" s="9">
        <v>0.4</v>
      </c>
      <c r="AE19" s="9">
        <v>5.08</v>
      </c>
      <c r="AF19" s="21">
        <f>2.44-AJ19</f>
        <v>2.16</v>
      </c>
      <c r="AG19" s="18">
        <f>0.54-AQ19</f>
        <v>0.43</v>
      </c>
      <c r="AH19" s="9">
        <v>2.78</v>
      </c>
      <c r="AI19" s="43">
        <v>720</v>
      </c>
      <c r="AJ19" s="21">
        <f t="shared" si="0"/>
        <v>0.28000000000000003</v>
      </c>
      <c r="AK19" s="9">
        <v>0</v>
      </c>
      <c r="AL19" s="9">
        <v>0</v>
      </c>
      <c r="AM19" s="9">
        <v>0.22</v>
      </c>
      <c r="AN19" s="13"/>
      <c r="AO19" s="13">
        <v>601.20000000000005</v>
      </c>
      <c r="AP19" s="13">
        <f t="shared" si="28"/>
        <v>5.58</v>
      </c>
      <c r="AQ19" s="18">
        <f t="shared" si="1"/>
        <v>0.11</v>
      </c>
      <c r="AR19" s="9">
        <v>0.8</v>
      </c>
      <c r="AS19" s="9">
        <v>0.53</v>
      </c>
      <c r="AT19" s="9">
        <v>7.0000000000000007E-2</v>
      </c>
      <c r="AU19" s="9">
        <v>3.35</v>
      </c>
      <c r="AV19" s="9">
        <v>0.13</v>
      </c>
      <c r="AW19" s="9">
        <f>1.15+0.3+0.32</f>
        <v>1.77</v>
      </c>
      <c r="AX19" s="9">
        <f>1.58+0.41</f>
        <v>1.99</v>
      </c>
      <c r="AY19" s="144">
        <f t="shared" si="29"/>
        <v>20.100000000000001</v>
      </c>
      <c r="AZ19" s="145">
        <v>2587</v>
      </c>
      <c r="BA19" s="145">
        <v>0</v>
      </c>
      <c r="BB19" s="145">
        <f t="shared" si="30"/>
        <v>2587</v>
      </c>
      <c r="BC19" s="145">
        <v>20.100000000000001</v>
      </c>
      <c r="BD19" s="13">
        <f t="shared" si="31"/>
        <v>0</v>
      </c>
      <c r="BE19" s="9">
        <f t="shared" si="2"/>
        <v>52019.199999999997</v>
      </c>
      <c r="BF19" s="9">
        <v>20.100000000000001</v>
      </c>
      <c r="BG19" s="10">
        <v>44378</v>
      </c>
      <c r="BH19" s="9">
        <f t="shared" si="3"/>
        <v>1035.21</v>
      </c>
      <c r="BI19" s="9">
        <f t="shared" si="4"/>
        <v>13147.14</v>
      </c>
      <c r="BJ19" s="9">
        <f t="shared" si="5"/>
        <v>5590.12</v>
      </c>
      <c r="BK19" s="9">
        <f t="shared" si="6"/>
        <v>1112.8499999999999</v>
      </c>
      <c r="BL19" s="9">
        <f t="shared" si="7"/>
        <v>7194.7</v>
      </c>
      <c r="BM19" s="9">
        <f t="shared" si="8"/>
        <v>724.65</v>
      </c>
      <c r="BN19" s="9">
        <f t="shared" si="9"/>
        <v>0</v>
      </c>
      <c r="BO19" s="9">
        <f t="shared" si="10"/>
        <v>0</v>
      </c>
      <c r="BP19" s="9">
        <f t="shared" si="11"/>
        <v>569.36</v>
      </c>
      <c r="BQ19" s="9">
        <f t="shared" si="12"/>
        <v>284.68</v>
      </c>
      <c r="BR19" s="9">
        <f t="shared" si="13"/>
        <v>2070.42</v>
      </c>
      <c r="BS19" s="9">
        <f t="shared" si="14"/>
        <v>1371.65</v>
      </c>
      <c r="BT19" s="9">
        <f t="shared" si="15"/>
        <v>181.16</v>
      </c>
      <c r="BU19" s="9">
        <f t="shared" si="16"/>
        <v>8669.8700000000008</v>
      </c>
      <c r="BV19" s="9">
        <f t="shared" si="17"/>
        <v>336.44</v>
      </c>
      <c r="BW19" s="9">
        <f t="shared" si="18"/>
        <v>4580.8</v>
      </c>
      <c r="BX19" s="9">
        <f t="shared" si="19"/>
        <v>5150.16</v>
      </c>
      <c r="BY19" s="17">
        <f t="shared" si="20"/>
        <v>52019.21</v>
      </c>
      <c r="BZ19" s="17">
        <v>2.17</v>
      </c>
      <c r="CA19" s="17">
        <v>0.04</v>
      </c>
      <c r="CB19" s="17">
        <v>0.25</v>
      </c>
      <c r="CC19" s="27">
        <v>0.05</v>
      </c>
      <c r="CD19" s="29">
        <v>6.33</v>
      </c>
      <c r="CE19" s="9">
        <v>5416.31</v>
      </c>
      <c r="CF19" s="9"/>
      <c r="CG19" s="9">
        <v>0</v>
      </c>
      <c r="CH19" s="9">
        <v>58.55</v>
      </c>
      <c r="CI19" s="9">
        <f t="shared" si="21"/>
        <v>2.09</v>
      </c>
      <c r="CJ19" s="9">
        <f t="shared" si="22"/>
        <v>0</v>
      </c>
      <c r="CK19" s="13">
        <f t="shared" si="23"/>
        <v>0</v>
      </c>
      <c r="CL19" s="13">
        <f t="shared" si="24"/>
        <v>0.02</v>
      </c>
      <c r="CM19" s="13">
        <v>52019.199999999997</v>
      </c>
      <c r="CN19" s="13">
        <v>6004.22</v>
      </c>
      <c r="CO19" s="13">
        <v>0</v>
      </c>
      <c r="CP19" s="13">
        <v>181.23</v>
      </c>
      <c r="CQ19" s="13">
        <v>155.29</v>
      </c>
      <c r="CR19" s="13">
        <v>52328.23</v>
      </c>
      <c r="CS19" s="13">
        <v>2226.85</v>
      </c>
      <c r="CT19" s="13">
        <v>82.3</v>
      </c>
      <c r="CU19" s="13">
        <v>1073.75</v>
      </c>
      <c r="CV19" s="13">
        <v>616.07000000000005</v>
      </c>
      <c r="CW19" s="202">
        <v>2254</v>
      </c>
      <c r="CX19" s="200">
        <v>1293</v>
      </c>
      <c r="CY19" s="202"/>
      <c r="CZ19" s="202"/>
      <c r="DA19" s="202"/>
      <c r="DB19" s="202"/>
      <c r="DC19" s="202"/>
      <c r="DD19" s="461"/>
      <c r="DE19" s="256"/>
      <c r="DF19" s="202"/>
      <c r="DG19" s="202"/>
      <c r="DH19" s="202"/>
      <c r="DI19" s="204">
        <v>720</v>
      </c>
      <c r="DJ19" s="202"/>
      <c r="DK19" s="202"/>
      <c r="DL19" s="202"/>
      <c r="DM19" s="202">
        <v>14451</v>
      </c>
      <c r="DN19" s="202">
        <v>765</v>
      </c>
      <c r="DO19" s="202">
        <v>0.45</v>
      </c>
      <c r="DP19" s="202"/>
      <c r="DQ19" s="202"/>
      <c r="DR19" s="202"/>
      <c r="DS19" s="202">
        <v>1000</v>
      </c>
      <c r="DT19" s="254">
        <v>40</v>
      </c>
      <c r="DU19" s="254"/>
      <c r="DV19" s="202">
        <v>11783</v>
      </c>
      <c r="DW19" s="202"/>
      <c r="DX19" s="202"/>
      <c r="DY19" s="107">
        <v>1365</v>
      </c>
      <c r="DZ19" s="107"/>
      <c r="EA19" s="202"/>
      <c r="EB19" s="202"/>
      <c r="EC19" s="202"/>
      <c r="ED19" s="202"/>
      <c r="EE19" s="202"/>
      <c r="EF19" s="229"/>
      <c r="EG19" s="202"/>
      <c r="EH19" s="202"/>
      <c r="EI19" s="202"/>
      <c r="EJ19" s="202"/>
      <c r="EK19" s="202">
        <v>6005.48</v>
      </c>
      <c r="EL19" s="202">
        <v>0</v>
      </c>
      <c r="EM19" s="202">
        <v>189.17</v>
      </c>
      <c r="EN19" s="202">
        <v>157.58000000000001</v>
      </c>
      <c r="EO19" s="202">
        <v>6005.48</v>
      </c>
      <c r="EP19" s="202"/>
      <c r="EQ19" s="202">
        <v>189.17</v>
      </c>
      <c r="ER19" s="202">
        <v>157.58000000000001</v>
      </c>
      <c r="ES19" s="202"/>
      <c r="ET19" s="202"/>
      <c r="EU19" s="202"/>
      <c r="EV19" s="214">
        <v>77.03</v>
      </c>
      <c r="EW19" s="240">
        <f t="shared" si="25"/>
        <v>5660.41</v>
      </c>
      <c r="EX19" s="209">
        <f t="shared" si="26"/>
        <v>3684.1</v>
      </c>
    </row>
    <row r="20" spans="1:154" ht="12.75" customHeight="1" x14ac:dyDescent="0.2">
      <c r="A20" s="45" t="s">
        <v>33</v>
      </c>
      <c r="B20" s="141" t="s">
        <v>7</v>
      </c>
      <c r="C20" s="142" t="s">
        <v>34</v>
      </c>
      <c r="D20" s="143" t="s">
        <v>545</v>
      </c>
      <c r="E20" s="142" t="s">
        <v>9</v>
      </c>
      <c r="F20" s="11">
        <v>5</v>
      </c>
      <c r="G20" s="11">
        <v>6</v>
      </c>
      <c r="H20" s="11">
        <v>90</v>
      </c>
      <c r="I20" s="11">
        <v>0</v>
      </c>
      <c r="J20" s="11">
        <v>192</v>
      </c>
      <c r="K20" s="11">
        <v>216</v>
      </c>
      <c r="L20" s="84" t="s">
        <v>746</v>
      </c>
      <c r="M20" s="84">
        <v>416</v>
      </c>
      <c r="N20" s="84">
        <v>1264</v>
      </c>
      <c r="O20" s="84">
        <v>0</v>
      </c>
      <c r="P20" s="133">
        <v>417</v>
      </c>
      <c r="Q20" s="133">
        <v>1025</v>
      </c>
      <c r="R20" s="133">
        <v>0</v>
      </c>
      <c r="S20" s="133">
        <f t="shared" si="27"/>
        <v>1442</v>
      </c>
      <c r="T20" s="134">
        <v>416</v>
      </c>
      <c r="U20" s="130">
        <v>1.53</v>
      </c>
      <c r="V20" s="131">
        <v>1.9800000000000002E-2</v>
      </c>
      <c r="W20" s="131">
        <v>1.9800000000000002E-2</v>
      </c>
      <c r="X20" s="132">
        <v>1.2199999999999999E-3</v>
      </c>
      <c r="Y20" s="131">
        <v>3.95E-2</v>
      </c>
      <c r="Z20" s="29">
        <v>4001.79</v>
      </c>
      <c r="AA20" s="34"/>
      <c r="AB20" s="9">
        <f t="shared" si="32"/>
        <v>4001.79</v>
      </c>
      <c r="AC20" s="174">
        <v>0</v>
      </c>
      <c r="AD20" s="9">
        <v>0.52</v>
      </c>
      <c r="AE20" s="9">
        <v>4.2</v>
      </c>
      <c r="AF20" s="21">
        <f>2.49-AJ20</f>
        <v>2.19</v>
      </c>
      <c r="AG20" s="18">
        <f>0.56-AQ20</f>
        <v>0.46</v>
      </c>
      <c r="AH20" s="9">
        <v>2.78</v>
      </c>
      <c r="AI20" s="43">
        <v>1213</v>
      </c>
      <c r="AJ20" s="21">
        <f t="shared" si="0"/>
        <v>0.3</v>
      </c>
      <c r="AK20" s="9">
        <v>0</v>
      </c>
      <c r="AL20" s="9">
        <v>0</v>
      </c>
      <c r="AM20" s="9">
        <v>0</v>
      </c>
      <c r="AN20" s="13"/>
      <c r="AO20" s="13">
        <v>901.8</v>
      </c>
      <c r="AP20" s="13">
        <f t="shared" si="28"/>
        <v>5.58</v>
      </c>
      <c r="AQ20" s="18">
        <f t="shared" si="1"/>
        <v>0.1</v>
      </c>
      <c r="AR20" s="9">
        <v>0.71</v>
      </c>
      <c r="AS20" s="9">
        <v>0.34</v>
      </c>
      <c r="AT20" s="9">
        <v>7.0000000000000007E-2</v>
      </c>
      <c r="AU20" s="9">
        <v>4.5199999999999996</v>
      </c>
      <c r="AV20" s="9">
        <v>0.12</v>
      </c>
      <c r="AW20" s="9">
        <f>1.05+0.4+0.32</f>
        <v>1.77</v>
      </c>
      <c r="AX20" s="9">
        <f>1.43+0.55</f>
        <v>1.98</v>
      </c>
      <c r="AY20" s="144">
        <f t="shared" si="29"/>
        <v>20.059999999999999</v>
      </c>
      <c r="AZ20" s="145">
        <v>3994</v>
      </c>
      <c r="BA20" s="145">
        <v>0</v>
      </c>
      <c r="BB20" s="145">
        <f t="shared" si="30"/>
        <v>3994</v>
      </c>
      <c r="BC20" s="145">
        <v>20.059999999999999</v>
      </c>
      <c r="BD20" s="13">
        <f t="shared" si="31"/>
        <v>0</v>
      </c>
      <c r="BE20" s="9">
        <f t="shared" si="2"/>
        <v>80275.91</v>
      </c>
      <c r="BF20" s="9">
        <v>20.059999999999999</v>
      </c>
      <c r="BG20" s="10">
        <v>44409</v>
      </c>
      <c r="BH20" s="9">
        <f t="shared" si="3"/>
        <v>2080.9299999999998</v>
      </c>
      <c r="BI20" s="9">
        <f t="shared" si="4"/>
        <v>16807.52</v>
      </c>
      <c r="BJ20" s="9">
        <f t="shared" si="5"/>
        <v>8763.92</v>
      </c>
      <c r="BK20" s="9">
        <f t="shared" si="6"/>
        <v>1840.82</v>
      </c>
      <c r="BL20" s="9">
        <f t="shared" si="7"/>
        <v>11124.98</v>
      </c>
      <c r="BM20" s="9">
        <f t="shared" si="8"/>
        <v>1200.54</v>
      </c>
      <c r="BN20" s="9">
        <f t="shared" si="9"/>
        <v>0</v>
      </c>
      <c r="BO20" s="9">
        <f t="shared" si="10"/>
        <v>0</v>
      </c>
      <c r="BP20" s="9">
        <f t="shared" si="11"/>
        <v>0</v>
      </c>
      <c r="BQ20" s="9">
        <f t="shared" si="12"/>
        <v>400.18</v>
      </c>
      <c r="BR20" s="9">
        <f t="shared" si="13"/>
        <v>2841.27</v>
      </c>
      <c r="BS20" s="9">
        <f t="shared" si="14"/>
        <v>1360.61</v>
      </c>
      <c r="BT20" s="9">
        <f t="shared" si="15"/>
        <v>280.13</v>
      </c>
      <c r="BU20" s="9">
        <f t="shared" si="16"/>
        <v>18088.09</v>
      </c>
      <c r="BV20" s="9">
        <f t="shared" si="17"/>
        <v>480.21</v>
      </c>
      <c r="BW20" s="9">
        <f t="shared" si="18"/>
        <v>7083.17</v>
      </c>
      <c r="BX20" s="9">
        <f t="shared" si="19"/>
        <v>7923.54</v>
      </c>
      <c r="BY20" s="17">
        <f t="shared" si="20"/>
        <v>80275.91</v>
      </c>
      <c r="BZ20" s="17">
        <v>2.46</v>
      </c>
      <c r="CA20" s="17">
        <v>0.06</v>
      </c>
      <c r="CB20" s="17">
        <v>0.33</v>
      </c>
      <c r="CC20" s="27">
        <v>0.06</v>
      </c>
      <c r="CD20" s="29" t="s">
        <v>739</v>
      </c>
      <c r="CE20" s="9">
        <v>14189.84</v>
      </c>
      <c r="CF20" s="9"/>
      <c r="CG20" s="9">
        <v>222.59</v>
      </c>
      <c r="CH20" s="9">
        <v>232.48</v>
      </c>
      <c r="CI20" s="9">
        <f t="shared" si="21"/>
        <v>3.55</v>
      </c>
      <c r="CJ20" s="9">
        <f t="shared" si="22"/>
        <v>0</v>
      </c>
      <c r="CK20" s="13">
        <f t="shared" si="23"/>
        <v>0.06</v>
      </c>
      <c r="CL20" s="13">
        <f t="shared" si="24"/>
        <v>0.06</v>
      </c>
      <c r="CM20" s="13">
        <v>80275.88</v>
      </c>
      <c r="CN20" s="13">
        <v>0</v>
      </c>
      <c r="CO20" s="13">
        <v>0</v>
      </c>
      <c r="CP20" s="13">
        <v>240.08</v>
      </c>
      <c r="CQ20" s="13">
        <v>240.08</v>
      </c>
      <c r="CR20" s="13">
        <v>86130.61</v>
      </c>
      <c r="CS20" s="13">
        <v>5090.5600000000004</v>
      </c>
      <c r="CT20" s="13">
        <v>188.21</v>
      </c>
      <c r="CU20" s="13">
        <v>257.54000000000002</v>
      </c>
      <c r="CV20" s="13">
        <v>257.54000000000002</v>
      </c>
      <c r="CW20" s="202">
        <v>3487</v>
      </c>
      <c r="CX20" s="200">
        <v>2000</v>
      </c>
      <c r="CY20" s="202"/>
      <c r="CZ20" s="202"/>
      <c r="DA20" s="202"/>
      <c r="DB20" s="202"/>
      <c r="DC20" s="202"/>
      <c r="DD20" s="461"/>
      <c r="DE20" s="256"/>
      <c r="DF20" s="202"/>
      <c r="DG20" s="202"/>
      <c r="DH20" s="202"/>
      <c r="DI20" s="204">
        <v>1213</v>
      </c>
      <c r="DJ20" s="202"/>
      <c r="DK20" s="202"/>
      <c r="DL20" s="202"/>
      <c r="DM20" s="202">
        <v>19250</v>
      </c>
      <c r="DN20" s="202">
        <v>1360</v>
      </c>
      <c r="DO20" s="202">
        <v>0.8</v>
      </c>
      <c r="DP20" s="202"/>
      <c r="DQ20" s="202"/>
      <c r="DR20" s="202"/>
      <c r="DS20" s="202">
        <v>12220</v>
      </c>
      <c r="DT20" s="254">
        <v>384</v>
      </c>
      <c r="DU20" s="254">
        <v>262</v>
      </c>
      <c r="DV20" s="202">
        <v>18457</v>
      </c>
      <c r="DW20" s="202"/>
      <c r="DX20" s="202"/>
      <c r="DY20" s="107">
        <v>1365</v>
      </c>
      <c r="DZ20" s="107"/>
      <c r="EA20" s="202"/>
      <c r="EB20" s="202"/>
      <c r="EC20" s="202"/>
      <c r="ED20" s="202"/>
      <c r="EE20" s="202"/>
      <c r="EF20" s="229"/>
      <c r="EG20" s="202"/>
      <c r="EH20" s="202"/>
      <c r="EI20" s="202"/>
      <c r="EJ20" s="202"/>
      <c r="EK20" s="202">
        <v>0</v>
      </c>
      <c r="EL20" s="202">
        <v>0</v>
      </c>
      <c r="EM20" s="202">
        <v>222.59</v>
      </c>
      <c r="EN20" s="202">
        <v>232.48</v>
      </c>
      <c r="EO20" s="202">
        <v>0</v>
      </c>
      <c r="EP20" s="202"/>
      <c r="EQ20" s="202">
        <v>222.59</v>
      </c>
      <c r="ER20" s="202">
        <v>232.48</v>
      </c>
      <c r="ES20" s="202"/>
      <c r="ET20" s="202"/>
      <c r="EU20" s="202"/>
      <c r="EV20" s="214">
        <v>2.15</v>
      </c>
      <c r="EW20" s="240">
        <f t="shared" si="25"/>
        <v>8752.56</v>
      </c>
      <c r="EX20" s="209">
        <f t="shared" si="26"/>
        <v>5696.63</v>
      </c>
    </row>
    <row r="21" spans="1:154" ht="12.75" customHeight="1" x14ac:dyDescent="0.2">
      <c r="A21" s="45" t="s">
        <v>35</v>
      </c>
      <c r="B21" s="141" t="s">
        <v>7</v>
      </c>
      <c r="C21" s="142" t="s">
        <v>34</v>
      </c>
      <c r="D21" s="143" t="s">
        <v>546</v>
      </c>
      <c r="E21" s="142" t="s">
        <v>30</v>
      </c>
      <c r="F21" s="11">
        <v>5</v>
      </c>
      <c r="G21" s="11">
        <v>4</v>
      </c>
      <c r="H21" s="11">
        <v>80</v>
      </c>
      <c r="I21" s="11">
        <v>0</v>
      </c>
      <c r="J21" s="11">
        <v>176</v>
      </c>
      <c r="K21" s="11">
        <v>184</v>
      </c>
      <c r="L21" s="84" t="s">
        <v>746</v>
      </c>
      <c r="M21" s="84">
        <v>274</v>
      </c>
      <c r="N21" s="84">
        <v>1040</v>
      </c>
      <c r="O21" s="84">
        <v>0</v>
      </c>
      <c r="P21" s="133">
        <v>222.4</v>
      </c>
      <c r="Q21" s="133">
        <v>710</v>
      </c>
      <c r="R21" s="133">
        <v>0</v>
      </c>
      <c r="S21" s="133">
        <f t="shared" si="27"/>
        <v>932.4</v>
      </c>
      <c r="T21" s="134">
        <v>274</v>
      </c>
      <c r="U21" s="130">
        <v>1.53</v>
      </c>
      <c r="V21" s="131">
        <v>1.9800000000000002E-2</v>
      </c>
      <c r="W21" s="131">
        <v>1.9800000000000002E-2</v>
      </c>
      <c r="X21" s="132">
        <v>1.2199999999999999E-3</v>
      </c>
      <c r="Y21" s="131">
        <v>3.95E-2</v>
      </c>
      <c r="Z21" s="29">
        <v>3546.2</v>
      </c>
      <c r="AA21" s="34"/>
      <c r="AB21" s="9">
        <f t="shared" si="32"/>
        <v>3546.2</v>
      </c>
      <c r="AC21" s="9">
        <f t="shared" ref="AC21:AC36" si="34">SUM(AB21*6.33)</f>
        <v>22447.45</v>
      </c>
      <c r="AD21" s="9">
        <v>0.33</v>
      </c>
      <c r="AE21" s="9">
        <v>4.75</v>
      </c>
      <c r="AF21" s="21">
        <f>2.43-AJ21</f>
        <v>2.15</v>
      </c>
      <c r="AG21" s="18">
        <f>0.54-AQ21</f>
        <v>0.43</v>
      </c>
      <c r="AH21" s="9">
        <v>2.78</v>
      </c>
      <c r="AI21" s="43">
        <v>998</v>
      </c>
      <c r="AJ21" s="21">
        <f t="shared" si="0"/>
        <v>0.28000000000000003</v>
      </c>
      <c r="AK21" s="9">
        <v>0</v>
      </c>
      <c r="AL21" s="9">
        <v>0</v>
      </c>
      <c r="AM21" s="9">
        <v>0.16</v>
      </c>
      <c r="AN21" s="13"/>
      <c r="AO21" s="13">
        <v>801.6</v>
      </c>
      <c r="AP21" s="13">
        <f t="shared" si="28"/>
        <v>5.58</v>
      </c>
      <c r="AQ21" s="18">
        <f t="shared" si="1"/>
        <v>0.11</v>
      </c>
      <c r="AR21" s="9">
        <v>0.78</v>
      </c>
      <c r="AS21" s="9">
        <v>0.39</v>
      </c>
      <c r="AT21" s="9">
        <v>7.0000000000000007E-2</v>
      </c>
      <c r="AU21" s="9">
        <v>3.77</v>
      </c>
      <c r="AV21" s="9">
        <v>0.13</v>
      </c>
      <c r="AW21" s="9">
        <f>1.09+0.32+0.33</f>
        <v>1.74</v>
      </c>
      <c r="AX21" s="9">
        <f>1.5+0.44</f>
        <v>1.94</v>
      </c>
      <c r="AY21" s="144">
        <f t="shared" si="29"/>
        <v>19.809999999999999</v>
      </c>
      <c r="AZ21" s="145">
        <v>3530</v>
      </c>
      <c r="BA21" s="145">
        <v>0</v>
      </c>
      <c r="BB21" s="145">
        <f t="shared" si="30"/>
        <v>3530</v>
      </c>
      <c r="BC21" s="145">
        <v>19.809999999999999</v>
      </c>
      <c r="BD21" s="13">
        <f t="shared" si="31"/>
        <v>0</v>
      </c>
      <c r="BE21" s="9">
        <f t="shared" si="2"/>
        <v>70250.22</v>
      </c>
      <c r="BF21" s="9">
        <v>19.809999999999999</v>
      </c>
      <c r="BG21" s="10">
        <v>44409</v>
      </c>
      <c r="BH21" s="9">
        <f t="shared" si="3"/>
        <v>1170.25</v>
      </c>
      <c r="BI21" s="9">
        <f t="shared" si="4"/>
        <v>16844.45</v>
      </c>
      <c r="BJ21" s="9">
        <f t="shared" si="5"/>
        <v>7624.33</v>
      </c>
      <c r="BK21" s="9">
        <f t="shared" si="6"/>
        <v>1524.87</v>
      </c>
      <c r="BL21" s="9">
        <f t="shared" si="7"/>
        <v>9858.44</v>
      </c>
      <c r="BM21" s="9">
        <f t="shared" si="8"/>
        <v>992.94</v>
      </c>
      <c r="BN21" s="9">
        <f t="shared" si="9"/>
        <v>0</v>
      </c>
      <c r="BO21" s="9">
        <f t="shared" si="10"/>
        <v>0</v>
      </c>
      <c r="BP21" s="9">
        <f t="shared" si="11"/>
        <v>567.39</v>
      </c>
      <c r="BQ21" s="9">
        <f t="shared" si="12"/>
        <v>390.08</v>
      </c>
      <c r="BR21" s="9">
        <f t="shared" si="13"/>
        <v>2766.04</v>
      </c>
      <c r="BS21" s="9">
        <f t="shared" si="14"/>
        <v>1383.02</v>
      </c>
      <c r="BT21" s="9">
        <f t="shared" si="15"/>
        <v>248.23</v>
      </c>
      <c r="BU21" s="9">
        <f t="shared" si="16"/>
        <v>13369.17</v>
      </c>
      <c r="BV21" s="9">
        <f t="shared" si="17"/>
        <v>461.01</v>
      </c>
      <c r="BW21" s="9">
        <f t="shared" si="18"/>
        <v>6170.39</v>
      </c>
      <c r="BX21" s="9">
        <f t="shared" si="19"/>
        <v>6879.63</v>
      </c>
      <c r="BY21" s="17">
        <f t="shared" si="20"/>
        <v>70250.240000000005</v>
      </c>
      <c r="BZ21" s="17">
        <v>2.17</v>
      </c>
      <c r="CA21" s="17">
        <v>0.04</v>
      </c>
      <c r="CB21" s="17">
        <v>0.24</v>
      </c>
      <c r="CC21" s="27">
        <v>0.04</v>
      </c>
      <c r="CD21" s="29">
        <v>6.33</v>
      </c>
      <c r="CE21" s="9">
        <v>19736.099999999999</v>
      </c>
      <c r="CF21" s="9"/>
      <c r="CG21" s="9">
        <v>0</v>
      </c>
      <c r="CH21" s="9">
        <v>76.760000000000005</v>
      </c>
      <c r="CI21" s="9">
        <f t="shared" si="21"/>
        <v>5.57</v>
      </c>
      <c r="CJ21" s="9">
        <f t="shared" si="22"/>
        <v>0</v>
      </c>
      <c r="CK21" s="13">
        <f t="shared" si="23"/>
        <v>0</v>
      </c>
      <c r="CL21" s="13">
        <f t="shared" si="24"/>
        <v>0.02</v>
      </c>
      <c r="CM21" s="13">
        <v>70250.28</v>
      </c>
      <c r="CN21" s="13">
        <v>851.14</v>
      </c>
      <c r="CO21" s="13">
        <v>0</v>
      </c>
      <c r="CP21" s="13">
        <v>0</v>
      </c>
      <c r="CQ21" s="13">
        <v>70.94</v>
      </c>
      <c r="CR21" s="13">
        <v>73101.5</v>
      </c>
      <c r="CS21" s="13">
        <v>2553.85</v>
      </c>
      <c r="CT21" s="13">
        <v>120.65</v>
      </c>
      <c r="CU21" s="13">
        <v>20.14</v>
      </c>
      <c r="CV21" s="13">
        <v>78.959999999999994</v>
      </c>
      <c r="CW21" s="202">
        <v>3090</v>
      </c>
      <c r="CX21" s="200">
        <v>1772</v>
      </c>
      <c r="CY21" s="202"/>
      <c r="CZ21" s="202"/>
      <c r="DA21" s="202"/>
      <c r="DB21" s="202"/>
      <c r="DC21" s="202"/>
      <c r="DD21" s="461"/>
      <c r="DE21" s="256"/>
      <c r="DF21" s="202"/>
      <c r="DG21" s="202"/>
      <c r="DH21" s="202"/>
      <c r="DI21" s="204">
        <v>998</v>
      </c>
      <c r="DJ21" s="202"/>
      <c r="DK21" s="202"/>
      <c r="DL21" s="202"/>
      <c r="DM21" s="202">
        <v>18284</v>
      </c>
      <c r="DN21" s="202">
        <v>1360</v>
      </c>
      <c r="DO21" s="202">
        <v>0.8</v>
      </c>
      <c r="DP21" s="202"/>
      <c r="DQ21" s="202"/>
      <c r="DR21" s="202"/>
      <c r="DS21" s="202">
        <v>10190</v>
      </c>
      <c r="DT21" s="254">
        <v>320</v>
      </c>
      <c r="DU21" s="254">
        <v>219</v>
      </c>
      <c r="DV21" s="202">
        <v>16047</v>
      </c>
      <c r="DW21" s="202"/>
      <c r="DX21" s="202"/>
      <c r="DY21" s="107">
        <v>1365</v>
      </c>
      <c r="DZ21" s="107">
        <v>577</v>
      </c>
      <c r="EA21" s="202"/>
      <c r="EB21" s="202"/>
      <c r="EC21" s="202"/>
      <c r="ED21" s="202"/>
      <c r="EE21" s="202"/>
      <c r="EF21" s="229"/>
      <c r="EG21" s="202"/>
      <c r="EH21" s="202"/>
      <c r="EI21" s="202"/>
      <c r="EJ21" s="202"/>
      <c r="EK21" s="202">
        <v>847.73</v>
      </c>
      <c r="EL21" s="202">
        <v>0</v>
      </c>
      <c r="EM21" s="202">
        <v>0</v>
      </c>
      <c r="EN21" s="202">
        <v>76.760000000000005</v>
      </c>
      <c r="EO21" s="202">
        <v>847.73</v>
      </c>
      <c r="EP21" s="202"/>
      <c r="EQ21" s="202">
        <v>0</v>
      </c>
      <c r="ER21" s="202">
        <v>76.760000000000005</v>
      </c>
      <c r="ES21" s="202"/>
      <c r="ET21" s="202"/>
      <c r="EU21" s="202"/>
      <c r="EV21" s="214">
        <v>-3.25</v>
      </c>
      <c r="EW21" s="240">
        <f t="shared" si="25"/>
        <v>7756.11</v>
      </c>
      <c r="EX21" s="209">
        <f t="shared" si="26"/>
        <v>5048.09</v>
      </c>
    </row>
    <row r="22" spans="1:154" ht="12.75" customHeight="1" x14ac:dyDescent="0.2">
      <c r="A22" s="45" t="s">
        <v>36</v>
      </c>
      <c r="B22" s="141" t="s">
        <v>7</v>
      </c>
      <c r="C22" s="142" t="s">
        <v>37</v>
      </c>
      <c r="D22" s="143" t="s">
        <v>397</v>
      </c>
      <c r="E22" s="142" t="s">
        <v>12</v>
      </c>
      <c r="F22" s="11">
        <v>5</v>
      </c>
      <c r="G22" s="11">
        <v>6</v>
      </c>
      <c r="H22" s="11">
        <v>90</v>
      </c>
      <c r="I22" s="11">
        <v>0</v>
      </c>
      <c r="J22" s="11">
        <v>191</v>
      </c>
      <c r="K22" s="11">
        <v>225</v>
      </c>
      <c r="L22" s="84" t="s">
        <v>746</v>
      </c>
      <c r="M22" s="84">
        <v>417</v>
      </c>
      <c r="N22" s="84">
        <v>1264</v>
      </c>
      <c r="O22" s="84">
        <v>0</v>
      </c>
      <c r="P22" s="133">
        <v>417</v>
      </c>
      <c r="Q22" s="133">
        <v>1010.27</v>
      </c>
      <c r="R22" s="133">
        <v>0</v>
      </c>
      <c r="S22" s="133">
        <f t="shared" si="27"/>
        <v>1427.27</v>
      </c>
      <c r="T22" s="134">
        <v>417</v>
      </c>
      <c r="U22" s="130">
        <v>1.53</v>
      </c>
      <c r="V22" s="131">
        <v>1.9800000000000002E-2</v>
      </c>
      <c r="W22" s="131">
        <v>1.9800000000000002E-2</v>
      </c>
      <c r="X22" s="132">
        <v>1.2199999999999999E-3</v>
      </c>
      <c r="Y22" s="131">
        <v>3.95E-2</v>
      </c>
      <c r="Z22" s="29">
        <v>4005.34</v>
      </c>
      <c r="AA22" s="34"/>
      <c r="AB22" s="9">
        <f t="shared" si="32"/>
        <v>4005.34</v>
      </c>
      <c r="AC22" s="9">
        <f t="shared" si="34"/>
        <v>25353.8</v>
      </c>
      <c r="AD22" s="9">
        <v>0.52</v>
      </c>
      <c r="AE22" s="9">
        <v>5.1100000000000003</v>
      </c>
      <c r="AF22" s="21">
        <f>2.43-AJ22</f>
        <v>2.13</v>
      </c>
      <c r="AG22" s="18">
        <f>0.56-AQ22</f>
        <v>0.46</v>
      </c>
      <c r="AH22" s="9">
        <v>2.78</v>
      </c>
      <c r="AI22" s="43">
        <v>1213</v>
      </c>
      <c r="AJ22" s="21">
        <f t="shared" si="0"/>
        <v>0.3</v>
      </c>
      <c r="AK22" s="9">
        <v>0</v>
      </c>
      <c r="AL22" s="9">
        <v>0</v>
      </c>
      <c r="AM22" s="9">
        <v>0</v>
      </c>
      <c r="AN22" s="13"/>
      <c r="AO22" s="13">
        <v>901.8</v>
      </c>
      <c r="AP22" s="13">
        <f t="shared" si="28"/>
        <v>5.58</v>
      </c>
      <c r="AQ22" s="18">
        <f t="shared" si="1"/>
        <v>0.1</v>
      </c>
      <c r="AR22" s="9">
        <v>0.78</v>
      </c>
      <c r="AS22" s="9">
        <v>0.34</v>
      </c>
      <c r="AT22" s="9">
        <v>7.0000000000000007E-2</v>
      </c>
      <c r="AU22" s="9">
        <v>3.52</v>
      </c>
      <c r="AV22" s="9">
        <v>0.13</v>
      </c>
      <c r="AW22" s="9">
        <f>1.13+0.31+0.31</f>
        <v>1.75</v>
      </c>
      <c r="AX22" s="9">
        <f>1.54+0.42</f>
        <v>1.96</v>
      </c>
      <c r="AY22" s="144">
        <f t="shared" si="29"/>
        <v>19.95</v>
      </c>
      <c r="AZ22" s="145">
        <v>4006.2</v>
      </c>
      <c r="BA22" s="145">
        <v>0</v>
      </c>
      <c r="BB22" s="145">
        <f t="shared" si="30"/>
        <v>4006.2</v>
      </c>
      <c r="BC22" s="145">
        <v>19.95</v>
      </c>
      <c r="BD22" s="13">
        <f t="shared" si="31"/>
        <v>0</v>
      </c>
      <c r="BE22" s="9">
        <f t="shared" si="2"/>
        <v>79906.53</v>
      </c>
      <c r="BF22" s="9">
        <v>19.95</v>
      </c>
      <c r="BG22" s="10">
        <v>44409</v>
      </c>
      <c r="BH22" s="9">
        <f t="shared" si="3"/>
        <v>2082.7800000000002</v>
      </c>
      <c r="BI22" s="9">
        <f t="shared" si="4"/>
        <v>20467.29</v>
      </c>
      <c r="BJ22" s="9">
        <f t="shared" si="5"/>
        <v>8531.3700000000008</v>
      </c>
      <c r="BK22" s="9">
        <f t="shared" si="6"/>
        <v>1842.46</v>
      </c>
      <c r="BL22" s="9">
        <f t="shared" si="7"/>
        <v>11134.85</v>
      </c>
      <c r="BM22" s="9">
        <f t="shared" si="8"/>
        <v>1201.5999999999999</v>
      </c>
      <c r="BN22" s="9">
        <f t="shared" si="9"/>
        <v>0</v>
      </c>
      <c r="BO22" s="9">
        <f t="shared" si="10"/>
        <v>0</v>
      </c>
      <c r="BP22" s="9">
        <f t="shared" si="11"/>
        <v>0</v>
      </c>
      <c r="BQ22" s="9">
        <f t="shared" si="12"/>
        <v>400.53</v>
      </c>
      <c r="BR22" s="9">
        <f t="shared" si="13"/>
        <v>3124.17</v>
      </c>
      <c r="BS22" s="9">
        <f t="shared" si="14"/>
        <v>1361.82</v>
      </c>
      <c r="BT22" s="9">
        <f t="shared" si="15"/>
        <v>280.37</v>
      </c>
      <c r="BU22" s="9">
        <f t="shared" si="16"/>
        <v>14098.8</v>
      </c>
      <c r="BV22" s="9">
        <f t="shared" si="17"/>
        <v>520.69000000000005</v>
      </c>
      <c r="BW22" s="9">
        <f t="shared" si="18"/>
        <v>7009.35</v>
      </c>
      <c r="BX22" s="9">
        <f t="shared" si="19"/>
        <v>7850.47</v>
      </c>
      <c r="BY22" s="17">
        <f t="shared" si="20"/>
        <v>79906.55</v>
      </c>
      <c r="BZ22" s="17">
        <v>2.46</v>
      </c>
      <c r="CA22" s="17">
        <v>0.06</v>
      </c>
      <c r="CB22" s="17">
        <v>0.33</v>
      </c>
      <c r="CC22" s="27">
        <v>0.06</v>
      </c>
      <c r="CD22" s="29">
        <v>6.33</v>
      </c>
      <c r="CE22" s="9">
        <v>15669.72</v>
      </c>
      <c r="CF22" s="9"/>
      <c r="CG22" s="9">
        <v>223.13</v>
      </c>
      <c r="CH22" s="9">
        <v>233.04</v>
      </c>
      <c r="CI22" s="9">
        <f t="shared" si="21"/>
        <v>3.91</v>
      </c>
      <c r="CJ22" s="9">
        <f t="shared" si="22"/>
        <v>0</v>
      </c>
      <c r="CK22" s="13">
        <f t="shared" si="23"/>
        <v>0.06</v>
      </c>
      <c r="CL22" s="13">
        <f t="shared" si="24"/>
        <v>0.06</v>
      </c>
      <c r="CM22" s="13">
        <v>79892.72</v>
      </c>
      <c r="CN22" s="13">
        <v>-1.72</v>
      </c>
      <c r="CO22" s="13">
        <v>-0.23</v>
      </c>
      <c r="CP22" s="13">
        <v>240.21</v>
      </c>
      <c r="CQ22" s="13">
        <v>240.21</v>
      </c>
      <c r="CR22" s="13">
        <v>79012.240000000005</v>
      </c>
      <c r="CS22" s="13">
        <v>2120.2199999999998</v>
      </c>
      <c r="CT22" s="13">
        <v>188.82</v>
      </c>
      <c r="CU22" s="13">
        <v>237.53</v>
      </c>
      <c r="CV22" s="13">
        <v>237.53</v>
      </c>
      <c r="CW22" s="202">
        <v>3490</v>
      </c>
      <c r="CX22" s="200">
        <v>2002</v>
      </c>
      <c r="CY22" s="202"/>
      <c r="CZ22" s="202"/>
      <c r="DA22" s="202"/>
      <c r="DB22" s="202"/>
      <c r="DC22" s="202"/>
      <c r="DD22" s="461"/>
      <c r="DE22" s="256"/>
      <c r="DF22" s="202"/>
      <c r="DG22" s="202"/>
      <c r="DH22" s="202"/>
      <c r="DI22" s="204">
        <v>1213</v>
      </c>
      <c r="DJ22" s="202"/>
      <c r="DK22" s="202"/>
      <c r="DL22" s="202"/>
      <c r="DM22" s="202">
        <v>22996</v>
      </c>
      <c r="DN22" s="202">
        <v>1360</v>
      </c>
      <c r="DO22" s="202">
        <v>0.8</v>
      </c>
      <c r="DP22" s="202"/>
      <c r="DQ22" s="202"/>
      <c r="DR22" s="202"/>
      <c r="DS22" s="202">
        <v>10910</v>
      </c>
      <c r="DT22" s="254">
        <v>384</v>
      </c>
      <c r="DU22" s="254">
        <v>131</v>
      </c>
      <c r="DV22" s="202">
        <v>18304</v>
      </c>
      <c r="DW22" s="202"/>
      <c r="DX22" s="202"/>
      <c r="DY22" s="107">
        <v>1365</v>
      </c>
      <c r="DZ22" s="107"/>
      <c r="EA22" s="202"/>
      <c r="EB22" s="202"/>
      <c r="EC22" s="202"/>
      <c r="ED22" s="202"/>
      <c r="EE22" s="202"/>
      <c r="EF22" s="229"/>
      <c r="EG22" s="202"/>
      <c r="EH22" s="202"/>
      <c r="EI22" s="202"/>
      <c r="EJ22" s="202"/>
      <c r="EK22" s="202">
        <v>0</v>
      </c>
      <c r="EL22" s="202">
        <v>0</v>
      </c>
      <c r="EM22" s="202">
        <v>223.13</v>
      </c>
      <c r="EN22" s="202">
        <v>233.04</v>
      </c>
      <c r="EO22" s="202">
        <v>0</v>
      </c>
      <c r="EP22" s="202"/>
      <c r="EQ22" s="202">
        <v>223.13</v>
      </c>
      <c r="ER22" s="202">
        <v>233.04</v>
      </c>
      <c r="ES22" s="202"/>
      <c r="ET22" s="202"/>
      <c r="EU22" s="202"/>
      <c r="EV22" s="214">
        <v>2.15</v>
      </c>
      <c r="EW22" s="240">
        <f t="shared" si="25"/>
        <v>8760.32</v>
      </c>
      <c r="EX22" s="209">
        <f t="shared" si="26"/>
        <v>5701.68</v>
      </c>
    </row>
    <row r="23" spans="1:154" ht="12.75" customHeight="1" x14ac:dyDescent="0.2">
      <c r="A23" s="45" t="s">
        <v>38</v>
      </c>
      <c r="B23" s="123" t="s">
        <v>7</v>
      </c>
      <c r="C23" s="124" t="s">
        <v>39</v>
      </c>
      <c r="D23" s="125" t="s">
        <v>398</v>
      </c>
      <c r="E23" s="124" t="s">
        <v>12</v>
      </c>
      <c r="F23" s="11">
        <v>9</v>
      </c>
      <c r="G23" s="11">
        <v>1</v>
      </c>
      <c r="H23" s="11">
        <v>54</v>
      </c>
      <c r="I23" s="11">
        <v>0</v>
      </c>
      <c r="J23" s="11">
        <v>106</v>
      </c>
      <c r="K23" s="11">
        <v>131</v>
      </c>
      <c r="L23" s="84">
        <v>1</v>
      </c>
      <c r="M23" s="84">
        <v>254</v>
      </c>
      <c r="N23" s="84">
        <v>385</v>
      </c>
      <c r="O23" s="84">
        <v>385</v>
      </c>
      <c r="P23" s="133">
        <f>121.5+132.6</f>
        <v>254.1</v>
      </c>
      <c r="Q23" s="133">
        <f>249.4+6.7+11.5+17.2+12.1</f>
        <v>296.89999999999998</v>
      </c>
      <c r="R23" s="133">
        <v>368.6</v>
      </c>
      <c r="S23" s="133">
        <f t="shared" si="27"/>
        <v>919.6</v>
      </c>
      <c r="T23" s="134">
        <v>254</v>
      </c>
      <c r="U23" s="130">
        <v>2.44</v>
      </c>
      <c r="V23" s="131">
        <v>1.9800000000000002E-2</v>
      </c>
      <c r="W23" s="131">
        <v>1.9800000000000002E-2</v>
      </c>
      <c r="X23" s="132">
        <v>1.32E-3</v>
      </c>
      <c r="Y23" s="131">
        <v>3.9699999999999999E-2</v>
      </c>
      <c r="Z23" s="29">
        <v>2269.3200000000002</v>
      </c>
      <c r="AA23" s="34"/>
      <c r="AB23" s="9">
        <f t="shared" si="32"/>
        <v>2269.3200000000002</v>
      </c>
      <c r="AC23" s="9">
        <f t="shared" si="34"/>
        <v>14364.8</v>
      </c>
      <c r="AD23" s="9">
        <v>1.54</v>
      </c>
      <c r="AE23" s="9">
        <v>4.5599999999999996</v>
      </c>
      <c r="AF23" s="21">
        <f>2.5-AJ23</f>
        <v>2.34</v>
      </c>
      <c r="AG23" s="18">
        <f>0.6-AQ23</f>
        <v>0.54</v>
      </c>
      <c r="AH23" s="9">
        <v>2.77</v>
      </c>
      <c r="AI23" s="43">
        <v>370</v>
      </c>
      <c r="AJ23" s="21">
        <f t="shared" si="0"/>
        <v>0.16</v>
      </c>
      <c r="AK23" s="9">
        <v>1.89</v>
      </c>
      <c r="AL23" s="9">
        <v>0.51</v>
      </c>
      <c r="AM23" s="9">
        <v>0.42</v>
      </c>
      <c r="AN23" s="13"/>
      <c r="AO23" s="13">
        <v>305.89999999999998</v>
      </c>
      <c r="AP23" s="13">
        <f t="shared" si="28"/>
        <v>5.58</v>
      </c>
      <c r="AQ23" s="18">
        <f t="shared" si="1"/>
        <v>0.06</v>
      </c>
      <c r="AR23" s="9">
        <v>0.77</v>
      </c>
      <c r="AS23" s="9">
        <v>0.6</v>
      </c>
      <c r="AT23" s="9">
        <v>7.0000000000000007E-2</v>
      </c>
      <c r="AU23" s="9">
        <v>3.71</v>
      </c>
      <c r="AV23" s="9">
        <v>0.17</v>
      </c>
      <c r="AW23" s="9">
        <f>1.46+0.33+0.34</f>
        <v>2.13</v>
      </c>
      <c r="AX23" s="9">
        <f>2.07+0.46</f>
        <v>2.5299999999999998</v>
      </c>
      <c r="AY23" s="126">
        <f t="shared" si="29"/>
        <v>24.77</v>
      </c>
      <c r="AZ23" s="127">
        <v>2269.6999999999998</v>
      </c>
      <c r="BA23" s="127">
        <v>0</v>
      </c>
      <c r="BB23" s="127">
        <f t="shared" si="30"/>
        <v>2269.6999999999998</v>
      </c>
      <c r="BC23" s="127">
        <v>24.77</v>
      </c>
      <c r="BD23" s="13">
        <f t="shared" si="31"/>
        <v>0</v>
      </c>
      <c r="BE23" s="9">
        <f t="shared" si="2"/>
        <v>56211.06</v>
      </c>
      <c r="BF23" s="9">
        <v>24.77</v>
      </c>
      <c r="BG23" s="10">
        <v>44409</v>
      </c>
      <c r="BH23" s="9">
        <f t="shared" si="3"/>
        <v>3494.75</v>
      </c>
      <c r="BI23" s="9">
        <f t="shared" si="4"/>
        <v>10348.1</v>
      </c>
      <c r="BJ23" s="9">
        <f t="shared" si="5"/>
        <v>5310.21</v>
      </c>
      <c r="BK23" s="9">
        <f t="shared" si="6"/>
        <v>1225.43</v>
      </c>
      <c r="BL23" s="9">
        <f t="shared" si="7"/>
        <v>6286.02</v>
      </c>
      <c r="BM23" s="9">
        <f t="shared" si="8"/>
        <v>363.09</v>
      </c>
      <c r="BN23" s="9">
        <f t="shared" si="9"/>
        <v>4289.01</v>
      </c>
      <c r="BO23" s="9">
        <f t="shared" si="10"/>
        <v>1157.3499999999999</v>
      </c>
      <c r="BP23" s="9">
        <f t="shared" si="11"/>
        <v>953.11</v>
      </c>
      <c r="BQ23" s="9">
        <f t="shared" si="12"/>
        <v>136.16</v>
      </c>
      <c r="BR23" s="9">
        <f t="shared" si="13"/>
        <v>1747.38</v>
      </c>
      <c r="BS23" s="9">
        <f t="shared" si="14"/>
        <v>1361.59</v>
      </c>
      <c r="BT23" s="9">
        <f t="shared" si="15"/>
        <v>158.85</v>
      </c>
      <c r="BU23" s="9">
        <f t="shared" si="16"/>
        <v>8419.18</v>
      </c>
      <c r="BV23" s="9">
        <f t="shared" si="17"/>
        <v>385.78</v>
      </c>
      <c r="BW23" s="9">
        <f t="shared" si="18"/>
        <v>4833.6499999999996</v>
      </c>
      <c r="BX23" s="9">
        <f t="shared" si="19"/>
        <v>5741.38</v>
      </c>
      <c r="BY23" s="17">
        <f t="shared" si="20"/>
        <v>56211.040000000001</v>
      </c>
      <c r="BZ23" s="17">
        <v>4.05</v>
      </c>
      <c r="CA23" s="17">
        <v>0.06</v>
      </c>
      <c r="CB23" s="17">
        <v>0.38</v>
      </c>
      <c r="CC23" s="27">
        <v>0.06</v>
      </c>
      <c r="CD23" s="29">
        <v>6.33</v>
      </c>
      <c r="CE23" s="9">
        <v>12450.95</v>
      </c>
      <c r="CF23" s="9"/>
      <c r="CG23" s="9">
        <v>0</v>
      </c>
      <c r="CH23" s="9">
        <v>71.150000000000006</v>
      </c>
      <c r="CI23" s="9">
        <f t="shared" si="21"/>
        <v>5.49</v>
      </c>
      <c r="CJ23" s="9">
        <f t="shared" si="22"/>
        <v>0</v>
      </c>
      <c r="CK23" s="13">
        <f t="shared" si="23"/>
        <v>0</v>
      </c>
      <c r="CL23" s="13">
        <f t="shared" si="24"/>
        <v>0.03</v>
      </c>
      <c r="CM23" s="13">
        <v>56300.26</v>
      </c>
      <c r="CN23" s="13">
        <v>704.59</v>
      </c>
      <c r="CO23" s="13">
        <v>0</v>
      </c>
      <c r="CP23" s="13">
        <v>0</v>
      </c>
      <c r="CQ23" s="13">
        <v>68.16</v>
      </c>
      <c r="CR23" s="13">
        <v>56355.34</v>
      </c>
      <c r="CS23" s="13">
        <v>3587.53</v>
      </c>
      <c r="CT23" s="13">
        <v>149.28</v>
      </c>
      <c r="CU23" s="13">
        <v>23.56</v>
      </c>
      <c r="CV23" s="13">
        <v>73.78</v>
      </c>
      <c r="CW23" s="202">
        <v>1977</v>
      </c>
      <c r="CX23" s="200">
        <v>1134</v>
      </c>
      <c r="CY23" s="202"/>
      <c r="CZ23" s="202"/>
      <c r="DA23" s="202"/>
      <c r="DB23" s="202"/>
      <c r="DC23" s="202"/>
      <c r="DD23" s="461"/>
      <c r="DE23" s="256"/>
      <c r="DF23" s="202"/>
      <c r="DG23" s="202"/>
      <c r="DH23" s="202"/>
      <c r="DI23" s="204">
        <v>370</v>
      </c>
      <c r="DJ23" s="202">
        <v>4300</v>
      </c>
      <c r="DK23" s="202"/>
      <c r="DL23" s="202">
        <v>14000</v>
      </c>
      <c r="DM23" s="202">
        <v>14103</v>
      </c>
      <c r="DN23" s="202">
        <v>2125</v>
      </c>
      <c r="DO23" s="202">
        <v>1.25</v>
      </c>
      <c r="DP23" s="202"/>
      <c r="DQ23" s="202"/>
      <c r="DR23" s="202"/>
      <c r="DS23" s="202"/>
      <c r="DT23" s="254"/>
      <c r="DU23" s="254"/>
      <c r="DV23" s="202">
        <v>10514</v>
      </c>
      <c r="DW23" s="202"/>
      <c r="DX23" s="202"/>
      <c r="DY23" s="107"/>
      <c r="DZ23" s="107">
        <v>942</v>
      </c>
      <c r="EA23" s="202"/>
      <c r="EB23" s="202"/>
      <c r="EC23" s="202"/>
      <c r="ED23" s="202"/>
      <c r="EE23" s="202"/>
      <c r="EF23" s="229"/>
      <c r="EG23" s="202"/>
      <c r="EH23" s="202"/>
      <c r="EI23" s="202"/>
      <c r="EJ23" s="202"/>
      <c r="EK23" s="202">
        <v>709.01</v>
      </c>
      <c r="EL23" s="202">
        <v>0</v>
      </c>
      <c r="EM23" s="202">
        <v>0</v>
      </c>
      <c r="EN23" s="202">
        <v>71.150000000000006</v>
      </c>
      <c r="EO23" s="202">
        <v>709.01</v>
      </c>
      <c r="EP23" s="202"/>
      <c r="EQ23" s="202">
        <v>0</v>
      </c>
      <c r="ER23" s="202">
        <v>71.150000000000006</v>
      </c>
      <c r="ES23" s="202"/>
      <c r="ET23" s="202"/>
      <c r="EU23" s="202"/>
      <c r="EV23" s="214">
        <v>-2.91</v>
      </c>
      <c r="EW23" s="240">
        <f t="shared" si="25"/>
        <v>4963.37</v>
      </c>
      <c r="EX23" s="209">
        <f t="shared" si="26"/>
        <v>3230.42</v>
      </c>
    </row>
    <row r="24" spans="1:154" ht="12.75" customHeight="1" x14ac:dyDescent="0.2">
      <c r="A24" s="45" t="s">
        <v>40</v>
      </c>
      <c r="B24" s="123" t="s">
        <v>7</v>
      </c>
      <c r="C24" s="124" t="s">
        <v>41</v>
      </c>
      <c r="D24" s="125" t="s">
        <v>399</v>
      </c>
      <c r="E24" s="124" t="s">
        <v>12</v>
      </c>
      <c r="F24" s="11">
        <v>9</v>
      </c>
      <c r="G24" s="11">
        <v>4</v>
      </c>
      <c r="H24" s="11">
        <v>206</v>
      </c>
      <c r="I24" s="11">
        <v>0</v>
      </c>
      <c r="J24" s="11">
        <v>358</v>
      </c>
      <c r="K24" s="11">
        <v>485</v>
      </c>
      <c r="L24" s="84">
        <v>4</v>
      </c>
      <c r="M24" s="84">
        <v>1291</v>
      </c>
      <c r="N24" s="84">
        <v>1400</v>
      </c>
      <c r="O24" s="84">
        <v>1400</v>
      </c>
      <c r="P24" s="133">
        <v>1291</v>
      </c>
      <c r="Q24" s="133">
        <v>870.51</v>
      </c>
      <c r="R24" s="133">
        <v>1603.7</v>
      </c>
      <c r="S24" s="133">
        <f t="shared" si="27"/>
        <v>3765.21</v>
      </c>
      <c r="T24" s="134">
        <v>1291</v>
      </c>
      <c r="U24" s="130">
        <v>2.44</v>
      </c>
      <c r="V24" s="131">
        <v>1.9800000000000002E-2</v>
      </c>
      <c r="W24" s="131">
        <v>1.9800000000000002E-2</v>
      </c>
      <c r="X24" s="132">
        <v>1.32E-3</v>
      </c>
      <c r="Y24" s="131">
        <v>3.9699999999999999E-2</v>
      </c>
      <c r="Z24" s="29">
        <v>8967.66</v>
      </c>
      <c r="AA24" s="34">
        <v>1843.9</v>
      </c>
      <c r="AB24" s="9">
        <f t="shared" si="32"/>
        <v>10811.56</v>
      </c>
      <c r="AC24" s="9">
        <f t="shared" si="34"/>
        <v>68437.17</v>
      </c>
      <c r="AD24" s="9">
        <v>1.51</v>
      </c>
      <c r="AE24" s="9">
        <v>5.27</v>
      </c>
      <c r="AF24" s="21">
        <f>2.44-AJ24</f>
        <v>2.3199999999999998</v>
      </c>
      <c r="AG24" s="18">
        <f>0.57-AQ24</f>
        <v>0.52</v>
      </c>
      <c r="AH24" s="9">
        <v>2.77</v>
      </c>
      <c r="AI24" s="43">
        <v>1344</v>
      </c>
      <c r="AJ24" s="21">
        <f t="shared" si="0"/>
        <v>0.12</v>
      </c>
      <c r="AK24" s="9">
        <v>1.59</v>
      </c>
      <c r="AL24" s="9">
        <v>0.14000000000000001</v>
      </c>
      <c r="AM24" s="9">
        <v>0.09</v>
      </c>
      <c r="AN24" s="13"/>
      <c r="AO24" s="13">
        <v>1223.5999999999999</v>
      </c>
      <c r="AP24" s="13">
        <f t="shared" si="28"/>
        <v>5.58</v>
      </c>
      <c r="AQ24" s="18">
        <f t="shared" si="1"/>
        <v>0.05</v>
      </c>
      <c r="AR24" s="9">
        <v>0.59</v>
      </c>
      <c r="AS24" s="9">
        <v>0.25</v>
      </c>
      <c r="AT24" s="9">
        <v>7.0000000000000007E-2</v>
      </c>
      <c r="AU24" s="9">
        <v>4.01</v>
      </c>
      <c r="AV24" s="9">
        <v>0.16</v>
      </c>
      <c r="AW24" s="9">
        <f>1.37+0.35+0.32</f>
        <v>2.04</v>
      </c>
      <c r="AX24" s="9">
        <f>1.91+0.48</f>
        <v>2.39</v>
      </c>
      <c r="AY24" s="126">
        <f t="shared" si="29"/>
        <v>23.89</v>
      </c>
      <c r="AZ24" s="127">
        <v>8951.9</v>
      </c>
      <c r="BA24" s="127">
        <v>1843.9</v>
      </c>
      <c r="BB24" s="127">
        <f t="shared" si="30"/>
        <v>10795.8</v>
      </c>
      <c r="BC24" s="127">
        <v>23.89</v>
      </c>
      <c r="BD24" s="13">
        <f t="shared" si="31"/>
        <v>0</v>
      </c>
      <c r="BE24" s="9">
        <f t="shared" si="2"/>
        <v>258288.17</v>
      </c>
      <c r="BF24" s="9">
        <v>23.89</v>
      </c>
      <c r="BG24" s="10">
        <v>44409</v>
      </c>
      <c r="BH24" s="9">
        <f t="shared" si="3"/>
        <v>16325.46</v>
      </c>
      <c r="BI24" s="9">
        <f t="shared" si="4"/>
        <v>56976.92</v>
      </c>
      <c r="BJ24" s="9">
        <f t="shared" si="5"/>
        <v>25082.82</v>
      </c>
      <c r="BK24" s="9">
        <f t="shared" si="6"/>
        <v>5622.01</v>
      </c>
      <c r="BL24" s="9">
        <f t="shared" si="7"/>
        <v>29948.02</v>
      </c>
      <c r="BM24" s="9">
        <f t="shared" si="8"/>
        <v>1297.3900000000001</v>
      </c>
      <c r="BN24" s="9">
        <f t="shared" si="9"/>
        <v>17190.38</v>
      </c>
      <c r="BO24" s="9">
        <f t="shared" si="10"/>
        <v>1513.62</v>
      </c>
      <c r="BP24" s="9">
        <f t="shared" si="11"/>
        <v>973.04</v>
      </c>
      <c r="BQ24" s="9">
        <f t="shared" si="12"/>
        <v>540.58000000000004</v>
      </c>
      <c r="BR24" s="9">
        <f t="shared" si="13"/>
        <v>6378.82</v>
      </c>
      <c r="BS24" s="9">
        <f t="shared" si="14"/>
        <v>2702.89</v>
      </c>
      <c r="BT24" s="9">
        <f t="shared" si="15"/>
        <v>756.81</v>
      </c>
      <c r="BU24" s="9">
        <f t="shared" si="16"/>
        <v>43354.36</v>
      </c>
      <c r="BV24" s="9">
        <f t="shared" si="17"/>
        <v>1729.85</v>
      </c>
      <c r="BW24" s="9">
        <f t="shared" si="18"/>
        <v>22055.58</v>
      </c>
      <c r="BX24" s="9">
        <f t="shared" si="19"/>
        <v>25839.63</v>
      </c>
      <c r="BY24" s="17">
        <f t="shared" si="20"/>
        <v>258288.18</v>
      </c>
      <c r="BZ24" s="17">
        <v>3.41</v>
      </c>
      <c r="CA24" s="17">
        <v>0.06</v>
      </c>
      <c r="CB24" s="17">
        <v>0.41</v>
      </c>
      <c r="CC24" s="27">
        <v>7.0000000000000007E-2</v>
      </c>
      <c r="CD24" s="29">
        <v>6.33</v>
      </c>
      <c r="CE24" s="9">
        <v>59230.18</v>
      </c>
      <c r="CF24" s="9"/>
      <c r="CG24" s="9">
        <v>0</v>
      </c>
      <c r="CH24" s="9">
        <v>361.65</v>
      </c>
      <c r="CI24" s="9">
        <f t="shared" si="21"/>
        <v>5.48</v>
      </c>
      <c r="CJ24" s="9">
        <f t="shared" si="22"/>
        <v>0</v>
      </c>
      <c r="CK24" s="13">
        <f t="shared" si="23"/>
        <v>0</v>
      </c>
      <c r="CL24" s="13">
        <f t="shared" si="24"/>
        <v>0.03</v>
      </c>
      <c r="CM24" s="13">
        <v>213931.57</v>
      </c>
      <c r="CN24" s="13">
        <v>30579.8</v>
      </c>
      <c r="CO24" s="13">
        <v>0</v>
      </c>
      <c r="CP24" s="13">
        <v>0</v>
      </c>
      <c r="CQ24" s="13">
        <v>268.95999999999998</v>
      </c>
      <c r="CR24" s="13">
        <v>213383.4</v>
      </c>
      <c r="CS24" s="13">
        <v>30305.57</v>
      </c>
      <c r="CT24" s="13">
        <v>555.79999999999995</v>
      </c>
      <c r="CU24" s="13">
        <v>81.27</v>
      </c>
      <c r="CV24" s="13">
        <v>298.04000000000002</v>
      </c>
      <c r="CW24" s="202">
        <v>9425</v>
      </c>
      <c r="CX24" s="200">
        <v>5407</v>
      </c>
      <c r="CY24" s="202"/>
      <c r="CZ24" s="202"/>
      <c r="DA24" s="202"/>
      <c r="DB24" s="202"/>
      <c r="DC24" s="202"/>
      <c r="DD24" s="461"/>
      <c r="DE24" s="256"/>
      <c r="DF24" s="202"/>
      <c r="DG24" s="202"/>
      <c r="DH24" s="202"/>
      <c r="DI24" s="204">
        <v>1344</v>
      </c>
      <c r="DJ24" s="107">
        <f>17200</f>
        <v>17200</v>
      </c>
      <c r="DK24" s="202"/>
      <c r="DL24" s="202"/>
      <c r="DM24" s="202">
        <v>74369</v>
      </c>
      <c r="DN24" s="202">
        <v>3400</v>
      </c>
      <c r="DO24" s="202">
        <v>2</v>
      </c>
      <c r="DP24" s="202"/>
      <c r="DQ24" s="202"/>
      <c r="DR24" s="202"/>
      <c r="DS24" s="202"/>
      <c r="DT24" s="254"/>
      <c r="DU24" s="254"/>
      <c r="DV24" s="202">
        <v>49487</v>
      </c>
      <c r="DW24" s="202"/>
      <c r="DX24" s="202"/>
      <c r="DY24" s="107">
        <v>2730</v>
      </c>
      <c r="DZ24" s="107">
        <v>942</v>
      </c>
      <c r="EA24" s="202">
        <f>1773.51+1773.51</f>
        <v>3547.02</v>
      </c>
      <c r="EB24" s="202"/>
      <c r="EC24" s="202"/>
      <c r="ED24" s="202"/>
      <c r="EE24" s="202"/>
      <c r="EF24" s="229"/>
      <c r="EG24" s="202"/>
      <c r="EH24" s="202"/>
      <c r="EI24" s="202"/>
      <c r="EJ24" s="202"/>
      <c r="EK24" s="202">
        <v>14561.89</v>
      </c>
      <c r="EL24" s="202">
        <v>0</v>
      </c>
      <c r="EM24" s="202">
        <v>0</v>
      </c>
      <c r="EN24" s="202">
        <v>361.65</v>
      </c>
      <c r="EO24" s="202">
        <v>14561.89</v>
      </c>
      <c r="EP24" s="202"/>
      <c r="EQ24" s="202">
        <v>0</v>
      </c>
      <c r="ER24" s="202">
        <v>361.65</v>
      </c>
      <c r="ES24" s="202"/>
      <c r="ET24" s="202"/>
      <c r="EU24" s="202"/>
      <c r="EV24" s="214">
        <v>-23.54</v>
      </c>
      <c r="EW24" s="240">
        <f t="shared" si="25"/>
        <v>23646.61</v>
      </c>
      <c r="EX24" s="209">
        <f t="shared" si="26"/>
        <v>15390.47</v>
      </c>
    </row>
    <row r="25" spans="1:154" ht="12.75" customHeight="1" x14ac:dyDescent="0.2">
      <c r="A25" s="45" t="s">
        <v>42</v>
      </c>
      <c r="B25" s="153" t="s">
        <v>7</v>
      </c>
      <c r="C25" s="149" t="s">
        <v>727</v>
      </c>
      <c r="D25" s="153" t="s">
        <v>607</v>
      </c>
      <c r="E25" s="149" t="s">
        <v>9</v>
      </c>
      <c r="F25" s="11">
        <v>18</v>
      </c>
      <c r="G25" s="11">
        <v>1</v>
      </c>
      <c r="H25" s="11">
        <v>84</v>
      </c>
      <c r="I25" s="11">
        <v>84</v>
      </c>
      <c r="J25" s="11">
        <v>198</v>
      </c>
      <c r="K25" s="11">
        <v>231</v>
      </c>
      <c r="L25" s="83">
        <v>2</v>
      </c>
      <c r="M25" s="84">
        <v>667</v>
      </c>
      <c r="N25" s="84">
        <v>543</v>
      </c>
      <c r="O25" s="84">
        <v>543</v>
      </c>
      <c r="P25" s="133">
        <v>966.5</v>
      </c>
      <c r="Q25" s="133">
        <v>0</v>
      </c>
      <c r="R25" s="135">
        <v>632.70000000000005</v>
      </c>
      <c r="S25" s="133">
        <f t="shared" si="27"/>
        <v>1599.2</v>
      </c>
      <c r="T25" s="134">
        <v>1078.7</v>
      </c>
      <c r="U25" s="130">
        <v>3.88</v>
      </c>
      <c r="V25" s="131">
        <v>1.44E-2</v>
      </c>
      <c r="W25" s="131">
        <v>1.44E-2</v>
      </c>
      <c r="X25" s="132">
        <v>9.6000000000000002E-4</v>
      </c>
      <c r="Y25" s="131">
        <v>2.8799999999999999E-2</v>
      </c>
      <c r="Z25" s="29">
        <v>6032.3</v>
      </c>
      <c r="AA25" s="34">
        <v>287</v>
      </c>
      <c r="AB25" s="9">
        <f t="shared" si="32"/>
        <v>6319.3</v>
      </c>
      <c r="AC25" s="9">
        <f t="shared" si="34"/>
        <v>40001.17</v>
      </c>
      <c r="AD25" s="9">
        <v>2.65</v>
      </c>
      <c r="AE25" s="9">
        <v>5.08</v>
      </c>
      <c r="AF25" s="21">
        <f>2.59-AJ25</f>
        <v>2.5099999999999998</v>
      </c>
      <c r="AG25" s="18">
        <f>0.59-AQ25</f>
        <v>0.56999999999999995</v>
      </c>
      <c r="AH25" s="9">
        <v>2.4700000000000002</v>
      </c>
      <c r="AI25" s="13">
        <v>521</v>
      </c>
      <c r="AJ25" s="21">
        <f t="shared" si="0"/>
        <v>0.08</v>
      </c>
      <c r="AK25" s="9">
        <v>1.36</v>
      </c>
      <c r="AL25" s="9">
        <v>0.12</v>
      </c>
      <c r="AM25" s="9">
        <v>0.18</v>
      </c>
      <c r="AN25" s="13"/>
      <c r="AO25" s="13">
        <v>331</v>
      </c>
      <c r="AP25" s="13">
        <f t="shared" si="28"/>
        <v>5.58</v>
      </c>
      <c r="AQ25" s="18">
        <f t="shared" si="1"/>
        <v>0.02</v>
      </c>
      <c r="AR25" s="9">
        <v>0</v>
      </c>
      <c r="AS25" s="9">
        <v>0.22</v>
      </c>
      <c r="AT25" s="9">
        <v>7.0000000000000007E-2</v>
      </c>
      <c r="AU25" s="9">
        <v>3.36</v>
      </c>
      <c r="AV25" s="9">
        <v>0.16</v>
      </c>
      <c r="AW25" s="9">
        <f>1.36+0.3+0.2</f>
        <v>1.86</v>
      </c>
      <c r="AX25" s="9">
        <f>1.89+0.4</f>
        <v>2.29</v>
      </c>
      <c r="AY25" s="151">
        <f t="shared" si="29"/>
        <v>23</v>
      </c>
      <c r="AZ25" s="152"/>
      <c r="BA25" s="152"/>
      <c r="BB25" s="152"/>
      <c r="BC25" s="152">
        <v>23</v>
      </c>
      <c r="BD25" s="13">
        <f t="shared" si="31"/>
        <v>0</v>
      </c>
      <c r="BE25" s="9">
        <f t="shared" si="2"/>
        <v>145343.9</v>
      </c>
      <c r="BF25" s="9">
        <v>23</v>
      </c>
      <c r="BG25" s="10">
        <v>44440</v>
      </c>
      <c r="BH25" s="9">
        <f t="shared" si="3"/>
        <v>16746.150000000001</v>
      </c>
      <c r="BI25" s="9">
        <f t="shared" si="4"/>
        <v>32102.04</v>
      </c>
      <c r="BJ25" s="9">
        <f t="shared" si="5"/>
        <v>15861.44</v>
      </c>
      <c r="BK25" s="9">
        <f t="shared" si="6"/>
        <v>3602</v>
      </c>
      <c r="BL25" s="9">
        <f t="shared" si="7"/>
        <v>15608.67</v>
      </c>
      <c r="BM25" s="9">
        <f t="shared" si="8"/>
        <v>505.54</v>
      </c>
      <c r="BN25" s="9">
        <f t="shared" si="9"/>
        <v>8594.25</v>
      </c>
      <c r="BO25" s="9">
        <f t="shared" si="10"/>
        <v>758.32</v>
      </c>
      <c r="BP25" s="9">
        <f t="shared" si="11"/>
        <v>1137.47</v>
      </c>
      <c r="BQ25" s="9">
        <f t="shared" si="12"/>
        <v>126.39</v>
      </c>
      <c r="BR25" s="9">
        <f t="shared" si="13"/>
        <v>0</v>
      </c>
      <c r="BS25" s="9">
        <f t="shared" si="14"/>
        <v>1390.25</v>
      </c>
      <c r="BT25" s="9">
        <f t="shared" si="15"/>
        <v>442.35</v>
      </c>
      <c r="BU25" s="9">
        <f t="shared" si="16"/>
        <v>21232.85</v>
      </c>
      <c r="BV25" s="9">
        <f t="shared" si="17"/>
        <v>1011.09</v>
      </c>
      <c r="BW25" s="9">
        <f t="shared" si="18"/>
        <v>11753.9</v>
      </c>
      <c r="BX25" s="9">
        <f t="shared" si="19"/>
        <v>14471.2</v>
      </c>
      <c r="BY25" s="17">
        <f t="shared" si="20"/>
        <v>145343.91</v>
      </c>
      <c r="BZ25" s="17">
        <v>3.42</v>
      </c>
      <c r="CA25" s="17">
        <v>7.0000000000000007E-2</v>
      </c>
      <c r="CB25" s="17">
        <v>0.42</v>
      </c>
      <c r="CC25" s="27">
        <v>7.0000000000000007E-2</v>
      </c>
      <c r="CD25" s="29">
        <v>6.33</v>
      </c>
      <c r="CE25" s="9"/>
      <c r="CF25" s="9"/>
      <c r="CG25" s="9"/>
      <c r="CH25" s="9"/>
      <c r="CI25" s="9"/>
      <c r="CJ25" s="9"/>
      <c r="CK25" s="13"/>
      <c r="CL25" s="13"/>
      <c r="CM25" s="13">
        <v>138742.9</v>
      </c>
      <c r="CN25" s="13">
        <v>9108.77</v>
      </c>
      <c r="CO25" s="13">
        <v>18338.169999999998</v>
      </c>
      <c r="CP25" s="13">
        <v>3197.14</v>
      </c>
      <c r="CQ25" s="13">
        <v>1870.07</v>
      </c>
      <c r="CR25" s="13">
        <v>143233.23000000001</v>
      </c>
      <c r="CS25" s="13">
        <v>19461.34</v>
      </c>
      <c r="CT25" s="13">
        <v>20775.150000000001</v>
      </c>
      <c r="CU25" s="13">
        <v>3623.2</v>
      </c>
      <c r="CV25" s="13">
        <v>2111.16</v>
      </c>
      <c r="CW25" s="202">
        <v>5506</v>
      </c>
      <c r="CX25" s="200">
        <v>3159</v>
      </c>
      <c r="CY25" s="202">
        <v>43551</v>
      </c>
      <c r="CZ25" s="202">
        <v>6800</v>
      </c>
      <c r="DA25" s="202">
        <v>4</v>
      </c>
      <c r="DB25" s="202"/>
      <c r="DC25" s="202"/>
      <c r="DD25" s="461"/>
      <c r="DE25" s="256"/>
      <c r="DF25" s="204">
        <v>521</v>
      </c>
      <c r="DG25" s="204"/>
      <c r="DH25" s="204"/>
      <c r="DI25" s="204"/>
      <c r="DJ25" s="202"/>
      <c r="DK25" s="202">
        <v>8600</v>
      </c>
      <c r="DL25" s="202"/>
      <c r="DM25" s="202"/>
      <c r="DN25" s="202"/>
      <c r="DO25" s="202"/>
      <c r="DP25" s="202"/>
      <c r="DQ25" s="202"/>
      <c r="DR25" s="202"/>
      <c r="DS25" s="202"/>
      <c r="DT25" s="254"/>
      <c r="DU25" s="254"/>
      <c r="DV25" s="202">
        <v>35194</v>
      </c>
      <c r="DW25" s="202"/>
      <c r="DX25" s="202"/>
      <c r="DY25" s="107">
        <v>1365</v>
      </c>
      <c r="DZ25" s="107"/>
      <c r="EA25" s="202"/>
      <c r="EB25" s="202"/>
      <c r="EC25" s="202"/>
      <c r="ED25" s="202"/>
      <c r="EE25" s="202"/>
      <c r="EF25" s="229"/>
      <c r="EG25" s="202"/>
      <c r="EH25" s="202"/>
      <c r="EI25" s="202"/>
      <c r="EJ25" s="202"/>
      <c r="EK25" s="202">
        <v>9556.77</v>
      </c>
      <c r="EL25" s="202">
        <v>8507.76</v>
      </c>
      <c r="EM25" s="202">
        <v>3378</v>
      </c>
      <c r="EN25" s="202">
        <v>1988.26</v>
      </c>
      <c r="EO25" s="202">
        <v>9556.77</v>
      </c>
      <c r="EP25" s="202"/>
      <c r="EQ25" s="202">
        <v>3378</v>
      </c>
      <c r="ER25" s="202">
        <v>1988.26</v>
      </c>
      <c r="ES25" s="202"/>
      <c r="ET25" s="202"/>
      <c r="EU25" s="202"/>
      <c r="EV25" s="214">
        <v>-1.24</v>
      </c>
      <c r="EW25" s="240">
        <f t="shared" si="25"/>
        <v>13821.32</v>
      </c>
      <c r="EX25" s="209">
        <f t="shared" si="26"/>
        <v>8995.65</v>
      </c>
    </row>
    <row r="26" spans="1:154" ht="12.75" customHeight="1" x14ac:dyDescent="0.2">
      <c r="A26" s="45" t="s">
        <v>45</v>
      </c>
      <c r="B26" s="128" t="s">
        <v>733</v>
      </c>
      <c r="C26" s="124" t="s">
        <v>8</v>
      </c>
      <c r="D26" s="128" t="s">
        <v>611</v>
      </c>
      <c r="E26" s="124"/>
      <c r="F26" s="11">
        <v>10</v>
      </c>
      <c r="G26" s="11">
        <v>6</v>
      </c>
      <c r="H26" s="11">
        <v>280</v>
      </c>
      <c r="I26" s="11">
        <v>264</v>
      </c>
      <c r="J26" s="11">
        <v>813</v>
      </c>
      <c r="K26" s="11">
        <v>662</v>
      </c>
      <c r="L26" s="84">
        <v>6</v>
      </c>
      <c r="M26" s="84">
        <v>1459</v>
      </c>
      <c r="N26" s="84">
        <v>1773</v>
      </c>
      <c r="O26" s="84">
        <v>1711</v>
      </c>
      <c r="P26" s="133">
        <f>1221.6+3059.8</f>
        <v>4281.3999999999996</v>
      </c>
      <c r="Q26" s="133">
        <v>2206</v>
      </c>
      <c r="R26" s="133">
        <v>3228.3</v>
      </c>
      <c r="S26" s="133">
        <f t="shared" si="27"/>
        <v>9715.7000000000007</v>
      </c>
      <c r="T26" s="134">
        <v>4281.3999999999996</v>
      </c>
      <c r="U26" s="130">
        <v>2.74</v>
      </c>
      <c r="V26" s="131">
        <v>1.1299999999999999E-2</v>
      </c>
      <c r="W26" s="131">
        <v>1.1299999999999999E-2</v>
      </c>
      <c r="X26" s="132">
        <v>7.5000000000000002E-4</v>
      </c>
      <c r="Y26" s="131">
        <v>2.2499999999999999E-2</v>
      </c>
      <c r="Z26" s="29">
        <v>22774.77</v>
      </c>
      <c r="AA26" s="34">
        <v>484.9</v>
      </c>
      <c r="AB26" s="9">
        <f t="shared" si="32"/>
        <v>23259.67</v>
      </c>
      <c r="AC26" s="9">
        <f t="shared" si="34"/>
        <v>147233.71</v>
      </c>
      <c r="AD26" s="9">
        <v>1.77</v>
      </c>
      <c r="AE26" s="9">
        <v>4.24</v>
      </c>
      <c r="AF26" s="21">
        <f>2.41-AJ26</f>
        <v>2.2799999999999998</v>
      </c>
      <c r="AG26" s="18">
        <f>0.59-AQ26</f>
        <v>0.54</v>
      </c>
      <c r="AH26" s="9">
        <v>2.4700000000000002</v>
      </c>
      <c r="AI26" s="43">
        <v>2970</v>
      </c>
      <c r="AJ26" s="21">
        <f t="shared" si="0"/>
        <v>0.13</v>
      </c>
      <c r="AK26" s="9">
        <v>1.86</v>
      </c>
      <c r="AL26" s="9">
        <v>0.16</v>
      </c>
      <c r="AM26" s="9">
        <v>0.02</v>
      </c>
      <c r="AN26" s="13"/>
      <c r="AO26" s="13">
        <f>1473.6+245.6+614+307</f>
        <v>2640.2</v>
      </c>
      <c r="AP26" s="13">
        <f t="shared" si="28"/>
        <v>5.58</v>
      </c>
      <c r="AQ26" s="18">
        <f t="shared" si="1"/>
        <v>0.05</v>
      </c>
      <c r="AR26" s="9">
        <v>0.54</v>
      </c>
      <c r="AS26" s="9">
        <v>0.06</v>
      </c>
      <c r="AT26" s="9">
        <v>7.0000000000000007E-2</v>
      </c>
      <c r="AU26" s="9">
        <v>4.75</v>
      </c>
      <c r="AV26" s="9">
        <v>0.15</v>
      </c>
      <c r="AW26" s="9">
        <f>1.28+0.42+0.26</f>
        <v>1.96</v>
      </c>
      <c r="AX26" s="9">
        <f>1.78+0.58</f>
        <v>2.36</v>
      </c>
      <c r="AY26" s="126">
        <f t="shared" si="29"/>
        <v>23.41</v>
      </c>
      <c r="AZ26" s="127"/>
      <c r="BA26" s="127"/>
      <c r="BB26" s="127"/>
      <c r="BC26" s="127">
        <v>23.41</v>
      </c>
      <c r="BD26" s="13">
        <f t="shared" si="31"/>
        <v>0</v>
      </c>
      <c r="BE26" s="9">
        <f t="shared" si="2"/>
        <v>544508.87</v>
      </c>
      <c r="BF26" s="9">
        <v>23.41</v>
      </c>
      <c r="BG26" s="10">
        <v>44440</v>
      </c>
      <c r="BH26" s="9">
        <f t="shared" si="3"/>
        <v>41169.620000000003</v>
      </c>
      <c r="BI26" s="9">
        <f t="shared" si="4"/>
        <v>98621</v>
      </c>
      <c r="BJ26" s="9">
        <f t="shared" si="5"/>
        <v>53032.05</v>
      </c>
      <c r="BK26" s="9">
        <f t="shared" si="6"/>
        <v>12560.22</v>
      </c>
      <c r="BL26" s="9">
        <f t="shared" si="7"/>
        <v>57451.38</v>
      </c>
      <c r="BM26" s="9">
        <f t="shared" si="8"/>
        <v>3023.76</v>
      </c>
      <c r="BN26" s="9">
        <f t="shared" si="9"/>
        <v>43262.99</v>
      </c>
      <c r="BO26" s="9">
        <f t="shared" si="10"/>
        <v>3721.55</v>
      </c>
      <c r="BP26" s="9">
        <f t="shared" si="11"/>
        <v>465.19</v>
      </c>
      <c r="BQ26" s="9">
        <f t="shared" si="12"/>
        <v>1162.98</v>
      </c>
      <c r="BR26" s="9">
        <f t="shared" si="13"/>
        <v>12560.22</v>
      </c>
      <c r="BS26" s="9">
        <f t="shared" si="14"/>
        <v>1395.58</v>
      </c>
      <c r="BT26" s="9">
        <f t="shared" si="15"/>
        <v>1628.18</v>
      </c>
      <c r="BU26" s="9">
        <f t="shared" si="16"/>
        <v>110483.43</v>
      </c>
      <c r="BV26" s="9">
        <f t="shared" si="17"/>
        <v>3488.95</v>
      </c>
      <c r="BW26" s="9">
        <f t="shared" si="18"/>
        <v>45588.95</v>
      </c>
      <c r="BX26" s="9">
        <f t="shared" si="19"/>
        <v>54892.82</v>
      </c>
      <c r="BY26" s="17">
        <f t="shared" si="20"/>
        <v>544508.87</v>
      </c>
      <c r="BZ26" s="17">
        <v>4.37</v>
      </c>
      <c r="CA26" s="17">
        <v>0.04</v>
      </c>
      <c r="CB26" s="17">
        <v>0.28999999999999998</v>
      </c>
      <c r="CC26" s="27">
        <v>0.05</v>
      </c>
      <c r="CD26" s="29">
        <v>6.33</v>
      </c>
      <c r="CE26" s="9"/>
      <c r="CF26" s="9"/>
      <c r="CG26" s="9"/>
      <c r="CH26" s="9"/>
      <c r="CI26" s="9"/>
      <c r="CJ26" s="9"/>
      <c r="CK26" s="13"/>
      <c r="CL26" s="13"/>
      <c r="CM26" s="13">
        <v>532815.87</v>
      </c>
      <c r="CN26" s="13">
        <v>51492.3</v>
      </c>
      <c r="CO26" s="13">
        <v>0.61</v>
      </c>
      <c r="CP26" s="13">
        <v>1822.42</v>
      </c>
      <c r="CQ26" s="13">
        <v>1367.07</v>
      </c>
      <c r="CR26" s="13">
        <v>571191.97</v>
      </c>
      <c r="CS26" s="13">
        <v>70137.27</v>
      </c>
      <c r="CT26" s="13">
        <v>1378.9</v>
      </c>
      <c r="CU26" s="13">
        <v>812.72</v>
      </c>
      <c r="CV26" s="13">
        <v>1059.5</v>
      </c>
      <c r="CW26" s="202">
        <v>20266</v>
      </c>
      <c r="CX26" s="200">
        <v>11626</v>
      </c>
      <c r="CY26" s="202"/>
      <c r="CZ26" s="202"/>
      <c r="DA26" s="202"/>
      <c r="DB26" s="202"/>
      <c r="DC26" s="202"/>
      <c r="DD26" s="461"/>
      <c r="DE26" s="256"/>
      <c r="DF26" s="202"/>
      <c r="DG26" s="202"/>
      <c r="DH26" s="202"/>
      <c r="DI26" s="204">
        <v>2970</v>
      </c>
      <c r="DJ26" s="107">
        <f>43000</f>
        <v>43000</v>
      </c>
      <c r="DK26" s="202"/>
      <c r="DL26" s="202"/>
      <c r="DM26" s="202">
        <v>141569</v>
      </c>
      <c r="DN26" s="202">
        <v>3400</v>
      </c>
      <c r="DO26" s="202">
        <v>2</v>
      </c>
      <c r="DP26" s="202"/>
      <c r="DQ26" s="202"/>
      <c r="DR26" s="202"/>
      <c r="DS26" s="202"/>
      <c r="DT26" s="254"/>
      <c r="DU26" s="254"/>
      <c r="DV26" s="202"/>
      <c r="DW26" s="202"/>
      <c r="DX26" s="202">
        <v>99799</v>
      </c>
      <c r="DY26" s="107">
        <v>1365</v>
      </c>
      <c r="DZ26" s="107"/>
      <c r="EA26" s="202"/>
      <c r="EB26" s="202"/>
      <c r="EC26" s="202"/>
      <c r="ED26" s="202"/>
      <c r="EE26" s="202"/>
      <c r="EF26" s="229"/>
      <c r="EG26" s="202"/>
      <c r="EH26" s="202"/>
      <c r="EI26" s="202"/>
      <c r="EJ26" s="202"/>
      <c r="EK26" s="202">
        <v>52595.13</v>
      </c>
      <c r="EL26" s="202">
        <v>0</v>
      </c>
      <c r="EM26" s="202">
        <v>1961.12</v>
      </c>
      <c r="EN26" s="202">
        <v>1362.9</v>
      </c>
      <c r="EO26" s="202">
        <v>52595.13</v>
      </c>
      <c r="EP26" s="202"/>
      <c r="EQ26" s="202">
        <v>1961.12</v>
      </c>
      <c r="ER26" s="202">
        <v>1362.9</v>
      </c>
      <c r="ES26" s="202"/>
      <c r="ET26" s="202"/>
      <c r="EU26" s="202"/>
      <c r="EV26" s="214">
        <v>-45.8</v>
      </c>
      <c r="EW26" s="240">
        <f t="shared" si="25"/>
        <v>50872.62</v>
      </c>
      <c r="EX26" s="209">
        <f t="shared" si="26"/>
        <v>33110.61</v>
      </c>
    </row>
    <row r="27" spans="1:154" ht="12.75" customHeight="1" x14ac:dyDescent="0.2">
      <c r="A27" s="45" t="s">
        <v>47</v>
      </c>
      <c r="B27" s="153" t="s">
        <v>733</v>
      </c>
      <c r="C27" s="149" t="s">
        <v>44</v>
      </c>
      <c r="D27" s="153" t="s">
        <v>609</v>
      </c>
      <c r="E27" s="149"/>
      <c r="F27" s="11">
        <v>9</v>
      </c>
      <c r="G27" s="11">
        <v>8</v>
      </c>
      <c r="H27" s="11">
        <v>270</v>
      </c>
      <c r="I27" s="11">
        <v>275</v>
      </c>
      <c r="J27" s="11">
        <v>653</v>
      </c>
      <c r="K27" s="11">
        <v>740</v>
      </c>
      <c r="L27" s="11">
        <v>8</v>
      </c>
      <c r="M27" s="84">
        <v>1757</v>
      </c>
      <c r="N27" s="84">
        <v>2436</v>
      </c>
      <c r="O27" s="84">
        <v>0</v>
      </c>
      <c r="P27" s="135">
        <v>1939.8</v>
      </c>
      <c r="Q27" s="133">
        <v>1865.6</v>
      </c>
      <c r="R27" s="133">
        <v>0</v>
      </c>
      <c r="S27" s="133">
        <f t="shared" si="27"/>
        <v>3805.4</v>
      </c>
      <c r="T27" s="134">
        <v>1939.8</v>
      </c>
      <c r="U27" s="130">
        <v>2.44</v>
      </c>
      <c r="V27" s="91">
        <v>1.9800000000000002E-2</v>
      </c>
      <c r="W27" s="91">
        <v>1.9800000000000002E-2</v>
      </c>
      <c r="X27" s="132">
        <v>1.32E-3</v>
      </c>
      <c r="Y27" s="91">
        <v>3.9699999999999999E-2</v>
      </c>
      <c r="Z27" s="29">
        <v>15330.39</v>
      </c>
      <c r="AA27" s="34"/>
      <c r="AB27" s="9">
        <f t="shared" si="32"/>
        <v>15330.39</v>
      </c>
      <c r="AC27" s="9">
        <f t="shared" si="34"/>
        <v>97041.37</v>
      </c>
      <c r="AD27" s="9">
        <v>2.4300000000000002</v>
      </c>
      <c r="AE27" s="9">
        <v>4.03</v>
      </c>
      <c r="AF27" s="21">
        <f>2.47-AJ27</f>
        <v>2.3199999999999998</v>
      </c>
      <c r="AG27" s="18">
        <f>0.62-AQ27</f>
        <v>0.56999999999999995</v>
      </c>
      <c r="AH27" s="9">
        <v>2.78</v>
      </c>
      <c r="AI27" s="13">
        <v>2339</v>
      </c>
      <c r="AJ27" s="21">
        <f t="shared" si="0"/>
        <v>0.15</v>
      </c>
      <c r="AK27" s="9">
        <v>2.2400000000000002</v>
      </c>
      <c r="AL27" s="9">
        <v>0.19</v>
      </c>
      <c r="AM27" s="9">
        <v>0.06</v>
      </c>
      <c r="AN27" s="13"/>
      <c r="AO27" s="13">
        <v>1689.6</v>
      </c>
      <c r="AP27" s="13">
        <f t="shared" si="28"/>
        <v>5.58</v>
      </c>
      <c r="AQ27" s="18">
        <f t="shared" si="1"/>
        <v>0.05</v>
      </c>
      <c r="AR27" s="9">
        <v>0.55000000000000004</v>
      </c>
      <c r="AS27" s="9">
        <v>0.18</v>
      </c>
      <c r="AT27" s="9">
        <v>7.0000000000000007E-2</v>
      </c>
      <c r="AU27" s="9">
        <v>4.82</v>
      </c>
      <c r="AV27" s="9">
        <v>0.17</v>
      </c>
      <c r="AW27" s="9">
        <f>1.4+0.43+0.24</f>
        <v>2.0699999999999998</v>
      </c>
      <c r="AX27" s="9">
        <f>1.96+0.57</f>
        <v>2.5299999999999998</v>
      </c>
      <c r="AY27" s="151">
        <f t="shared" si="29"/>
        <v>25.21</v>
      </c>
      <c r="AZ27" s="152"/>
      <c r="BA27" s="152"/>
      <c r="BB27" s="152"/>
      <c r="BC27" s="152">
        <v>25.21</v>
      </c>
      <c r="BD27" s="13">
        <f t="shared" si="31"/>
        <v>0</v>
      </c>
      <c r="BE27" s="9">
        <f t="shared" si="2"/>
        <v>386479.13</v>
      </c>
      <c r="BF27" s="9">
        <v>25.21</v>
      </c>
      <c r="BG27" s="10">
        <v>44440</v>
      </c>
      <c r="BH27" s="9">
        <f t="shared" si="3"/>
        <v>37252.85</v>
      </c>
      <c r="BI27" s="9">
        <f t="shared" si="4"/>
        <v>61781.47</v>
      </c>
      <c r="BJ27" s="9">
        <f t="shared" si="5"/>
        <v>35566.5</v>
      </c>
      <c r="BK27" s="9">
        <f t="shared" si="6"/>
        <v>8738.32</v>
      </c>
      <c r="BL27" s="9">
        <f t="shared" si="7"/>
        <v>42618.48</v>
      </c>
      <c r="BM27" s="9">
        <f t="shared" si="8"/>
        <v>2299.56</v>
      </c>
      <c r="BN27" s="9">
        <f t="shared" si="9"/>
        <v>34340.07</v>
      </c>
      <c r="BO27" s="9">
        <f t="shared" si="10"/>
        <v>2912.77</v>
      </c>
      <c r="BP27" s="9">
        <f t="shared" si="11"/>
        <v>919.82</v>
      </c>
      <c r="BQ27" s="9">
        <f t="shared" si="12"/>
        <v>766.52</v>
      </c>
      <c r="BR27" s="9">
        <f t="shared" si="13"/>
        <v>8431.7099999999991</v>
      </c>
      <c r="BS27" s="9">
        <f t="shared" si="14"/>
        <v>2759.47</v>
      </c>
      <c r="BT27" s="9">
        <f t="shared" si="15"/>
        <v>1073.1300000000001</v>
      </c>
      <c r="BU27" s="9">
        <f t="shared" si="16"/>
        <v>73892.479999999996</v>
      </c>
      <c r="BV27" s="9">
        <f t="shared" si="17"/>
        <v>2606.17</v>
      </c>
      <c r="BW27" s="9">
        <f t="shared" si="18"/>
        <v>31733.91</v>
      </c>
      <c r="BX27" s="9">
        <f t="shared" si="19"/>
        <v>38785.89</v>
      </c>
      <c r="BY27" s="17">
        <f t="shared" si="20"/>
        <v>386479.12</v>
      </c>
      <c r="BZ27" s="17">
        <v>2.31</v>
      </c>
      <c r="CA27" s="17">
        <v>7.0000000000000007E-2</v>
      </c>
      <c r="CB27" s="17">
        <v>0.43</v>
      </c>
      <c r="CC27" s="27">
        <v>7.0000000000000007E-2</v>
      </c>
      <c r="CD27" s="29">
        <v>6.33</v>
      </c>
      <c r="CE27" s="9"/>
      <c r="CF27" s="9"/>
      <c r="CG27" s="9"/>
      <c r="CH27" s="9"/>
      <c r="CI27" s="9"/>
      <c r="CJ27" s="9"/>
      <c r="CK27" s="13"/>
      <c r="CL27" s="13"/>
      <c r="CM27" s="13">
        <v>386479.59</v>
      </c>
      <c r="CN27" s="13">
        <v>23761.33</v>
      </c>
      <c r="CO27" s="13">
        <v>0</v>
      </c>
      <c r="CP27" s="13">
        <v>0</v>
      </c>
      <c r="CQ27" s="13">
        <v>613.21</v>
      </c>
      <c r="CR27" s="13">
        <v>378341.11</v>
      </c>
      <c r="CS27" s="13">
        <v>27565.37</v>
      </c>
      <c r="CT27" s="13">
        <v>1079.9100000000001</v>
      </c>
      <c r="CU27" s="13">
        <v>175.86</v>
      </c>
      <c r="CV27" s="13">
        <v>640.4</v>
      </c>
      <c r="CW27" s="202">
        <v>13352</v>
      </c>
      <c r="CX27" s="200">
        <v>7660</v>
      </c>
      <c r="CY27" s="202">
        <v>88977</v>
      </c>
      <c r="CZ27" s="202">
        <v>6800</v>
      </c>
      <c r="DA27" s="202">
        <v>4</v>
      </c>
      <c r="DB27" s="202"/>
      <c r="DC27" s="202"/>
      <c r="DD27" s="461"/>
      <c r="DE27" s="256"/>
      <c r="DF27" s="204">
        <v>2339</v>
      </c>
      <c r="DG27" s="204"/>
      <c r="DH27" s="204"/>
      <c r="DI27" s="204"/>
      <c r="DJ27" s="202"/>
      <c r="DK27" s="202">
        <v>34400</v>
      </c>
      <c r="DL27" s="202"/>
      <c r="DM27" s="202"/>
      <c r="DN27" s="202"/>
      <c r="DO27" s="202"/>
      <c r="DP27" s="202"/>
      <c r="DQ27" s="202"/>
      <c r="DR27" s="202"/>
      <c r="DS27" s="202"/>
      <c r="DT27" s="254"/>
      <c r="DU27" s="254"/>
      <c r="DV27" s="202">
        <v>89235</v>
      </c>
      <c r="DW27" s="202"/>
      <c r="DX27" s="202"/>
      <c r="DY27" s="107">
        <v>2730</v>
      </c>
      <c r="DZ27" s="107"/>
      <c r="EA27" s="202">
        <f>6398.26+2733.18+11158</f>
        <v>20289.439999999999</v>
      </c>
      <c r="EB27" s="202"/>
      <c r="EC27" s="202"/>
      <c r="ED27" s="202"/>
      <c r="EE27" s="202"/>
      <c r="EF27" s="229"/>
      <c r="EG27" s="202"/>
      <c r="EH27" s="202"/>
      <c r="EI27" s="202"/>
      <c r="EJ27" s="202"/>
      <c r="EK27" s="202">
        <v>23776.83</v>
      </c>
      <c r="EL27" s="202">
        <v>0</v>
      </c>
      <c r="EM27" s="202">
        <v>0</v>
      </c>
      <c r="EN27" s="202">
        <v>543.4</v>
      </c>
      <c r="EO27" s="202">
        <v>23776.83</v>
      </c>
      <c r="EP27" s="202"/>
      <c r="EQ27" s="202">
        <v>0</v>
      </c>
      <c r="ER27" s="202">
        <v>543.4</v>
      </c>
      <c r="ES27" s="202"/>
      <c r="ET27" s="202"/>
      <c r="EU27" s="202"/>
      <c r="EV27" s="214">
        <v>-36.450000000000003</v>
      </c>
      <c r="EW27" s="240">
        <f t="shared" si="25"/>
        <v>33530.019999999997</v>
      </c>
      <c r="EX27" s="209">
        <f t="shared" si="26"/>
        <v>21823.119999999999</v>
      </c>
    </row>
    <row r="28" spans="1:154" ht="12.75" customHeight="1" x14ac:dyDescent="0.2">
      <c r="A28" s="45" t="s">
        <v>49</v>
      </c>
      <c r="B28" s="153" t="s">
        <v>733</v>
      </c>
      <c r="C28" s="149" t="s">
        <v>46</v>
      </c>
      <c r="D28" s="153" t="s">
        <v>610</v>
      </c>
      <c r="E28" s="149"/>
      <c r="F28" s="11">
        <v>9</v>
      </c>
      <c r="G28" s="11">
        <v>9</v>
      </c>
      <c r="H28" s="11">
        <v>306</v>
      </c>
      <c r="I28" s="11">
        <v>311</v>
      </c>
      <c r="J28" s="11">
        <v>707</v>
      </c>
      <c r="K28" s="11">
        <v>810</v>
      </c>
      <c r="L28" s="83">
        <v>9</v>
      </c>
      <c r="M28" s="84">
        <v>2031</v>
      </c>
      <c r="N28" s="84">
        <v>2727</v>
      </c>
      <c r="O28" s="84">
        <v>0</v>
      </c>
      <c r="P28" s="133">
        <f>1034.5+997.2</f>
        <v>2031.7</v>
      </c>
      <c r="Q28" s="133">
        <f>2096.8+21.6+23.4+160.2+23.4+155.2</f>
        <v>2480.6</v>
      </c>
      <c r="R28" s="133">
        <v>0</v>
      </c>
      <c r="S28" s="133">
        <f t="shared" si="27"/>
        <v>4512.3</v>
      </c>
      <c r="T28" s="134">
        <v>2031</v>
      </c>
      <c r="U28" s="130">
        <v>2.44</v>
      </c>
      <c r="V28" s="131">
        <v>1.9800000000000002E-2</v>
      </c>
      <c r="W28" s="131">
        <v>1.9800000000000002E-2</v>
      </c>
      <c r="X28" s="132">
        <v>1.32E-3</v>
      </c>
      <c r="Y28" s="131">
        <v>3.9699999999999999E-2</v>
      </c>
      <c r="Z28" s="29">
        <v>17391.21</v>
      </c>
      <c r="AA28" s="34"/>
      <c r="AB28" s="9">
        <f t="shared" si="32"/>
        <v>17391.21</v>
      </c>
      <c r="AC28" s="9">
        <f t="shared" si="34"/>
        <v>110086.36</v>
      </c>
      <c r="AD28" s="9">
        <v>2.48</v>
      </c>
      <c r="AE28" s="9">
        <v>3.69</v>
      </c>
      <c r="AF28" s="21">
        <f>2.47-AJ28</f>
        <v>2.3199999999999998</v>
      </c>
      <c r="AG28" s="18">
        <f>0.62-AQ28</f>
        <v>0.56999999999999995</v>
      </c>
      <c r="AH28" s="9">
        <v>2.78</v>
      </c>
      <c r="AI28" s="13">
        <v>2618</v>
      </c>
      <c r="AJ28" s="21">
        <f t="shared" si="0"/>
        <v>0.15</v>
      </c>
      <c r="AK28" s="9">
        <v>2.2400000000000002</v>
      </c>
      <c r="AL28" s="9">
        <v>0.24</v>
      </c>
      <c r="AM28" s="9">
        <v>0.05</v>
      </c>
      <c r="AN28" s="13"/>
      <c r="AO28" s="13">
        <v>1900.8</v>
      </c>
      <c r="AP28" s="13">
        <f t="shared" si="28"/>
        <v>5.58</v>
      </c>
      <c r="AQ28" s="18">
        <f t="shared" si="1"/>
        <v>0.05</v>
      </c>
      <c r="AR28" s="9">
        <v>0.55000000000000004</v>
      </c>
      <c r="AS28" s="9">
        <v>0.16</v>
      </c>
      <c r="AT28" s="9">
        <v>7.0000000000000007E-2</v>
      </c>
      <c r="AU28" s="9">
        <v>4.82</v>
      </c>
      <c r="AV28" s="9">
        <v>0.16</v>
      </c>
      <c r="AW28" s="9">
        <f>1.38+0.43+0.24</f>
        <v>2.0499999999999998</v>
      </c>
      <c r="AX28" s="9">
        <f>1.93+0.57</f>
        <v>2.5</v>
      </c>
      <c r="AY28" s="151">
        <f t="shared" si="29"/>
        <v>24.88</v>
      </c>
      <c r="AZ28" s="152"/>
      <c r="BA28" s="152"/>
      <c r="BB28" s="152"/>
      <c r="BC28" s="152">
        <v>24.88</v>
      </c>
      <c r="BD28" s="13">
        <f t="shared" si="31"/>
        <v>0</v>
      </c>
      <c r="BE28" s="9">
        <f t="shared" si="2"/>
        <v>432693.3</v>
      </c>
      <c r="BF28" s="9">
        <v>24.88</v>
      </c>
      <c r="BG28" s="10">
        <v>44440</v>
      </c>
      <c r="BH28" s="9">
        <f t="shared" si="3"/>
        <v>43130.2</v>
      </c>
      <c r="BI28" s="9">
        <f t="shared" si="4"/>
        <v>64173.56</v>
      </c>
      <c r="BJ28" s="9">
        <f t="shared" si="5"/>
        <v>40347.61</v>
      </c>
      <c r="BK28" s="9">
        <f t="shared" si="6"/>
        <v>9912.99</v>
      </c>
      <c r="BL28" s="9">
        <f t="shared" si="7"/>
        <v>48347.56</v>
      </c>
      <c r="BM28" s="9">
        <f t="shared" si="8"/>
        <v>2608.6799999999998</v>
      </c>
      <c r="BN28" s="9">
        <f t="shared" si="9"/>
        <v>38956.31</v>
      </c>
      <c r="BO28" s="9">
        <f t="shared" si="10"/>
        <v>4173.8900000000003</v>
      </c>
      <c r="BP28" s="9">
        <f t="shared" si="11"/>
        <v>869.56</v>
      </c>
      <c r="BQ28" s="9">
        <f t="shared" si="12"/>
        <v>869.56</v>
      </c>
      <c r="BR28" s="9">
        <f t="shared" si="13"/>
        <v>9565.17</v>
      </c>
      <c r="BS28" s="9">
        <f t="shared" si="14"/>
        <v>2782.59</v>
      </c>
      <c r="BT28" s="9">
        <f t="shared" si="15"/>
        <v>1217.3800000000001</v>
      </c>
      <c r="BU28" s="9">
        <f t="shared" si="16"/>
        <v>83825.63</v>
      </c>
      <c r="BV28" s="9">
        <f t="shared" si="17"/>
        <v>2782.59</v>
      </c>
      <c r="BW28" s="9">
        <f t="shared" si="18"/>
        <v>35651.980000000003</v>
      </c>
      <c r="BX28" s="9">
        <f t="shared" si="19"/>
        <v>43478.03</v>
      </c>
      <c r="BY28" s="17">
        <f t="shared" si="20"/>
        <v>432693.29</v>
      </c>
      <c r="BZ28" s="17">
        <v>2.57</v>
      </c>
      <c r="CA28" s="17">
        <v>0.06</v>
      </c>
      <c r="CB28" s="17">
        <v>0.39</v>
      </c>
      <c r="CC28" s="27">
        <v>7.0000000000000007E-2</v>
      </c>
      <c r="CD28" s="29">
        <v>6.33</v>
      </c>
      <c r="CE28" s="9"/>
      <c r="CF28" s="9"/>
      <c r="CG28" s="9"/>
      <c r="CH28" s="9"/>
      <c r="CI28" s="9"/>
      <c r="CJ28" s="9"/>
      <c r="CK28" s="13"/>
      <c r="CL28" s="13"/>
      <c r="CM28" s="13">
        <v>426505.66</v>
      </c>
      <c r="CN28" s="13">
        <v>44026.3</v>
      </c>
      <c r="CO28" s="13">
        <v>0.82</v>
      </c>
      <c r="CP28" s="13">
        <v>0.13</v>
      </c>
      <c r="CQ28" s="13">
        <v>519.91</v>
      </c>
      <c r="CR28" s="13">
        <v>448443.95</v>
      </c>
      <c r="CS28" s="13">
        <v>49219.7</v>
      </c>
      <c r="CT28" s="13">
        <v>11659.81</v>
      </c>
      <c r="CU28" s="13">
        <v>938.4</v>
      </c>
      <c r="CV28" s="13">
        <v>1052.58</v>
      </c>
      <c r="CW28" s="202">
        <v>15094</v>
      </c>
      <c r="CX28" s="200">
        <v>8660</v>
      </c>
      <c r="CY28" s="202">
        <v>96878</v>
      </c>
      <c r="CZ28" s="202">
        <v>5100</v>
      </c>
      <c r="DA28" s="202">
        <v>3</v>
      </c>
      <c r="DB28" s="202"/>
      <c r="DC28" s="202"/>
      <c r="DD28" s="461"/>
      <c r="DE28" s="256"/>
      <c r="DF28" s="204">
        <v>2618</v>
      </c>
      <c r="DG28" s="204"/>
      <c r="DH28" s="204"/>
      <c r="DI28" s="204"/>
      <c r="DJ28" s="202"/>
      <c r="DK28" s="202">
        <v>38700</v>
      </c>
      <c r="DL28" s="202"/>
      <c r="DM28" s="202"/>
      <c r="DN28" s="202"/>
      <c r="DO28" s="202"/>
      <c r="DP28" s="202"/>
      <c r="DQ28" s="202"/>
      <c r="DR28" s="202"/>
      <c r="DS28" s="202"/>
      <c r="DT28" s="254"/>
      <c r="DU28" s="254"/>
      <c r="DV28" s="202">
        <v>100090</v>
      </c>
      <c r="DW28" s="202"/>
      <c r="DX28" s="202"/>
      <c r="DY28" s="107">
        <v>2730</v>
      </c>
      <c r="DZ28" s="107">
        <v>942</v>
      </c>
      <c r="EA28" s="202">
        <f>4350.39+7488.64+7463.15+2920.33+9290.99</f>
        <v>31513.5</v>
      </c>
      <c r="EB28" s="202"/>
      <c r="EC28" s="202"/>
      <c r="ED28" s="202"/>
      <c r="EE28" s="202"/>
      <c r="EF28" s="229"/>
      <c r="EG28" s="202"/>
      <c r="EH28" s="202"/>
      <c r="EI28" s="202"/>
      <c r="EJ28" s="202"/>
      <c r="EK28" s="202">
        <v>7026.52</v>
      </c>
      <c r="EL28" s="202">
        <v>0</v>
      </c>
      <c r="EM28" s="202">
        <v>0</v>
      </c>
      <c r="EN28" s="202">
        <v>568.94000000000005</v>
      </c>
      <c r="EO28" s="202">
        <v>7026.52</v>
      </c>
      <c r="EP28" s="202"/>
      <c r="EQ28" s="202">
        <v>0</v>
      </c>
      <c r="ER28" s="202">
        <v>568.94000000000005</v>
      </c>
      <c r="ES28" s="202"/>
      <c r="ET28" s="202"/>
      <c r="EU28" s="202"/>
      <c r="EV28" s="214">
        <f>-38.27+28350.54</f>
        <v>28312.27</v>
      </c>
      <c r="EW28" s="240">
        <f t="shared" si="25"/>
        <v>38037.360000000001</v>
      </c>
      <c r="EX28" s="209">
        <f t="shared" si="26"/>
        <v>24756.74</v>
      </c>
    </row>
    <row r="29" spans="1:154" ht="12.75" customHeight="1" x14ac:dyDescent="0.2">
      <c r="A29" s="45" t="s">
        <v>51</v>
      </c>
      <c r="B29" s="153" t="s">
        <v>733</v>
      </c>
      <c r="C29" s="149" t="s">
        <v>48</v>
      </c>
      <c r="D29" s="153" t="s">
        <v>608</v>
      </c>
      <c r="E29" s="149"/>
      <c r="F29" s="11">
        <v>9</v>
      </c>
      <c r="G29" s="11">
        <v>10</v>
      </c>
      <c r="H29" s="11">
        <v>338</v>
      </c>
      <c r="I29" s="11">
        <v>346</v>
      </c>
      <c r="J29" s="11">
        <v>790</v>
      </c>
      <c r="K29" s="11">
        <v>914</v>
      </c>
      <c r="L29" s="11">
        <v>10</v>
      </c>
      <c r="M29" s="84">
        <v>2133</v>
      </c>
      <c r="N29" s="84">
        <v>3148</v>
      </c>
      <c r="O29" s="84">
        <v>0</v>
      </c>
      <c r="P29" s="135">
        <v>2360.9</v>
      </c>
      <c r="Q29" s="133">
        <v>2453.6</v>
      </c>
      <c r="R29" s="133">
        <v>0</v>
      </c>
      <c r="S29" s="133">
        <f t="shared" si="27"/>
        <v>4814.5</v>
      </c>
      <c r="T29" s="134">
        <v>2360.9</v>
      </c>
      <c r="U29" s="130">
        <v>2.44</v>
      </c>
      <c r="V29" s="91">
        <v>1.9800000000000002E-2</v>
      </c>
      <c r="W29" s="91">
        <v>1.9800000000000002E-2</v>
      </c>
      <c r="X29" s="132">
        <v>1.32E-3</v>
      </c>
      <c r="Y29" s="91">
        <v>3.9699999999999999E-2</v>
      </c>
      <c r="Z29" s="29">
        <v>19146.810000000001</v>
      </c>
      <c r="AA29" s="29">
        <v>44.9</v>
      </c>
      <c r="AB29" s="13">
        <f t="shared" si="32"/>
        <v>19191.71</v>
      </c>
      <c r="AC29" s="9">
        <f t="shared" si="34"/>
        <v>121483.52</v>
      </c>
      <c r="AD29" s="9">
        <v>2.38</v>
      </c>
      <c r="AE29" s="9">
        <v>4.0599999999999996</v>
      </c>
      <c r="AF29" s="21">
        <f>2.45-AJ29</f>
        <v>2.29</v>
      </c>
      <c r="AG29" s="18">
        <f>0.61-AQ29</f>
        <v>0.56000000000000005</v>
      </c>
      <c r="AH29" s="9">
        <v>2.78</v>
      </c>
      <c r="AI29" s="13">
        <v>3022</v>
      </c>
      <c r="AJ29" s="21">
        <f t="shared" si="0"/>
        <v>0.16</v>
      </c>
      <c r="AK29" s="9">
        <v>2.2400000000000002</v>
      </c>
      <c r="AL29" s="9">
        <v>0.19</v>
      </c>
      <c r="AM29" s="9">
        <v>0.05</v>
      </c>
      <c r="AN29" s="13"/>
      <c r="AO29" s="13">
        <v>2112</v>
      </c>
      <c r="AP29" s="13">
        <f t="shared" si="28"/>
        <v>5.58</v>
      </c>
      <c r="AQ29" s="18">
        <f t="shared" si="1"/>
        <v>0.05</v>
      </c>
      <c r="AR29" s="9">
        <v>0.55000000000000004</v>
      </c>
      <c r="AS29" s="9">
        <v>0.14000000000000001</v>
      </c>
      <c r="AT29" s="9">
        <v>7.0000000000000007E-2</v>
      </c>
      <c r="AU29" s="9">
        <v>4.82</v>
      </c>
      <c r="AV29" s="9">
        <v>0.16</v>
      </c>
      <c r="AW29" s="9">
        <f>1.39+0.43+0.24</f>
        <v>2.06</v>
      </c>
      <c r="AX29" s="9">
        <f>1.95+0.57</f>
        <v>2.52</v>
      </c>
      <c r="AY29" s="151">
        <f t="shared" si="29"/>
        <v>25.08</v>
      </c>
      <c r="AZ29" s="152"/>
      <c r="BA29" s="152"/>
      <c r="BB29" s="152"/>
      <c r="BC29" s="152">
        <v>25.08</v>
      </c>
      <c r="BD29" s="13">
        <f t="shared" si="31"/>
        <v>0</v>
      </c>
      <c r="BE29" s="9">
        <f t="shared" si="2"/>
        <v>481328.09</v>
      </c>
      <c r="BF29" s="9">
        <v>25.08</v>
      </c>
      <c r="BG29" s="10">
        <v>44440</v>
      </c>
      <c r="BH29" s="9">
        <f t="shared" si="3"/>
        <v>45676.27</v>
      </c>
      <c r="BI29" s="9">
        <f t="shared" si="4"/>
        <v>77918.34</v>
      </c>
      <c r="BJ29" s="9">
        <f t="shared" si="5"/>
        <v>43949.02</v>
      </c>
      <c r="BK29" s="9">
        <f t="shared" si="6"/>
        <v>10747.36</v>
      </c>
      <c r="BL29" s="9">
        <f t="shared" si="7"/>
        <v>53352.95</v>
      </c>
      <c r="BM29" s="9">
        <f t="shared" si="8"/>
        <v>3070.67</v>
      </c>
      <c r="BN29" s="9">
        <f t="shared" si="9"/>
        <v>42989.43</v>
      </c>
      <c r="BO29" s="9">
        <f t="shared" si="10"/>
        <v>3646.42</v>
      </c>
      <c r="BP29" s="9">
        <f t="shared" si="11"/>
        <v>959.59</v>
      </c>
      <c r="BQ29" s="9">
        <f t="shared" si="12"/>
        <v>959.59</v>
      </c>
      <c r="BR29" s="9">
        <f t="shared" si="13"/>
        <v>10555.44</v>
      </c>
      <c r="BS29" s="9">
        <f t="shared" si="14"/>
        <v>2686.84</v>
      </c>
      <c r="BT29" s="9">
        <f t="shared" si="15"/>
        <v>1343.42</v>
      </c>
      <c r="BU29" s="9">
        <f t="shared" si="16"/>
        <v>92504.04</v>
      </c>
      <c r="BV29" s="9">
        <f t="shared" si="17"/>
        <v>3070.67</v>
      </c>
      <c r="BW29" s="9">
        <f t="shared" si="18"/>
        <v>39534.92</v>
      </c>
      <c r="BX29" s="9">
        <f t="shared" si="19"/>
        <v>48363.11</v>
      </c>
      <c r="BY29" s="17">
        <f t="shared" si="20"/>
        <v>481328.08</v>
      </c>
      <c r="BZ29" s="17">
        <v>2.34</v>
      </c>
      <c r="CA29" s="17">
        <v>7.0000000000000007E-2</v>
      </c>
      <c r="CB29" s="17">
        <v>0.42</v>
      </c>
      <c r="CC29" s="27">
        <v>7.0000000000000007E-2</v>
      </c>
      <c r="CD29" s="29">
        <v>6.33</v>
      </c>
      <c r="CE29" s="9"/>
      <c r="CF29" s="9"/>
      <c r="CG29" s="9"/>
      <c r="CH29" s="9"/>
      <c r="CI29" s="9"/>
      <c r="CJ29" s="9"/>
      <c r="CK29" s="13"/>
      <c r="CL29" s="13"/>
      <c r="CM29" s="13">
        <v>480201.9</v>
      </c>
      <c r="CN29" s="13">
        <v>49207.59</v>
      </c>
      <c r="CO29" s="13">
        <v>0</v>
      </c>
      <c r="CP29" s="13">
        <v>0</v>
      </c>
      <c r="CQ29" s="13">
        <v>574.11</v>
      </c>
      <c r="CR29" s="13">
        <v>484735.31</v>
      </c>
      <c r="CS29" s="13">
        <v>53426.09</v>
      </c>
      <c r="CT29" s="13">
        <v>3798.12</v>
      </c>
      <c r="CU29" s="13">
        <v>240.93</v>
      </c>
      <c r="CV29" s="13">
        <v>651.35</v>
      </c>
      <c r="CW29" s="202">
        <v>16716</v>
      </c>
      <c r="CX29" s="200">
        <v>9590</v>
      </c>
      <c r="CY29" s="202">
        <v>110983</v>
      </c>
      <c r="CZ29" s="202">
        <v>5100</v>
      </c>
      <c r="DA29" s="202">
        <v>3</v>
      </c>
      <c r="DB29" s="202"/>
      <c r="DC29" s="202"/>
      <c r="DD29" s="461"/>
      <c r="DE29" s="256"/>
      <c r="DF29" s="204">
        <v>3022</v>
      </c>
      <c r="DG29" s="204"/>
      <c r="DH29" s="204"/>
      <c r="DI29" s="204"/>
      <c r="DJ29" s="202"/>
      <c r="DK29" s="202">
        <v>43000</v>
      </c>
      <c r="DL29" s="202"/>
      <c r="DM29" s="202"/>
      <c r="DN29" s="202"/>
      <c r="DO29" s="202"/>
      <c r="DP29" s="202"/>
      <c r="DQ29" s="202"/>
      <c r="DR29" s="202"/>
      <c r="DS29" s="202"/>
      <c r="DT29" s="254"/>
      <c r="DU29" s="254"/>
      <c r="DV29" s="202">
        <v>110964</v>
      </c>
      <c r="DW29" s="202"/>
      <c r="DX29" s="202"/>
      <c r="DY29" s="107">
        <v>1365</v>
      </c>
      <c r="DZ29" s="107">
        <v>942</v>
      </c>
      <c r="EA29" s="202">
        <f>721113.34+3150.71+1729.36+1729.36</f>
        <v>727722.77</v>
      </c>
      <c r="EB29" s="202"/>
      <c r="EC29" s="202"/>
      <c r="ED29" s="202"/>
      <c r="EE29" s="202"/>
      <c r="EF29" s="229"/>
      <c r="EG29" s="202"/>
      <c r="EH29" s="202"/>
      <c r="EI29" s="202"/>
      <c r="EJ29" s="202"/>
      <c r="EK29" s="202">
        <v>49265.25</v>
      </c>
      <c r="EL29" s="202">
        <v>0</v>
      </c>
      <c r="EM29" s="202">
        <v>0</v>
      </c>
      <c r="EN29" s="202">
        <v>661.36</v>
      </c>
      <c r="EO29" s="202">
        <v>49265.25</v>
      </c>
      <c r="EP29" s="202"/>
      <c r="EQ29" s="202">
        <v>0</v>
      </c>
      <c r="ER29" s="202">
        <v>661.36</v>
      </c>
      <c r="ES29" s="202"/>
      <c r="ET29" s="202"/>
      <c r="EU29" s="202"/>
      <c r="EV29" s="214">
        <v>-44.83</v>
      </c>
      <c r="EW29" s="240">
        <f t="shared" si="25"/>
        <v>41975.34</v>
      </c>
      <c r="EX29" s="209">
        <f t="shared" si="26"/>
        <v>27319.78</v>
      </c>
    </row>
    <row r="30" spans="1:154" ht="12.75" customHeight="1" x14ac:dyDescent="0.2">
      <c r="A30" s="45" t="s">
        <v>53</v>
      </c>
      <c r="B30" s="153" t="s">
        <v>43</v>
      </c>
      <c r="C30" s="149" t="s">
        <v>44</v>
      </c>
      <c r="D30" s="150" t="s">
        <v>612</v>
      </c>
      <c r="E30" s="149" t="s">
        <v>12</v>
      </c>
      <c r="F30" s="11">
        <v>9</v>
      </c>
      <c r="G30" s="11">
        <v>4</v>
      </c>
      <c r="H30" s="11">
        <v>144</v>
      </c>
      <c r="I30" s="11">
        <v>144</v>
      </c>
      <c r="J30" s="11">
        <v>346</v>
      </c>
      <c r="K30" s="11">
        <v>386</v>
      </c>
      <c r="L30" s="83">
        <v>4</v>
      </c>
      <c r="M30" s="84">
        <v>884</v>
      </c>
      <c r="N30" s="84">
        <v>1268</v>
      </c>
      <c r="O30" s="84">
        <v>0</v>
      </c>
      <c r="P30" s="133">
        <v>884</v>
      </c>
      <c r="Q30" s="133">
        <v>970.9</v>
      </c>
      <c r="R30" s="133">
        <v>0</v>
      </c>
      <c r="S30" s="133">
        <f t="shared" si="27"/>
        <v>1854.9</v>
      </c>
      <c r="T30" s="134">
        <v>884</v>
      </c>
      <c r="U30" s="130">
        <v>2.44</v>
      </c>
      <c r="V30" s="91">
        <v>1.9800000000000002E-2</v>
      </c>
      <c r="W30" s="91">
        <v>1.9800000000000002E-2</v>
      </c>
      <c r="X30" s="132">
        <v>1.32E-3</v>
      </c>
      <c r="Y30" s="91">
        <v>3.9699999999999999E-2</v>
      </c>
      <c r="Z30" s="29">
        <v>7623.74</v>
      </c>
      <c r="AA30" s="34">
        <v>156.69999999999999</v>
      </c>
      <c r="AB30" s="9">
        <f t="shared" si="32"/>
        <v>7780.44</v>
      </c>
      <c r="AC30" s="9">
        <f t="shared" si="34"/>
        <v>49250.19</v>
      </c>
      <c r="AD30" s="9">
        <v>2.4900000000000002</v>
      </c>
      <c r="AE30" s="9">
        <v>4.0999999999999996</v>
      </c>
      <c r="AF30" s="21">
        <f>2.41-AJ30</f>
        <v>2.25</v>
      </c>
      <c r="AG30" s="18">
        <f>0.61-AQ30</f>
        <v>0.56000000000000005</v>
      </c>
      <c r="AH30" s="9">
        <v>2.78</v>
      </c>
      <c r="AI30" s="13">
        <v>1217</v>
      </c>
      <c r="AJ30" s="21">
        <f t="shared" si="0"/>
        <v>0.16</v>
      </c>
      <c r="AK30" s="9">
        <v>2.23</v>
      </c>
      <c r="AL30" s="9">
        <v>0.6</v>
      </c>
      <c r="AM30" s="9">
        <v>0.04</v>
      </c>
      <c r="AN30" s="13"/>
      <c r="AO30" s="13">
        <v>844.8</v>
      </c>
      <c r="AP30" s="13">
        <f t="shared" si="28"/>
        <v>5.58</v>
      </c>
      <c r="AQ30" s="18">
        <f t="shared" si="1"/>
        <v>0.05</v>
      </c>
      <c r="AR30" s="9">
        <v>0.56999999999999995</v>
      </c>
      <c r="AS30" s="9">
        <v>0.18</v>
      </c>
      <c r="AT30" s="9">
        <v>7.0000000000000007E-2</v>
      </c>
      <c r="AU30" s="9">
        <v>3.83</v>
      </c>
      <c r="AV30" s="9">
        <v>0.17</v>
      </c>
      <c r="AW30" s="9">
        <f>1.44+0.34+0.26</f>
        <v>2.04</v>
      </c>
      <c r="AX30" s="9">
        <f>2.03+0.45</f>
        <v>2.48</v>
      </c>
      <c r="AY30" s="151">
        <f t="shared" si="29"/>
        <v>24.6</v>
      </c>
      <c r="AZ30" s="152">
        <v>7605</v>
      </c>
      <c r="BA30" s="152">
        <v>116.5</v>
      </c>
      <c r="BB30" s="152">
        <f t="shared" si="30"/>
        <v>7721.5</v>
      </c>
      <c r="BC30" s="152">
        <v>24.6</v>
      </c>
      <c r="BD30" s="13">
        <f t="shared" si="31"/>
        <v>0</v>
      </c>
      <c r="BE30" s="9">
        <f t="shared" si="2"/>
        <v>191398.82</v>
      </c>
      <c r="BF30" s="9">
        <v>24.6</v>
      </c>
      <c r="BG30" s="10">
        <v>44409</v>
      </c>
      <c r="BH30" s="9">
        <f t="shared" si="3"/>
        <v>19373.3</v>
      </c>
      <c r="BI30" s="9">
        <f t="shared" si="4"/>
        <v>31899.8</v>
      </c>
      <c r="BJ30" s="9">
        <f t="shared" si="5"/>
        <v>17505.990000000002</v>
      </c>
      <c r="BK30" s="9">
        <f t="shared" si="6"/>
        <v>4357.05</v>
      </c>
      <c r="BL30" s="9">
        <f t="shared" si="7"/>
        <v>21629.62</v>
      </c>
      <c r="BM30" s="9">
        <f t="shared" si="8"/>
        <v>1244.8699999999999</v>
      </c>
      <c r="BN30" s="9">
        <f t="shared" si="9"/>
        <v>17350.38</v>
      </c>
      <c r="BO30" s="9">
        <f t="shared" si="10"/>
        <v>4668.26</v>
      </c>
      <c r="BP30" s="9">
        <f t="shared" si="11"/>
        <v>311.22000000000003</v>
      </c>
      <c r="BQ30" s="9">
        <f t="shared" si="12"/>
        <v>389.02</v>
      </c>
      <c r="BR30" s="9">
        <f t="shared" si="13"/>
        <v>4434.8500000000004</v>
      </c>
      <c r="BS30" s="9">
        <f t="shared" si="14"/>
        <v>1400.48</v>
      </c>
      <c r="BT30" s="9">
        <f t="shared" si="15"/>
        <v>544.63</v>
      </c>
      <c r="BU30" s="9">
        <f t="shared" si="16"/>
        <v>29799.09</v>
      </c>
      <c r="BV30" s="9">
        <f t="shared" si="17"/>
        <v>1322.67</v>
      </c>
      <c r="BW30" s="9">
        <f t="shared" si="18"/>
        <v>15872.1</v>
      </c>
      <c r="BX30" s="9">
        <f t="shared" si="19"/>
        <v>19295.490000000002</v>
      </c>
      <c r="BY30" s="17">
        <f t="shared" si="20"/>
        <v>191398.82</v>
      </c>
      <c r="BZ30" s="17">
        <v>2.59</v>
      </c>
      <c r="CA30" s="17">
        <v>0.06</v>
      </c>
      <c r="CB30" s="17">
        <v>0.38</v>
      </c>
      <c r="CC30" s="27">
        <v>0.06</v>
      </c>
      <c r="CD30" s="29">
        <v>6.33</v>
      </c>
      <c r="CE30" s="9">
        <v>0</v>
      </c>
      <c r="CF30" s="9"/>
      <c r="CG30" s="9">
        <v>473.01</v>
      </c>
      <c r="CH30" s="9">
        <v>496.52</v>
      </c>
      <c r="CI30" s="9">
        <f t="shared" ref="CI30:CI35" si="35">IF(CE30&gt;0,CE30/AB30,0)</f>
        <v>0</v>
      </c>
      <c r="CJ30" s="9">
        <f t="shared" ref="CJ30:CJ35" si="36">IF(CF30&gt;0,CF30/AB30,0)</f>
        <v>0</v>
      </c>
      <c r="CK30" s="13">
        <f t="shared" ref="CK30:CK35" si="37">IF(CG30&gt;0,CG30/AB30,0)</f>
        <v>0.06</v>
      </c>
      <c r="CL30" s="13">
        <f t="shared" ref="CL30:CL35" si="38">IF(CH30&gt;0,CH30/AB30,0)</f>
        <v>0.06</v>
      </c>
      <c r="CM30" s="13">
        <v>187544</v>
      </c>
      <c r="CN30" s="13">
        <v>2134.61</v>
      </c>
      <c r="CO30" s="13">
        <v>0</v>
      </c>
      <c r="CP30" s="13">
        <v>457.45</v>
      </c>
      <c r="CQ30" s="13">
        <v>457.45</v>
      </c>
      <c r="CR30" s="13">
        <v>213122.6</v>
      </c>
      <c r="CS30" s="13">
        <v>12284.61</v>
      </c>
      <c r="CT30" s="13">
        <v>514.58000000000004</v>
      </c>
      <c r="CU30" s="13">
        <v>519.84</v>
      </c>
      <c r="CV30" s="13">
        <v>519.85</v>
      </c>
      <c r="CW30" s="202">
        <v>6777</v>
      </c>
      <c r="CX30" s="200">
        <v>3888</v>
      </c>
      <c r="CY30" s="202">
        <v>50376</v>
      </c>
      <c r="CZ30" s="202">
        <v>8500</v>
      </c>
      <c r="DA30" s="202">
        <v>5</v>
      </c>
      <c r="DB30" s="202"/>
      <c r="DC30" s="202"/>
      <c r="DD30" s="461"/>
      <c r="DE30" s="256"/>
      <c r="DF30" s="204">
        <v>1217</v>
      </c>
      <c r="DG30" s="204"/>
      <c r="DH30" s="204"/>
      <c r="DI30" s="204"/>
      <c r="DJ30" s="202"/>
      <c r="DK30" s="202">
        <v>17200</v>
      </c>
      <c r="DL30" s="202"/>
      <c r="DM30" s="202"/>
      <c r="DN30" s="202"/>
      <c r="DO30" s="202"/>
      <c r="DP30" s="202"/>
      <c r="DQ30" s="202"/>
      <c r="DR30" s="202"/>
      <c r="DS30" s="202"/>
      <c r="DT30" s="254"/>
      <c r="DU30" s="254"/>
      <c r="DV30" s="202">
        <v>44190</v>
      </c>
      <c r="DW30" s="202"/>
      <c r="DX30" s="202"/>
      <c r="DY30" s="107"/>
      <c r="DZ30" s="107"/>
      <c r="EA30" s="202">
        <v>20716</v>
      </c>
      <c r="EB30" s="202"/>
      <c r="EC30" s="202"/>
      <c r="ED30" s="202"/>
      <c r="EE30" s="202"/>
      <c r="EF30" s="229"/>
      <c r="EG30" s="202"/>
      <c r="EH30" s="202"/>
      <c r="EI30" s="202"/>
      <c r="EJ30" s="202"/>
      <c r="EK30" s="202">
        <v>2206.92</v>
      </c>
      <c r="EL30" s="202">
        <v>0</v>
      </c>
      <c r="EM30" s="202">
        <v>473.01</v>
      </c>
      <c r="EN30" s="202">
        <v>496.52</v>
      </c>
      <c r="EO30" s="202">
        <v>2206.92</v>
      </c>
      <c r="EP30" s="202"/>
      <c r="EQ30" s="202">
        <v>473.01</v>
      </c>
      <c r="ER30" s="202">
        <v>496.52</v>
      </c>
      <c r="ES30" s="202"/>
      <c r="ET30" s="202"/>
      <c r="EU30" s="202"/>
      <c r="EV30" s="214">
        <f>2.15+39141.68</f>
        <v>39143.83</v>
      </c>
      <c r="EW30" s="240">
        <f t="shared" si="25"/>
        <v>17017.07</v>
      </c>
      <c r="EX30" s="209">
        <f t="shared" si="26"/>
        <v>11075.61</v>
      </c>
    </row>
    <row r="31" spans="1:154" ht="12.75" customHeight="1" x14ac:dyDescent="0.2">
      <c r="A31" s="45" t="s">
        <v>55</v>
      </c>
      <c r="B31" s="153" t="s">
        <v>43</v>
      </c>
      <c r="C31" s="149" t="s">
        <v>46</v>
      </c>
      <c r="D31" s="150" t="s">
        <v>401</v>
      </c>
      <c r="E31" s="149" t="s">
        <v>12</v>
      </c>
      <c r="F31" s="11">
        <v>9</v>
      </c>
      <c r="G31" s="11">
        <v>4</v>
      </c>
      <c r="H31" s="11">
        <v>126</v>
      </c>
      <c r="I31" s="11">
        <v>127</v>
      </c>
      <c r="J31" s="11">
        <v>299</v>
      </c>
      <c r="K31" s="11">
        <v>364</v>
      </c>
      <c r="L31" s="83">
        <v>4</v>
      </c>
      <c r="M31" s="84">
        <v>847</v>
      </c>
      <c r="N31" s="84">
        <v>1176</v>
      </c>
      <c r="O31" s="84">
        <v>0</v>
      </c>
      <c r="P31" s="133">
        <v>925.3</v>
      </c>
      <c r="Q31" s="133">
        <v>1180.5</v>
      </c>
      <c r="R31" s="133">
        <v>0</v>
      </c>
      <c r="S31" s="133">
        <f t="shared" si="27"/>
        <v>2105.8000000000002</v>
      </c>
      <c r="T31" s="134">
        <v>925.3</v>
      </c>
      <c r="U31" s="130">
        <v>2.44</v>
      </c>
      <c r="V31" s="91">
        <v>1.9800000000000002E-2</v>
      </c>
      <c r="W31" s="91">
        <v>1.9800000000000002E-2</v>
      </c>
      <c r="X31" s="132">
        <v>1.32E-3</v>
      </c>
      <c r="Y31" s="91">
        <v>3.9699999999999999E-2</v>
      </c>
      <c r="Z31" s="29">
        <v>7417.01</v>
      </c>
      <c r="AA31" s="34">
        <v>304.10000000000002</v>
      </c>
      <c r="AB31" s="9">
        <f t="shared" si="32"/>
        <v>7721.11</v>
      </c>
      <c r="AC31" s="9">
        <f t="shared" si="34"/>
        <v>48874.63</v>
      </c>
      <c r="AD31" s="9">
        <v>2.33</v>
      </c>
      <c r="AE31" s="9">
        <v>4.53</v>
      </c>
      <c r="AF31" s="21">
        <f>2.4-AJ31</f>
        <v>2.25</v>
      </c>
      <c r="AG31" s="18">
        <f>0.61-AQ31</f>
        <v>0.56000000000000005</v>
      </c>
      <c r="AH31" s="9">
        <v>2.78</v>
      </c>
      <c r="AI31" s="13">
        <v>1129</v>
      </c>
      <c r="AJ31" s="21">
        <f t="shared" si="0"/>
        <v>0.15</v>
      </c>
      <c r="AK31" s="9">
        <v>2.2200000000000002</v>
      </c>
      <c r="AL31" s="9">
        <v>0.6</v>
      </c>
      <c r="AM31" s="9">
        <v>7.0000000000000007E-2</v>
      </c>
      <c r="AN31" s="13"/>
      <c r="AO31" s="13">
        <v>844.8</v>
      </c>
      <c r="AP31" s="13">
        <f t="shared" si="28"/>
        <v>5.58</v>
      </c>
      <c r="AQ31" s="18">
        <f t="shared" si="1"/>
        <v>0.05</v>
      </c>
      <c r="AR31" s="9">
        <v>0.51</v>
      </c>
      <c r="AS31" s="9">
        <v>0.18</v>
      </c>
      <c r="AT31" s="9">
        <v>7.0000000000000007E-2</v>
      </c>
      <c r="AU31" s="9">
        <v>3.81</v>
      </c>
      <c r="AV31" s="9">
        <v>0.17</v>
      </c>
      <c r="AW31" s="9">
        <f>1.46+0.34+0.24</f>
        <v>2.04</v>
      </c>
      <c r="AX31" s="9">
        <f>2.06+0.46</f>
        <v>2.52</v>
      </c>
      <c r="AY31" s="151">
        <f t="shared" si="29"/>
        <v>24.84</v>
      </c>
      <c r="AZ31" s="152">
        <v>7371.2</v>
      </c>
      <c r="BA31" s="152">
        <v>368.2</v>
      </c>
      <c r="BB31" s="152">
        <f t="shared" si="30"/>
        <v>7739.4</v>
      </c>
      <c r="BC31" s="152">
        <v>24.84</v>
      </c>
      <c r="BD31" s="13">
        <f t="shared" si="31"/>
        <v>0</v>
      </c>
      <c r="BE31" s="9">
        <f t="shared" si="2"/>
        <v>191792.37</v>
      </c>
      <c r="BF31" s="9">
        <v>24.84</v>
      </c>
      <c r="BG31" s="10">
        <v>44409</v>
      </c>
      <c r="BH31" s="9">
        <f t="shared" si="3"/>
        <v>17990.189999999999</v>
      </c>
      <c r="BI31" s="9">
        <f t="shared" si="4"/>
        <v>34976.629999999997</v>
      </c>
      <c r="BJ31" s="9">
        <f t="shared" si="5"/>
        <v>17372.5</v>
      </c>
      <c r="BK31" s="9">
        <f t="shared" si="6"/>
        <v>4323.82</v>
      </c>
      <c r="BL31" s="9">
        <f t="shared" si="7"/>
        <v>21464.69</v>
      </c>
      <c r="BM31" s="9">
        <f t="shared" si="8"/>
        <v>1158.17</v>
      </c>
      <c r="BN31" s="9">
        <f t="shared" si="9"/>
        <v>17140.86</v>
      </c>
      <c r="BO31" s="9">
        <f t="shared" si="10"/>
        <v>4632.67</v>
      </c>
      <c r="BP31" s="9">
        <f t="shared" si="11"/>
        <v>540.48</v>
      </c>
      <c r="BQ31" s="9">
        <f t="shared" si="12"/>
        <v>386.06</v>
      </c>
      <c r="BR31" s="9">
        <f t="shared" si="13"/>
        <v>3937.77</v>
      </c>
      <c r="BS31" s="9">
        <f t="shared" si="14"/>
        <v>1389.8</v>
      </c>
      <c r="BT31" s="9">
        <f t="shared" si="15"/>
        <v>540.48</v>
      </c>
      <c r="BU31" s="9">
        <f t="shared" si="16"/>
        <v>29417.43</v>
      </c>
      <c r="BV31" s="9">
        <f t="shared" si="17"/>
        <v>1312.59</v>
      </c>
      <c r="BW31" s="9">
        <f t="shared" si="18"/>
        <v>15751.06</v>
      </c>
      <c r="BX31" s="9">
        <f t="shared" si="19"/>
        <v>19457.2</v>
      </c>
      <c r="BY31" s="17">
        <f t="shared" si="20"/>
        <v>191792.4</v>
      </c>
      <c r="BZ31" s="17">
        <v>2.54</v>
      </c>
      <c r="CA31" s="17">
        <v>0.06</v>
      </c>
      <c r="CB31" s="17">
        <v>0.4</v>
      </c>
      <c r="CC31" s="27">
        <v>7.0000000000000007E-2</v>
      </c>
      <c r="CD31" s="29">
        <v>6.33</v>
      </c>
      <c r="CE31" s="9">
        <v>17544.5</v>
      </c>
      <c r="CF31" s="9"/>
      <c r="CG31" s="9">
        <v>43211.38</v>
      </c>
      <c r="CH31" s="9">
        <v>22853.56</v>
      </c>
      <c r="CI31" s="9">
        <f t="shared" si="35"/>
        <v>2.27</v>
      </c>
      <c r="CJ31" s="9">
        <f t="shared" si="36"/>
        <v>0</v>
      </c>
      <c r="CK31" s="13">
        <f t="shared" si="37"/>
        <v>5.6</v>
      </c>
      <c r="CL31" s="13">
        <f t="shared" si="38"/>
        <v>2.96</v>
      </c>
      <c r="CM31" s="13">
        <v>184238.55</v>
      </c>
      <c r="CN31" s="13">
        <v>18839.22</v>
      </c>
      <c r="CO31" s="13">
        <v>2966.8</v>
      </c>
      <c r="CP31" s="13">
        <v>9271.5499999999993</v>
      </c>
      <c r="CQ31" s="13">
        <v>5117.7299999999996</v>
      </c>
      <c r="CR31" s="13">
        <v>207234.73</v>
      </c>
      <c r="CS31" s="13">
        <v>20518.18</v>
      </c>
      <c r="CT31" s="13">
        <v>3020.02</v>
      </c>
      <c r="CU31" s="13">
        <v>509.92</v>
      </c>
      <c r="CV31" s="13">
        <v>333.66</v>
      </c>
      <c r="CW31" s="202">
        <v>6727</v>
      </c>
      <c r="CX31" s="200">
        <v>3859</v>
      </c>
      <c r="CY31" s="202">
        <v>51720</v>
      </c>
      <c r="CZ31" s="202">
        <v>6800</v>
      </c>
      <c r="DA31" s="202">
        <v>4</v>
      </c>
      <c r="DB31" s="202"/>
      <c r="DC31" s="202"/>
      <c r="DD31" s="461"/>
      <c r="DE31" s="256"/>
      <c r="DF31" s="204">
        <v>1129</v>
      </c>
      <c r="DG31" s="204"/>
      <c r="DH31" s="204"/>
      <c r="DI31" s="204"/>
      <c r="DJ31" s="202"/>
      <c r="DK31" s="202">
        <v>17200</v>
      </c>
      <c r="DL31" s="202"/>
      <c r="DM31" s="202"/>
      <c r="DN31" s="202"/>
      <c r="DO31" s="202"/>
      <c r="DP31" s="202"/>
      <c r="DQ31" s="202"/>
      <c r="DR31" s="202"/>
      <c r="DS31" s="202"/>
      <c r="DT31" s="254"/>
      <c r="DU31" s="254"/>
      <c r="DV31" s="202">
        <v>44292</v>
      </c>
      <c r="DW31" s="202"/>
      <c r="DX31" s="202"/>
      <c r="DY31" s="107">
        <v>1365</v>
      </c>
      <c r="DZ31" s="107"/>
      <c r="EA31" s="202"/>
      <c r="EB31" s="202"/>
      <c r="EC31" s="202"/>
      <c r="ED31" s="202"/>
      <c r="EE31" s="202"/>
      <c r="EF31" s="229"/>
      <c r="EG31" s="202"/>
      <c r="EH31" s="202"/>
      <c r="EI31" s="202"/>
      <c r="EJ31" s="202"/>
      <c r="EK31" s="202">
        <v>3393.72</v>
      </c>
      <c r="EL31" s="202">
        <v>8737.07</v>
      </c>
      <c r="EM31" s="202">
        <v>9647.57</v>
      </c>
      <c r="EN31" s="202">
        <v>5310.04</v>
      </c>
      <c r="EO31" s="202">
        <v>3393.72</v>
      </c>
      <c r="EP31" s="202"/>
      <c r="EQ31" s="202">
        <v>9647.57</v>
      </c>
      <c r="ER31" s="202">
        <v>5310.04</v>
      </c>
      <c r="ES31" s="202"/>
      <c r="ET31" s="202"/>
      <c r="EU31" s="202"/>
      <c r="EV31" s="214">
        <v>300.73</v>
      </c>
      <c r="EW31" s="240">
        <f t="shared" si="25"/>
        <v>16887.3</v>
      </c>
      <c r="EX31" s="209">
        <f t="shared" si="26"/>
        <v>10991.15</v>
      </c>
    </row>
    <row r="32" spans="1:154" ht="12.75" customHeight="1" x14ac:dyDescent="0.2">
      <c r="A32" s="45" t="s">
        <v>58</v>
      </c>
      <c r="B32" s="153" t="s">
        <v>43</v>
      </c>
      <c r="C32" s="149" t="s">
        <v>48</v>
      </c>
      <c r="D32" s="150" t="s">
        <v>400</v>
      </c>
      <c r="E32" s="149" t="s">
        <v>12</v>
      </c>
      <c r="F32" s="11">
        <v>9</v>
      </c>
      <c r="G32" s="11">
        <v>7</v>
      </c>
      <c r="H32" s="11">
        <v>229</v>
      </c>
      <c r="I32" s="11">
        <v>235</v>
      </c>
      <c r="J32" s="11">
        <v>542</v>
      </c>
      <c r="K32" s="11">
        <v>660</v>
      </c>
      <c r="L32" s="11">
        <v>7</v>
      </c>
      <c r="M32" s="84">
        <v>1553</v>
      </c>
      <c r="N32" s="84">
        <v>1868</v>
      </c>
      <c r="O32" s="84">
        <v>0</v>
      </c>
      <c r="P32" s="133">
        <v>1552.5</v>
      </c>
      <c r="Q32" s="133">
        <v>1948.26</v>
      </c>
      <c r="R32" s="133">
        <v>0</v>
      </c>
      <c r="S32" s="133">
        <f t="shared" si="27"/>
        <v>3500.76</v>
      </c>
      <c r="T32" s="134">
        <v>1720.6</v>
      </c>
      <c r="U32" s="130">
        <v>2.44</v>
      </c>
      <c r="V32" s="131">
        <v>1.9800000000000002E-2</v>
      </c>
      <c r="W32" s="131">
        <v>1.9800000000000002E-2</v>
      </c>
      <c r="X32" s="132">
        <v>1.32E-3</v>
      </c>
      <c r="Y32" s="131">
        <v>3.9699999999999999E-2</v>
      </c>
      <c r="Z32" s="29">
        <v>13104.51</v>
      </c>
      <c r="AA32" s="34">
        <v>63.8</v>
      </c>
      <c r="AB32" s="9">
        <f t="shared" si="32"/>
        <v>13168.31</v>
      </c>
      <c r="AC32" s="9">
        <f t="shared" si="34"/>
        <v>83355.399999999994</v>
      </c>
      <c r="AD32" s="9">
        <v>2.4700000000000002</v>
      </c>
      <c r="AE32" s="9">
        <v>4.6500000000000004</v>
      </c>
      <c r="AF32" s="22">
        <f>2.41-AJ32</f>
        <v>2.27</v>
      </c>
      <c r="AG32" s="18">
        <f>0.61-AQ32</f>
        <v>0.56000000000000005</v>
      </c>
      <c r="AH32" s="9">
        <v>2.78</v>
      </c>
      <c r="AI32" s="13">
        <v>1793</v>
      </c>
      <c r="AJ32" s="21">
        <f t="shared" si="0"/>
        <v>0.14000000000000001</v>
      </c>
      <c r="AK32" s="9">
        <v>2.2799999999999998</v>
      </c>
      <c r="AL32" s="9">
        <v>0.2</v>
      </c>
      <c r="AM32" s="9">
        <v>0.04</v>
      </c>
      <c r="AN32" s="13"/>
      <c r="AO32" s="13">
        <v>1478.4</v>
      </c>
      <c r="AP32" s="13">
        <f t="shared" si="28"/>
        <v>5.58</v>
      </c>
      <c r="AQ32" s="18">
        <f t="shared" si="1"/>
        <v>0.05</v>
      </c>
      <c r="AR32" s="9">
        <v>0.54</v>
      </c>
      <c r="AS32" s="9">
        <v>0.21</v>
      </c>
      <c r="AT32" s="9">
        <v>7.0000000000000007E-2</v>
      </c>
      <c r="AU32" s="9">
        <v>3.82</v>
      </c>
      <c r="AV32" s="9">
        <v>0.17</v>
      </c>
      <c r="AW32" s="9">
        <f>1.46+0.34+0.25</f>
        <v>2.0499999999999998</v>
      </c>
      <c r="AX32" s="9">
        <f>2.05+0.45</f>
        <v>2.5</v>
      </c>
      <c r="AY32" s="151">
        <f t="shared" si="29"/>
        <v>24.8</v>
      </c>
      <c r="AZ32" s="152">
        <v>13138.4</v>
      </c>
      <c r="BA32" s="152">
        <v>63.8</v>
      </c>
      <c r="BB32" s="152">
        <f t="shared" si="30"/>
        <v>13202.2</v>
      </c>
      <c r="BC32" s="152">
        <v>24.8</v>
      </c>
      <c r="BD32" s="13">
        <f t="shared" si="31"/>
        <v>0</v>
      </c>
      <c r="BE32" s="9">
        <f t="shared" si="2"/>
        <v>326574.09000000003</v>
      </c>
      <c r="BF32" s="9">
        <v>24.8</v>
      </c>
      <c r="BG32" s="10">
        <v>44409</v>
      </c>
      <c r="BH32" s="9">
        <f t="shared" si="3"/>
        <v>32525.73</v>
      </c>
      <c r="BI32" s="9">
        <f t="shared" si="4"/>
        <v>61232.639999999999</v>
      </c>
      <c r="BJ32" s="9">
        <f t="shared" si="5"/>
        <v>29892.06</v>
      </c>
      <c r="BK32" s="9">
        <f t="shared" si="6"/>
        <v>7374.25</v>
      </c>
      <c r="BL32" s="9">
        <f t="shared" si="7"/>
        <v>36607.9</v>
      </c>
      <c r="BM32" s="9">
        <f t="shared" si="8"/>
        <v>1843.56</v>
      </c>
      <c r="BN32" s="9">
        <f t="shared" si="9"/>
        <v>30023.75</v>
      </c>
      <c r="BO32" s="9">
        <f t="shared" si="10"/>
        <v>2633.66</v>
      </c>
      <c r="BP32" s="9">
        <f t="shared" si="11"/>
        <v>526.73</v>
      </c>
      <c r="BQ32" s="9">
        <f t="shared" si="12"/>
        <v>658.42</v>
      </c>
      <c r="BR32" s="9">
        <f t="shared" si="13"/>
        <v>7110.89</v>
      </c>
      <c r="BS32" s="9">
        <f t="shared" si="14"/>
        <v>2765.35</v>
      </c>
      <c r="BT32" s="9">
        <f t="shared" si="15"/>
        <v>921.78</v>
      </c>
      <c r="BU32" s="9">
        <f t="shared" si="16"/>
        <v>50302.94</v>
      </c>
      <c r="BV32" s="9">
        <f t="shared" si="17"/>
        <v>2238.61</v>
      </c>
      <c r="BW32" s="9">
        <f t="shared" si="18"/>
        <v>26995.040000000001</v>
      </c>
      <c r="BX32" s="9">
        <f t="shared" si="19"/>
        <v>32920.78</v>
      </c>
      <c r="BY32" s="17">
        <f t="shared" si="20"/>
        <v>326574.09000000003</v>
      </c>
      <c r="BZ32" s="17">
        <v>2.73</v>
      </c>
      <c r="CA32" s="17">
        <v>7.0000000000000007E-2</v>
      </c>
      <c r="CB32" s="17">
        <v>0.44</v>
      </c>
      <c r="CC32" s="27">
        <v>7.0000000000000007E-2</v>
      </c>
      <c r="CD32" s="29">
        <v>6.33</v>
      </c>
      <c r="CE32" s="9">
        <v>41346.65</v>
      </c>
      <c r="CF32" s="9"/>
      <c r="CG32" s="9">
        <v>0</v>
      </c>
      <c r="CH32" s="9">
        <v>481.99</v>
      </c>
      <c r="CI32" s="9">
        <f t="shared" si="35"/>
        <v>3.14</v>
      </c>
      <c r="CJ32" s="9">
        <f t="shared" si="36"/>
        <v>0</v>
      </c>
      <c r="CK32" s="13">
        <f t="shared" si="37"/>
        <v>0</v>
      </c>
      <c r="CL32" s="13">
        <f t="shared" si="38"/>
        <v>0.04</v>
      </c>
      <c r="CM32" s="13">
        <v>325014.15000000002</v>
      </c>
      <c r="CN32" s="13">
        <v>35777.85</v>
      </c>
      <c r="CO32" s="13">
        <v>0</v>
      </c>
      <c r="CP32" s="13">
        <v>0</v>
      </c>
      <c r="CQ32" s="13">
        <v>524.30999999999995</v>
      </c>
      <c r="CR32" s="13">
        <v>317744.69</v>
      </c>
      <c r="CS32" s="13">
        <v>32058.46</v>
      </c>
      <c r="CT32" s="13">
        <v>10240.23</v>
      </c>
      <c r="CU32" s="13">
        <v>131.09</v>
      </c>
      <c r="CV32" s="13">
        <v>536.19000000000005</v>
      </c>
      <c r="CW32" s="202">
        <v>11474</v>
      </c>
      <c r="CX32" s="200">
        <v>6582</v>
      </c>
      <c r="CY32" s="202">
        <v>85080</v>
      </c>
      <c r="CZ32" s="202">
        <v>8500</v>
      </c>
      <c r="DA32" s="202">
        <v>5</v>
      </c>
      <c r="DB32" s="202"/>
      <c r="DC32" s="202"/>
      <c r="DD32" s="461"/>
      <c r="DE32" s="256"/>
      <c r="DF32" s="204">
        <v>1793</v>
      </c>
      <c r="DG32" s="204"/>
      <c r="DH32" s="204"/>
      <c r="DI32" s="204"/>
      <c r="DJ32" s="202"/>
      <c r="DK32" s="202">
        <v>30100</v>
      </c>
      <c r="DL32" s="202"/>
      <c r="DM32" s="202"/>
      <c r="DN32" s="202"/>
      <c r="DO32" s="202"/>
      <c r="DP32" s="202"/>
      <c r="DQ32" s="202"/>
      <c r="DR32" s="202"/>
      <c r="DS32" s="202"/>
      <c r="DT32" s="254"/>
      <c r="DU32" s="254"/>
      <c r="DV32" s="202">
        <v>75767</v>
      </c>
      <c r="DW32" s="202"/>
      <c r="DX32" s="202"/>
      <c r="DY32" s="107">
        <v>2730</v>
      </c>
      <c r="DZ32" s="107">
        <v>577</v>
      </c>
      <c r="EA32" s="202">
        <v>1614.66</v>
      </c>
      <c r="EB32" s="202"/>
      <c r="EC32" s="202"/>
      <c r="ED32" s="202"/>
      <c r="EE32" s="202"/>
      <c r="EF32" s="229"/>
      <c r="EG32" s="202"/>
      <c r="EH32" s="202"/>
      <c r="EI32" s="202"/>
      <c r="EJ32" s="202"/>
      <c r="EK32" s="202">
        <v>4757.05</v>
      </c>
      <c r="EL32" s="202">
        <v>0</v>
      </c>
      <c r="EM32" s="202">
        <v>0</v>
      </c>
      <c r="EN32" s="202">
        <v>481.99</v>
      </c>
      <c r="EO32" s="202">
        <v>4757.05</v>
      </c>
      <c r="EP32" s="202"/>
      <c r="EQ32" s="202">
        <v>0</v>
      </c>
      <c r="ER32" s="202">
        <v>481.99</v>
      </c>
      <c r="ES32" s="202"/>
      <c r="ET32" s="202"/>
      <c r="EU32" s="202"/>
      <c r="EV32" s="214">
        <f>-32.09+28779.51</f>
        <v>28747.42</v>
      </c>
      <c r="EW32" s="240">
        <f t="shared" si="25"/>
        <v>28801.200000000001</v>
      </c>
      <c r="EX32" s="209">
        <f t="shared" si="26"/>
        <v>18745.349999999999</v>
      </c>
    </row>
    <row r="33" spans="1:179" s="95" customFormat="1" ht="12.75" customHeight="1" x14ac:dyDescent="0.2">
      <c r="A33" s="96"/>
      <c r="B33" s="153" t="s">
        <v>43</v>
      </c>
      <c r="C33" s="154">
        <v>9</v>
      </c>
      <c r="D33" s="150" t="s">
        <v>700</v>
      </c>
      <c r="E33" s="149"/>
      <c r="F33" s="84">
        <v>10</v>
      </c>
      <c r="G33" s="84">
        <v>11</v>
      </c>
      <c r="H33" s="84">
        <v>440</v>
      </c>
      <c r="I33" s="84">
        <v>440</v>
      </c>
      <c r="J33" s="11">
        <v>1121</v>
      </c>
      <c r="K33" s="84">
        <v>1293</v>
      </c>
      <c r="L33" s="84">
        <v>11</v>
      </c>
      <c r="M33" s="84">
        <v>2710</v>
      </c>
      <c r="N33" s="84">
        <v>3487</v>
      </c>
      <c r="O33" s="84">
        <v>0</v>
      </c>
      <c r="P33" s="135">
        <f>1379.4+1331</f>
        <v>2710.4</v>
      </c>
      <c r="Q33" s="133">
        <v>2511.6999999999998</v>
      </c>
      <c r="R33" s="133">
        <v>0</v>
      </c>
      <c r="S33" s="133">
        <f t="shared" si="27"/>
        <v>5222.1000000000004</v>
      </c>
      <c r="T33" s="138"/>
      <c r="U33" s="130">
        <v>2.74</v>
      </c>
      <c r="V33" s="131"/>
      <c r="W33" s="91">
        <v>1.1299999999999999E-2</v>
      </c>
      <c r="X33" s="132">
        <v>7.5000000000000002E-4</v>
      </c>
      <c r="Y33" s="131"/>
      <c r="Z33" s="29">
        <v>23744.44</v>
      </c>
      <c r="AA33" s="29">
        <v>157.1</v>
      </c>
      <c r="AB33" s="13">
        <f t="shared" si="32"/>
        <v>23901.54</v>
      </c>
      <c r="AC33" s="9">
        <f t="shared" si="34"/>
        <v>151296.75</v>
      </c>
      <c r="AD33" s="9">
        <v>2.4900000000000002</v>
      </c>
      <c r="AE33" s="9">
        <v>4.76</v>
      </c>
      <c r="AF33" s="21">
        <f>2.49-AJ33</f>
        <v>2.35</v>
      </c>
      <c r="AG33" s="18">
        <f>0.64-AQ33</f>
        <v>0.64</v>
      </c>
      <c r="AH33" s="9">
        <v>2.78</v>
      </c>
      <c r="AI33" s="13">
        <v>3348</v>
      </c>
      <c r="AJ33" s="21">
        <f t="shared" si="0"/>
        <v>0.14000000000000001</v>
      </c>
      <c r="AK33" s="13">
        <v>1.98</v>
      </c>
      <c r="AL33" s="13">
        <v>0.17</v>
      </c>
      <c r="AM33" s="13">
        <v>0.1</v>
      </c>
      <c r="AN33" s="13"/>
      <c r="AO33" s="13"/>
      <c r="AP33" s="13">
        <f t="shared" si="28"/>
        <v>5.58</v>
      </c>
      <c r="AQ33" s="18">
        <f t="shared" si="1"/>
        <v>0</v>
      </c>
      <c r="AR33" s="13">
        <v>0.55000000000000004</v>
      </c>
      <c r="AS33" s="13">
        <v>0.23</v>
      </c>
      <c r="AT33" s="13">
        <v>7.0000000000000007E-2</v>
      </c>
      <c r="AU33" s="13">
        <v>3.41</v>
      </c>
      <c r="AV33" s="13">
        <v>0.17</v>
      </c>
      <c r="AW33" s="13">
        <f>1.46+0.3+0.25</f>
        <v>2.0099999999999998</v>
      </c>
      <c r="AX33" s="13">
        <f>2.03+0.4</f>
        <v>2.4300000000000002</v>
      </c>
      <c r="AY33" s="151">
        <f t="shared" si="29"/>
        <v>24.28</v>
      </c>
      <c r="AZ33" s="152"/>
      <c r="BA33" s="152"/>
      <c r="BB33" s="152"/>
      <c r="BC33" s="152">
        <v>24.28</v>
      </c>
      <c r="BD33" s="13">
        <f t="shared" si="31"/>
        <v>0</v>
      </c>
      <c r="BE33" s="13">
        <f t="shared" si="2"/>
        <v>580329.39</v>
      </c>
      <c r="BF33" s="94">
        <v>24.28</v>
      </c>
      <c r="BG33" s="30">
        <v>44470</v>
      </c>
      <c r="BH33" s="9">
        <f t="shared" si="3"/>
        <v>59514.83</v>
      </c>
      <c r="BI33" s="9">
        <f t="shared" si="4"/>
        <v>113771.33</v>
      </c>
      <c r="BJ33" s="9">
        <f t="shared" si="5"/>
        <v>56168.62</v>
      </c>
      <c r="BK33" s="9">
        <f t="shared" si="6"/>
        <v>15296.99</v>
      </c>
      <c r="BL33" s="9">
        <f t="shared" si="7"/>
        <v>66446.28</v>
      </c>
      <c r="BM33" s="9">
        <f t="shared" si="8"/>
        <v>3346.22</v>
      </c>
      <c r="BN33" s="9">
        <f t="shared" si="9"/>
        <v>47325.05</v>
      </c>
      <c r="BO33" s="9">
        <f t="shared" si="10"/>
        <v>4063.26</v>
      </c>
      <c r="BP33" s="9">
        <f t="shared" si="11"/>
        <v>2390.15</v>
      </c>
      <c r="BQ33" s="9">
        <f t="shared" si="12"/>
        <v>0</v>
      </c>
      <c r="BR33" s="9">
        <f t="shared" si="13"/>
        <v>13145.85</v>
      </c>
      <c r="BS33" s="9">
        <f t="shared" si="14"/>
        <v>5497.35</v>
      </c>
      <c r="BT33" s="9">
        <f t="shared" si="15"/>
        <v>1673.11</v>
      </c>
      <c r="BU33" s="9">
        <f t="shared" si="16"/>
        <v>81504.25</v>
      </c>
      <c r="BV33" s="9">
        <f t="shared" si="17"/>
        <v>4063.26</v>
      </c>
      <c r="BW33" s="9">
        <f t="shared" si="18"/>
        <v>48042.1</v>
      </c>
      <c r="BX33" s="9">
        <f t="shared" si="19"/>
        <v>58080.74</v>
      </c>
      <c r="BY33" s="17">
        <f t="shared" si="20"/>
        <v>580329.39</v>
      </c>
      <c r="BZ33" s="17">
        <v>2.46</v>
      </c>
      <c r="CA33" s="17">
        <v>0.04</v>
      </c>
      <c r="CB33" s="17">
        <v>0.26</v>
      </c>
      <c r="CC33" s="27">
        <v>0.04</v>
      </c>
      <c r="CD33" s="29">
        <v>6.33</v>
      </c>
      <c r="CE33" s="27"/>
      <c r="CF33" s="90"/>
      <c r="CG33" s="91"/>
      <c r="CH33" s="27"/>
      <c r="CI33" s="13">
        <f t="shared" si="35"/>
        <v>0</v>
      </c>
      <c r="CJ33" s="13">
        <f t="shared" si="36"/>
        <v>0</v>
      </c>
      <c r="CK33" s="13">
        <f t="shared" si="37"/>
        <v>0</v>
      </c>
      <c r="CL33" s="13">
        <f t="shared" si="38"/>
        <v>0</v>
      </c>
      <c r="CM33" s="13">
        <v>576515.06000000006</v>
      </c>
      <c r="CN33" s="13">
        <v>33716.99</v>
      </c>
      <c r="CO33" s="13">
        <v>0</v>
      </c>
      <c r="CP33" s="13">
        <v>949.97</v>
      </c>
      <c r="CQ33" s="13">
        <v>949.97</v>
      </c>
      <c r="CR33" s="13">
        <v>519203.25</v>
      </c>
      <c r="CS33" s="13">
        <v>44876.83</v>
      </c>
      <c r="CT33" s="13">
        <v>1623.94</v>
      </c>
      <c r="CU33" s="13">
        <v>1111.94</v>
      </c>
      <c r="CV33" s="13">
        <v>1026.2</v>
      </c>
      <c r="CW33" s="202">
        <v>20822</v>
      </c>
      <c r="CX33" s="200">
        <v>11945</v>
      </c>
      <c r="CY33" s="202">
        <v>162526</v>
      </c>
      <c r="CZ33" s="202">
        <v>5100</v>
      </c>
      <c r="DA33" s="202">
        <v>3</v>
      </c>
      <c r="DB33" s="202"/>
      <c r="DC33" s="202"/>
      <c r="DD33" s="461"/>
      <c r="DE33" s="256"/>
      <c r="DF33" s="204">
        <v>3348</v>
      </c>
      <c r="DG33" s="204"/>
      <c r="DH33" s="204"/>
      <c r="DI33" s="204"/>
      <c r="DJ33" s="202"/>
      <c r="DK33" s="202">
        <f>47300-277.42</f>
        <v>47022.58</v>
      </c>
      <c r="DL33" s="202"/>
      <c r="DM33" s="202"/>
      <c r="DN33" s="202"/>
      <c r="DO33" s="202"/>
      <c r="DP33" s="202"/>
      <c r="DQ33" s="202"/>
      <c r="DR33" s="202"/>
      <c r="DS33" s="202"/>
      <c r="DT33" s="254"/>
      <c r="DU33" s="254"/>
      <c r="DV33" s="202">
        <v>137909</v>
      </c>
      <c r="DW33" s="202"/>
      <c r="DX33" s="202"/>
      <c r="DY33" s="107">
        <v>5460</v>
      </c>
      <c r="DZ33" s="107"/>
      <c r="EA33" s="107">
        <f>82212.52+94842.68</f>
        <v>177055.2</v>
      </c>
      <c r="EB33" s="107"/>
      <c r="EC33" s="107"/>
      <c r="ED33" s="107"/>
      <c r="EE33" s="107"/>
      <c r="EF33" s="230"/>
      <c r="EG33" s="107"/>
      <c r="EH33" s="107"/>
      <c r="EI33" s="107"/>
      <c r="EJ33" s="107"/>
      <c r="EK33" s="202">
        <v>49951.97</v>
      </c>
      <c r="EL33" s="202">
        <v>0</v>
      </c>
      <c r="EM33" s="202">
        <v>997.65</v>
      </c>
      <c r="EN33" s="202">
        <v>1039.98</v>
      </c>
      <c r="EO33" s="202">
        <v>49951.97</v>
      </c>
      <c r="EP33" s="107"/>
      <c r="EQ33" s="202">
        <v>997.65</v>
      </c>
      <c r="ER33" s="202">
        <v>1039.98</v>
      </c>
      <c r="ES33" s="107"/>
      <c r="ET33" s="107"/>
      <c r="EU33" s="107"/>
      <c r="EV33" s="214">
        <v>23.56</v>
      </c>
      <c r="EW33" s="240">
        <f t="shared" si="25"/>
        <v>52276.49</v>
      </c>
      <c r="EX33" s="209">
        <f t="shared" si="26"/>
        <v>34024.32</v>
      </c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</row>
    <row r="34" spans="1:179" s="95" customFormat="1" ht="12.75" customHeight="1" x14ac:dyDescent="0.2">
      <c r="A34" s="45" t="s">
        <v>179</v>
      </c>
      <c r="B34" s="153" t="s">
        <v>43</v>
      </c>
      <c r="C34" s="154" t="s">
        <v>23</v>
      </c>
      <c r="D34" s="150" t="s">
        <v>613</v>
      </c>
      <c r="E34" s="149"/>
      <c r="F34" s="84">
        <v>10</v>
      </c>
      <c r="G34" s="84">
        <v>12</v>
      </c>
      <c r="H34" s="84">
        <v>490</v>
      </c>
      <c r="I34" s="84">
        <v>491</v>
      </c>
      <c r="J34" s="11">
        <v>1092</v>
      </c>
      <c r="K34" s="84">
        <v>1222</v>
      </c>
      <c r="L34" s="84">
        <v>12</v>
      </c>
      <c r="M34" s="84">
        <v>2944</v>
      </c>
      <c r="N34" s="84">
        <v>4355</v>
      </c>
      <c r="O34" s="84">
        <v>1815</v>
      </c>
      <c r="P34" s="135">
        <v>3553</v>
      </c>
      <c r="Q34" s="133">
        <v>2641.1</v>
      </c>
      <c r="R34" s="133">
        <v>0</v>
      </c>
      <c r="S34" s="133">
        <f t="shared" si="27"/>
        <v>6194.1</v>
      </c>
      <c r="T34" s="138">
        <v>3553</v>
      </c>
      <c r="U34" s="130">
        <v>2.74</v>
      </c>
      <c r="V34" s="91">
        <v>1.1299999999999999E-2</v>
      </c>
      <c r="W34" s="91">
        <v>1.1299999999999999E-2</v>
      </c>
      <c r="X34" s="132">
        <v>7.5000000000000002E-4</v>
      </c>
      <c r="Y34" s="91">
        <v>2.2499999999999999E-2</v>
      </c>
      <c r="Z34" s="29">
        <v>23807.81</v>
      </c>
      <c r="AA34" s="29">
        <v>0</v>
      </c>
      <c r="AB34" s="13">
        <f t="shared" si="32"/>
        <v>23807.81</v>
      </c>
      <c r="AC34" s="9">
        <f t="shared" si="34"/>
        <v>150703.44</v>
      </c>
      <c r="AD34" s="9">
        <v>2.65</v>
      </c>
      <c r="AE34" s="9">
        <v>4.84</v>
      </c>
      <c r="AF34" s="21">
        <f>2.42-AJ34</f>
        <v>2.2400000000000002</v>
      </c>
      <c r="AG34" s="18">
        <f>0.63-AQ34</f>
        <v>0.56999999999999995</v>
      </c>
      <c r="AH34" s="9">
        <v>2.4700000000000002</v>
      </c>
      <c r="AI34" s="13">
        <v>4181</v>
      </c>
      <c r="AJ34" s="21">
        <f t="shared" si="0"/>
        <v>0.18</v>
      </c>
      <c r="AK34" s="13">
        <v>2.16</v>
      </c>
      <c r="AL34" s="13">
        <v>0.35</v>
      </c>
      <c r="AM34" s="13">
        <v>0.05</v>
      </c>
      <c r="AN34" s="13"/>
      <c r="AO34" s="13">
        <v>2947.2</v>
      </c>
      <c r="AP34" s="13">
        <f t="shared" si="28"/>
        <v>5.58</v>
      </c>
      <c r="AQ34" s="18">
        <f t="shared" si="1"/>
        <v>0.06</v>
      </c>
      <c r="AR34" s="13">
        <v>0.61</v>
      </c>
      <c r="AS34" s="13">
        <v>0.23</v>
      </c>
      <c r="AT34" s="13">
        <v>7.0000000000000007E-2</v>
      </c>
      <c r="AU34" s="13">
        <v>3.94</v>
      </c>
      <c r="AV34" s="13">
        <v>0.17</v>
      </c>
      <c r="AW34" s="13">
        <f>1.48+0.35+0.29</f>
        <v>2.12</v>
      </c>
      <c r="AX34" s="13">
        <f>2.08+0.47</f>
        <v>2.5499999999999998</v>
      </c>
      <c r="AY34" s="151">
        <f t="shared" si="29"/>
        <v>25.26</v>
      </c>
      <c r="AZ34" s="152"/>
      <c r="BA34" s="152"/>
      <c r="BB34" s="152"/>
      <c r="BC34" s="152">
        <v>25.26</v>
      </c>
      <c r="BD34" s="13">
        <f t="shared" si="31"/>
        <v>0</v>
      </c>
      <c r="BE34" s="13">
        <f t="shared" si="2"/>
        <v>601385.28</v>
      </c>
      <c r="BF34" s="94">
        <v>25.26</v>
      </c>
      <c r="BG34" s="10">
        <v>44440</v>
      </c>
      <c r="BH34" s="9">
        <f t="shared" si="3"/>
        <v>63090.7</v>
      </c>
      <c r="BI34" s="9">
        <f t="shared" si="4"/>
        <v>115229.8</v>
      </c>
      <c r="BJ34" s="9">
        <f t="shared" si="5"/>
        <v>53329.49</v>
      </c>
      <c r="BK34" s="9">
        <f t="shared" si="6"/>
        <v>13570.45</v>
      </c>
      <c r="BL34" s="9">
        <f t="shared" si="7"/>
        <v>58805.29</v>
      </c>
      <c r="BM34" s="9">
        <f t="shared" si="8"/>
        <v>4285.41</v>
      </c>
      <c r="BN34" s="9">
        <f t="shared" si="9"/>
        <v>51424.87</v>
      </c>
      <c r="BO34" s="9">
        <f t="shared" si="10"/>
        <v>8332.73</v>
      </c>
      <c r="BP34" s="9">
        <f t="shared" si="11"/>
        <v>1190.3900000000001</v>
      </c>
      <c r="BQ34" s="9">
        <f t="shared" si="12"/>
        <v>1428.47</v>
      </c>
      <c r="BR34" s="9">
        <f t="shared" si="13"/>
        <v>14522.76</v>
      </c>
      <c r="BS34" s="9">
        <f t="shared" si="14"/>
        <v>5475.8</v>
      </c>
      <c r="BT34" s="9">
        <f t="shared" si="15"/>
        <v>1666.55</v>
      </c>
      <c r="BU34" s="9">
        <f t="shared" si="16"/>
        <v>93802.77</v>
      </c>
      <c r="BV34" s="9">
        <f t="shared" si="17"/>
        <v>4047.33</v>
      </c>
      <c r="BW34" s="9">
        <f t="shared" si="18"/>
        <v>50472.56</v>
      </c>
      <c r="BX34" s="9">
        <f t="shared" si="19"/>
        <v>60709.919999999998</v>
      </c>
      <c r="BY34" s="17">
        <f t="shared" si="20"/>
        <v>601385.29</v>
      </c>
      <c r="BZ34" s="95">
        <v>3.81</v>
      </c>
      <c r="CA34" s="17">
        <v>0.05</v>
      </c>
      <c r="CB34" s="17">
        <v>0.28999999999999998</v>
      </c>
      <c r="CC34" s="27">
        <v>0.05</v>
      </c>
      <c r="CD34" s="29">
        <v>6.33</v>
      </c>
      <c r="CE34" s="27"/>
      <c r="CF34" s="90"/>
      <c r="CG34" s="91"/>
      <c r="CH34" s="27"/>
      <c r="CI34" s="13">
        <f t="shared" si="35"/>
        <v>0</v>
      </c>
      <c r="CJ34" s="13">
        <f t="shared" si="36"/>
        <v>0</v>
      </c>
      <c r="CK34" s="13">
        <f t="shared" si="37"/>
        <v>0</v>
      </c>
      <c r="CL34" s="13">
        <f t="shared" si="38"/>
        <v>0</v>
      </c>
      <c r="CM34" s="13">
        <v>607811.51</v>
      </c>
      <c r="CN34" s="13">
        <v>10968.54</v>
      </c>
      <c r="CO34" s="13">
        <v>73.760000000000005</v>
      </c>
      <c r="CP34" s="13">
        <v>12.72</v>
      </c>
      <c r="CQ34" s="13">
        <v>488.87</v>
      </c>
      <c r="CR34" s="13">
        <v>646416.67000000004</v>
      </c>
      <c r="CS34" s="13">
        <v>56340.480000000003</v>
      </c>
      <c r="CT34" s="13">
        <v>1533.68</v>
      </c>
      <c r="CU34" s="13">
        <v>264.7</v>
      </c>
      <c r="CV34" s="13">
        <v>607.02</v>
      </c>
      <c r="CW34" s="202">
        <v>20819</v>
      </c>
      <c r="CX34" s="200">
        <v>11944</v>
      </c>
      <c r="CY34" s="202">
        <v>167369</v>
      </c>
      <c r="CZ34" s="202">
        <v>8500</v>
      </c>
      <c r="DA34" s="202">
        <v>5</v>
      </c>
      <c r="DB34" s="202"/>
      <c r="DC34" s="202"/>
      <c r="DD34" s="461"/>
      <c r="DE34" s="256"/>
      <c r="DF34" s="204">
        <v>4181</v>
      </c>
      <c r="DG34" s="204"/>
      <c r="DH34" s="204"/>
      <c r="DI34" s="204"/>
      <c r="DJ34" s="202"/>
      <c r="DK34" s="202">
        <v>51600</v>
      </c>
      <c r="DL34" s="202"/>
      <c r="DM34" s="202"/>
      <c r="DN34" s="202"/>
      <c r="DO34" s="202"/>
      <c r="DP34" s="202"/>
      <c r="DQ34" s="202"/>
      <c r="DR34" s="202"/>
      <c r="DS34" s="202"/>
      <c r="DT34" s="254"/>
      <c r="DU34" s="254"/>
      <c r="DV34" s="202">
        <v>130094</v>
      </c>
      <c r="DW34" s="202"/>
      <c r="DX34" s="202"/>
      <c r="DY34" s="107">
        <v>5460</v>
      </c>
      <c r="DZ34" s="107"/>
      <c r="EA34" s="107">
        <f>4168.18+4219.36+5727.57+2109.79+1618.13</f>
        <v>17843.03</v>
      </c>
      <c r="EB34" s="107"/>
      <c r="EC34" s="107"/>
      <c r="ED34" s="107"/>
      <c r="EE34" s="107"/>
      <c r="EF34" s="230"/>
      <c r="EG34" s="107"/>
      <c r="EH34" s="107"/>
      <c r="EI34" s="107"/>
      <c r="EJ34" s="107"/>
      <c r="EK34" s="202">
        <v>23572.39</v>
      </c>
      <c r="EL34" s="202">
        <v>0</v>
      </c>
      <c r="EM34" s="202">
        <v>0</v>
      </c>
      <c r="EN34" s="202">
        <v>568.03</v>
      </c>
      <c r="EO34" s="202">
        <v>23572.39</v>
      </c>
      <c r="EP34" s="107"/>
      <c r="EQ34" s="202">
        <v>0</v>
      </c>
      <c r="ER34" s="202">
        <v>568.03</v>
      </c>
      <c r="ES34" s="107"/>
      <c r="ET34" s="107"/>
      <c r="EU34" s="107"/>
      <c r="EV34" s="214">
        <v>-37.65</v>
      </c>
      <c r="EW34" s="240">
        <f t="shared" si="25"/>
        <v>52071.49</v>
      </c>
      <c r="EX34" s="209">
        <f t="shared" si="26"/>
        <v>33890.89</v>
      </c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</row>
    <row r="35" spans="1:179" ht="12.75" customHeight="1" x14ac:dyDescent="0.2">
      <c r="A35" s="45" t="s">
        <v>60</v>
      </c>
      <c r="B35" s="65" t="s">
        <v>50</v>
      </c>
      <c r="C35" s="61" t="s">
        <v>11</v>
      </c>
      <c r="D35" s="62" t="s">
        <v>614</v>
      </c>
      <c r="E35" s="61" t="s">
        <v>12</v>
      </c>
      <c r="F35" s="11">
        <v>10</v>
      </c>
      <c r="G35" s="11">
        <v>4</v>
      </c>
      <c r="H35" s="11">
        <v>160</v>
      </c>
      <c r="I35" s="11">
        <v>164</v>
      </c>
      <c r="J35" s="11">
        <v>333</v>
      </c>
      <c r="K35" s="11">
        <v>401</v>
      </c>
      <c r="L35" s="83">
        <v>4</v>
      </c>
      <c r="M35" s="84">
        <v>860</v>
      </c>
      <c r="N35" s="84">
        <v>1164</v>
      </c>
      <c r="O35" s="84">
        <v>1164</v>
      </c>
      <c r="P35" s="139">
        <v>860</v>
      </c>
      <c r="Q35" s="137">
        <v>1164</v>
      </c>
      <c r="R35" s="137">
        <v>1164</v>
      </c>
      <c r="S35" s="133">
        <f t="shared" si="27"/>
        <v>3188</v>
      </c>
      <c r="T35" s="138">
        <v>965.9</v>
      </c>
      <c r="U35" s="130">
        <v>2.74</v>
      </c>
      <c r="V35" s="131">
        <v>1.1299999999999999E-2</v>
      </c>
      <c r="W35" s="131">
        <v>1.1299999999999999E-2</v>
      </c>
      <c r="X35" s="132">
        <v>7.5000000000000002E-4</v>
      </c>
      <c r="Y35" s="131">
        <v>2.2499999999999999E-2</v>
      </c>
      <c r="Z35" s="29">
        <v>8700.94</v>
      </c>
      <c r="AA35" s="34">
        <v>56.7</v>
      </c>
      <c r="AB35" s="9">
        <f t="shared" si="32"/>
        <v>8757.64</v>
      </c>
      <c r="AC35" s="9">
        <f t="shared" si="34"/>
        <v>55435.86</v>
      </c>
      <c r="AD35" s="9">
        <v>1.53</v>
      </c>
      <c r="AE35" s="9">
        <v>4.2300000000000004</v>
      </c>
      <c r="AF35" s="21">
        <f>2.47-AJ35</f>
        <v>2.34</v>
      </c>
      <c r="AG35" s="18">
        <f>0.62-AQ35</f>
        <v>0.56999999999999995</v>
      </c>
      <c r="AH35" s="9">
        <v>2.4700000000000002</v>
      </c>
      <c r="AI35" s="43">
        <v>1117</v>
      </c>
      <c r="AJ35" s="21">
        <f t="shared" si="0"/>
        <v>0.13</v>
      </c>
      <c r="AK35" s="9">
        <v>1.97</v>
      </c>
      <c r="AL35" s="9">
        <v>0.17</v>
      </c>
      <c r="AM35" s="9">
        <v>7.0000000000000007E-2</v>
      </c>
      <c r="AN35" s="13"/>
      <c r="AO35" s="13">
        <v>982.4</v>
      </c>
      <c r="AP35" s="13">
        <f t="shared" si="28"/>
        <v>5.58</v>
      </c>
      <c r="AQ35" s="18">
        <f t="shared" si="1"/>
        <v>0.05</v>
      </c>
      <c r="AR35" s="9">
        <v>0.55000000000000004</v>
      </c>
      <c r="AS35" s="9">
        <v>0.16</v>
      </c>
      <c r="AT35" s="9">
        <v>7.0000000000000007E-2</v>
      </c>
      <c r="AU35" s="9">
        <v>4.8099999999999996</v>
      </c>
      <c r="AV35" s="9">
        <v>0.15</v>
      </c>
      <c r="AW35" s="9">
        <f>1.28+0.26+0.42</f>
        <v>1.96</v>
      </c>
      <c r="AX35" s="9">
        <f>1.8+0.57</f>
        <v>2.37</v>
      </c>
      <c r="AY35" s="63">
        <f t="shared" si="29"/>
        <v>23.6</v>
      </c>
      <c r="AZ35" s="64">
        <v>8674.6</v>
      </c>
      <c r="BA35" s="64">
        <v>56.7</v>
      </c>
      <c r="BB35" s="64">
        <f t="shared" si="30"/>
        <v>8731.2999999999993</v>
      </c>
      <c r="BC35" s="64">
        <v>23.6</v>
      </c>
      <c r="BD35" s="13">
        <f t="shared" si="31"/>
        <v>0</v>
      </c>
      <c r="BE35" s="9">
        <f t="shared" si="2"/>
        <v>206680.3</v>
      </c>
      <c r="BF35" s="9">
        <v>23.6</v>
      </c>
      <c r="BG35" s="10">
        <v>44409</v>
      </c>
      <c r="BH35" s="9">
        <f t="shared" si="3"/>
        <v>13399.19</v>
      </c>
      <c r="BI35" s="9">
        <f t="shared" si="4"/>
        <v>37044.82</v>
      </c>
      <c r="BJ35" s="9">
        <f t="shared" si="5"/>
        <v>20492.88</v>
      </c>
      <c r="BK35" s="9">
        <f t="shared" si="6"/>
        <v>4991.8500000000004</v>
      </c>
      <c r="BL35" s="9">
        <f t="shared" si="7"/>
        <v>21631.37</v>
      </c>
      <c r="BM35" s="9">
        <f t="shared" si="8"/>
        <v>1138.49</v>
      </c>
      <c r="BN35" s="9">
        <f t="shared" si="9"/>
        <v>17252.55</v>
      </c>
      <c r="BO35" s="9">
        <f t="shared" si="10"/>
        <v>1488.8</v>
      </c>
      <c r="BP35" s="9">
        <f t="shared" si="11"/>
        <v>613.03</v>
      </c>
      <c r="BQ35" s="9">
        <f t="shared" si="12"/>
        <v>437.88</v>
      </c>
      <c r="BR35" s="9">
        <f t="shared" si="13"/>
        <v>4816.7</v>
      </c>
      <c r="BS35" s="9">
        <f t="shared" si="14"/>
        <v>1401.22</v>
      </c>
      <c r="BT35" s="9">
        <f t="shared" si="15"/>
        <v>613.03</v>
      </c>
      <c r="BU35" s="9">
        <f t="shared" si="16"/>
        <v>42124.25</v>
      </c>
      <c r="BV35" s="9">
        <f t="shared" si="17"/>
        <v>1313.65</v>
      </c>
      <c r="BW35" s="9">
        <f t="shared" si="18"/>
        <v>17164.97</v>
      </c>
      <c r="BX35" s="9">
        <f t="shared" si="19"/>
        <v>20755.61</v>
      </c>
      <c r="BY35" s="17">
        <f t="shared" si="20"/>
        <v>206680.29</v>
      </c>
      <c r="BZ35" s="17">
        <v>3.79</v>
      </c>
      <c r="CA35" s="17">
        <v>0.03</v>
      </c>
      <c r="CB35" s="17">
        <v>0.21</v>
      </c>
      <c r="CC35" s="27">
        <v>0.04</v>
      </c>
      <c r="CD35" s="29">
        <v>6.33</v>
      </c>
      <c r="CE35" s="9">
        <v>10356.32</v>
      </c>
      <c r="CF35" s="9"/>
      <c r="CG35" s="9">
        <v>4756.22</v>
      </c>
      <c r="CH35" s="9">
        <v>2644.47</v>
      </c>
      <c r="CI35" s="9">
        <f t="shared" si="35"/>
        <v>1.18</v>
      </c>
      <c r="CJ35" s="9">
        <f t="shared" si="36"/>
        <v>0</v>
      </c>
      <c r="CK35" s="13">
        <f t="shared" si="37"/>
        <v>0.54</v>
      </c>
      <c r="CL35" s="13">
        <f t="shared" si="38"/>
        <v>0.3</v>
      </c>
      <c r="CM35" s="13">
        <v>205342.19</v>
      </c>
      <c r="CN35" s="13">
        <v>0</v>
      </c>
      <c r="CO35" s="13">
        <v>0</v>
      </c>
      <c r="CP35" s="13">
        <v>8266.26</v>
      </c>
      <c r="CQ35" s="13">
        <v>4524.51</v>
      </c>
      <c r="CR35" s="13">
        <v>210371.18</v>
      </c>
      <c r="CS35" s="13">
        <v>19309.41</v>
      </c>
      <c r="CT35" s="13">
        <v>330.76</v>
      </c>
      <c r="CU35" s="13">
        <v>3824.4</v>
      </c>
      <c r="CV35" s="13">
        <v>2184.3200000000002</v>
      </c>
      <c r="CW35" s="202">
        <v>7631</v>
      </c>
      <c r="CX35" s="200">
        <v>4378</v>
      </c>
      <c r="CY35" s="202"/>
      <c r="CZ35" s="202"/>
      <c r="DA35" s="202"/>
      <c r="DB35" s="202"/>
      <c r="DC35" s="202"/>
      <c r="DD35" s="461"/>
      <c r="DE35" s="256"/>
      <c r="DF35" s="202"/>
      <c r="DG35" s="202"/>
      <c r="DH35" s="202"/>
      <c r="DI35" s="204">
        <v>1117</v>
      </c>
      <c r="DJ35" s="202">
        <v>17200</v>
      </c>
      <c r="DK35" s="202"/>
      <c r="DL35" s="202"/>
      <c r="DM35" s="202"/>
      <c r="DN35" s="202"/>
      <c r="DO35" s="202"/>
      <c r="DP35" s="202">
        <v>49245</v>
      </c>
      <c r="DQ35" s="202">
        <v>2720</v>
      </c>
      <c r="DR35" s="202">
        <v>1.6</v>
      </c>
      <c r="DS35" s="202"/>
      <c r="DT35" s="254"/>
      <c r="DU35" s="254"/>
      <c r="DV35" s="202"/>
      <c r="DW35" s="202">
        <v>38936</v>
      </c>
      <c r="DX35" s="202"/>
      <c r="DY35" s="107">
        <v>1365</v>
      </c>
      <c r="DZ35" s="107">
        <v>577</v>
      </c>
      <c r="EA35" s="202">
        <v>23050.53</v>
      </c>
      <c r="EB35" s="202"/>
      <c r="EC35" s="202"/>
      <c r="ED35" s="202"/>
      <c r="EE35" s="202"/>
      <c r="EF35" s="229"/>
      <c r="EG35" s="202"/>
      <c r="EH35" s="202"/>
      <c r="EI35" s="202"/>
      <c r="EJ35" s="202"/>
      <c r="EK35" s="202">
        <v>9617.1299999999992</v>
      </c>
      <c r="EL35" s="202">
        <v>0</v>
      </c>
      <c r="EM35" s="202">
        <v>8350.42</v>
      </c>
      <c r="EN35" s="202">
        <v>4526.1499999999996</v>
      </c>
      <c r="EO35" s="202">
        <v>9617.1299999999992</v>
      </c>
      <c r="EP35" s="202"/>
      <c r="EQ35" s="202">
        <v>8350.42</v>
      </c>
      <c r="ER35" s="202">
        <v>4526.1499999999996</v>
      </c>
      <c r="ES35" s="202"/>
      <c r="ET35" s="202"/>
      <c r="EU35" s="202"/>
      <c r="EV35" s="214">
        <v>-3.67</v>
      </c>
      <c r="EW35" s="240">
        <f t="shared" si="25"/>
        <v>19154.36</v>
      </c>
      <c r="EX35" s="209">
        <f t="shared" si="26"/>
        <v>12466.68</v>
      </c>
    </row>
    <row r="36" spans="1:179" ht="12.75" customHeight="1" x14ac:dyDescent="0.2">
      <c r="A36" s="45" t="s">
        <v>61</v>
      </c>
      <c r="B36" s="65" t="s">
        <v>50</v>
      </c>
      <c r="C36" s="61" t="s">
        <v>67</v>
      </c>
      <c r="D36" s="60" t="s">
        <v>615</v>
      </c>
      <c r="E36" s="61"/>
      <c r="F36" s="11">
        <v>9</v>
      </c>
      <c r="G36" s="11">
        <v>1</v>
      </c>
      <c r="H36" s="11">
        <v>48</v>
      </c>
      <c r="I36" s="11">
        <v>103</v>
      </c>
      <c r="J36" s="11">
        <v>147</v>
      </c>
      <c r="K36" s="11">
        <v>203</v>
      </c>
      <c r="L36" s="11">
        <v>1</v>
      </c>
      <c r="M36" s="84">
        <v>203</v>
      </c>
      <c r="N36" s="84">
        <v>763</v>
      </c>
      <c r="O36" s="84">
        <v>763</v>
      </c>
      <c r="P36" s="137">
        <v>203</v>
      </c>
      <c r="Q36" s="137">
        <v>763</v>
      </c>
      <c r="R36" s="137">
        <v>763</v>
      </c>
      <c r="S36" s="133">
        <f t="shared" si="27"/>
        <v>1729</v>
      </c>
      <c r="T36" s="138">
        <v>800.3</v>
      </c>
      <c r="U36" s="130">
        <v>2.44</v>
      </c>
      <c r="V36" s="131">
        <v>1.9800000000000002E-2</v>
      </c>
      <c r="W36" s="131">
        <v>1.9800000000000002E-2</v>
      </c>
      <c r="X36" s="132">
        <v>1.32E-3</v>
      </c>
      <c r="Y36" s="131">
        <v>3.9699999999999999E-2</v>
      </c>
      <c r="Z36" s="29">
        <v>3602.9</v>
      </c>
      <c r="AA36" s="34">
        <v>476</v>
      </c>
      <c r="AB36" s="9">
        <f t="shared" si="32"/>
        <v>4078.9</v>
      </c>
      <c r="AC36" s="9">
        <f t="shared" si="34"/>
        <v>25819.439999999999</v>
      </c>
      <c r="AD36" s="9">
        <v>2.64</v>
      </c>
      <c r="AE36" s="9">
        <v>4.2</v>
      </c>
      <c r="AF36" s="21">
        <f>2.43-AJ36</f>
        <v>2.25</v>
      </c>
      <c r="AG36" s="18">
        <f>0.58-AQ36</f>
        <v>0.51</v>
      </c>
      <c r="AH36" s="9">
        <v>2.4700000000000002</v>
      </c>
      <c r="AI36" s="43">
        <v>732</v>
      </c>
      <c r="AJ36" s="21">
        <f t="shared" si="0"/>
        <v>0.18</v>
      </c>
      <c r="AK36" s="9">
        <v>1.05</v>
      </c>
      <c r="AL36" s="9">
        <v>0.09</v>
      </c>
      <c r="AM36" s="9">
        <v>0.14000000000000001</v>
      </c>
      <c r="AN36" s="13"/>
      <c r="AO36" s="13">
        <v>613.79999999999995</v>
      </c>
      <c r="AP36" s="13">
        <f t="shared" si="28"/>
        <v>5.58</v>
      </c>
      <c r="AQ36" s="18">
        <f t="shared" si="1"/>
        <v>7.0000000000000007E-2</v>
      </c>
      <c r="AR36" s="9">
        <v>0</v>
      </c>
      <c r="AS36" s="9">
        <v>0.33</v>
      </c>
      <c r="AT36" s="9">
        <v>7.0000000000000007E-2</v>
      </c>
      <c r="AU36" s="9">
        <v>4.99</v>
      </c>
      <c r="AV36" s="9">
        <v>0.14000000000000001</v>
      </c>
      <c r="AW36" s="9">
        <f>1.25+0.43+0.44</f>
        <v>2.12</v>
      </c>
      <c r="AX36" s="9">
        <f>1.72+0.59</f>
        <v>2.31</v>
      </c>
      <c r="AY36" s="63">
        <f t="shared" si="29"/>
        <v>23.56</v>
      </c>
      <c r="AZ36" s="64"/>
      <c r="BA36" s="64"/>
      <c r="BB36" s="64"/>
      <c r="BC36" s="64">
        <v>23.56</v>
      </c>
      <c r="BD36" s="13">
        <f t="shared" si="31"/>
        <v>0</v>
      </c>
      <c r="BE36" s="9">
        <f t="shared" si="2"/>
        <v>96098.880000000005</v>
      </c>
      <c r="BF36" s="9">
        <v>23.56</v>
      </c>
      <c r="BG36" s="10">
        <v>44440</v>
      </c>
      <c r="BH36" s="9">
        <f t="shared" si="3"/>
        <v>10768.3</v>
      </c>
      <c r="BI36" s="9">
        <f t="shared" si="4"/>
        <v>17131.38</v>
      </c>
      <c r="BJ36" s="9">
        <f t="shared" si="5"/>
        <v>9177.5300000000007</v>
      </c>
      <c r="BK36" s="9">
        <f t="shared" si="6"/>
        <v>2080.2399999999998</v>
      </c>
      <c r="BL36" s="9">
        <f t="shared" si="7"/>
        <v>10074.879999999999</v>
      </c>
      <c r="BM36" s="9">
        <f t="shared" si="8"/>
        <v>734.2</v>
      </c>
      <c r="BN36" s="9">
        <f t="shared" si="9"/>
        <v>4282.8500000000004</v>
      </c>
      <c r="BO36" s="9">
        <f t="shared" si="10"/>
        <v>367.1</v>
      </c>
      <c r="BP36" s="9">
        <f t="shared" si="11"/>
        <v>571.04999999999995</v>
      </c>
      <c r="BQ36" s="9">
        <f t="shared" si="12"/>
        <v>285.52</v>
      </c>
      <c r="BR36" s="9">
        <f t="shared" si="13"/>
        <v>0</v>
      </c>
      <c r="BS36" s="9">
        <f t="shared" si="14"/>
        <v>1346.04</v>
      </c>
      <c r="BT36" s="9">
        <f t="shared" si="15"/>
        <v>285.52</v>
      </c>
      <c r="BU36" s="9">
        <f t="shared" si="16"/>
        <v>20353.71</v>
      </c>
      <c r="BV36" s="9">
        <f t="shared" si="17"/>
        <v>571.04999999999995</v>
      </c>
      <c r="BW36" s="9">
        <f t="shared" si="18"/>
        <v>8647.27</v>
      </c>
      <c r="BX36" s="9">
        <f t="shared" si="19"/>
        <v>9422.26</v>
      </c>
      <c r="BY36" s="17">
        <f t="shared" si="20"/>
        <v>96098.9</v>
      </c>
      <c r="BZ36" s="17">
        <v>3.49</v>
      </c>
      <c r="CA36" s="17">
        <v>0.11</v>
      </c>
      <c r="CB36" s="17">
        <v>0.67</v>
      </c>
      <c r="CC36" s="27">
        <v>0.11</v>
      </c>
      <c r="CD36" s="29">
        <v>6.33</v>
      </c>
      <c r="CE36" s="9"/>
      <c r="CF36" s="9"/>
      <c r="CG36" s="9"/>
      <c r="CH36" s="9"/>
      <c r="CI36" s="9"/>
      <c r="CJ36" s="9"/>
      <c r="CK36" s="13"/>
      <c r="CL36" s="13"/>
      <c r="CM36" s="13">
        <v>84884.31</v>
      </c>
      <c r="CN36" s="13">
        <v>21329.18</v>
      </c>
      <c r="CO36" s="13">
        <v>0</v>
      </c>
      <c r="CP36" s="13">
        <v>8935.15</v>
      </c>
      <c r="CQ36" s="13">
        <v>4827.8599999999997</v>
      </c>
      <c r="CR36" s="13">
        <v>62770.6</v>
      </c>
      <c r="CS36" s="13">
        <v>11638.05</v>
      </c>
      <c r="CT36" s="13">
        <v>349.71</v>
      </c>
      <c r="CU36" s="13">
        <v>3840.74</v>
      </c>
      <c r="CV36" s="13">
        <v>2135.7199999999998</v>
      </c>
      <c r="CW36" s="202">
        <v>3554</v>
      </c>
      <c r="CX36" s="200">
        <v>2039</v>
      </c>
      <c r="CY36" s="202"/>
      <c r="CZ36" s="202"/>
      <c r="DA36" s="202"/>
      <c r="DB36" s="202"/>
      <c r="DC36" s="202"/>
      <c r="DD36" s="461"/>
      <c r="DE36" s="256"/>
      <c r="DF36" s="202"/>
      <c r="DG36" s="202"/>
      <c r="DH36" s="202"/>
      <c r="DI36" s="204">
        <v>732</v>
      </c>
      <c r="DJ36" s="202">
        <v>4300</v>
      </c>
      <c r="DK36" s="202"/>
      <c r="DL36" s="202"/>
      <c r="DM36" s="202"/>
      <c r="DN36" s="202"/>
      <c r="DO36" s="202"/>
      <c r="DP36" s="202">
        <v>27354</v>
      </c>
      <c r="DQ36" s="202">
        <v>2720</v>
      </c>
      <c r="DR36" s="202">
        <v>1.6</v>
      </c>
      <c r="DS36" s="202"/>
      <c r="DT36" s="254"/>
      <c r="DU36" s="254"/>
      <c r="DV36" s="202"/>
      <c r="DW36" s="202">
        <v>17787</v>
      </c>
      <c r="DX36" s="202"/>
      <c r="DY36" s="107">
        <v>1365</v>
      </c>
      <c r="DZ36" s="107">
        <v>577</v>
      </c>
      <c r="EA36" s="202"/>
      <c r="EB36" s="202"/>
      <c r="EC36" s="202"/>
      <c r="ED36" s="202"/>
      <c r="EE36" s="202"/>
      <c r="EF36" s="229"/>
      <c r="EG36" s="202"/>
      <c r="EH36" s="202"/>
      <c r="EI36" s="202"/>
      <c r="EJ36" s="202"/>
      <c r="EK36" s="202">
        <v>24151.57</v>
      </c>
      <c r="EL36" s="202">
        <v>0</v>
      </c>
      <c r="EM36" s="202">
        <v>10106.98</v>
      </c>
      <c r="EN36" s="202">
        <v>5473.1</v>
      </c>
      <c r="EO36" s="202">
        <v>24151.57</v>
      </c>
      <c r="EP36" s="202"/>
      <c r="EQ36" s="202">
        <v>10106.98</v>
      </c>
      <c r="ER36" s="202">
        <v>5473.1</v>
      </c>
      <c r="ES36" s="202"/>
      <c r="ET36" s="202"/>
      <c r="EU36" s="202"/>
      <c r="EV36" s="214">
        <v>151.22</v>
      </c>
      <c r="EW36" s="240">
        <f t="shared" si="25"/>
        <v>8921.2099999999991</v>
      </c>
      <c r="EX36" s="209">
        <f t="shared" si="26"/>
        <v>5806.4</v>
      </c>
    </row>
    <row r="37" spans="1:179" ht="12.75" customHeight="1" x14ac:dyDescent="0.2">
      <c r="A37" s="45" t="s">
        <v>63</v>
      </c>
      <c r="B37" s="170" t="s">
        <v>736</v>
      </c>
      <c r="C37" s="67" t="s">
        <v>52</v>
      </c>
      <c r="D37" s="170" t="s">
        <v>737</v>
      </c>
      <c r="E37" s="67"/>
      <c r="F37" s="11">
        <v>2</v>
      </c>
      <c r="G37" s="11">
        <v>1</v>
      </c>
      <c r="H37" s="11">
        <v>10</v>
      </c>
      <c r="I37" s="11">
        <v>10</v>
      </c>
      <c r="J37" s="11">
        <v>21</v>
      </c>
      <c r="K37" s="11"/>
      <c r="L37" s="11" t="s">
        <v>746</v>
      </c>
      <c r="M37" s="84"/>
      <c r="N37" s="84"/>
      <c r="O37" s="84"/>
      <c r="P37" s="137"/>
      <c r="Q37" s="137"/>
      <c r="R37" s="137"/>
      <c r="S37" s="133">
        <f t="shared" si="27"/>
        <v>0</v>
      </c>
      <c r="T37" s="138"/>
      <c r="U37" s="130"/>
      <c r="V37" s="131"/>
      <c r="W37" s="131"/>
      <c r="X37" s="132"/>
      <c r="Y37" s="131"/>
      <c r="Z37" s="29">
        <v>350.5</v>
      </c>
      <c r="AA37" s="29"/>
      <c r="AB37" s="13">
        <f t="shared" si="32"/>
        <v>350.5</v>
      </c>
      <c r="AC37" s="174">
        <v>0</v>
      </c>
      <c r="AD37" s="9">
        <v>0.4</v>
      </c>
      <c r="AE37" s="9">
        <v>4.71</v>
      </c>
      <c r="AF37" s="21">
        <f>2.44-AJ37</f>
        <v>1.76</v>
      </c>
      <c r="AG37" s="18">
        <f>0.54-AQ37</f>
        <v>0.46</v>
      </c>
      <c r="AH37" s="9">
        <v>2.78</v>
      </c>
      <c r="AI37" s="43">
        <v>240</v>
      </c>
      <c r="AJ37" s="21">
        <f t="shared" si="0"/>
        <v>0.68</v>
      </c>
      <c r="AK37" s="9">
        <v>0</v>
      </c>
      <c r="AL37" s="9">
        <v>0</v>
      </c>
      <c r="AM37" s="9">
        <v>0.22</v>
      </c>
      <c r="AN37" s="13"/>
      <c r="AO37" s="13">
        <v>64</v>
      </c>
      <c r="AP37" s="13">
        <f t="shared" si="28"/>
        <v>5.58</v>
      </c>
      <c r="AQ37" s="18">
        <f t="shared" si="1"/>
        <v>0.08</v>
      </c>
      <c r="AR37" s="9">
        <v>0.8</v>
      </c>
      <c r="AS37" s="9">
        <v>0.53</v>
      </c>
      <c r="AT37" s="9">
        <v>7.0000000000000007E-2</v>
      </c>
      <c r="AU37" s="9">
        <v>0</v>
      </c>
      <c r="AV37" s="9">
        <v>0.13</v>
      </c>
      <c r="AW37" s="9">
        <f>1.15+0.32</f>
        <v>1.47</v>
      </c>
      <c r="AX37" s="9">
        <v>1.62</v>
      </c>
      <c r="AY37" s="44">
        <f t="shared" si="29"/>
        <v>15.71</v>
      </c>
      <c r="AZ37" s="9"/>
      <c r="BA37" s="9"/>
      <c r="BB37" s="9"/>
      <c r="BC37" s="13">
        <v>15.71</v>
      </c>
      <c r="BD37" s="13">
        <f t="shared" si="31"/>
        <v>0</v>
      </c>
      <c r="BE37" s="9">
        <f t="shared" si="2"/>
        <v>5506.36</v>
      </c>
      <c r="BF37" s="13">
        <v>16.079999999999998</v>
      </c>
      <c r="BG37" s="30">
        <v>44418</v>
      </c>
      <c r="BH37" s="9">
        <f t="shared" si="3"/>
        <v>140.19999999999999</v>
      </c>
      <c r="BI37" s="9">
        <f t="shared" si="4"/>
        <v>1650.86</v>
      </c>
      <c r="BJ37" s="9">
        <f t="shared" si="5"/>
        <v>616.88</v>
      </c>
      <c r="BK37" s="9">
        <f t="shared" si="6"/>
        <v>161.22999999999999</v>
      </c>
      <c r="BL37" s="9">
        <f t="shared" si="7"/>
        <v>974.39</v>
      </c>
      <c r="BM37" s="9">
        <f t="shared" si="8"/>
        <v>238.34</v>
      </c>
      <c r="BN37" s="9">
        <f t="shared" si="9"/>
        <v>0</v>
      </c>
      <c r="BO37" s="9">
        <f t="shared" si="10"/>
        <v>0</v>
      </c>
      <c r="BP37" s="9">
        <f t="shared" si="11"/>
        <v>77.11</v>
      </c>
      <c r="BQ37" s="9">
        <f t="shared" si="12"/>
        <v>28.04</v>
      </c>
      <c r="BR37" s="9">
        <f t="shared" si="13"/>
        <v>280.39999999999998</v>
      </c>
      <c r="BS37" s="9">
        <f t="shared" si="14"/>
        <v>185.77</v>
      </c>
      <c r="BT37" s="9">
        <f t="shared" si="15"/>
        <v>24.54</v>
      </c>
      <c r="BU37" s="9">
        <f t="shared" si="16"/>
        <v>0</v>
      </c>
      <c r="BV37" s="9">
        <f t="shared" si="17"/>
        <v>45.57</v>
      </c>
      <c r="BW37" s="9">
        <f t="shared" si="18"/>
        <v>515.24</v>
      </c>
      <c r="BX37" s="9">
        <f t="shared" si="19"/>
        <v>567.80999999999995</v>
      </c>
      <c r="BY37" s="17">
        <f t="shared" si="20"/>
        <v>5506.38</v>
      </c>
      <c r="BZ37" s="17">
        <v>0.31</v>
      </c>
      <c r="CA37" s="17">
        <v>0.03</v>
      </c>
      <c r="CB37" s="173">
        <v>0</v>
      </c>
      <c r="CC37" s="27">
        <v>0.03</v>
      </c>
      <c r="CD37" s="29" t="s">
        <v>739</v>
      </c>
      <c r="CE37" s="9"/>
      <c r="CF37" s="9"/>
      <c r="CG37" s="9"/>
      <c r="CH37" s="9"/>
      <c r="CI37" s="9"/>
      <c r="CJ37" s="9"/>
      <c r="CK37" s="13"/>
      <c r="CL37" s="13"/>
      <c r="CM37" s="13">
        <v>5506.36</v>
      </c>
      <c r="CN37" s="13">
        <v>108.66</v>
      </c>
      <c r="CO37" s="13"/>
      <c r="CP37" s="13">
        <v>10.51</v>
      </c>
      <c r="CQ37" s="13">
        <v>10.51</v>
      </c>
      <c r="CR37" s="13">
        <v>8804.31</v>
      </c>
      <c r="CS37" s="13">
        <v>173.73</v>
      </c>
      <c r="CT37" s="13"/>
      <c r="CU37" s="13">
        <v>16.809999999999999</v>
      </c>
      <c r="CV37" s="13">
        <v>16.809999999999999</v>
      </c>
      <c r="CW37" s="203"/>
      <c r="CX37" s="201"/>
      <c r="CY37" s="202"/>
      <c r="CZ37" s="202"/>
      <c r="DA37" s="202"/>
      <c r="DB37" s="202"/>
      <c r="DC37" s="202"/>
      <c r="DD37" s="461"/>
      <c r="DE37" s="256"/>
      <c r="DF37" s="202"/>
      <c r="DG37" s="202"/>
      <c r="DH37" s="202"/>
      <c r="DI37" s="204">
        <v>240</v>
      </c>
      <c r="DJ37" s="202"/>
      <c r="DK37" s="202"/>
      <c r="DL37" s="202"/>
      <c r="DM37" s="202"/>
      <c r="DN37" s="202"/>
      <c r="DO37" s="202"/>
      <c r="DP37" s="203">
        <f>2596</f>
        <v>2596</v>
      </c>
      <c r="DQ37" s="203"/>
      <c r="DR37" s="203"/>
      <c r="DS37" s="202"/>
      <c r="DT37" s="254"/>
      <c r="DU37" s="254"/>
      <c r="DV37" s="202"/>
      <c r="DW37" s="202"/>
      <c r="DX37" s="202">
        <v>1018.24</v>
      </c>
      <c r="DY37" s="107"/>
      <c r="DZ37" s="107"/>
      <c r="EA37" s="202"/>
      <c r="EB37" s="202"/>
      <c r="EC37" s="202"/>
      <c r="ED37" s="202"/>
      <c r="EE37" s="202"/>
      <c r="EF37" s="229"/>
      <c r="EG37" s="202"/>
      <c r="EH37" s="202"/>
      <c r="EI37" s="202"/>
      <c r="EJ37" s="202"/>
      <c r="EK37" s="202">
        <v>84.95</v>
      </c>
      <c r="EL37" s="202">
        <v>0</v>
      </c>
      <c r="EM37" s="202">
        <v>9.02</v>
      </c>
      <c r="EN37" s="202">
        <v>3.15</v>
      </c>
      <c r="EO37" s="202">
        <v>84.95</v>
      </c>
      <c r="EP37" s="202"/>
      <c r="EQ37" s="202">
        <v>9.02</v>
      </c>
      <c r="ER37" s="202">
        <v>3.15</v>
      </c>
      <c r="ES37" s="202"/>
      <c r="ET37" s="202"/>
      <c r="EU37" s="202"/>
      <c r="EV37" s="214">
        <v>2.15</v>
      </c>
      <c r="EW37" s="240">
        <f t="shared" si="25"/>
        <v>766.6</v>
      </c>
      <c r="EX37" s="209">
        <f t="shared" si="26"/>
        <v>498.94</v>
      </c>
    </row>
    <row r="38" spans="1:179" ht="12.75" customHeight="1" x14ac:dyDescent="0.2">
      <c r="A38" s="45" t="s">
        <v>65</v>
      </c>
      <c r="B38" s="65" t="s">
        <v>54</v>
      </c>
      <c r="C38" s="61" t="s">
        <v>46</v>
      </c>
      <c r="D38" s="62" t="s">
        <v>616</v>
      </c>
      <c r="E38" s="61" t="s">
        <v>12</v>
      </c>
      <c r="F38" s="11">
        <v>9</v>
      </c>
      <c r="G38" s="11">
        <v>4</v>
      </c>
      <c r="H38" s="11">
        <v>144</v>
      </c>
      <c r="I38" s="11">
        <v>144</v>
      </c>
      <c r="J38" s="11">
        <v>285</v>
      </c>
      <c r="K38" s="11">
        <v>334</v>
      </c>
      <c r="L38" s="11">
        <v>4</v>
      </c>
      <c r="M38" s="84">
        <v>503</v>
      </c>
      <c r="N38" s="84">
        <v>1150.3</v>
      </c>
      <c r="O38" s="84">
        <v>1150.3</v>
      </c>
      <c r="P38" s="133">
        <v>934.8</v>
      </c>
      <c r="Q38" s="133">
        <v>927.2</v>
      </c>
      <c r="R38" s="133">
        <v>870</v>
      </c>
      <c r="S38" s="133">
        <f t="shared" si="27"/>
        <v>2732</v>
      </c>
      <c r="T38" s="134">
        <v>934.8</v>
      </c>
      <c r="U38" s="130">
        <v>2.44</v>
      </c>
      <c r="V38" s="91">
        <v>1.9800000000000002E-2</v>
      </c>
      <c r="W38" s="91">
        <v>1.9800000000000002E-2</v>
      </c>
      <c r="X38" s="132">
        <v>1.32E-3</v>
      </c>
      <c r="Y38" s="91">
        <v>3.9699999999999999E-2</v>
      </c>
      <c r="Z38" s="29">
        <v>7483.95</v>
      </c>
      <c r="AA38" s="34">
        <v>244.1</v>
      </c>
      <c r="AB38" s="9">
        <f t="shared" si="32"/>
        <v>7728.05</v>
      </c>
      <c r="AC38" s="9">
        <f t="shared" ref="AC38:AC101" si="39">SUM(AB38*6.33)</f>
        <v>48918.559999999998</v>
      </c>
      <c r="AD38" s="9">
        <v>1.66</v>
      </c>
      <c r="AE38" s="9">
        <v>4.22</v>
      </c>
      <c r="AF38" s="21">
        <f>2.39-AJ38</f>
        <v>2.25</v>
      </c>
      <c r="AG38" s="18">
        <f>0.61-AQ38</f>
        <v>0.56000000000000005</v>
      </c>
      <c r="AH38" s="9">
        <v>2.78</v>
      </c>
      <c r="AI38" s="43">
        <v>1104</v>
      </c>
      <c r="AJ38" s="21">
        <f t="shared" si="0"/>
        <v>0.14000000000000001</v>
      </c>
      <c r="AK38" s="9">
        <v>2.23</v>
      </c>
      <c r="AL38" s="9">
        <v>0.6</v>
      </c>
      <c r="AM38" s="9">
        <v>7.0000000000000007E-2</v>
      </c>
      <c r="AN38" s="13"/>
      <c r="AO38" s="13">
        <v>892.8</v>
      </c>
      <c r="AP38" s="13">
        <f t="shared" si="28"/>
        <v>5.58</v>
      </c>
      <c r="AQ38" s="18">
        <f t="shared" si="1"/>
        <v>0.05</v>
      </c>
      <c r="AR38" s="9">
        <v>0.56000000000000005</v>
      </c>
      <c r="AS38" s="9">
        <v>0.35</v>
      </c>
      <c r="AT38" s="9">
        <v>7.0000000000000007E-2</v>
      </c>
      <c r="AU38" s="9">
        <v>3.81</v>
      </c>
      <c r="AV38" s="9">
        <v>0.15</v>
      </c>
      <c r="AW38" s="9">
        <f>1.4+0.26+0.34</f>
        <v>2</v>
      </c>
      <c r="AX38" s="9">
        <f>1.98+0.45</f>
        <v>2.4300000000000002</v>
      </c>
      <c r="AY38" s="63">
        <f t="shared" si="29"/>
        <v>23.93</v>
      </c>
      <c r="AZ38" s="64">
        <v>7472.63</v>
      </c>
      <c r="BA38" s="64">
        <v>244.1</v>
      </c>
      <c r="BB38" s="64">
        <f t="shared" si="30"/>
        <v>7716.73</v>
      </c>
      <c r="BC38" s="64">
        <v>23.93</v>
      </c>
      <c r="BD38" s="13">
        <f t="shared" si="31"/>
        <v>0</v>
      </c>
      <c r="BE38" s="9">
        <f t="shared" si="2"/>
        <v>184932.24</v>
      </c>
      <c r="BF38" s="9">
        <v>23.93</v>
      </c>
      <c r="BG38" s="10">
        <v>44409</v>
      </c>
      <c r="BH38" s="9">
        <f t="shared" si="3"/>
        <v>12828.56</v>
      </c>
      <c r="BI38" s="9">
        <f t="shared" si="4"/>
        <v>32612.37</v>
      </c>
      <c r="BJ38" s="9">
        <f t="shared" si="5"/>
        <v>17388.11</v>
      </c>
      <c r="BK38" s="9">
        <f t="shared" si="6"/>
        <v>4327.71</v>
      </c>
      <c r="BL38" s="9">
        <f t="shared" si="7"/>
        <v>21483.98</v>
      </c>
      <c r="BM38" s="9">
        <f t="shared" si="8"/>
        <v>1081.93</v>
      </c>
      <c r="BN38" s="9">
        <f t="shared" si="9"/>
        <v>17233.55</v>
      </c>
      <c r="BO38" s="9">
        <f t="shared" si="10"/>
        <v>4636.83</v>
      </c>
      <c r="BP38" s="9">
        <f t="shared" si="11"/>
        <v>540.96</v>
      </c>
      <c r="BQ38" s="9">
        <f t="shared" si="12"/>
        <v>386.4</v>
      </c>
      <c r="BR38" s="9">
        <f t="shared" si="13"/>
        <v>4327.71</v>
      </c>
      <c r="BS38" s="9">
        <f t="shared" si="14"/>
        <v>2704.82</v>
      </c>
      <c r="BT38" s="9">
        <f t="shared" si="15"/>
        <v>540.96</v>
      </c>
      <c r="BU38" s="9">
        <f t="shared" si="16"/>
        <v>29443.87</v>
      </c>
      <c r="BV38" s="9">
        <f t="shared" si="17"/>
        <v>1159.21</v>
      </c>
      <c r="BW38" s="9">
        <f t="shared" si="18"/>
        <v>15456.1</v>
      </c>
      <c r="BX38" s="9">
        <f t="shared" si="19"/>
        <v>18779.16</v>
      </c>
      <c r="BY38" s="17">
        <f t="shared" si="20"/>
        <v>184932.23</v>
      </c>
      <c r="BZ38" s="17">
        <v>3.65</v>
      </c>
      <c r="CA38" s="17">
        <v>0.06</v>
      </c>
      <c r="CB38" s="17">
        <v>0.41</v>
      </c>
      <c r="CC38" s="27">
        <v>7.0000000000000007E-2</v>
      </c>
      <c r="CD38" s="29">
        <v>6.33</v>
      </c>
      <c r="CE38" s="9">
        <v>25423.46</v>
      </c>
      <c r="CF38" s="9"/>
      <c r="CG38" s="9">
        <v>0</v>
      </c>
      <c r="CH38" s="9">
        <v>261.87</v>
      </c>
      <c r="CI38" s="9">
        <f>IF(CE38&gt;0,CE38/AB38,0)</f>
        <v>3.29</v>
      </c>
      <c r="CJ38" s="9">
        <f>IF(CF38&gt;0,CF38/AB38,0)</f>
        <v>0</v>
      </c>
      <c r="CK38" s="13">
        <f>IF(CG38&gt;0,CG38/AB38,0)</f>
        <v>0</v>
      </c>
      <c r="CL38" s="13">
        <f>IF(CH38&gt;0,CH38/AB38,0)</f>
        <v>0.03</v>
      </c>
      <c r="CM38" s="13">
        <v>179090.92</v>
      </c>
      <c r="CN38" s="13">
        <v>6286.49</v>
      </c>
      <c r="CO38" s="13">
        <v>0</v>
      </c>
      <c r="CP38" s="13">
        <v>1945.86</v>
      </c>
      <c r="CQ38" s="13">
        <v>1272.32</v>
      </c>
      <c r="CR38" s="13">
        <v>184259.29</v>
      </c>
      <c r="CS38" s="13">
        <v>9292.41</v>
      </c>
      <c r="CT38" s="13">
        <v>478.22</v>
      </c>
      <c r="CU38" s="13">
        <v>1043.8499999999999</v>
      </c>
      <c r="CV38" s="13">
        <v>807.44</v>
      </c>
      <c r="CW38" s="202">
        <v>6731</v>
      </c>
      <c r="CX38" s="200">
        <v>3862</v>
      </c>
      <c r="CY38" s="202"/>
      <c r="CZ38" s="202"/>
      <c r="DA38" s="202"/>
      <c r="DB38" s="202"/>
      <c r="DC38" s="202"/>
      <c r="DD38" s="461"/>
      <c r="DE38" s="256"/>
      <c r="DF38" s="202"/>
      <c r="DG38" s="202"/>
      <c r="DH38" s="202"/>
      <c r="DI38" s="204">
        <v>1104</v>
      </c>
      <c r="DJ38" s="202">
        <v>17200</v>
      </c>
      <c r="DK38" s="202"/>
      <c r="DL38" s="202"/>
      <c r="DM38" s="202"/>
      <c r="DN38" s="202"/>
      <c r="DO38" s="202"/>
      <c r="DP38" s="202">
        <v>44334</v>
      </c>
      <c r="DQ38" s="202">
        <v>3400</v>
      </c>
      <c r="DR38" s="202">
        <v>2</v>
      </c>
      <c r="DS38" s="202"/>
      <c r="DT38" s="254"/>
      <c r="DU38" s="254"/>
      <c r="DV38" s="202"/>
      <c r="DW38" s="202">
        <v>35739</v>
      </c>
      <c r="DX38" s="202"/>
      <c r="DY38" s="107">
        <v>2730</v>
      </c>
      <c r="DZ38" s="107">
        <v>577</v>
      </c>
      <c r="EA38" s="202"/>
      <c r="EB38" s="202"/>
      <c r="EC38" s="202"/>
      <c r="ED38" s="202"/>
      <c r="EE38" s="202"/>
      <c r="EF38" s="229"/>
      <c r="EG38" s="202"/>
      <c r="EH38" s="202"/>
      <c r="EI38" s="202"/>
      <c r="EJ38" s="202"/>
      <c r="EK38" s="202">
        <v>6508.32</v>
      </c>
      <c r="EL38" s="202">
        <v>0</v>
      </c>
      <c r="EM38" s="202">
        <v>1999.78</v>
      </c>
      <c r="EN38" s="202">
        <v>1308.82</v>
      </c>
      <c r="EO38" s="202">
        <v>6508.32</v>
      </c>
      <c r="EP38" s="202"/>
      <c r="EQ38" s="202">
        <v>1999.78</v>
      </c>
      <c r="ER38" s="202">
        <v>1308.82</v>
      </c>
      <c r="ES38" s="202"/>
      <c r="ET38" s="202"/>
      <c r="EU38" s="202"/>
      <c r="EV38" s="214">
        <v>-2.4500000000000002</v>
      </c>
      <c r="EW38" s="240">
        <f t="shared" si="25"/>
        <v>16902.48</v>
      </c>
      <c r="EX38" s="209">
        <f t="shared" si="26"/>
        <v>11001.03</v>
      </c>
    </row>
    <row r="39" spans="1:179" ht="12.75" customHeight="1" x14ac:dyDescent="0.2">
      <c r="A39" s="45" t="s">
        <v>68</v>
      </c>
      <c r="B39" s="167" t="s">
        <v>56</v>
      </c>
      <c r="C39" s="164" t="s">
        <v>57</v>
      </c>
      <c r="D39" s="168" t="s">
        <v>617</v>
      </c>
      <c r="E39" s="164"/>
      <c r="F39" s="11">
        <v>10</v>
      </c>
      <c r="G39" s="11">
        <v>1</v>
      </c>
      <c r="H39" s="11">
        <v>160</v>
      </c>
      <c r="I39" s="11">
        <v>160</v>
      </c>
      <c r="J39" s="11">
        <v>217</v>
      </c>
      <c r="K39" s="11">
        <v>266</v>
      </c>
      <c r="L39" s="11">
        <v>1</v>
      </c>
      <c r="M39" s="84">
        <v>830.7</v>
      </c>
      <c r="N39" s="84">
        <v>807</v>
      </c>
      <c r="O39" s="84">
        <v>807</v>
      </c>
      <c r="P39" s="133">
        <v>976.4</v>
      </c>
      <c r="Q39" s="133">
        <v>709.4</v>
      </c>
      <c r="R39" s="133">
        <v>690.2</v>
      </c>
      <c r="S39" s="133">
        <f t="shared" si="27"/>
        <v>2376</v>
      </c>
      <c r="T39" s="134">
        <v>976.4</v>
      </c>
      <c r="U39" s="130">
        <v>2.74</v>
      </c>
      <c r="V39" s="91">
        <v>1.1299999999999999E-2</v>
      </c>
      <c r="W39" s="91">
        <v>1.1299999999999999E-2</v>
      </c>
      <c r="X39" s="132">
        <v>7.5000000000000002E-4</v>
      </c>
      <c r="Y39" s="91">
        <v>2.2499999999999999E-2</v>
      </c>
      <c r="Z39" s="29">
        <v>5545.2</v>
      </c>
      <c r="AA39" s="34"/>
      <c r="AB39" s="9">
        <f t="shared" si="32"/>
        <v>5545.2</v>
      </c>
      <c r="AC39" s="9">
        <f t="shared" si="39"/>
        <v>35101.120000000003</v>
      </c>
      <c r="AD39" s="9">
        <v>2.52</v>
      </c>
      <c r="AE39" s="9">
        <v>4.24</v>
      </c>
      <c r="AF39" s="21">
        <f>2.76-AJ39</f>
        <v>2.62</v>
      </c>
      <c r="AG39" s="18">
        <f>0.58-AQ39</f>
        <v>0.5</v>
      </c>
      <c r="AH39" s="9">
        <v>2.71</v>
      </c>
      <c r="AI39" s="13">
        <v>774</v>
      </c>
      <c r="AJ39" s="21">
        <f t="shared" si="0"/>
        <v>0.14000000000000001</v>
      </c>
      <c r="AK39" s="9">
        <v>0.78</v>
      </c>
      <c r="AL39" s="9">
        <v>0.21</v>
      </c>
      <c r="AM39" s="9">
        <v>0.1</v>
      </c>
      <c r="AN39" s="13"/>
      <c r="AO39" s="13">
        <v>944</v>
      </c>
      <c r="AP39" s="13">
        <f t="shared" si="28"/>
        <v>5.58</v>
      </c>
      <c r="AQ39" s="18">
        <f t="shared" si="1"/>
        <v>0.08</v>
      </c>
      <c r="AR39" s="9">
        <v>0.86</v>
      </c>
      <c r="AS39" s="9">
        <v>0.25</v>
      </c>
      <c r="AT39" s="9">
        <v>7.0000000000000007E-2</v>
      </c>
      <c r="AU39" s="9">
        <v>4.54</v>
      </c>
      <c r="AV39" s="9">
        <v>0.16</v>
      </c>
      <c r="AW39" s="9">
        <f>1.35+0.4+0.4</f>
        <v>2.15</v>
      </c>
      <c r="AX39" s="9">
        <f>1.87+0.53</f>
        <v>2.4</v>
      </c>
      <c r="AY39" s="166">
        <f t="shared" si="29"/>
        <v>24.33</v>
      </c>
      <c r="AZ39" s="21"/>
      <c r="BA39" s="21"/>
      <c r="BB39" s="21"/>
      <c r="BC39" s="21">
        <v>24.33</v>
      </c>
      <c r="BD39" s="13">
        <f t="shared" si="31"/>
        <v>0</v>
      </c>
      <c r="BE39" s="9">
        <f t="shared" si="2"/>
        <v>134914.72</v>
      </c>
      <c r="BF39" s="9">
        <v>24.33</v>
      </c>
      <c r="BG39" s="10">
        <v>44440</v>
      </c>
      <c r="BH39" s="9">
        <f t="shared" si="3"/>
        <v>13973.9</v>
      </c>
      <c r="BI39" s="9">
        <f t="shared" si="4"/>
        <v>23511.65</v>
      </c>
      <c r="BJ39" s="9">
        <f t="shared" si="5"/>
        <v>14528.42</v>
      </c>
      <c r="BK39" s="9">
        <f t="shared" si="6"/>
        <v>2772.6</v>
      </c>
      <c r="BL39" s="9">
        <f t="shared" si="7"/>
        <v>15027.49</v>
      </c>
      <c r="BM39" s="9">
        <f t="shared" si="8"/>
        <v>776.33</v>
      </c>
      <c r="BN39" s="9">
        <f t="shared" si="9"/>
        <v>4325.26</v>
      </c>
      <c r="BO39" s="9">
        <f t="shared" si="10"/>
        <v>1164.49</v>
      </c>
      <c r="BP39" s="9">
        <f t="shared" si="11"/>
        <v>554.52</v>
      </c>
      <c r="BQ39" s="9">
        <f t="shared" si="12"/>
        <v>443.62</v>
      </c>
      <c r="BR39" s="9">
        <f t="shared" si="13"/>
        <v>4768.87</v>
      </c>
      <c r="BS39" s="9">
        <f t="shared" si="14"/>
        <v>1386.3</v>
      </c>
      <c r="BT39" s="9">
        <f t="shared" si="15"/>
        <v>388.16</v>
      </c>
      <c r="BU39" s="9">
        <f t="shared" si="16"/>
        <v>25175.21</v>
      </c>
      <c r="BV39" s="9">
        <f t="shared" si="17"/>
        <v>887.23</v>
      </c>
      <c r="BW39" s="9">
        <f t="shared" si="18"/>
        <v>11922.18</v>
      </c>
      <c r="BX39" s="9">
        <f t="shared" si="19"/>
        <v>13308.48</v>
      </c>
      <c r="BY39" s="17">
        <f t="shared" si="20"/>
        <v>134914.71</v>
      </c>
      <c r="BZ39" s="17">
        <v>4.5199999999999996</v>
      </c>
      <c r="CA39" s="17">
        <v>0.05</v>
      </c>
      <c r="CB39" s="17">
        <v>0.33</v>
      </c>
      <c r="CC39" s="27">
        <v>0.06</v>
      </c>
      <c r="CD39" s="29">
        <v>6.33</v>
      </c>
      <c r="CE39" s="9"/>
      <c r="CF39" s="9"/>
      <c r="CG39" s="9"/>
      <c r="CH39" s="9"/>
      <c r="CI39" s="9"/>
      <c r="CJ39" s="9"/>
      <c r="CK39" s="13"/>
      <c r="CL39" s="13"/>
      <c r="CM39" s="13">
        <v>134914.88</v>
      </c>
      <c r="CN39" s="13">
        <v>26506.09</v>
      </c>
      <c r="CO39" s="13">
        <v>0</v>
      </c>
      <c r="CP39" s="13">
        <v>0</v>
      </c>
      <c r="CQ39" s="13">
        <v>0</v>
      </c>
      <c r="CR39" s="13">
        <v>136894.04</v>
      </c>
      <c r="CS39" s="13">
        <v>17059.38</v>
      </c>
      <c r="CT39" s="13">
        <v>336.12</v>
      </c>
      <c r="CU39" s="13">
        <v>51</v>
      </c>
      <c r="CV39" s="13">
        <v>129.72999999999999</v>
      </c>
      <c r="CW39" s="202">
        <v>4831</v>
      </c>
      <c r="CX39" s="200">
        <v>2772</v>
      </c>
      <c r="CY39" s="202"/>
      <c r="CZ39" s="202"/>
      <c r="DA39" s="202"/>
      <c r="DB39" s="202"/>
      <c r="DC39" s="202"/>
      <c r="DD39" s="461"/>
      <c r="DE39" s="256"/>
      <c r="DF39" s="204">
        <v>774</v>
      </c>
      <c r="DG39" s="204"/>
      <c r="DH39" s="204"/>
      <c r="DI39" s="204"/>
      <c r="DJ39" s="202">
        <v>4300</v>
      </c>
      <c r="DK39" s="202"/>
      <c r="DL39" s="202"/>
      <c r="DM39" s="202"/>
      <c r="DN39" s="202"/>
      <c r="DO39" s="202"/>
      <c r="DP39" s="202">
        <v>35313</v>
      </c>
      <c r="DQ39" s="202">
        <v>4420</v>
      </c>
      <c r="DR39" s="202">
        <v>2.6</v>
      </c>
      <c r="DS39" s="202"/>
      <c r="DT39" s="254"/>
      <c r="DU39" s="254"/>
      <c r="DV39" s="202">
        <v>32950</v>
      </c>
      <c r="DW39" s="202"/>
      <c r="DX39" s="202"/>
      <c r="DY39" s="107"/>
      <c r="DZ39" s="107"/>
      <c r="EA39" s="202">
        <v>6462.27</v>
      </c>
      <c r="EB39" s="202"/>
      <c r="EC39" s="202"/>
      <c r="ED39" s="202"/>
      <c r="EE39" s="202"/>
      <c r="EF39" s="229"/>
      <c r="EG39" s="202"/>
      <c r="EH39" s="202"/>
      <c r="EI39" s="202"/>
      <c r="EJ39" s="202"/>
      <c r="EK39" s="202">
        <v>26531.48</v>
      </c>
      <c r="EL39" s="202">
        <v>0</v>
      </c>
      <c r="EM39" s="202">
        <v>0</v>
      </c>
      <c r="EN39" s="202">
        <v>0</v>
      </c>
      <c r="EO39" s="202">
        <v>26531.48</v>
      </c>
      <c r="EP39" s="202"/>
      <c r="EQ39" s="202">
        <v>0</v>
      </c>
      <c r="ER39" s="202">
        <v>0</v>
      </c>
      <c r="ES39" s="202"/>
      <c r="ET39" s="202"/>
      <c r="EU39" s="202"/>
      <c r="EV39" s="214">
        <v>-8.7899999999999991</v>
      </c>
      <c r="EW39" s="240">
        <f t="shared" si="25"/>
        <v>12128.24</v>
      </c>
      <c r="EX39" s="209">
        <f t="shared" si="26"/>
        <v>7893.7</v>
      </c>
    </row>
    <row r="40" spans="1:179" ht="12.75" customHeight="1" x14ac:dyDescent="0.2">
      <c r="A40" s="45" t="s">
        <v>69</v>
      </c>
      <c r="B40" s="167" t="s">
        <v>56</v>
      </c>
      <c r="C40" s="164" t="s">
        <v>57</v>
      </c>
      <c r="D40" s="165" t="s">
        <v>547</v>
      </c>
      <c r="E40" s="164" t="s">
        <v>9</v>
      </c>
      <c r="F40" s="11">
        <v>9</v>
      </c>
      <c r="G40" s="11">
        <v>4</v>
      </c>
      <c r="H40" s="11">
        <v>143</v>
      </c>
      <c r="I40" s="11">
        <v>0</v>
      </c>
      <c r="J40" s="11">
        <v>328</v>
      </c>
      <c r="K40" s="11">
        <v>368</v>
      </c>
      <c r="L40" s="11">
        <v>4</v>
      </c>
      <c r="M40" s="84">
        <v>1171</v>
      </c>
      <c r="N40" s="84">
        <v>1052</v>
      </c>
      <c r="O40" s="84">
        <v>1414</v>
      </c>
      <c r="P40" s="135">
        <v>976.4</v>
      </c>
      <c r="Q40" s="133">
        <v>1308.5</v>
      </c>
      <c r="R40" s="133">
        <v>1519.9</v>
      </c>
      <c r="S40" s="133">
        <f t="shared" si="27"/>
        <v>3804.8</v>
      </c>
      <c r="T40" s="134">
        <v>1171</v>
      </c>
      <c r="U40" s="130">
        <v>2.44</v>
      </c>
      <c r="V40" s="91">
        <v>1.9800000000000002E-2</v>
      </c>
      <c r="W40" s="91">
        <v>1.9800000000000002E-2</v>
      </c>
      <c r="X40" s="132">
        <v>1.32E-3</v>
      </c>
      <c r="Y40" s="91">
        <v>3.9699999999999999E-2</v>
      </c>
      <c r="Z40" s="29">
        <v>8879.65</v>
      </c>
      <c r="AA40" s="34">
        <v>267.89999999999998</v>
      </c>
      <c r="AB40" s="9">
        <f t="shared" si="32"/>
        <v>9147.5499999999993</v>
      </c>
      <c r="AC40" s="9">
        <f t="shared" si="39"/>
        <v>57903.99</v>
      </c>
      <c r="AD40" s="9">
        <v>1.93</v>
      </c>
      <c r="AE40" s="9">
        <v>4.3099999999999996</v>
      </c>
      <c r="AF40" s="21">
        <f>2.65-AJ40</f>
        <v>2.5</v>
      </c>
      <c r="AG40" s="18">
        <f>0.64-AQ40</f>
        <v>0.6</v>
      </c>
      <c r="AH40" s="9">
        <v>2.71</v>
      </c>
      <c r="AI40" s="13">
        <v>1358</v>
      </c>
      <c r="AJ40" s="21">
        <f t="shared" si="0"/>
        <v>0.15</v>
      </c>
      <c r="AK40" s="9">
        <v>1.89</v>
      </c>
      <c r="AL40" s="9">
        <v>0.16</v>
      </c>
      <c r="AM40" s="9">
        <v>0.1</v>
      </c>
      <c r="AN40" s="13"/>
      <c r="AO40" s="13">
        <v>820.4</v>
      </c>
      <c r="AP40" s="13">
        <f t="shared" si="28"/>
        <v>5.58</v>
      </c>
      <c r="AQ40" s="18">
        <f t="shared" si="1"/>
        <v>0.04</v>
      </c>
      <c r="AR40" s="9">
        <v>0.48</v>
      </c>
      <c r="AS40" s="9">
        <v>0.15</v>
      </c>
      <c r="AT40" s="9">
        <v>7.0000000000000007E-2</v>
      </c>
      <c r="AU40" s="9">
        <v>4.71</v>
      </c>
      <c r="AV40" s="9">
        <v>0.16</v>
      </c>
      <c r="AW40" s="9">
        <f>1.35+0.42+0.23</f>
        <v>2</v>
      </c>
      <c r="AX40" s="9">
        <f>1.89+0.58</f>
        <v>2.4700000000000002</v>
      </c>
      <c r="AY40" s="166">
        <f t="shared" si="29"/>
        <v>24.43</v>
      </c>
      <c r="AZ40" s="21">
        <v>8829.4</v>
      </c>
      <c r="BA40" s="21">
        <v>267.89999999999998</v>
      </c>
      <c r="BB40" s="21">
        <f t="shared" si="30"/>
        <v>9097.2999999999993</v>
      </c>
      <c r="BC40" s="21">
        <v>24.43</v>
      </c>
      <c r="BD40" s="13">
        <f t="shared" si="31"/>
        <v>0</v>
      </c>
      <c r="BE40" s="9">
        <f t="shared" si="2"/>
        <v>223474.65</v>
      </c>
      <c r="BF40" s="9">
        <v>24.43</v>
      </c>
      <c r="BG40" s="10">
        <v>44409</v>
      </c>
      <c r="BH40" s="9">
        <f t="shared" si="3"/>
        <v>17654.77</v>
      </c>
      <c r="BI40" s="9">
        <f t="shared" si="4"/>
        <v>39425.94</v>
      </c>
      <c r="BJ40" s="9">
        <f t="shared" si="5"/>
        <v>22868.880000000001</v>
      </c>
      <c r="BK40" s="9">
        <f t="shared" si="6"/>
        <v>5488.53</v>
      </c>
      <c r="BL40" s="9">
        <f t="shared" si="7"/>
        <v>24789.86</v>
      </c>
      <c r="BM40" s="9">
        <f t="shared" si="8"/>
        <v>1372.13</v>
      </c>
      <c r="BN40" s="9">
        <f t="shared" si="9"/>
        <v>17288.87</v>
      </c>
      <c r="BO40" s="9">
        <f t="shared" si="10"/>
        <v>1463.61</v>
      </c>
      <c r="BP40" s="9">
        <f t="shared" si="11"/>
        <v>914.76</v>
      </c>
      <c r="BQ40" s="9">
        <f t="shared" si="12"/>
        <v>365.9</v>
      </c>
      <c r="BR40" s="9">
        <f t="shared" si="13"/>
        <v>4390.82</v>
      </c>
      <c r="BS40" s="9">
        <f t="shared" si="14"/>
        <v>1372.13</v>
      </c>
      <c r="BT40" s="9">
        <f t="shared" si="15"/>
        <v>640.33000000000004</v>
      </c>
      <c r="BU40" s="9">
        <f t="shared" si="16"/>
        <v>43084.959999999999</v>
      </c>
      <c r="BV40" s="9">
        <f t="shared" si="17"/>
        <v>1463.61</v>
      </c>
      <c r="BW40" s="9">
        <f t="shared" si="18"/>
        <v>18295.099999999999</v>
      </c>
      <c r="BX40" s="9">
        <f t="shared" si="19"/>
        <v>22594.45</v>
      </c>
      <c r="BY40" s="17">
        <f t="shared" si="20"/>
        <v>223474.65</v>
      </c>
      <c r="BZ40" s="17">
        <v>3.6</v>
      </c>
      <c r="CA40" s="17">
        <v>7.0000000000000007E-2</v>
      </c>
      <c r="CB40" s="17">
        <v>0.43</v>
      </c>
      <c r="CC40" s="27">
        <v>7.0000000000000007E-2</v>
      </c>
      <c r="CD40" s="29">
        <v>6.33</v>
      </c>
      <c r="CE40" s="9">
        <v>41660.71</v>
      </c>
      <c r="CF40" s="9"/>
      <c r="CG40" s="9">
        <v>9134.11</v>
      </c>
      <c r="CH40" s="9">
        <v>5110.0600000000004</v>
      </c>
      <c r="CI40" s="9">
        <f t="shared" ref="CI40:CI54" si="40">IF(CE40&gt;0,CE40/AB40,0)</f>
        <v>4.55</v>
      </c>
      <c r="CJ40" s="9">
        <f t="shared" ref="CJ40:CJ54" si="41">IF(CF40&gt;0,CF40/AB40,0)</f>
        <v>0</v>
      </c>
      <c r="CK40" s="13">
        <f t="shared" ref="CK40:CK54" si="42">IF(CG40&gt;0,CG40/AB40,0)</f>
        <v>1</v>
      </c>
      <c r="CL40" s="13">
        <f t="shared" ref="CL40:CL54" si="43">IF(CH40&gt;0,CH40/AB40,0)</f>
        <v>0.56000000000000005</v>
      </c>
      <c r="CM40" s="13">
        <v>216929.92000000001</v>
      </c>
      <c r="CN40" s="13">
        <v>44664.7</v>
      </c>
      <c r="CO40" s="13">
        <v>0</v>
      </c>
      <c r="CP40" s="13">
        <v>887.97</v>
      </c>
      <c r="CQ40" s="13">
        <v>621.6</v>
      </c>
      <c r="CR40" s="13">
        <v>237145.29</v>
      </c>
      <c r="CS40" s="13">
        <v>53300.15</v>
      </c>
      <c r="CT40" s="13">
        <v>678.13</v>
      </c>
      <c r="CU40" s="13">
        <v>3473.74</v>
      </c>
      <c r="CV40" s="13">
        <v>2113.0100000000002</v>
      </c>
      <c r="CW40" s="202">
        <v>7969</v>
      </c>
      <c r="CX40" s="200">
        <v>4572</v>
      </c>
      <c r="CY40" s="202"/>
      <c r="CZ40" s="202"/>
      <c r="DA40" s="202"/>
      <c r="DB40" s="202"/>
      <c r="DC40" s="202"/>
      <c r="DD40" s="461"/>
      <c r="DE40" s="256"/>
      <c r="DF40" s="204">
        <v>1358</v>
      </c>
      <c r="DG40" s="204"/>
      <c r="DH40" s="204"/>
      <c r="DI40" s="204"/>
      <c r="DJ40" s="202">
        <v>17200</v>
      </c>
      <c r="DK40" s="202"/>
      <c r="DL40" s="202"/>
      <c r="DM40" s="202"/>
      <c r="DN40" s="202"/>
      <c r="DO40" s="202"/>
      <c r="DP40" s="202">
        <v>49614</v>
      </c>
      <c r="DQ40" s="202">
        <v>4420</v>
      </c>
      <c r="DR40" s="202">
        <v>2.6</v>
      </c>
      <c r="DS40" s="202"/>
      <c r="DT40" s="254"/>
      <c r="DU40" s="254"/>
      <c r="DV40" s="202">
        <v>54170</v>
      </c>
      <c r="DW40" s="202"/>
      <c r="DX40" s="202"/>
      <c r="DY40" s="107"/>
      <c r="DZ40" s="107"/>
      <c r="EA40" s="202">
        <f>45130+6823.47</f>
        <v>51953.47</v>
      </c>
      <c r="EB40" s="202"/>
      <c r="EC40" s="202"/>
      <c r="ED40" s="202"/>
      <c r="EE40" s="202"/>
      <c r="EF40" s="229"/>
      <c r="EG40" s="202"/>
      <c r="EH40" s="202"/>
      <c r="EI40" s="202"/>
      <c r="EJ40" s="202"/>
      <c r="EK40" s="202">
        <v>34076.51</v>
      </c>
      <c r="EL40" s="202">
        <v>0</v>
      </c>
      <c r="EM40" s="202">
        <v>939.86</v>
      </c>
      <c r="EN40" s="202">
        <v>657.72</v>
      </c>
      <c r="EO40" s="202">
        <v>34076.51</v>
      </c>
      <c r="EP40" s="202"/>
      <c r="EQ40" s="202">
        <v>939.86</v>
      </c>
      <c r="ER40" s="202">
        <v>657.72</v>
      </c>
      <c r="ES40" s="202"/>
      <c r="ET40" s="202"/>
      <c r="EU40" s="202"/>
      <c r="EV40" s="214">
        <v>90.85</v>
      </c>
      <c r="EW40" s="240">
        <f t="shared" si="25"/>
        <v>20007.16</v>
      </c>
      <c r="EX40" s="209">
        <f t="shared" si="26"/>
        <v>13021.72</v>
      </c>
    </row>
    <row r="41" spans="1:179" ht="12.75" customHeight="1" x14ac:dyDescent="0.2">
      <c r="A41" s="45" t="s">
        <v>70</v>
      </c>
      <c r="B41" s="148" t="s">
        <v>59</v>
      </c>
      <c r="C41" s="149" t="s">
        <v>48</v>
      </c>
      <c r="D41" s="150" t="s">
        <v>618</v>
      </c>
      <c r="E41" s="149" t="s">
        <v>12</v>
      </c>
      <c r="F41" s="11">
        <v>9</v>
      </c>
      <c r="G41" s="11">
        <v>7</v>
      </c>
      <c r="H41" s="11">
        <v>216</v>
      </c>
      <c r="I41" s="11">
        <v>217</v>
      </c>
      <c r="J41" s="11">
        <v>521</v>
      </c>
      <c r="K41" s="11">
        <v>655</v>
      </c>
      <c r="L41" s="11">
        <v>7</v>
      </c>
      <c r="M41" s="84">
        <v>1342</v>
      </c>
      <c r="N41" s="84">
        <v>1710</v>
      </c>
      <c r="O41" s="84">
        <v>0</v>
      </c>
      <c r="P41" s="133">
        <v>1856.5</v>
      </c>
      <c r="Q41" s="133">
        <v>1425.6</v>
      </c>
      <c r="R41" s="133">
        <v>0</v>
      </c>
      <c r="S41" s="133">
        <f t="shared" si="27"/>
        <v>3282.1</v>
      </c>
      <c r="T41" s="138">
        <v>1856.5</v>
      </c>
      <c r="U41" s="130">
        <v>2.72</v>
      </c>
      <c r="V41" s="91">
        <v>1.9800000000000002E-2</v>
      </c>
      <c r="W41" s="91">
        <v>1.9800000000000002E-2</v>
      </c>
      <c r="X41" s="132">
        <v>1.32E-3</v>
      </c>
      <c r="Y41" s="91">
        <v>3.9699999999999999E-2</v>
      </c>
      <c r="Z41" s="29">
        <v>12774.1</v>
      </c>
      <c r="AA41" s="34">
        <v>10</v>
      </c>
      <c r="AB41" s="9">
        <f t="shared" si="32"/>
        <v>12784.1</v>
      </c>
      <c r="AC41" s="9">
        <f t="shared" si="39"/>
        <v>80923.350000000006</v>
      </c>
      <c r="AD41" s="9">
        <v>2.38</v>
      </c>
      <c r="AE41" s="9">
        <v>3.8</v>
      </c>
      <c r="AF41" s="21">
        <f>2.4-AJ41</f>
        <v>2.27</v>
      </c>
      <c r="AG41" s="18">
        <f>0.64-AQ41</f>
        <v>0.59</v>
      </c>
      <c r="AH41" s="9">
        <v>2.78</v>
      </c>
      <c r="AI41" s="13">
        <v>1642</v>
      </c>
      <c r="AJ41" s="21">
        <f t="shared" si="0"/>
        <v>0.13</v>
      </c>
      <c r="AK41" s="9">
        <v>2.36</v>
      </c>
      <c r="AL41" s="9">
        <v>0.21</v>
      </c>
      <c r="AM41" s="9">
        <v>0.05</v>
      </c>
      <c r="AN41" s="13"/>
      <c r="AO41" s="13">
        <v>1478.4</v>
      </c>
      <c r="AP41" s="13">
        <f t="shared" si="28"/>
        <v>5.58</v>
      </c>
      <c r="AQ41" s="18">
        <f t="shared" si="1"/>
        <v>0.05</v>
      </c>
      <c r="AR41" s="9">
        <v>0.54</v>
      </c>
      <c r="AS41" s="9">
        <v>0.11</v>
      </c>
      <c r="AT41" s="9">
        <v>7.0000000000000007E-2</v>
      </c>
      <c r="AU41" s="9">
        <v>4.8499999999999996</v>
      </c>
      <c r="AV41" s="9">
        <v>0.15</v>
      </c>
      <c r="AW41" s="9">
        <f>1.37+0.43+0.22</f>
        <v>2.02</v>
      </c>
      <c r="AX41" s="9">
        <f>1.93+0.57</f>
        <v>2.5</v>
      </c>
      <c r="AY41" s="151">
        <f t="shared" si="29"/>
        <v>24.86</v>
      </c>
      <c r="AZ41" s="152">
        <v>12759.6</v>
      </c>
      <c r="BA41" s="152">
        <v>10</v>
      </c>
      <c r="BB41" s="152">
        <f t="shared" si="30"/>
        <v>12769.6</v>
      </c>
      <c r="BC41" s="152">
        <v>24.86</v>
      </c>
      <c r="BD41" s="13">
        <f t="shared" si="31"/>
        <v>0</v>
      </c>
      <c r="BE41" s="9">
        <f t="shared" si="2"/>
        <v>317812.73</v>
      </c>
      <c r="BF41" s="9">
        <v>24.86</v>
      </c>
      <c r="BG41" s="10">
        <v>44409</v>
      </c>
      <c r="BH41" s="9">
        <f t="shared" si="3"/>
        <v>30426.16</v>
      </c>
      <c r="BI41" s="9">
        <f t="shared" si="4"/>
        <v>48579.58</v>
      </c>
      <c r="BJ41" s="9">
        <f t="shared" si="5"/>
        <v>29019.91</v>
      </c>
      <c r="BK41" s="9">
        <f t="shared" si="6"/>
        <v>7542.62</v>
      </c>
      <c r="BL41" s="9">
        <f t="shared" si="7"/>
        <v>35539.800000000003</v>
      </c>
      <c r="BM41" s="9">
        <f t="shared" si="8"/>
        <v>1661.93</v>
      </c>
      <c r="BN41" s="9">
        <f t="shared" si="9"/>
        <v>30170.48</v>
      </c>
      <c r="BO41" s="9">
        <f t="shared" si="10"/>
        <v>2684.66</v>
      </c>
      <c r="BP41" s="9">
        <f t="shared" si="11"/>
        <v>639.21</v>
      </c>
      <c r="BQ41" s="9">
        <f t="shared" si="12"/>
        <v>639.21</v>
      </c>
      <c r="BR41" s="9">
        <f t="shared" si="13"/>
        <v>6903.41</v>
      </c>
      <c r="BS41" s="9">
        <f t="shared" si="14"/>
        <v>1406.25</v>
      </c>
      <c r="BT41" s="9">
        <f t="shared" si="15"/>
        <v>894.89</v>
      </c>
      <c r="BU41" s="9">
        <f t="shared" si="16"/>
        <v>62002.89</v>
      </c>
      <c r="BV41" s="9">
        <f t="shared" si="17"/>
        <v>1917.62</v>
      </c>
      <c r="BW41" s="9">
        <f t="shared" si="18"/>
        <v>25823.88</v>
      </c>
      <c r="BX41" s="9">
        <f t="shared" si="19"/>
        <v>31960.25</v>
      </c>
      <c r="BY41" s="17">
        <f t="shared" si="20"/>
        <v>317812.75</v>
      </c>
      <c r="BZ41" s="17">
        <v>2.68</v>
      </c>
      <c r="CA41" s="17">
        <v>0.08</v>
      </c>
      <c r="CB41" s="17">
        <v>0.49</v>
      </c>
      <c r="CC41" s="27">
        <v>0.08</v>
      </c>
      <c r="CD41" s="29">
        <v>6.33</v>
      </c>
      <c r="CE41" s="9">
        <v>44291.96</v>
      </c>
      <c r="CF41" s="9"/>
      <c r="CG41" s="9">
        <v>993.37</v>
      </c>
      <c r="CH41" s="9">
        <v>1562.81</v>
      </c>
      <c r="CI41" s="9">
        <f t="shared" si="40"/>
        <v>3.46</v>
      </c>
      <c r="CJ41" s="9">
        <f t="shared" si="41"/>
        <v>0</v>
      </c>
      <c r="CK41" s="13">
        <f t="shared" si="42"/>
        <v>0.08</v>
      </c>
      <c r="CL41" s="13">
        <f t="shared" si="43"/>
        <v>0.12</v>
      </c>
      <c r="CM41" s="13">
        <v>317564.09000000003</v>
      </c>
      <c r="CN41" s="13">
        <v>13796.06</v>
      </c>
      <c r="CO41" s="13">
        <v>0</v>
      </c>
      <c r="CP41" s="13">
        <v>3832.25</v>
      </c>
      <c r="CQ41" s="13">
        <v>2554.8200000000002</v>
      </c>
      <c r="CR41" s="13">
        <v>344101.92</v>
      </c>
      <c r="CS41" s="13">
        <v>30667.01</v>
      </c>
      <c r="CT41" s="13">
        <v>930.6</v>
      </c>
      <c r="CU41" s="13">
        <v>1808.6</v>
      </c>
      <c r="CV41" s="13">
        <v>1329.8</v>
      </c>
      <c r="CW41" s="202">
        <v>11133</v>
      </c>
      <c r="CX41" s="200">
        <v>6387</v>
      </c>
      <c r="CY41" s="202">
        <v>70503</v>
      </c>
      <c r="CZ41" s="202">
        <v>6800</v>
      </c>
      <c r="DA41" s="202">
        <v>4</v>
      </c>
      <c r="DB41" s="202"/>
      <c r="DC41" s="202"/>
      <c r="DD41" s="461"/>
      <c r="DE41" s="256"/>
      <c r="DF41" s="204">
        <v>1642</v>
      </c>
      <c r="DG41" s="204"/>
      <c r="DH41" s="204"/>
      <c r="DI41" s="204"/>
      <c r="DJ41" s="202"/>
      <c r="DK41" s="202">
        <v>30100</v>
      </c>
      <c r="DL41" s="202"/>
      <c r="DM41" s="202"/>
      <c r="DN41" s="202"/>
      <c r="DO41" s="202"/>
      <c r="DP41" s="202"/>
      <c r="DQ41" s="202"/>
      <c r="DR41" s="202"/>
      <c r="DS41" s="202"/>
      <c r="DT41" s="254"/>
      <c r="DU41" s="254"/>
      <c r="DV41" s="202">
        <v>73403</v>
      </c>
      <c r="DW41" s="202"/>
      <c r="DX41" s="202"/>
      <c r="DY41" s="107">
        <v>1365</v>
      </c>
      <c r="DZ41" s="107">
        <v>577</v>
      </c>
      <c r="EA41" s="202">
        <f>2251.48+2150.97</f>
        <v>4402.45</v>
      </c>
      <c r="EB41" s="202"/>
      <c r="EC41" s="202"/>
      <c r="ED41" s="202"/>
      <c r="EE41" s="202"/>
      <c r="EF41" s="229"/>
      <c r="EG41" s="202"/>
      <c r="EH41" s="202"/>
      <c r="EI41" s="202"/>
      <c r="EJ41" s="202"/>
      <c r="EK41" s="202">
        <v>13865.25</v>
      </c>
      <c r="EL41" s="202">
        <v>0</v>
      </c>
      <c r="EM41" s="202">
        <v>3783.36</v>
      </c>
      <c r="EN41" s="202">
        <v>2500.7800000000002</v>
      </c>
      <c r="EO41" s="202">
        <v>13865.25</v>
      </c>
      <c r="EP41" s="202"/>
      <c r="EQ41" s="202">
        <v>3783.36</v>
      </c>
      <c r="ER41" s="202">
        <v>2500.7800000000002</v>
      </c>
      <c r="ES41" s="202">
        <v>-993.38</v>
      </c>
      <c r="ET41" s="202">
        <v>-522.5</v>
      </c>
      <c r="EU41" s="202"/>
      <c r="EV41" s="214">
        <v>-34.799999999999997</v>
      </c>
      <c r="EW41" s="240">
        <f t="shared" si="25"/>
        <v>27960.87</v>
      </c>
      <c r="EX41" s="209">
        <f t="shared" si="26"/>
        <v>18198.419999999998</v>
      </c>
    </row>
    <row r="42" spans="1:179" ht="12.75" customHeight="1" x14ac:dyDescent="0.2">
      <c r="A42" s="45" t="s">
        <v>71</v>
      </c>
      <c r="B42" s="148" t="s">
        <v>59</v>
      </c>
      <c r="C42" s="149" t="s">
        <v>17</v>
      </c>
      <c r="D42" s="150" t="s">
        <v>619</v>
      </c>
      <c r="E42" s="149" t="s">
        <v>12</v>
      </c>
      <c r="F42" s="11">
        <v>9</v>
      </c>
      <c r="G42" s="11">
        <v>3</v>
      </c>
      <c r="H42" s="11">
        <v>108</v>
      </c>
      <c r="I42" s="11">
        <v>110</v>
      </c>
      <c r="J42" s="11">
        <v>270</v>
      </c>
      <c r="K42" s="11">
        <v>283</v>
      </c>
      <c r="L42" s="83">
        <v>3</v>
      </c>
      <c r="M42" s="84">
        <v>647</v>
      </c>
      <c r="N42" s="84">
        <v>808</v>
      </c>
      <c r="O42" s="84">
        <v>0</v>
      </c>
      <c r="P42" s="137">
        <v>647</v>
      </c>
      <c r="Q42" s="137">
        <v>808</v>
      </c>
      <c r="R42" s="137">
        <v>0</v>
      </c>
      <c r="S42" s="133">
        <f t="shared" si="27"/>
        <v>1455</v>
      </c>
      <c r="T42" s="134">
        <v>647</v>
      </c>
      <c r="U42" s="130">
        <v>2.44</v>
      </c>
      <c r="V42" s="131">
        <v>1.9800000000000002E-2</v>
      </c>
      <c r="W42" s="131">
        <v>1.9800000000000002E-2</v>
      </c>
      <c r="X42" s="132">
        <v>1.32E-3</v>
      </c>
      <c r="Y42" s="131">
        <v>3.9699999999999999E-2</v>
      </c>
      <c r="Z42" s="29">
        <v>5792.43</v>
      </c>
      <c r="AA42" s="34">
        <v>14.9</v>
      </c>
      <c r="AB42" s="9">
        <f t="shared" si="32"/>
        <v>5807.33</v>
      </c>
      <c r="AC42" s="9">
        <f t="shared" si="39"/>
        <v>36760.400000000001</v>
      </c>
      <c r="AD42" s="9">
        <v>2.4500000000000002</v>
      </c>
      <c r="AE42" s="9">
        <v>3.56</v>
      </c>
      <c r="AF42" s="21">
        <f>2.49-AJ42</f>
        <v>2.36</v>
      </c>
      <c r="AG42" s="18">
        <f>0.62-AQ42</f>
        <v>0.56000000000000005</v>
      </c>
      <c r="AH42" s="9">
        <v>2.78</v>
      </c>
      <c r="AI42" s="13">
        <v>776</v>
      </c>
      <c r="AJ42" s="21">
        <f t="shared" si="0"/>
        <v>0.13</v>
      </c>
      <c r="AK42" s="9">
        <v>2.23</v>
      </c>
      <c r="AL42" s="9">
        <v>0.19</v>
      </c>
      <c r="AM42" s="9">
        <v>0.1</v>
      </c>
      <c r="AN42" s="13"/>
      <c r="AO42" s="13">
        <v>772.2</v>
      </c>
      <c r="AP42" s="13">
        <f t="shared" si="28"/>
        <v>5.58</v>
      </c>
      <c r="AQ42" s="18">
        <f t="shared" si="1"/>
        <v>0.06</v>
      </c>
      <c r="AR42" s="9">
        <v>0.56999999999999995</v>
      </c>
      <c r="AS42" s="9">
        <v>0.24</v>
      </c>
      <c r="AT42" s="9">
        <v>7.0000000000000007E-2</v>
      </c>
      <c r="AU42" s="9">
        <v>4.8600000000000003</v>
      </c>
      <c r="AV42" s="9">
        <v>0.16</v>
      </c>
      <c r="AW42" s="9">
        <f>1.37+0.43+0.26</f>
        <v>2.06</v>
      </c>
      <c r="AX42" s="9">
        <f>1.93+0.58</f>
        <v>2.5099999999999998</v>
      </c>
      <c r="AY42" s="151">
        <f t="shared" si="29"/>
        <v>24.89</v>
      </c>
      <c r="AZ42" s="152">
        <v>5777.9</v>
      </c>
      <c r="BA42" s="152">
        <v>14.9</v>
      </c>
      <c r="BB42" s="152">
        <f t="shared" si="30"/>
        <v>5792.8</v>
      </c>
      <c r="BC42" s="152">
        <v>24.89</v>
      </c>
      <c r="BD42" s="13">
        <f t="shared" si="31"/>
        <v>0</v>
      </c>
      <c r="BE42" s="9">
        <f t="shared" si="2"/>
        <v>144544.44</v>
      </c>
      <c r="BF42" s="9">
        <v>24.89</v>
      </c>
      <c r="BG42" s="10">
        <v>44409</v>
      </c>
      <c r="BH42" s="9">
        <f t="shared" si="3"/>
        <v>14227.96</v>
      </c>
      <c r="BI42" s="9">
        <f t="shared" si="4"/>
        <v>20674.09</v>
      </c>
      <c r="BJ42" s="9">
        <f t="shared" si="5"/>
        <v>13705.3</v>
      </c>
      <c r="BK42" s="9">
        <f t="shared" si="6"/>
        <v>3252.1</v>
      </c>
      <c r="BL42" s="9">
        <f t="shared" si="7"/>
        <v>16144.38</v>
      </c>
      <c r="BM42" s="9">
        <f t="shared" si="8"/>
        <v>754.95</v>
      </c>
      <c r="BN42" s="9">
        <f t="shared" si="9"/>
        <v>12950.35</v>
      </c>
      <c r="BO42" s="9">
        <f t="shared" si="10"/>
        <v>1103.3900000000001</v>
      </c>
      <c r="BP42" s="9">
        <f t="shared" si="11"/>
        <v>580.73</v>
      </c>
      <c r="BQ42" s="9">
        <f t="shared" si="12"/>
        <v>348.44</v>
      </c>
      <c r="BR42" s="9">
        <f t="shared" si="13"/>
        <v>3310.18</v>
      </c>
      <c r="BS42" s="9">
        <f t="shared" si="14"/>
        <v>1393.76</v>
      </c>
      <c r="BT42" s="9">
        <f t="shared" si="15"/>
        <v>406.51</v>
      </c>
      <c r="BU42" s="9">
        <f t="shared" si="16"/>
        <v>28223.62</v>
      </c>
      <c r="BV42" s="9">
        <f t="shared" si="17"/>
        <v>929.17</v>
      </c>
      <c r="BW42" s="9">
        <f t="shared" si="18"/>
        <v>11963.1</v>
      </c>
      <c r="BX42" s="9">
        <f t="shared" si="19"/>
        <v>14576.4</v>
      </c>
      <c r="BY42" s="17">
        <f t="shared" si="20"/>
        <v>144544.43</v>
      </c>
      <c r="BZ42" s="17">
        <v>2.35</v>
      </c>
      <c r="CA42" s="17">
        <v>0.06</v>
      </c>
      <c r="CB42" s="17">
        <v>0.38</v>
      </c>
      <c r="CC42" s="27">
        <v>0.06</v>
      </c>
      <c r="CD42" s="29">
        <v>6.33</v>
      </c>
      <c r="CE42" s="9">
        <v>21189.48</v>
      </c>
      <c r="CF42" s="9"/>
      <c r="CG42" s="9">
        <v>346.19</v>
      </c>
      <c r="CH42" s="9">
        <v>544.65</v>
      </c>
      <c r="CI42" s="9">
        <f t="shared" si="40"/>
        <v>3.65</v>
      </c>
      <c r="CJ42" s="9">
        <f t="shared" si="41"/>
        <v>0</v>
      </c>
      <c r="CK42" s="13">
        <f t="shared" si="42"/>
        <v>0.06</v>
      </c>
      <c r="CL42" s="13">
        <f t="shared" si="43"/>
        <v>0.09</v>
      </c>
      <c r="CM42" s="13">
        <v>144173.62</v>
      </c>
      <c r="CN42" s="13">
        <v>4865.59</v>
      </c>
      <c r="CO42" s="13">
        <v>0</v>
      </c>
      <c r="CP42" s="13">
        <v>0</v>
      </c>
      <c r="CQ42" s="13">
        <v>173.67</v>
      </c>
      <c r="CR42" s="13">
        <v>145859.04</v>
      </c>
      <c r="CS42" s="13">
        <v>10984.98</v>
      </c>
      <c r="CT42" s="13">
        <v>334.27</v>
      </c>
      <c r="CU42" s="13">
        <v>70.599999999999994</v>
      </c>
      <c r="CV42" s="13">
        <v>137.34</v>
      </c>
      <c r="CW42" s="202">
        <v>5060</v>
      </c>
      <c r="CX42" s="200">
        <v>2903</v>
      </c>
      <c r="CY42" s="202">
        <v>31557</v>
      </c>
      <c r="CZ42" s="202">
        <v>5100</v>
      </c>
      <c r="DA42" s="202">
        <v>3</v>
      </c>
      <c r="DB42" s="202"/>
      <c r="DC42" s="202"/>
      <c r="DD42" s="461"/>
      <c r="DE42" s="256"/>
      <c r="DF42" s="204">
        <v>776</v>
      </c>
      <c r="DG42" s="204"/>
      <c r="DH42" s="204"/>
      <c r="DI42" s="204"/>
      <c r="DJ42" s="202"/>
      <c r="DK42" s="202">
        <v>12900</v>
      </c>
      <c r="DL42" s="202"/>
      <c r="DM42" s="202"/>
      <c r="DN42" s="202"/>
      <c r="DO42" s="202"/>
      <c r="DP42" s="202"/>
      <c r="DQ42" s="202"/>
      <c r="DR42" s="202"/>
      <c r="DS42" s="202"/>
      <c r="DT42" s="254"/>
      <c r="DU42" s="254"/>
      <c r="DV42" s="202">
        <v>33710</v>
      </c>
      <c r="DW42" s="202"/>
      <c r="DX42" s="202"/>
      <c r="DY42" s="107">
        <v>1365</v>
      </c>
      <c r="DZ42" s="107"/>
      <c r="EA42" s="202">
        <v>3748.24</v>
      </c>
      <c r="EB42" s="202"/>
      <c r="EC42" s="202"/>
      <c r="ED42" s="202"/>
      <c r="EE42" s="202"/>
      <c r="EF42" s="229"/>
      <c r="EG42" s="202"/>
      <c r="EH42" s="202"/>
      <c r="EI42" s="202"/>
      <c r="EJ42" s="202"/>
      <c r="EK42" s="202">
        <v>4891.0200000000004</v>
      </c>
      <c r="EL42" s="202">
        <v>0</v>
      </c>
      <c r="EM42" s="202">
        <v>0</v>
      </c>
      <c r="EN42" s="202">
        <v>181.24</v>
      </c>
      <c r="EO42" s="202">
        <v>4891.0200000000004</v>
      </c>
      <c r="EP42" s="202"/>
      <c r="EQ42" s="202">
        <v>0</v>
      </c>
      <c r="ER42" s="202">
        <v>181.24</v>
      </c>
      <c r="ES42" s="202">
        <v>-346.18</v>
      </c>
      <c r="ET42" s="202">
        <v>-182.16</v>
      </c>
      <c r="EU42" s="202"/>
      <c r="EV42" s="214">
        <v>-10.73</v>
      </c>
      <c r="EW42" s="240">
        <f t="shared" si="25"/>
        <v>12701.56</v>
      </c>
      <c r="EX42" s="209">
        <f t="shared" si="26"/>
        <v>8266.85</v>
      </c>
    </row>
    <row r="43" spans="1:179" ht="12.75" customHeight="1" x14ac:dyDescent="0.2">
      <c r="A43" s="45" t="s">
        <v>72</v>
      </c>
      <c r="B43" s="148" t="s">
        <v>59</v>
      </c>
      <c r="C43" s="149" t="s">
        <v>21</v>
      </c>
      <c r="D43" s="150" t="s">
        <v>402</v>
      </c>
      <c r="E43" s="149" t="s">
        <v>12</v>
      </c>
      <c r="F43" s="11">
        <v>9</v>
      </c>
      <c r="G43" s="11">
        <v>4</v>
      </c>
      <c r="H43" s="11">
        <v>144</v>
      </c>
      <c r="I43" s="11">
        <v>144</v>
      </c>
      <c r="J43" s="11">
        <v>316</v>
      </c>
      <c r="K43" s="11">
        <v>376</v>
      </c>
      <c r="L43" s="11">
        <v>4</v>
      </c>
      <c r="M43" s="84">
        <v>864</v>
      </c>
      <c r="N43" s="84">
        <v>1076</v>
      </c>
      <c r="O43" s="84">
        <v>0</v>
      </c>
      <c r="P43" s="133">
        <v>1006.4</v>
      </c>
      <c r="Q43" s="133">
        <v>903</v>
      </c>
      <c r="R43" s="133">
        <v>0</v>
      </c>
      <c r="S43" s="133">
        <f t="shared" si="27"/>
        <v>1909.4</v>
      </c>
      <c r="T43" s="134">
        <v>1006.4</v>
      </c>
      <c r="U43" s="130">
        <v>2.44</v>
      </c>
      <c r="V43" s="91">
        <v>1.9800000000000002E-2</v>
      </c>
      <c r="W43" s="91">
        <v>1.9800000000000002E-2</v>
      </c>
      <c r="X43" s="132">
        <v>1.32E-3</v>
      </c>
      <c r="Y43" s="91">
        <v>3.9699999999999999E-2</v>
      </c>
      <c r="Z43" s="29">
        <v>7753.96</v>
      </c>
      <c r="AA43" s="34"/>
      <c r="AB43" s="9">
        <f t="shared" si="32"/>
        <v>7753.96</v>
      </c>
      <c r="AC43" s="9">
        <f t="shared" si="39"/>
        <v>49082.57</v>
      </c>
      <c r="AD43" s="9">
        <v>1.72</v>
      </c>
      <c r="AE43" s="9">
        <v>2.71</v>
      </c>
      <c r="AF43" s="21">
        <f>1.78-AJ43</f>
        <v>1.65</v>
      </c>
      <c r="AG43" s="18">
        <f>0.44-AQ43</f>
        <v>0.39</v>
      </c>
      <c r="AH43" s="9">
        <v>2</v>
      </c>
      <c r="AI43" s="43">
        <v>1033</v>
      </c>
      <c r="AJ43" s="21">
        <f t="shared" si="0"/>
        <v>0.13</v>
      </c>
      <c r="AK43" s="9">
        <v>1.6</v>
      </c>
      <c r="AL43" s="9">
        <v>0.14000000000000001</v>
      </c>
      <c r="AM43" s="9">
        <v>0.05</v>
      </c>
      <c r="AN43" s="13"/>
      <c r="AO43" s="13">
        <v>844.8</v>
      </c>
      <c r="AP43" s="13">
        <f t="shared" si="28"/>
        <v>5.58</v>
      </c>
      <c r="AQ43" s="18">
        <f t="shared" si="1"/>
        <v>0.05</v>
      </c>
      <c r="AR43" s="9">
        <v>0.41</v>
      </c>
      <c r="AS43" s="9">
        <v>0.13</v>
      </c>
      <c r="AT43" s="9">
        <v>0.05</v>
      </c>
      <c r="AU43" s="9">
        <v>3.42</v>
      </c>
      <c r="AV43" s="9">
        <v>0.12</v>
      </c>
      <c r="AW43" s="9">
        <f>0.99+0.19+0.43</f>
        <v>1.61</v>
      </c>
      <c r="AX43" s="9">
        <f>1.39+0.41</f>
        <v>1.8</v>
      </c>
      <c r="AY43" s="151">
        <f t="shared" si="29"/>
        <v>17.98</v>
      </c>
      <c r="AZ43" s="152">
        <v>7734.07</v>
      </c>
      <c r="BA43" s="152">
        <v>0</v>
      </c>
      <c r="BB43" s="152">
        <f t="shared" si="30"/>
        <v>7734.07</v>
      </c>
      <c r="BC43" s="152">
        <v>17.98</v>
      </c>
      <c r="BD43" s="13">
        <f t="shared" si="31"/>
        <v>0</v>
      </c>
      <c r="BE43" s="9">
        <f t="shared" si="2"/>
        <v>139416.20000000001</v>
      </c>
      <c r="BF43" s="13">
        <v>17.98</v>
      </c>
      <c r="BG43" s="10">
        <v>44409</v>
      </c>
      <c r="BH43" s="9">
        <f t="shared" si="3"/>
        <v>13336.81</v>
      </c>
      <c r="BI43" s="9">
        <f t="shared" si="4"/>
        <v>21013.23</v>
      </c>
      <c r="BJ43" s="9">
        <f t="shared" si="5"/>
        <v>12794.03</v>
      </c>
      <c r="BK43" s="9">
        <f t="shared" si="6"/>
        <v>3024.04</v>
      </c>
      <c r="BL43" s="9">
        <f t="shared" si="7"/>
        <v>15507.92</v>
      </c>
      <c r="BM43" s="9">
        <f t="shared" si="8"/>
        <v>1008.01</v>
      </c>
      <c r="BN43" s="9">
        <f t="shared" si="9"/>
        <v>12406.34</v>
      </c>
      <c r="BO43" s="9">
        <f t="shared" si="10"/>
        <v>1085.55</v>
      </c>
      <c r="BP43" s="9">
        <f t="shared" si="11"/>
        <v>387.7</v>
      </c>
      <c r="BQ43" s="9">
        <f t="shared" si="12"/>
        <v>387.7</v>
      </c>
      <c r="BR43" s="9">
        <f t="shared" si="13"/>
        <v>3179.12</v>
      </c>
      <c r="BS43" s="9">
        <f t="shared" si="14"/>
        <v>1008.01</v>
      </c>
      <c r="BT43" s="9">
        <f t="shared" si="15"/>
        <v>387.7</v>
      </c>
      <c r="BU43" s="9">
        <f t="shared" si="16"/>
        <v>26518.54</v>
      </c>
      <c r="BV43" s="9">
        <f t="shared" si="17"/>
        <v>930.48</v>
      </c>
      <c r="BW43" s="9">
        <f t="shared" si="18"/>
        <v>12483.88</v>
      </c>
      <c r="BX43" s="9">
        <f t="shared" si="19"/>
        <v>13957.13</v>
      </c>
      <c r="BY43" s="17">
        <f t="shared" si="20"/>
        <v>139416.19</v>
      </c>
      <c r="BZ43" s="17">
        <v>2.2999999999999998</v>
      </c>
      <c r="CA43" s="17">
        <v>7.0000000000000007E-2</v>
      </c>
      <c r="CB43" s="17">
        <v>0.44</v>
      </c>
      <c r="CC43" s="27">
        <v>7.0000000000000007E-2</v>
      </c>
      <c r="CD43" s="29">
        <v>6.33</v>
      </c>
      <c r="CE43" s="9">
        <v>11188.89</v>
      </c>
      <c r="CF43" s="9"/>
      <c r="CG43" s="9">
        <v>0</v>
      </c>
      <c r="CH43" s="9">
        <v>281.92</v>
      </c>
      <c r="CI43" s="9">
        <f t="shared" si="40"/>
        <v>1.44</v>
      </c>
      <c r="CJ43" s="9">
        <f t="shared" si="41"/>
        <v>0</v>
      </c>
      <c r="CK43" s="13">
        <f t="shared" si="42"/>
        <v>0</v>
      </c>
      <c r="CL43" s="13">
        <f t="shared" si="43"/>
        <v>0.04</v>
      </c>
      <c r="CM43" s="13">
        <v>139439.67999999999</v>
      </c>
      <c r="CN43" s="13">
        <v>7137.74</v>
      </c>
      <c r="CO43" s="13">
        <v>0.56999999999999995</v>
      </c>
      <c r="CP43" s="13">
        <v>0.09</v>
      </c>
      <c r="CQ43" s="13">
        <v>310.36</v>
      </c>
      <c r="CR43" s="13">
        <v>149848.29999999999</v>
      </c>
      <c r="CS43" s="13">
        <v>15749.22</v>
      </c>
      <c r="CT43" s="13">
        <v>535.22</v>
      </c>
      <c r="CU43" s="13">
        <v>85.16</v>
      </c>
      <c r="CV43" s="13">
        <v>351.75</v>
      </c>
      <c r="CW43" s="202">
        <v>6756</v>
      </c>
      <c r="CX43" s="200">
        <v>3876</v>
      </c>
      <c r="CY43" s="202"/>
      <c r="CZ43" s="202">
        <v>6800</v>
      </c>
      <c r="DA43" s="202">
        <v>4</v>
      </c>
      <c r="DB43" s="202"/>
      <c r="DC43" s="202"/>
      <c r="DD43" s="461"/>
      <c r="DE43" s="256"/>
      <c r="DF43" s="202"/>
      <c r="DG43" s="202"/>
      <c r="DH43" s="202"/>
      <c r="DI43" s="204">
        <v>1033</v>
      </c>
      <c r="DJ43" s="202">
        <v>17200</v>
      </c>
      <c r="DK43" s="202"/>
      <c r="DL43" s="202"/>
      <c r="DM43" s="202">
        <v>30790</v>
      </c>
      <c r="DN43" s="202"/>
      <c r="DO43" s="202"/>
      <c r="DP43" s="202"/>
      <c r="DQ43" s="202"/>
      <c r="DR43" s="202"/>
      <c r="DS43" s="202"/>
      <c r="DT43" s="254"/>
      <c r="DU43" s="254"/>
      <c r="DV43" s="202">
        <v>23227</v>
      </c>
      <c r="DW43" s="202"/>
      <c r="DX43" s="202"/>
      <c r="DY43" s="107">
        <v>1365</v>
      </c>
      <c r="DZ43" s="107"/>
      <c r="EA43" s="202"/>
      <c r="EB43" s="202"/>
      <c r="EC43" s="202"/>
      <c r="ED43" s="202"/>
      <c r="EE43" s="202"/>
      <c r="EF43" s="229"/>
      <c r="EG43" s="202"/>
      <c r="EH43" s="202"/>
      <c r="EI43" s="202"/>
      <c r="EJ43" s="202"/>
      <c r="EK43" s="202">
        <v>7143.22</v>
      </c>
      <c r="EL43" s="202">
        <v>0</v>
      </c>
      <c r="EM43" s="202">
        <v>0</v>
      </c>
      <c r="EN43" s="202">
        <v>281.92</v>
      </c>
      <c r="EO43" s="202">
        <v>7143.22</v>
      </c>
      <c r="EP43" s="202"/>
      <c r="EQ43" s="202">
        <v>0</v>
      </c>
      <c r="ER43" s="202">
        <v>281.92</v>
      </c>
      <c r="ES43" s="202"/>
      <c r="ET43" s="202"/>
      <c r="EU43" s="202"/>
      <c r="EV43" s="214">
        <v>-17.88</v>
      </c>
      <c r="EW43" s="240">
        <f t="shared" si="25"/>
        <v>16959.150000000001</v>
      </c>
      <c r="EX43" s="209">
        <f t="shared" si="26"/>
        <v>11037.92</v>
      </c>
    </row>
    <row r="44" spans="1:179" ht="12.75" customHeight="1" x14ac:dyDescent="0.2">
      <c r="A44" s="45" t="s">
        <v>73</v>
      </c>
      <c r="B44" s="148" t="s">
        <v>59</v>
      </c>
      <c r="C44" s="149" t="s">
        <v>62</v>
      </c>
      <c r="D44" s="150" t="s">
        <v>403</v>
      </c>
      <c r="E44" s="149" t="s">
        <v>12</v>
      </c>
      <c r="F44" s="11">
        <v>9</v>
      </c>
      <c r="G44" s="11">
        <v>4</v>
      </c>
      <c r="H44" s="11">
        <v>144</v>
      </c>
      <c r="I44" s="11">
        <v>144</v>
      </c>
      <c r="J44" s="11">
        <v>339</v>
      </c>
      <c r="K44" s="11">
        <v>376</v>
      </c>
      <c r="L44" s="83">
        <v>4</v>
      </c>
      <c r="M44" s="84">
        <v>887</v>
      </c>
      <c r="N44" s="84">
        <v>1087</v>
      </c>
      <c r="O44" s="84">
        <v>0</v>
      </c>
      <c r="P44" s="133">
        <v>964.6</v>
      </c>
      <c r="Q44" s="135">
        <v>1087</v>
      </c>
      <c r="R44" s="133">
        <v>0</v>
      </c>
      <c r="S44" s="133">
        <f t="shared" si="27"/>
        <v>2051.6</v>
      </c>
      <c r="T44" s="134">
        <v>2033.6</v>
      </c>
      <c r="U44" s="130">
        <v>2.72</v>
      </c>
      <c r="V44" s="91">
        <v>1.9800000000000002E-2</v>
      </c>
      <c r="W44" s="91">
        <v>1.9800000000000002E-2</v>
      </c>
      <c r="X44" s="132">
        <v>1.32E-3</v>
      </c>
      <c r="Y44" s="91">
        <v>3.9699999999999999E-2</v>
      </c>
      <c r="Z44" s="29">
        <v>7608.05</v>
      </c>
      <c r="AA44" s="34">
        <v>103.3</v>
      </c>
      <c r="AB44" s="9">
        <f t="shared" si="32"/>
        <v>7711.35</v>
      </c>
      <c r="AC44" s="9">
        <f t="shared" si="39"/>
        <v>48812.85</v>
      </c>
      <c r="AD44" s="9">
        <v>2.46</v>
      </c>
      <c r="AE44" s="9">
        <v>4.3899999999999997</v>
      </c>
      <c r="AF44" s="21">
        <f>2.48-AJ44</f>
        <v>2.34</v>
      </c>
      <c r="AG44" s="18">
        <f>0.61-AQ44</f>
        <v>0.56000000000000005</v>
      </c>
      <c r="AH44" s="9">
        <v>2.78</v>
      </c>
      <c r="AI44" s="43">
        <v>1044</v>
      </c>
      <c r="AJ44" s="21">
        <f t="shared" si="0"/>
        <v>0.14000000000000001</v>
      </c>
      <c r="AK44" s="9">
        <v>2.2599999999999998</v>
      </c>
      <c r="AL44" s="9">
        <v>0.2</v>
      </c>
      <c r="AM44" s="9">
        <v>0.08</v>
      </c>
      <c r="AN44" s="13"/>
      <c r="AO44" s="13">
        <v>844.8</v>
      </c>
      <c r="AP44" s="13">
        <f t="shared" si="28"/>
        <v>5.58</v>
      </c>
      <c r="AQ44" s="18">
        <f t="shared" si="1"/>
        <v>0.05</v>
      </c>
      <c r="AR44" s="9">
        <v>0.56999999999999995</v>
      </c>
      <c r="AS44" s="9">
        <v>0.36</v>
      </c>
      <c r="AT44" s="9">
        <v>7.0000000000000007E-2</v>
      </c>
      <c r="AU44" s="9">
        <v>3.89</v>
      </c>
      <c r="AV44" s="9">
        <v>0.17</v>
      </c>
      <c r="AW44" s="9">
        <f>1.46+0.34+0.26</f>
        <v>2.06</v>
      </c>
      <c r="AX44" s="9">
        <f>2.05+0.46</f>
        <v>2.5099999999999998</v>
      </c>
      <c r="AY44" s="151">
        <f t="shared" si="29"/>
        <v>24.89</v>
      </c>
      <c r="AZ44" s="152">
        <v>7588.5</v>
      </c>
      <c r="BA44" s="152">
        <v>103.3</v>
      </c>
      <c r="BB44" s="152">
        <f t="shared" si="30"/>
        <v>7691.8</v>
      </c>
      <c r="BC44" s="152">
        <v>24.89</v>
      </c>
      <c r="BD44" s="13">
        <f t="shared" si="31"/>
        <v>0</v>
      </c>
      <c r="BE44" s="9">
        <f t="shared" si="2"/>
        <v>191935.5</v>
      </c>
      <c r="BF44" s="9">
        <v>24.89</v>
      </c>
      <c r="BG44" s="10">
        <v>44409</v>
      </c>
      <c r="BH44" s="9">
        <f t="shared" si="3"/>
        <v>18969.919999999998</v>
      </c>
      <c r="BI44" s="9">
        <f t="shared" si="4"/>
        <v>33852.83</v>
      </c>
      <c r="BJ44" s="9">
        <f t="shared" si="5"/>
        <v>18044.560000000001</v>
      </c>
      <c r="BK44" s="9">
        <f t="shared" si="6"/>
        <v>4318.3599999999997</v>
      </c>
      <c r="BL44" s="9">
        <f t="shared" si="7"/>
        <v>21437.55</v>
      </c>
      <c r="BM44" s="9">
        <f t="shared" si="8"/>
        <v>1079.5899999999999</v>
      </c>
      <c r="BN44" s="9">
        <f t="shared" si="9"/>
        <v>17427.650000000001</v>
      </c>
      <c r="BO44" s="9">
        <f t="shared" si="10"/>
        <v>1542.27</v>
      </c>
      <c r="BP44" s="9">
        <f t="shared" si="11"/>
        <v>616.91</v>
      </c>
      <c r="BQ44" s="9">
        <f t="shared" si="12"/>
        <v>385.57</v>
      </c>
      <c r="BR44" s="9">
        <f t="shared" si="13"/>
        <v>4395.47</v>
      </c>
      <c r="BS44" s="9">
        <f t="shared" si="14"/>
        <v>2776.09</v>
      </c>
      <c r="BT44" s="9">
        <f t="shared" si="15"/>
        <v>539.79</v>
      </c>
      <c r="BU44" s="9">
        <f t="shared" si="16"/>
        <v>29997.15</v>
      </c>
      <c r="BV44" s="9">
        <f t="shared" si="17"/>
        <v>1310.93</v>
      </c>
      <c r="BW44" s="9">
        <f t="shared" si="18"/>
        <v>15885.38</v>
      </c>
      <c r="BX44" s="9">
        <f t="shared" si="19"/>
        <v>19355.490000000002</v>
      </c>
      <c r="BY44" s="17">
        <f t="shared" si="20"/>
        <v>191935.51</v>
      </c>
      <c r="BZ44" s="17">
        <v>2.8</v>
      </c>
      <c r="CA44" s="17">
        <v>7.0000000000000007E-2</v>
      </c>
      <c r="CB44" s="17">
        <v>0.43</v>
      </c>
      <c r="CC44" s="27">
        <v>7.0000000000000007E-2</v>
      </c>
      <c r="CD44" s="29">
        <v>6.33</v>
      </c>
      <c r="CE44" s="9">
        <v>27551.26</v>
      </c>
      <c r="CF44" s="9"/>
      <c r="CG44" s="9">
        <v>0</v>
      </c>
      <c r="CH44" s="9">
        <v>270.20999999999998</v>
      </c>
      <c r="CI44" s="9">
        <f t="shared" si="40"/>
        <v>3.57</v>
      </c>
      <c r="CJ44" s="9">
        <f t="shared" si="41"/>
        <v>0</v>
      </c>
      <c r="CK44" s="13">
        <f t="shared" si="42"/>
        <v>0</v>
      </c>
      <c r="CL44" s="13">
        <f t="shared" si="43"/>
        <v>0.04</v>
      </c>
      <c r="CM44" s="13">
        <v>189369.38</v>
      </c>
      <c r="CN44" s="13">
        <v>15368.67</v>
      </c>
      <c r="CO44" s="13">
        <v>0</v>
      </c>
      <c r="CP44" s="13">
        <v>0</v>
      </c>
      <c r="CQ44" s="13">
        <v>304.25</v>
      </c>
      <c r="CR44" s="13">
        <v>206781.12</v>
      </c>
      <c r="CS44" s="13">
        <v>19462.59</v>
      </c>
      <c r="CT44" s="13">
        <v>7568.47</v>
      </c>
      <c r="CU44" s="13">
        <v>768.29</v>
      </c>
      <c r="CV44" s="13">
        <v>722.75</v>
      </c>
      <c r="CW44" s="202">
        <v>6716</v>
      </c>
      <c r="CX44" s="200">
        <v>3853</v>
      </c>
      <c r="CY44" s="202"/>
      <c r="CZ44" s="202">
        <v>8500</v>
      </c>
      <c r="DA44" s="202">
        <v>5</v>
      </c>
      <c r="DB44" s="202"/>
      <c r="DC44" s="202"/>
      <c r="DD44" s="461"/>
      <c r="DE44" s="256"/>
      <c r="DF44" s="202"/>
      <c r="DG44" s="202"/>
      <c r="DH44" s="202"/>
      <c r="DI44" s="204">
        <v>1044</v>
      </c>
      <c r="DJ44" s="202">
        <v>17200</v>
      </c>
      <c r="DK44" s="202"/>
      <c r="DL44" s="202"/>
      <c r="DM44" s="202">
        <v>47055</v>
      </c>
      <c r="DN44" s="202"/>
      <c r="DO44" s="202"/>
      <c r="DP44" s="202"/>
      <c r="DQ44" s="202"/>
      <c r="DR44" s="202"/>
      <c r="DS44" s="202"/>
      <c r="DT44" s="254"/>
      <c r="DU44" s="254"/>
      <c r="DV44" s="202">
        <v>44184</v>
      </c>
      <c r="DW44" s="202"/>
      <c r="DX44" s="202"/>
      <c r="DY44" s="107">
        <v>2730</v>
      </c>
      <c r="DZ44" s="107">
        <v>577</v>
      </c>
      <c r="EA44" s="202"/>
      <c r="EB44" s="202"/>
      <c r="EC44" s="202"/>
      <c r="ED44" s="202"/>
      <c r="EE44" s="202"/>
      <c r="EF44" s="229"/>
      <c r="EG44" s="202"/>
      <c r="EH44" s="202"/>
      <c r="EI44" s="202"/>
      <c r="EJ44" s="202"/>
      <c r="EK44" s="202">
        <v>15575.88</v>
      </c>
      <c r="EL44" s="202">
        <v>0</v>
      </c>
      <c r="EM44" s="202">
        <v>0</v>
      </c>
      <c r="EN44" s="202">
        <v>270.20999999999998</v>
      </c>
      <c r="EO44" s="202">
        <v>15575.88</v>
      </c>
      <c r="EP44" s="202"/>
      <c r="EQ44" s="202">
        <v>0</v>
      </c>
      <c r="ER44" s="202">
        <v>270.20999999999998</v>
      </c>
      <c r="ES44" s="202"/>
      <c r="ET44" s="202"/>
      <c r="EU44" s="202"/>
      <c r="EV44" s="214">
        <f>-17.05+19197.76</f>
        <v>19180.71</v>
      </c>
      <c r="EW44" s="240">
        <f t="shared" si="25"/>
        <v>16865.96</v>
      </c>
      <c r="EX44" s="209">
        <f t="shared" si="26"/>
        <v>10977.26</v>
      </c>
    </row>
    <row r="45" spans="1:179" ht="12.75" customHeight="1" x14ac:dyDescent="0.2">
      <c r="A45" s="45" t="s">
        <v>75</v>
      </c>
      <c r="B45" s="156" t="s">
        <v>59</v>
      </c>
      <c r="C45" s="157" t="s">
        <v>64</v>
      </c>
      <c r="D45" s="158" t="s">
        <v>404</v>
      </c>
      <c r="E45" s="157" t="s">
        <v>12</v>
      </c>
      <c r="F45" s="11">
        <v>9</v>
      </c>
      <c r="G45" s="11">
        <v>7</v>
      </c>
      <c r="H45" s="11">
        <v>252</v>
      </c>
      <c r="I45" s="11">
        <v>254</v>
      </c>
      <c r="J45" s="11">
        <v>532</v>
      </c>
      <c r="K45" s="11">
        <v>631</v>
      </c>
      <c r="L45" s="83">
        <v>7</v>
      </c>
      <c r="M45" s="84">
        <v>1511</v>
      </c>
      <c r="N45" s="84">
        <v>1887</v>
      </c>
      <c r="O45" s="84">
        <v>0</v>
      </c>
      <c r="P45" s="133">
        <f>760.9+744.8+16.1+16.8+314+15.3+119.8+45.9</f>
        <v>2033.6</v>
      </c>
      <c r="Q45" s="135">
        <v>1504.7</v>
      </c>
      <c r="R45" s="133">
        <v>0</v>
      </c>
      <c r="S45" s="133">
        <f t="shared" si="27"/>
        <v>3538.3</v>
      </c>
      <c r="T45" s="134">
        <v>263.60000000000002</v>
      </c>
      <c r="U45" s="130">
        <v>2.44</v>
      </c>
      <c r="V45" s="91">
        <v>1.9800000000000002E-2</v>
      </c>
      <c r="W45" s="91">
        <v>1.9800000000000002E-2</v>
      </c>
      <c r="X45" s="132">
        <v>1.32E-3</v>
      </c>
      <c r="Y45" s="91">
        <v>3.9699999999999999E-2</v>
      </c>
      <c r="Z45" s="29">
        <v>13648.5</v>
      </c>
      <c r="AA45" s="34">
        <v>14</v>
      </c>
      <c r="AB45" s="9">
        <f t="shared" si="32"/>
        <v>13662.5</v>
      </c>
      <c r="AC45" s="9">
        <f t="shared" si="39"/>
        <v>86483.63</v>
      </c>
      <c r="AD45" s="9">
        <v>2.34</v>
      </c>
      <c r="AE45" s="9">
        <v>5.41</v>
      </c>
      <c r="AF45" s="21">
        <f>2.47-AJ45</f>
        <v>2.34</v>
      </c>
      <c r="AG45" s="18">
        <f>0.62-AQ45</f>
        <v>0.56999999999999995</v>
      </c>
      <c r="AH45" s="9">
        <v>2.78</v>
      </c>
      <c r="AI45" s="13">
        <v>1811</v>
      </c>
      <c r="AJ45" s="21">
        <f t="shared" si="0"/>
        <v>0.13</v>
      </c>
      <c r="AK45" s="9">
        <v>2.21</v>
      </c>
      <c r="AL45" s="9">
        <v>0.19</v>
      </c>
      <c r="AM45" s="9">
        <v>0.04</v>
      </c>
      <c r="AN45" s="13"/>
      <c r="AO45" s="13">
        <v>1478.4</v>
      </c>
      <c r="AP45" s="13">
        <f t="shared" si="28"/>
        <v>5.58</v>
      </c>
      <c r="AQ45" s="18">
        <f t="shared" si="1"/>
        <v>0.05</v>
      </c>
      <c r="AR45" s="9">
        <v>0.56999999999999995</v>
      </c>
      <c r="AS45" s="9">
        <v>0.1</v>
      </c>
      <c r="AT45" s="9">
        <v>7.0000000000000007E-2</v>
      </c>
      <c r="AU45" s="9">
        <v>3.39</v>
      </c>
      <c r="AV45" s="9">
        <v>0.18</v>
      </c>
      <c r="AW45" s="9">
        <f>1.51+0.3+0.26</f>
        <v>2.0699999999999998</v>
      </c>
      <c r="AX45" s="9">
        <f>2.1+0.41</f>
        <v>2.5099999999999998</v>
      </c>
      <c r="AY45" s="159">
        <f t="shared" si="29"/>
        <v>24.95</v>
      </c>
      <c r="AZ45" s="160">
        <v>13579.3</v>
      </c>
      <c r="BA45" s="160">
        <v>14</v>
      </c>
      <c r="BB45" s="160">
        <f t="shared" si="30"/>
        <v>13593.3</v>
      </c>
      <c r="BC45" s="160">
        <v>24.95</v>
      </c>
      <c r="BD45" s="13">
        <f t="shared" si="31"/>
        <v>0</v>
      </c>
      <c r="BE45" s="9">
        <f t="shared" si="2"/>
        <v>340879.38</v>
      </c>
      <c r="BF45" s="9">
        <v>24.95</v>
      </c>
      <c r="BG45" s="10">
        <v>44409</v>
      </c>
      <c r="BH45" s="9">
        <f t="shared" si="3"/>
        <v>31970.25</v>
      </c>
      <c r="BI45" s="9">
        <f t="shared" si="4"/>
        <v>73914.13</v>
      </c>
      <c r="BJ45" s="9">
        <f t="shared" si="5"/>
        <v>31970.25</v>
      </c>
      <c r="BK45" s="9">
        <f t="shared" si="6"/>
        <v>7787.63</v>
      </c>
      <c r="BL45" s="9">
        <f t="shared" si="7"/>
        <v>37981.75</v>
      </c>
      <c r="BM45" s="9">
        <f t="shared" si="8"/>
        <v>1776.13</v>
      </c>
      <c r="BN45" s="9">
        <f t="shared" si="9"/>
        <v>30194.13</v>
      </c>
      <c r="BO45" s="9">
        <f t="shared" si="10"/>
        <v>2595.88</v>
      </c>
      <c r="BP45" s="9">
        <f t="shared" si="11"/>
        <v>546.5</v>
      </c>
      <c r="BQ45" s="9">
        <f t="shared" si="12"/>
        <v>683.13</v>
      </c>
      <c r="BR45" s="9">
        <f t="shared" si="13"/>
        <v>7787.63</v>
      </c>
      <c r="BS45" s="9">
        <f t="shared" si="14"/>
        <v>1366.25</v>
      </c>
      <c r="BT45" s="9">
        <f t="shared" si="15"/>
        <v>956.38</v>
      </c>
      <c r="BU45" s="9">
        <f t="shared" si="16"/>
        <v>46315.88</v>
      </c>
      <c r="BV45" s="9">
        <f t="shared" si="17"/>
        <v>2459.25</v>
      </c>
      <c r="BW45" s="9">
        <f t="shared" si="18"/>
        <v>28281.38</v>
      </c>
      <c r="BX45" s="9">
        <f t="shared" si="19"/>
        <v>34292.879999999997</v>
      </c>
      <c r="BY45" s="17">
        <f t="shared" si="20"/>
        <v>340879.43</v>
      </c>
      <c r="BZ45" s="17">
        <v>2.44</v>
      </c>
      <c r="CA45" s="17">
        <v>0.08</v>
      </c>
      <c r="CB45" s="17">
        <v>0.5</v>
      </c>
      <c r="CC45" s="27">
        <v>0.08</v>
      </c>
      <c r="CD45" s="29">
        <v>6.33</v>
      </c>
      <c r="CE45" s="9">
        <v>35361.620000000003</v>
      </c>
      <c r="CF45" s="9"/>
      <c r="CG45" s="9">
        <v>6188.5</v>
      </c>
      <c r="CH45" s="9">
        <v>3852.01</v>
      </c>
      <c r="CI45" s="9">
        <f t="shared" si="40"/>
        <v>2.59</v>
      </c>
      <c r="CJ45" s="9">
        <f t="shared" si="41"/>
        <v>0</v>
      </c>
      <c r="CK45" s="13">
        <f t="shared" si="42"/>
        <v>0.45</v>
      </c>
      <c r="CL45" s="13">
        <f t="shared" si="43"/>
        <v>0.28000000000000003</v>
      </c>
      <c r="CM45" s="13">
        <v>340520.73</v>
      </c>
      <c r="CN45" s="13">
        <v>0</v>
      </c>
      <c r="CO45" s="13">
        <v>0</v>
      </c>
      <c r="CP45" s="13">
        <v>3958.23</v>
      </c>
      <c r="CQ45" s="13">
        <v>2593.42</v>
      </c>
      <c r="CR45" s="13">
        <v>338962.54</v>
      </c>
      <c r="CS45" s="13">
        <v>10394.27</v>
      </c>
      <c r="CT45" s="13">
        <v>1056.07</v>
      </c>
      <c r="CU45" s="13">
        <v>2102.6</v>
      </c>
      <c r="CV45" s="13">
        <v>1630.42</v>
      </c>
      <c r="CW45" s="202">
        <v>11909</v>
      </c>
      <c r="CX45" s="200">
        <v>6832</v>
      </c>
      <c r="CY45" s="202">
        <v>98616</v>
      </c>
      <c r="CZ45" s="202">
        <v>6800</v>
      </c>
      <c r="DA45" s="202">
        <v>4</v>
      </c>
      <c r="DB45" s="202"/>
      <c r="DC45" s="202"/>
      <c r="DD45" s="461"/>
      <c r="DE45" s="256"/>
      <c r="DF45" s="204">
        <v>1811</v>
      </c>
      <c r="DG45" s="204"/>
      <c r="DH45" s="204"/>
      <c r="DI45" s="204"/>
      <c r="DJ45" s="202"/>
      <c r="DK45" s="202">
        <v>30100</v>
      </c>
      <c r="DL45" s="202"/>
      <c r="DM45" s="202"/>
      <c r="DN45" s="202"/>
      <c r="DO45" s="202"/>
      <c r="DP45" s="202"/>
      <c r="DQ45" s="202"/>
      <c r="DR45" s="202"/>
      <c r="DS45" s="202"/>
      <c r="DT45" s="254"/>
      <c r="DU45" s="254"/>
      <c r="DV45" s="202">
        <v>78739</v>
      </c>
      <c r="DW45" s="202"/>
      <c r="DX45" s="202"/>
      <c r="DY45" s="107">
        <v>1365</v>
      </c>
      <c r="DZ45" s="107">
        <v>577</v>
      </c>
      <c r="EA45" s="202">
        <v>1778.64</v>
      </c>
      <c r="EB45" s="202"/>
      <c r="EC45" s="202"/>
      <c r="ED45" s="202"/>
      <c r="EE45" s="202"/>
      <c r="EF45" s="229"/>
      <c r="EG45" s="202"/>
      <c r="EH45" s="202"/>
      <c r="EI45" s="202"/>
      <c r="EJ45" s="202"/>
      <c r="EK45" s="202">
        <v>0</v>
      </c>
      <c r="EL45" s="202">
        <v>0</v>
      </c>
      <c r="EM45" s="202">
        <v>3999.55</v>
      </c>
      <c r="EN45" s="202">
        <v>2663.58</v>
      </c>
      <c r="EO45" s="202">
        <v>0</v>
      </c>
      <c r="EP45" s="202"/>
      <c r="EQ45" s="202">
        <v>3999.55</v>
      </c>
      <c r="ER45" s="202">
        <v>2663.58</v>
      </c>
      <c r="ES45" s="202"/>
      <c r="ET45" s="202"/>
      <c r="EU45" s="202"/>
      <c r="EV45" s="214">
        <v>-38.32</v>
      </c>
      <c r="EW45" s="240">
        <f t="shared" si="25"/>
        <v>29882.07</v>
      </c>
      <c r="EX45" s="209">
        <f t="shared" si="26"/>
        <v>19448.84</v>
      </c>
    </row>
    <row r="46" spans="1:179" ht="12.75" customHeight="1" x14ac:dyDescent="0.2">
      <c r="A46" s="45" t="s">
        <v>76</v>
      </c>
      <c r="B46" s="55" t="s">
        <v>66</v>
      </c>
      <c r="C46" s="56" t="s">
        <v>67</v>
      </c>
      <c r="D46" s="57" t="s">
        <v>621</v>
      </c>
      <c r="E46" s="56" t="s">
        <v>12</v>
      </c>
      <c r="F46" s="11">
        <v>5</v>
      </c>
      <c r="G46" s="11">
        <v>4</v>
      </c>
      <c r="H46" s="11">
        <v>70</v>
      </c>
      <c r="I46" s="11">
        <v>0</v>
      </c>
      <c r="J46" s="11">
        <v>104</v>
      </c>
      <c r="K46" s="11">
        <v>117</v>
      </c>
      <c r="L46" s="11" t="s">
        <v>746</v>
      </c>
      <c r="M46" s="84">
        <v>93.2</v>
      </c>
      <c r="N46" s="84">
        <v>743.6</v>
      </c>
      <c r="O46" s="84">
        <v>0</v>
      </c>
      <c r="P46" s="135">
        <v>275</v>
      </c>
      <c r="Q46" s="135">
        <v>573</v>
      </c>
      <c r="R46" s="133">
        <v>0</v>
      </c>
      <c r="S46" s="133">
        <f t="shared" si="27"/>
        <v>848</v>
      </c>
      <c r="T46" s="135">
        <v>392</v>
      </c>
      <c r="U46" s="130">
        <v>1.53</v>
      </c>
      <c r="V46" s="91">
        <v>1.1299999999999999E-2</v>
      </c>
      <c r="W46" s="91" t="s">
        <v>823</v>
      </c>
      <c r="X46" s="132" t="s">
        <v>823</v>
      </c>
      <c r="Y46" s="91">
        <v>1.1299999999999999E-2</v>
      </c>
      <c r="Z46" s="29">
        <v>2600.1999999999998</v>
      </c>
      <c r="AA46" s="34">
        <v>66.099999999999994</v>
      </c>
      <c r="AB46" s="9">
        <f t="shared" si="32"/>
        <v>2666.3</v>
      </c>
      <c r="AC46" s="9">
        <f t="shared" si="39"/>
        <v>16877.68</v>
      </c>
      <c r="AD46" s="9">
        <v>0.51</v>
      </c>
      <c r="AE46" s="9">
        <v>3.74</v>
      </c>
      <c r="AF46" s="21">
        <f>2.43-AJ46</f>
        <v>2.16</v>
      </c>
      <c r="AG46" s="18">
        <f>0.56-AQ46</f>
        <v>0.36</v>
      </c>
      <c r="AH46" s="9">
        <v>2.16</v>
      </c>
      <c r="AI46" s="13">
        <v>714</v>
      </c>
      <c r="AJ46" s="21">
        <f t="shared" si="0"/>
        <v>0.27</v>
      </c>
      <c r="AK46" s="9">
        <v>0</v>
      </c>
      <c r="AL46" s="9">
        <v>0</v>
      </c>
      <c r="AM46" s="9">
        <v>0</v>
      </c>
      <c r="AN46" s="13">
        <v>373.3</v>
      </c>
      <c r="AO46" s="13">
        <v>746.7</v>
      </c>
      <c r="AP46" s="13">
        <f t="shared" si="28"/>
        <v>5.58</v>
      </c>
      <c r="AQ46" s="18">
        <f t="shared" si="1"/>
        <v>0.2</v>
      </c>
      <c r="AR46" s="9">
        <v>0.97</v>
      </c>
      <c r="AS46" s="9">
        <v>0.51</v>
      </c>
      <c r="AT46" s="9">
        <v>7.0000000000000007E-2</v>
      </c>
      <c r="AU46" s="9">
        <v>4.0599999999999996</v>
      </c>
      <c r="AV46" s="9">
        <v>0.11</v>
      </c>
      <c r="AW46" s="9">
        <f>0.37+0.36+0.98</f>
        <v>1.71</v>
      </c>
      <c r="AX46" s="9">
        <f>1.35+0.49</f>
        <v>1.84</v>
      </c>
      <c r="AY46" s="58">
        <f t="shared" si="29"/>
        <v>18.670000000000002</v>
      </c>
      <c r="AZ46" s="59">
        <v>2599.4</v>
      </c>
      <c r="BA46" s="59">
        <v>66.099999999999994</v>
      </c>
      <c r="BB46" s="59">
        <f t="shared" si="30"/>
        <v>2665.5</v>
      </c>
      <c r="BC46" s="59">
        <v>18.670000000000002</v>
      </c>
      <c r="BD46" s="13">
        <f t="shared" si="31"/>
        <v>0</v>
      </c>
      <c r="BE46" s="9">
        <f t="shared" si="2"/>
        <v>49779.82</v>
      </c>
      <c r="BF46" s="9">
        <v>18.670000000000002</v>
      </c>
      <c r="BG46" s="10">
        <v>44409</v>
      </c>
      <c r="BH46" s="9">
        <f t="shared" si="3"/>
        <v>1359.81</v>
      </c>
      <c r="BI46" s="9">
        <f t="shared" si="4"/>
        <v>9971.9599999999991</v>
      </c>
      <c r="BJ46" s="9">
        <f t="shared" si="5"/>
        <v>5759.21</v>
      </c>
      <c r="BK46" s="9">
        <f t="shared" si="6"/>
        <v>959.87</v>
      </c>
      <c r="BL46" s="9">
        <f t="shared" si="7"/>
        <v>5759.21</v>
      </c>
      <c r="BM46" s="9">
        <f t="shared" si="8"/>
        <v>719.9</v>
      </c>
      <c r="BN46" s="9">
        <f t="shared" si="9"/>
        <v>0</v>
      </c>
      <c r="BO46" s="9">
        <f t="shared" si="10"/>
        <v>0</v>
      </c>
      <c r="BP46" s="9">
        <f t="shared" si="11"/>
        <v>0</v>
      </c>
      <c r="BQ46" s="9">
        <f t="shared" si="12"/>
        <v>533.26</v>
      </c>
      <c r="BR46" s="9">
        <f t="shared" si="13"/>
        <v>2586.31</v>
      </c>
      <c r="BS46" s="9">
        <f t="shared" si="14"/>
        <v>1359.81</v>
      </c>
      <c r="BT46" s="9">
        <f t="shared" si="15"/>
        <v>186.64</v>
      </c>
      <c r="BU46" s="9">
        <f t="shared" si="16"/>
        <v>10825.18</v>
      </c>
      <c r="BV46" s="9">
        <f t="shared" si="17"/>
        <v>293.29000000000002</v>
      </c>
      <c r="BW46" s="9">
        <f t="shared" si="18"/>
        <v>4559.37</v>
      </c>
      <c r="BX46" s="9">
        <f t="shared" si="19"/>
        <v>4905.99</v>
      </c>
      <c r="BY46" s="17">
        <f t="shared" si="20"/>
        <v>49779.81</v>
      </c>
      <c r="BZ46" s="17">
        <v>2.2200000000000002</v>
      </c>
      <c r="CA46" s="17">
        <v>0.03</v>
      </c>
      <c r="CB46" s="173">
        <v>0</v>
      </c>
      <c r="CC46" s="27">
        <v>0.02</v>
      </c>
      <c r="CD46" s="29">
        <v>6.33</v>
      </c>
      <c r="CE46" s="9">
        <v>546.16</v>
      </c>
      <c r="CF46" s="9"/>
      <c r="CG46" s="9">
        <v>80.5</v>
      </c>
      <c r="CH46" s="9">
        <v>42.14</v>
      </c>
      <c r="CI46" s="9">
        <f t="shared" si="40"/>
        <v>0.2</v>
      </c>
      <c r="CJ46" s="9">
        <f t="shared" si="41"/>
        <v>0</v>
      </c>
      <c r="CK46" s="13">
        <f t="shared" si="42"/>
        <v>0.03</v>
      </c>
      <c r="CL46" s="13">
        <f t="shared" si="43"/>
        <v>0.02</v>
      </c>
      <c r="CM46" s="13">
        <v>40403.769999999997</v>
      </c>
      <c r="CN46" s="13">
        <v>520.04</v>
      </c>
      <c r="CO46" s="13">
        <v>0</v>
      </c>
      <c r="CP46" s="13">
        <v>78</v>
      </c>
      <c r="CQ46" s="13">
        <v>51.99</v>
      </c>
      <c r="CR46" s="13">
        <v>41888.49</v>
      </c>
      <c r="CS46" s="13">
        <v>1030.8</v>
      </c>
      <c r="CT46" s="13">
        <v>0</v>
      </c>
      <c r="CU46" s="13">
        <v>67.42</v>
      </c>
      <c r="CV46" s="13">
        <v>44.98</v>
      </c>
      <c r="CW46" s="202">
        <v>2319</v>
      </c>
      <c r="CX46" s="200">
        <v>1330</v>
      </c>
      <c r="CY46" s="202"/>
      <c r="CZ46" s="202"/>
      <c r="DA46" s="202"/>
      <c r="DB46" s="202"/>
      <c r="DC46" s="202"/>
      <c r="DD46" s="461"/>
      <c r="DE46" s="256"/>
      <c r="DF46" s="204">
        <v>714</v>
      </c>
      <c r="DG46" s="204"/>
      <c r="DH46" s="204"/>
      <c r="DI46" s="204"/>
      <c r="DJ46" s="202"/>
      <c r="DK46" s="202"/>
      <c r="DL46" s="202"/>
      <c r="DM46" s="202"/>
      <c r="DN46" s="202"/>
      <c r="DO46" s="202"/>
      <c r="DP46" s="202">
        <v>11120</v>
      </c>
      <c r="DQ46" s="202">
        <v>2822</v>
      </c>
      <c r="DR46" s="202">
        <v>1.66</v>
      </c>
      <c r="DS46" s="202"/>
      <c r="DT46" s="254"/>
      <c r="DU46" s="254"/>
      <c r="DV46" s="202"/>
      <c r="DW46" s="202">
        <v>10362</v>
      </c>
      <c r="DX46" s="202"/>
      <c r="DY46" s="107">
        <v>1365</v>
      </c>
      <c r="DZ46" s="107"/>
      <c r="EA46" s="202">
        <v>3988.8</v>
      </c>
      <c r="EB46" s="202"/>
      <c r="EC46" s="202"/>
      <c r="ED46" s="202"/>
      <c r="EE46" s="202"/>
      <c r="EF46" s="229"/>
      <c r="EG46" s="202"/>
      <c r="EH46" s="202"/>
      <c r="EI46" s="202"/>
      <c r="EJ46" s="202"/>
      <c r="EK46" s="202">
        <v>546.16</v>
      </c>
      <c r="EL46" s="202">
        <v>0</v>
      </c>
      <c r="EM46" s="202">
        <v>80.5</v>
      </c>
      <c r="EN46" s="202">
        <v>42.14</v>
      </c>
      <c r="EO46" s="202">
        <v>546.16</v>
      </c>
      <c r="EP46" s="202"/>
      <c r="EQ46" s="202">
        <v>80.5</v>
      </c>
      <c r="ER46" s="202">
        <v>42.14</v>
      </c>
      <c r="ES46" s="202"/>
      <c r="ET46" s="202"/>
      <c r="EU46" s="202"/>
      <c r="EV46" s="214">
        <v>2.15</v>
      </c>
      <c r="EW46" s="240">
        <f t="shared" si="25"/>
        <v>5831.62</v>
      </c>
      <c r="EX46" s="209">
        <f t="shared" si="26"/>
        <v>3795.53</v>
      </c>
    </row>
    <row r="47" spans="1:179" ht="12.75" customHeight="1" x14ac:dyDescent="0.2">
      <c r="A47" s="45" t="s">
        <v>77</v>
      </c>
      <c r="B47" s="51" t="s">
        <v>66</v>
      </c>
      <c r="C47" s="52" t="s">
        <v>62</v>
      </c>
      <c r="D47" s="53" t="s">
        <v>620</v>
      </c>
      <c r="E47" s="52" t="s">
        <v>12</v>
      </c>
      <c r="F47" s="11">
        <v>5</v>
      </c>
      <c r="G47" s="11">
        <v>6</v>
      </c>
      <c r="H47" s="11">
        <v>100</v>
      </c>
      <c r="I47" s="11">
        <v>100</v>
      </c>
      <c r="J47" s="11">
        <v>209</v>
      </c>
      <c r="K47" s="11">
        <v>253</v>
      </c>
      <c r="L47" s="11" t="s">
        <v>746</v>
      </c>
      <c r="M47" s="84">
        <v>275.8</v>
      </c>
      <c r="N47" s="84">
        <v>1247.7</v>
      </c>
      <c r="O47" s="84">
        <v>0</v>
      </c>
      <c r="P47" s="135">
        <v>392.5</v>
      </c>
      <c r="Q47" s="135">
        <v>1607</v>
      </c>
      <c r="R47" s="135">
        <v>0</v>
      </c>
      <c r="S47" s="133">
        <f t="shared" si="27"/>
        <v>1999.5</v>
      </c>
      <c r="T47" s="135">
        <v>108.5</v>
      </c>
      <c r="U47" s="130">
        <v>1.53</v>
      </c>
      <c r="V47" s="91">
        <v>1.1299999999999999E-2</v>
      </c>
      <c r="W47" s="91" t="s">
        <v>823</v>
      </c>
      <c r="X47" s="132" t="s">
        <v>823</v>
      </c>
      <c r="Y47" s="91">
        <v>1.1299999999999999E-2</v>
      </c>
      <c r="Z47" s="29">
        <v>4569.3999999999996</v>
      </c>
      <c r="AA47" s="34"/>
      <c r="AB47" s="9">
        <f t="shared" si="32"/>
        <v>4569.3999999999996</v>
      </c>
      <c r="AC47" s="9">
        <f t="shared" si="39"/>
        <v>28924.3</v>
      </c>
      <c r="AD47" s="9">
        <v>0.43</v>
      </c>
      <c r="AE47" s="9">
        <v>4.3600000000000003</v>
      </c>
      <c r="AF47" s="21">
        <f>2.47-AJ47</f>
        <v>2.21</v>
      </c>
      <c r="AG47" s="18">
        <f>0.55-AQ47</f>
        <v>0.42</v>
      </c>
      <c r="AH47" s="9">
        <v>2.16</v>
      </c>
      <c r="AI47" s="13">
        <v>1198</v>
      </c>
      <c r="AJ47" s="21">
        <f t="shared" si="0"/>
        <v>0.26</v>
      </c>
      <c r="AK47" s="9">
        <v>0</v>
      </c>
      <c r="AL47" s="9">
        <v>0</v>
      </c>
      <c r="AM47" s="9">
        <v>0.13</v>
      </c>
      <c r="AN47" s="13">
        <v>420</v>
      </c>
      <c r="AO47" s="13">
        <v>840</v>
      </c>
      <c r="AP47" s="13">
        <f t="shared" si="28"/>
        <v>5.58</v>
      </c>
      <c r="AQ47" s="18">
        <f t="shared" si="1"/>
        <v>0.13</v>
      </c>
      <c r="AR47" s="9">
        <v>0.84</v>
      </c>
      <c r="AS47" s="9">
        <v>0.3</v>
      </c>
      <c r="AT47" s="9">
        <v>7.0000000000000007E-2</v>
      </c>
      <c r="AU47" s="9">
        <v>3.76</v>
      </c>
      <c r="AV47" s="9">
        <v>0.12</v>
      </c>
      <c r="AW47" s="9">
        <f>0.31+1.01+0.32</f>
        <v>1.64</v>
      </c>
      <c r="AX47" s="9">
        <f>1.39+0.44</f>
        <v>1.83</v>
      </c>
      <c r="AY47" s="54">
        <f t="shared" si="29"/>
        <v>18.66</v>
      </c>
      <c r="AZ47" s="43">
        <v>4575</v>
      </c>
      <c r="BA47" s="43">
        <v>0</v>
      </c>
      <c r="BB47" s="43">
        <f t="shared" si="30"/>
        <v>4575</v>
      </c>
      <c r="BC47" s="43">
        <v>18.66</v>
      </c>
      <c r="BD47" s="13">
        <f t="shared" si="31"/>
        <v>0</v>
      </c>
      <c r="BE47" s="9">
        <f t="shared" si="2"/>
        <v>85265</v>
      </c>
      <c r="BF47" s="9">
        <v>18.66</v>
      </c>
      <c r="BG47" s="10">
        <v>44409</v>
      </c>
      <c r="BH47" s="9">
        <f t="shared" si="3"/>
        <v>1964.84</v>
      </c>
      <c r="BI47" s="9">
        <f t="shared" si="4"/>
        <v>19922.580000000002</v>
      </c>
      <c r="BJ47" s="9">
        <f t="shared" si="5"/>
        <v>10098.370000000001</v>
      </c>
      <c r="BK47" s="9">
        <f t="shared" si="6"/>
        <v>1919.15</v>
      </c>
      <c r="BL47" s="9">
        <f t="shared" si="7"/>
        <v>9869.9</v>
      </c>
      <c r="BM47" s="9">
        <f t="shared" si="8"/>
        <v>1188.04</v>
      </c>
      <c r="BN47" s="9">
        <f t="shared" si="9"/>
        <v>0</v>
      </c>
      <c r="BO47" s="9">
        <f t="shared" si="10"/>
        <v>0</v>
      </c>
      <c r="BP47" s="9">
        <f t="shared" si="11"/>
        <v>594.02</v>
      </c>
      <c r="BQ47" s="9">
        <f t="shared" si="12"/>
        <v>594.02</v>
      </c>
      <c r="BR47" s="9">
        <f t="shared" si="13"/>
        <v>3838.3</v>
      </c>
      <c r="BS47" s="9">
        <f t="shared" si="14"/>
        <v>1370.82</v>
      </c>
      <c r="BT47" s="9">
        <f t="shared" si="15"/>
        <v>319.86</v>
      </c>
      <c r="BU47" s="9">
        <f t="shared" si="16"/>
        <v>17180.939999999999</v>
      </c>
      <c r="BV47" s="9">
        <f t="shared" si="17"/>
        <v>548.33000000000004</v>
      </c>
      <c r="BW47" s="9">
        <f t="shared" si="18"/>
        <v>7493.82</v>
      </c>
      <c r="BX47" s="9">
        <f t="shared" si="19"/>
        <v>8362</v>
      </c>
      <c r="BY47" s="17">
        <f t="shared" si="20"/>
        <v>85264.99</v>
      </c>
      <c r="BZ47" s="17">
        <v>2.11</v>
      </c>
      <c r="CA47" s="17">
        <v>0.03</v>
      </c>
      <c r="CB47" s="173">
        <v>0</v>
      </c>
      <c r="CC47" s="27">
        <v>0.01</v>
      </c>
      <c r="CD47" s="29">
        <v>6.33</v>
      </c>
      <c r="CE47" s="9">
        <v>18313.990000000002</v>
      </c>
      <c r="CF47" s="9"/>
      <c r="CG47" s="9">
        <v>0</v>
      </c>
      <c r="CH47" s="9">
        <v>0</v>
      </c>
      <c r="CI47" s="9">
        <f t="shared" si="40"/>
        <v>4.01</v>
      </c>
      <c r="CJ47" s="9">
        <f t="shared" si="41"/>
        <v>0</v>
      </c>
      <c r="CK47" s="13">
        <f t="shared" si="42"/>
        <v>0</v>
      </c>
      <c r="CL47" s="13">
        <f t="shared" si="43"/>
        <v>0</v>
      </c>
      <c r="CM47" s="13">
        <v>85270.59</v>
      </c>
      <c r="CN47" s="13">
        <v>5254.93</v>
      </c>
      <c r="CO47" s="13">
        <v>0</v>
      </c>
      <c r="CP47" s="13">
        <v>0</v>
      </c>
      <c r="CQ47" s="13">
        <v>0</v>
      </c>
      <c r="CR47" s="13">
        <v>94858.42</v>
      </c>
      <c r="CS47" s="13">
        <v>11828.22</v>
      </c>
      <c r="CT47" s="13">
        <v>0</v>
      </c>
      <c r="CU47" s="13">
        <v>23.13</v>
      </c>
      <c r="CV47" s="13">
        <v>7.69</v>
      </c>
      <c r="CW47" s="202">
        <v>3981</v>
      </c>
      <c r="CX47" s="200">
        <v>2284</v>
      </c>
      <c r="CY47" s="202"/>
      <c r="CZ47" s="202"/>
      <c r="DA47" s="202"/>
      <c r="DB47" s="202"/>
      <c r="DC47" s="202"/>
      <c r="DD47" s="461"/>
      <c r="DE47" s="256"/>
      <c r="DF47" s="204">
        <v>1198</v>
      </c>
      <c r="DG47" s="204"/>
      <c r="DH47" s="204"/>
      <c r="DI47" s="204"/>
      <c r="DJ47" s="202"/>
      <c r="DK47" s="202"/>
      <c r="DL47" s="202"/>
      <c r="DM47" s="202"/>
      <c r="DN47" s="202"/>
      <c r="DO47" s="202"/>
      <c r="DP47" s="202">
        <v>21483</v>
      </c>
      <c r="DQ47" s="202">
        <v>3400</v>
      </c>
      <c r="DR47" s="202">
        <v>2</v>
      </c>
      <c r="DS47" s="202"/>
      <c r="DT47" s="254"/>
      <c r="DU47" s="254"/>
      <c r="DV47" s="202"/>
      <c r="DW47" s="202">
        <v>18166</v>
      </c>
      <c r="DX47" s="202"/>
      <c r="DY47" s="107">
        <v>1365</v>
      </c>
      <c r="DZ47" s="107">
        <v>577</v>
      </c>
      <c r="EA47" s="202"/>
      <c r="EB47" s="202"/>
      <c r="EC47" s="202"/>
      <c r="ED47" s="202"/>
      <c r="EE47" s="202"/>
      <c r="EF47" s="229"/>
      <c r="EG47" s="202"/>
      <c r="EH47" s="202"/>
      <c r="EI47" s="202"/>
      <c r="EJ47" s="202"/>
      <c r="EK47" s="202">
        <v>5249.67</v>
      </c>
      <c r="EL47" s="202">
        <v>0</v>
      </c>
      <c r="EM47" s="202">
        <v>0</v>
      </c>
      <c r="EN47" s="202">
        <v>0</v>
      </c>
      <c r="EO47" s="202">
        <v>5249.67</v>
      </c>
      <c r="EP47" s="202"/>
      <c r="EQ47" s="202">
        <v>0</v>
      </c>
      <c r="ER47" s="202">
        <v>0</v>
      </c>
      <c r="ES47" s="202"/>
      <c r="ET47" s="202"/>
      <c r="EU47" s="202"/>
      <c r="EV47" s="214">
        <v>-2.29</v>
      </c>
      <c r="EW47" s="240">
        <f t="shared" si="25"/>
        <v>9994.01</v>
      </c>
      <c r="EX47" s="209">
        <f t="shared" si="26"/>
        <v>6504.63</v>
      </c>
    </row>
    <row r="48" spans="1:179" ht="12.75" customHeight="1" x14ac:dyDescent="0.2">
      <c r="A48" s="45" t="s">
        <v>78</v>
      </c>
      <c r="B48" s="55" t="s">
        <v>66</v>
      </c>
      <c r="C48" s="56" t="s">
        <v>25</v>
      </c>
      <c r="D48" s="57" t="s">
        <v>405</v>
      </c>
      <c r="E48" s="56" t="s">
        <v>12</v>
      </c>
      <c r="F48" s="11">
        <v>3</v>
      </c>
      <c r="G48" s="11">
        <v>3</v>
      </c>
      <c r="H48" s="11">
        <v>36</v>
      </c>
      <c r="I48" s="11">
        <v>0</v>
      </c>
      <c r="J48" s="11">
        <v>53</v>
      </c>
      <c r="K48" s="11">
        <v>81</v>
      </c>
      <c r="L48" s="11" t="s">
        <v>746</v>
      </c>
      <c r="M48" s="84">
        <v>72.400000000000006</v>
      </c>
      <c r="N48" s="84">
        <v>76.8</v>
      </c>
      <c r="O48" s="84">
        <v>0</v>
      </c>
      <c r="P48" s="135">
        <v>108.5</v>
      </c>
      <c r="Q48" s="135">
        <f>15.8+42.7</f>
        <v>58.5</v>
      </c>
      <c r="R48" s="135">
        <v>688.4</v>
      </c>
      <c r="S48" s="133">
        <f t="shared" si="27"/>
        <v>855.4</v>
      </c>
      <c r="T48" s="138">
        <v>109.5</v>
      </c>
      <c r="U48" s="130">
        <v>0.84</v>
      </c>
      <c r="V48" s="91">
        <v>1.1299999999999999E-2</v>
      </c>
      <c r="W48" s="91" t="s">
        <v>823</v>
      </c>
      <c r="X48" s="132" t="s">
        <v>823</v>
      </c>
      <c r="Y48" s="91">
        <v>1.1299999999999999E-2</v>
      </c>
      <c r="Z48" s="29">
        <v>1520</v>
      </c>
      <c r="AA48" s="34"/>
      <c r="AB48" s="9">
        <f t="shared" si="32"/>
        <v>1520</v>
      </c>
      <c r="AC48" s="9">
        <f t="shared" si="39"/>
        <v>9621.6</v>
      </c>
      <c r="AD48" s="9">
        <v>0.34</v>
      </c>
      <c r="AE48" s="9">
        <v>3.2</v>
      </c>
      <c r="AF48" s="21">
        <f>2.53-AJ48</f>
        <v>1.81</v>
      </c>
      <c r="AG48" s="18">
        <f>0.58-AQ48</f>
        <v>0.42</v>
      </c>
      <c r="AH48" s="9">
        <v>2.16</v>
      </c>
      <c r="AI48" s="13">
        <v>1094</v>
      </c>
      <c r="AJ48" s="21">
        <f t="shared" si="0"/>
        <v>0.72</v>
      </c>
      <c r="AK48" s="9">
        <v>0</v>
      </c>
      <c r="AL48" s="9">
        <v>0</v>
      </c>
      <c r="AM48" s="9">
        <v>0.38</v>
      </c>
      <c r="AN48" s="13">
        <v>177.6</v>
      </c>
      <c r="AO48" s="13">
        <v>355.2</v>
      </c>
      <c r="AP48" s="13">
        <f t="shared" si="28"/>
        <v>5.58</v>
      </c>
      <c r="AQ48" s="18">
        <f t="shared" si="1"/>
        <v>0.16</v>
      </c>
      <c r="AR48" s="9">
        <v>1.05</v>
      </c>
      <c r="AS48" s="9">
        <v>0.9</v>
      </c>
      <c r="AT48" s="9">
        <v>7.0000000000000007E-2</v>
      </c>
      <c r="AU48" s="9">
        <v>4.63</v>
      </c>
      <c r="AV48" s="9">
        <v>0.12</v>
      </c>
      <c r="AW48" s="9">
        <f>0.33+0.41+1</f>
        <v>1.74</v>
      </c>
      <c r="AX48" s="9">
        <f>1.41+0.55</f>
        <v>1.96</v>
      </c>
      <c r="AY48" s="58">
        <f t="shared" si="29"/>
        <v>19.66</v>
      </c>
      <c r="AZ48" s="59">
        <v>1517.1</v>
      </c>
      <c r="BA48" s="59">
        <v>0</v>
      </c>
      <c r="BB48" s="59">
        <f t="shared" si="30"/>
        <v>1517.1</v>
      </c>
      <c r="BC48" s="59">
        <v>19.66</v>
      </c>
      <c r="BD48" s="13">
        <f t="shared" si="31"/>
        <v>0</v>
      </c>
      <c r="BE48" s="9">
        <f t="shared" si="2"/>
        <v>29883.200000000001</v>
      </c>
      <c r="BF48" s="9">
        <v>19.66</v>
      </c>
      <c r="BG48" s="10">
        <v>44409</v>
      </c>
      <c r="BH48" s="9">
        <f t="shared" si="3"/>
        <v>516.79999999999995</v>
      </c>
      <c r="BI48" s="9">
        <f t="shared" si="4"/>
        <v>4864</v>
      </c>
      <c r="BJ48" s="9">
        <f t="shared" si="5"/>
        <v>2751.2</v>
      </c>
      <c r="BK48" s="9">
        <f t="shared" si="6"/>
        <v>638.4</v>
      </c>
      <c r="BL48" s="9">
        <f t="shared" si="7"/>
        <v>3283.2</v>
      </c>
      <c r="BM48" s="9">
        <f t="shared" si="8"/>
        <v>1094.4000000000001</v>
      </c>
      <c r="BN48" s="9">
        <f t="shared" si="9"/>
        <v>0</v>
      </c>
      <c r="BO48" s="9">
        <f t="shared" si="10"/>
        <v>0</v>
      </c>
      <c r="BP48" s="9">
        <f t="shared" si="11"/>
        <v>577.6</v>
      </c>
      <c r="BQ48" s="9">
        <f t="shared" si="12"/>
        <v>243.2</v>
      </c>
      <c r="BR48" s="9">
        <f t="shared" si="13"/>
        <v>1596</v>
      </c>
      <c r="BS48" s="9">
        <f t="shared" si="14"/>
        <v>1368</v>
      </c>
      <c r="BT48" s="9">
        <f t="shared" si="15"/>
        <v>106.4</v>
      </c>
      <c r="BU48" s="9">
        <f t="shared" si="16"/>
        <v>7037.6</v>
      </c>
      <c r="BV48" s="9">
        <f t="shared" si="17"/>
        <v>182.4</v>
      </c>
      <c r="BW48" s="9">
        <f t="shared" si="18"/>
        <v>2644.8</v>
      </c>
      <c r="BX48" s="9">
        <f t="shared" si="19"/>
        <v>2979.2</v>
      </c>
      <c r="BY48" s="17">
        <f t="shared" si="20"/>
        <v>29883.200000000001</v>
      </c>
      <c r="BZ48" s="17">
        <v>1.78</v>
      </c>
      <c r="CA48" s="17">
        <v>0.02</v>
      </c>
      <c r="CB48" s="173">
        <v>0</v>
      </c>
      <c r="CC48" s="27">
        <v>0.01</v>
      </c>
      <c r="CD48" s="29">
        <v>6.33</v>
      </c>
      <c r="CE48" s="9">
        <v>731.53</v>
      </c>
      <c r="CF48" s="9"/>
      <c r="CG48" s="9">
        <v>0</v>
      </c>
      <c r="CH48" s="9">
        <v>0</v>
      </c>
      <c r="CI48" s="9">
        <f t="shared" si="40"/>
        <v>0.48</v>
      </c>
      <c r="CJ48" s="9">
        <f t="shared" si="41"/>
        <v>0</v>
      </c>
      <c r="CK48" s="13">
        <f t="shared" si="42"/>
        <v>0</v>
      </c>
      <c r="CL48" s="13">
        <f t="shared" si="43"/>
        <v>0</v>
      </c>
      <c r="CM48" s="13">
        <v>29883.18</v>
      </c>
      <c r="CN48" s="13">
        <v>1170.3900000000001</v>
      </c>
      <c r="CO48" s="13">
        <v>0</v>
      </c>
      <c r="CP48" s="13">
        <v>0</v>
      </c>
      <c r="CQ48" s="13">
        <v>0</v>
      </c>
      <c r="CR48" s="13">
        <v>24062.99</v>
      </c>
      <c r="CS48" s="13">
        <v>701.03</v>
      </c>
      <c r="CT48" s="13">
        <v>0</v>
      </c>
      <c r="CU48" s="13">
        <v>17.78</v>
      </c>
      <c r="CV48" s="13">
        <v>9.9600000000000009</v>
      </c>
      <c r="CW48" s="202">
        <v>1324</v>
      </c>
      <c r="CX48" s="200">
        <v>759</v>
      </c>
      <c r="CY48" s="202"/>
      <c r="CZ48" s="202"/>
      <c r="DA48" s="202"/>
      <c r="DB48" s="202"/>
      <c r="DC48" s="202"/>
      <c r="DD48" s="461"/>
      <c r="DE48" s="256"/>
      <c r="DF48" s="204">
        <v>1094</v>
      </c>
      <c r="DG48" s="204"/>
      <c r="DH48" s="204"/>
      <c r="DI48" s="204"/>
      <c r="DJ48" s="202"/>
      <c r="DK48" s="202"/>
      <c r="DL48" s="202"/>
      <c r="DM48" s="202"/>
      <c r="DN48" s="202"/>
      <c r="DO48" s="202"/>
      <c r="DP48" s="202">
        <v>5296</v>
      </c>
      <c r="DQ48" s="202">
        <v>2720</v>
      </c>
      <c r="DR48" s="202">
        <v>1.6</v>
      </c>
      <c r="DS48" s="202"/>
      <c r="DT48" s="254"/>
      <c r="DU48" s="254"/>
      <c r="DV48" s="202"/>
      <c r="DW48" s="202">
        <v>5519</v>
      </c>
      <c r="DX48" s="202"/>
      <c r="DY48" s="107">
        <v>1365</v>
      </c>
      <c r="DZ48" s="107">
        <v>577</v>
      </c>
      <c r="EA48" s="202"/>
      <c r="EB48" s="202"/>
      <c r="EC48" s="202"/>
      <c r="ED48" s="202"/>
      <c r="EE48" s="202"/>
      <c r="EF48" s="229"/>
      <c r="EG48" s="202"/>
      <c r="EH48" s="202"/>
      <c r="EI48" s="202"/>
      <c r="EJ48" s="202"/>
      <c r="EK48" s="202">
        <v>1175.81</v>
      </c>
      <c r="EL48" s="202">
        <v>0</v>
      </c>
      <c r="EM48" s="202">
        <v>0</v>
      </c>
      <c r="EN48" s="202">
        <v>0</v>
      </c>
      <c r="EO48" s="202">
        <v>1175.81</v>
      </c>
      <c r="EP48" s="202"/>
      <c r="EQ48" s="202">
        <v>0</v>
      </c>
      <c r="ER48" s="202">
        <v>0</v>
      </c>
      <c r="ES48" s="202"/>
      <c r="ET48" s="202"/>
      <c r="EU48" s="202"/>
      <c r="EV48" s="214">
        <v>0.91</v>
      </c>
      <c r="EW48" s="240">
        <f t="shared" si="25"/>
        <v>3324.48</v>
      </c>
      <c r="EX48" s="209">
        <f t="shared" si="26"/>
        <v>2163.75</v>
      </c>
    </row>
    <row r="49" spans="1:154" ht="12.75" customHeight="1" x14ac:dyDescent="0.2">
      <c r="A49" s="45" t="s">
        <v>80</v>
      </c>
      <c r="B49" s="51" t="s">
        <v>66</v>
      </c>
      <c r="C49" s="52" t="s">
        <v>64</v>
      </c>
      <c r="D49" s="53" t="s">
        <v>406</v>
      </c>
      <c r="E49" s="52" t="s">
        <v>12</v>
      </c>
      <c r="F49" s="11">
        <v>5</v>
      </c>
      <c r="G49" s="11">
        <v>4</v>
      </c>
      <c r="H49" s="11">
        <v>70</v>
      </c>
      <c r="I49" s="11">
        <v>70</v>
      </c>
      <c r="J49" s="11">
        <v>181</v>
      </c>
      <c r="K49" s="11">
        <v>206</v>
      </c>
      <c r="L49" s="11" t="s">
        <v>746</v>
      </c>
      <c r="M49" s="84">
        <v>265.2</v>
      </c>
      <c r="N49" s="84">
        <v>916.7</v>
      </c>
      <c r="O49" s="84">
        <v>916.7</v>
      </c>
      <c r="P49" s="135">
        <v>275.8</v>
      </c>
      <c r="Q49" s="135">
        <f>713.3+16.8</f>
        <v>730.1</v>
      </c>
      <c r="R49" s="135">
        <v>0</v>
      </c>
      <c r="S49" s="133">
        <f t="shared" si="27"/>
        <v>1005.9</v>
      </c>
      <c r="T49" s="135">
        <v>265.2</v>
      </c>
      <c r="U49" s="130">
        <v>1.53</v>
      </c>
      <c r="V49" s="91">
        <v>1.1299999999999999E-2</v>
      </c>
      <c r="W49" s="91" t="s">
        <v>823</v>
      </c>
      <c r="X49" s="132" t="s">
        <v>823</v>
      </c>
      <c r="Y49" s="91">
        <v>1.1299999999999999E-2</v>
      </c>
      <c r="Z49" s="29">
        <v>3396.9</v>
      </c>
      <c r="AA49" s="34"/>
      <c r="AB49" s="9">
        <f t="shared" si="32"/>
        <v>3396.9</v>
      </c>
      <c r="AC49" s="9">
        <f t="shared" si="39"/>
        <v>21502.38</v>
      </c>
      <c r="AD49" s="9">
        <v>0.4</v>
      </c>
      <c r="AE49" s="9">
        <v>4.79</v>
      </c>
      <c r="AF49" s="21">
        <f>2.44-AJ49</f>
        <v>2.1800000000000002</v>
      </c>
      <c r="AG49" s="18">
        <f>0.53-AQ49</f>
        <v>0.37</v>
      </c>
      <c r="AH49" s="9">
        <v>2.16</v>
      </c>
      <c r="AI49" s="13">
        <v>880</v>
      </c>
      <c r="AJ49" s="21">
        <f t="shared" si="0"/>
        <v>0.26</v>
      </c>
      <c r="AK49" s="9">
        <v>0</v>
      </c>
      <c r="AL49" s="9">
        <v>0</v>
      </c>
      <c r="AM49" s="9">
        <v>0.17</v>
      </c>
      <c r="AN49" s="13">
        <v>394.7</v>
      </c>
      <c r="AO49" s="13">
        <v>789.3</v>
      </c>
      <c r="AP49" s="13">
        <f t="shared" si="28"/>
        <v>5.58</v>
      </c>
      <c r="AQ49" s="18">
        <f t="shared" si="1"/>
        <v>0.16</v>
      </c>
      <c r="AR49" s="9">
        <v>0.78</v>
      </c>
      <c r="AS49" s="9">
        <v>0.4</v>
      </c>
      <c r="AT49" s="9">
        <v>7.0000000000000007E-2</v>
      </c>
      <c r="AU49" s="9">
        <v>3.4</v>
      </c>
      <c r="AV49" s="9">
        <v>0.12</v>
      </c>
      <c r="AW49" s="9">
        <f>0.29+1.05+0.3</f>
        <v>1.64</v>
      </c>
      <c r="AX49" s="9">
        <f>1.44+0.41</f>
        <v>1.85</v>
      </c>
      <c r="AY49" s="54">
        <f t="shared" si="29"/>
        <v>18.75</v>
      </c>
      <c r="AZ49" s="43">
        <v>3394.2</v>
      </c>
      <c r="BA49" s="43">
        <v>0</v>
      </c>
      <c r="BB49" s="43">
        <f t="shared" si="30"/>
        <v>3394.2</v>
      </c>
      <c r="BC49" s="43">
        <v>18.75</v>
      </c>
      <c r="BD49" s="13">
        <f t="shared" si="31"/>
        <v>0</v>
      </c>
      <c r="BE49" s="9">
        <f t="shared" si="2"/>
        <v>63691.88</v>
      </c>
      <c r="BF49" s="9">
        <v>18.75</v>
      </c>
      <c r="BG49" s="10">
        <v>44409</v>
      </c>
      <c r="BH49" s="9">
        <f t="shared" si="3"/>
        <v>1358.76</v>
      </c>
      <c r="BI49" s="9">
        <f t="shared" si="4"/>
        <v>16271.15</v>
      </c>
      <c r="BJ49" s="9">
        <f t="shared" si="5"/>
        <v>7405.24</v>
      </c>
      <c r="BK49" s="9">
        <f t="shared" si="6"/>
        <v>1256.8499999999999</v>
      </c>
      <c r="BL49" s="9">
        <f t="shared" si="7"/>
        <v>7337.3</v>
      </c>
      <c r="BM49" s="9">
        <f t="shared" si="8"/>
        <v>883.19</v>
      </c>
      <c r="BN49" s="9">
        <f t="shared" si="9"/>
        <v>0</v>
      </c>
      <c r="BO49" s="9">
        <f t="shared" si="10"/>
        <v>0</v>
      </c>
      <c r="BP49" s="9">
        <f t="shared" si="11"/>
        <v>577.47</v>
      </c>
      <c r="BQ49" s="9">
        <f t="shared" si="12"/>
        <v>543.5</v>
      </c>
      <c r="BR49" s="9">
        <f t="shared" si="13"/>
        <v>2649.58</v>
      </c>
      <c r="BS49" s="9">
        <f t="shared" si="14"/>
        <v>1358.76</v>
      </c>
      <c r="BT49" s="9">
        <f t="shared" si="15"/>
        <v>237.78</v>
      </c>
      <c r="BU49" s="9">
        <f t="shared" si="16"/>
        <v>11549.46</v>
      </c>
      <c r="BV49" s="9">
        <f t="shared" si="17"/>
        <v>407.63</v>
      </c>
      <c r="BW49" s="9">
        <f t="shared" si="18"/>
        <v>5570.92</v>
      </c>
      <c r="BX49" s="9">
        <f t="shared" si="19"/>
        <v>6284.27</v>
      </c>
      <c r="BY49" s="17">
        <f t="shared" si="20"/>
        <v>63691.86</v>
      </c>
      <c r="BZ49" s="17">
        <v>3.62</v>
      </c>
      <c r="CA49" s="17">
        <v>0.02</v>
      </c>
      <c r="CB49" s="173">
        <v>0</v>
      </c>
      <c r="CC49" s="27">
        <v>0.01</v>
      </c>
      <c r="CD49" s="29">
        <v>6.33</v>
      </c>
      <c r="CE49" s="9">
        <v>0</v>
      </c>
      <c r="CF49" s="9"/>
      <c r="CG49" s="9">
        <v>0</v>
      </c>
      <c r="CH49" s="9">
        <v>0</v>
      </c>
      <c r="CI49" s="9">
        <f t="shared" si="40"/>
        <v>0</v>
      </c>
      <c r="CJ49" s="9">
        <f t="shared" si="41"/>
        <v>0</v>
      </c>
      <c r="CK49" s="13">
        <f t="shared" si="42"/>
        <v>0</v>
      </c>
      <c r="CL49" s="13">
        <f t="shared" si="43"/>
        <v>0</v>
      </c>
      <c r="CM49" s="13">
        <v>63692.01</v>
      </c>
      <c r="CN49" s="13">
        <v>0</v>
      </c>
      <c r="CO49" s="13">
        <v>0</v>
      </c>
      <c r="CP49" s="13">
        <v>0</v>
      </c>
      <c r="CQ49" s="13">
        <v>0</v>
      </c>
      <c r="CR49" s="13">
        <v>64560.93</v>
      </c>
      <c r="CS49" s="13">
        <v>7036.37</v>
      </c>
      <c r="CT49" s="13">
        <v>0</v>
      </c>
      <c r="CU49" s="13">
        <v>125.4</v>
      </c>
      <c r="CV49" s="13">
        <v>65.59</v>
      </c>
      <c r="CW49" s="202">
        <v>2960</v>
      </c>
      <c r="CX49" s="200">
        <v>1698</v>
      </c>
      <c r="CY49" s="202"/>
      <c r="CZ49" s="202"/>
      <c r="DA49" s="202"/>
      <c r="DB49" s="202"/>
      <c r="DC49" s="202"/>
      <c r="DD49" s="461"/>
      <c r="DE49" s="256"/>
      <c r="DF49" s="204">
        <v>880</v>
      </c>
      <c r="DG49" s="204"/>
      <c r="DH49" s="204"/>
      <c r="DI49" s="204"/>
      <c r="DJ49" s="202"/>
      <c r="DK49" s="202"/>
      <c r="DL49" s="202"/>
      <c r="DM49" s="202"/>
      <c r="DN49" s="202"/>
      <c r="DO49" s="202"/>
      <c r="DP49" s="202">
        <v>17268</v>
      </c>
      <c r="DQ49" s="202">
        <v>3400</v>
      </c>
      <c r="DR49" s="202">
        <v>2</v>
      </c>
      <c r="DS49" s="202"/>
      <c r="DT49" s="254"/>
      <c r="DU49" s="254"/>
      <c r="DV49" s="202"/>
      <c r="DW49" s="202">
        <v>13276</v>
      </c>
      <c r="DX49" s="202"/>
      <c r="DY49" s="107">
        <v>1365</v>
      </c>
      <c r="DZ49" s="107">
        <v>577</v>
      </c>
      <c r="EA49" s="202"/>
      <c r="EB49" s="202"/>
      <c r="EC49" s="202"/>
      <c r="ED49" s="202"/>
      <c r="EE49" s="202"/>
      <c r="EF49" s="229"/>
      <c r="EG49" s="202"/>
      <c r="EH49" s="202"/>
      <c r="EI49" s="202"/>
      <c r="EJ49" s="202"/>
      <c r="EK49" s="202">
        <v>0</v>
      </c>
      <c r="EL49" s="202">
        <v>0</v>
      </c>
      <c r="EM49" s="202">
        <v>0</v>
      </c>
      <c r="EN49" s="202">
        <v>0</v>
      </c>
      <c r="EO49" s="202">
        <v>0</v>
      </c>
      <c r="EP49" s="202"/>
      <c r="EQ49" s="202">
        <v>0</v>
      </c>
      <c r="ER49" s="202">
        <v>0</v>
      </c>
      <c r="ES49" s="202"/>
      <c r="ET49" s="202"/>
      <c r="EU49" s="202"/>
      <c r="EV49" s="214">
        <v>-0.85</v>
      </c>
      <c r="EW49" s="240">
        <f t="shared" si="25"/>
        <v>7429.56</v>
      </c>
      <c r="EX49" s="209">
        <f t="shared" si="26"/>
        <v>4835.5600000000004</v>
      </c>
    </row>
    <row r="50" spans="1:154" ht="12.75" customHeight="1" x14ac:dyDescent="0.2">
      <c r="A50" s="45" t="s">
        <v>82</v>
      </c>
      <c r="B50" s="51" t="s">
        <v>66</v>
      </c>
      <c r="C50" s="52" t="s">
        <v>27</v>
      </c>
      <c r="D50" s="53" t="s">
        <v>407</v>
      </c>
      <c r="E50" s="52" t="s">
        <v>12</v>
      </c>
      <c r="F50" s="11">
        <v>5</v>
      </c>
      <c r="G50" s="11">
        <v>4</v>
      </c>
      <c r="H50" s="11">
        <v>80</v>
      </c>
      <c r="I50" s="11">
        <v>80</v>
      </c>
      <c r="J50" s="11">
        <v>136</v>
      </c>
      <c r="K50" s="11">
        <v>182</v>
      </c>
      <c r="L50" s="11" t="s">
        <v>746</v>
      </c>
      <c r="M50" s="84">
        <v>196.8</v>
      </c>
      <c r="N50" s="84">
        <v>657.6</v>
      </c>
      <c r="O50" s="84">
        <v>0</v>
      </c>
      <c r="P50" s="135">
        <v>264.5</v>
      </c>
      <c r="Q50" s="135">
        <v>511.8</v>
      </c>
      <c r="R50" s="135">
        <v>0</v>
      </c>
      <c r="S50" s="133">
        <f t="shared" si="27"/>
        <v>776.3</v>
      </c>
      <c r="T50" s="134">
        <v>265</v>
      </c>
      <c r="U50" s="130">
        <v>1.53</v>
      </c>
      <c r="V50" s="91">
        <v>1.1299999999999999E-2</v>
      </c>
      <c r="W50" s="91" t="s">
        <v>823</v>
      </c>
      <c r="X50" s="132" t="s">
        <v>823</v>
      </c>
      <c r="Y50" s="91">
        <v>1.1299999999999999E-2</v>
      </c>
      <c r="Z50" s="29">
        <v>3173.94</v>
      </c>
      <c r="AA50" s="34">
        <v>172.3</v>
      </c>
      <c r="AB50" s="9">
        <f t="shared" si="32"/>
        <v>3346.24</v>
      </c>
      <c r="AC50" s="9">
        <f t="shared" si="39"/>
        <v>21181.7</v>
      </c>
      <c r="AD50" s="9">
        <v>0.39</v>
      </c>
      <c r="AE50" s="9">
        <v>4.16</v>
      </c>
      <c r="AF50" s="21">
        <f>2.46-AJ50</f>
        <v>2.21</v>
      </c>
      <c r="AG50" s="18">
        <f>0.54-AQ50</f>
        <v>0.43</v>
      </c>
      <c r="AH50" s="9">
        <v>2.16</v>
      </c>
      <c r="AI50" s="13">
        <v>842</v>
      </c>
      <c r="AJ50" s="21">
        <f t="shared" si="0"/>
        <v>0.25</v>
      </c>
      <c r="AK50" s="9">
        <v>0</v>
      </c>
      <c r="AL50" s="9">
        <v>0</v>
      </c>
      <c r="AM50" s="9">
        <v>0.17</v>
      </c>
      <c r="AN50" s="13">
        <v>267.2</v>
      </c>
      <c r="AO50" s="13">
        <v>534.4</v>
      </c>
      <c r="AP50" s="13">
        <f t="shared" si="28"/>
        <v>5.58</v>
      </c>
      <c r="AQ50" s="18">
        <f t="shared" si="1"/>
        <v>0.11</v>
      </c>
      <c r="AR50" s="9">
        <v>0.85</v>
      </c>
      <c r="AS50" s="9">
        <v>0.41</v>
      </c>
      <c r="AT50" s="9">
        <v>7.0000000000000007E-2</v>
      </c>
      <c r="AU50" s="9">
        <v>3.79</v>
      </c>
      <c r="AV50" s="9">
        <v>0.12</v>
      </c>
      <c r="AW50" s="9">
        <f>0.34+1+0.34</f>
        <v>1.68</v>
      </c>
      <c r="AX50" s="9">
        <f>1.38+0.45</f>
        <v>1.83</v>
      </c>
      <c r="AY50" s="54">
        <f t="shared" si="29"/>
        <v>18.63</v>
      </c>
      <c r="AZ50" s="43">
        <v>3179.6</v>
      </c>
      <c r="BA50" s="43">
        <v>172.3</v>
      </c>
      <c r="BB50" s="43">
        <f t="shared" si="30"/>
        <v>3351.9</v>
      </c>
      <c r="BC50" s="43">
        <v>18.63</v>
      </c>
      <c r="BD50" s="13">
        <f t="shared" si="31"/>
        <v>0</v>
      </c>
      <c r="BE50" s="9">
        <f t="shared" si="2"/>
        <v>62340.45</v>
      </c>
      <c r="BF50" s="9">
        <v>18.63</v>
      </c>
      <c r="BG50" s="10">
        <v>44378</v>
      </c>
      <c r="BH50" s="9">
        <f t="shared" si="3"/>
        <v>1305.03</v>
      </c>
      <c r="BI50" s="9">
        <f t="shared" si="4"/>
        <v>13920.36</v>
      </c>
      <c r="BJ50" s="9">
        <f t="shared" si="5"/>
        <v>7395.19</v>
      </c>
      <c r="BK50" s="9">
        <f t="shared" si="6"/>
        <v>1438.88</v>
      </c>
      <c r="BL50" s="9">
        <f t="shared" si="7"/>
        <v>7227.88</v>
      </c>
      <c r="BM50" s="9">
        <f t="shared" si="8"/>
        <v>836.56</v>
      </c>
      <c r="BN50" s="9">
        <f t="shared" si="9"/>
        <v>0</v>
      </c>
      <c r="BO50" s="9">
        <f t="shared" si="10"/>
        <v>0</v>
      </c>
      <c r="BP50" s="9">
        <f t="shared" si="11"/>
        <v>568.86</v>
      </c>
      <c r="BQ50" s="9">
        <f t="shared" si="12"/>
        <v>368.09</v>
      </c>
      <c r="BR50" s="9">
        <f t="shared" si="13"/>
        <v>2844.3</v>
      </c>
      <c r="BS50" s="9">
        <f t="shared" si="14"/>
        <v>1371.96</v>
      </c>
      <c r="BT50" s="9">
        <f t="shared" si="15"/>
        <v>234.24</v>
      </c>
      <c r="BU50" s="9">
        <f t="shared" si="16"/>
        <v>12682.25</v>
      </c>
      <c r="BV50" s="9">
        <f t="shared" si="17"/>
        <v>401.55</v>
      </c>
      <c r="BW50" s="9">
        <f t="shared" si="18"/>
        <v>5621.68</v>
      </c>
      <c r="BX50" s="9">
        <f t="shared" si="19"/>
        <v>6123.62</v>
      </c>
      <c r="BY50" s="17">
        <f t="shared" si="20"/>
        <v>62340.45</v>
      </c>
      <c r="BZ50" s="17">
        <v>1.62</v>
      </c>
      <c r="CA50" s="17">
        <v>0.02</v>
      </c>
      <c r="CB50" s="173">
        <v>0</v>
      </c>
      <c r="CC50" s="27">
        <v>0.01</v>
      </c>
      <c r="CD50" s="29">
        <v>6.33</v>
      </c>
      <c r="CE50" s="9">
        <v>1153.21</v>
      </c>
      <c r="CF50" s="9"/>
      <c r="CG50" s="9">
        <v>0</v>
      </c>
      <c r="CH50" s="9">
        <v>0</v>
      </c>
      <c r="CI50" s="9">
        <f t="shared" si="40"/>
        <v>0.34</v>
      </c>
      <c r="CJ50" s="9">
        <f t="shared" si="41"/>
        <v>0</v>
      </c>
      <c r="CK50" s="13">
        <f t="shared" si="42"/>
        <v>0</v>
      </c>
      <c r="CL50" s="13">
        <f t="shared" si="43"/>
        <v>0</v>
      </c>
      <c r="CM50" s="13">
        <v>59145.03</v>
      </c>
      <c r="CN50" s="13">
        <v>1080.68</v>
      </c>
      <c r="CO50" s="13">
        <v>0</v>
      </c>
      <c r="CP50" s="13">
        <v>0.01</v>
      </c>
      <c r="CQ50" s="13">
        <v>0.01</v>
      </c>
      <c r="CR50" s="13">
        <v>56215.5</v>
      </c>
      <c r="CS50" s="13">
        <v>1144.99</v>
      </c>
      <c r="CT50" s="13">
        <v>0</v>
      </c>
      <c r="CU50" s="13">
        <v>7.11</v>
      </c>
      <c r="CV50" s="13">
        <v>3.59</v>
      </c>
      <c r="CW50" s="202">
        <v>2915</v>
      </c>
      <c r="CX50" s="200">
        <v>1673</v>
      </c>
      <c r="CY50" s="202"/>
      <c r="CZ50" s="202"/>
      <c r="DA50" s="202"/>
      <c r="DB50" s="202"/>
      <c r="DC50" s="202"/>
      <c r="DD50" s="461"/>
      <c r="DE50" s="256"/>
      <c r="DF50" s="204">
        <v>842</v>
      </c>
      <c r="DG50" s="204"/>
      <c r="DH50" s="204"/>
      <c r="DI50" s="204"/>
      <c r="DJ50" s="202"/>
      <c r="DK50" s="202"/>
      <c r="DL50" s="202"/>
      <c r="DM50" s="202"/>
      <c r="DN50" s="202"/>
      <c r="DO50" s="202"/>
      <c r="DP50" s="202">
        <v>14956</v>
      </c>
      <c r="DQ50" s="202">
        <v>2720</v>
      </c>
      <c r="DR50" s="202">
        <v>1.6</v>
      </c>
      <c r="DS50" s="202"/>
      <c r="DT50" s="254"/>
      <c r="DU50" s="254"/>
      <c r="DV50" s="202"/>
      <c r="DW50" s="202">
        <v>13338</v>
      </c>
      <c r="DX50" s="202"/>
      <c r="DY50" s="107">
        <v>1365</v>
      </c>
      <c r="DZ50" s="107">
        <v>577</v>
      </c>
      <c r="EA50" s="202"/>
      <c r="EB50" s="202"/>
      <c r="EC50" s="202"/>
      <c r="ED50" s="202"/>
      <c r="EE50" s="202"/>
      <c r="EF50" s="229"/>
      <c r="EG50" s="202"/>
      <c r="EH50" s="202"/>
      <c r="EI50" s="202"/>
      <c r="EJ50" s="202"/>
      <c r="EK50" s="202">
        <v>1153.21</v>
      </c>
      <c r="EL50" s="202">
        <v>0</v>
      </c>
      <c r="EM50" s="202">
        <v>0</v>
      </c>
      <c r="EN50" s="202">
        <v>0</v>
      </c>
      <c r="EO50" s="202">
        <v>1153.21</v>
      </c>
      <c r="EP50" s="202"/>
      <c r="EQ50" s="202">
        <v>0</v>
      </c>
      <c r="ER50" s="202">
        <v>0</v>
      </c>
      <c r="ES50" s="202"/>
      <c r="ET50" s="202"/>
      <c r="EU50" s="202"/>
      <c r="EV50" s="214">
        <v>-0.85</v>
      </c>
      <c r="EW50" s="240">
        <f t="shared" si="25"/>
        <v>7318.76</v>
      </c>
      <c r="EX50" s="209">
        <f t="shared" si="26"/>
        <v>4763.4399999999996</v>
      </c>
    </row>
    <row r="51" spans="1:154" ht="12.75" customHeight="1" x14ac:dyDescent="0.2">
      <c r="A51" s="45" t="s">
        <v>83</v>
      </c>
      <c r="B51" s="51" t="s">
        <v>66</v>
      </c>
      <c r="C51" s="52" t="s">
        <v>27</v>
      </c>
      <c r="D51" s="53" t="s">
        <v>548</v>
      </c>
      <c r="E51" s="52" t="s">
        <v>9</v>
      </c>
      <c r="F51" s="11">
        <v>5</v>
      </c>
      <c r="G51" s="11">
        <v>6</v>
      </c>
      <c r="H51" s="11">
        <v>90</v>
      </c>
      <c r="I51" s="11">
        <v>90</v>
      </c>
      <c r="J51" s="11">
        <v>198</v>
      </c>
      <c r="K51" s="11">
        <v>210</v>
      </c>
      <c r="L51" s="11" t="s">
        <v>746</v>
      </c>
      <c r="M51" s="84">
        <v>418.5</v>
      </c>
      <c r="N51" s="84">
        <v>1007</v>
      </c>
      <c r="O51" s="84">
        <v>0</v>
      </c>
      <c r="P51" s="135">
        <f>418.5</f>
        <v>418.5</v>
      </c>
      <c r="Q51" s="135">
        <f>780.9+61.8+4.7</f>
        <v>847.4</v>
      </c>
      <c r="R51" s="133">
        <v>0</v>
      </c>
      <c r="S51" s="133">
        <f t="shared" si="27"/>
        <v>1265.9000000000001</v>
      </c>
      <c r="T51" s="134">
        <v>418.5</v>
      </c>
      <c r="U51" s="130">
        <v>1.53</v>
      </c>
      <c r="V51" s="91">
        <v>1.1299999999999999E-2</v>
      </c>
      <c r="W51" s="91" t="s">
        <v>823</v>
      </c>
      <c r="X51" s="132" t="s">
        <v>823</v>
      </c>
      <c r="Y51" s="91">
        <v>1.1299999999999999E-2</v>
      </c>
      <c r="Z51" s="29">
        <v>4032.3</v>
      </c>
      <c r="AA51" s="34"/>
      <c r="AB51" s="9">
        <f t="shared" si="32"/>
        <v>4032.3</v>
      </c>
      <c r="AC51" s="9">
        <f t="shared" si="39"/>
        <v>25524.46</v>
      </c>
      <c r="AD51" s="9">
        <v>0.51</v>
      </c>
      <c r="AE51" s="9">
        <v>4.17</v>
      </c>
      <c r="AF51" s="21">
        <f>2.45-AJ51</f>
        <v>2.21</v>
      </c>
      <c r="AG51" s="18">
        <f>0.56-AQ51</f>
        <v>0.46</v>
      </c>
      <c r="AH51" s="9">
        <v>2.12</v>
      </c>
      <c r="AI51" s="13">
        <v>967</v>
      </c>
      <c r="AJ51" s="21">
        <f t="shared" si="0"/>
        <v>0.24</v>
      </c>
      <c r="AK51" s="9">
        <v>0</v>
      </c>
      <c r="AL51" s="9">
        <v>0</v>
      </c>
      <c r="AM51" s="9">
        <v>0.14000000000000001</v>
      </c>
      <c r="AN51" s="13">
        <v>300.60000000000002</v>
      </c>
      <c r="AO51" s="13">
        <v>601.20000000000005</v>
      </c>
      <c r="AP51" s="13">
        <f t="shared" si="28"/>
        <v>5.58</v>
      </c>
      <c r="AQ51" s="18">
        <f t="shared" si="1"/>
        <v>0.1</v>
      </c>
      <c r="AR51" s="9">
        <v>0.81</v>
      </c>
      <c r="AS51" s="9">
        <v>0.34</v>
      </c>
      <c r="AT51" s="9">
        <v>7.0000000000000007E-2</v>
      </c>
      <c r="AU51" s="9">
        <v>3.9</v>
      </c>
      <c r="AV51" s="9">
        <v>0.12</v>
      </c>
      <c r="AW51" s="9">
        <f>0.31+1+0.34</f>
        <v>1.65</v>
      </c>
      <c r="AX51" s="9">
        <f>1.37+0.47</f>
        <v>1.84</v>
      </c>
      <c r="AY51" s="54">
        <f t="shared" si="29"/>
        <v>18.68</v>
      </c>
      <c r="AZ51" s="43">
        <v>4037.5</v>
      </c>
      <c r="BA51" s="43">
        <v>0</v>
      </c>
      <c r="BB51" s="43">
        <f t="shared" si="30"/>
        <v>4037.5</v>
      </c>
      <c r="BC51" s="43">
        <v>18.68</v>
      </c>
      <c r="BD51" s="13">
        <f t="shared" si="31"/>
        <v>0</v>
      </c>
      <c r="BE51" s="9">
        <f t="shared" si="2"/>
        <v>75323.360000000001</v>
      </c>
      <c r="BF51" s="9">
        <v>18.68</v>
      </c>
      <c r="BG51" s="10">
        <v>44378</v>
      </c>
      <c r="BH51" s="9">
        <f t="shared" si="3"/>
        <v>2056.4699999999998</v>
      </c>
      <c r="BI51" s="9">
        <f t="shared" si="4"/>
        <v>16814.689999999999</v>
      </c>
      <c r="BJ51" s="9">
        <f t="shared" si="5"/>
        <v>8911.3799999999992</v>
      </c>
      <c r="BK51" s="9">
        <f t="shared" si="6"/>
        <v>1854.86</v>
      </c>
      <c r="BL51" s="9">
        <f t="shared" si="7"/>
        <v>8548.48</v>
      </c>
      <c r="BM51" s="9">
        <f t="shared" si="8"/>
        <v>967.75</v>
      </c>
      <c r="BN51" s="9">
        <f t="shared" si="9"/>
        <v>0</v>
      </c>
      <c r="BO51" s="9">
        <f t="shared" si="10"/>
        <v>0</v>
      </c>
      <c r="BP51" s="9">
        <f t="shared" si="11"/>
        <v>564.52</v>
      </c>
      <c r="BQ51" s="9">
        <f t="shared" si="12"/>
        <v>403.23</v>
      </c>
      <c r="BR51" s="9">
        <f t="shared" si="13"/>
        <v>3266.16</v>
      </c>
      <c r="BS51" s="9">
        <f t="shared" si="14"/>
        <v>1370.98</v>
      </c>
      <c r="BT51" s="9">
        <f t="shared" si="15"/>
        <v>282.26</v>
      </c>
      <c r="BU51" s="9">
        <f t="shared" si="16"/>
        <v>15725.97</v>
      </c>
      <c r="BV51" s="9">
        <f t="shared" si="17"/>
        <v>483.88</v>
      </c>
      <c r="BW51" s="9">
        <f t="shared" si="18"/>
        <v>6653.3</v>
      </c>
      <c r="BX51" s="9">
        <f t="shared" si="19"/>
        <v>7419.43</v>
      </c>
      <c r="BY51" s="17">
        <f t="shared" si="20"/>
        <v>75323.360000000001</v>
      </c>
      <c r="BZ51" s="17">
        <v>2.0699999999999998</v>
      </c>
      <c r="CA51" s="17">
        <v>0.03</v>
      </c>
      <c r="CB51" s="173">
        <v>0</v>
      </c>
      <c r="CC51" s="27">
        <v>0.02</v>
      </c>
      <c r="CD51" s="29">
        <v>6.33</v>
      </c>
      <c r="CE51" s="9">
        <v>3504.45</v>
      </c>
      <c r="CF51" s="9"/>
      <c r="CG51" s="9">
        <v>4702.18</v>
      </c>
      <c r="CH51" s="9">
        <v>2447.6</v>
      </c>
      <c r="CI51" s="9">
        <f t="shared" si="40"/>
        <v>0.87</v>
      </c>
      <c r="CJ51" s="9">
        <f t="shared" si="41"/>
        <v>0</v>
      </c>
      <c r="CK51" s="13">
        <f t="shared" si="42"/>
        <v>1.17</v>
      </c>
      <c r="CL51" s="13">
        <f t="shared" si="43"/>
        <v>0.61</v>
      </c>
      <c r="CM51" s="13">
        <v>75323.34</v>
      </c>
      <c r="CN51" s="13">
        <v>3508.04</v>
      </c>
      <c r="CO51" s="13">
        <v>0</v>
      </c>
      <c r="CP51" s="13">
        <v>2782.35</v>
      </c>
      <c r="CQ51" s="13">
        <v>1451.6</v>
      </c>
      <c r="CR51" s="13">
        <v>87298.83</v>
      </c>
      <c r="CS51" s="13">
        <v>4215.68</v>
      </c>
      <c r="CT51" s="13">
        <v>0</v>
      </c>
      <c r="CU51" s="13">
        <v>3808.21</v>
      </c>
      <c r="CV51" s="13">
        <v>1986.96</v>
      </c>
      <c r="CW51" s="202">
        <v>3513</v>
      </c>
      <c r="CX51" s="200">
        <v>2015</v>
      </c>
      <c r="CY51" s="202"/>
      <c r="CZ51" s="202"/>
      <c r="DA51" s="202"/>
      <c r="DB51" s="202"/>
      <c r="DC51" s="202"/>
      <c r="DD51" s="461"/>
      <c r="DE51" s="256"/>
      <c r="DF51" s="204">
        <v>967</v>
      </c>
      <c r="DG51" s="204"/>
      <c r="DH51" s="204"/>
      <c r="DI51" s="204"/>
      <c r="DJ51" s="202"/>
      <c r="DK51" s="202"/>
      <c r="DL51" s="202"/>
      <c r="DM51" s="202"/>
      <c r="DN51" s="202"/>
      <c r="DO51" s="202"/>
      <c r="DP51" s="202">
        <v>18514</v>
      </c>
      <c r="DQ51" s="202">
        <v>2720</v>
      </c>
      <c r="DR51" s="202">
        <v>1.6</v>
      </c>
      <c r="DS51" s="202"/>
      <c r="DT51" s="254"/>
      <c r="DU51" s="254"/>
      <c r="DV51" s="202"/>
      <c r="DW51" s="202">
        <v>16059</v>
      </c>
      <c r="DX51" s="202"/>
      <c r="DY51" s="107">
        <v>1365</v>
      </c>
      <c r="DZ51" s="107">
        <v>577</v>
      </c>
      <c r="EA51" s="202"/>
      <c r="EB51" s="202"/>
      <c r="EC51" s="202"/>
      <c r="ED51" s="202"/>
      <c r="EE51" s="202"/>
      <c r="EF51" s="229"/>
      <c r="EG51" s="202"/>
      <c r="EH51" s="202"/>
      <c r="EI51" s="202"/>
      <c r="EJ51" s="202"/>
      <c r="EK51" s="202">
        <v>3504.45</v>
      </c>
      <c r="EL51" s="202">
        <v>0</v>
      </c>
      <c r="EM51" s="202">
        <v>2783.47</v>
      </c>
      <c r="EN51" s="202">
        <v>1457.24</v>
      </c>
      <c r="EO51" s="202">
        <v>3504.45</v>
      </c>
      <c r="EP51" s="202"/>
      <c r="EQ51" s="202">
        <v>2783.47</v>
      </c>
      <c r="ER51" s="202">
        <v>1457.24</v>
      </c>
      <c r="ES51" s="202"/>
      <c r="ET51" s="202"/>
      <c r="EU51" s="202"/>
      <c r="EV51" s="214">
        <v>83.42</v>
      </c>
      <c r="EW51" s="240">
        <f t="shared" si="25"/>
        <v>8819.2900000000009</v>
      </c>
      <c r="EX51" s="209">
        <f t="shared" si="26"/>
        <v>5740.06</v>
      </c>
    </row>
    <row r="52" spans="1:154" ht="12.75" customHeight="1" x14ac:dyDescent="0.2">
      <c r="A52" s="45" t="s">
        <v>84</v>
      </c>
      <c r="B52" s="55" t="s">
        <v>74</v>
      </c>
      <c r="C52" s="56" t="s">
        <v>8</v>
      </c>
      <c r="D52" s="57" t="s">
        <v>549</v>
      </c>
      <c r="E52" s="56" t="s">
        <v>9</v>
      </c>
      <c r="F52" s="11">
        <v>4</v>
      </c>
      <c r="G52" s="11">
        <v>3</v>
      </c>
      <c r="H52" s="11">
        <v>50</v>
      </c>
      <c r="I52" s="11">
        <v>0</v>
      </c>
      <c r="J52" s="11">
        <v>86</v>
      </c>
      <c r="K52" s="11">
        <v>107</v>
      </c>
      <c r="L52" s="11" t="s">
        <v>746</v>
      </c>
      <c r="M52" s="84">
        <v>178</v>
      </c>
      <c r="N52" s="84">
        <v>261.8</v>
      </c>
      <c r="O52" s="84">
        <v>261.8</v>
      </c>
      <c r="P52" s="135">
        <f>178+377.4+25.8</f>
        <v>581.20000000000005</v>
      </c>
      <c r="Q52" s="146">
        <v>0</v>
      </c>
      <c r="R52" s="133">
        <v>683.3</v>
      </c>
      <c r="S52" s="133">
        <f t="shared" si="27"/>
        <v>1264.5</v>
      </c>
      <c r="T52" s="134">
        <v>178</v>
      </c>
      <c r="U52" s="130">
        <v>0.84</v>
      </c>
      <c r="V52" s="91">
        <v>1.1299999999999999E-2</v>
      </c>
      <c r="W52" s="91" t="s">
        <v>823</v>
      </c>
      <c r="X52" s="132" t="s">
        <v>823</v>
      </c>
      <c r="Y52" s="91">
        <v>1.1299999999999999E-2</v>
      </c>
      <c r="Z52" s="29">
        <v>2101.4499999999998</v>
      </c>
      <c r="AA52" s="34">
        <v>112.1</v>
      </c>
      <c r="AB52" s="9">
        <f t="shared" si="32"/>
        <v>2213.5500000000002</v>
      </c>
      <c r="AC52" s="9">
        <f t="shared" si="39"/>
        <v>14011.77</v>
      </c>
      <c r="AD52" s="9">
        <v>0.4</v>
      </c>
      <c r="AE52" s="9">
        <v>3.36</v>
      </c>
      <c r="AF52" s="21">
        <f>2.41-AJ52</f>
        <v>2.11</v>
      </c>
      <c r="AG52" s="18">
        <f>0.54-AQ52</f>
        <v>0.41</v>
      </c>
      <c r="AH52" s="9">
        <v>2.16</v>
      </c>
      <c r="AI52" s="13">
        <v>656</v>
      </c>
      <c r="AJ52" s="21">
        <f t="shared" si="0"/>
        <v>0.3</v>
      </c>
      <c r="AK52" s="9">
        <v>0</v>
      </c>
      <c r="AL52" s="9">
        <v>0</v>
      </c>
      <c r="AM52" s="9">
        <v>0.26</v>
      </c>
      <c r="AN52" s="13">
        <v>207.6</v>
      </c>
      <c r="AO52" s="13">
        <v>415.2</v>
      </c>
      <c r="AP52" s="13">
        <f t="shared" si="28"/>
        <v>5.58</v>
      </c>
      <c r="AQ52" s="18">
        <f t="shared" si="1"/>
        <v>0.13</v>
      </c>
      <c r="AR52" s="9">
        <v>0.87</v>
      </c>
      <c r="AS52" s="9">
        <v>0.62</v>
      </c>
      <c r="AT52" s="9">
        <v>7.0000000000000007E-2</v>
      </c>
      <c r="AU52" s="9">
        <v>4.59</v>
      </c>
      <c r="AV52" s="9">
        <v>0.11</v>
      </c>
      <c r="AW52" s="9">
        <f>0.33+0.94+0.41</f>
        <v>1.68</v>
      </c>
      <c r="AX52" s="9">
        <f>1.33+0.54</f>
        <v>1.87</v>
      </c>
      <c r="AY52" s="58">
        <f>SUM(AD52:AH52,AJ52:AM52,AQ52:AX52)</f>
        <v>18.940000000000001</v>
      </c>
      <c r="AZ52" s="59">
        <v>2104.6</v>
      </c>
      <c r="BA52" s="59">
        <v>112.1</v>
      </c>
      <c r="BB52" s="59">
        <f t="shared" si="30"/>
        <v>2216.6999999999998</v>
      </c>
      <c r="BC52" s="59">
        <v>18.940000000000001</v>
      </c>
      <c r="BD52" s="13">
        <f t="shared" si="31"/>
        <v>0</v>
      </c>
      <c r="BE52" s="9">
        <f t="shared" si="2"/>
        <v>41924.639999999999</v>
      </c>
      <c r="BF52" s="9">
        <v>18.940000000000001</v>
      </c>
      <c r="BG52" s="10">
        <v>44409</v>
      </c>
      <c r="BH52" s="9">
        <f t="shared" si="3"/>
        <v>885.42</v>
      </c>
      <c r="BI52" s="9">
        <f t="shared" si="4"/>
        <v>7437.53</v>
      </c>
      <c r="BJ52" s="9">
        <f t="shared" si="5"/>
        <v>4670.59</v>
      </c>
      <c r="BK52" s="9">
        <f t="shared" si="6"/>
        <v>907.56</v>
      </c>
      <c r="BL52" s="9">
        <f t="shared" si="7"/>
        <v>4781.2700000000004</v>
      </c>
      <c r="BM52" s="9">
        <f t="shared" si="8"/>
        <v>664.07</v>
      </c>
      <c r="BN52" s="9">
        <f t="shared" si="9"/>
        <v>0</v>
      </c>
      <c r="BO52" s="9">
        <f t="shared" si="10"/>
        <v>0</v>
      </c>
      <c r="BP52" s="9">
        <f t="shared" si="11"/>
        <v>575.52</v>
      </c>
      <c r="BQ52" s="9">
        <f t="shared" si="12"/>
        <v>287.76</v>
      </c>
      <c r="BR52" s="9">
        <f t="shared" si="13"/>
        <v>1925.79</v>
      </c>
      <c r="BS52" s="9">
        <f t="shared" si="14"/>
        <v>1372.4</v>
      </c>
      <c r="BT52" s="9">
        <f t="shared" si="15"/>
        <v>154.94999999999999</v>
      </c>
      <c r="BU52" s="9">
        <f t="shared" si="16"/>
        <v>10160.19</v>
      </c>
      <c r="BV52" s="9">
        <f t="shared" si="17"/>
        <v>243.49</v>
      </c>
      <c r="BW52" s="9">
        <f t="shared" si="18"/>
        <v>3718.76</v>
      </c>
      <c r="BX52" s="9">
        <f t="shared" si="19"/>
        <v>4139.34</v>
      </c>
      <c r="BY52" s="17">
        <f t="shared" si="20"/>
        <v>41924.639999999999</v>
      </c>
      <c r="BZ52" s="17">
        <v>0.98</v>
      </c>
      <c r="CA52" s="17">
        <v>0.02</v>
      </c>
      <c r="CB52" s="173">
        <v>0</v>
      </c>
      <c r="CC52" s="27">
        <v>0.01</v>
      </c>
      <c r="CD52" s="29">
        <v>6.33</v>
      </c>
      <c r="CE52" s="9">
        <v>5011.13</v>
      </c>
      <c r="CF52" s="9"/>
      <c r="CG52" s="9">
        <v>0</v>
      </c>
      <c r="CH52" s="9">
        <v>0</v>
      </c>
      <c r="CI52" s="9">
        <f t="shared" si="40"/>
        <v>2.2599999999999998</v>
      </c>
      <c r="CJ52" s="9">
        <f t="shared" si="41"/>
        <v>0</v>
      </c>
      <c r="CK52" s="13">
        <f t="shared" si="42"/>
        <v>0</v>
      </c>
      <c r="CL52" s="13">
        <f t="shared" si="43"/>
        <v>0</v>
      </c>
      <c r="CM52" s="13">
        <v>39786.370000000003</v>
      </c>
      <c r="CN52" s="13">
        <v>2667.03</v>
      </c>
      <c r="CO52" s="13">
        <v>0</v>
      </c>
      <c r="CP52" s="13">
        <v>-0.02</v>
      </c>
      <c r="CQ52" s="13">
        <v>-0.01</v>
      </c>
      <c r="CR52" s="13">
        <v>46967.12</v>
      </c>
      <c r="CS52" s="13">
        <v>2722.61</v>
      </c>
      <c r="CT52" s="13">
        <v>0</v>
      </c>
      <c r="CU52" s="13">
        <v>11.52</v>
      </c>
      <c r="CV52" s="13">
        <v>5.72</v>
      </c>
      <c r="CW52" s="202">
        <v>1928</v>
      </c>
      <c r="CX52" s="200">
        <v>1106</v>
      </c>
      <c r="CY52" s="202"/>
      <c r="CZ52" s="202"/>
      <c r="DA52" s="202"/>
      <c r="DB52" s="202"/>
      <c r="DC52" s="202"/>
      <c r="DD52" s="461"/>
      <c r="DE52" s="256"/>
      <c r="DF52" s="204">
        <v>656</v>
      </c>
      <c r="DG52" s="204"/>
      <c r="DH52" s="204"/>
      <c r="DI52" s="204"/>
      <c r="DJ52" s="202"/>
      <c r="DK52" s="202"/>
      <c r="DL52" s="202"/>
      <c r="DM52" s="202"/>
      <c r="DN52" s="202"/>
      <c r="DO52" s="202"/>
      <c r="DP52" s="202">
        <v>8206</v>
      </c>
      <c r="DQ52" s="202">
        <v>3400</v>
      </c>
      <c r="DR52" s="202">
        <v>2</v>
      </c>
      <c r="DS52" s="202"/>
      <c r="DT52" s="254"/>
      <c r="DU52" s="254"/>
      <c r="DV52" s="202"/>
      <c r="DW52" s="202">
        <v>8604</v>
      </c>
      <c r="DX52" s="202"/>
      <c r="DY52" s="107">
        <v>1365</v>
      </c>
      <c r="DZ52" s="107">
        <v>577</v>
      </c>
      <c r="EA52" s="202"/>
      <c r="EB52" s="202"/>
      <c r="EC52" s="202"/>
      <c r="ED52" s="202"/>
      <c r="EE52" s="202"/>
      <c r="EF52" s="229"/>
      <c r="EG52" s="202"/>
      <c r="EH52" s="202"/>
      <c r="EI52" s="202"/>
      <c r="EJ52" s="202"/>
      <c r="EK52" s="202">
        <v>2808.62</v>
      </c>
      <c r="EL52" s="202">
        <v>0</v>
      </c>
      <c r="EM52" s="202">
        <v>0</v>
      </c>
      <c r="EN52" s="202">
        <v>0</v>
      </c>
      <c r="EO52" s="202">
        <v>2808.62</v>
      </c>
      <c r="EP52" s="202"/>
      <c r="EQ52" s="202">
        <v>0</v>
      </c>
      <c r="ER52" s="202">
        <v>0</v>
      </c>
      <c r="ES52" s="202"/>
      <c r="ET52" s="202"/>
      <c r="EU52" s="202"/>
      <c r="EV52" s="214">
        <v>0.14000000000000001</v>
      </c>
      <c r="EW52" s="240">
        <f t="shared" si="25"/>
        <v>4841.3900000000003</v>
      </c>
      <c r="EX52" s="209">
        <f t="shared" si="26"/>
        <v>3151.03</v>
      </c>
    </row>
    <row r="53" spans="1:154" ht="12.75" customHeight="1" x14ac:dyDescent="0.2">
      <c r="A53" s="45" t="s">
        <v>85</v>
      </c>
      <c r="B53" s="51" t="s">
        <v>74</v>
      </c>
      <c r="C53" s="52" t="s">
        <v>11</v>
      </c>
      <c r="D53" s="53" t="s">
        <v>550</v>
      </c>
      <c r="E53" s="52" t="s">
        <v>30</v>
      </c>
      <c r="F53" s="11">
        <v>5</v>
      </c>
      <c r="G53" s="11">
        <v>3</v>
      </c>
      <c r="H53" s="11">
        <v>60</v>
      </c>
      <c r="I53" s="11">
        <v>0</v>
      </c>
      <c r="J53" s="11">
        <v>107</v>
      </c>
      <c r="K53" s="11">
        <v>163</v>
      </c>
      <c r="L53" s="11" t="s">
        <v>746</v>
      </c>
      <c r="M53" s="84">
        <v>204</v>
      </c>
      <c r="N53" s="84">
        <v>651</v>
      </c>
      <c r="O53" s="84">
        <v>0</v>
      </c>
      <c r="P53" s="135">
        <v>204</v>
      </c>
      <c r="Q53" s="135">
        <v>651</v>
      </c>
      <c r="R53" s="133">
        <v>0</v>
      </c>
      <c r="S53" s="133">
        <f t="shared" si="27"/>
        <v>855</v>
      </c>
      <c r="T53" s="134">
        <v>204</v>
      </c>
      <c r="U53" s="130">
        <v>1.53</v>
      </c>
      <c r="V53" s="91">
        <v>1.9800000000000002E-2</v>
      </c>
      <c r="W53" s="91">
        <v>1.9800000000000002E-2</v>
      </c>
      <c r="X53" s="132">
        <v>1.2199999999999999E-3</v>
      </c>
      <c r="Y53" s="91">
        <v>3.95E-2</v>
      </c>
      <c r="Z53" s="29">
        <v>2556.48</v>
      </c>
      <c r="AA53" s="34"/>
      <c r="AB53" s="9">
        <f t="shared" si="32"/>
        <v>2556.48</v>
      </c>
      <c r="AC53" s="9">
        <f t="shared" si="39"/>
        <v>16182.52</v>
      </c>
      <c r="AD53" s="9">
        <v>0.4</v>
      </c>
      <c r="AE53" s="9">
        <v>4.71</v>
      </c>
      <c r="AF53" s="21">
        <f>2.43-AJ53</f>
        <v>2.19</v>
      </c>
      <c r="AG53" s="18">
        <f>0.54-AQ53</f>
        <v>0.43</v>
      </c>
      <c r="AH53" s="9">
        <v>2.74</v>
      </c>
      <c r="AI53" s="13">
        <v>625</v>
      </c>
      <c r="AJ53" s="21">
        <f t="shared" si="0"/>
        <v>0.24</v>
      </c>
      <c r="AK53" s="9">
        <v>0</v>
      </c>
      <c r="AL53" s="9">
        <v>0</v>
      </c>
      <c r="AM53" s="9">
        <v>0.37</v>
      </c>
      <c r="AN53" s="13"/>
      <c r="AO53" s="13">
        <v>601.20000000000005</v>
      </c>
      <c r="AP53" s="13">
        <f t="shared" si="28"/>
        <v>5.58</v>
      </c>
      <c r="AQ53" s="18">
        <f t="shared" si="1"/>
        <v>0.11</v>
      </c>
      <c r="AR53" s="9">
        <v>0.81</v>
      </c>
      <c r="AS53" s="9">
        <v>0.53</v>
      </c>
      <c r="AT53" s="9">
        <v>7.0000000000000007E-2</v>
      </c>
      <c r="AU53" s="9">
        <v>3.71</v>
      </c>
      <c r="AV53" s="9">
        <v>0.13</v>
      </c>
      <c r="AW53" s="9">
        <f>1.13+0.33+0.33</f>
        <v>1.79</v>
      </c>
      <c r="AX53" s="9">
        <f>1.56+0.44</f>
        <v>2</v>
      </c>
      <c r="AY53" s="54">
        <f t="shared" si="29"/>
        <v>20.23</v>
      </c>
      <c r="AZ53" s="43">
        <v>2551.9</v>
      </c>
      <c r="BA53" s="43">
        <v>0</v>
      </c>
      <c r="BB53" s="43">
        <f t="shared" si="30"/>
        <v>2551.9</v>
      </c>
      <c r="BC53" s="43">
        <v>20.23</v>
      </c>
      <c r="BD53" s="13">
        <f t="shared" si="31"/>
        <v>0</v>
      </c>
      <c r="BE53" s="9">
        <f t="shared" si="2"/>
        <v>51717.59</v>
      </c>
      <c r="BF53" s="9">
        <v>20.23</v>
      </c>
      <c r="BG53" s="10">
        <v>44409</v>
      </c>
      <c r="BH53" s="9">
        <f t="shared" si="3"/>
        <v>1022.59</v>
      </c>
      <c r="BI53" s="9">
        <f t="shared" si="4"/>
        <v>12041.02</v>
      </c>
      <c r="BJ53" s="9">
        <f t="shared" si="5"/>
        <v>5598.69</v>
      </c>
      <c r="BK53" s="9">
        <f t="shared" si="6"/>
        <v>1099.29</v>
      </c>
      <c r="BL53" s="9">
        <f t="shared" si="7"/>
        <v>7004.76</v>
      </c>
      <c r="BM53" s="9">
        <f t="shared" si="8"/>
        <v>613.55999999999995</v>
      </c>
      <c r="BN53" s="9">
        <f t="shared" si="9"/>
        <v>0</v>
      </c>
      <c r="BO53" s="9">
        <f t="shared" si="10"/>
        <v>0</v>
      </c>
      <c r="BP53" s="9">
        <f t="shared" si="11"/>
        <v>945.9</v>
      </c>
      <c r="BQ53" s="9">
        <f t="shared" si="12"/>
        <v>281.20999999999998</v>
      </c>
      <c r="BR53" s="9">
        <f t="shared" si="13"/>
        <v>2070.75</v>
      </c>
      <c r="BS53" s="9">
        <f t="shared" si="14"/>
        <v>1354.93</v>
      </c>
      <c r="BT53" s="9">
        <f t="shared" si="15"/>
        <v>178.95</v>
      </c>
      <c r="BU53" s="9">
        <f t="shared" si="16"/>
        <v>9484.5400000000009</v>
      </c>
      <c r="BV53" s="9">
        <f t="shared" si="17"/>
        <v>332.34</v>
      </c>
      <c r="BW53" s="9">
        <f t="shared" si="18"/>
        <v>4576.1000000000004</v>
      </c>
      <c r="BX53" s="9">
        <f t="shared" si="19"/>
        <v>5112.96</v>
      </c>
      <c r="BY53" s="17">
        <f t="shared" si="20"/>
        <v>51717.59</v>
      </c>
      <c r="BZ53" s="17">
        <v>1.96</v>
      </c>
      <c r="CA53" s="17">
        <v>0.04</v>
      </c>
      <c r="CB53" s="17">
        <v>0.25</v>
      </c>
      <c r="CC53" s="27">
        <v>0.04</v>
      </c>
      <c r="CD53" s="29">
        <v>6.33</v>
      </c>
      <c r="CE53" s="9">
        <v>0</v>
      </c>
      <c r="CF53" s="9"/>
      <c r="CG53" s="9">
        <v>0</v>
      </c>
      <c r="CH53" s="9">
        <v>57.15</v>
      </c>
      <c r="CI53" s="9">
        <f t="shared" si="40"/>
        <v>0</v>
      </c>
      <c r="CJ53" s="9">
        <f t="shared" si="41"/>
        <v>0</v>
      </c>
      <c r="CK53" s="13">
        <f t="shared" si="42"/>
        <v>0</v>
      </c>
      <c r="CL53" s="13">
        <f t="shared" si="43"/>
        <v>0.02</v>
      </c>
      <c r="CM53" s="13">
        <v>51717.64</v>
      </c>
      <c r="CN53" s="13">
        <v>15722.54</v>
      </c>
      <c r="CO53" s="13">
        <v>0</v>
      </c>
      <c r="CP53" s="13">
        <v>0</v>
      </c>
      <c r="CQ53" s="13">
        <v>51.13</v>
      </c>
      <c r="CR53" s="13">
        <v>51276.56</v>
      </c>
      <c r="CS53" s="13">
        <v>13128.59</v>
      </c>
      <c r="CT53" s="13">
        <v>2695.11</v>
      </c>
      <c r="CU53" s="13">
        <v>15.25</v>
      </c>
      <c r="CV53" s="13">
        <v>53.93</v>
      </c>
      <c r="CW53" s="202">
        <v>2227</v>
      </c>
      <c r="CX53" s="200">
        <v>1278</v>
      </c>
      <c r="CY53" s="202"/>
      <c r="CZ53" s="202"/>
      <c r="DA53" s="202"/>
      <c r="DB53" s="202"/>
      <c r="DC53" s="202"/>
      <c r="DD53" s="461"/>
      <c r="DE53" s="256"/>
      <c r="DF53" s="204">
        <v>625</v>
      </c>
      <c r="DG53" s="204"/>
      <c r="DH53" s="204"/>
      <c r="DI53" s="204"/>
      <c r="DJ53" s="202"/>
      <c r="DK53" s="202"/>
      <c r="DL53" s="202"/>
      <c r="DM53" s="202"/>
      <c r="DN53" s="202"/>
      <c r="DO53" s="202"/>
      <c r="DP53" s="202">
        <v>12770</v>
      </c>
      <c r="DQ53" s="202">
        <v>3400</v>
      </c>
      <c r="DR53" s="202">
        <v>2</v>
      </c>
      <c r="DS53" s="202"/>
      <c r="DT53" s="254"/>
      <c r="DU53" s="254"/>
      <c r="DV53" s="202"/>
      <c r="DW53" s="202">
        <v>11345</v>
      </c>
      <c r="DX53" s="202"/>
      <c r="DY53" s="107">
        <v>1365</v>
      </c>
      <c r="DZ53" s="107">
        <v>942</v>
      </c>
      <c r="EA53" s="202"/>
      <c r="EB53" s="202"/>
      <c r="EC53" s="202"/>
      <c r="ED53" s="202"/>
      <c r="EE53" s="202"/>
      <c r="EF53" s="229"/>
      <c r="EG53" s="202"/>
      <c r="EH53" s="202"/>
      <c r="EI53" s="202"/>
      <c r="EJ53" s="202"/>
      <c r="EK53" s="202">
        <v>13536.87</v>
      </c>
      <c r="EL53" s="202">
        <v>0</v>
      </c>
      <c r="EM53" s="202">
        <v>0</v>
      </c>
      <c r="EN53" s="202">
        <v>57.15</v>
      </c>
      <c r="EO53" s="202">
        <v>13536.87</v>
      </c>
      <c r="EP53" s="202"/>
      <c r="EQ53" s="202">
        <v>0</v>
      </c>
      <c r="ER53" s="202">
        <v>57.15</v>
      </c>
      <c r="ES53" s="202"/>
      <c r="ET53" s="202"/>
      <c r="EU53" s="202"/>
      <c r="EV53" s="214">
        <f>-1.87+8520.95</f>
        <v>8519.08</v>
      </c>
      <c r="EW53" s="240">
        <f t="shared" si="25"/>
        <v>5591.43</v>
      </c>
      <c r="EX53" s="209">
        <f t="shared" si="26"/>
        <v>3639.2</v>
      </c>
    </row>
    <row r="54" spans="1:154" ht="12.75" customHeight="1" x14ac:dyDescent="0.2">
      <c r="A54" s="45" t="s">
        <v>86</v>
      </c>
      <c r="B54" s="48" t="s">
        <v>74</v>
      </c>
      <c r="C54" s="49" t="s">
        <v>48</v>
      </c>
      <c r="D54" s="50" t="s">
        <v>408</v>
      </c>
      <c r="E54" s="49" t="s">
        <v>12</v>
      </c>
      <c r="F54" s="11">
        <v>9</v>
      </c>
      <c r="G54" s="11">
        <v>3</v>
      </c>
      <c r="H54" s="11">
        <v>108</v>
      </c>
      <c r="I54" s="11">
        <v>108</v>
      </c>
      <c r="J54" s="11">
        <v>283</v>
      </c>
      <c r="K54" s="11">
        <v>319</v>
      </c>
      <c r="L54" s="83">
        <v>3</v>
      </c>
      <c r="M54" s="84">
        <v>883.5</v>
      </c>
      <c r="N54" s="84">
        <v>133.5</v>
      </c>
      <c r="O54" s="84">
        <v>987</v>
      </c>
      <c r="P54" s="135">
        <f>494.7+460.1</f>
        <v>954.8</v>
      </c>
      <c r="Q54" s="135">
        <v>929.8</v>
      </c>
      <c r="R54" s="133">
        <v>987.6</v>
      </c>
      <c r="S54" s="133">
        <f t="shared" si="27"/>
        <v>2872.2</v>
      </c>
      <c r="T54" s="134">
        <v>954.8</v>
      </c>
      <c r="U54" s="130">
        <v>2.44</v>
      </c>
      <c r="V54" s="131">
        <v>1.9800000000000002E-2</v>
      </c>
      <c r="W54" s="91">
        <v>1.9800000000000002E-2</v>
      </c>
      <c r="X54" s="132">
        <v>1.32E-3</v>
      </c>
      <c r="Y54" s="131">
        <v>3.9699999999999999E-2</v>
      </c>
      <c r="Z54" s="29">
        <v>5915</v>
      </c>
      <c r="AA54" s="34"/>
      <c r="AB54" s="9">
        <f t="shared" si="32"/>
        <v>5915</v>
      </c>
      <c r="AC54" s="9">
        <f t="shared" si="39"/>
        <v>37441.949999999997</v>
      </c>
      <c r="AD54" s="9">
        <v>2.0499999999999998</v>
      </c>
      <c r="AE54" s="9">
        <v>4.78</v>
      </c>
      <c r="AF54" s="21">
        <f>2.39-AJ54</f>
        <v>2.23</v>
      </c>
      <c r="AG54" s="18">
        <f>0.61-AQ54</f>
        <v>0.56000000000000005</v>
      </c>
      <c r="AH54" s="9">
        <v>2.4700000000000002</v>
      </c>
      <c r="AI54" s="13">
        <v>948</v>
      </c>
      <c r="AJ54" s="21">
        <f t="shared" si="0"/>
        <v>0.16</v>
      </c>
      <c r="AK54" s="9">
        <v>2.19</v>
      </c>
      <c r="AL54" s="9">
        <v>0.19</v>
      </c>
      <c r="AM54" s="9">
        <v>0.1</v>
      </c>
      <c r="AN54" s="13"/>
      <c r="AO54" s="13">
        <v>615.29999999999995</v>
      </c>
      <c r="AP54" s="13">
        <f t="shared" si="28"/>
        <v>5.58</v>
      </c>
      <c r="AQ54" s="18">
        <f t="shared" si="1"/>
        <v>0.05</v>
      </c>
      <c r="AR54" s="9">
        <v>0.56000000000000005</v>
      </c>
      <c r="AS54" s="9">
        <v>0.23</v>
      </c>
      <c r="AT54" s="9">
        <v>7.0000000000000007E-2</v>
      </c>
      <c r="AU54" s="9">
        <v>3.89</v>
      </c>
      <c r="AV54" s="9">
        <v>0.17</v>
      </c>
      <c r="AW54" s="9">
        <f>0.26+1.4+0.34</f>
        <v>2</v>
      </c>
      <c r="AX54" s="9">
        <f>1.97+0.46</f>
        <v>2.4300000000000002</v>
      </c>
      <c r="AY54" s="46">
        <f t="shared" si="29"/>
        <v>24.13</v>
      </c>
      <c r="AZ54" s="47">
        <v>5903.2</v>
      </c>
      <c r="BA54" s="47">
        <v>0</v>
      </c>
      <c r="BB54" s="47">
        <f t="shared" si="30"/>
        <v>5903.2</v>
      </c>
      <c r="BC54" s="47">
        <v>24.13</v>
      </c>
      <c r="BD54" s="13">
        <f t="shared" si="31"/>
        <v>0</v>
      </c>
      <c r="BE54" s="9">
        <f t="shared" si="2"/>
        <v>142728.95000000001</v>
      </c>
      <c r="BF54" s="9">
        <v>24.13</v>
      </c>
      <c r="BG54" s="10">
        <v>44409</v>
      </c>
      <c r="BH54" s="9">
        <f t="shared" si="3"/>
        <v>12125.75</v>
      </c>
      <c r="BI54" s="9">
        <f t="shared" si="4"/>
        <v>28273.7</v>
      </c>
      <c r="BJ54" s="9">
        <f t="shared" si="5"/>
        <v>13190.45</v>
      </c>
      <c r="BK54" s="9">
        <f t="shared" si="6"/>
        <v>3312.4</v>
      </c>
      <c r="BL54" s="9">
        <f t="shared" si="7"/>
        <v>14610.05</v>
      </c>
      <c r="BM54" s="9">
        <f t="shared" si="8"/>
        <v>946.4</v>
      </c>
      <c r="BN54" s="9">
        <f t="shared" si="9"/>
        <v>12953.85</v>
      </c>
      <c r="BO54" s="9">
        <f t="shared" si="10"/>
        <v>1123.8499999999999</v>
      </c>
      <c r="BP54" s="9">
        <f t="shared" si="11"/>
        <v>591.5</v>
      </c>
      <c r="BQ54" s="9">
        <f t="shared" si="12"/>
        <v>295.75</v>
      </c>
      <c r="BR54" s="9">
        <f t="shared" si="13"/>
        <v>3312.4</v>
      </c>
      <c r="BS54" s="9">
        <f t="shared" si="14"/>
        <v>1360.45</v>
      </c>
      <c r="BT54" s="9">
        <f t="shared" si="15"/>
        <v>414.05</v>
      </c>
      <c r="BU54" s="9">
        <f t="shared" si="16"/>
        <v>23009.35</v>
      </c>
      <c r="BV54" s="9">
        <f t="shared" si="17"/>
        <v>1005.55</v>
      </c>
      <c r="BW54" s="9">
        <f t="shared" si="18"/>
        <v>11830</v>
      </c>
      <c r="BX54" s="9">
        <f t="shared" si="19"/>
        <v>14373.45</v>
      </c>
      <c r="BY54" s="17">
        <f t="shared" si="20"/>
        <v>142728.95000000001</v>
      </c>
      <c r="BZ54" s="17">
        <v>3.06</v>
      </c>
      <c r="CA54" s="17">
        <v>0.09</v>
      </c>
      <c r="CB54" s="17">
        <v>0.51</v>
      </c>
      <c r="CC54" s="27">
        <v>0.09</v>
      </c>
      <c r="CD54" s="29">
        <v>6.33</v>
      </c>
      <c r="CE54" s="9">
        <v>37683.410000000003</v>
      </c>
      <c r="CF54" s="9"/>
      <c r="CG54" s="9">
        <v>510.89</v>
      </c>
      <c r="CH54" s="9">
        <v>536.29</v>
      </c>
      <c r="CI54" s="9">
        <f t="shared" si="40"/>
        <v>6.37</v>
      </c>
      <c r="CJ54" s="9">
        <f t="shared" si="41"/>
        <v>0</v>
      </c>
      <c r="CK54" s="13">
        <f t="shared" si="42"/>
        <v>0.09</v>
      </c>
      <c r="CL54" s="13">
        <f t="shared" si="43"/>
        <v>0.09</v>
      </c>
      <c r="CM54" s="13">
        <v>142728.98000000001</v>
      </c>
      <c r="CN54" s="13">
        <v>40162.89</v>
      </c>
      <c r="CO54" s="13">
        <v>0</v>
      </c>
      <c r="CP54" s="13">
        <v>532.38</v>
      </c>
      <c r="CQ54" s="13">
        <v>532.38</v>
      </c>
      <c r="CR54" s="13">
        <v>147002.26999999999</v>
      </c>
      <c r="CS54" s="13">
        <v>28269.79</v>
      </c>
      <c r="CT54" s="13">
        <v>552.07000000000005</v>
      </c>
      <c r="CU54" s="13">
        <v>548.30999999999995</v>
      </c>
      <c r="CV54" s="13">
        <v>548.30999999999995</v>
      </c>
      <c r="CW54" s="202">
        <v>5151</v>
      </c>
      <c r="CX54" s="200">
        <v>2955</v>
      </c>
      <c r="CY54" s="202"/>
      <c r="CZ54" s="202"/>
      <c r="DA54" s="202"/>
      <c r="DB54" s="202"/>
      <c r="DC54" s="202"/>
      <c r="DD54" s="461"/>
      <c r="DE54" s="256"/>
      <c r="DF54" s="204">
        <v>948</v>
      </c>
      <c r="DG54" s="204"/>
      <c r="DH54" s="204"/>
      <c r="DI54" s="204"/>
      <c r="DJ54" s="202"/>
      <c r="DK54" s="202">
        <v>12900</v>
      </c>
      <c r="DL54" s="202"/>
      <c r="DM54" s="202"/>
      <c r="DN54" s="202"/>
      <c r="DO54" s="202"/>
      <c r="DP54" s="202">
        <v>39402</v>
      </c>
      <c r="DQ54" s="202">
        <v>3400</v>
      </c>
      <c r="DR54" s="202">
        <v>2</v>
      </c>
      <c r="DS54" s="202"/>
      <c r="DT54" s="254"/>
      <c r="DU54" s="254"/>
      <c r="DV54" s="202"/>
      <c r="DW54" s="202">
        <v>25775</v>
      </c>
      <c r="DX54" s="202"/>
      <c r="DY54" s="107"/>
      <c r="DZ54" s="107"/>
      <c r="EA54" s="202"/>
      <c r="EB54" s="202"/>
      <c r="EC54" s="202"/>
      <c r="ED54" s="202"/>
      <c r="EE54" s="202"/>
      <c r="EF54" s="229"/>
      <c r="EG54" s="202"/>
      <c r="EH54" s="202"/>
      <c r="EI54" s="202"/>
      <c r="EJ54" s="202"/>
      <c r="EK54" s="202">
        <v>40133.769999999997</v>
      </c>
      <c r="EL54" s="202">
        <v>0</v>
      </c>
      <c r="EM54" s="202">
        <v>510.89</v>
      </c>
      <c r="EN54" s="202">
        <v>536.29</v>
      </c>
      <c r="EO54" s="202">
        <v>40133.769999999997</v>
      </c>
      <c r="EP54" s="202"/>
      <c r="EQ54" s="202">
        <v>510.89</v>
      </c>
      <c r="ER54" s="202">
        <v>536.29</v>
      </c>
      <c r="ES54" s="202"/>
      <c r="ET54" s="202"/>
      <c r="EU54" s="202"/>
      <c r="EV54" s="214">
        <v>2.15</v>
      </c>
      <c r="EW54" s="240">
        <f t="shared" si="25"/>
        <v>12937.05</v>
      </c>
      <c r="EX54" s="209">
        <f t="shared" si="26"/>
        <v>8420.1200000000008</v>
      </c>
    </row>
    <row r="55" spans="1:154" ht="12.75" customHeight="1" x14ac:dyDescent="0.2">
      <c r="A55" s="45" t="s">
        <v>87</v>
      </c>
      <c r="B55" s="48" t="s">
        <v>74</v>
      </c>
      <c r="C55" s="49" t="s">
        <v>23</v>
      </c>
      <c r="D55" s="48" t="s">
        <v>622</v>
      </c>
      <c r="E55" s="49"/>
      <c r="F55" s="11">
        <v>9</v>
      </c>
      <c r="G55" s="11">
        <v>2</v>
      </c>
      <c r="H55" s="11">
        <v>72</v>
      </c>
      <c r="I55" s="11">
        <v>74</v>
      </c>
      <c r="J55" s="11">
        <v>154</v>
      </c>
      <c r="K55" s="11">
        <v>198</v>
      </c>
      <c r="L55" s="11">
        <v>2</v>
      </c>
      <c r="M55" s="84">
        <v>494.1</v>
      </c>
      <c r="N55" s="84">
        <v>632.29999999999995</v>
      </c>
      <c r="O55" s="84">
        <v>632.29999999999995</v>
      </c>
      <c r="P55" s="135">
        <f>222.5+271.6+5.2+4.8+28.6+30</f>
        <v>562.70000000000005</v>
      </c>
      <c r="Q55" s="146">
        <v>0</v>
      </c>
      <c r="R55" s="133">
        <v>0</v>
      </c>
      <c r="S55" s="133">
        <f t="shared" si="27"/>
        <v>562.70000000000005</v>
      </c>
      <c r="T55" s="134">
        <v>562.70000000000005</v>
      </c>
      <c r="U55" s="130">
        <v>2.44</v>
      </c>
      <c r="V55" s="91">
        <v>1.9800000000000002E-2</v>
      </c>
      <c r="W55" s="91">
        <v>1.9800000000000002E-2</v>
      </c>
      <c r="X55" s="132">
        <v>1.32E-3</v>
      </c>
      <c r="Y55" s="91">
        <v>3.9699999999999999E-2</v>
      </c>
      <c r="Z55" s="29">
        <v>3813.44</v>
      </c>
      <c r="AA55" s="34">
        <v>219.4</v>
      </c>
      <c r="AB55" s="9">
        <f t="shared" si="32"/>
        <v>4032.84</v>
      </c>
      <c r="AC55" s="9">
        <f t="shared" si="39"/>
        <v>25527.88</v>
      </c>
      <c r="AD55" s="9">
        <v>2.33</v>
      </c>
      <c r="AE55" s="9">
        <v>4.16</v>
      </c>
      <c r="AF55" s="21">
        <f>2.46-AJ55</f>
        <v>2.31</v>
      </c>
      <c r="AG55" s="18">
        <f>0.61-AQ55</f>
        <v>0.56000000000000005</v>
      </c>
      <c r="AH55" s="9">
        <v>2.78</v>
      </c>
      <c r="AI55" s="13">
        <v>607</v>
      </c>
      <c r="AJ55" s="21">
        <f t="shared" si="0"/>
        <v>0.15</v>
      </c>
      <c r="AK55" s="9">
        <v>2.13</v>
      </c>
      <c r="AL55" s="9">
        <v>0.19</v>
      </c>
      <c r="AM55" s="9">
        <v>0.14000000000000001</v>
      </c>
      <c r="AN55" s="13"/>
      <c r="AO55" s="13">
        <v>446.4</v>
      </c>
      <c r="AP55" s="13">
        <f t="shared" si="28"/>
        <v>5.58</v>
      </c>
      <c r="AQ55" s="18">
        <f t="shared" si="1"/>
        <v>0.05</v>
      </c>
      <c r="AR55" s="9">
        <v>0.54</v>
      </c>
      <c r="AS55" s="9">
        <v>0.34</v>
      </c>
      <c r="AT55" s="9">
        <v>7.0000000000000007E-2</v>
      </c>
      <c r="AU55" s="9">
        <v>3.98</v>
      </c>
      <c r="AV55" s="9">
        <v>0.17</v>
      </c>
      <c r="AW55" s="9">
        <f>0.26+1.41+0.35</f>
        <v>2.02</v>
      </c>
      <c r="AX55" s="9">
        <f>1.98+0.47</f>
        <v>2.4500000000000002</v>
      </c>
      <c r="AY55" s="46">
        <f t="shared" si="29"/>
        <v>24.37</v>
      </c>
      <c r="AZ55" s="47"/>
      <c r="BA55" s="47"/>
      <c r="BB55" s="47"/>
      <c r="BC55" s="47">
        <v>24.37</v>
      </c>
      <c r="BD55" s="13">
        <f t="shared" si="31"/>
        <v>0</v>
      </c>
      <c r="BE55" s="9">
        <f t="shared" si="2"/>
        <v>98280.31</v>
      </c>
      <c r="BF55" s="9">
        <v>24.37</v>
      </c>
      <c r="BG55" s="10">
        <v>44440</v>
      </c>
      <c r="BH55" s="9">
        <f t="shared" si="3"/>
        <v>9396.52</v>
      </c>
      <c r="BI55" s="9">
        <f t="shared" si="4"/>
        <v>16776.61</v>
      </c>
      <c r="BJ55" s="9">
        <f t="shared" si="5"/>
        <v>9315.86</v>
      </c>
      <c r="BK55" s="9">
        <f t="shared" si="6"/>
        <v>2258.39</v>
      </c>
      <c r="BL55" s="9">
        <f t="shared" si="7"/>
        <v>11211.3</v>
      </c>
      <c r="BM55" s="9">
        <f t="shared" si="8"/>
        <v>604.92999999999995</v>
      </c>
      <c r="BN55" s="9">
        <f t="shared" si="9"/>
        <v>8589.9500000000007</v>
      </c>
      <c r="BO55" s="9">
        <f t="shared" si="10"/>
        <v>766.24</v>
      </c>
      <c r="BP55" s="9">
        <f t="shared" si="11"/>
        <v>564.6</v>
      </c>
      <c r="BQ55" s="9">
        <f t="shared" si="12"/>
        <v>201.64</v>
      </c>
      <c r="BR55" s="9">
        <f t="shared" si="13"/>
        <v>2177.73</v>
      </c>
      <c r="BS55" s="9">
        <f t="shared" si="14"/>
        <v>1371.17</v>
      </c>
      <c r="BT55" s="9">
        <f t="shared" si="15"/>
        <v>282.3</v>
      </c>
      <c r="BU55" s="9">
        <f t="shared" si="16"/>
        <v>16050.7</v>
      </c>
      <c r="BV55" s="9">
        <f t="shared" si="17"/>
        <v>685.58</v>
      </c>
      <c r="BW55" s="9">
        <f t="shared" si="18"/>
        <v>8146.34</v>
      </c>
      <c r="BX55" s="9">
        <f t="shared" si="19"/>
        <v>9880.4599999999991</v>
      </c>
      <c r="BY55" s="17">
        <f t="shared" si="20"/>
        <v>98280.320000000007</v>
      </c>
      <c r="BZ55" s="17">
        <v>3.93</v>
      </c>
      <c r="CA55" s="17">
        <v>7.0000000000000007E-2</v>
      </c>
      <c r="CB55" s="17">
        <v>0.46</v>
      </c>
      <c r="CC55" s="27">
        <v>0.08</v>
      </c>
      <c r="CD55" s="29">
        <v>6.33</v>
      </c>
      <c r="CE55" s="9"/>
      <c r="CF55" s="9"/>
      <c r="CG55" s="9"/>
      <c r="CH55" s="9"/>
      <c r="CI55" s="9"/>
      <c r="CJ55" s="9"/>
      <c r="CK55" s="13"/>
      <c r="CL55" s="13"/>
      <c r="CM55" s="13">
        <v>92933.52</v>
      </c>
      <c r="CN55" s="13">
        <v>0</v>
      </c>
      <c r="CO55" s="13">
        <v>1525.38</v>
      </c>
      <c r="CP55" s="13">
        <v>3927.9</v>
      </c>
      <c r="CQ55" s="13">
        <v>2211.7800000000002</v>
      </c>
      <c r="CR55" s="13">
        <v>113580.48</v>
      </c>
      <c r="CS55" s="13">
        <v>10168.26</v>
      </c>
      <c r="CT55" s="13">
        <v>3479.34</v>
      </c>
      <c r="CU55" s="13">
        <v>2798.49</v>
      </c>
      <c r="CV55" s="13">
        <v>1642.76</v>
      </c>
      <c r="CW55" s="202">
        <v>3514</v>
      </c>
      <c r="CX55" s="200">
        <v>2016</v>
      </c>
      <c r="CY55" s="202"/>
      <c r="CZ55" s="202"/>
      <c r="DA55" s="202"/>
      <c r="DB55" s="202"/>
      <c r="DC55" s="202"/>
      <c r="DD55" s="461"/>
      <c r="DE55" s="256"/>
      <c r="DF55" s="202">
        <v>607</v>
      </c>
      <c r="DG55" s="202"/>
      <c r="DH55" s="202"/>
      <c r="DI55" s="204"/>
      <c r="DJ55" s="202"/>
      <c r="DK55" s="202">
        <v>8600</v>
      </c>
      <c r="DL55" s="202"/>
      <c r="DM55" s="202"/>
      <c r="DN55" s="202"/>
      <c r="DO55" s="202"/>
      <c r="DP55" s="202">
        <v>25572</v>
      </c>
      <c r="DQ55" s="202">
        <v>3400</v>
      </c>
      <c r="DR55" s="202">
        <v>2</v>
      </c>
      <c r="DS55" s="202"/>
      <c r="DT55" s="254"/>
      <c r="DU55" s="254"/>
      <c r="DV55" s="202"/>
      <c r="DW55" s="202">
        <v>18899</v>
      </c>
      <c r="DX55" s="202"/>
      <c r="DY55" s="107">
        <v>1365</v>
      </c>
      <c r="DZ55" s="107">
        <v>577</v>
      </c>
      <c r="EA55" s="202">
        <v>8275.06</v>
      </c>
      <c r="EB55" s="202"/>
      <c r="EC55" s="202"/>
      <c r="ED55" s="202"/>
      <c r="EE55" s="202"/>
      <c r="EF55" s="229"/>
      <c r="EG55" s="202"/>
      <c r="EH55" s="202"/>
      <c r="EI55" s="202"/>
      <c r="EJ55" s="202"/>
      <c r="EK55" s="202">
        <v>0</v>
      </c>
      <c r="EL55" s="202">
        <v>1617</v>
      </c>
      <c r="EM55" s="202">
        <v>4161.7</v>
      </c>
      <c r="EN55" s="202">
        <v>2336.42</v>
      </c>
      <c r="EO55" s="202">
        <v>0</v>
      </c>
      <c r="EP55" s="202"/>
      <c r="EQ55" s="202">
        <v>4161.7</v>
      </c>
      <c r="ER55" s="202">
        <v>2336.42</v>
      </c>
      <c r="ES55" s="202"/>
      <c r="ET55" s="202"/>
      <c r="EU55" s="202"/>
      <c r="EV55" s="214">
        <v>46.95</v>
      </c>
      <c r="EW55" s="240">
        <f t="shared" si="25"/>
        <v>8820.4699999999993</v>
      </c>
      <c r="EX55" s="209">
        <f t="shared" si="26"/>
        <v>5740.83</v>
      </c>
    </row>
    <row r="56" spans="1:154" ht="12.75" customHeight="1" x14ac:dyDescent="0.2">
      <c r="A56" s="45" t="s">
        <v>88</v>
      </c>
      <c r="B56" s="51" t="s">
        <v>74</v>
      </c>
      <c r="C56" s="52" t="s">
        <v>64</v>
      </c>
      <c r="D56" s="53" t="s">
        <v>409</v>
      </c>
      <c r="E56" s="52" t="s">
        <v>12</v>
      </c>
      <c r="F56" s="11">
        <v>5</v>
      </c>
      <c r="G56" s="11">
        <v>4</v>
      </c>
      <c r="H56" s="11">
        <v>70</v>
      </c>
      <c r="I56" s="11">
        <v>73</v>
      </c>
      <c r="J56" s="11">
        <v>150</v>
      </c>
      <c r="K56" s="11">
        <v>182</v>
      </c>
      <c r="L56" s="11" t="s">
        <v>746</v>
      </c>
      <c r="M56" s="84">
        <v>55</v>
      </c>
      <c r="N56" s="84">
        <v>924.8</v>
      </c>
      <c r="O56" s="84">
        <v>0</v>
      </c>
      <c r="P56" s="135">
        <f>275+16</f>
        <v>291</v>
      </c>
      <c r="Q56" s="135">
        <v>715.7</v>
      </c>
      <c r="R56" s="133">
        <v>0</v>
      </c>
      <c r="S56" s="133">
        <f t="shared" si="27"/>
        <v>1006.7</v>
      </c>
      <c r="T56" s="134">
        <v>291</v>
      </c>
      <c r="U56" s="130">
        <v>1.53</v>
      </c>
      <c r="V56" s="91">
        <v>1.1299999999999999E-2</v>
      </c>
      <c r="W56" s="91" t="s">
        <v>823</v>
      </c>
      <c r="X56" s="132" t="s">
        <v>823</v>
      </c>
      <c r="Y56" s="91">
        <v>1.1299999999999999E-2</v>
      </c>
      <c r="Z56" s="29">
        <v>3357.16</v>
      </c>
      <c r="AA56" s="34"/>
      <c r="AB56" s="9">
        <f t="shared" si="32"/>
        <v>3357.16</v>
      </c>
      <c r="AC56" s="9">
        <f t="shared" si="39"/>
        <v>21250.82</v>
      </c>
      <c r="AD56" s="9">
        <v>0.41</v>
      </c>
      <c r="AE56" s="9">
        <v>4.16</v>
      </c>
      <c r="AF56" s="21">
        <f>2.42-AJ56</f>
        <v>2.16</v>
      </c>
      <c r="AG56" s="18">
        <f>0.54-AQ56</f>
        <v>0.38</v>
      </c>
      <c r="AH56" s="9">
        <v>2.16</v>
      </c>
      <c r="AI56" s="13">
        <v>888</v>
      </c>
      <c r="AJ56" s="21">
        <f t="shared" si="0"/>
        <v>0.26</v>
      </c>
      <c r="AK56" s="9">
        <v>0</v>
      </c>
      <c r="AL56" s="9">
        <v>0</v>
      </c>
      <c r="AM56" s="9">
        <v>0</v>
      </c>
      <c r="AN56" s="13">
        <v>373.3</v>
      </c>
      <c r="AO56" s="13">
        <f>746.7</f>
        <v>746.7</v>
      </c>
      <c r="AP56" s="13">
        <f t="shared" si="28"/>
        <v>5.58</v>
      </c>
      <c r="AQ56" s="18">
        <f t="shared" si="1"/>
        <v>0.16</v>
      </c>
      <c r="AR56" s="9">
        <v>0.79</v>
      </c>
      <c r="AS56" s="9">
        <v>0.41</v>
      </c>
      <c r="AT56" s="9">
        <v>7.0000000000000007E-2</v>
      </c>
      <c r="AU56" s="9">
        <v>4.05</v>
      </c>
      <c r="AV56" s="9">
        <v>0.11</v>
      </c>
      <c r="AW56" s="9">
        <f>0.31+0.36+0.98</f>
        <v>1.65</v>
      </c>
      <c r="AX56" s="9">
        <f>1.34+0.48</f>
        <v>1.82</v>
      </c>
      <c r="AY56" s="54">
        <f t="shared" si="29"/>
        <v>18.59</v>
      </c>
      <c r="AZ56" s="43">
        <v>3349.8</v>
      </c>
      <c r="BA56" s="43">
        <v>0</v>
      </c>
      <c r="BB56" s="43">
        <f t="shared" si="30"/>
        <v>3349.8</v>
      </c>
      <c r="BC56" s="43">
        <v>18.59</v>
      </c>
      <c r="BD56" s="13">
        <f t="shared" si="31"/>
        <v>0</v>
      </c>
      <c r="BE56" s="9">
        <f t="shared" si="2"/>
        <v>62409.599999999999</v>
      </c>
      <c r="BF56" s="9">
        <v>18.59</v>
      </c>
      <c r="BG56" s="10">
        <v>44409</v>
      </c>
      <c r="BH56" s="9">
        <f t="shared" si="3"/>
        <v>1376.44</v>
      </c>
      <c r="BI56" s="9">
        <f t="shared" si="4"/>
        <v>13965.79</v>
      </c>
      <c r="BJ56" s="9">
        <f t="shared" si="5"/>
        <v>7251.47</v>
      </c>
      <c r="BK56" s="9">
        <f t="shared" si="6"/>
        <v>1275.72</v>
      </c>
      <c r="BL56" s="9">
        <f t="shared" si="7"/>
        <v>7251.47</v>
      </c>
      <c r="BM56" s="9">
        <f t="shared" si="8"/>
        <v>872.86</v>
      </c>
      <c r="BN56" s="9">
        <f t="shared" si="9"/>
        <v>0</v>
      </c>
      <c r="BO56" s="9">
        <f t="shared" si="10"/>
        <v>0</v>
      </c>
      <c r="BP56" s="9">
        <f t="shared" si="11"/>
        <v>0</v>
      </c>
      <c r="BQ56" s="9">
        <f t="shared" si="12"/>
        <v>537.15</v>
      </c>
      <c r="BR56" s="9">
        <f t="shared" si="13"/>
        <v>2652.16</v>
      </c>
      <c r="BS56" s="9">
        <f t="shared" si="14"/>
        <v>1376.44</v>
      </c>
      <c r="BT56" s="9">
        <f t="shared" si="15"/>
        <v>235</v>
      </c>
      <c r="BU56" s="9">
        <f t="shared" si="16"/>
        <v>13596.5</v>
      </c>
      <c r="BV56" s="9">
        <f t="shared" si="17"/>
        <v>369.29</v>
      </c>
      <c r="BW56" s="9">
        <f t="shared" si="18"/>
        <v>5539.31</v>
      </c>
      <c r="BX56" s="9">
        <f t="shared" si="19"/>
        <v>6110.03</v>
      </c>
      <c r="BY56" s="17">
        <f t="shared" si="20"/>
        <v>62409.63</v>
      </c>
      <c r="BZ56" s="17">
        <v>1.76</v>
      </c>
      <c r="CA56" s="17">
        <v>0.03</v>
      </c>
      <c r="CB56" s="173">
        <v>0</v>
      </c>
      <c r="CC56" s="27">
        <v>0.01</v>
      </c>
      <c r="CD56" s="29">
        <v>6.33</v>
      </c>
      <c r="CE56" s="9">
        <v>322.29000000000002</v>
      </c>
      <c r="CF56" s="9"/>
      <c r="CG56" s="9">
        <v>88.86</v>
      </c>
      <c r="CH56" s="9">
        <v>46.52</v>
      </c>
      <c r="CI56" s="9">
        <f t="shared" ref="CI56:CI67" si="44">IF(CE56&gt;0,CE56/AB56,0)</f>
        <v>0.1</v>
      </c>
      <c r="CJ56" s="9">
        <f t="shared" ref="CJ56:CJ67" si="45">IF(CF56&gt;0,CF56/AB56,0)</f>
        <v>0</v>
      </c>
      <c r="CK56" s="108">
        <f t="shared" ref="CK56:CK67" si="46">IF(CG56&gt;0,CG56/AB56,0)</f>
        <v>0.03</v>
      </c>
      <c r="CL56" s="13">
        <f t="shared" ref="CL56:CL67" si="47">IF(CH56&gt;0,CH56/AB56,0)</f>
        <v>0.01</v>
      </c>
      <c r="CM56" s="13">
        <v>62409.63</v>
      </c>
      <c r="CN56" s="13">
        <v>335.72</v>
      </c>
      <c r="CO56" s="13">
        <v>0</v>
      </c>
      <c r="CP56" s="13">
        <v>100.67</v>
      </c>
      <c r="CQ56" s="13">
        <v>33.549999999999997</v>
      </c>
      <c r="CR56" s="13">
        <v>65423.57</v>
      </c>
      <c r="CS56" s="13">
        <v>1178.29</v>
      </c>
      <c r="CT56" s="13">
        <v>0</v>
      </c>
      <c r="CU56" s="13">
        <v>105.54</v>
      </c>
      <c r="CV56" s="13">
        <v>35.21</v>
      </c>
      <c r="CW56" s="202">
        <v>2924</v>
      </c>
      <c r="CX56" s="200">
        <v>1678</v>
      </c>
      <c r="CY56" s="202"/>
      <c r="CZ56" s="202"/>
      <c r="DA56" s="202"/>
      <c r="DB56" s="202"/>
      <c r="DC56" s="202"/>
      <c r="DD56" s="461"/>
      <c r="DE56" s="256"/>
      <c r="DF56" s="204">
        <v>888</v>
      </c>
      <c r="DG56" s="204"/>
      <c r="DH56" s="204"/>
      <c r="DI56" s="204"/>
      <c r="DJ56" s="202"/>
      <c r="DK56" s="202"/>
      <c r="DL56" s="202"/>
      <c r="DM56" s="202"/>
      <c r="DN56" s="202"/>
      <c r="DO56" s="202"/>
      <c r="DP56" s="202">
        <v>15031</v>
      </c>
      <c r="DQ56" s="202">
        <v>2822</v>
      </c>
      <c r="DR56" s="202">
        <v>1.66</v>
      </c>
      <c r="DS56" s="202"/>
      <c r="DT56" s="254"/>
      <c r="DU56" s="254"/>
      <c r="DV56" s="202"/>
      <c r="DW56" s="202">
        <v>13049</v>
      </c>
      <c r="DX56" s="202"/>
      <c r="DY56" s="107">
        <v>1365</v>
      </c>
      <c r="DZ56" s="107"/>
      <c r="EA56" s="202"/>
      <c r="EB56" s="202"/>
      <c r="EC56" s="202"/>
      <c r="ED56" s="202"/>
      <c r="EE56" s="202"/>
      <c r="EF56" s="229"/>
      <c r="EG56" s="202"/>
      <c r="EH56" s="202"/>
      <c r="EI56" s="202"/>
      <c r="EJ56" s="202"/>
      <c r="EK56" s="202">
        <v>322.29000000000002</v>
      </c>
      <c r="EL56" s="202">
        <v>0</v>
      </c>
      <c r="EM56" s="202">
        <v>88.86</v>
      </c>
      <c r="EN56" s="202">
        <v>46.52</v>
      </c>
      <c r="EO56" s="202">
        <v>322.29000000000002</v>
      </c>
      <c r="EP56" s="202"/>
      <c r="EQ56" s="202">
        <v>88.86</v>
      </c>
      <c r="ER56" s="202">
        <v>46.52</v>
      </c>
      <c r="ES56" s="202"/>
      <c r="ET56" s="202"/>
      <c r="EU56" s="202"/>
      <c r="EV56" s="214">
        <v>2.15</v>
      </c>
      <c r="EW56" s="240">
        <f t="shared" si="25"/>
        <v>7342.65</v>
      </c>
      <c r="EX56" s="209">
        <f t="shared" si="26"/>
        <v>4778.9799999999996</v>
      </c>
    </row>
    <row r="57" spans="1:154" ht="12.75" customHeight="1" x14ac:dyDescent="0.2">
      <c r="A57" s="45" t="s">
        <v>90</v>
      </c>
      <c r="B57" s="51" t="s">
        <v>74</v>
      </c>
      <c r="C57" s="52" t="s">
        <v>79</v>
      </c>
      <c r="D57" s="53" t="s">
        <v>410</v>
      </c>
      <c r="E57" s="52" t="s">
        <v>12</v>
      </c>
      <c r="F57" s="11">
        <v>5</v>
      </c>
      <c r="G57" s="11">
        <v>4</v>
      </c>
      <c r="H57" s="11">
        <v>70</v>
      </c>
      <c r="I57" s="11">
        <v>72</v>
      </c>
      <c r="J57" s="11">
        <v>164</v>
      </c>
      <c r="K57" s="11">
        <v>175</v>
      </c>
      <c r="L57" s="11" t="s">
        <v>746</v>
      </c>
      <c r="M57" s="84">
        <v>54.2</v>
      </c>
      <c r="N57" s="84">
        <v>924.4</v>
      </c>
      <c r="O57" s="84">
        <v>0</v>
      </c>
      <c r="P57" s="135">
        <v>271</v>
      </c>
      <c r="Q57" s="135">
        <v>738.2</v>
      </c>
      <c r="R57" s="133">
        <v>0</v>
      </c>
      <c r="S57" s="133">
        <f t="shared" si="27"/>
        <v>1009.2</v>
      </c>
      <c r="T57" s="134">
        <v>271</v>
      </c>
      <c r="U57" s="130">
        <v>1.53</v>
      </c>
      <c r="V57" s="91">
        <v>1.1299999999999999E-2</v>
      </c>
      <c r="W57" s="91" t="s">
        <v>823</v>
      </c>
      <c r="X57" s="132" t="s">
        <v>823</v>
      </c>
      <c r="Y57" s="91">
        <v>1.1299999999999999E-2</v>
      </c>
      <c r="Z57" s="29">
        <v>3380.21</v>
      </c>
      <c r="AA57" s="34"/>
      <c r="AB57" s="9">
        <f t="shared" si="32"/>
        <v>3380.21</v>
      </c>
      <c r="AC57" s="9">
        <f t="shared" si="39"/>
        <v>21396.73</v>
      </c>
      <c r="AD57" s="9">
        <v>0.4</v>
      </c>
      <c r="AE57" s="9">
        <v>4.16</v>
      </c>
      <c r="AF57" s="21">
        <f>2.44-AJ57</f>
        <v>2.1800000000000002</v>
      </c>
      <c r="AG57" s="18">
        <f>0.53-AQ57</f>
        <v>0.38</v>
      </c>
      <c r="AH57" s="9">
        <v>2.16</v>
      </c>
      <c r="AI57" s="13">
        <v>887</v>
      </c>
      <c r="AJ57" s="21">
        <f t="shared" si="0"/>
        <v>0.26</v>
      </c>
      <c r="AK57" s="9">
        <v>0</v>
      </c>
      <c r="AL57" s="9">
        <v>0</v>
      </c>
      <c r="AM57" s="9">
        <v>0</v>
      </c>
      <c r="AN57" s="13">
        <v>373.3</v>
      </c>
      <c r="AO57" s="13">
        <v>746.7</v>
      </c>
      <c r="AP57" s="13">
        <f t="shared" si="28"/>
        <v>5.58</v>
      </c>
      <c r="AQ57" s="18">
        <f t="shared" si="1"/>
        <v>0.15</v>
      </c>
      <c r="AR57" s="9">
        <v>0.78</v>
      </c>
      <c r="AS57" s="9">
        <v>0.4</v>
      </c>
      <c r="AT57" s="9">
        <v>7.0000000000000007E-2</v>
      </c>
      <c r="AU57" s="9">
        <v>4.05</v>
      </c>
      <c r="AV57" s="9">
        <v>0.11</v>
      </c>
      <c r="AW57" s="9">
        <f>0.3+0.36+0.98</f>
        <v>1.64</v>
      </c>
      <c r="AX57" s="9">
        <f>1.34+0.49</f>
        <v>1.83</v>
      </c>
      <c r="AY57" s="54">
        <f t="shared" si="29"/>
        <v>18.57</v>
      </c>
      <c r="AZ57" s="43">
        <v>3374.6</v>
      </c>
      <c r="BA57" s="43">
        <v>0</v>
      </c>
      <c r="BB57" s="43">
        <f t="shared" si="30"/>
        <v>3374.6</v>
      </c>
      <c r="BC57" s="43">
        <v>18.57</v>
      </c>
      <c r="BD57" s="13">
        <f t="shared" si="31"/>
        <v>0</v>
      </c>
      <c r="BE57" s="9">
        <f t="shared" si="2"/>
        <v>62770.5</v>
      </c>
      <c r="BF57" s="9">
        <v>18.57</v>
      </c>
      <c r="BG57" s="10">
        <v>44409</v>
      </c>
      <c r="BH57" s="9">
        <f t="shared" si="3"/>
        <v>1352.08</v>
      </c>
      <c r="BI57" s="9">
        <f t="shared" si="4"/>
        <v>14061.67</v>
      </c>
      <c r="BJ57" s="9">
        <f t="shared" si="5"/>
        <v>7368.86</v>
      </c>
      <c r="BK57" s="9">
        <f t="shared" si="6"/>
        <v>1284.48</v>
      </c>
      <c r="BL57" s="9">
        <f t="shared" si="7"/>
        <v>7301.25</v>
      </c>
      <c r="BM57" s="9">
        <f t="shared" si="8"/>
        <v>878.85</v>
      </c>
      <c r="BN57" s="9">
        <f t="shared" si="9"/>
        <v>0</v>
      </c>
      <c r="BO57" s="9">
        <f t="shared" si="10"/>
        <v>0</v>
      </c>
      <c r="BP57" s="9">
        <f t="shared" si="11"/>
        <v>0</v>
      </c>
      <c r="BQ57" s="9">
        <f t="shared" si="12"/>
        <v>507.03</v>
      </c>
      <c r="BR57" s="9">
        <f t="shared" si="13"/>
        <v>2636.56</v>
      </c>
      <c r="BS57" s="9">
        <f t="shared" si="14"/>
        <v>1352.08</v>
      </c>
      <c r="BT57" s="9">
        <f t="shared" si="15"/>
        <v>236.61</v>
      </c>
      <c r="BU57" s="9">
        <f t="shared" si="16"/>
        <v>13689.85</v>
      </c>
      <c r="BV57" s="9">
        <f t="shared" si="17"/>
        <v>371.82</v>
      </c>
      <c r="BW57" s="9">
        <f t="shared" si="18"/>
        <v>5543.54</v>
      </c>
      <c r="BX57" s="9">
        <f t="shared" si="19"/>
        <v>6185.78</v>
      </c>
      <c r="BY57" s="17">
        <f t="shared" si="20"/>
        <v>62770.46</v>
      </c>
      <c r="BZ57" s="17">
        <v>1.75</v>
      </c>
      <c r="CA57" s="17">
        <v>0.02</v>
      </c>
      <c r="CB57" s="173">
        <v>0</v>
      </c>
      <c r="CC57" s="27">
        <v>0.01</v>
      </c>
      <c r="CD57" s="29">
        <v>6.33</v>
      </c>
      <c r="CE57" s="9">
        <v>0</v>
      </c>
      <c r="CF57" s="9"/>
      <c r="CG57" s="9">
        <v>82.76</v>
      </c>
      <c r="CH57" s="9">
        <v>43.33</v>
      </c>
      <c r="CI57" s="9">
        <f t="shared" si="44"/>
        <v>0</v>
      </c>
      <c r="CJ57" s="9">
        <f t="shared" si="45"/>
        <v>0</v>
      </c>
      <c r="CK57" s="13">
        <f t="shared" si="46"/>
        <v>0.02</v>
      </c>
      <c r="CL57" s="13">
        <f t="shared" si="47"/>
        <v>0.01</v>
      </c>
      <c r="CM57" s="13">
        <v>62770.58</v>
      </c>
      <c r="CN57" s="13">
        <v>0</v>
      </c>
      <c r="CO57" s="13">
        <v>0</v>
      </c>
      <c r="CP57" s="13">
        <v>67.66</v>
      </c>
      <c r="CQ57" s="13">
        <v>33.75</v>
      </c>
      <c r="CR57" s="13">
        <v>59473.67</v>
      </c>
      <c r="CS57" s="13">
        <v>843.87</v>
      </c>
      <c r="CT57" s="13">
        <v>0</v>
      </c>
      <c r="CU57" s="13">
        <v>64.16</v>
      </c>
      <c r="CV57" s="13">
        <v>31.99</v>
      </c>
      <c r="CW57" s="202">
        <v>2945</v>
      </c>
      <c r="CX57" s="200">
        <v>1690</v>
      </c>
      <c r="CY57" s="202"/>
      <c r="CZ57" s="202"/>
      <c r="DA57" s="202"/>
      <c r="DB57" s="202"/>
      <c r="DC57" s="202"/>
      <c r="DD57" s="461"/>
      <c r="DE57" s="256"/>
      <c r="DF57" s="204">
        <v>887</v>
      </c>
      <c r="DG57" s="204"/>
      <c r="DH57" s="204"/>
      <c r="DI57" s="204"/>
      <c r="DJ57" s="202"/>
      <c r="DK57" s="202"/>
      <c r="DL57" s="202"/>
      <c r="DM57" s="202"/>
      <c r="DN57" s="202"/>
      <c r="DO57" s="202"/>
      <c r="DP57" s="202">
        <v>15111</v>
      </c>
      <c r="DQ57" s="202">
        <v>2822</v>
      </c>
      <c r="DR57" s="202">
        <v>1.66</v>
      </c>
      <c r="DS57" s="202"/>
      <c r="DT57" s="254"/>
      <c r="DU57" s="254"/>
      <c r="DV57" s="202"/>
      <c r="DW57" s="202">
        <v>13192</v>
      </c>
      <c r="DX57" s="202"/>
      <c r="DY57" s="107">
        <v>1365</v>
      </c>
      <c r="DZ57" s="107"/>
      <c r="EA57" s="202">
        <v>15952.69</v>
      </c>
      <c r="EB57" s="202"/>
      <c r="EC57" s="202"/>
      <c r="ED57" s="202"/>
      <c r="EE57" s="202"/>
      <c r="EF57" s="229"/>
      <c r="EG57" s="202"/>
      <c r="EH57" s="202"/>
      <c r="EI57" s="202"/>
      <c r="EJ57" s="202"/>
      <c r="EK57" s="202">
        <v>0</v>
      </c>
      <c r="EL57" s="202">
        <v>0</v>
      </c>
      <c r="EM57" s="202">
        <v>82.76</v>
      </c>
      <c r="EN57" s="202">
        <v>43.33</v>
      </c>
      <c r="EO57" s="202">
        <v>0</v>
      </c>
      <c r="EP57" s="202"/>
      <c r="EQ57" s="202">
        <v>82.76</v>
      </c>
      <c r="ER57" s="202">
        <v>43.33</v>
      </c>
      <c r="ES57" s="202"/>
      <c r="ET57" s="202"/>
      <c r="EU57" s="202"/>
      <c r="EV57" s="214">
        <v>2.15</v>
      </c>
      <c r="EW57" s="240">
        <f t="shared" si="25"/>
        <v>7393.06</v>
      </c>
      <c r="EX57" s="209">
        <f t="shared" si="26"/>
        <v>4811.8</v>
      </c>
    </row>
    <row r="58" spans="1:154" ht="12.75" customHeight="1" x14ac:dyDescent="0.2">
      <c r="A58" s="45" t="s">
        <v>92</v>
      </c>
      <c r="B58" s="51" t="s">
        <v>81</v>
      </c>
      <c r="C58" s="52" t="s">
        <v>44</v>
      </c>
      <c r="D58" s="53" t="s">
        <v>416</v>
      </c>
      <c r="E58" s="52" t="s">
        <v>12</v>
      </c>
      <c r="F58" s="11">
        <v>4</v>
      </c>
      <c r="G58" s="11">
        <v>2</v>
      </c>
      <c r="H58" s="11">
        <v>36</v>
      </c>
      <c r="I58" s="11">
        <v>0</v>
      </c>
      <c r="J58" s="11">
        <v>70</v>
      </c>
      <c r="K58" s="11">
        <v>81</v>
      </c>
      <c r="L58" s="11" t="s">
        <v>746</v>
      </c>
      <c r="M58" s="84">
        <v>93.2</v>
      </c>
      <c r="N58" s="84">
        <v>312.3</v>
      </c>
      <c r="O58" s="84">
        <v>312.3</v>
      </c>
      <c r="P58" s="138">
        <v>93.2</v>
      </c>
      <c r="Q58" s="138">
        <v>312.3</v>
      </c>
      <c r="R58" s="138">
        <v>312.3</v>
      </c>
      <c r="S58" s="133">
        <f t="shared" si="27"/>
        <v>717.8</v>
      </c>
      <c r="T58" s="138">
        <v>93.2</v>
      </c>
      <c r="U58" s="130">
        <v>0.84</v>
      </c>
      <c r="V58" s="131">
        <v>1.1299999999999999E-2</v>
      </c>
      <c r="W58" s="171">
        <v>0</v>
      </c>
      <c r="X58" s="172">
        <v>0</v>
      </c>
      <c r="Y58" s="131">
        <v>1.1299999999999999E-2</v>
      </c>
      <c r="Z58" s="29">
        <v>1366.2</v>
      </c>
      <c r="AA58" s="34"/>
      <c r="AB58" s="9">
        <f t="shared" si="32"/>
        <v>1366.2</v>
      </c>
      <c r="AC58" s="9">
        <f t="shared" si="39"/>
        <v>8648.0499999999993</v>
      </c>
      <c r="AD58" s="9">
        <v>0.34</v>
      </c>
      <c r="AE58" s="9">
        <v>3.34</v>
      </c>
      <c r="AF58" s="21">
        <f>2.41-AJ58</f>
        <v>1.97</v>
      </c>
      <c r="AG58" s="18">
        <f>0.55-AQ58</f>
        <v>0.37</v>
      </c>
      <c r="AH58" s="9">
        <v>2.78</v>
      </c>
      <c r="AI58" s="13">
        <v>600</v>
      </c>
      <c r="AJ58" s="21">
        <f t="shared" si="0"/>
        <v>0.44</v>
      </c>
      <c r="AK58" s="9">
        <v>0</v>
      </c>
      <c r="AL58" s="9">
        <v>0</v>
      </c>
      <c r="AM58" s="9">
        <v>0.69</v>
      </c>
      <c r="AN58" s="13"/>
      <c r="AO58" s="13">
        <v>519</v>
      </c>
      <c r="AP58" s="13">
        <f t="shared" si="28"/>
        <v>5.58</v>
      </c>
      <c r="AQ58" s="18">
        <f t="shared" si="1"/>
        <v>0.18</v>
      </c>
      <c r="AR58" s="9">
        <v>0.94</v>
      </c>
      <c r="AS58" s="9">
        <v>1</v>
      </c>
      <c r="AT58" s="9">
        <v>7.0000000000000007E-2</v>
      </c>
      <c r="AU58" s="9">
        <v>4.9400000000000004</v>
      </c>
      <c r="AV58" s="9">
        <v>0.13</v>
      </c>
      <c r="AW58" s="9">
        <f>0.37+1.09+0.43</f>
        <v>1.89</v>
      </c>
      <c r="AX58" s="9">
        <f>1.53+0.58</f>
        <v>2.11</v>
      </c>
      <c r="AY58" s="54">
        <f t="shared" si="29"/>
        <v>21.19</v>
      </c>
      <c r="AZ58" s="43">
        <v>1366.2</v>
      </c>
      <c r="BA58" s="43">
        <v>0</v>
      </c>
      <c r="BB58" s="43">
        <f t="shared" si="30"/>
        <v>1366.2</v>
      </c>
      <c r="BC58" s="43">
        <v>21.19</v>
      </c>
      <c r="BD58" s="13">
        <f t="shared" si="31"/>
        <v>0</v>
      </c>
      <c r="BE58" s="9">
        <f t="shared" si="2"/>
        <v>28949.78</v>
      </c>
      <c r="BF58" s="9">
        <v>21.19</v>
      </c>
      <c r="BG58" s="10">
        <v>44378</v>
      </c>
      <c r="BH58" s="9">
        <f t="shared" si="3"/>
        <v>464.51</v>
      </c>
      <c r="BI58" s="9">
        <f t="shared" si="4"/>
        <v>4563.1099999999997</v>
      </c>
      <c r="BJ58" s="9">
        <f t="shared" si="5"/>
        <v>2691.41</v>
      </c>
      <c r="BK58" s="9">
        <f t="shared" si="6"/>
        <v>505.49</v>
      </c>
      <c r="BL58" s="9">
        <f t="shared" si="7"/>
        <v>3798.04</v>
      </c>
      <c r="BM58" s="9">
        <f t="shared" si="8"/>
        <v>601.13</v>
      </c>
      <c r="BN58" s="9">
        <f t="shared" si="9"/>
        <v>0</v>
      </c>
      <c r="BO58" s="9">
        <f t="shared" si="10"/>
        <v>0</v>
      </c>
      <c r="BP58" s="9">
        <f t="shared" si="11"/>
        <v>942.68</v>
      </c>
      <c r="BQ58" s="9">
        <f t="shared" si="12"/>
        <v>245.92</v>
      </c>
      <c r="BR58" s="9">
        <f t="shared" si="13"/>
        <v>1284.23</v>
      </c>
      <c r="BS58" s="9">
        <f t="shared" si="14"/>
        <v>1366.2</v>
      </c>
      <c r="BT58" s="9">
        <f t="shared" si="15"/>
        <v>95.63</v>
      </c>
      <c r="BU58" s="9">
        <f t="shared" si="16"/>
        <v>6749.03</v>
      </c>
      <c r="BV58" s="9">
        <f t="shared" si="17"/>
        <v>177.61</v>
      </c>
      <c r="BW58" s="9">
        <f t="shared" si="18"/>
        <v>2582.12</v>
      </c>
      <c r="BX58" s="9">
        <f t="shared" si="19"/>
        <v>2882.68</v>
      </c>
      <c r="BY58" s="17">
        <f t="shared" si="20"/>
        <v>28949.79</v>
      </c>
      <c r="BZ58" s="17">
        <v>1.63</v>
      </c>
      <c r="CA58" s="17">
        <v>0.02</v>
      </c>
      <c r="CB58" s="173">
        <v>0</v>
      </c>
      <c r="CC58" s="27">
        <v>0.01</v>
      </c>
      <c r="CD58" s="29">
        <v>6.33</v>
      </c>
      <c r="CE58" s="9">
        <v>5561.05</v>
      </c>
      <c r="CF58" s="9"/>
      <c r="CG58" s="9">
        <v>0</v>
      </c>
      <c r="CH58" s="9">
        <v>0</v>
      </c>
      <c r="CI58" s="9">
        <f t="shared" si="44"/>
        <v>4.07</v>
      </c>
      <c r="CJ58" s="9">
        <f t="shared" si="45"/>
        <v>0</v>
      </c>
      <c r="CK58" s="13">
        <f t="shared" si="46"/>
        <v>0</v>
      </c>
      <c r="CL58" s="13">
        <f t="shared" si="47"/>
        <v>0</v>
      </c>
      <c r="CM58" s="13">
        <v>28949.8</v>
      </c>
      <c r="CN58" s="13">
        <v>0</v>
      </c>
      <c r="CO58" s="13">
        <v>0</v>
      </c>
      <c r="CP58" s="13">
        <v>0</v>
      </c>
      <c r="CQ58" s="13">
        <v>0</v>
      </c>
      <c r="CR58" s="13">
        <v>31187.919999999998</v>
      </c>
      <c r="CS58" s="13">
        <v>4386.87</v>
      </c>
      <c r="CT58" s="13">
        <v>0</v>
      </c>
      <c r="CU58" s="13">
        <v>6.14</v>
      </c>
      <c r="CV58" s="13">
        <v>3.12</v>
      </c>
      <c r="CW58" s="202">
        <v>1190</v>
      </c>
      <c r="CX58" s="200">
        <v>683</v>
      </c>
      <c r="CY58" s="202"/>
      <c r="CZ58" s="202"/>
      <c r="DA58" s="202"/>
      <c r="DB58" s="202"/>
      <c r="DC58" s="202"/>
      <c r="DD58" s="461"/>
      <c r="DE58" s="256"/>
      <c r="DF58" s="204">
        <v>600</v>
      </c>
      <c r="DG58" s="204"/>
      <c r="DH58" s="204"/>
      <c r="DI58" s="204"/>
      <c r="DJ58" s="202"/>
      <c r="DK58" s="202"/>
      <c r="DL58" s="202"/>
      <c r="DM58" s="202"/>
      <c r="DN58" s="202"/>
      <c r="DO58" s="202"/>
      <c r="DP58" s="202">
        <v>4944</v>
      </c>
      <c r="DQ58" s="202">
        <v>1700</v>
      </c>
      <c r="DR58" s="202">
        <v>1</v>
      </c>
      <c r="DS58" s="202"/>
      <c r="DT58" s="254"/>
      <c r="DU58" s="254"/>
      <c r="DV58" s="202"/>
      <c r="DW58" s="202">
        <v>5819</v>
      </c>
      <c r="DX58" s="202"/>
      <c r="DY58" s="107">
        <v>1365</v>
      </c>
      <c r="DZ58" s="107">
        <v>577</v>
      </c>
      <c r="EA58" s="202"/>
      <c r="EB58" s="202"/>
      <c r="EC58" s="202"/>
      <c r="ED58" s="202"/>
      <c r="EE58" s="202"/>
      <c r="EF58" s="229"/>
      <c r="EG58" s="202"/>
      <c r="EH58" s="202"/>
      <c r="EI58" s="202"/>
      <c r="EJ58" s="202"/>
      <c r="EK58" s="202">
        <v>0</v>
      </c>
      <c r="EL58" s="202">
        <v>0</v>
      </c>
      <c r="EM58" s="202">
        <v>0</v>
      </c>
      <c r="EN58" s="202">
        <v>0</v>
      </c>
      <c r="EO58" s="202">
        <v>0</v>
      </c>
      <c r="EP58" s="202"/>
      <c r="EQ58" s="202">
        <v>0</v>
      </c>
      <c r="ER58" s="202">
        <v>0</v>
      </c>
      <c r="ES58" s="202"/>
      <c r="ET58" s="202"/>
      <c r="EU58" s="202"/>
      <c r="EV58" s="214">
        <v>1.0900000000000001</v>
      </c>
      <c r="EW58" s="240">
        <f t="shared" si="25"/>
        <v>2988.1</v>
      </c>
      <c r="EX58" s="209">
        <f t="shared" si="26"/>
        <v>1944.81</v>
      </c>
    </row>
    <row r="59" spans="1:154" ht="12.75" customHeight="1" x14ac:dyDescent="0.2">
      <c r="A59" s="45" t="s">
        <v>94</v>
      </c>
      <c r="B59" s="48" t="s">
        <v>81</v>
      </c>
      <c r="C59" s="49" t="s">
        <v>15</v>
      </c>
      <c r="D59" s="50" t="s">
        <v>623</v>
      </c>
      <c r="E59" s="49" t="s">
        <v>12</v>
      </c>
      <c r="F59" s="11">
        <v>9</v>
      </c>
      <c r="G59" s="11">
        <v>1</v>
      </c>
      <c r="H59" s="11">
        <v>54</v>
      </c>
      <c r="I59" s="11">
        <v>54</v>
      </c>
      <c r="J59" s="11">
        <v>96</v>
      </c>
      <c r="K59" s="11">
        <v>107</v>
      </c>
      <c r="L59" s="11">
        <v>1</v>
      </c>
      <c r="M59" s="84">
        <v>255.4</v>
      </c>
      <c r="N59" s="84">
        <v>386</v>
      </c>
      <c r="O59" s="84">
        <v>386</v>
      </c>
      <c r="P59" s="135">
        <f>107.7+136.2+14.7+12.2+7.8+24.2+6.5</f>
        <v>309.3</v>
      </c>
      <c r="Q59" s="135">
        <v>232</v>
      </c>
      <c r="R59" s="133">
        <v>3.4</v>
      </c>
      <c r="S59" s="133">
        <f t="shared" si="27"/>
        <v>544.70000000000005</v>
      </c>
      <c r="T59" s="134">
        <v>309.3</v>
      </c>
      <c r="U59" s="130">
        <v>2.44</v>
      </c>
      <c r="V59" s="91">
        <v>1.9800000000000002E-2</v>
      </c>
      <c r="W59" s="91">
        <v>1.9800000000000002E-2</v>
      </c>
      <c r="X59" s="132">
        <v>1.32E-3</v>
      </c>
      <c r="Y59" s="91">
        <v>3.9699999999999999E-2</v>
      </c>
      <c r="Z59" s="29">
        <v>2266.8200000000002</v>
      </c>
      <c r="AA59" s="34"/>
      <c r="AB59" s="9">
        <f t="shared" si="32"/>
        <v>2266.8200000000002</v>
      </c>
      <c r="AC59" s="9">
        <f t="shared" si="39"/>
        <v>14348.97</v>
      </c>
      <c r="AD59" s="9">
        <v>1.57</v>
      </c>
      <c r="AE59" s="9">
        <v>4.2300000000000004</v>
      </c>
      <c r="AF59" s="21">
        <f>2.49-AJ59</f>
        <v>2.33</v>
      </c>
      <c r="AG59" s="18">
        <f>0.6-AQ59</f>
        <v>0.54</v>
      </c>
      <c r="AH59" s="9">
        <v>2.77</v>
      </c>
      <c r="AI59" s="13">
        <v>371</v>
      </c>
      <c r="AJ59" s="21">
        <f t="shared" si="0"/>
        <v>0.16</v>
      </c>
      <c r="AK59" s="9">
        <v>1.9</v>
      </c>
      <c r="AL59" s="9">
        <v>0.17</v>
      </c>
      <c r="AM59" s="9">
        <v>0.26</v>
      </c>
      <c r="AN59" s="13"/>
      <c r="AO59" s="13">
        <v>305.89999999999998</v>
      </c>
      <c r="AP59" s="13">
        <f t="shared" si="28"/>
        <v>5.58</v>
      </c>
      <c r="AQ59" s="18">
        <f t="shared" si="1"/>
        <v>0.06</v>
      </c>
      <c r="AR59" s="9">
        <v>0.74</v>
      </c>
      <c r="AS59" s="9">
        <v>0.6</v>
      </c>
      <c r="AT59" s="9">
        <v>7.0000000000000007E-2</v>
      </c>
      <c r="AU59" s="9">
        <v>4.49</v>
      </c>
      <c r="AV59" s="9">
        <v>0.16</v>
      </c>
      <c r="AW59" s="9">
        <f>0.33+1.38+0.4</f>
        <v>2.11</v>
      </c>
      <c r="AX59" s="9">
        <f>1.96+0.53</f>
        <v>2.4900000000000002</v>
      </c>
      <c r="AY59" s="46">
        <f t="shared" si="29"/>
        <v>24.65</v>
      </c>
      <c r="AZ59" s="47">
        <v>2262.1</v>
      </c>
      <c r="BA59" s="47">
        <v>0</v>
      </c>
      <c r="BB59" s="47">
        <f t="shared" si="30"/>
        <v>2262.1</v>
      </c>
      <c r="BC59" s="47">
        <v>24.65</v>
      </c>
      <c r="BD59" s="13">
        <f t="shared" si="31"/>
        <v>0</v>
      </c>
      <c r="BE59" s="9">
        <f t="shared" si="2"/>
        <v>55877.11</v>
      </c>
      <c r="BF59" s="9">
        <v>24.65</v>
      </c>
      <c r="BG59" s="10">
        <v>44378</v>
      </c>
      <c r="BH59" s="9">
        <f t="shared" si="3"/>
        <v>3558.91</v>
      </c>
      <c r="BI59" s="9">
        <f t="shared" si="4"/>
        <v>9588.65</v>
      </c>
      <c r="BJ59" s="9">
        <f t="shared" si="5"/>
        <v>5281.69</v>
      </c>
      <c r="BK59" s="9">
        <f t="shared" si="6"/>
        <v>1224.08</v>
      </c>
      <c r="BL59" s="9">
        <f t="shared" si="7"/>
        <v>6279.09</v>
      </c>
      <c r="BM59" s="9">
        <f t="shared" si="8"/>
        <v>362.69</v>
      </c>
      <c r="BN59" s="9">
        <f t="shared" si="9"/>
        <v>4306.96</v>
      </c>
      <c r="BO59" s="9">
        <f t="shared" si="10"/>
        <v>385.36</v>
      </c>
      <c r="BP59" s="9">
        <f t="shared" si="11"/>
        <v>589.37</v>
      </c>
      <c r="BQ59" s="9">
        <f t="shared" si="12"/>
        <v>136.01</v>
      </c>
      <c r="BR59" s="9">
        <f t="shared" si="13"/>
        <v>1677.45</v>
      </c>
      <c r="BS59" s="9">
        <f t="shared" si="14"/>
        <v>1360.09</v>
      </c>
      <c r="BT59" s="9">
        <f t="shared" si="15"/>
        <v>158.68</v>
      </c>
      <c r="BU59" s="9">
        <f t="shared" si="16"/>
        <v>10178.02</v>
      </c>
      <c r="BV59" s="9">
        <f t="shared" si="17"/>
        <v>362.69</v>
      </c>
      <c r="BW59" s="9">
        <f t="shared" si="18"/>
        <v>4782.99</v>
      </c>
      <c r="BX59" s="9">
        <f t="shared" si="19"/>
        <v>5644.38</v>
      </c>
      <c r="BY59" s="17">
        <f t="shared" si="20"/>
        <v>55877.11</v>
      </c>
      <c r="BZ59" s="17">
        <v>3.83</v>
      </c>
      <c r="CA59" s="17">
        <v>7.0000000000000007E-2</v>
      </c>
      <c r="CB59" s="17">
        <v>0.42</v>
      </c>
      <c r="CC59" s="27">
        <v>0.08</v>
      </c>
      <c r="CD59" s="29">
        <v>6.33</v>
      </c>
      <c r="CE59" s="9">
        <v>24698.9</v>
      </c>
      <c r="CF59" s="9"/>
      <c r="CG59" s="9">
        <v>248.25</v>
      </c>
      <c r="CH59" s="9">
        <v>173.73</v>
      </c>
      <c r="CI59" s="9">
        <f t="shared" si="44"/>
        <v>10.9</v>
      </c>
      <c r="CJ59" s="9">
        <f t="shared" si="45"/>
        <v>0</v>
      </c>
      <c r="CK59" s="13">
        <f t="shared" si="46"/>
        <v>0.11</v>
      </c>
      <c r="CL59" s="13">
        <f t="shared" si="47"/>
        <v>0.08</v>
      </c>
      <c r="CM59" s="13">
        <v>55877.25</v>
      </c>
      <c r="CN59" s="13">
        <v>13487.71</v>
      </c>
      <c r="CO59" s="13">
        <v>0</v>
      </c>
      <c r="CP59" s="13">
        <v>861.4</v>
      </c>
      <c r="CQ59" s="13">
        <v>521.4</v>
      </c>
      <c r="CR59" s="13">
        <v>58641.62</v>
      </c>
      <c r="CS59" s="13">
        <v>18913.05</v>
      </c>
      <c r="CT59" s="13">
        <v>493.61</v>
      </c>
      <c r="CU59" s="13">
        <v>1788.6</v>
      </c>
      <c r="CV59" s="13">
        <v>1035.1400000000001</v>
      </c>
      <c r="CW59" s="202">
        <v>1975</v>
      </c>
      <c r="CX59" s="200">
        <v>1133</v>
      </c>
      <c r="CY59" s="202"/>
      <c r="CZ59" s="202"/>
      <c r="DA59" s="202"/>
      <c r="DB59" s="202"/>
      <c r="DC59" s="202"/>
      <c r="DD59" s="461"/>
      <c r="DE59" s="256"/>
      <c r="DF59" s="204">
        <v>371</v>
      </c>
      <c r="DG59" s="204"/>
      <c r="DH59" s="204"/>
      <c r="DI59" s="204"/>
      <c r="DJ59" s="202"/>
      <c r="DK59" s="202">
        <v>4300</v>
      </c>
      <c r="DL59" s="202"/>
      <c r="DM59" s="202"/>
      <c r="DN59" s="202"/>
      <c r="DO59" s="202"/>
      <c r="DP59" s="202">
        <v>12842</v>
      </c>
      <c r="DQ59" s="202">
        <v>1700</v>
      </c>
      <c r="DR59" s="202">
        <v>1</v>
      </c>
      <c r="DS59" s="202"/>
      <c r="DT59" s="254"/>
      <c r="DU59" s="254"/>
      <c r="DV59" s="202"/>
      <c r="DW59" s="202">
        <v>10594</v>
      </c>
      <c r="DX59" s="202"/>
      <c r="DY59" s="107"/>
      <c r="DZ59" s="107">
        <v>577</v>
      </c>
      <c r="EA59" s="202"/>
      <c r="EB59" s="202"/>
      <c r="EC59" s="202"/>
      <c r="ED59" s="202"/>
      <c r="EE59" s="202"/>
      <c r="EF59" s="229"/>
      <c r="EG59" s="202"/>
      <c r="EH59" s="202"/>
      <c r="EI59" s="202"/>
      <c r="EJ59" s="202"/>
      <c r="EK59" s="202">
        <v>12766.62</v>
      </c>
      <c r="EL59" s="202">
        <v>0</v>
      </c>
      <c r="EM59" s="202">
        <v>864.77</v>
      </c>
      <c r="EN59" s="202">
        <v>525.23</v>
      </c>
      <c r="EO59" s="202">
        <v>12766.62</v>
      </c>
      <c r="EP59" s="202"/>
      <c r="EQ59" s="202">
        <v>864.77</v>
      </c>
      <c r="ER59" s="202">
        <v>525.23</v>
      </c>
      <c r="ES59" s="202">
        <v>2048.84</v>
      </c>
      <c r="ET59" s="202">
        <v>1115.49</v>
      </c>
      <c r="EU59" s="202"/>
      <c r="EV59" s="214">
        <v>19.989999999999998</v>
      </c>
      <c r="EW59" s="240">
        <f t="shared" si="25"/>
        <v>4957.8999999999996</v>
      </c>
      <c r="EX59" s="209">
        <f t="shared" si="26"/>
        <v>3226.86</v>
      </c>
    </row>
    <row r="60" spans="1:154" ht="12.75" customHeight="1" x14ac:dyDescent="0.2">
      <c r="A60" s="45" t="s">
        <v>95</v>
      </c>
      <c r="B60" s="51" t="s">
        <v>81</v>
      </c>
      <c r="C60" s="52" t="s">
        <v>19</v>
      </c>
      <c r="D60" s="53" t="s">
        <v>411</v>
      </c>
      <c r="E60" s="52" t="s">
        <v>12</v>
      </c>
      <c r="F60" s="11">
        <v>5</v>
      </c>
      <c r="G60" s="11">
        <v>3</v>
      </c>
      <c r="H60" s="11">
        <v>48</v>
      </c>
      <c r="I60" s="11">
        <v>48</v>
      </c>
      <c r="J60" s="11">
        <v>85</v>
      </c>
      <c r="K60" s="11">
        <v>108</v>
      </c>
      <c r="L60" s="11" t="s">
        <v>746</v>
      </c>
      <c r="M60" s="84">
        <v>36.4</v>
      </c>
      <c r="N60" s="84">
        <v>684.7</v>
      </c>
      <c r="O60" s="84">
        <v>0</v>
      </c>
      <c r="P60" s="135">
        <v>182</v>
      </c>
      <c r="Q60" s="135">
        <v>499.6</v>
      </c>
      <c r="R60" s="133">
        <v>0</v>
      </c>
      <c r="S60" s="133">
        <f t="shared" si="27"/>
        <v>681.6</v>
      </c>
      <c r="T60" s="138">
        <v>184.4</v>
      </c>
      <c r="U60" s="130">
        <v>1.53</v>
      </c>
      <c r="V60" s="91">
        <v>1.1299999999999999E-2</v>
      </c>
      <c r="W60" s="91" t="s">
        <v>823</v>
      </c>
      <c r="X60" s="132" t="s">
        <v>823</v>
      </c>
      <c r="Y60" s="91">
        <v>1.1299999999999999E-2</v>
      </c>
      <c r="Z60" s="29">
        <v>2000.29</v>
      </c>
      <c r="AA60" s="34">
        <v>961.3</v>
      </c>
      <c r="AB60" s="9">
        <f t="shared" si="32"/>
        <v>2961.59</v>
      </c>
      <c r="AC60" s="9">
        <f t="shared" si="39"/>
        <v>18746.86</v>
      </c>
      <c r="AD60" s="9">
        <v>0.31</v>
      </c>
      <c r="AE60" s="9">
        <v>3.35</v>
      </c>
      <c r="AF60" s="21">
        <f>2.43-AJ60</f>
        <v>2.21</v>
      </c>
      <c r="AG60" s="18">
        <f>0.52-AQ60</f>
        <v>0.42</v>
      </c>
      <c r="AH60" s="9">
        <v>2.16</v>
      </c>
      <c r="AI60" s="13">
        <v>657</v>
      </c>
      <c r="AJ60" s="21">
        <f t="shared" si="0"/>
        <v>0.22</v>
      </c>
      <c r="AK60" s="9">
        <v>0</v>
      </c>
      <c r="AL60" s="9">
        <v>0</v>
      </c>
      <c r="AM60" s="9">
        <v>0.2</v>
      </c>
      <c r="AN60" s="13">
        <v>210</v>
      </c>
      <c r="AO60" s="13">
        <v>420</v>
      </c>
      <c r="AP60" s="13">
        <f t="shared" si="28"/>
        <v>5.58</v>
      </c>
      <c r="AQ60" s="18">
        <f t="shared" si="1"/>
        <v>0.1</v>
      </c>
      <c r="AR60" s="9">
        <v>0.63</v>
      </c>
      <c r="AS60" s="9">
        <v>0.46</v>
      </c>
      <c r="AT60" s="9">
        <v>7.0000000000000007E-2</v>
      </c>
      <c r="AU60" s="9">
        <v>4.5999999999999996</v>
      </c>
      <c r="AV60" s="9">
        <v>0.11</v>
      </c>
      <c r="AW60" s="9">
        <f>0.34+0.91+0.4</f>
        <v>1.65</v>
      </c>
      <c r="AX60" s="9">
        <f>1.25+0.54</f>
        <v>1.79</v>
      </c>
      <c r="AY60" s="54">
        <f t="shared" si="29"/>
        <v>18.28</v>
      </c>
      <c r="AZ60" s="43">
        <v>1996.4</v>
      </c>
      <c r="BA60" s="43">
        <v>961.3</v>
      </c>
      <c r="BB60" s="43">
        <f t="shared" si="30"/>
        <v>2957.7</v>
      </c>
      <c r="BC60" s="43">
        <v>18.28</v>
      </c>
      <c r="BD60" s="13">
        <f t="shared" si="31"/>
        <v>0</v>
      </c>
      <c r="BE60" s="9">
        <f t="shared" si="2"/>
        <v>54137.87</v>
      </c>
      <c r="BF60" s="9">
        <v>18.28</v>
      </c>
      <c r="BG60" s="10">
        <v>44409</v>
      </c>
      <c r="BH60" s="9">
        <f t="shared" si="3"/>
        <v>918.09</v>
      </c>
      <c r="BI60" s="9">
        <f t="shared" si="4"/>
        <v>9921.33</v>
      </c>
      <c r="BJ60" s="9">
        <f t="shared" si="5"/>
        <v>6545.11</v>
      </c>
      <c r="BK60" s="9">
        <f t="shared" si="6"/>
        <v>1243.8699999999999</v>
      </c>
      <c r="BL60" s="9">
        <f t="shared" si="7"/>
        <v>6397.03</v>
      </c>
      <c r="BM60" s="9">
        <f t="shared" si="8"/>
        <v>651.54999999999995</v>
      </c>
      <c r="BN60" s="9">
        <f t="shared" si="9"/>
        <v>0</v>
      </c>
      <c r="BO60" s="9">
        <f t="shared" si="10"/>
        <v>0</v>
      </c>
      <c r="BP60" s="9">
        <f t="shared" si="11"/>
        <v>592.32000000000005</v>
      </c>
      <c r="BQ60" s="9">
        <f t="shared" si="12"/>
        <v>296.16000000000003</v>
      </c>
      <c r="BR60" s="9">
        <f t="shared" si="13"/>
        <v>1865.8</v>
      </c>
      <c r="BS60" s="9">
        <f t="shared" si="14"/>
        <v>1362.33</v>
      </c>
      <c r="BT60" s="9">
        <f t="shared" si="15"/>
        <v>207.31</v>
      </c>
      <c r="BU60" s="9">
        <f t="shared" si="16"/>
        <v>13623.31</v>
      </c>
      <c r="BV60" s="9">
        <f t="shared" si="17"/>
        <v>325.77</v>
      </c>
      <c r="BW60" s="9">
        <f t="shared" si="18"/>
        <v>4886.62</v>
      </c>
      <c r="BX60" s="9">
        <f t="shared" si="19"/>
        <v>5301.25</v>
      </c>
      <c r="BY60" s="17">
        <f t="shared" si="20"/>
        <v>54137.85</v>
      </c>
      <c r="BZ60" s="17">
        <v>1.72</v>
      </c>
      <c r="CA60" s="17">
        <v>0.02</v>
      </c>
      <c r="CB60" s="173">
        <v>0</v>
      </c>
      <c r="CC60" s="27">
        <v>0.01</v>
      </c>
      <c r="CD60" s="29">
        <v>6.33</v>
      </c>
      <c r="CE60" s="9">
        <v>213.29</v>
      </c>
      <c r="CF60" s="9"/>
      <c r="CG60" s="9">
        <v>1216.08</v>
      </c>
      <c r="CH60" s="9">
        <v>636.66</v>
      </c>
      <c r="CI60" s="9">
        <f t="shared" si="44"/>
        <v>7.0000000000000007E-2</v>
      </c>
      <c r="CJ60" s="9">
        <f t="shared" si="45"/>
        <v>0</v>
      </c>
      <c r="CK60" s="13">
        <f t="shared" si="46"/>
        <v>0.41</v>
      </c>
      <c r="CL60" s="13">
        <f t="shared" si="47"/>
        <v>0.21</v>
      </c>
      <c r="CM60" s="13">
        <v>36552.49</v>
      </c>
      <c r="CN60" s="13">
        <v>138.74</v>
      </c>
      <c r="CO60" s="13">
        <v>0</v>
      </c>
      <c r="CP60" s="13">
        <v>2239.54</v>
      </c>
      <c r="CQ60" s="13">
        <v>1179.81</v>
      </c>
      <c r="CR60" s="13">
        <v>36040.57</v>
      </c>
      <c r="CS60" s="13">
        <v>713.65</v>
      </c>
      <c r="CT60" s="13">
        <v>0</v>
      </c>
      <c r="CU60" s="13">
        <v>1508.9</v>
      </c>
      <c r="CV60" s="13">
        <v>795.01</v>
      </c>
      <c r="CW60" s="202">
        <v>2580</v>
      </c>
      <c r="CX60" s="200">
        <v>1480</v>
      </c>
      <c r="CY60" s="202"/>
      <c r="CZ60" s="202"/>
      <c r="DA60" s="202"/>
      <c r="DB60" s="202"/>
      <c r="DC60" s="202"/>
      <c r="DD60" s="461"/>
      <c r="DE60" s="256"/>
      <c r="DF60" s="204">
        <v>657</v>
      </c>
      <c r="DG60" s="204"/>
      <c r="DH60" s="204"/>
      <c r="DI60" s="204"/>
      <c r="DJ60" s="202"/>
      <c r="DK60" s="202"/>
      <c r="DL60" s="202"/>
      <c r="DM60" s="202"/>
      <c r="DN60" s="202"/>
      <c r="DO60" s="202"/>
      <c r="DP60" s="202">
        <v>10680</v>
      </c>
      <c r="DQ60" s="202">
        <v>1700</v>
      </c>
      <c r="DR60" s="202">
        <v>1</v>
      </c>
      <c r="DS60" s="202"/>
      <c r="DT60" s="254"/>
      <c r="DU60" s="254"/>
      <c r="DV60" s="202"/>
      <c r="DW60" s="202">
        <v>11741</v>
      </c>
      <c r="DX60" s="202"/>
      <c r="DY60" s="107">
        <v>1365</v>
      </c>
      <c r="DZ60" s="107">
        <v>577</v>
      </c>
      <c r="EA60" s="202"/>
      <c r="EB60" s="202"/>
      <c r="EC60" s="202"/>
      <c r="ED60" s="202"/>
      <c r="EE60" s="202"/>
      <c r="EF60" s="229"/>
      <c r="EG60" s="202"/>
      <c r="EH60" s="202"/>
      <c r="EI60" s="202"/>
      <c r="EJ60" s="202"/>
      <c r="EK60" s="202">
        <v>213.29</v>
      </c>
      <c r="EL60" s="202">
        <v>0</v>
      </c>
      <c r="EM60" s="202">
        <v>3323.95</v>
      </c>
      <c r="EN60" s="202">
        <v>1740.2</v>
      </c>
      <c r="EO60" s="202">
        <v>213.29</v>
      </c>
      <c r="EP60" s="202"/>
      <c r="EQ60" s="202">
        <v>3323.95</v>
      </c>
      <c r="ER60" s="202">
        <v>1740.2</v>
      </c>
      <c r="ES60" s="202"/>
      <c r="ET60" s="202"/>
      <c r="EU60" s="202"/>
      <c r="EV60" s="214">
        <v>75.06</v>
      </c>
      <c r="EW60" s="240">
        <f t="shared" si="25"/>
        <v>6477.47</v>
      </c>
      <c r="EX60" s="209">
        <f t="shared" si="26"/>
        <v>4215.88</v>
      </c>
    </row>
    <row r="61" spans="1:154" ht="12.75" customHeight="1" x14ac:dyDescent="0.2">
      <c r="A61" s="45" t="s">
        <v>96</v>
      </c>
      <c r="B61" s="51" t="s">
        <v>81</v>
      </c>
      <c r="C61" s="52" t="s">
        <v>23</v>
      </c>
      <c r="D61" s="53" t="s">
        <v>412</v>
      </c>
      <c r="E61" s="52" t="s">
        <v>12</v>
      </c>
      <c r="F61" s="11">
        <v>5</v>
      </c>
      <c r="G61" s="11">
        <v>3</v>
      </c>
      <c r="H61" s="11">
        <v>48</v>
      </c>
      <c r="I61" s="11">
        <v>48</v>
      </c>
      <c r="J61" s="11">
        <v>95</v>
      </c>
      <c r="K61" s="11">
        <v>108</v>
      </c>
      <c r="L61" s="11" t="s">
        <v>746</v>
      </c>
      <c r="M61" s="84">
        <v>38.9</v>
      </c>
      <c r="N61" s="84">
        <v>0</v>
      </c>
      <c r="O61" s="84">
        <v>0</v>
      </c>
      <c r="P61" s="135">
        <v>194.5</v>
      </c>
      <c r="Q61" s="146">
        <v>0</v>
      </c>
      <c r="R61" s="133">
        <v>0</v>
      </c>
      <c r="S61" s="133">
        <f t="shared" si="27"/>
        <v>194.5</v>
      </c>
      <c r="T61" s="134">
        <v>194.5</v>
      </c>
      <c r="U61" s="130">
        <v>1.53</v>
      </c>
      <c r="V61" s="91">
        <v>1.1299999999999999E-2</v>
      </c>
      <c r="W61" s="91" t="s">
        <v>823</v>
      </c>
      <c r="X61" s="132" t="s">
        <v>823</v>
      </c>
      <c r="Y61" s="91">
        <v>1.1299999999999999E-2</v>
      </c>
      <c r="Z61" s="29">
        <v>1993.38</v>
      </c>
      <c r="AA61" s="34">
        <v>503.4</v>
      </c>
      <c r="AB61" s="9">
        <f t="shared" si="32"/>
        <v>2496.7800000000002</v>
      </c>
      <c r="AC61" s="9">
        <f t="shared" si="39"/>
        <v>15804.62</v>
      </c>
      <c r="AD61" s="9">
        <v>0.37</v>
      </c>
      <c r="AE61" s="9">
        <v>3.64</v>
      </c>
      <c r="AF61" s="21">
        <f>2.46-AJ61</f>
        <v>2.2000000000000002</v>
      </c>
      <c r="AG61" s="18">
        <f>0.53-AQ61</f>
        <v>0.41</v>
      </c>
      <c r="AH61" s="9">
        <f>2.16</f>
        <v>2.16</v>
      </c>
      <c r="AI61" s="13">
        <v>650</v>
      </c>
      <c r="AJ61" s="21">
        <f t="shared" si="0"/>
        <v>0.26</v>
      </c>
      <c r="AK61" s="9">
        <v>0</v>
      </c>
      <c r="AL61" s="9">
        <v>0</v>
      </c>
      <c r="AM61" s="9">
        <v>0.23</v>
      </c>
      <c r="AN61" s="13">
        <v>210</v>
      </c>
      <c r="AO61" s="13">
        <v>420</v>
      </c>
      <c r="AP61" s="13">
        <f t="shared" si="28"/>
        <v>5.58</v>
      </c>
      <c r="AQ61" s="18">
        <f t="shared" si="1"/>
        <v>0.12</v>
      </c>
      <c r="AR61" s="9">
        <v>0.75</v>
      </c>
      <c r="AS61" s="9">
        <v>0.55000000000000004</v>
      </c>
      <c r="AT61" s="9">
        <v>0</v>
      </c>
      <c r="AU61" s="9">
        <v>4.6399999999999997</v>
      </c>
      <c r="AV61" s="9">
        <v>0.11</v>
      </c>
      <c r="AW61" s="9">
        <f>0.34+0.96+0.41</f>
        <v>1.71</v>
      </c>
      <c r="AX61" s="9">
        <f>1.32+0.55</f>
        <v>1.87</v>
      </c>
      <c r="AY61" s="54">
        <f t="shared" si="29"/>
        <v>19.02</v>
      </c>
      <c r="AZ61" s="43">
        <v>1991.1</v>
      </c>
      <c r="BA61" s="43">
        <v>503.4</v>
      </c>
      <c r="BB61" s="43">
        <f t="shared" si="30"/>
        <v>2494.5</v>
      </c>
      <c r="BC61" s="43">
        <v>19.02</v>
      </c>
      <c r="BD61" s="13">
        <f t="shared" si="31"/>
        <v>0</v>
      </c>
      <c r="BE61" s="9">
        <f t="shared" si="2"/>
        <v>47488.76</v>
      </c>
      <c r="BF61" s="9">
        <v>19.02</v>
      </c>
      <c r="BG61" s="10">
        <v>44409</v>
      </c>
      <c r="BH61" s="9">
        <f t="shared" si="3"/>
        <v>923.81</v>
      </c>
      <c r="BI61" s="9">
        <f t="shared" si="4"/>
        <v>9088.2800000000007</v>
      </c>
      <c r="BJ61" s="9">
        <f t="shared" si="5"/>
        <v>5492.92</v>
      </c>
      <c r="BK61" s="9">
        <f t="shared" si="6"/>
        <v>1023.68</v>
      </c>
      <c r="BL61" s="9">
        <f t="shared" si="7"/>
        <v>5393.04</v>
      </c>
      <c r="BM61" s="9">
        <f t="shared" si="8"/>
        <v>649.16</v>
      </c>
      <c r="BN61" s="9">
        <f t="shared" si="9"/>
        <v>0</v>
      </c>
      <c r="BO61" s="9">
        <f t="shared" si="10"/>
        <v>0</v>
      </c>
      <c r="BP61" s="9">
        <f t="shared" si="11"/>
        <v>574.26</v>
      </c>
      <c r="BQ61" s="9">
        <f t="shared" si="12"/>
        <v>299.61</v>
      </c>
      <c r="BR61" s="9">
        <f t="shared" si="13"/>
        <v>1872.59</v>
      </c>
      <c r="BS61" s="9">
        <f t="shared" si="14"/>
        <v>1373.23</v>
      </c>
      <c r="BT61" s="9">
        <f t="shared" si="15"/>
        <v>0</v>
      </c>
      <c r="BU61" s="9">
        <f t="shared" si="16"/>
        <v>11585.06</v>
      </c>
      <c r="BV61" s="9">
        <f t="shared" si="17"/>
        <v>274.64999999999998</v>
      </c>
      <c r="BW61" s="9">
        <f t="shared" si="18"/>
        <v>4269.49</v>
      </c>
      <c r="BX61" s="9">
        <f t="shared" si="19"/>
        <v>4668.9799999999996</v>
      </c>
      <c r="BY61" s="17">
        <f t="shared" si="20"/>
        <v>47488.76</v>
      </c>
      <c r="BZ61" s="17">
        <v>0.46</v>
      </c>
      <c r="CA61" s="17">
        <v>0.02</v>
      </c>
      <c r="CB61" s="173">
        <v>0</v>
      </c>
      <c r="CC61" s="27">
        <v>0.01</v>
      </c>
      <c r="CD61" s="29">
        <v>6.33</v>
      </c>
      <c r="CE61" s="9">
        <v>227.96</v>
      </c>
      <c r="CF61" s="9"/>
      <c r="CG61" s="9">
        <v>5729.09</v>
      </c>
      <c r="CH61" s="9">
        <v>2999.38</v>
      </c>
      <c r="CI61" s="9">
        <f t="shared" si="44"/>
        <v>0.09</v>
      </c>
      <c r="CJ61" s="9">
        <f t="shared" si="45"/>
        <v>0</v>
      </c>
      <c r="CK61" s="13">
        <f t="shared" si="46"/>
        <v>2.29</v>
      </c>
      <c r="CL61" s="13">
        <f t="shared" si="47"/>
        <v>1.2</v>
      </c>
      <c r="CM61" s="13">
        <v>37914.1</v>
      </c>
      <c r="CN61" s="13">
        <v>179.4</v>
      </c>
      <c r="CO61" s="13">
        <v>0</v>
      </c>
      <c r="CP61" s="13">
        <v>3548.2</v>
      </c>
      <c r="CQ61" s="13">
        <v>1853.86</v>
      </c>
      <c r="CR61" s="13">
        <v>39935.03</v>
      </c>
      <c r="CS61" s="13">
        <v>298.95</v>
      </c>
      <c r="CT61" s="13">
        <v>0</v>
      </c>
      <c r="CU61" s="13">
        <v>4037.22</v>
      </c>
      <c r="CV61" s="13">
        <v>2108.9</v>
      </c>
      <c r="CW61" s="202">
        <v>2175</v>
      </c>
      <c r="CX61" s="200">
        <v>1248</v>
      </c>
      <c r="CY61" s="202"/>
      <c r="CZ61" s="202"/>
      <c r="DA61" s="202"/>
      <c r="DB61" s="202"/>
      <c r="DC61" s="202"/>
      <c r="DD61" s="461"/>
      <c r="DE61" s="256"/>
      <c r="DF61" s="204">
        <v>650</v>
      </c>
      <c r="DG61" s="204"/>
      <c r="DH61" s="204"/>
      <c r="DI61" s="204"/>
      <c r="DJ61" s="202"/>
      <c r="DK61" s="202"/>
      <c r="DL61" s="202"/>
      <c r="DM61" s="202"/>
      <c r="DN61" s="202"/>
      <c r="DO61" s="202"/>
      <c r="DP61" s="202">
        <v>9671</v>
      </c>
      <c r="DQ61" s="202">
        <v>3910</v>
      </c>
      <c r="DR61" s="202">
        <v>2.2999999999999998</v>
      </c>
      <c r="DS61" s="202"/>
      <c r="DT61" s="254"/>
      <c r="DU61" s="254"/>
      <c r="DV61" s="202"/>
      <c r="DW61" s="202">
        <v>9878</v>
      </c>
      <c r="DX61" s="202"/>
      <c r="DY61" s="107">
        <v>1365</v>
      </c>
      <c r="DZ61" s="107">
        <v>577</v>
      </c>
      <c r="EA61" s="202">
        <f>1838.21+3988.8</f>
        <v>5827.01</v>
      </c>
      <c r="EB61" s="202"/>
      <c r="EC61" s="202"/>
      <c r="ED61" s="202"/>
      <c r="EE61" s="202"/>
      <c r="EF61" s="229"/>
      <c r="EG61" s="202"/>
      <c r="EH61" s="202"/>
      <c r="EI61" s="202"/>
      <c r="EJ61" s="202"/>
      <c r="EK61" s="202">
        <v>227.96</v>
      </c>
      <c r="EL61" s="202">
        <v>0</v>
      </c>
      <c r="EM61" s="202">
        <v>4431.9399999999996</v>
      </c>
      <c r="EN61" s="202">
        <v>2320.27</v>
      </c>
      <c r="EO61" s="202">
        <v>227.96</v>
      </c>
      <c r="EP61" s="202"/>
      <c r="EQ61" s="202">
        <v>4431.9399999999996</v>
      </c>
      <c r="ER61" s="202">
        <v>2320.27</v>
      </c>
      <c r="ES61" s="202"/>
      <c r="ET61" s="202"/>
      <c r="EU61" s="202"/>
      <c r="EV61" s="214">
        <v>130.94999999999999</v>
      </c>
      <c r="EW61" s="240">
        <f t="shared" si="25"/>
        <v>5460.86</v>
      </c>
      <c r="EX61" s="209">
        <f t="shared" si="26"/>
        <v>3554.22</v>
      </c>
    </row>
    <row r="62" spans="1:154" ht="12.75" customHeight="1" x14ac:dyDescent="0.2">
      <c r="A62" s="45" t="s">
        <v>98</v>
      </c>
      <c r="B62" s="48" t="s">
        <v>81</v>
      </c>
      <c r="C62" s="49" t="s">
        <v>23</v>
      </c>
      <c r="D62" s="50" t="s">
        <v>551</v>
      </c>
      <c r="E62" s="49" t="s">
        <v>9</v>
      </c>
      <c r="F62" s="11">
        <v>10</v>
      </c>
      <c r="G62" s="11">
        <v>1</v>
      </c>
      <c r="H62" s="11">
        <v>159</v>
      </c>
      <c r="I62" s="11">
        <v>160</v>
      </c>
      <c r="J62" s="11">
        <v>223</v>
      </c>
      <c r="K62" s="11">
        <v>237</v>
      </c>
      <c r="L62" s="11">
        <v>1</v>
      </c>
      <c r="M62" s="84">
        <v>37.4</v>
      </c>
      <c r="N62" s="84">
        <v>896</v>
      </c>
      <c r="O62" s="84">
        <v>0</v>
      </c>
      <c r="P62" s="135">
        <f>222.6+840.2</f>
        <v>1062.8</v>
      </c>
      <c r="Q62" s="135">
        <v>540.70000000000005</v>
      </c>
      <c r="R62" s="133">
        <v>0</v>
      </c>
      <c r="S62" s="133">
        <f t="shared" si="27"/>
        <v>1603.5</v>
      </c>
      <c r="T62" s="134">
        <v>1062.8</v>
      </c>
      <c r="U62" s="130">
        <v>2.74</v>
      </c>
      <c r="V62" s="91">
        <v>1.1299999999999999E-2</v>
      </c>
      <c r="W62" s="91">
        <v>1.1299999999999999E-2</v>
      </c>
      <c r="X62" s="132">
        <v>7.5000000000000002E-4</v>
      </c>
      <c r="Y62" s="91">
        <v>2.2499999999999999E-2</v>
      </c>
      <c r="Z62" s="29">
        <v>5575.85</v>
      </c>
      <c r="AA62" s="34"/>
      <c r="AB62" s="9">
        <f t="shared" si="32"/>
        <v>5575.85</v>
      </c>
      <c r="AC62" s="9">
        <f t="shared" si="39"/>
        <v>35295.129999999997</v>
      </c>
      <c r="AD62" s="9">
        <v>2.2999999999999998</v>
      </c>
      <c r="AE62" s="9">
        <v>3.07</v>
      </c>
      <c r="AF62" s="21">
        <f>2.45-AJ62</f>
        <v>2.2999999999999998</v>
      </c>
      <c r="AG62" s="18">
        <f>0.62-AQ62</f>
        <v>0.54</v>
      </c>
      <c r="AH62" s="9">
        <v>2.4700000000000002</v>
      </c>
      <c r="AI62" s="13">
        <v>861</v>
      </c>
      <c r="AJ62" s="21">
        <f t="shared" si="0"/>
        <v>0.15</v>
      </c>
      <c r="AK62" s="9">
        <v>0.78</v>
      </c>
      <c r="AL62" s="9">
        <v>7.0000000000000007E-2</v>
      </c>
      <c r="AM62" s="9">
        <v>0.1</v>
      </c>
      <c r="AN62" s="13"/>
      <c r="AO62" s="13">
        <v>944</v>
      </c>
      <c r="AP62" s="13">
        <f t="shared" si="28"/>
        <v>5.58</v>
      </c>
      <c r="AQ62" s="18">
        <f t="shared" si="1"/>
        <v>0.08</v>
      </c>
      <c r="AR62" s="9">
        <v>0.85</v>
      </c>
      <c r="AS62" s="9">
        <v>0.25</v>
      </c>
      <c r="AT62" s="9">
        <v>7.0000000000000007E-2</v>
      </c>
      <c r="AU62" s="9">
        <v>4.95</v>
      </c>
      <c r="AV62" s="9">
        <v>0.14000000000000001</v>
      </c>
      <c r="AW62" s="9">
        <f>0.4+1.17+0.43</f>
        <v>2</v>
      </c>
      <c r="AX62" s="9">
        <f>1.62+0.58</f>
        <v>2.2000000000000002</v>
      </c>
      <c r="AY62" s="46">
        <f t="shared" si="29"/>
        <v>22.32</v>
      </c>
      <c r="AZ62" s="47">
        <v>5539.9</v>
      </c>
      <c r="BA62" s="47">
        <v>0</v>
      </c>
      <c r="BB62" s="47">
        <f t="shared" si="30"/>
        <v>5539.9</v>
      </c>
      <c r="BC62" s="47">
        <v>22.32</v>
      </c>
      <c r="BD62" s="13">
        <f t="shared" si="31"/>
        <v>0</v>
      </c>
      <c r="BE62" s="9">
        <f t="shared" si="2"/>
        <v>124452.97</v>
      </c>
      <c r="BF62" s="9">
        <v>22.32</v>
      </c>
      <c r="BG62" s="10">
        <v>44378</v>
      </c>
      <c r="BH62" s="9">
        <f t="shared" si="3"/>
        <v>12824.46</v>
      </c>
      <c r="BI62" s="9">
        <f t="shared" si="4"/>
        <v>17117.86</v>
      </c>
      <c r="BJ62" s="9">
        <f t="shared" si="5"/>
        <v>12824.46</v>
      </c>
      <c r="BK62" s="9">
        <f t="shared" si="6"/>
        <v>3010.96</v>
      </c>
      <c r="BL62" s="9">
        <f t="shared" si="7"/>
        <v>13772.35</v>
      </c>
      <c r="BM62" s="9">
        <f t="shared" si="8"/>
        <v>836.38</v>
      </c>
      <c r="BN62" s="9">
        <f t="shared" si="9"/>
        <v>4349.16</v>
      </c>
      <c r="BO62" s="9">
        <f t="shared" si="10"/>
        <v>390.31</v>
      </c>
      <c r="BP62" s="9">
        <f t="shared" si="11"/>
        <v>557.59</v>
      </c>
      <c r="BQ62" s="9">
        <f t="shared" si="12"/>
        <v>446.07</v>
      </c>
      <c r="BR62" s="9">
        <f t="shared" si="13"/>
        <v>4739.47</v>
      </c>
      <c r="BS62" s="9">
        <f t="shared" si="14"/>
        <v>1393.96</v>
      </c>
      <c r="BT62" s="9">
        <f t="shared" si="15"/>
        <v>390.31</v>
      </c>
      <c r="BU62" s="9">
        <f t="shared" si="16"/>
        <v>27600.46</v>
      </c>
      <c r="BV62" s="9">
        <f t="shared" si="17"/>
        <v>780.62</v>
      </c>
      <c r="BW62" s="9">
        <f t="shared" si="18"/>
        <v>11151.7</v>
      </c>
      <c r="BX62" s="9">
        <f t="shared" si="19"/>
        <v>12266.87</v>
      </c>
      <c r="BY62" s="17">
        <f t="shared" si="20"/>
        <v>124452.99</v>
      </c>
      <c r="BZ62" s="17">
        <v>3.04</v>
      </c>
      <c r="CA62" s="17">
        <v>0.06</v>
      </c>
      <c r="CB62" s="17">
        <v>0.41</v>
      </c>
      <c r="CC62" s="27">
        <v>0.06</v>
      </c>
      <c r="CD62" s="29">
        <v>6.33</v>
      </c>
      <c r="CE62" s="9">
        <v>26977.87</v>
      </c>
      <c r="CF62" s="9"/>
      <c r="CG62" s="9">
        <v>3026.69</v>
      </c>
      <c r="CH62" s="9">
        <v>1768.64</v>
      </c>
      <c r="CI62" s="9">
        <f t="shared" si="44"/>
        <v>4.84</v>
      </c>
      <c r="CJ62" s="9">
        <f t="shared" si="45"/>
        <v>0</v>
      </c>
      <c r="CK62" s="13">
        <f t="shared" si="46"/>
        <v>0.54</v>
      </c>
      <c r="CL62" s="13">
        <f t="shared" si="47"/>
        <v>0.32</v>
      </c>
      <c r="CM62" s="13">
        <v>124450.74</v>
      </c>
      <c r="CN62" s="13">
        <v>37524.589999999997</v>
      </c>
      <c r="CO62" s="13">
        <v>-0.04</v>
      </c>
      <c r="CP62" s="13">
        <v>0</v>
      </c>
      <c r="CQ62" s="13">
        <v>167.17</v>
      </c>
      <c r="CR62" s="13">
        <v>126271.21</v>
      </c>
      <c r="CS62" s="13">
        <v>35725.53</v>
      </c>
      <c r="CT62" s="13">
        <v>334.78</v>
      </c>
      <c r="CU62" s="13">
        <v>390.32</v>
      </c>
      <c r="CV62" s="13">
        <v>373.67</v>
      </c>
      <c r="CW62" s="202">
        <v>4858</v>
      </c>
      <c r="CX62" s="200">
        <v>2787</v>
      </c>
      <c r="CY62" s="202"/>
      <c r="CZ62" s="202"/>
      <c r="DA62" s="202"/>
      <c r="DB62" s="202"/>
      <c r="DC62" s="202"/>
      <c r="DD62" s="461"/>
      <c r="DE62" s="256"/>
      <c r="DF62" s="204">
        <v>861</v>
      </c>
      <c r="DG62" s="204"/>
      <c r="DH62" s="204"/>
      <c r="DI62" s="204"/>
      <c r="DJ62" s="202"/>
      <c r="DK62" s="202">
        <v>4300</v>
      </c>
      <c r="DL62" s="202"/>
      <c r="DM62" s="202"/>
      <c r="DN62" s="202"/>
      <c r="DO62" s="202"/>
      <c r="DP62" s="202">
        <v>29129</v>
      </c>
      <c r="DQ62" s="202">
        <v>3910</v>
      </c>
      <c r="DR62" s="202">
        <v>2.2999999999999998</v>
      </c>
      <c r="DS62" s="202"/>
      <c r="DT62" s="254"/>
      <c r="DU62" s="254"/>
      <c r="DV62" s="202"/>
      <c r="DW62" s="202">
        <v>24372</v>
      </c>
      <c r="DX62" s="202"/>
      <c r="DY62" s="107">
        <v>1365</v>
      </c>
      <c r="DZ62" s="107">
        <v>577</v>
      </c>
      <c r="EA62" s="202"/>
      <c r="EB62" s="202"/>
      <c r="EC62" s="202"/>
      <c r="ED62" s="202"/>
      <c r="EE62" s="202"/>
      <c r="EF62" s="229"/>
      <c r="EG62" s="202"/>
      <c r="EH62" s="202"/>
      <c r="EI62" s="202"/>
      <c r="EJ62" s="202"/>
      <c r="EK62" s="202">
        <v>37502.79</v>
      </c>
      <c r="EL62" s="202">
        <v>0</v>
      </c>
      <c r="EM62" s="202">
        <v>0</v>
      </c>
      <c r="EN62" s="202">
        <v>169.91</v>
      </c>
      <c r="EO62" s="202">
        <v>37502.79</v>
      </c>
      <c r="EP62" s="202"/>
      <c r="EQ62" s="202">
        <v>0</v>
      </c>
      <c r="ER62" s="202">
        <v>169.91</v>
      </c>
      <c r="ES62" s="202"/>
      <c r="ET62" s="202"/>
      <c r="EU62" s="202"/>
      <c r="EV62" s="214">
        <v>-9.76</v>
      </c>
      <c r="EW62" s="240">
        <f t="shared" si="25"/>
        <v>12195.28</v>
      </c>
      <c r="EX62" s="209">
        <f t="shared" si="26"/>
        <v>7937.33</v>
      </c>
    </row>
    <row r="63" spans="1:154" ht="12.75" customHeight="1" x14ac:dyDescent="0.2">
      <c r="A63" s="45" t="s">
        <v>99</v>
      </c>
      <c r="B63" s="51" t="s">
        <v>81</v>
      </c>
      <c r="C63" s="52" t="s">
        <v>25</v>
      </c>
      <c r="D63" s="53" t="s">
        <v>413</v>
      </c>
      <c r="E63" s="52" t="s">
        <v>12</v>
      </c>
      <c r="F63" s="11">
        <v>5</v>
      </c>
      <c r="G63" s="11">
        <v>3</v>
      </c>
      <c r="H63" s="11">
        <v>48</v>
      </c>
      <c r="I63" s="11">
        <v>48</v>
      </c>
      <c r="J63" s="11">
        <v>85</v>
      </c>
      <c r="K63" s="11">
        <v>118</v>
      </c>
      <c r="L63" s="11" t="s">
        <v>746</v>
      </c>
      <c r="M63" s="84">
        <v>37.4</v>
      </c>
      <c r="N63" s="84">
        <v>688.6</v>
      </c>
      <c r="O63" s="84">
        <v>0</v>
      </c>
      <c r="P63" s="135">
        <v>186</v>
      </c>
      <c r="Q63" s="135">
        <v>170.9</v>
      </c>
      <c r="R63" s="133">
        <v>0</v>
      </c>
      <c r="S63" s="133">
        <f t="shared" si="27"/>
        <v>356.9</v>
      </c>
      <c r="T63" s="138">
        <v>184.4</v>
      </c>
      <c r="U63" s="130">
        <v>1.53</v>
      </c>
      <c r="V63" s="91">
        <v>1.1299999999999999E-2</v>
      </c>
      <c r="W63" s="91" t="s">
        <v>823</v>
      </c>
      <c r="X63" s="132" t="s">
        <v>823</v>
      </c>
      <c r="Y63" s="91">
        <v>1.1299999999999999E-2</v>
      </c>
      <c r="Z63" s="29">
        <v>2046.15</v>
      </c>
      <c r="AA63" s="34">
        <v>628.9</v>
      </c>
      <c r="AB63" s="9">
        <f t="shared" si="32"/>
        <v>2675.05</v>
      </c>
      <c r="AC63" s="9">
        <f t="shared" si="39"/>
        <v>16933.07</v>
      </c>
      <c r="AD63" s="9">
        <v>0.28000000000000003</v>
      </c>
      <c r="AE63" s="9">
        <v>3.61</v>
      </c>
      <c r="AF63" s="21">
        <f>2.45-AJ63</f>
        <v>2.2000000000000002</v>
      </c>
      <c r="AG63" s="18">
        <f>0.53-AQ63</f>
        <v>0.42</v>
      </c>
      <c r="AH63" s="9">
        <v>2.15</v>
      </c>
      <c r="AI63" s="13">
        <v>661</v>
      </c>
      <c r="AJ63" s="21">
        <f t="shared" si="0"/>
        <v>0.25</v>
      </c>
      <c r="AK63" s="9">
        <v>0</v>
      </c>
      <c r="AL63" s="9">
        <v>0</v>
      </c>
      <c r="AM63" s="9">
        <v>0.21</v>
      </c>
      <c r="AN63" s="13">
        <v>210</v>
      </c>
      <c r="AO63" s="13">
        <v>420</v>
      </c>
      <c r="AP63" s="13">
        <f t="shared" si="28"/>
        <v>5.58</v>
      </c>
      <c r="AQ63" s="18">
        <f t="shared" si="1"/>
        <v>0.11</v>
      </c>
      <c r="AR63" s="9">
        <v>0.7</v>
      </c>
      <c r="AS63" s="9">
        <v>0.51</v>
      </c>
      <c r="AT63" s="9">
        <v>7.0000000000000007E-2</v>
      </c>
      <c r="AU63" s="9">
        <v>4.59</v>
      </c>
      <c r="AV63" s="9">
        <v>0.11</v>
      </c>
      <c r="AW63" s="9">
        <f>0.32+0.94+0.42</f>
        <v>1.68</v>
      </c>
      <c r="AX63" s="9">
        <f>1.3+0.54</f>
        <v>1.84</v>
      </c>
      <c r="AY63" s="54">
        <f t="shared" si="29"/>
        <v>18.73</v>
      </c>
      <c r="AZ63" s="43">
        <v>2057</v>
      </c>
      <c r="BA63" s="43">
        <v>628.9</v>
      </c>
      <c r="BB63" s="43">
        <f t="shared" si="30"/>
        <v>2685.9</v>
      </c>
      <c r="BC63" s="43">
        <v>18.73</v>
      </c>
      <c r="BD63" s="13">
        <f t="shared" si="31"/>
        <v>0</v>
      </c>
      <c r="BE63" s="9">
        <f t="shared" si="2"/>
        <v>50103.69</v>
      </c>
      <c r="BF63" s="9">
        <v>18.73</v>
      </c>
      <c r="BG63" s="10">
        <v>44409</v>
      </c>
      <c r="BH63" s="9">
        <f t="shared" si="3"/>
        <v>749.01</v>
      </c>
      <c r="BI63" s="9">
        <f t="shared" si="4"/>
        <v>9656.93</v>
      </c>
      <c r="BJ63" s="9">
        <f t="shared" si="5"/>
        <v>5885.11</v>
      </c>
      <c r="BK63" s="9">
        <f t="shared" si="6"/>
        <v>1123.52</v>
      </c>
      <c r="BL63" s="9">
        <f t="shared" si="7"/>
        <v>5751.36</v>
      </c>
      <c r="BM63" s="9">
        <f t="shared" si="8"/>
        <v>668.76</v>
      </c>
      <c r="BN63" s="9">
        <f t="shared" si="9"/>
        <v>0</v>
      </c>
      <c r="BO63" s="9">
        <f t="shared" si="10"/>
        <v>0</v>
      </c>
      <c r="BP63" s="9">
        <f t="shared" si="11"/>
        <v>561.76</v>
      </c>
      <c r="BQ63" s="9">
        <f t="shared" si="12"/>
        <v>294.26</v>
      </c>
      <c r="BR63" s="9">
        <f t="shared" si="13"/>
        <v>1872.54</v>
      </c>
      <c r="BS63" s="9">
        <f t="shared" si="14"/>
        <v>1364.28</v>
      </c>
      <c r="BT63" s="9">
        <f t="shared" si="15"/>
        <v>187.25</v>
      </c>
      <c r="BU63" s="9">
        <f t="shared" si="16"/>
        <v>12278.48</v>
      </c>
      <c r="BV63" s="9">
        <f t="shared" si="17"/>
        <v>294.26</v>
      </c>
      <c r="BW63" s="9">
        <f t="shared" si="18"/>
        <v>4494.08</v>
      </c>
      <c r="BX63" s="9">
        <f t="shared" si="19"/>
        <v>4922.09</v>
      </c>
      <c r="BY63" s="17">
        <f t="shared" si="20"/>
        <v>50103.69</v>
      </c>
      <c r="BZ63" s="17">
        <v>1.91</v>
      </c>
      <c r="CA63" s="17">
        <v>0.02</v>
      </c>
      <c r="CB63" s="173">
        <v>0</v>
      </c>
      <c r="CC63" s="27">
        <v>0.01</v>
      </c>
      <c r="CD63" s="29">
        <v>6.33</v>
      </c>
      <c r="CE63" s="9">
        <v>219.15</v>
      </c>
      <c r="CF63" s="9"/>
      <c r="CG63" s="9">
        <v>7782.91</v>
      </c>
      <c r="CH63" s="9">
        <v>4074.62</v>
      </c>
      <c r="CI63" s="9">
        <f t="shared" si="44"/>
        <v>0.08</v>
      </c>
      <c r="CJ63" s="9">
        <f t="shared" si="45"/>
        <v>0</v>
      </c>
      <c r="CK63" s="13">
        <f t="shared" si="46"/>
        <v>2.91</v>
      </c>
      <c r="CL63" s="13">
        <f t="shared" si="47"/>
        <v>1.52</v>
      </c>
      <c r="CM63" s="13">
        <v>38324.400000000001</v>
      </c>
      <c r="CN63" s="13">
        <v>163.72999999999999</v>
      </c>
      <c r="CO63" s="13">
        <v>0</v>
      </c>
      <c r="CP63" s="13">
        <v>2291.65</v>
      </c>
      <c r="CQ63" s="13">
        <v>1207.22</v>
      </c>
      <c r="CR63" s="13">
        <v>33570.94</v>
      </c>
      <c r="CS63" s="13">
        <v>508.58</v>
      </c>
      <c r="CT63" s="13">
        <v>0</v>
      </c>
      <c r="CU63" s="13">
        <v>2543.7199999999998</v>
      </c>
      <c r="CV63" s="13">
        <v>1328.3</v>
      </c>
      <c r="CW63" s="202">
        <v>2331</v>
      </c>
      <c r="CX63" s="200">
        <v>1337</v>
      </c>
      <c r="CY63" s="202"/>
      <c r="CZ63" s="202"/>
      <c r="DA63" s="202"/>
      <c r="DB63" s="202"/>
      <c r="DC63" s="202"/>
      <c r="DD63" s="461"/>
      <c r="DE63" s="256"/>
      <c r="DF63" s="204">
        <v>661</v>
      </c>
      <c r="DG63" s="204"/>
      <c r="DH63" s="204"/>
      <c r="DI63" s="204"/>
      <c r="DJ63" s="202"/>
      <c r="DK63" s="202"/>
      <c r="DL63" s="202"/>
      <c r="DM63" s="202"/>
      <c r="DN63" s="202"/>
      <c r="DO63" s="202"/>
      <c r="DP63" s="202">
        <v>10259</v>
      </c>
      <c r="DQ63" s="202">
        <v>3910</v>
      </c>
      <c r="DR63" s="202">
        <v>2.2999999999999998</v>
      </c>
      <c r="DS63" s="202"/>
      <c r="DT63" s="254"/>
      <c r="DU63" s="254"/>
      <c r="DV63" s="202"/>
      <c r="DW63" s="202">
        <v>10663</v>
      </c>
      <c r="DX63" s="202"/>
      <c r="DY63" s="107">
        <v>1365</v>
      </c>
      <c r="DZ63" s="107"/>
      <c r="EA63" s="202"/>
      <c r="EB63" s="202"/>
      <c r="EC63" s="202"/>
      <c r="ED63" s="202"/>
      <c r="EE63" s="202"/>
      <c r="EF63" s="229"/>
      <c r="EG63" s="202"/>
      <c r="EH63" s="202"/>
      <c r="EI63" s="202"/>
      <c r="EJ63" s="202"/>
      <c r="EK63" s="202">
        <v>219.15</v>
      </c>
      <c r="EL63" s="202">
        <v>0</v>
      </c>
      <c r="EM63" s="202">
        <v>2999.66</v>
      </c>
      <c r="EN63" s="202">
        <v>1570.43</v>
      </c>
      <c r="EO63" s="202">
        <v>219.15</v>
      </c>
      <c r="EP63" s="202"/>
      <c r="EQ63" s="202">
        <v>2999.66</v>
      </c>
      <c r="ER63" s="202">
        <v>1570.43</v>
      </c>
      <c r="ES63" s="202"/>
      <c r="ET63" s="202"/>
      <c r="EU63" s="202"/>
      <c r="EV63" s="214">
        <v>154.06</v>
      </c>
      <c r="EW63" s="240">
        <f t="shared" si="25"/>
        <v>5850.76</v>
      </c>
      <c r="EX63" s="209">
        <f t="shared" si="26"/>
        <v>3807.99</v>
      </c>
    </row>
    <row r="64" spans="1:154" ht="12.75" customHeight="1" x14ac:dyDescent="0.2">
      <c r="A64" s="45" t="s">
        <v>100</v>
      </c>
      <c r="B64" s="51" t="s">
        <v>81</v>
      </c>
      <c r="C64" s="52" t="s">
        <v>79</v>
      </c>
      <c r="D64" s="53" t="s">
        <v>414</v>
      </c>
      <c r="E64" s="52" t="s">
        <v>12</v>
      </c>
      <c r="F64" s="11">
        <v>5</v>
      </c>
      <c r="G64" s="11">
        <v>4</v>
      </c>
      <c r="H64" s="11">
        <v>70</v>
      </c>
      <c r="I64" s="11">
        <v>70</v>
      </c>
      <c r="J64" s="11">
        <v>153</v>
      </c>
      <c r="K64" s="11">
        <v>195</v>
      </c>
      <c r="L64" s="11" t="s">
        <v>746</v>
      </c>
      <c r="M64" s="84">
        <v>276.5</v>
      </c>
      <c r="N64" s="84">
        <v>914.2</v>
      </c>
      <c r="O64" s="84">
        <v>0</v>
      </c>
      <c r="P64" s="135">
        <f>264.5+31.7</f>
        <v>296.2</v>
      </c>
      <c r="Q64" s="135">
        <v>696.3</v>
      </c>
      <c r="R64" s="133">
        <v>0</v>
      </c>
      <c r="S64" s="133">
        <f t="shared" si="27"/>
        <v>992.5</v>
      </c>
      <c r="T64" s="134">
        <v>296.2</v>
      </c>
      <c r="U64" s="130">
        <v>1.53</v>
      </c>
      <c r="V64" s="91">
        <v>1.9800000000000002E-2</v>
      </c>
      <c r="W64" s="91">
        <v>1.9800000000000002E-2</v>
      </c>
      <c r="X64" s="132">
        <v>1.2199999999999999E-3</v>
      </c>
      <c r="Y64" s="91">
        <v>3.95E-2</v>
      </c>
      <c r="Z64" s="29">
        <v>3377.1</v>
      </c>
      <c r="AA64" s="34"/>
      <c r="AB64" s="9">
        <f t="shared" si="32"/>
        <v>3377.1</v>
      </c>
      <c r="AC64" s="9">
        <f t="shared" si="39"/>
        <v>21377.040000000001</v>
      </c>
      <c r="AD64" s="9">
        <v>0.39</v>
      </c>
      <c r="AE64" s="9">
        <v>4.7699999999999996</v>
      </c>
      <c r="AF64" s="21">
        <f>2.42-AJ64</f>
        <v>2.34</v>
      </c>
      <c r="AG64" s="18">
        <f>0.53-AQ64</f>
        <v>0.45</v>
      </c>
      <c r="AH64" s="9">
        <v>2.78</v>
      </c>
      <c r="AI64" s="13">
        <v>265</v>
      </c>
      <c r="AJ64" s="21">
        <f t="shared" si="0"/>
        <v>0.08</v>
      </c>
      <c r="AK64" s="9">
        <v>0</v>
      </c>
      <c r="AL64" s="9">
        <v>0</v>
      </c>
      <c r="AM64" s="9">
        <v>0.17</v>
      </c>
      <c r="AN64" s="13"/>
      <c r="AO64" s="13">
        <v>566.4</v>
      </c>
      <c r="AP64" s="13">
        <f t="shared" si="28"/>
        <v>5.58</v>
      </c>
      <c r="AQ64" s="18">
        <f t="shared" si="1"/>
        <v>0.08</v>
      </c>
      <c r="AR64" s="9">
        <v>0.75</v>
      </c>
      <c r="AS64" s="9">
        <v>0.4</v>
      </c>
      <c r="AT64" s="9">
        <v>7.0000000000000007E-2</v>
      </c>
      <c r="AU64" s="9">
        <v>3.9</v>
      </c>
      <c r="AV64" s="9">
        <v>0.13</v>
      </c>
      <c r="AW64" s="9">
        <f>0.29+1.1+0.34</f>
        <v>1.73</v>
      </c>
      <c r="AX64" s="9">
        <f>1.51+0.49</f>
        <v>2</v>
      </c>
      <c r="AY64" s="54">
        <f t="shared" si="29"/>
        <v>20.04</v>
      </c>
      <c r="AZ64" s="43">
        <v>3373.7</v>
      </c>
      <c r="BA64" s="43">
        <v>0</v>
      </c>
      <c r="BB64" s="43">
        <f t="shared" si="30"/>
        <v>3373.7</v>
      </c>
      <c r="BC64" s="43">
        <v>20.04</v>
      </c>
      <c r="BD64" s="13">
        <f t="shared" si="31"/>
        <v>0</v>
      </c>
      <c r="BE64" s="9">
        <f t="shared" si="2"/>
        <v>67677.08</v>
      </c>
      <c r="BF64" s="9">
        <v>20.04</v>
      </c>
      <c r="BG64" s="10">
        <v>44409</v>
      </c>
      <c r="BH64" s="9">
        <f t="shared" si="3"/>
        <v>1317.07</v>
      </c>
      <c r="BI64" s="9">
        <f t="shared" si="4"/>
        <v>16108.77</v>
      </c>
      <c r="BJ64" s="9">
        <f t="shared" si="5"/>
        <v>7902.41</v>
      </c>
      <c r="BK64" s="9">
        <f t="shared" si="6"/>
        <v>1519.7</v>
      </c>
      <c r="BL64" s="9">
        <f t="shared" si="7"/>
        <v>9388.34</v>
      </c>
      <c r="BM64" s="9">
        <f t="shared" si="8"/>
        <v>270.17</v>
      </c>
      <c r="BN64" s="9">
        <f t="shared" si="9"/>
        <v>0</v>
      </c>
      <c r="BO64" s="9">
        <f t="shared" si="10"/>
        <v>0</v>
      </c>
      <c r="BP64" s="9">
        <f t="shared" si="11"/>
        <v>574.11</v>
      </c>
      <c r="BQ64" s="9">
        <f t="shared" si="12"/>
        <v>270.17</v>
      </c>
      <c r="BR64" s="9">
        <f t="shared" si="13"/>
        <v>2532.83</v>
      </c>
      <c r="BS64" s="9">
        <f t="shared" si="14"/>
        <v>1350.84</v>
      </c>
      <c r="BT64" s="9">
        <f t="shared" si="15"/>
        <v>236.4</v>
      </c>
      <c r="BU64" s="9">
        <f t="shared" si="16"/>
        <v>13170.69</v>
      </c>
      <c r="BV64" s="9">
        <f t="shared" si="17"/>
        <v>439.02</v>
      </c>
      <c r="BW64" s="9">
        <f t="shared" si="18"/>
        <v>5842.38</v>
      </c>
      <c r="BX64" s="9">
        <f t="shared" si="19"/>
        <v>6754.2</v>
      </c>
      <c r="BY64" s="17">
        <f t="shared" si="20"/>
        <v>67677.100000000006</v>
      </c>
      <c r="BZ64" s="17">
        <v>1.72</v>
      </c>
      <c r="CA64" s="17">
        <v>0.05</v>
      </c>
      <c r="CB64" s="17">
        <v>0.31</v>
      </c>
      <c r="CC64" s="27">
        <v>0.05</v>
      </c>
      <c r="CD64" s="29">
        <v>6.33</v>
      </c>
      <c r="CE64" s="9">
        <v>26518.42</v>
      </c>
      <c r="CF64" s="9"/>
      <c r="CG64" s="9">
        <v>6188.5</v>
      </c>
      <c r="CH64" s="9">
        <v>3322.87</v>
      </c>
      <c r="CI64" s="9">
        <f t="shared" si="44"/>
        <v>7.85</v>
      </c>
      <c r="CJ64" s="9">
        <f t="shared" si="45"/>
        <v>0</v>
      </c>
      <c r="CK64" s="13">
        <f t="shared" si="46"/>
        <v>1.83</v>
      </c>
      <c r="CL64" s="13">
        <f t="shared" si="47"/>
        <v>0.98</v>
      </c>
      <c r="CM64" s="13">
        <v>67677.100000000006</v>
      </c>
      <c r="CN64" s="13">
        <v>0</v>
      </c>
      <c r="CO64" s="13">
        <v>0</v>
      </c>
      <c r="CP64" s="13">
        <v>1283.33</v>
      </c>
      <c r="CQ64" s="13">
        <v>607.91</v>
      </c>
      <c r="CR64" s="13">
        <v>68851.53</v>
      </c>
      <c r="CS64" s="13">
        <v>4233.1400000000003</v>
      </c>
      <c r="CT64" s="13">
        <v>969.36</v>
      </c>
      <c r="CU64" s="13">
        <v>939.98</v>
      </c>
      <c r="CV64" s="13">
        <v>506.91</v>
      </c>
      <c r="CW64" s="202">
        <v>2942</v>
      </c>
      <c r="CX64" s="200">
        <v>1688</v>
      </c>
      <c r="CY64" s="202"/>
      <c r="CZ64" s="202"/>
      <c r="DA64" s="202"/>
      <c r="DB64" s="202"/>
      <c r="DC64" s="202"/>
      <c r="DD64" s="461"/>
      <c r="DE64" s="256"/>
      <c r="DF64" s="204">
        <v>265</v>
      </c>
      <c r="DG64" s="204"/>
      <c r="DH64" s="204"/>
      <c r="DI64" s="204"/>
      <c r="DJ64" s="202"/>
      <c r="DK64" s="202"/>
      <c r="DL64" s="202"/>
      <c r="DM64" s="202"/>
      <c r="DN64" s="202"/>
      <c r="DO64" s="202"/>
      <c r="DP64" s="202">
        <v>17080</v>
      </c>
      <c r="DQ64" s="202">
        <v>1700</v>
      </c>
      <c r="DR64" s="202">
        <v>1</v>
      </c>
      <c r="DS64" s="202"/>
      <c r="DT64" s="254"/>
      <c r="DU64" s="254"/>
      <c r="DV64" s="202"/>
      <c r="DW64" s="202">
        <v>15620</v>
      </c>
      <c r="DX64" s="202"/>
      <c r="DY64" s="107">
        <v>1365</v>
      </c>
      <c r="DZ64" s="107"/>
      <c r="EA64" s="202"/>
      <c r="EB64" s="202"/>
      <c r="EC64" s="202"/>
      <c r="ED64" s="202"/>
      <c r="EE64" s="202"/>
      <c r="EF64" s="229"/>
      <c r="EG64" s="202"/>
      <c r="EH64" s="202"/>
      <c r="EI64" s="202"/>
      <c r="EJ64" s="202"/>
      <c r="EK64" s="202">
        <v>0</v>
      </c>
      <c r="EL64" s="202">
        <v>0</v>
      </c>
      <c r="EM64" s="202">
        <v>1270.1300000000001</v>
      </c>
      <c r="EN64" s="202">
        <v>620.6</v>
      </c>
      <c r="EO64" s="202">
        <v>0</v>
      </c>
      <c r="EP64" s="202"/>
      <c r="EQ64" s="202">
        <v>1270.1300000000001</v>
      </c>
      <c r="ER64" s="202">
        <v>620.6</v>
      </c>
      <c r="ES64" s="202"/>
      <c r="ET64" s="202"/>
      <c r="EU64" s="202"/>
      <c r="EV64" s="214">
        <v>-3.69</v>
      </c>
      <c r="EW64" s="240">
        <f t="shared" si="25"/>
        <v>7386.26</v>
      </c>
      <c r="EX64" s="209">
        <f t="shared" si="26"/>
        <v>4807.37</v>
      </c>
    </row>
    <row r="65" spans="1:154" ht="12.75" customHeight="1" x14ac:dyDescent="0.2">
      <c r="A65" s="45" t="s">
        <v>101</v>
      </c>
      <c r="B65" s="51" t="s">
        <v>81</v>
      </c>
      <c r="C65" s="52" t="s">
        <v>89</v>
      </c>
      <c r="D65" s="53" t="s">
        <v>415</v>
      </c>
      <c r="E65" s="52" t="s">
        <v>12</v>
      </c>
      <c r="F65" s="11">
        <v>5</v>
      </c>
      <c r="G65" s="11">
        <v>4</v>
      </c>
      <c r="H65" s="11">
        <v>70</v>
      </c>
      <c r="I65" s="11">
        <v>70</v>
      </c>
      <c r="J65" s="11">
        <v>156</v>
      </c>
      <c r="K65" s="11">
        <v>193</v>
      </c>
      <c r="L65" s="11" t="s">
        <v>746</v>
      </c>
      <c r="M65" s="84">
        <v>221.5</v>
      </c>
      <c r="N65" s="84">
        <v>912.9</v>
      </c>
      <c r="O65" s="84">
        <v>0</v>
      </c>
      <c r="P65" s="135">
        <v>257.5</v>
      </c>
      <c r="Q65" s="135">
        <v>726.1</v>
      </c>
      <c r="R65" s="133">
        <v>0</v>
      </c>
      <c r="S65" s="133">
        <f t="shared" si="27"/>
        <v>983.6</v>
      </c>
      <c r="T65" s="134">
        <v>257.5</v>
      </c>
      <c r="U65" s="130">
        <v>1.53</v>
      </c>
      <c r="V65" s="131">
        <v>1.9800000000000002E-2</v>
      </c>
      <c r="W65" s="131">
        <v>1.9800000000000002E-2</v>
      </c>
      <c r="X65" s="132">
        <v>1.2199999999999999E-3</v>
      </c>
      <c r="Y65" s="131">
        <v>3.95E-2</v>
      </c>
      <c r="Z65" s="29">
        <v>3346.52</v>
      </c>
      <c r="AA65" s="34"/>
      <c r="AB65" s="9">
        <f t="shared" si="32"/>
        <v>3346.52</v>
      </c>
      <c r="AC65" s="9">
        <f t="shared" si="39"/>
        <v>21183.47</v>
      </c>
      <c r="AD65" s="9">
        <v>0.39</v>
      </c>
      <c r="AE65" s="9">
        <v>4.7699999999999996</v>
      </c>
      <c r="AF65" s="21">
        <f>2.41-AJ65</f>
        <v>2.15</v>
      </c>
      <c r="AG65" s="18">
        <f>0.54-AQ65</f>
        <v>0.46</v>
      </c>
      <c r="AH65" s="9">
        <v>2.78</v>
      </c>
      <c r="AI65" s="13">
        <v>876</v>
      </c>
      <c r="AJ65" s="21">
        <f t="shared" si="0"/>
        <v>0.26</v>
      </c>
      <c r="AK65" s="9">
        <v>0</v>
      </c>
      <c r="AL65" s="9">
        <v>0</v>
      </c>
      <c r="AM65" s="9">
        <v>0.17</v>
      </c>
      <c r="AN65" s="13"/>
      <c r="AO65" s="13">
        <v>566.4</v>
      </c>
      <c r="AP65" s="13">
        <f t="shared" si="28"/>
        <v>5.58</v>
      </c>
      <c r="AQ65" s="18">
        <f t="shared" si="1"/>
        <v>0.08</v>
      </c>
      <c r="AR65" s="9">
        <v>0.75</v>
      </c>
      <c r="AS65" s="9">
        <v>0.41</v>
      </c>
      <c r="AT65" s="9">
        <v>7.0000000000000007E-2</v>
      </c>
      <c r="AU65" s="9">
        <v>3.63</v>
      </c>
      <c r="AV65" s="9">
        <v>0.13</v>
      </c>
      <c r="AW65" s="9">
        <f>0.29+1.1+0.31</f>
        <v>1.7</v>
      </c>
      <c r="AX65" s="9">
        <f>1.51+0.43</f>
        <v>1.94</v>
      </c>
      <c r="AY65" s="54">
        <f t="shared" si="29"/>
        <v>19.690000000000001</v>
      </c>
      <c r="AZ65" s="43">
        <v>3346.2</v>
      </c>
      <c r="BA65" s="43">
        <v>0</v>
      </c>
      <c r="BB65" s="43">
        <f t="shared" si="30"/>
        <v>3346.2</v>
      </c>
      <c r="BC65" s="43">
        <v>19.690000000000001</v>
      </c>
      <c r="BD65" s="13">
        <f t="shared" si="31"/>
        <v>0</v>
      </c>
      <c r="BE65" s="9">
        <f t="shared" si="2"/>
        <v>65892.98</v>
      </c>
      <c r="BF65" s="9">
        <v>19.690000000000001</v>
      </c>
      <c r="BG65" s="10">
        <v>44409</v>
      </c>
      <c r="BH65" s="9">
        <f t="shared" si="3"/>
        <v>1305.1400000000001</v>
      </c>
      <c r="BI65" s="9">
        <f t="shared" si="4"/>
        <v>15962.9</v>
      </c>
      <c r="BJ65" s="9">
        <f t="shared" si="5"/>
        <v>7195.02</v>
      </c>
      <c r="BK65" s="9">
        <f t="shared" si="6"/>
        <v>1539.4</v>
      </c>
      <c r="BL65" s="9">
        <f t="shared" si="7"/>
        <v>9303.33</v>
      </c>
      <c r="BM65" s="9">
        <f t="shared" si="8"/>
        <v>870.1</v>
      </c>
      <c r="BN65" s="9">
        <f t="shared" si="9"/>
        <v>0</v>
      </c>
      <c r="BO65" s="9">
        <f t="shared" si="10"/>
        <v>0</v>
      </c>
      <c r="BP65" s="9">
        <f t="shared" si="11"/>
        <v>568.91</v>
      </c>
      <c r="BQ65" s="9">
        <f t="shared" si="12"/>
        <v>267.72000000000003</v>
      </c>
      <c r="BR65" s="9">
        <f t="shared" si="13"/>
        <v>2509.89</v>
      </c>
      <c r="BS65" s="9">
        <f t="shared" si="14"/>
        <v>1372.07</v>
      </c>
      <c r="BT65" s="9">
        <f t="shared" si="15"/>
        <v>234.26</v>
      </c>
      <c r="BU65" s="9">
        <f t="shared" si="16"/>
        <v>12147.87</v>
      </c>
      <c r="BV65" s="9">
        <f t="shared" si="17"/>
        <v>435.05</v>
      </c>
      <c r="BW65" s="9">
        <f t="shared" si="18"/>
        <v>5689.08</v>
      </c>
      <c r="BX65" s="9">
        <f t="shared" si="19"/>
        <v>6492.25</v>
      </c>
      <c r="BY65" s="17">
        <f t="shared" si="20"/>
        <v>65892.990000000005</v>
      </c>
      <c r="BZ65" s="17">
        <v>1.72</v>
      </c>
      <c r="CA65" s="17">
        <v>0.04</v>
      </c>
      <c r="CB65" s="17">
        <v>0.27</v>
      </c>
      <c r="CC65" s="27">
        <v>0.04</v>
      </c>
      <c r="CD65" s="29">
        <v>6.33</v>
      </c>
      <c r="CE65" s="9">
        <v>10585.74</v>
      </c>
      <c r="CF65" s="9"/>
      <c r="CG65" s="9">
        <v>0</v>
      </c>
      <c r="CH65" s="9">
        <v>72.13</v>
      </c>
      <c r="CI65" s="9">
        <f t="shared" si="44"/>
        <v>3.16</v>
      </c>
      <c r="CJ65" s="9">
        <f t="shared" si="45"/>
        <v>0</v>
      </c>
      <c r="CK65" s="13">
        <f t="shared" si="46"/>
        <v>0</v>
      </c>
      <c r="CL65" s="13">
        <f t="shared" si="47"/>
        <v>0.02</v>
      </c>
      <c r="CM65" s="13">
        <v>65893.02</v>
      </c>
      <c r="CN65" s="13">
        <v>0</v>
      </c>
      <c r="CO65" s="13">
        <v>0</v>
      </c>
      <c r="CP65" s="13">
        <v>0</v>
      </c>
      <c r="CQ65" s="13">
        <v>66.89</v>
      </c>
      <c r="CR65" s="13">
        <v>68941.88</v>
      </c>
      <c r="CS65" s="13">
        <v>5790.02</v>
      </c>
      <c r="CT65" s="13">
        <v>167.56</v>
      </c>
      <c r="CU65" s="13">
        <v>24.85</v>
      </c>
      <c r="CV65" s="13">
        <v>73.459999999999994</v>
      </c>
      <c r="CW65" s="202">
        <v>2916</v>
      </c>
      <c r="CX65" s="200">
        <v>1673</v>
      </c>
      <c r="CY65" s="202"/>
      <c r="CZ65" s="202"/>
      <c r="DA65" s="202"/>
      <c r="DB65" s="202"/>
      <c r="DC65" s="202"/>
      <c r="DD65" s="461"/>
      <c r="DE65" s="256"/>
      <c r="DF65" s="204">
        <v>876</v>
      </c>
      <c r="DG65" s="204"/>
      <c r="DH65" s="204"/>
      <c r="DI65" s="204"/>
      <c r="DJ65" s="202"/>
      <c r="DK65" s="202"/>
      <c r="DL65" s="202"/>
      <c r="DM65" s="202"/>
      <c r="DN65" s="202"/>
      <c r="DO65" s="202"/>
      <c r="DP65" s="202">
        <v>16914</v>
      </c>
      <c r="DQ65" s="202">
        <v>1700</v>
      </c>
      <c r="DR65" s="202">
        <v>1</v>
      </c>
      <c r="DS65" s="202"/>
      <c r="DT65" s="254"/>
      <c r="DU65" s="254"/>
      <c r="DV65" s="202"/>
      <c r="DW65" s="202">
        <v>14945</v>
      </c>
      <c r="DX65" s="202"/>
      <c r="DY65" s="107">
        <v>1365</v>
      </c>
      <c r="DZ65" s="107">
        <v>577</v>
      </c>
      <c r="EA65" s="202"/>
      <c r="EB65" s="202"/>
      <c r="EC65" s="202"/>
      <c r="ED65" s="202"/>
      <c r="EE65" s="202"/>
      <c r="EF65" s="229"/>
      <c r="EG65" s="202"/>
      <c r="EH65" s="202"/>
      <c r="EI65" s="202"/>
      <c r="EJ65" s="202"/>
      <c r="EK65" s="202">
        <v>0</v>
      </c>
      <c r="EL65" s="202">
        <v>0</v>
      </c>
      <c r="EM65" s="202">
        <v>0</v>
      </c>
      <c r="EN65" s="202">
        <v>72.13</v>
      </c>
      <c r="EO65" s="202">
        <v>0</v>
      </c>
      <c r="EP65" s="202"/>
      <c r="EQ65" s="202">
        <v>0</v>
      </c>
      <c r="ER65" s="202">
        <v>72.13</v>
      </c>
      <c r="ES65" s="202"/>
      <c r="ET65" s="202"/>
      <c r="EU65" s="202"/>
      <c r="EV65" s="214">
        <v>-2.92</v>
      </c>
      <c r="EW65" s="240">
        <f t="shared" si="25"/>
        <v>7319.37</v>
      </c>
      <c r="EX65" s="209">
        <f t="shared" si="26"/>
        <v>4763.84</v>
      </c>
    </row>
    <row r="66" spans="1:154" ht="12.75" customHeight="1" x14ac:dyDescent="0.2">
      <c r="A66" s="45" t="s">
        <v>102</v>
      </c>
      <c r="B66" s="156" t="s">
        <v>91</v>
      </c>
      <c r="C66" s="157" t="s">
        <v>89</v>
      </c>
      <c r="D66" s="158" t="s">
        <v>624</v>
      </c>
      <c r="E66" s="157" t="s">
        <v>12</v>
      </c>
      <c r="F66" s="11">
        <v>5</v>
      </c>
      <c r="G66" s="11">
        <v>1</v>
      </c>
      <c r="H66" s="11">
        <v>11</v>
      </c>
      <c r="I66" s="11">
        <v>11</v>
      </c>
      <c r="J66" s="11">
        <v>23</v>
      </c>
      <c r="K66" s="11"/>
      <c r="L66" s="11">
        <v>1</v>
      </c>
      <c r="M66" s="84"/>
      <c r="N66" s="84"/>
      <c r="O66" s="84"/>
      <c r="P66" s="138">
        <f>108.2+42.6</f>
        <v>150.80000000000001</v>
      </c>
      <c r="Q66" s="138">
        <f>407.8+85.4</f>
        <v>493.2</v>
      </c>
      <c r="R66" s="138">
        <v>0</v>
      </c>
      <c r="S66" s="133">
        <f t="shared" si="27"/>
        <v>644</v>
      </c>
      <c r="T66" s="138">
        <v>236.2</v>
      </c>
      <c r="U66" s="130">
        <v>2.44</v>
      </c>
      <c r="V66" s="131">
        <v>1.1299999999999999E-2</v>
      </c>
      <c r="W66" s="171">
        <v>0</v>
      </c>
      <c r="X66" s="172">
        <v>0</v>
      </c>
      <c r="Y66" s="131">
        <v>1.1299999999999999E-2</v>
      </c>
      <c r="Z66" s="29">
        <v>2610.5</v>
      </c>
      <c r="AA66" s="34"/>
      <c r="AB66" s="9">
        <f t="shared" si="32"/>
        <v>2610.5</v>
      </c>
      <c r="AC66" s="9">
        <f t="shared" si="39"/>
        <v>16524.47</v>
      </c>
      <c r="AD66" s="9">
        <v>2.09</v>
      </c>
      <c r="AE66" s="9">
        <v>4.79</v>
      </c>
      <c r="AF66" s="21">
        <f>2.31-AJ66</f>
        <v>2.04</v>
      </c>
      <c r="AG66" s="18">
        <f>0.55-AQ66</f>
        <v>0.52</v>
      </c>
      <c r="AH66" s="9">
        <v>2.4900000000000002</v>
      </c>
      <c r="AI66" s="43">
        <v>693</v>
      </c>
      <c r="AJ66" s="21">
        <f t="shared" si="0"/>
        <v>0.27</v>
      </c>
      <c r="AK66" s="9">
        <v>0</v>
      </c>
      <c r="AL66" s="9">
        <v>0</v>
      </c>
      <c r="AM66" s="9">
        <v>0.22</v>
      </c>
      <c r="AN66" s="13"/>
      <c r="AO66" s="13">
        <v>157.6</v>
      </c>
      <c r="AP66" s="13">
        <f t="shared" si="28"/>
        <v>5.58</v>
      </c>
      <c r="AQ66" s="18">
        <f t="shared" si="1"/>
        <v>0.03</v>
      </c>
      <c r="AR66" s="9">
        <v>0</v>
      </c>
      <c r="AS66" s="9">
        <v>0</v>
      </c>
      <c r="AT66" s="9">
        <v>7.0000000000000007E-2</v>
      </c>
      <c r="AU66" s="13">
        <v>4.67</v>
      </c>
      <c r="AV66" s="9">
        <v>0.13</v>
      </c>
      <c r="AW66" s="9">
        <f>1.12+0.41+0.05</f>
        <v>1.58</v>
      </c>
      <c r="AX66" s="9">
        <f>1.5+0.55</f>
        <v>2.0499999999999998</v>
      </c>
      <c r="AY66" s="159">
        <f t="shared" si="29"/>
        <v>20.95</v>
      </c>
      <c r="AZ66" s="160">
        <v>2641.33</v>
      </c>
      <c r="BA66" s="160">
        <v>0</v>
      </c>
      <c r="BB66" s="160">
        <f t="shared" si="30"/>
        <v>2641.33</v>
      </c>
      <c r="BC66" s="160">
        <v>20.95</v>
      </c>
      <c r="BD66" s="13">
        <f t="shared" si="31"/>
        <v>0</v>
      </c>
      <c r="BE66" s="9">
        <f t="shared" si="2"/>
        <v>54689.98</v>
      </c>
      <c r="BF66" s="9">
        <v>20.95</v>
      </c>
      <c r="BG66" s="10">
        <v>44317</v>
      </c>
      <c r="BH66" s="9">
        <f t="shared" si="3"/>
        <v>5455.95</v>
      </c>
      <c r="BI66" s="9">
        <f t="shared" si="4"/>
        <v>12504.3</v>
      </c>
      <c r="BJ66" s="9">
        <f t="shared" si="5"/>
        <v>5325.42</v>
      </c>
      <c r="BK66" s="9">
        <f t="shared" si="6"/>
        <v>1357.46</v>
      </c>
      <c r="BL66" s="9">
        <f t="shared" si="7"/>
        <v>6500.15</v>
      </c>
      <c r="BM66" s="9">
        <f t="shared" si="8"/>
        <v>704.84</v>
      </c>
      <c r="BN66" s="9">
        <f t="shared" si="9"/>
        <v>0</v>
      </c>
      <c r="BO66" s="9">
        <f t="shared" si="10"/>
        <v>0</v>
      </c>
      <c r="BP66" s="9">
        <f t="shared" si="11"/>
        <v>574.30999999999995</v>
      </c>
      <c r="BQ66" s="9">
        <f t="shared" si="12"/>
        <v>78.319999999999993</v>
      </c>
      <c r="BR66" s="9">
        <f t="shared" si="13"/>
        <v>0</v>
      </c>
      <c r="BS66" s="9">
        <f t="shared" si="14"/>
        <v>0</v>
      </c>
      <c r="BT66" s="9">
        <f t="shared" si="15"/>
        <v>182.74</v>
      </c>
      <c r="BU66" s="9">
        <f t="shared" si="16"/>
        <v>12191.04</v>
      </c>
      <c r="BV66" s="9">
        <f t="shared" si="17"/>
        <v>339.37</v>
      </c>
      <c r="BW66" s="9">
        <f t="shared" si="18"/>
        <v>4124.59</v>
      </c>
      <c r="BX66" s="9">
        <f t="shared" si="19"/>
        <v>5351.53</v>
      </c>
      <c r="BY66" s="17">
        <f t="shared" si="20"/>
        <v>54690.02</v>
      </c>
      <c r="BZ66" s="17">
        <v>2.19</v>
      </c>
      <c r="CA66" s="17">
        <v>0.03</v>
      </c>
      <c r="CB66" s="173">
        <v>0</v>
      </c>
      <c r="CC66" s="27">
        <v>0.01</v>
      </c>
      <c r="CD66" s="29">
        <v>6.33</v>
      </c>
      <c r="CE66" s="9">
        <v>24254.13</v>
      </c>
      <c r="CF66" s="9"/>
      <c r="CG66" s="9">
        <v>2972.64</v>
      </c>
      <c r="CH66" s="9">
        <v>1556.28</v>
      </c>
      <c r="CI66" s="9">
        <f t="shared" si="44"/>
        <v>9.2899999999999991</v>
      </c>
      <c r="CJ66" s="9">
        <f t="shared" si="45"/>
        <v>0</v>
      </c>
      <c r="CK66" s="13">
        <f t="shared" si="46"/>
        <v>1.1399999999999999</v>
      </c>
      <c r="CL66" s="13">
        <f t="shared" si="47"/>
        <v>0.6</v>
      </c>
      <c r="CM66" s="13">
        <v>54690.01</v>
      </c>
      <c r="CN66" s="13">
        <v>9580.5300000000007</v>
      </c>
      <c r="CO66" s="13">
        <v>0</v>
      </c>
      <c r="CP66" s="13">
        <v>783.15</v>
      </c>
      <c r="CQ66" s="13">
        <v>417.68</v>
      </c>
      <c r="CR66" s="13">
        <v>58788.5</v>
      </c>
      <c r="CS66" s="13">
        <v>15009.17</v>
      </c>
      <c r="CT66" s="13">
        <v>0</v>
      </c>
      <c r="CU66" s="13">
        <v>2378.0700000000002</v>
      </c>
      <c r="CV66" s="13">
        <v>1250.3399999999999</v>
      </c>
      <c r="CW66" s="202">
        <v>2274</v>
      </c>
      <c r="CX66" s="200">
        <v>1305</v>
      </c>
      <c r="CY66" s="202"/>
      <c r="CZ66" s="202"/>
      <c r="DA66" s="202"/>
      <c r="DB66" s="202"/>
      <c r="DC66" s="202"/>
      <c r="DD66" s="461"/>
      <c r="DE66" s="256"/>
      <c r="DF66" s="202"/>
      <c r="DG66" s="202"/>
      <c r="DH66" s="202"/>
      <c r="DI66" s="204">
        <v>693</v>
      </c>
      <c r="DJ66" s="202"/>
      <c r="DK66" s="202">
        <v>4300</v>
      </c>
      <c r="DL66" s="202"/>
      <c r="DM66" s="202"/>
      <c r="DN66" s="202"/>
      <c r="DO66" s="202"/>
      <c r="DP66" s="202">
        <v>13540</v>
      </c>
      <c r="DQ66" s="202">
        <v>6800</v>
      </c>
      <c r="DR66" s="202">
        <v>4</v>
      </c>
      <c r="DS66" s="202"/>
      <c r="DT66" s="254"/>
      <c r="DU66" s="254"/>
      <c r="DV66" s="202">
        <v>10407</v>
      </c>
      <c r="DW66" s="202"/>
      <c r="DX66" s="202"/>
      <c r="DY66" s="107"/>
      <c r="DZ66" s="107">
        <v>577</v>
      </c>
      <c r="EA66" s="202"/>
      <c r="EB66" s="202">
        <v>2459</v>
      </c>
      <c r="EC66" s="202"/>
      <c r="ED66" s="202"/>
      <c r="EE66" s="202"/>
      <c r="EF66" s="229"/>
      <c r="EG66" s="202"/>
      <c r="EH66" s="202"/>
      <c r="EI66" s="202"/>
      <c r="EJ66" s="202"/>
      <c r="EK66" s="202">
        <v>9579.23</v>
      </c>
      <c r="EL66" s="202">
        <v>0</v>
      </c>
      <c r="EM66" s="202">
        <v>783.7</v>
      </c>
      <c r="EN66" s="202">
        <v>410.29</v>
      </c>
      <c r="EO66" s="202">
        <v>9579.23</v>
      </c>
      <c r="EP66" s="202"/>
      <c r="EQ66" s="202">
        <v>783.7</v>
      </c>
      <c r="ER66" s="202">
        <v>410.29</v>
      </c>
      <c r="ES66" s="202"/>
      <c r="ET66" s="202"/>
      <c r="EU66" s="202"/>
      <c r="EV66" s="214">
        <v>94.48</v>
      </c>
      <c r="EW66" s="240">
        <f t="shared" si="25"/>
        <v>5709.58</v>
      </c>
      <c r="EX66" s="209">
        <f t="shared" si="26"/>
        <v>3716.1</v>
      </c>
    </row>
    <row r="67" spans="1:154" ht="12.75" customHeight="1" x14ac:dyDescent="0.2">
      <c r="A67" s="45" t="s">
        <v>103</v>
      </c>
      <c r="B67" s="66" t="s">
        <v>93</v>
      </c>
      <c r="C67" s="67" t="s">
        <v>44</v>
      </c>
      <c r="D67" s="68" t="s">
        <v>625</v>
      </c>
      <c r="E67" s="67" t="s">
        <v>12</v>
      </c>
      <c r="F67" s="11">
        <v>5</v>
      </c>
      <c r="G67" s="11">
        <v>4</v>
      </c>
      <c r="H67" s="11">
        <v>56</v>
      </c>
      <c r="I67" s="11">
        <v>0</v>
      </c>
      <c r="J67" s="11">
        <v>91</v>
      </c>
      <c r="K67" s="11">
        <v>127</v>
      </c>
      <c r="L67" s="11" t="s">
        <v>746</v>
      </c>
      <c r="M67" s="84">
        <v>278</v>
      </c>
      <c r="N67" s="84">
        <v>920</v>
      </c>
      <c r="O67" s="84">
        <v>0</v>
      </c>
      <c r="P67" s="138">
        <v>278</v>
      </c>
      <c r="Q67" s="138">
        <v>920</v>
      </c>
      <c r="R67" s="138">
        <v>0</v>
      </c>
      <c r="S67" s="133">
        <f t="shared" si="27"/>
        <v>1198</v>
      </c>
      <c r="T67" s="138">
        <v>278</v>
      </c>
      <c r="U67" s="130">
        <v>1.53</v>
      </c>
      <c r="V67" s="131">
        <v>1.9800000000000002E-2</v>
      </c>
      <c r="W67" s="131">
        <v>1.9800000000000002E-2</v>
      </c>
      <c r="X67" s="132">
        <v>1.2199999999999999E-3</v>
      </c>
      <c r="Y67" s="131">
        <v>3.95E-2</v>
      </c>
      <c r="Z67" s="29">
        <v>2715.2</v>
      </c>
      <c r="AA67" s="34">
        <v>800.4</v>
      </c>
      <c r="AB67" s="9">
        <f t="shared" si="32"/>
        <v>3515.6</v>
      </c>
      <c r="AC67" s="9">
        <f t="shared" si="39"/>
        <v>22253.75</v>
      </c>
      <c r="AD67" s="9">
        <v>0.39</v>
      </c>
      <c r="AE67" s="9">
        <v>4.99</v>
      </c>
      <c r="AF67" s="21">
        <f>2.41-AJ67</f>
        <v>2.17</v>
      </c>
      <c r="AG67" s="18">
        <f>0.53-AQ67</f>
        <v>0.47</v>
      </c>
      <c r="AH67" s="9">
        <v>2.78</v>
      </c>
      <c r="AI67" s="43">
        <v>855</v>
      </c>
      <c r="AJ67" s="21">
        <f t="shared" si="0"/>
        <v>0.24</v>
      </c>
      <c r="AK67" s="9">
        <v>0</v>
      </c>
      <c r="AL67" s="9">
        <v>0</v>
      </c>
      <c r="AM67" s="9">
        <v>0.27</v>
      </c>
      <c r="AN67" s="13"/>
      <c r="AO67" s="13">
        <v>424.8</v>
      </c>
      <c r="AP67" s="13">
        <f t="shared" si="28"/>
        <v>5.58</v>
      </c>
      <c r="AQ67" s="18">
        <f t="shared" si="1"/>
        <v>0.06</v>
      </c>
      <c r="AR67" s="9">
        <v>0.62</v>
      </c>
      <c r="AS67" s="9">
        <v>0.39</v>
      </c>
      <c r="AT67" s="9">
        <v>7.0000000000000007E-2</v>
      </c>
      <c r="AU67" s="9">
        <v>3.56</v>
      </c>
      <c r="AV67" s="9">
        <v>0.13</v>
      </c>
      <c r="AW67" s="9">
        <f>1.11+0.29+0.31</f>
        <v>1.71</v>
      </c>
      <c r="AX67" s="9">
        <f>1.53+0.42</f>
        <v>1.95</v>
      </c>
      <c r="AY67" s="69">
        <f t="shared" si="29"/>
        <v>19.8</v>
      </c>
      <c r="AZ67" s="70">
        <v>2709.3</v>
      </c>
      <c r="BA67" s="70">
        <v>800.4</v>
      </c>
      <c r="BB67" s="70">
        <f t="shared" si="30"/>
        <v>3509.7</v>
      </c>
      <c r="BC67" s="70">
        <v>19.8</v>
      </c>
      <c r="BD67" s="13">
        <f t="shared" si="31"/>
        <v>0</v>
      </c>
      <c r="BE67" s="9">
        <f t="shared" si="2"/>
        <v>69608.88</v>
      </c>
      <c r="BF67" s="9">
        <v>19.8</v>
      </c>
      <c r="BG67" s="10">
        <v>44409</v>
      </c>
      <c r="BH67" s="9">
        <f t="shared" si="3"/>
        <v>1371.08</v>
      </c>
      <c r="BI67" s="9">
        <f t="shared" si="4"/>
        <v>17542.84</v>
      </c>
      <c r="BJ67" s="9">
        <f t="shared" si="5"/>
        <v>7628.85</v>
      </c>
      <c r="BK67" s="9">
        <f t="shared" si="6"/>
        <v>1652.33</v>
      </c>
      <c r="BL67" s="9">
        <f t="shared" si="7"/>
        <v>9773.3700000000008</v>
      </c>
      <c r="BM67" s="9">
        <f t="shared" si="8"/>
        <v>843.74</v>
      </c>
      <c r="BN67" s="9">
        <f t="shared" si="9"/>
        <v>0</v>
      </c>
      <c r="BO67" s="9">
        <f t="shared" si="10"/>
        <v>0</v>
      </c>
      <c r="BP67" s="9">
        <f t="shared" si="11"/>
        <v>949.21</v>
      </c>
      <c r="BQ67" s="9">
        <f t="shared" si="12"/>
        <v>210.94</v>
      </c>
      <c r="BR67" s="9">
        <f t="shared" si="13"/>
        <v>2179.67</v>
      </c>
      <c r="BS67" s="9">
        <f t="shared" si="14"/>
        <v>1371.08</v>
      </c>
      <c r="BT67" s="9">
        <f t="shared" si="15"/>
        <v>246.09</v>
      </c>
      <c r="BU67" s="9">
        <f t="shared" si="16"/>
        <v>12515.54</v>
      </c>
      <c r="BV67" s="9">
        <f t="shared" si="17"/>
        <v>457.03</v>
      </c>
      <c r="BW67" s="9">
        <f t="shared" si="18"/>
        <v>6011.68</v>
      </c>
      <c r="BX67" s="9">
        <f t="shared" si="19"/>
        <v>6855.42</v>
      </c>
      <c r="BY67" s="17">
        <f t="shared" si="20"/>
        <v>69608.87</v>
      </c>
      <c r="BZ67" s="17">
        <v>2.0099999999999998</v>
      </c>
      <c r="CA67" s="17">
        <v>0.04</v>
      </c>
      <c r="CB67" s="17">
        <v>0.28000000000000003</v>
      </c>
      <c r="CC67" s="27">
        <v>0.04</v>
      </c>
      <c r="CD67" s="29">
        <v>6.33</v>
      </c>
      <c r="CE67" s="9">
        <v>9009.35</v>
      </c>
      <c r="CF67" s="9"/>
      <c r="CG67" s="9">
        <v>0</v>
      </c>
      <c r="CH67" s="9">
        <v>77.88</v>
      </c>
      <c r="CI67" s="9">
        <f t="shared" si="44"/>
        <v>2.56</v>
      </c>
      <c r="CJ67" s="9">
        <f t="shared" si="45"/>
        <v>0</v>
      </c>
      <c r="CK67" s="13">
        <f t="shared" si="46"/>
        <v>0</v>
      </c>
      <c r="CL67" s="13">
        <f t="shared" si="47"/>
        <v>0.02</v>
      </c>
      <c r="CM67" s="13">
        <v>53776.800000000003</v>
      </c>
      <c r="CN67" s="13">
        <v>3340.63</v>
      </c>
      <c r="CO67" s="13">
        <v>0</v>
      </c>
      <c r="CP67" s="13">
        <v>3286.39</v>
      </c>
      <c r="CQ67" s="13">
        <v>1765.55</v>
      </c>
      <c r="CR67" s="13">
        <v>56643.85</v>
      </c>
      <c r="CS67" s="13">
        <v>8228.61</v>
      </c>
      <c r="CT67" s="13">
        <v>1914.36</v>
      </c>
      <c r="CU67" s="13">
        <v>2124.83</v>
      </c>
      <c r="CV67" s="13">
        <v>1166.08</v>
      </c>
      <c r="CW67" s="202">
        <v>3062</v>
      </c>
      <c r="CX67" s="200">
        <v>1757</v>
      </c>
      <c r="CY67" s="202"/>
      <c r="CZ67" s="202"/>
      <c r="DA67" s="202"/>
      <c r="DB67" s="202"/>
      <c r="DC67" s="202"/>
      <c r="DD67" s="461"/>
      <c r="DE67" s="256"/>
      <c r="DF67" s="202"/>
      <c r="DG67" s="202"/>
      <c r="DH67" s="202"/>
      <c r="DI67" s="204">
        <v>855</v>
      </c>
      <c r="DJ67" s="202"/>
      <c r="DK67" s="202"/>
      <c r="DL67" s="202"/>
      <c r="DM67" s="202"/>
      <c r="DN67" s="202"/>
      <c r="DO67" s="202"/>
      <c r="DP67" s="202">
        <v>18489</v>
      </c>
      <c r="DQ67" s="202">
        <v>3400</v>
      </c>
      <c r="DR67" s="202">
        <v>2</v>
      </c>
      <c r="DS67" s="202">
        <v>8835</v>
      </c>
      <c r="DT67" s="254">
        <v>277</v>
      </c>
      <c r="DU67" s="254">
        <v>191</v>
      </c>
      <c r="DV67" s="202"/>
      <c r="DW67" s="202">
        <v>15797</v>
      </c>
      <c r="DX67" s="202"/>
      <c r="DY67" s="107">
        <v>1365</v>
      </c>
      <c r="DZ67" s="107"/>
      <c r="EA67" s="202"/>
      <c r="EB67" s="202"/>
      <c r="EC67" s="202"/>
      <c r="ED67" s="202"/>
      <c r="EE67" s="202"/>
      <c r="EF67" s="229"/>
      <c r="EG67" s="202"/>
      <c r="EH67" s="202"/>
      <c r="EI67" s="202"/>
      <c r="EJ67" s="202"/>
      <c r="EK67" s="202">
        <v>4312.66</v>
      </c>
      <c r="EL67" s="202">
        <v>0</v>
      </c>
      <c r="EM67" s="202">
        <v>4242.7700000000004</v>
      </c>
      <c r="EN67" s="202">
        <v>2299.11</v>
      </c>
      <c r="EO67" s="202">
        <v>4312.66</v>
      </c>
      <c r="EP67" s="202"/>
      <c r="EQ67" s="202">
        <v>4242.7700000000004</v>
      </c>
      <c r="ER67" s="202">
        <v>2299.11</v>
      </c>
      <c r="ES67" s="202"/>
      <c r="ET67" s="202"/>
      <c r="EU67" s="202"/>
      <c r="EV67" s="214">
        <v>75.67</v>
      </c>
      <c r="EW67" s="240">
        <f t="shared" si="25"/>
        <v>7689.18</v>
      </c>
      <c r="EX67" s="209">
        <f t="shared" si="26"/>
        <v>5004.53</v>
      </c>
    </row>
    <row r="68" spans="1:154" ht="12.75" customHeight="1" x14ac:dyDescent="0.2">
      <c r="A68" s="45" t="s">
        <v>104</v>
      </c>
      <c r="B68" s="66" t="s">
        <v>93</v>
      </c>
      <c r="C68" s="67" t="s">
        <v>67</v>
      </c>
      <c r="D68" s="66" t="s">
        <v>626</v>
      </c>
      <c r="E68" s="67"/>
      <c r="F68" s="11">
        <v>5</v>
      </c>
      <c r="G68" s="11">
        <v>5</v>
      </c>
      <c r="H68" s="11">
        <v>100</v>
      </c>
      <c r="I68" s="11">
        <v>0</v>
      </c>
      <c r="J68" s="11">
        <v>135</v>
      </c>
      <c r="K68" s="11">
        <v>199</v>
      </c>
      <c r="L68" s="11" t="s">
        <v>746</v>
      </c>
      <c r="M68" s="84">
        <v>300</v>
      </c>
      <c r="N68" s="84">
        <v>1086.3</v>
      </c>
      <c r="O68" s="84">
        <v>0</v>
      </c>
      <c r="P68" s="138">
        <v>300</v>
      </c>
      <c r="Q68" s="138">
        <v>1086.3</v>
      </c>
      <c r="R68" s="138">
        <v>0</v>
      </c>
      <c r="S68" s="133">
        <f t="shared" si="27"/>
        <v>1386.3</v>
      </c>
      <c r="T68" s="138">
        <v>300</v>
      </c>
      <c r="U68" s="130">
        <v>1.53</v>
      </c>
      <c r="V68" s="131">
        <v>1.9800000000000002E-2</v>
      </c>
      <c r="W68" s="131">
        <v>1.9800000000000002E-2</v>
      </c>
      <c r="X68" s="132">
        <v>1.2199999999999999E-3</v>
      </c>
      <c r="Y68" s="131">
        <v>3.95E-2</v>
      </c>
      <c r="Z68" s="29">
        <v>3939.48</v>
      </c>
      <c r="AA68" s="34">
        <v>41.4</v>
      </c>
      <c r="AB68" s="9">
        <f t="shared" si="32"/>
        <v>3980.88</v>
      </c>
      <c r="AC68" s="9">
        <f t="shared" si="39"/>
        <v>25198.97</v>
      </c>
      <c r="AD68" s="9">
        <v>0.39</v>
      </c>
      <c r="AE68" s="9">
        <v>4.55</v>
      </c>
      <c r="AF68" s="21">
        <f>2.42-AJ68</f>
        <v>2.17</v>
      </c>
      <c r="AG68" s="18">
        <f>0.54-AQ68</f>
        <v>0.46</v>
      </c>
      <c r="AH68" s="9">
        <v>2.78</v>
      </c>
      <c r="AI68" s="43">
        <v>982</v>
      </c>
      <c r="AJ68" s="21">
        <f t="shared" si="0"/>
        <v>0.25</v>
      </c>
      <c r="AK68" s="9">
        <v>0</v>
      </c>
      <c r="AL68" s="9">
        <v>0</v>
      </c>
      <c r="AM68" s="9">
        <v>0</v>
      </c>
      <c r="AN68" s="13"/>
      <c r="AO68" s="13">
        <v>708</v>
      </c>
      <c r="AP68" s="13">
        <f t="shared" si="28"/>
        <v>5.58</v>
      </c>
      <c r="AQ68" s="18">
        <f t="shared" si="1"/>
        <v>0.08</v>
      </c>
      <c r="AR68" s="9">
        <v>0.84</v>
      </c>
      <c r="AS68" s="9">
        <v>0.34</v>
      </c>
      <c r="AT68" s="9">
        <v>7.0000000000000007E-2</v>
      </c>
      <c r="AU68" s="9">
        <v>4.09</v>
      </c>
      <c r="AV68" s="9">
        <v>0.11</v>
      </c>
      <c r="AW68" s="9">
        <f>1.08+0.36+0.34</f>
        <v>1.78</v>
      </c>
      <c r="AX68" s="9">
        <f>1.48+0.48</f>
        <v>1.96</v>
      </c>
      <c r="AY68" s="69">
        <f t="shared" si="29"/>
        <v>19.87</v>
      </c>
      <c r="AZ68" s="70"/>
      <c r="BA68" s="70"/>
      <c r="BB68" s="70"/>
      <c r="BC68" s="70">
        <v>19.87</v>
      </c>
      <c r="BD68" s="13">
        <f t="shared" si="31"/>
        <v>0</v>
      </c>
      <c r="BE68" s="9">
        <f t="shared" si="2"/>
        <v>79100.09</v>
      </c>
      <c r="BF68" s="9">
        <v>19.87</v>
      </c>
      <c r="BG68" s="10">
        <v>44440</v>
      </c>
      <c r="BH68" s="9">
        <f t="shared" si="3"/>
        <v>1552.54</v>
      </c>
      <c r="BI68" s="9">
        <f t="shared" si="4"/>
        <v>18113</v>
      </c>
      <c r="BJ68" s="9">
        <f t="shared" si="5"/>
        <v>8638.51</v>
      </c>
      <c r="BK68" s="9">
        <f t="shared" si="6"/>
        <v>1831.2</v>
      </c>
      <c r="BL68" s="9">
        <f t="shared" si="7"/>
        <v>11066.85</v>
      </c>
      <c r="BM68" s="9">
        <f t="shared" si="8"/>
        <v>995.22</v>
      </c>
      <c r="BN68" s="9">
        <f t="shared" si="9"/>
        <v>0</v>
      </c>
      <c r="BO68" s="9">
        <f t="shared" si="10"/>
        <v>0</v>
      </c>
      <c r="BP68" s="9">
        <f t="shared" si="11"/>
        <v>0</v>
      </c>
      <c r="BQ68" s="9">
        <f t="shared" si="12"/>
        <v>318.47000000000003</v>
      </c>
      <c r="BR68" s="9">
        <f t="shared" si="13"/>
        <v>3343.94</v>
      </c>
      <c r="BS68" s="9">
        <f t="shared" si="14"/>
        <v>1353.5</v>
      </c>
      <c r="BT68" s="9">
        <f t="shared" si="15"/>
        <v>278.66000000000003</v>
      </c>
      <c r="BU68" s="9">
        <f t="shared" si="16"/>
        <v>16281.8</v>
      </c>
      <c r="BV68" s="9">
        <f t="shared" si="17"/>
        <v>437.9</v>
      </c>
      <c r="BW68" s="9">
        <f t="shared" si="18"/>
        <v>7085.97</v>
      </c>
      <c r="BX68" s="9">
        <f t="shared" si="19"/>
        <v>7802.52</v>
      </c>
      <c r="BY68" s="17">
        <f t="shared" si="20"/>
        <v>79100.08</v>
      </c>
      <c r="BZ68" s="17">
        <v>2.04</v>
      </c>
      <c r="CA68" s="17">
        <v>0.04</v>
      </c>
      <c r="CB68" s="17">
        <v>0.26</v>
      </c>
      <c r="CC68" s="27">
        <v>0.04</v>
      </c>
      <c r="CD68" s="29">
        <v>6.33</v>
      </c>
      <c r="CE68" s="9"/>
      <c r="CF68" s="9"/>
      <c r="CG68" s="9"/>
      <c r="CH68" s="9"/>
      <c r="CI68" s="9"/>
      <c r="CJ68" s="9"/>
      <c r="CK68" s="13"/>
      <c r="CL68" s="13"/>
      <c r="CM68" s="13">
        <v>78277.53</v>
      </c>
      <c r="CN68" s="13">
        <v>0</v>
      </c>
      <c r="CO68" s="13">
        <v>0</v>
      </c>
      <c r="CP68" s="13">
        <v>157.6</v>
      </c>
      <c r="CQ68" s="13">
        <v>157.6</v>
      </c>
      <c r="CR68" s="13">
        <v>78469.119999999995</v>
      </c>
      <c r="CS68" s="13">
        <v>1550.19</v>
      </c>
      <c r="CT68" s="13">
        <v>197.58</v>
      </c>
      <c r="CU68" s="13">
        <v>157.99</v>
      </c>
      <c r="CV68" s="13">
        <v>157.97</v>
      </c>
      <c r="CW68" s="202">
        <v>3468</v>
      </c>
      <c r="CX68" s="200">
        <v>1990</v>
      </c>
      <c r="CY68" s="202"/>
      <c r="CZ68" s="202"/>
      <c r="DA68" s="202"/>
      <c r="DB68" s="202"/>
      <c r="DC68" s="202"/>
      <c r="DD68" s="461"/>
      <c r="DE68" s="256"/>
      <c r="DF68" s="202"/>
      <c r="DG68" s="202"/>
      <c r="DH68" s="202"/>
      <c r="DI68" s="204">
        <v>982</v>
      </c>
      <c r="DJ68" s="202"/>
      <c r="DK68" s="202"/>
      <c r="DL68" s="202"/>
      <c r="DM68" s="202"/>
      <c r="DN68" s="202"/>
      <c r="DO68" s="202"/>
      <c r="DP68" s="202">
        <v>19267</v>
      </c>
      <c r="DQ68" s="202">
        <v>1700</v>
      </c>
      <c r="DR68" s="202">
        <v>1</v>
      </c>
      <c r="DS68" s="202">
        <v>18990</v>
      </c>
      <c r="DT68" s="254">
        <v>630</v>
      </c>
      <c r="DU68" s="254">
        <v>324</v>
      </c>
      <c r="DV68" s="202"/>
      <c r="DW68" s="202">
        <v>17876</v>
      </c>
      <c r="DX68" s="202"/>
      <c r="DY68" s="107">
        <v>1365</v>
      </c>
      <c r="DZ68" s="107"/>
      <c r="EA68" s="202"/>
      <c r="EB68" s="202"/>
      <c r="EC68" s="202"/>
      <c r="ED68" s="202"/>
      <c r="EE68" s="202"/>
      <c r="EF68" s="229"/>
      <c r="EG68" s="202"/>
      <c r="EH68" s="202"/>
      <c r="EI68" s="202"/>
      <c r="EJ68" s="202"/>
      <c r="EK68" s="202">
        <v>0</v>
      </c>
      <c r="EL68" s="202">
        <v>0</v>
      </c>
      <c r="EM68" s="202">
        <v>160.52000000000001</v>
      </c>
      <c r="EN68" s="202">
        <v>167.65</v>
      </c>
      <c r="EO68" s="202">
        <v>0</v>
      </c>
      <c r="EP68" s="202"/>
      <c r="EQ68" s="202">
        <v>160.52000000000001</v>
      </c>
      <c r="ER68" s="202">
        <v>167.65</v>
      </c>
      <c r="ES68" s="202"/>
      <c r="ET68" s="202"/>
      <c r="EU68" s="202"/>
      <c r="EV68" s="214">
        <v>2.15</v>
      </c>
      <c r="EW68" s="240">
        <f t="shared" si="25"/>
        <v>8706.82</v>
      </c>
      <c r="EX68" s="209">
        <f t="shared" si="26"/>
        <v>5666.86</v>
      </c>
    </row>
    <row r="69" spans="1:154" ht="12.75" customHeight="1" x14ac:dyDescent="0.2">
      <c r="A69" s="45" t="s">
        <v>107</v>
      </c>
      <c r="B69" s="66" t="s">
        <v>93</v>
      </c>
      <c r="C69" s="67" t="s">
        <v>67</v>
      </c>
      <c r="D69" s="68" t="s">
        <v>552</v>
      </c>
      <c r="E69" s="67" t="s">
        <v>9</v>
      </c>
      <c r="F69" s="11">
        <v>5</v>
      </c>
      <c r="G69" s="11">
        <v>2</v>
      </c>
      <c r="H69" s="11">
        <v>40</v>
      </c>
      <c r="I69" s="11">
        <v>0</v>
      </c>
      <c r="J69" s="11">
        <v>64</v>
      </c>
      <c r="K69" s="11">
        <v>82</v>
      </c>
      <c r="L69" s="11" t="s">
        <v>746</v>
      </c>
      <c r="M69" s="84">
        <v>444</v>
      </c>
      <c r="N69" s="84">
        <v>827.8</v>
      </c>
      <c r="O69" s="84">
        <v>827.8</v>
      </c>
      <c r="P69" s="135">
        <v>378.7</v>
      </c>
      <c r="Q69" s="135">
        <v>217.1</v>
      </c>
      <c r="R69" s="133">
        <v>827.8</v>
      </c>
      <c r="S69" s="133">
        <f t="shared" si="27"/>
        <v>1423.6</v>
      </c>
      <c r="T69" s="134">
        <v>378.7</v>
      </c>
      <c r="U69" s="130">
        <v>1.53</v>
      </c>
      <c r="V69" s="131">
        <v>1.9800000000000002E-2</v>
      </c>
      <c r="W69" s="131">
        <v>1.9800000000000002E-2</v>
      </c>
      <c r="X69" s="132">
        <v>1.2199999999999999E-3</v>
      </c>
      <c r="Y69" s="131">
        <v>3.95E-2</v>
      </c>
      <c r="Z69" s="29">
        <v>2841.3</v>
      </c>
      <c r="AA69" s="34">
        <v>494</v>
      </c>
      <c r="AB69" s="9">
        <f t="shared" si="32"/>
        <v>3335.3</v>
      </c>
      <c r="AC69" s="9">
        <f t="shared" si="39"/>
        <v>21112.45</v>
      </c>
      <c r="AD69" s="9">
        <v>0.55000000000000004</v>
      </c>
      <c r="AE69" s="9">
        <v>4.12</v>
      </c>
      <c r="AF69" s="21">
        <f>2.36-AJ69</f>
        <v>2.16</v>
      </c>
      <c r="AG69" s="18">
        <f>0.49-AQ69</f>
        <v>0.46</v>
      </c>
      <c r="AH69" s="9">
        <v>2.48</v>
      </c>
      <c r="AI69" s="43">
        <v>677</v>
      </c>
      <c r="AJ69" s="21">
        <f t="shared" si="0"/>
        <v>0.2</v>
      </c>
      <c r="AK69" s="9">
        <v>0</v>
      </c>
      <c r="AL69" s="9">
        <v>0</v>
      </c>
      <c r="AM69" s="9">
        <v>0</v>
      </c>
      <c r="AN69" s="13"/>
      <c r="AO69" s="13">
        <v>224.4</v>
      </c>
      <c r="AP69" s="13">
        <f t="shared" si="28"/>
        <v>5.58</v>
      </c>
      <c r="AQ69" s="18">
        <f t="shared" si="1"/>
        <v>0.03</v>
      </c>
      <c r="AR69" s="9">
        <v>0.41</v>
      </c>
      <c r="AS69" s="9">
        <v>0.41</v>
      </c>
      <c r="AT69" s="9">
        <v>7.0000000000000007E-2</v>
      </c>
      <c r="AU69" s="9">
        <v>4.83</v>
      </c>
      <c r="AV69" s="9">
        <v>0.11</v>
      </c>
      <c r="AW69" s="9">
        <f>0.97+0.2+0.43</f>
        <v>1.6</v>
      </c>
      <c r="AX69" s="9">
        <f>1.33+0.58</f>
        <v>1.91</v>
      </c>
      <c r="AY69" s="69">
        <f t="shared" si="29"/>
        <v>19.34</v>
      </c>
      <c r="AZ69" s="70">
        <v>2835.9</v>
      </c>
      <c r="BA69" s="70">
        <v>494</v>
      </c>
      <c r="BB69" s="70">
        <f t="shared" si="30"/>
        <v>3329.9</v>
      </c>
      <c r="BC69" s="70">
        <v>19.34</v>
      </c>
      <c r="BD69" s="13">
        <f t="shared" si="31"/>
        <v>0</v>
      </c>
      <c r="BE69" s="9">
        <f t="shared" si="2"/>
        <v>64504.7</v>
      </c>
      <c r="BF69" s="9">
        <v>19.34</v>
      </c>
      <c r="BG69" s="10">
        <v>44378</v>
      </c>
      <c r="BH69" s="9">
        <f t="shared" si="3"/>
        <v>1834.42</v>
      </c>
      <c r="BI69" s="9">
        <f t="shared" si="4"/>
        <v>13741.44</v>
      </c>
      <c r="BJ69" s="9">
        <f t="shared" si="5"/>
        <v>7204.25</v>
      </c>
      <c r="BK69" s="9">
        <f t="shared" si="6"/>
        <v>1534.24</v>
      </c>
      <c r="BL69" s="9">
        <f t="shared" si="7"/>
        <v>8271.5400000000009</v>
      </c>
      <c r="BM69" s="9">
        <f t="shared" si="8"/>
        <v>667.06</v>
      </c>
      <c r="BN69" s="9">
        <f t="shared" si="9"/>
        <v>0</v>
      </c>
      <c r="BO69" s="9">
        <f t="shared" si="10"/>
        <v>0</v>
      </c>
      <c r="BP69" s="9">
        <f t="shared" si="11"/>
        <v>0</v>
      </c>
      <c r="BQ69" s="9">
        <f t="shared" si="12"/>
        <v>100.06</v>
      </c>
      <c r="BR69" s="9">
        <f t="shared" si="13"/>
        <v>1367.47</v>
      </c>
      <c r="BS69" s="9">
        <f t="shared" si="14"/>
        <v>1367.47</v>
      </c>
      <c r="BT69" s="9">
        <f t="shared" si="15"/>
        <v>233.47</v>
      </c>
      <c r="BU69" s="9">
        <f t="shared" si="16"/>
        <v>16109.5</v>
      </c>
      <c r="BV69" s="9">
        <f t="shared" si="17"/>
        <v>366.88</v>
      </c>
      <c r="BW69" s="9">
        <f t="shared" si="18"/>
        <v>5336.48</v>
      </c>
      <c r="BX69" s="9">
        <f t="shared" si="19"/>
        <v>6370.42</v>
      </c>
      <c r="BY69" s="17">
        <f t="shared" si="20"/>
        <v>64504.7</v>
      </c>
      <c r="BZ69" s="17">
        <v>2.5499999999999998</v>
      </c>
      <c r="CA69" s="17">
        <v>0.06</v>
      </c>
      <c r="CB69" s="17">
        <v>0.41</v>
      </c>
      <c r="CC69" s="27">
        <v>0.06</v>
      </c>
      <c r="CD69" s="29">
        <v>6.33</v>
      </c>
      <c r="CE69" s="9">
        <v>11410.64</v>
      </c>
      <c r="CF69" s="9"/>
      <c r="CG69" s="9">
        <v>0</v>
      </c>
      <c r="CH69" s="9">
        <v>124.38</v>
      </c>
      <c r="CI69" s="9">
        <f>IF(CE69&gt;0,CE69/AB69,0)</f>
        <v>3.42</v>
      </c>
      <c r="CJ69" s="9">
        <f>IF(CF69&gt;0,CF69/AB69,0)</f>
        <v>0</v>
      </c>
      <c r="CK69" s="13">
        <f>IF(CG69&gt;0,CG69/AB69,0)</f>
        <v>0</v>
      </c>
      <c r="CL69" s="13">
        <f>IF(CH69&gt;0,CH69/AB69,0)</f>
        <v>0.04</v>
      </c>
      <c r="CM69" s="13">
        <v>54950.76</v>
      </c>
      <c r="CN69" s="13">
        <v>6790.72</v>
      </c>
      <c r="CO69" s="13">
        <v>0</v>
      </c>
      <c r="CP69" s="13">
        <v>0</v>
      </c>
      <c r="CQ69" s="13">
        <v>85.23</v>
      </c>
      <c r="CR69" s="13">
        <v>51104.2</v>
      </c>
      <c r="CS69" s="13">
        <v>10769.69</v>
      </c>
      <c r="CT69" s="13">
        <v>52.04</v>
      </c>
      <c r="CU69" s="13">
        <v>7.59</v>
      </c>
      <c r="CV69" s="13">
        <v>70.28</v>
      </c>
      <c r="CW69" s="202">
        <v>2906</v>
      </c>
      <c r="CX69" s="200">
        <v>1667</v>
      </c>
      <c r="CY69" s="202"/>
      <c r="CZ69" s="202"/>
      <c r="DA69" s="202"/>
      <c r="DB69" s="202"/>
      <c r="DC69" s="202"/>
      <c r="DD69" s="461"/>
      <c r="DE69" s="256"/>
      <c r="DF69" s="202"/>
      <c r="DG69" s="202"/>
      <c r="DH69" s="202"/>
      <c r="DI69" s="204">
        <v>677</v>
      </c>
      <c r="DJ69" s="202"/>
      <c r="DK69" s="202"/>
      <c r="DL69" s="202"/>
      <c r="DM69" s="202"/>
      <c r="DN69" s="202"/>
      <c r="DO69" s="202"/>
      <c r="DP69" s="202">
        <v>15274</v>
      </c>
      <c r="DQ69" s="202">
        <v>1700</v>
      </c>
      <c r="DR69" s="202">
        <v>1</v>
      </c>
      <c r="DS69" s="202"/>
      <c r="DT69" s="254"/>
      <c r="DU69" s="254"/>
      <c r="DV69" s="202"/>
      <c r="DW69" s="202">
        <v>14085</v>
      </c>
      <c r="DX69" s="202"/>
      <c r="DY69" s="107">
        <v>1365</v>
      </c>
      <c r="DZ69" s="107"/>
      <c r="EA69" s="202">
        <v>3836.14</v>
      </c>
      <c r="EB69" s="202"/>
      <c r="EC69" s="202"/>
      <c r="ED69" s="202"/>
      <c r="EE69" s="202"/>
      <c r="EF69" s="229"/>
      <c r="EG69" s="202"/>
      <c r="EH69" s="202"/>
      <c r="EI69" s="202"/>
      <c r="EJ69" s="202"/>
      <c r="EK69" s="202">
        <v>7972.64</v>
      </c>
      <c r="EL69" s="202">
        <v>0</v>
      </c>
      <c r="EM69" s="202">
        <v>0</v>
      </c>
      <c r="EN69" s="202">
        <v>106.09</v>
      </c>
      <c r="EO69" s="202">
        <v>7972.64</v>
      </c>
      <c r="EP69" s="202"/>
      <c r="EQ69" s="202">
        <v>0</v>
      </c>
      <c r="ER69" s="202">
        <v>106.09</v>
      </c>
      <c r="ES69" s="202"/>
      <c r="ET69" s="202">
        <v>-36.590000000000003</v>
      </c>
      <c r="EU69" s="202"/>
      <c r="EV69" s="214">
        <v>-5.31</v>
      </c>
      <c r="EW69" s="240">
        <f t="shared" si="25"/>
        <v>7294.83</v>
      </c>
      <c r="EX69" s="209">
        <f t="shared" si="26"/>
        <v>4747.87</v>
      </c>
    </row>
    <row r="70" spans="1:154" ht="12.75" customHeight="1" x14ac:dyDescent="0.2">
      <c r="A70" s="45" t="s">
        <v>110</v>
      </c>
      <c r="B70" s="60" t="s">
        <v>93</v>
      </c>
      <c r="C70" s="61" t="s">
        <v>17</v>
      </c>
      <c r="D70" s="60" t="s">
        <v>696</v>
      </c>
      <c r="E70" s="61" t="s">
        <v>9</v>
      </c>
      <c r="F70" s="11">
        <v>9</v>
      </c>
      <c r="G70" s="11">
        <v>1</v>
      </c>
      <c r="H70" s="11">
        <v>54</v>
      </c>
      <c r="I70" s="11">
        <v>0</v>
      </c>
      <c r="J70" s="11">
        <v>82</v>
      </c>
      <c r="K70" s="11">
        <v>121</v>
      </c>
      <c r="L70" s="83">
        <v>1</v>
      </c>
      <c r="M70" s="84">
        <v>294</v>
      </c>
      <c r="N70" s="84">
        <v>341.9</v>
      </c>
      <c r="O70" s="84">
        <v>341.9</v>
      </c>
      <c r="P70" s="135">
        <v>294</v>
      </c>
      <c r="Q70" s="135">
        <v>275</v>
      </c>
      <c r="R70" s="133">
        <v>0</v>
      </c>
      <c r="S70" s="133">
        <f t="shared" si="27"/>
        <v>569</v>
      </c>
      <c r="T70" s="134">
        <v>294</v>
      </c>
      <c r="U70" s="130">
        <v>2.44</v>
      </c>
      <c r="V70" s="131">
        <v>1.9800000000000002E-2</v>
      </c>
      <c r="W70" s="131">
        <v>1.9800000000000002E-2</v>
      </c>
      <c r="X70" s="132">
        <v>1.2199999999999999E-3</v>
      </c>
      <c r="Y70" s="131">
        <v>3.9699999999999999E-2</v>
      </c>
      <c r="Z70" s="29">
        <v>2340.81</v>
      </c>
      <c r="AA70" s="29"/>
      <c r="AB70" s="13">
        <f t="shared" si="32"/>
        <v>2340.81</v>
      </c>
      <c r="AC70" s="9">
        <f t="shared" si="39"/>
        <v>14817.33</v>
      </c>
      <c r="AD70" s="9">
        <v>1.61</v>
      </c>
      <c r="AE70" s="9">
        <v>4.47</v>
      </c>
      <c r="AF70" s="21">
        <f>2.46-AJ70</f>
        <v>2.2999999999999998</v>
      </c>
      <c r="AG70" s="18">
        <f>0.6-AQ70</f>
        <v>0.54</v>
      </c>
      <c r="AH70" s="9">
        <v>2.77</v>
      </c>
      <c r="AI70" s="43">
        <v>374</v>
      </c>
      <c r="AJ70" s="21">
        <f t="shared" si="0"/>
        <v>0.16</v>
      </c>
      <c r="AK70" s="9">
        <v>1.84</v>
      </c>
      <c r="AL70" s="9">
        <v>0.16</v>
      </c>
      <c r="AM70" s="9">
        <v>0.25</v>
      </c>
      <c r="AN70" s="13"/>
      <c r="AO70" s="13">
        <v>305.89999999999998</v>
      </c>
      <c r="AP70" s="13">
        <f t="shared" si="28"/>
        <v>5.58</v>
      </c>
      <c r="AQ70" s="18">
        <f t="shared" si="1"/>
        <v>0.06</v>
      </c>
      <c r="AR70" s="9">
        <v>0.72</v>
      </c>
      <c r="AS70" s="9">
        <v>0.57999999999999996</v>
      </c>
      <c r="AT70" s="9">
        <v>7.0000000000000007E-2</v>
      </c>
      <c r="AU70" s="9">
        <v>4.0999999999999996</v>
      </c>
      <c r="AV70" s="9">
        <v>0.17</v>
      </c>
      <c r="AW70" s="9">
        <f>1.4+0.32+0.36</f>
        <v>2.08</v>
      </c>
      <c r="AX70" s="9">
        <f>1.97+0.48</f>
        <v>2.4500000000000002</v>
      </c>
      <c r="AY70" s="63">
        <f t="shared" si="29"/>
        <v>24.33</v>
      </c>
      <c r="AZ70" s="64"/>
      <c r="BA70" s="64"/>
      <c r="BB70" s="64"/>
      <c r="BC70" s="64">
        <v>24.33</v>
      </c>
      <c r="BD70" s="13">
        <f t="shared" si="31"/>
        <v>0</v>
      </c>
      <c r="BE70" s="9">
        <f t="shared" si="2"/>
        <v>56951.91</v>
      </c>
      <c r="BF70" s="9">
        <v>24.33</v>
      </c>
      <c r="BG70" s="10">
        <v>44440</v>
      </c>
      <c r="BH70" s="9">
        <f t="shared" si="3"/>
        <v>3768.7</v>
      </c>
      <c r="BI70" s="9">
        <f t="shared" si="4"/>
        <v>10463.42</v>
      </c>
      <c r="BJ70" s="9">
        <f t="shared" si="5"/>
        <v>5383.86</v>
      </c>
      <c r="BK70" s="9">
        <f t="shared" si="6"/>
        <v>1264.04</v>
      </c>
      <c r="BL70" s="9">
        <f t="shared" si="7"/>
        <v>6484.04</v>
      </c>
      <c r="BM70" s="9">
        <f t="shared" si="8"/>
        <v>374.53</v>
      </c>
      <c r="BN70" s="9">
        <f t="shared" si="9"/>
        <v>4307.09</v>
      </c>
      <c r="BO70" s="9">
        <f t="shared" si="10"/>
        <v>374.53</v>
      </c>
      <c r="BP70" s="9">
        <f t="shared" si="11"/>
        <v>585.20000000000005</v>
      </c>
      <c r="BQ70" s="9">
        <f t="shared" si="12"/>
        <v>140.44999999999999</v>
      </c>
      <c r="BR70" s="9">
        <f t="shared" si="13"/>
        <v>1685.38</v>
      </c>
      <c r="BS70" s="9">
        <f t="shared" si="14"/>
        <v>1357.67</v>
      </c>
      <c r="BT70" s="9">
        <f t="shared" si="15"/>
        <v>163.86</v>
      </c>
      <c r="BU70" s="9">
        <f t="shared" si="16"/>
        <v>9597.32</v>
      </c>
      <c r="BV70" s="9">
        <f t="shared" si="17"/>
        <v>397.94</v>
      </c>
      <c r="BW70" s="9">
        <f t="shared" si="18"/>
        <v>4868.88</v>
      </c>
      <c r="BX70" s="9">
        <f t="shared" si="19"/>
        <v>5734.98</v>
      </c>
      <c r="BY70" s="17">
        <f t="shared" si="20"/>
        <v>56951.89</v>
      </c>
      <c r="BZ70" s="17">
        <v>3.78</v>
      </c>
      <c r="CA70" s="17">
        <v>7.0000000000000007E-2</v>
      </c>
      <c r="CB70" s="17">
        <v>0.45</v>
      </c>
      <c r="CC70" s="27">
        <v>7.0000000000000007E-2</v>
      </c>
      <c r="CD70" s="29">
        <v>6.33</v>
      </c>
      <c r="CE70" s="9"/>
      <c r="CF70" s="9"/>
      <c r="CG70" s="9"/>
      <c r="CH70" s="9"/>
      <c r="CI70" s="9"/>
      <c r="CJ70" s="9"/>
      <c r="CK70" s="13"/>
      <c r="CL70" s="13"/>
      <c r="CM70" s="13">
        <v>56951.93</v>
      </c>
      <c r="CN70" s="13">
        <v>0</v>
      </c>
      <c r="CO70" s="13">
        <v>0</v>
      </c>
      <c r="CP70" s="13">
        <v>234.08</v>
      </c>
      <c r="CQ70" s="13">
        <v>163.87</v>
      </c>
      <c r="CR70" s="13">
        <v>69874.03</v>
      </c>
      <c r="CS70" s="13">
        <v>2967.62</v>
      </c>
      <c r="CT70" s="13">
        <v>1152.18</v>
      </c>
      <c r="CU70" s="13">
        <v>280.2</v>
      </c>
      <c r="CV70" s="13">
        <v>207.81</v>
      </c>
      <c r="CW70" s="202">
        <v>2039</v>
      </c>
      <c r="CX70" s="200">
        <v>1170</v>
      </c>
      <c r="CY70" s="202"/>
      <c r="CZ70" s="202"/>
      <c r="DA70" s="202"/>
      <c r="DB70" s="202"/>
      <c r="DC70" s="202"/>
      <c r="DD70" s="461"/>
      <c r="DE70" s="256"/>
      <c r="DF70" s="202"/>
      <c r="DG70" s="202"/>
      <c r="DH70" s="202"/>
      <c r="DI70" s="204">
        <v>374</v>
      </c>
      <c r="DJ70" s="202">
        <v>4300</v>
      </c>
      <c r="DK70" s="202"/>
      <c r="DL70" s="202"/>
      <c r="DM70" s="202"/>
      <c r="DN70" s="202"/>
      <c r="DO70" s="202"/>
      <c r="DP70" s="202">
        <v>13891</v>
      </c>
      <c r="DQ70" s="202">
        <v>1700</v>
      </c>
      <c r="DR70" s="202">
        <v>1</v>
      </c>
      <c r="DS70" s="202"/>
      <c r="DT70" s="254"/>
      <c r="DU70" s="254"/>
      <c r="DV70" s="202"/>
      <c r="DW70" s="202">
        <v>10878</v>
      </c>
      <c r="DX70" s="202"/>
      <c r="DY70" s="107">
        <v>1365</v>
      </c>
      <c r="DZ70" s="107"/>
      <c r="EA70" s="202"/>
      <c r="EB70" s="202"/>
      <c r="EC70" s="202"/>
      <c r="ED70" s="202"/>
      <c r="EE70" s="202"/>
      <c r="EF70" s="229"/>
      <c r="EG70" s="202"/>
      <c r="EH70" s="202"/>
      <c r="EI70" s="202"/>
      <c r="EJ70" s="202"/>
      <c r="EK70" s="202">
        <v>0</v>
      </c>
      <c r="EL70" s="202">
        <v>0</v>
      </c>
      <c r="EM70" s="202">
        <v>235.97</v>
      </c>
      <c r="EN70" s="202">
        <v>165.13</v>
      </c>
      <c r="EO70" s="202">
        <v>0</v>
      </c>
      <c r="EP70" s="202"/>
      <c r="EQ70" s="202">
        <v>235.97</v>
      </c>
      <c r="ER70" s="202">
        <v>165.13</v>
      </c>
      <c r="ES70" s="202"/>
      <c r="ET70" s="202"/>
      <c r="EU70" s="202"/>
      <c r="EV70" s="214">
        <v>2.15</v>
      </c>
      <c r="EW70" s="240">
        <f t="shared" si="25"/>
        <v>5119.7299999999996</v>
      </c>
      <c r="EX70" s="209">
        <f t="shared" si="26"/>
        <v>3332.19</v>
      </c>
    </row>
    <row r="71" spans="1:154" ht="12.75" customHeight="1" x14ac:dyDescent="0.2">
      <c r="A71" s="45" t="s">
        <v>112</v>
      </c>
      <c r="B71" s="60" t="s">
        <v>93</v>
      </c>
      <c r="C71" s="61" t="s">
        <v>27</v>
      </c>
      <c r="D71" s="62" t="s">
        <v>417</v>
      </c>
      <c r="E71" s="61" t="s">
        <v>12</v>
      </c>
      <c r="F71" s="11">
        <v>9</v>
      </c>
      <c r="G71" s="11">
        <v>4</v>
      </c>
      <c r="H71" s="11">
        <v>206</v>
      </c>
      <c r="I71" s="11">
        <v>0</v>
      </c>
      <c r="J71" s="11">
        <v>352</v>
      </c>
      <c r="K71" s="11">
        <v>426</v>
      </c>
      <c r="L71" s="11">
        <v>4</v>
      </c>
      <c r="M71" s="84">
        <v>557.20000000000005</v>
      </c>
      <c r="N71" s="84">
        <v>814.6</v>
      </c>
      <c r="O71" s="84">
        <v>814.6</v>
      </c>
      <c r="P71" s="135">
        <v>1148.4000000000001</v>
      </c>
      <c r="Q71" s="135">
        <v>815.6</v>
      </c>
      <c r="R71" s="133">
        <v>0</v>
      </c>
      <c r="S71" s="133">
        <f t="shared" si="27"/>
        <v>1964</v>
      </c>
      <c r="T71" s="134">
        <v>1149</v>
      </c>
      <c r="U71" s="130">
        <v>2.44</v>
      </c>
      <c r="V71" s="131">
        <v>1.9800000000000002E-2</v>
      </c>
      <c r="W71" s="131">
        <v>1.9800000000000002E-2</v>
      </c>
      <c r="X71" s="132">
        <v>1.2199999999999999E-3</v>
      </c>
      <c r="Y71" s="131">
        <v>3.9699999999999999E-2</v>
      </c>
      <c r="Z71" s="29">
        <v>8989.2800000000007</v>
      </c>
      <c r="AA71" s="34">
        <v>1673.8</v>
      </c>
      <c r="AB71" s="9">
        <f t="shared" si="32"/>
        <v>10663.08</v>
      </c>
      <c r="AC71" s="9">
        <f t="shared" si="39"/>
        <v>67497.3</v>
      </c>
      <c r="AD71" s="9">
        <v>1.48</v>
      </c>
      <c r="AE71" s="9">
        <v>5.1100000000000003</v>
      </c>
      <c r="AF71" s="21">
        <f>2.48-AJ71</f>
        <v>2.34</v>
      </c>
      <c r="AG71" s="18">
        <f>0.57-AQ71</f>
        <v>0.52</v>
      </c>
      <c r="AH71" s="9">
        <v>2.77</v>
      </c>
      <c r="AI71" s="43">
        <v>1531</v>
      </c>
      <c r="AJ71" s="21">
        <f t="shared" ref="AJ71:AJ134" si="48">SUM(AI71/AB71)</f>
        <v>0.14000000000000001</v>
      </c>
      <c r="AK71" s="9">
        <v>1.62</v>
      </c>
      <c r="AL71" s="9">
        <v>0.14000000000000001</v>
      </c>
      <c r="AM71" s="9">
        <v>0.05</v>
      </c>
      <c r="AN71" s="13"/>
      <c r="AO71" s="13">
        <v>1223.5999999999999</v>
      </c>
      <c r="AP71" s="13">
        <f t="shared" si="28"/>
        <v>5.58</v>
      </c>
      <c r="AQ71" s="18">
        <f t="shared" ref="AQ71:AQ132" si="49">SUM(AN71:AO71)*AP71/AB71/12</f>
        <v>0.05</v>
      </c>
      <c r="AR71" s="9">
        <v>0.61</v>
      </c>
      <c r="AS71" s="9">
        <v>0.26</v>
      </c>
      <c r="AT71" s="9">
        <v>7.0000000000000007E-2</v>
      </c>
      <c r="AU71" s="9">
        <v>3.63</v>
      </c>
      <c r="AV71" s="9">
        <v>0.16</v>
      </c>
      <c r="AW71" s="9">
        <f>1.36+0.33+0.32</f>
        <v>2.0099999999999998</v>
      </c>
      <c r="AX71" s="9">
        <f>1.9+0.43</f>
        <v>2.33</v>
      </c>
      <c r="AY71" s="63">
        <f t="shared" si="29"/>
        <v>23.29</v>
      </c>
      <c r="AZ71" s="64">
        <v>8924.2999999999993</v>
      </c>
      <c r="BA71" s="64">
        <v>1673.8</v>
      </c>
      <c r="BB71" s="64">
        <f t="shared" si="30"/>
        <v>10598.1</v>
      </c>
      <c r="BC71" s="64">
        <v>23.29</v>
      </c>
      <c r="BD71" s="13">
        <f t="shared" si="31"/>
        <v>0</v>
      </c>
      <c r="BE71" s="9">
        <f t="shared" ref="BE71:BE134" si="50">SUM(AB71*BC71)</f>
        <v>248343.13</v>
      </c>
      <c r="BF71" s="9">
        <v>23.29</v>
      </c>
      <c r="BG71" s="10">
        <v>44409</v>
      </c>
      <c r="BH71" s="9">
        <f t="shared" ref="BH71:BH134" si="51">SUM(AB71*AD71)</f>
        <v>15781.36</v>
      </c>
      <c r="BI71" s="9">
        <f t="shared" ref="BI71:BI134" si="52">SUM(AB71*AE71)</f>
        <v>54488.34</v>
      </c>
      <c r="BJ71" s="9">
        <f t="shared" ref="BJ71:BJ134" si="53">SUM(AB71*AF71)</f>
        <v>24951.61</v>
      </c>
      <c r="BK71" s="9">
        <f t="shared" ref="BK71:BK134" si="54">SUM(AB71*AG71)</f>
        <v>5544.8</v>
      </c>
      <c r="BL71" s="9">
        <f t="shared" ref="BL71:BL134" si="55">SUM(AB71*AH71)</f>
        <v>29536.73</v>
      </c>
      <c r="BM71" s="9">
        <f t="shared" ref="BM71:BM134" si="56">SUM(AB71*AJ71)</f>
        <v>1492.83</v>
      </c>
      <c r="BN71" s="9">
        <f t="shared" ref="BN71:BN134" si="57">SUM(AB71*AK71)</f>
        <v>17274.189999999999</v>
      </c>
      <c r="BO71" s="9">
        <f t="shared" ref="BO71:BO134" si="58">SUM(AB71*AL71)</f>
        <v>1492.83</v>
      </c>
      <c r="BP71" s="9">
        <f t="shared" ref="BP71:BP134" si="59">SUM(AB71*AM71)</f>
        <v>533.15</v>
      </c>
      <c r="BQ71" s="9">
        <f t="shared" ref="BQ71:BQ134" si="60">SUM(AB71*AQ71)</f>
        <v>533.15</v>
      </c>
      <c r="BR71" s="9">
        <f t="shared" ref="BR71:BR134" si="61">SUM(AB71*AR71)</f>
        <v>6504.48</v>
      </c>
      <c r="BS71" s="9">
        <f t="shared" ref="BS71:BS134" si="62">SUM(AB71*AS71)</f>
        <v>2772.4</v>
      </c>
      <c r="BT71" s="9">
        <f t="shared" ref="BT71:BT134" si="63">SUM(AB71*AT71)</f>
        <v>746.42</v>
      </c>
      <c r="BU71" s="9">
        <f t="shared" ref="BU71:BU134" si="64">SUM(AB71*AU71)</f>
        <v>38706.980000000003</v>
      </c>
      <c r="BV71" s="9">
        <f t="shared" ref="BV71:BV134" si="65">SUM(AB71*AV71)</f>
        <v>1706.09</v>
      </c>
      <c r="BW71" s="9">
        <f t="shared" ref="BW71:BW134" si="66">SUM(AB71*AW71)</f>
        <v>21432.79</v>
      </c>
      <c r="BX71" s="9">
        <f t="shared" ref="BX71:BX134" si="67">SUM(AB71*AX71)</f>
        <v>24844.98</v>
      </c>
      <c r="BY71" s="17">
        <f t="shared" ref="BY71:BY134" si="68">SUM(BH71:BX71)</f>
        <v>248343.13</v>
      </c>
      <c r="BZ71" s="17">
        <v>2.5</v>
      </c>
      <c r="CA71" s="17">
        <v>0.06</v>
      </c>
      <c r="CB71" s="17">
        <v>0.39</v>
      </c>
      <c r="CC71" s="27">
        <v>0.06</v>
      </c>
      <c r="CD71" s="29">
        <v>6.33</v>
      </c>
      <c r="CE71" s="9">
        <v>5207.1899999999996</v>
      </c>
      <c r="CF71" s="9"/>
      <c r="CG71" s="9">
        <v>11890.56</v>
      </c>
      <c r="CH71" s="9">
        <v>6546.99</v>
      </c>
      <c r="CI71" s="9">
        <f t="shared" ref="CI71:CI76" si="69">IF(CE71&gt;0,CE71/AB71,0)</f>
        <v>0.49</v>
      </c>
      <c r="CJ71" s="9">
        <f t="shared" ref="CJ71:CJ76" si="70">IF(CF71&gt;0,CF71/AB71,0)</f>
        <v>0</v>
      </c>
      <c r="CK71" s="13">
        <f t="shared" ref="CK71:CK76" si="71">IF(CG71&gt;0,CG71/AB71,0)</f>
        <v>1.1200000000000001</v>
      </c>
      <c r="CL71" s="13">
        <f t="shared" ref="CL71:CL76" si="72">IF(CH71&gt;0,CH71/AB71,0)</f>
        <v>0.61</v>
      </c>
      <c r="CM71" s="13">
        <v>209360.35</v>
      </c>
      <c r="CN71" s="13">
        <v>4404.59</v>
      </c>
      <c r="CO71" s="13">
        <v>0</v>
      </c>
      <c r="CP71" s="13">
        <v>9079.34</v>
      </c>
      <c r="CQ71" s="13">
        <v>5034.04</v>
      </c>
      <c r="CR71" s="13">
        <v>205819.69</v>
      </c>
      <c r="CS71" s="13">
        <v>5789.83</v>
      </c>
      <c r="CT71" s="13">
        <v>480.69</v>
      </c>
      <c r="CU71" s="13">
        <v>8023.95</v>
      </c>
      <c r="CV71" s="13">
        <v>4476.67</v>
      </c>
      <c r="CW71" s="202">
        <v>9290</v>
      </c>
      <c r="CX71" s="200">
        <v>5330</v>
      </c>
      <c r="CY71" s="202"/>
      <c r="CZ71" s="202"/>
      <c r="DA71" s="202"/>
      <c r="DB71" s="202"/>
      <c r="DC71" s="202"/>
      <c r="DD71" s="461"/>
      <c r="DE71" s="256"/>
      <c r="DF71" s="202"/>
      <c r="DG71" s="202"/>
      <c r="DH71" s="202"/>
      <c r="DI71" s="204">
        <v>1531</v>
      </c>
      <c r="DJ71" s="202">
        <v>17200</v>
      </c>
      <c r="DK71" s="202"/>
      <c r="DL71" s="202"/>
      <c r="DM71" s="202"/>
      <c r="DN71" s="202"/>
      <c r="DO71" s="202"/>
      <c r="DP71" s="202">
        <v>68239</v>
      </c>
      <c r="DQ71" s="202">
        <v>5100</v>
      </c>
      <c r="DR71" s="202">
        <v>3</v>
      </c>
      <c r="DS71" s="202"/>
      <c r="DT71" s="254"/>
      <c r="DU71" s="254"/>
      <c r="DV71" s="202"/>
      <c r="DW71" s="202">
        <v>49471</v>
      </c>
      <c r="DX71" s="202"/>
      <c r="DY71" s="107">
        <v>1365</v>
      </c>
      <c r="DZ71" s="107"/>
      <c r="EA71" s="202">
        <f>1346.92+2801.96</f>
        <v>4148.88</v>
      </c>
      <c r="EB71" s="202"/>
      <c r="EC71" s="202"/>
      <c r="ED71" s="202"/>
      <c r="EE71" s="202"/>
      <c r="EF71" s="229"/>
      <c r="EG71" s="202"/>
      <c r="EH71" s="202"/>
      <c r="EI71" s="202"/>
      <c r="EJ71" s="202"/>
      <c r="EK71" s="202">
        <v>5207.1899999999996</v>
      </c>
      <c r="EL71" s="202">
        <v>0</v>
      </c>
      <c r="EM71" s="202">
        <v>10809.6</v>
      </c>
      <c r="EN71" s="202">
        <v>5981.07</v>
      </c>
      <c r="EO71" s="202">
        <v>5207.1899999999996</v>
      </c>
      <c r="EP71" s="202"/>
      <c r="EQ71" s="202">
        <v>10809.6</v>
      </c>
      <c r="ER71" s="202">
        <v>5981.07</v>
      </c>
      <c r="ES71" s="202"/>
      <c r="ET71" s="202"/>
      <c r="EU71" s="202"/>
      <c r="EV71" s="214">
        <v>377.28</v>
      </c>
      <c r="EW71" s="240">
        <f t="shared" ref="EW71:EW134" si="73">SUM(AB71*2.18716)</f>
        <v>23321.86</v>
      </c>
      <c r="EX71" s="209">
        <f t="shared" ref="EX71:EX134" si="74">SUM(AB71*1.42352)</f>
        <v>15179.11</v>
      </c>
    </row>
    <row r="72" spans="1:154" ht="12.75" customHeight="1" x14ac:dyDescent="0.2">
      <c r="A72" s="45" t="s">
        <v>114</v>
      </c>
      <c r="B72" s="60" t="s">
        <v>97</v>
      </c>
      <c r="C72" s="61" t="s">
        <v>15</v>
      </c>
      <c r="D72" s="62" t="s">
        <v>628</v>
      </c>
      <c r="E72" s="61" t="s">
        <v>12</v>
      </c>
      <c r="F72" s="11">
        <v>9</v>
      </c>
      <c r="G72" s="11">
        <v>4</v>
      </c>
      <c r="H72" s="11">
        <v>144</v>
      </c>
      <c r="I72" s="11">
        <v>144</v>
      </c>
      <c r="J72" s="11">
        <v>282</v>
      </c>
      <c r="K72" s="11">
        <v>362</v>
      </c>
      <c r="L72" s="11">
        <v>4</v>
      </c>
      <c r="M72" s="84">
        <v>890</v>
      </c>
      <c r="N72" s="84">
        <v>1150</v>
      </c>
      <c r="O72" s="84">
        <v>0</v>
      </c>
      <c r="P72" s="135">
        <f>429.6+425.6+7.2+59.2</f>
        <v>921.6</v>
      </c>
      <c r="Q72" s="135">
        <v>922.1</v>
      </c>
      <c r="R72" s="133">
        <v>0</v>
      </c>
      <c r="S72" s="133">
        <f t="shared" ref="S72:S135" si="75">SUM(P72:R72)</f>
        <v>1843.7</v>
      </c>
      <c r="T72" s="134">
        <v>914.4</v>
      </c>
      <c r="U72" s="130">
        <v>2.44</v>
      </c>
      <c r="V72" s="91">
        <v>1.9800000000000002E-2</v>
      </c>
      <c r="W72" s="91">
        <v>1.9800000000000002E-2</v>
      </c>
      <c r="X72" s="132">
        <v>1.32E-3</v>
      </c>
      <c r="Y72" s="91">
        <v>3.9699999999999999E-2</v>
      </c>
      <c r="Z72" s="29">
        <v>7704.6</v>
      </c>
      <c r="AA72" s="34">
        <v>478.7</v>
      </c>
      <c r="AB72" s="9">
        <f t="shared" si="32"/>
        <v>8183.3</v>
      </c>
      <c r="AC72" s="9">
        <f t="shared" si="39"/>
        <v>51800.29</v>
      </c>
      <c r="AD72" s="9">
        <v>1.46</v>
      </c>
      <c r="AE72" s="9">
        <v>5.3</v>
      </c>
      <c r="AF72" s="21">
        <f>2.42-AJ72</f>
        <v>2.2799999999999998</v>
      </c>
      <c r="AG72" s="18">
        <f>0.6-AQ72</f>
        <v>0.55000000000000004</v>
      </c>
      <c r="AH72" s="9">
        <v>2.78</v>
      </c>
      <c r="AI72" s="43">
        <v>1114</v>
      </c>
      <c r="AJ72" s="21">
        <f t="shared" si="48"/>
        <v>0.14000000000000001</v>
      </c>
      <c r="AK72" s="9">
        <v>2.11</v>
      </c>
      <c r="AL72" s="9">
        <v>0.18</v>
      </c>
      <c r="AM72" s="9">
        <v>0.12</v>
      </c>
      <c r="AN72" s="13"/>
      <c r="AO72" s="13">
        <v>844.8</v>
      </c>
      <c r="AP72" s="13">
        <f t="shared" si="28"/>
        <v>5.58</v>
      </c>
      <c r="AQ72" s="18">
        <f t="shared" si="49"/>
        <v>0.05</v>
      </c>
      <c r="AR72" s="9">
        <v>0.54</v>
      </c>
      <c r="AS72" s="9">
        <v>0.17</v>
      </c>
      <c r="AT72" s="9">
        <v>7.0000000000000007E-2</v>
      </c>
      <c r="AU72" s="9">
        <v>3.32</v>
      </c>
      <c r="AV72" s="9">
        <v>0.17</v>
      </c>
      <c r="AW72" s="9">
        <f>1.41+0.26+0.29</f>
        <v>1.96</v>
      </c>
      <c r="AX72" s="9">
        <f>1.98+0.39</f>
        <v>2.37</v>
      </c>
      <c r="AY72" s="63">
        <f t="shared" si="29"/>
        <v>23.57</v>
      </c>
      <c r="AZ72" s="64">
        <v>7665.8</v>
      </c>
      <c r="BA72" s="64">
        <v>478.7</v>
      </c>
      <c r="BB72" s="64">
        <f t="shared" si="30"/>
        <v>8144.5</v>
      </c>
      <c r="BC72" s="64">
        <v>23.57</v>
      </c>
      <c r="BD72" s="13">
        <f t="shared" ref="BD72:BD135" si="76">SUM(AY72-BC72)</f>
        <v>0</v>
      </c>
      <c r="BE72" s="9">
        <f t="shared" si="50"/>
        <v>192880.38</v>
      </c>
      <c r="BF72" s="9">
        <v>23.57</v>
      </c>
      <c r="BG72" s="10">
        <v>44409</v>
      </c>
      <c r="BH72" s="9">
        <f t="shared" si="51"/>
        <v>11947.62</v>
      </c>
      <c r="BI72" s="9">
        <f t="shared" si="52"/>
        <v>43371.49</v>
      </c>
      <c r="BJ72" s="9">
        <f t="shared" si="53"/>
        <v>18657.919999999998</v>
      </c>
      <c r="BK72" s="9">
        <f t="shared" si="54"/>
        <v>4500.82</v>
      </c>
      <c r="BL72" s="9">
        <f t="shared" si="55"/>
        <v>22749.57</v>
      </c>
      <c r="BM72" s="9">
        <f t="shared" si="56"/>
        <v>1145.6600000000001</v>
      </c>
      <c r="BN72" s="9">
        <f t="shared" si="57"/>
        <v>17266.759999999998</v>
      </c>
      <c r="BO72" s="9">
        <f t="shared" si="58"/>
        <v>1472.99</v>
      </c>
      <c r="BP72" s="9">
        <f t="shared" si="59"/>
        <v>982</v>
      </c>
      <c r="BQ72" s="9">
        <f t="shared" si="60"/>
        <v>409.17</v>
      </c>
      <c r="BR72" s="9">
        <f t="shared" si="61"/>
        <v>4418.9799999999996</v>
      </c>
      <c r="BS72" s="9">
        <f t="shared" si="62"/>
        <v>1391.16</v>
      </c>
      <c r="BT72" s="9">
        <f t="shared" si="63"/>
        <v>572.83000000000004</v>
      </c>
      <c r="BU72" s="9">
        <f t="shared" si="64"/>
        <v>27168.560000000001</v>
      </c>
      <c r="BV72" s="9">
        <f t="shared" si="65"/>
        <v>1391.16</v>
      </c>
      <c r="BW72" s="9">
        <f t="shared" si="66"/>
        <v>16039.27</v>
      </c>
      <c r="BX72" s="9">
        <f t="shared" si="67"/>
        <v>19394.419999999998</v>
      </c>
      <c r="BY72" s="17">
        <f t="shared" si="68"/>
        <v>192880.38</v>
      </c>
      <c r="BZ72" s="17">
        <v>2.14</v>
      </c>
      <c r="CA72" s="17">
        <v>0.06</v>
      </c>
      <c r="CB72" s="17">
        <v>0.38</v>
      </c>
      <c r="CC72" s="27">
        <v>0.06</v>
      </c>
      <c r="CD72" s="29">
        <v>6.33</v>
      </c>
      <c r="CE72" s="9">
        <v>9083.84</v>
      </c>
      <c r="CF72" s="9"/>
      <c r="CG72" s="9">
        <v>3107.76</v>
      </c>
      <c r="CH72" s="9">
        <v>1883.17</v>
      </c>
      <c r="CI72" s="9">
        <f t="shared" si="69"/>
        <v>1.1100000000000001</v>
      </c>
      <c r="CJ72" s="9">
        <f t="shared" si="70"/>
        <v>0</v>
      </c>
      <c r="CK72" s="13">
        <f t="shared" si="71"/>
        <v>0.38</v>
      </c>
      <c r="CL72" s="13">
        <f t="shared" si="72"/>
        <v>0.23</v>
      </c>
      <c r="CM72" s="13">
        <v>181597.5</v>
      </c>
      <c r="CN72" s="13">
        <v>9476.58</v>
      </c>
      <c r="CO72" s="13">
        <v>0</v>
      </c>
      <c r="CP72" s="13">
        <v>1463.92</v>
      </c>
      <c r="CQ72" s="13">
        <v>1001.66</v>
      </c>
      <c r="CR72" s="13">
        <v>207144.4</v>
      </c>
      <c r="CS72" s="13">
        <v>11338.44</v>
      </c>
      <c r="CT72" s="13">
        <v>465.04</v>
      </c>
      <c r="CU72" s="13">
        <v>759.27</v>
      </c>
      <c r="CV72" s="13">
        <v>663.94</v>
      </c>
      <c r="CW72" s="202">
        <v>7129</v>
      </c>
      <c r="CX72" s="200">
        <v>4090</v>
      </c>
      <c r="CY72" s="202"/>
      <c r="CZ72" s="202"/>
      <c r="DA72" s="202"/>
      <c r="DB72" s="202"/>
      <c r="DC72" s="202"/>
      <c r="DD72" s="461"/>
      <c r="DE72" s="256"/>
      <c r="DF72" s="202"/>
      <c r="DG72" s="202"/>
      <c r="DH72" s="202"/>
      <c r="DI72" s="204">
        <v>1114</v>
      </c>
      <c r="DJ72" s="202">
        <v>17200</v>
      </c>
      <c r="DK72" s="202"/>
      <c r="DL72" s="202"/>
      <c r="DM72" s="202"/>
      <c r="DN72" s="202"/>
      <c r="DO72" s="202"/>
      <c r="DP72" s="202">
        <v>53733</v>
      </c>
      <c r="DQ72" s="202">
        <v>2550</v>
      </c>
      <c r="DR72" s="202">
        <v>1.5</v>
      </c>
      <c r="DS72" s="202"/>
      <c r="DT72" s="254"/>
      <c r="DU72" s="254"/>
      <c r="DV72" s="202"/>
      <c r="DW72" s="202">
        <v>37947</v>
      </c>
      <c r="DX72" s="202"/>
      <c r="DY72" s="107">
        <v>1365</v>
      </c>
      <c r="DZ72" s="107">
        <v>942</v>
      </c>
      <c r="EA72" s="202"/>
      <c r="EB72" s="202"/>
      <c r="EC72" s="202"/>
      <c r="ED72" s="202"/>
      <c r="EE72" s="202"/>
      <c r="EF72" s="229"/>
      <c r="EG72" s="202"/>
      <c r="EH72" s="202"/>
      <c r="EI72" s="202"/>
      <c r="EJ72" s="202"/>
      <c r="EK72" s="202">
        <v>10059.530000000001</v>
      </c>
      <c r="EL72" s="202">
        <v>0</v>
      </c>
      <c r="EM72" s="202">
        <v>1567.39</v>
      </c>
      <c r="EN72" s="202">
        <v>1076.74</v>
      </c>
      <c r="EO72" s="202">
        <v>10059.530000000001</v>
      </c>
      <c r="EP72" s="202"/>
      <c r="EQ72" s="202">
        <v>1567.39</v>
      </c>
      <c r="ER72" s="202">
        <v>1076.74</v>
      </c>
      <c r="ES72" s="202"/>
      <c r="ET72" s="202"/>
      <c r="EU72" s="202"/>
      <c r="EV72" s="214">
        <v>-16.05</v>
      </c>
      <c r="EW72" s="240">
        <f t="shared" si="73"/>
        <v>17898.189999999999</v>
      </c>
      <c r="EX72" s="209">
        <f t="shared" si="74"/>
        <v>11649.09</v>
      </c>
    </row>
    <row r="73" spans="1:154" ht="12.75" customHeight="1" x14ac:dyDescent="0.2">
      <c r="A73" s="45" t="s">
        <v>116</v>
      </c>
      <c r="B73" s="60" t="s">
        <v>97</v>
      </c>
      <c r="C73" s="61" t="s">
        <v>15</v>
      </c>
      <c r="D73" s="62" t="s">
        <v>553</v>
      </c>
      <c r="E73" s="61" t="s">
        <v>9</v>
      </c>
      <c r="F73" s="11">
        <v>9</v>
      </c>
      <c r="G73" s="11">
        <v>4</v>
      </c>
      <c r="H73" s="11">
        <v>144</v>
      </c>
      <c r="I73" s="11">
        <v>144</v>
      </c>
      <c r="J73" s="11">
        <v>308</v>
      </c>
      <c r="K73" s="11">
        <v>366</v>
      </c>
      <c r="L73" s="83">
        <v>4</v>
      </c>
      <c r="M73" s="84">
        <v>897.2</v>
      </c>
      <c r="N73" s="84">
        <v>1084</v>
      </c>
      <c r="O73" s="84">
        <v>0</v>
      </c>
      <c r="P73" s="138">
        <v>897.2</v>
      </c>
      <c r="Q73" s="138">
        <v>1084</v>
      </c>
      <c r="R73" s="138">
        <v>0</v>
      </c>
      <c r="S73" s="133">
        <f t="shared" si="75"/>
        <v>1981.2</v>
      </c>
      <c r="T73" s="138">
        <v>897.2</v>
      </c>
      <c r="U73" s="130">
        <v>2.44</v>
      </c>
      <c r="V73" s="131">
        <v>1.9800000000000002E-2</v>
      </c>
      <c r="W73" s="131">
        <v>1.9800000000000002E-2</v>
      </c>
      <c r="X73" s="132">
        <v>1.32E-3</v>
      </c>
      <c r="Y73" s="131">
        <v>3.9699999999999999E-2</v>
      </c>
      <c r="Z73" s="29">
        <v>7807.8</v>
      </c>
      <c r="AA73" s="34"/>
      <c r="AB73" s="9">
        <f t="shared" si="32"/>
        <v>7807.8</v>
      </c>
      <c r="AC73" s="9">
        <f t="shared" si="39"/>
        <v>49423.37</v>
      </c>
      <c r="AD73" s="9">
        <v>1.59</v>
      </c>
      <c r="AE73" s="9">
        <v>4.7699999999999996</v>
      </c>
      <c r="AF73" s="21">
        <f>2.39-AJ73</f>
        <v>2.25</v>
      </c>
      <c r="AG73" s="18">
        <f>0.61-AQ73</f>
        <v>0.56000000000000005</v>
      </c>
      <c r="AH73" s="9">
        <v>2.78</v>
      </c>
      <c r="AI73" s="43">
        <v>1117</v>
      </c>
      <c r="AJ73" s="21">
        <f t="shared" si="48"/>
        <v>0.14000000000000001</v>
      </c>
      <c r="AK73" s="9">
        <v>2.2000000000000002</v>
      </c>
      <c r="AL73" s="9">
        <v>0.19</v>
      </c>
      <c r="AM73" s="9">
        <v>7.0000000000000007E-2</v>
      </c>
      <c r="AN73" s="13"/>
      <c r="AO73" s="13">
        <v>844.8</v>
      </c>
      <c r="AP73" s="13">
        <f t="shared" ref="AP73:AP137" si="77">5.58</f>
        <v>5.58</v>
      </c>
      <c r="AQ73" s="18">
        <f t="shared" si="49"/>
        <v>0.05</v>
      </c>
      <c r="AR73" s="9">
        <v>0.56999999999999995</v>
      </c>
      <c r="AS73" s="9">
        <v>0.17</v>
      </c>
      <c r="AT73" s="9">
        <v>7.0000000000000007E-2</v>
      </c>
      <c r="AU73" s="9">
        <v>3.8</v>
      </c>
      <c r="AV73" s="9">
        <v>0.16</v>
      </c>
      <c r="AW73" s="9">
        <f>0.26+0.34+1.38</f>
        <v>1.98</v>
      </c>
      <c r="AX73" s="9">
        <f>1.94+0.47</f>
        <v>2.41</v>
      </c>
      <c r="AY73" s="63">
        <f t="shared" ref="AY73:AY137" si="78">SUM(AD73:AH73,AJ73:AM73,AQ73:AX73)</f>
        <v>23.76</v>
      </c>
      <c r="AZ73" s="64">
        <v>7801.9</v>
      </c>
      <c r="BA73" s="64">
        <v>0</v>
      </c>
      <c r="BB73" s="64">
        <f t="shared" si="30"/>
        <v>7801.9</v>
      </c>
      <c r="BC73" s="64">
        <v>23.76</v>
      </c>
      <c r="BD73" s="13">
        <f t="shared" si="76"/>
        <v>0</v>
      </c>
      <c r="BE73" s="9">
        <f t="shared" si="50"/>
        <v>185513.33</v>
      </c>
      <c r="BF73" s="9">
        <v>23.76</v>
      </c>
      <c r="BG73" s="10">
        <v>44409</v>
      </c>
      <c r="BH73" s="9">
        <f t="shared" si="51"/>
        <v>12414.4</v>
      </c>
      <c r="BI73" s="9">
        <f t="shared" si="52"/>
        <v>37243.21</v>
      </c>
      <c r="BJ73" s="9">
        <f t="shared" si="53"/>
        <v>17567.55</v>
      </c>
      <c r="BK73" s="9">
        <f t="shared" si="54"/>
        <v>4372.37</v>
      </c>
      <c r="BL73" s="9">
        <f t="shared" si="55"/>
        <v>21705.68</v>
      </c>
      <c r="BM73" s="9">
        <f t="shared" si="56"/>
        <v>1093.0899999999999</v>
      </c>
      <c r="BN73" s="9">
        <f t="shared" si="57"/>
        <v>17177.16</v>
      </c>
      <c r="BO73" s="9">
        <f t="shared" si="58"/>
        <v>1483.48</v>
      </c>
      <c r="BP73" s="9">
        <f t="shared" si="59"/>
        <v>546.54999999999995</v>
      </c>
      <c r="BQ73" s="9">
        <f t="shared" si="60"/>
        <v>390.39</v>
      </c>
      <c r="BR73" s="9">
        <f t="shared" si="61"/>
        <v>4450.45</v>
      </c>
      <c r="BS73" s="9">
        <f t="shared" si="62"/>
        <v>1327.33</v>
      </c>
      <c r="BT73" s="9">
        <f t="shared" si="63"/>
        <v>546.54999999999995</v>
      </c>
      <c r="BU73" s="9">
        <f t="shared" si="64"/>
        <v>29669.64</v>
      </c>
      <c r="BV73" s="9">
        <f t="shared" si="65"/>
        <v>1249.25</v>
      </c>
      <c r="BW73" s="9">
        <f t="shared" si="66"/>
        <v>15459.44</v>
      </c>
      <c r="BX73" s="9">
        <f t="shared" si="67"/>
        <v>18816.8</v>
      </c>
      <c r="BY73" s="17">
        <f t="shared" si="68"/>
        <v>185513.34</v>
      </c>
      <c r="BZ73" s="17">
        <v>2.38</v>
      </c>
      <c r="CA73" s="17">
        <v>0.06</v>
      </c>
      <c r="CB73" s="17">
        <v>0.38</v>
      </c>
      <c r="CC73" s="27">
        <v>0.06</v>
      </c>
      <c r="CD73" s="29">
        <v>6.33</v>
      </c>
      <c r="CE73" s="9">
        <v>29705.9</v>
      </c>
      <c r="CF73" s="9"/>
      <c r="CG73" s="9">
        <v>918.82</v>
      </c>
      <c r="CH73" s="9">
        <v>718.22</v>
      </c>
      <c r="CI73" s="9">
        <f t="shared" si="69"/>
        <v>3.8</v>
      </c>
      <c r="CJ73" s="9">
        <f t="shared" si="70"/>
        <v>0</v>
      </c>
      <c r="CK73" s="13">
        <f t="shared" si="71"/>
        <v>0.12</v>
      </c>
      <c r="CL73" s="13">
        <f t="shared" si="72"/>
        <v>0.09</v>
      </c>
      <c r="CM73" s="13">
        <v>185182.85</v>
      </c>
      <c r="CN73" s="13">
        <v>17146.560000000001</v>
      </c>
      <c r="CO73" s="13">
        <v>0</v>
      </c>
      <c r="CP73" s="13">
        <v>701.48</v>
      </c>
      <c r="CQ73" s="13">
        <v>467.67</v>
      </c>
      <c r="CR73" s="13">
        <v>202129.57</v>
      </c>
      <c r="CS73" s="13">
        <v>24632.29</v>
      </c>
      <c r="CT73" s="13">
        <v>479.82</v>
      </c>
      <c r="CU73" s="13">
        <v>765.38</v>
      </c>
      <c r="CV73" s="13">
        <v>522.25</v>
      </c>
      <c r="CW73" s="202">
        <v>6802</v>
      </c>
      <c r="CX73" s="200">
        <v>3902</v>
      </c>
      <c r="CY73" s="202"/>
      <c r="CZ73" s="202"/>
      <c r="DA73" s="202"/>
      <c r="DB73" s="202"/>
      <c r="DC73" s="202"/>
      <c r="DD73" s="461"/>
      <c r="DE73" s="256"/>
      <c r="DF73" s="202"/>
      <c r="DG73" s="202"/>
      <c r="DH73" s="202"/>
      <c r="DI73" s="204">
        <v>1117</v>
      </c>
      <c r="DJ73" s="202">
        <v>17200</v>
      </c>
      <c r="DK73" s="202"/>
      <c r="DL73" s="202"/>
      <c r="DM73" s="202"/>
      <c r="DN73" s="202"/>
      <c r="DO73" s="202"/>
      <c r="DP73" s="202">
        <v>48515</v>
      </c>
      <c r="DQ73" s="202">
        <v>2550</v>
      </c>
      <c r="DR73" s="202">
        <v>1.5</v>
      </c>
      <c r="DS73" s="202"/>
      <c r="DT73" s="254"/>
      <c r="DU73" s="254"/>
      <c r="DV73" s="202"/>
      <c r="DW73" s="202">
        <v>36135</v>
      </c>
      <c r="DX73" s="202"/>
      <c r="DY73" s="107">
        <v>1365</v>
      </c>
      <c r="DZ73" s="107"/>
      <c r="EA73" s="202"/>
      <c r="EB73" s="202"/>
      <c r="EC73" s="202"/>
      <c r="ED73" s="202"/>
      <c r="EE73" s="202"/>
      <c r="EF73" s="229"/>
      <c r="EG73" s="202"/>
      <c r="EH73" s="202"/>
      <c r="EI73" s="202"/>
      <c r="EJ73" s="202"/>
      <c r="EK73" s="202">
        <v>17159.78</v>
      </c>
      <c r="EL73" s="202">
        <v>0</v>
      </c>
      <c r="EM73" s="202">
        <v>720.1</v>
      </c>
      <c r="EN73" s="202">
        <v>503.94</v>
      </c>
      <c r="EO73" s="202">
        <v>17159.78</v>
      </c>
      <c r="EP73" s="202"/>
      <c r="EQ73" s="202">
        <v>720.1</v>
      </c>
      <c r="ER73" s="202">
        <v>503.94</v>
      </c>
      <c r="ES73" s="202"/>
      <c r="ET73" s="202"/>
      <c r="EU73" s="202"/>
      <c r="EV73" s="214">
        <v>2.15</v>
      </c>
      <c r="EW73" s="240">
        <f t="shared" si="73"/>
        <v>17076.91</v>
      </c>
      <c r="EX73" s="209">
        <f t="shared" si="74"/>
        <v>11114.56</v>
      </c>
    </row>
    <row r="74" spans="1:154" ht="12.75" customHeight="1" x14ac:dyDescent="0.2">
      <c r="A74" s="45" t="s">
        <v>118</v>
      </c>
      <c r="B74" s="60" t="s">
        <v>97</v>
      </c>
      <c r="C74" s="61" t="s">
        <v>25</v>
      </c>
      <c r="D74" s="62" t="s">
        <v>418</v>
      </c>
      <c r="E74" s="61" t="s">
        <v>12</v>
      </c>
      <c r="F74" s="11">
        <v>9</v>
      </c>
      <c r="G74" s="11">
        <v>4</v>
      </c>
      <c r="H74" s="11">
        <v>144</v>
      </c>
      <c r="I74" s="11">
        <v>145</v>
      </c>
      <c r="J74" s="11">
        <v>337</v>
      </c>
      <c r="K74" s="11">
        <v>389</v>
      </c>
      <c r="L74" s="11">
        <v>4</v>
      </c>
      <c r="M74" s="84">
        <v>890</v>
      </c>
      <c r="N74" s="84">
        <v>1150</v>
      </c>
      <c r="O74" s="84">
        <v>0</v>
      </c>
      <c r="P74" s="135">
        <f>574.8+780.6</f>
        <v>1355.4</v>
      </c>
      <c r="Q74" s="135">
        <f>861</f>
        <v>861</v>
      </c>
      <c r="R74" s="133">
        <v>0</v>
      </c>
      <c r="S74" s="133">
        <f t="shared" si="75"/>
        <v>2216.4</v>
      </c>
      <c r="T74" s="134">
        <v>1355.4</v>
      </c>
      <c r="U74" s="130">
        <v>2.44</v>
      </c>
      <c r="V74" s="91">
        <v>1.9800000000000002E-2</v>
      </c>
      <c r="W74" s="91">
        <v>1.9800000000000002E-2</v>
      </c>
      <c r="X74" s="132">
        <v>1.32E-3</v>
      </c>
      <c r="Y74" s="91">
        <v>3.9699999999999999E-2</v>
      </c>
      <c r="Z74" s="29">
        <v>7561.51</v>
      </c>
      <c r="AA74" s="34"/>
      <c r="AB74" s="9">
        <f t="shared" si="32"/>
        <v>7561.51</v>
      </c>
      <c r="AC74" s="9">
        <f t="shared" si="39"/>
        <v>47864.36</v>
      </c>
      <c r="AD74" s="9">
        <v>2.1800000000000002</v>
      </c>
      <c r="AE74" s="9">
        <v>3.63</v>
      </c>
      <c r="AF74" s="21">
        <f>2.39-AJ74</f>
        <v>2.2400000000000002</v>
      </c>
      <c r="AG74" s="18">
        <f>0.65-AQ74</f>
        <v>0.6</v>
      </c>
      <c r="AH74" s="9">
        <v>2.78</v>
      </c>
      <c r="AI74" s="43">
        <v>1117</v>
      </c>
      <c r="AJ74" s="21">
        <f t="shared" si="48"/>
        <v>0.15</v>
      </c>
      <c r="AK74" s="9">
        <v>2.29</v>
      </c>
      <c r="AL74" s="9">
        <v>0.62</v>
      </c>
      <c r="AM74" s="9">
        <v>0.13</v>
      </c>
      <c r="AN74" s="13"/>
      <c r="AO74" s="13">
        <v>844.8</v>
      </c>
      <c r="AP74" s="13">
        <f t="shared" si="77"/>
        <v>5.58</v>
      </c>
      <c r="AQ74" s="18">
        <f t="shared" si="49"/>
        <v>0.05</v>
      </c>
      <c r="AR74" s="9">
        <v>0.59</v>
      </c>
      <c r="AS74" s="9">
        <v>0.18</v>
      </c>
      <c r="AT74" s="9">
        <v>7.0000000000000007E-2</v>
      </c>
      <c r="AU74" s="9">
        <v>4.3499999999999996</v>
      </c>
      <c r="AV74" s="9">
        <v>0.17</v>
      </c>
      <c r="AW74" s="9">
        <f>0.27+0.38+1.36</f>
        <v>2.0099999999999998</v>
      </c>
      <c r="AX74" s="9">
        <f>1.97+0.51</f>
        <v>2.48</v>
      </c>
      <c r="AY74" s="63">
        <f t="shared" si="78"/>
        <v>24.52</v>
      </c>
      <c r="AZ74" s="64">
        <v>7526.3</v>
      </c>
      <c r="BA74" s="64">
        <v>0</v>
      </c>
      <c r="BB74" s="64">
        <f t="shared" si="30"/>
        <v>7526.3</v>
      </c>
      <c r="BC74" s="64">
        <v>24.52</v>
      </c>
      <c r="BD74" s="13">
        <f t="shared" si="76"/>
        <v>0</v>
      </c>
      <c r="BE74" s="9">
        <f t="shared" si="50"/>
        <v>185408.23</v>
      </c>
      <c r="BF74" s="9">
        <v>24.52</v>
      </c>
      <c r="BG74" s="10">
        <v>44409</v>
      </c>
      <c r="BH74" s="9">
        <f t="shared" si="51"/>
        <v>16484.09</v>
      </c>
      <c r="BI74" s="9">
        <f t="shared" si="52"/>
        <v>27448.28</v>
      </c>
      <c r="BJ74" s="9">
        <f t="shared" si="53"/>
        <v>16937.78</v>
      </c>
      <c r="BK74" s="9">
        <f t="shared" si="54"/>
        <v>4536.91</v>
      </c>
      <c r="BL74" s="9">
        <f t="shared" si="55"/>
        <v>21021</v>
      </c>
      <c r="BM74" s="9">
        <f t="shared" si="56"/>
        <v>1134.23</v>
      </c>
      <c r="BN74" s="9">
        <f t="shared" si="57"/>
        <v>17315.86</v>
      </c>
      <c r="BO74" s="9">
        <f t="shared" si="58"/>
        <v>4688.1400000000003</v>
      </c>
      <c r="BP74" s="9">
        <f t="shared" si="59"/>
        <v>983</v>
      </c>
      <c r="BQ74" s="9">
        <f t="shared" si="60"/>
        <v>378.08</v>
      </c>
      <c r="BR74" s="9">
        <f t="shared" si="61"/>
        <v>4461.29</v>
      </c>
      <c r="BS74" s="9">
        <f t="shared" si="62"/>
        <v>1361.07</v>
      </c>
      <c r="BT74" s="9">
        <f t="shared" si="63"/>
        <v>529.30999999999995</v>
      </c>
      <c r="BU74" s="9">
        <f t="shared" si="64"/>
        <v>32892.57</v>
      </c>
      <c r="BV74" s="9">
        <f t="shared" si="65"/>
        <v>1285.46</v>
      </c>
      <c r="BW74" s="9">
        <f t="shared" si="66"/>
        <v>15198.64</v>
      </c>
      <c r="BX74" s="9">
        <f t="shared" si="67"/>
        <v>18752.54</v>
      </c>
      <c r="BY74" s="17">
        <f t="shared" si="68"/>
        <v>185408.25</v>
      </c>
      <c r="BZ74" s="17">
        <v>2.75</v>
      </c>
      <c r="CA74" s="17">
        <v>0.1</v>
      </c>
      <c r="CB74" s="17">
        <v>0.61</v>
      </c>
      <c r="CC74" s="27">
        <v>0.1</v>
      </c>
      <c r="CD74" s="29">
        <v>6.33</v>
      </c>
      <c r="CE74" s="9">
        <v>60224.639999999999</v>
      </c>
      <c r="CF74" s="9"/>
      <c r="CG74" s="9">
        <v>7728.86</v>
      </c>
      <c r="CH74" s="9">
        <v>4426.0200000000004</v>
      </c>
      <c r="CI74" s="9">
        <f t="shared" si="69"/>
        <v>7.96</v>
      </c>
      <c r="CJ74" s="9">
        <f t="shared" si="70"/>
        <v>0</v>
      </c>
      <c r="CK74" s="13">
        <f t="shared" si="71"/>
        <v>1.02</v>
      </c>
      <c r="CL74" s="13">
        <f t="shared" si="72"/>
        <v>0.59</v>
      </c>
      <c r="CM74" s="13">
        <v>185408.26</v>
      </c>
      <c r="CN74" s="13">
        <v>52174.42</v>
      </c>
      <c r="CO74" s="13">
        <v>0</v>
      </c>
      <c r="CP74" s="13">
        <v>4310.13</v>
      </c>
      <c r="CQ74" s="13">
        <v>2646.91</v>
      </c>
      <c r="CR74" s="13">
        <v>184935.49</v>
      </c>
      <c r="CS74" s="13">
        <v>46115.23</v>
      </c>
      <c r="CT74" s="13">
        <v>561.54999999999995</v>
      </c>
      <c r="CU74" s="13">
        <v>5046.1899999999996</v>
      </c>
      <c r="CV74" s="13">
        <v>3048.27</v>
      </c>
      <c r="CW74" s="202">
        <v>6581</v>
      </c>
      <c r="CX74" s="200">
        <v>3776</v>
      </c>
      <c r="CY74" s="202"/>
      <c r="CZ74" s="202"/>
      <c r="DA74" s="202"/>
      <c r="DB74" s="202"/>
      <c r="DC74" s="202"/>
      <c r="DD74" s="461"/>
      <c r="DE74" s="256"/>
      <c r="DF74" s="202"/>
      <c r="DG74" s="202"/>
      <c r="DH74" s="202"/>
      <c r="DI74" s="204">
        <v>1117</v>
      </c>
      <c r="DJ74" s="202">
        <v>17200</v>
      </c>
      <c r="DK74" s="202"/>
      <c r="DL74" s="202"/>
      <c r="DM74" s="202"/>
      <c r="DN74" s="202"/>
      <c r="DO74" s="202"/>
      <c r="DP74" s="202">
        <v>42724</v>
      </c>
      <c r="DQ74" s="202">
        <v>3400</v>
      </c>
      <c r="DR74" s="202">
        <v>2</v>
      </c>
      <c r="DS74" s="202"/>
      <c r="DT74" s="254"/>
      <c r="DU74" s="254"/>
      <c r="DV74" s="202"/>
      <c r="DW74" s="202">
        <v>35043</v>
      </c>
      <c r="DX74" s="202"/>
      <c r="DY74" s="107"/>
      <c r="DZ74" s="107">
        <v>942</v>
      </c>
      <c r="EA74" s="202"/>
      <c r="EB74" s="202"/>
      <c r="EC74" s="202"/>
      <c r="ED74" s="202"/>
      <c r="EE74" s="202"/>
      <c r="EF74" s="229"/>
      <c r="EG74" s="202"/>
      <c r="EH74" s="202"/>
      <c r="EI74" s="202"/>
      <c r="EJ74" s="202"/>
      <c r="EK74" s="202">
        <v>35688.480000000003</v>
      </c>
      <c r="EL74" s="202">
        <v>0</v>
      </c>
      <c r="EM74" s="202">
        <v>4296.82</v>
      </c>
      <c r="EN74" s="202">
        <v>2629.22</v>
      </c>
      <c r="EO74" s="202">
        <v>35688.480000000003</v>
      </c>
      <c r="EP74" s="202"/>
      <c r="EQ74" s="202">
        <v>4296.82</v>
      </c>
      <c r="ER74" s="202">
        <v>2629.22</v>
      </c>
      <c r="ES74" s="202"/>
      <c r="ET74" s="202"/>
      <c r="EU74" s="202"/>
      <c r="EV74" s="214">
        <v>96.18</v>
      </c>
      <c r="EW74" s="240">
        <f t="shared" si="73"/>
        <v>16538.23</v>
      </c>
      <c r="EX74" s="209">
        <f t="shared" si="74"/>
        <v>10763.96</v>
      </c>
    </row>
    <row r="75" spans="1:154" ht="12.75" customHeight="1" x14ac:dyDescent="0.2">
      <c r="A75" s="45" t="s">
        <v>120</v>
      </c>
      <c r="B75" s="60" t="s">
        <v>97</v>
      </c>
      <c r="C75" s="61" t="s">
        <v>64</v>
      </c>
      <c r="D75" s="62" t="s">
        <v>419</v>
      </c>
      <c r="E75" s="61" t="s">
        <v>12</v>
      </c>
      <c r="F75" s="11">
        <v>10</v>
      </c>
      <c r="G75" s="11">
        <v>7</v>
      </c>
      <c r="H75" s="11">
        <v>280</v>
      </c>
      <c r="I75" s="11">
        <v>281</v>
      </c>
      <c r="J75" s="11">
        <v>587</v>
      </c>
      <c r="K75" s="11">
        <v>740</v>
      </c>
      <c r="L75" s="83">
        <v>7</v>
      </c>
      <c r="M75" s="84">
        <v>832.2</v>
      </c>
      <c r="N75" s="84">
        <v>2032.2</v>
      </c>
      <c r="O75" s="84">
        <v>2032.2</v>
      </c>
      <c r="P75" s="138">
        <v>832.2</v>
      </c>
      <c r="Q75" s="138">
        <v>2032.2</v>
      </c>
      <c r="R75" s="138">
        <v>2032.2</v>
      </c>
      <c r="S75" s="133">
        <f t="shared" si="75"/>
        <v>4896.6000000000004</v>
      </c>
      <c r="T75" s="138">
        <v>1805.3</v>
      </c>
      <c r="U75" s="130">
        <v>2.74</v>
      </c>
      <c r="V75" s="131">
        <v>1.1299999999999999E-2</v>
      </c>
      <c r="W75" s="131">
        <v>1.1299999999999999E-2</v>
      </c>
      <c r="X75" s="132">
        <v>7.5000000000000002E-4</v>
      </c>
      <c r="Y75" s="131">
        <v>2.2499999999999999E-2</v>
      </c>
      <c r="Z75" s="29">
        <v>15209.7</v>
      </c>
      <c r="AA75" s="34">
        <v>44.5</v>
      </c>
      <c r="AB75" s="9">
        <f t="shared" si="32"/>
        <v>15254.2</v>
      </c>
      <c r="AC75" s="9">
        <f t="shared" si="39"/>
        <v>96559.09</v>
      </c>
      <c r="AD75" s="9">
        <v>1.63</v>
      </c>
      <c r="AE75" s="9">
        <v>4.6100000000000003</v>
      </c>
      <c r="AF75" s="21">
        <f>2.49-AJ75</f>
        <v>2.36</v>
      </c>
      <c r="AG75" s="18">
        <f>0.62-AQ75</f>
        <v>0.56999999999999995</v>
      </c>
      <c r="AH75" s="9">
        <v>2.4700000000000002</v>
      </c>
      <c r="AI75" s="43">
        <v>1990</v>
      </c>
      <c r="AJ75" s="21">
        <f t="shared" si="48"/>
        <v>0.13</v>
      </c>
      <c r="AK75" s="9">
        <v>1.97</v>
      </c>
      <c r="AL75" s="9">
        <v>0.17</v>
      </c>
      <c r="AM75" s="9">
        <v>0.06</v>
      </c>
      <c r="AN75" s="13"/>
      <c r="AO75" s="13">
        <v>1719.2</v>
      </c>
      <c r="AP75" s="13">
        <f t="shared" si="77"/>
        <v>5.58</v>
      </c>
      <c r="AQ75" s="18">
        <f t="shared" si="49"/>
        <v>0.05</v>
      </c>
      <c r="AR75" s="9">
        <v>0.55000000000000004</v>
      </c>
      <c r="AS75" s="9">
        <v>0.09</v>
      </c>
      <c r="AT75" s="9">
        <v>7.0000000000000007E-2</v>
      </c>
      <c r="AU75" s="9">
        <v>3.8</v>
      </c>
      <c r="AV75" s="9">
        <v>0.16</v>
      </c>
      <c r="AW75" s="9">
        <f>0.26+0.34+1.32</f>
        <v>1.92</v>
      </c>
      <c r="AX75" s="9">
        <f>1.85+0.46</f>
        <v>2.31</v>
      </c>
      <c r="AY75" s="63">
        <f t="shared" si="78"/>
        <v>22.92</v>
      </c>
      <c r="AZ75" s="64">
        <v>15211.7</v>
      </c>
      <c r="BA75" s="64">
        <v>43.4</v>
      </c>
      <c r="BB75" s="64">
        <f t="shared" si="30"/>
        <v>15255.1</v>
      </c>
      <c r="BC75" s="64">
        <v>22.92</v>
      </c>
      <c r="BD75" s="13">
        <f t="shared" si="76"/>
        <v>0</v>
      </c>
      <c r="BE75" s="9">
        <f t="shared" si="50"/>
        <v>349626.26</v>
      </c>
      <c r="BF75" s="9">
        <v>22.92</v>
      </c>
      <c r="BG75" s="10">
        <v>44409</v>
      </c>
      <c r="BH75" s="9">
        <f t="shared" si="51"/>
        <v>24864.35</v>
      </c>
      <c r="BI75" s="9">
        <f t="shared" si="52"/>
        <v>70321.86</v>
      </c>
      <c r="BJ75" s="9">
        <f t="shared" si="53"/>
        <v>35999.910000000003</v>
      </c>
      <c r="BK75" s="9">
        <f t="shared" si="54"/>
        <v>8694.89</v>
      </c>
      <c r="BL75" s="9">
        <f t="shared" si="55"/>
        <v>37677.870000000003</v>
      </c>
      <c r="BM75" s="9">
        <f t="shared" si="56"/>
        <v>1983.05</v>
      </c>
      <c r="BN75" s="9">
        <f t="shared" si="57"/>
        <v>30050.77</v>
      </c>
      <c r="BO75" s="9">
        <f t="shared" si="58"/>
        <v>2593.21</v>
      </c>
      <c r="BP75" s="9">
        <f t="shared" si="59"/>
        <v>915.25</v>
      </c>
      <c r="BQ75" s="9">
        <f t="shared" si="60"/>
        <v>762.71</v>
      </c>
      <c r="BR75" s="9">
        <f t="shared" si="61"/>
        <v>8389.81</v>
      </c>
      <c r="BS75" s="9">
        <f t="shared" si="62"/>
        <v>1372.88</v>
      </c>
      <c r="BT75" s="9">
        <f t="shared" si="63"/>
        <v>1067.79</v>
      </c>
      <c r="BU75" s="9">
        <f t="shared" si="64"/>
        <v>57965.96</v>
      </c>
      <c r="BV75" s="9">
        <f t="shared" si="65"/>
        <v>2440.67</v>
      </c>
      <c r="BW75" s="9">
        <f t="shared" si="66"/>
        <v>29288.06</v>
      </c>
      <c r="BX75" s="9">
        <f t="shared" si="67"/>
        <v>35237.199999999997</v>
      </c>
      <c r="BY75" s="17">
        <f t="shared" si="68"/>
        <v>349626.24</v>
      </c>
      <c r="BZ75" s="17">
        <v>3.88</v>
      </c>
      <c r="CA75" s="17">
        <v>0.04</v>
      </c>
      <c r="CB75" s="17">
        <v>0.23</v>
      </c>
      <c r="CC75" s="27">
        <v>0.04</v>
      </c>
      <c r="CD75" s="29">
        <v>6.33</v>
      </c>
      <c r="CE75" s="9">
        <v>55745.65</v>
      </c>
      <c r="CF75" s="9"/>
      <c r="CG75" s="9">
        <v>826.93</v>
      </c>
      <c r="CH75" s="9">
        <v>574.67999999999995</v>
      </c>
      <c r="CI75" s="9">
        <f t="shared" si="69"/>
        <v>3.65</v>
      </c>
      <c r="CJ75" s="9">
        <f t="shared" si="70"/>
        <v>0</v>
      </c>
      <c r="CK75" s="13">
        <f t="shared" si="71"/>
        <v>0.05</v>
      </c>
      <c r="CL75" s="13">
        <f t="shared" si="72"/>
        <v>0.04</v>
      </c>
      <c r="CM75" s="13">
        <v>348606.19</v>
      </c>
      <c r="CN75" s="13">
        <v>59013.77</v>
      </c>
      <c r="CO75" s="13">
        <v>0</v>
      </c>
      <c r="CP75" s="13">
        <v>761.14</v>
      </c>
      <c r="CQ75" s="13">
        <v>608.35</v>
      </c>
      <c r="CR75" s="13">
        <v>366460.75</v>
      </c>
      <c r="CS75" s="13">
        <v>46051.88</v>
      </c>
      <c r="CT75" s="13">
        <v>533.66</v>
      </c>
      <c r="CU75" s="13">
        <v>793.93</v>
      </c>
      <c r="CV75" s="13">
        <v>641.86</v>
      </c>
      <c r="CW75" s="202">
        <v>13289</v>
      </c>
      <c r="CX75" s="200">
        <v>7624</v>
      </c>
      <c r="CY75" s="202"/>
      <c r="CZ75" s="202"/>
      <c r="DA75" s="202"/>
      <c r="DB75" s="202"/>
      <c r="DC75" s="202"/>
      <c r="DD75" s="461"/>
      <c r="DE75" s="256"/>
      <c r="DF75" s="202"/>
      <c r="DG75" s="202"/>
      <c r="DH75" s="202"/>
      <c r="DI75" s="204">
        <v>1990</v>
      </c>
      <c r="DJ75" s="202">
        <v>30100</v>
      </c>
      <c r="DK75" s="202"/>
      <c r="DL75" s="202"/>
      <c r="DM75" s="202"/>
      <c r="DN75" s="202"/>
      <c r="DO75" s="202"/>
      <c r="DP75" s="202">
        <v>93103</v>
      </c>
      <c r="DQ75" s="202">
        <v>3400</v>
      </c>
      <c r="DR75" s="202">
        <v>2</v>
      </c>
      <c r="DS75" s="202"/>
      <c r="DT75" s="254"/>
      <c r="DU75" s="254"/>
      <c r="DV75" s="202"/>
      <c r="DW75" s="202">
        <v>68343</v>
      </c>
      <c r="DX75" s="202"/>
      <c r="DY75" s="107">
        <v>1365</v>
      </c>
      <c r="DZ75" s="107"/>
      <c r="EA75" s="202">
        <f>64673.05+42132.91</f>
        <v>106805.96</v>
      </c>
      <c r="EB75" s="202"/>
      <c r="EC75" s="202"/>
      <c r="ED75" s="202"/>
      <c r="EE75" s="202"/>
      <c r="EF75" s="229"/>
      <c r="EG75" s="202"/>
      <c r="EH75" s="202"/>
      <c r="EI75" s="202"/>
      <c r="EJ75" s="202"/>
      <c r="EK75" s="202">
        <v>27070.48</v>
      </c>
      <c r="EL75" s="202">
        <v>0</v>
      </c>
      <c r="EM75" s="202">
        <v>826.93</v>
      </c>
      <c r="EN75" s="202">
        <v>574.67999999999995</v>
      </c>
      <c r="EO75" s="202">
        <v>27070.48</v>
      </c>
      <c r="EP75" s="202"/>
      <c r="EQ75" s="202">
        <v>826.93</v>
      </c>
      <c r="ER75" s="202">
        <v>574.67999999999995</v>
      </c>
      <c r="ES75" s="202"/>
      <c r="ET75" s="202"/>
      <c r="EU75" s="202"/>
      <c r="EV75" s="214">
        <v>2.15</v>
      </c>
      <c r="EW75" s="240">
        <f t="shared" si="73"/>
        <v>33363.379999999997</v>
      </c>
      <c r="EX75" s="209">
        <f t="shared" si="74"/>
        <v>21714.66</v>
      </c>
    </row>
    <row r="76" spans="1:154" ht="12.75" customHeight="1" x14ac:dyDescent="0.2">
      <c r="A76" s="45" t="s">
        <v>121</v>
      </c>
      <c r="B76" s="60" t="s">
        <v>97</v>
      </c>
      <c r="C76" s="61" t="s">
        <v>64</v>
      </c>
      <c r="D76" s="62" t="s">
        <v>554</v>
      </c>
      <c r="E76" s="61" t="s">
        <v>9</v>
      </c>
      <c r="F76" s="11">
        <v>10</v>
      </c>
      <c r="G76" s="11">
        <v>4</v>
      </c>
      <c r="H76" s="11">
        <v>157</v>
      </c>
      <c r="I76" s="11">
        <v>157</v>
      </c>
      <c r="J76" s="11">
        <v>329</v>
      </c>
      <c r="K76" s="11">
        <v>435</v>
      </c>
      <c r="L76" s="83">
        <v>4</v>
      </c>
      <c r="M76" s="84">
        <v>937</v>
      </c>
      <c r="N76" s="84">
        <v>1164</v>
      </c>
      <c r="O76" s="84">
        <v>1164</v>
      </c>
      <c r="P76" s="138">
        <v>937</v>
      </c>
      <c r="Q76" s="138">
        <v>1164</v>
      </c>
      <c r="R76" s="138">
        <v>1164</v>
      </c>
      <c r="S76" s="133">
        <f t="shared" si="75"/>
        <v>3265</v>
      </c>
      <c r="T76" s="138">
        <v>937</v>
      </c>
      <c r="U76" s="130">
        <v>2.74</v>
      </c>
      <c r="V76" s="131">
        <v>1.1299999999999999E-2</v>
      </c>
      <c r="W76" s="131">
        <v>1.1299999999999999E-2</v>
      </c>
      <c r="X76" s="132">
        <v>7.5000000000000002E-4</v>
      </c>
      <c r="Y76" s="131">
        <v>2.2499999999999999E-2</v>
      </c>
      <c r="Z76" s="29">
        <v>8488.3700000000008</v>
      </c>
      <c r="AA76" s="34">
        <v>154.1</v>
      </c>
      <c r="AB76" s="9">
        <f t="shared" si="32"/>
        <v>8642.4699999999993</v>
      </c>
      <c r="AC76" s="9">
        <f t="shared" si="39"/>
        <v>54706.84</v>
      </c>
      <c r="AD76" s="9">
        <v>1.52</v>
      </c>
      <c r="AE76" s="9">
        <v>4.2300000000000004</v>
      </c>
      <c r="AF76" s="21">
        <f>2.48-AJ76</f>
        <v>2.35</v>
      </c>
      <c r="AG76" s="18">
        <f>0.62-AQ76</f>
        <v>0.56999999999999995</v>
      </c>
      <c r="AH76" s="9">
        <v>2.4700000000000002</v>
      </c>
      <c r="AI76" s="43">
        <v>1117</v>
      </c>
      <c r="AJ76" s="21">
        <f t="shared" si="48"/>
        <v>0.13</v>
      </c>
      <c r="AK76" s="9">
        <v>1.99</v>
      </c>
      <c r="AL76" s="9">
        <v>0.17</v>
      </c>
      <c r="AM76" s="9">
        <v>7.0000000000000007E-2</v>
      </c>
      <c r="AN76" s="13"/>
      <c r="AO76" s="13">
        <v>982.4</v>
      </c>
      <c r="AP76" s="13">
        <f t="shared" si="77"/>
        <v>5.58</v>
      </c>
      <c r="AQ76" s="18">
        <f t="shared" si="49"/>
        <v>0.05</v>
      </c>
      <c r="AR76" s="9">
        <v>0.55000000000000004</v>
      </c>
      <c r="AS76" s="9">
        <v>0.16</v>
      </c>
      <c r="AT76" s="9">
        <v>7.0000000000000007E-2</v>
      </c>
      <c r="AU76" s="9">
        <v>4.38</v>
      </c>
      <c r="AV76" s="9">
        <v>0.15</v>
      </c>
      <c r="AW76" s="9">
        <f>1.29+0.26+0.41</f>
        <v>1.96</v>
      </c>
      <c r="AX76" s="9">
        <f>1.8+1</f>
        <v>2.8</v>
      </c>
      <c r="AY76" s="63">
        <f t="shared" si="78"/>
        <v>23.62</v>
      </c>
      <c r="AZ76" s="64">
        <v>8468.9</v>
      </c>
      <c r="BA76" s="64">
        <v>183.8</v>
      </c>
      <c r="BB76" s="64">
        <f t="shared" si="30"/>
        <v>8652.7000000000007</v>
      </c>
      <c r="BC76" s="64">
        <v>23.62</v>
      </c>
      <c r="BD76" s="13">
        <f t="shared" si="76"/>
        <v>0</v>
      </c>
      <c r="BE76" s="9">
        <f t="shared" si="50"/>
        <v>204135.14</v>
      </c>
      <c r="BF76" s="9">
        <v>23.62</v>
      </c>
      <c r="BG76" s="10">
        <v>44409</v>
      </c>
      <c r="BH76" s="9">
        <f t="shared" si="51"/>
        <v>13136.55</v>
      </c>
      <c r="BI76" s="9">
        <f t="shared" si="52"/>
        <v>36557.65</v>
      </c>
      <c r="BJ76" s="9">
        <f t="shared" si="53"/>
        <v>20309.8</v>
      </c>
      <c r="BK76" s="9">
        <f t="shared" si="54"/>
        <v>4926.21</v>
      </c>
      <c r="BL76" s="9">
        <f t="shared" si="55"/>
        <v>21346.9</v>
      </c>
      <c r="BM76" s="9">
        <f t="shared" si="56"/>
        <v>1123.52</v>
      </c>
      <c r="BN76" s="9">
        <f t="shared" si="57"/>
        <v>17198.52</v>
      </c>
      <c r="BO76" s="9">
        <f t="shared" si="58"/>
        <v>1469.22</v>
      </c>
      <c r="BP76" s="9">
        <f t="shared" si="59"/>
        <v>604.97</v>
      </c>
      <c r="BQ76" s="9">
        <f t="shared" si="60"/>
        <v>432.12</v>
      </c>
      <c r="BR76" s="9">
        <f t="shared" si="61"/>
        <v>4753.3599999999997</v>
      </c>
      <c r="BS76" s="9">
        <f t="shared" si="62"/>
        <v>1382.8</v>
      </c>
      <c r="BT76" s="9">
        <f t="shared" si="63"/>
        <v>604.97</v>
      </c>
      <c r="BU76" s="9">
        <f t="shared" si="64"/>
        <v>37854.019999999997</v>
      </c>
      <c r="BV76" s="9">
        <f t="shared" si="65"/>
        <v>1296.3699999999999</v>
      </c>
      <c r="BW76" s="9">
        <f t="shared" si="66"/>
        <v>16939.240000000002</v>
      </c>
      <c r="BX76" s="9">
        <f t="shared" si="67"/>
        <v>24198.92</v>
      </c>
      <c r="BY76" s="17">
        <f t="shared" si="68"/>
        <v>204135.14</v>
      </c>
      <c r="BZ76" s="17">
        <v>3.82</v>
      </c>
      <c r="CA76" s="17">
        <v>0.03</v>
      </c>
      <c r="CB76" s="17">
        <v>0.2</v>
      </c>
      <c r="CC76" s="27">
        <v>0.03</v>
      </c>
      <c r="CD76" s="29">
        <v>6.33</v>
      </c>
      <c r="CE76" s="9">
        <v>37727.53</v>
      </c>
      <c r="CF76" s="9"/>
      <c r="CG76" s="9">
        <v>17997.98</v>
      </c>
      <c r="CH76" s="9">
        <v>9572.3700000000008</v>
      </c>
      <c r="CI76" s="9">
        <f t="shared" si="69"/>
        <v>4.37</v>
      </c>
      <c r="CJ76" s="9">
        <f t="shared" si="70"/>
        <v>0</v>
      </c>
      <c r="CK76" s="13">
        <f t="shared" si="71"/>
        <v>2.08</v>
      </c>
      <c r="CL76" s="13">
        <f t="shared" si="72"/>
        <v>1.1100000000000001</v>
      </c>
      <c r="CM76" s="13">
        <v>200490.4</v>
      </c>
      <c r="CN76" s="13">
        <v>9845.5499999999993</v>
      </c>
      <c r="CO76" s="13">
        <v>-0.04</v>
      </c>
      <c r="CP76" s="13">
        <v>2376.62</v>
      </c>
      <c r="CQ76" s="13">
        <v>1443.12</v>
      </c>
      <c r="CR76" s="13">
        <v>221850.03</v>
      </c>
      <c r="CS76" s="13">
        <v>18239.240000000002</v>
      </c>
      <c r="CT76" s="13">
        <v>255.41</v>
      </c>
      <c r="CU76" s="13">
        <v>2699.14</v>
      </c>
      <c r="CV76" s="13">
        <v>1599.95</v>
      </c>
      <c r="CW76" s="202">
        <v>7529</v>
      </c>
      <c r="CX76" s="200">
        <v>4319</v>
      </c>
      <c r="CY76" s="202"/>
      <c r="CZ76" s="202"/>
      <c r="DA76" s="202"/>
      <c r="DB76" s="202"/>
      <c r="DC76" s="202"/>
      <c r="DD76" s="461"/>
      <c r="DE76" s="256"/>
      <c r="DF76" s="202"/>
      <c r="DG76" s="202"/>
      <c r="DH76" s="202"/>
      <c r="DI76" s="204">
        <v>1117</v>
      </c>
      <c r="DJ76" s="202">
        <v>17200</v>
      </c>
      <c r="DK76" s="202"/>
      <c r="DL76" s="202"/>
      <c r="DM76" s="202"/>
      <c r="DN76" s="202"/>
      <c r="DO76" s="202"/>
      <c r="DP76" s="202">
        <v>48740</v>
      </c>
      <c r="DQ76" s="202">
        <v>2822</v>
      </c>
      <c r="DR76" s="202">
        <v>1.66</v>
      </c>
      <c r="DS76" s="202"/>
      <c r="DT76" s="254"/>
      <c r="DU76" s="254"/>
      <c r="DV76" s="202"/>
      <c r="DW76" s="202">
        <v>38633</v>
      </c>
      <c r="DX76" s="202"/>
      <c r="DY76" s="107">
        <v>1365</v>
      </c>
      <c r="DZ76" s="107">
        <v>577</v>
      </c>
      <c r="EA76" s="202"/>
      <c r="EB76" s="202"/>
      <c r="EC76" s="202"/>
      <c r="ED76" s="202"/>
      <c r="EE76" s="202"/>
      <c r="EF76" s="229"/>
      <c r="EG76" s="202"/>
      <c r="EH76" s="202"/>
      <c r="EI76" s="202"/>
      <c r="EJ76" s="202"/>
      <c r="EK76" s="202">
        <v>10055.09</v>
      </c>
      <c r="EL76" s="202">
        <v>0</v>
      </c>
      <c r="EM76" s="202">
        <v>2432.16</v>
      </c>
      <c r="EN76" s="202">
        <v>1437.27</v>
      </c>
      <c r="EO76" s="202">
        <v>10055.09</v>
      </c>
      <c r="EP76" s="202"/>
      <c r="EQ76" s="202">
        <v>2432.16</v>
      </c>
      <c r="ER76" s="202">
        <v>1437.27</v>
      </c>
      <c r="ES76" s="202"/>
      <c r="ET76" s="202"/>
      <c r="EU76" s="202"/>
      <c r="EV76" s="214">
        <v>-8.35</v>
      </c>
      <c r="EW76" s="240">
        <f t="shared" si="73"/>
        <v>18902.46</v>
      </c>
      <c r="EX76" s="209">
        <f t="shared" si="74"/>
        <v>12302.73</v>
      </c>
    </row>
    <row r="77" spans="1:154" ht="12.75" customHeight="1" x14ac:dyDescent="0.2">
      <c r="A77" s="45" t="s">
        <v>123</v>
      </c>
      <c r="B77" s="60" t="s">
        <v>97</v>
      </c>
      <c r="C77" s="61" t="s">
        <v>27</v>
      </c>
      <c r="D77" s="60" t="s">
        <v>627</v>
      </c>
      <c r="E77" s="61"/>
      <c r="F77" s="11">
        <v>9</v>
      </c>
      <c r="G77" s="11">
        <v>4</v>
      </c>
      <c r="H77" s="11">
        <v>144</v>
      </c>
      <c r="I77" s="11">
        <v>145</v>
      </c>
      <c r="J77" s="11">
        <v>275</v>
      </c>
      <c r="K77" s="11">
        <v>328</v>
      </c>
      <c r="L77" s="83">
        <v>4</v>
      </c>
      <c r="M77" s="84">
        <v>890</v>
      </c>
      <c r="N77" s="84">
        <v>1150</v>
      </c>
      <c r="O77" s="84">
        <v>0</v>
      </c>
      <c r="P77" s="135">
        <f>484.2+424.5+186.8</f>
        <v>1095.5</v>
      </c>
      <c r="Q77" s="135">
        <v>861.6</v>
      </c>
      <c r="R77" s="133">
        <v>0</v>
      </c>
      <c r="S77" s="133">
        <f t="shared" si="75"/>
        <v>1957.1</v>
      </c>
      <c r="T77" s="134">
        <v>1095.5</v>
      </c>
      <c r="U77" s="130">
        <v>2.44</v>
      </c>
      <c r="V77" s="91">
        <v>1.9800000000000002E-2</v>
      </c>
      <c r="W77" s="91">
        <v>1.9800000000000002E-2</v>
      </c>
      <c r="X77" s="132">
        <v>1.32E-3</v>
      </c>
      <c r="Y77" s="91">
        <v>3.9699999999999999E-2</v>
      </c>
      <c r="Z77" s="29">
        <v>7732.74</v>
      </c>
      <c r="AA77" s="29">
        <v>14.6</v>
      </c>
      <c r="AB77" s="13">
        <f t="shared" si="32"/>
        <v>7747.34</v>
      </c>
      <c r="AC77" s="9">
        <f t="shared" si="39"/>
        <v>49040.66</v>
      </c>
      <c r="AD77" s="9">
        <v>1.62</v>
      </c>
      <c r="AE77" s="9">
        <v>4.2300000000000004</v>
      </c>
      <c r="AF77" s="21">
        <f>2.38-AJ77</f>
        <v>2.2400000000000002</v>
      </c>
      <c r="AG77" s="18">
        <f>0.61-AQ77</f>
        <v>0.56000000000000005</v>
      </c>
      <c r="AH77" s="9">
        <v>2.78</v>
      </c>
      <c r="AI77" s="43">
        <v>1117</v>
      </c>
      <c r="AJ77" s="21">
        <f t="shared" si="48"/>
        <v>0.14000000000000001</v>
      </c>
      <c r="AK77" s="9">
        <v>2.23</v>
      </c>
      <c r="AL77" s="9">
        <v>0.19</v>
      </c>
      <c r="AM77" s="9">
        <v>0.12</v>
      </c>
      <c r="AN77" s="13"/>
      <c r="AO77" s="13">
        <v>844.8</v>
      </c>
      <c r="AP77" s="13">
        <f t="shared" si="77"/>
        <v>5.58</v>
      </c>
      <c r="AQ77" s="18">
        <f t="shared" si="49"/>
        <v>0.05</v>
      </c>
      <c r="AR77" s="9">
        <v>0.56999999999999995</v>
      </c>
      <c r="AS77" s="9">
        <v>0.18</v>
      </c>
      <c r="AT77" s="9">
        <v>7.0000000000000007E-2</v>
      </c>
      <c r="AU77" s="9">
        <v>4.33</v>
      </c>
      <c r="AV77" s="9">
        <v>0.15</v>
      </c>
      <c r="AW77" s="9">
        <f>0.26+0.38+1.35</f>
        <v>1.99</v>
      </c>
      <c r="AX77" s="9">
        <f>1.89+0.51</f>
        <v>2.4</v>
      </c>
      <c r="AY77" s="63">
        <f t="shared" si="78"/>
        <v>23.85</v>
      </c>
      <c r="AZ77" s="64"/>
      <c r="BA77" s="64"/>
      <c r="BB77" s="64"/>
      <c r="BC77" s="64">
        <v>23.85</v>
      </c>
      <c r="BD77" s="13">
        <f t="shared" si="76"/>
        <v>0</v>
      </c>
      <c r="BE77" s="9">
        <f t="shared" si="50"/>
        <v>184774.06</v>
      </c>
      <c r="BF77" s="9">
        <v>23.85</v>
      </c>
      <c r="BG77" s="10">
        <v>44440</v>
      </c>
      <c r="BH77" s="9">
        <f t="shared" si="51"/>
        <v>12550.69</v>
      </c>
      <c r="BI77" s="9">
        <f t="shared" si="52"/>
        <v>32771.25</v>
      </c>
      <c r="BJ77" s="9">
        <f t="shared" si="53"/>
        <v>17354.04</v>
      </c>
      <c r="BK77" s="9">
        <f t="shared" si="54"/>
        <v>4338.51</v>
      </c>
      <c r="BL77" s="9">
        <f t="shared" si="55"/>
        <v>21537.61</v>
      </c>
      <c r="BM77" s="9">
        <f t="shared" si="56"/>
        <v>1084.6300000000001</v>
      </c>
      <c r="BN77" s="9">
        <f t="shared" si="57"/>
        <v>17276.57</v>
      </c>
      <c r="BO77" s="9">
        <f t="shared" si="58"/>
        <v>1471.99</v>
      </c>
      <c r="BP77" s="9">
        <f t="shared" si="59"/>
        <v>929.68</v>
      </c>
      <c r="BQ77" s="9">
        <f t="shared" si="60"/>
        <v>387.37</v>
      </c>
      <c r="BR77" s="9">
        <f t="shared" si="61"/>
        <v>4415.9799999999996</v>
      </c>
      <c r="BS77" s="9">
        <f t="shared" si="62"/>
        <v>1394.52</v>
      </c>
      <c r="BT77" s="9">
        <f t="shared" si="63"/>
        <v>542.30999999999995</v>
      </c>
      <c r="BU77" s="9">
        <f t="shared" si="64"/>
        <v>33545.980000000003</v>
      </c>
      <c r="BV77" s="9">
        <f t="shared" si="65"/>
        <v>1162.0999999999999</v>
      </c>
      <c r="BW77" s="9">
        <f t="shared" si="66"/>
        <v>15417.21</v>
      </c>
      <c r="BX77" s="9">
        <f t="shared" si="67"/>
        <v>18593.62</v>
      </c>
      <c r="BY77" s="17">
        <f t="shared" si="68"/>
        <v>184774.06</v>
      </c>
      <c r="BZ77" s="17">
        <v>2.37</v>
      </c>
      <c r="CA77" s="17">
        <v>0.08</v>
      </c>
      <c r="CB77" s="17">
        <v>0.48</v>
      </c>
      <c r="CC77" s="27">
        <v>0.08</v>
      </c>
      <c r="CD77" s="29">
        <v>6.33</v>
      </c>
      <c r="CE77" s="9"/>
      <c r="CF77" s="9"/>
      <c r="CG77" s="9"/>
      <c r="CH77" s="9"/>
      <c r="CI77" s="9"/>
      <c r="CJ77" s="9"/>
      <c r="CK77" s="13"/>
      <c r="CL77" s="13"/>
      <c r="CM77" s="13">
        <v>184110.07</v>
      </c>
      <c r="CN77" s="13">
        <v>3330.83</v>
      </c>
      <c r="CO77" s="13">
        <v>1</v>
      </c>
      <c r="CP77" s="13">
        <v>4022.32</v>
      </c>
      <c r="CQ77" s="13">
        <v>2398.0700000000002</v>
      </c>
      <c r="CR77" s="13">
        <v>184023.35</v>
      </c>
      <c r="CS77" s="13">
        <v>10480.84</v>
      </c>
      <c r="CT77" s="13">
        <v>574.22</v>
      </c>
      <c r="CU77" s="13">
        <v>3420.7</v>
      </c>
      <c r="CV77" s="13">
        <v>2078.8000000000002</v>
      </c>
      <c r="CW77" s="202">
        <v>6748</v>
      </c>
      <c r="CX77" s="200">
        <v>3871</v>
      </c>
      <c r="CY77" s="202"/>
      <c r="CZ77" s="202"/>
      <c r="DA77" s="202"/>
      <c r="DB77" s="202"/>
      <c r="DC77" s="202"/>
      <c r="DD77" s="461"/>
      <c r="DE77" s="256"/>
      <c r="DF77" s="202"/>
      <c r="DG77" s="202"/>
      <c r="DH77" s="202"/>
      <c r="DI77" s="204">
        <v>1117</v>
      </c>
      <c r="DJ77" s="107">
        <f>17200</f>
        <v>17200</v>
      </c>
      <c r="DK77" s="202"/>
      <c r="DL77" s="202">
        <v>56000</v>
      </c>
      <c r="DM77" s="202"/>
      <c r="DN77" s="202"/>
      <c r="DO77" s="202"/>
      <c r="DP77" s="202">
        <v>44239</v>
      </c>
      <c r="DQ77" s="202">
        <v>3400</v>
      </c>
      <c r="DR77" s="202">
        <v>2</v>
      </c>
      <c r="DS77" s="202"/>
      <c r="DT77" s="254"/>
      <c r="DU77" s="254"/>
      <c r="DV77" s="202"/>
      <c r="DW77" s="202">
        <v>35741</v>
      </c>
      <c r="DX77" s="202"/>
      <c r="DY77" s="107">
        <v>1365</v>
      </c>
      <c r="DZ77" s="107">
        <v>942</v>
      </c>
      <c r="EA77" s="202">
        <v>24357.09</v>
      </c>
      <c r="EB77" s="202"/>
      <c r="EC77" s="202"/>
      <c r="ED77" s="202"/>
      <c r="EE77" s="202"/>
      <c r="EF77" s="229"/>
      <c r="EG77" s="202"/>
      <c r="EH77" s="202"/>
      <c r="EI77" s="202"/>
      <c r="EJ77" s="202"/>
      <c r="EK77" s="202">
        <v>3342.48</v>
      </c>
      <c r="EL77" s="202">
        <v>0</v>
      </c>
      <c r="EM77" s="202">
        <v>3999.55</v>
      </c>
      <c r="EN77" s="202">
        <v>2400.79</v>
      </c>
      <c r="EO77" s="202">
        <v>3342.48</v>
      </c>
      <c r="EP77" s="202"/>
      <c r="EQ77" s="202">
        <v>3999.55</v>
      </c>
      <c r="ER77" s="202">
        <v>2400.79</v>
      </c>
      <c r="ES77" s="202"/>
      <c r="ET77" s="202"/>
      <c r="EU77" s="202"/>
      <c r="EV77" s="214">
        <v>48.35</v>
      </c>
      <c r="EW77" s="240">
        <f t="shared" si="73"/>
        <v>16944.669999999998</v>
      </c>
      <c r="EX77" s="209">
        <f t="shared" si="74"/>
        <v>11028.49</v>
      </c>
    </row>
    <row r="78" spans="1:154" ht="12.75" customHeight="1" x14ac:dyDescent="0.2">
      <c r="A78" s="45" t="s">
        <v>125</v>
      </c>
      <c r="B78" s="60" t="s">
        <v>97</v>
      </c>
      <c r="C78" s="61" t="s">
        <v>79</v>
      </c>
      <c r="D78" s="62" t="s">
        <v>420</v>
      </c>
      <c r="E78" s="61" t="s">
        <v>12</v>
      </c>
      <c r="F78" s="11">
        <v>9</v>
      </c>
      <c r="G78" s="11">
        <v>4</v>
      </c>
      <c r="H78" s="11">
        <v>132</v>
      </c>
      <c r="I78" s="11">
        <v>134</v>
      </c>
      <c r="J78" s="11">
        <v>306</v>
      </c>
      <c r="K78" s="11">
        <v>377</v>
      </c>
      <c r="L78" s="83">
        <v>4</v>
      </c>
      <c r="M78" s="84">
        <v>749.9</v>
      </c>
      <c r="N78" s="84">
        <v>2451.6</v>
      </c>
      <c r="O78" s="84">
        <v>2451.6</v>
      </c>
      <c r="P78" s="135">
        <v>976.6</v>
      </c>
      <c r="Q78" s="146">
        <v>0</v>
      </c>
      <c r="R78" s="133">
        <v>1233.8</v>
      </c>
      <c r="S78" s="133">
        <f t="shared" si="75"/>
        <v>2210.4</v>
      </c>
      <c r="T78" s="134">
        <v>976.6</v>
      </c>
      <c r="U78" s="130">
        <v>2.44</v>
      </c>
      <c r="V78" s="91">
        <v>1.9800000000000002E-2</v>
      </c>
      <c r="W78" s="91">
        <v>1.9800000000000002E-2</v>
      </c>
      <c r="X78" s="132">
        <v>1.32E-3</v>
      </c>
      <c r="Y78" s="91">
        <v>3.9699999999999999E-2</v>
      </c>
      <c r="Z78" s="29">
        <v>7127.8</v>
      </c>
      <c r="AA78" s="34">
        <v>1552</v>
      </c>
      <c r="AB78" s="9">
        <f t="shared" si="32"/>
        <v>8679.7999999999993</v>
      </c>
      <c r="AC78" s="9">
        <f t="shared" si="39"/>
        <v>54943.13</v>
      </c>
      <c r="AD78" s="9">
        <v>1.57</v>
      </c>
      <c r="AE78" s="9">
        <v>4.67</v>
      </c>
      <c r="AF78" s="21">
        <f>2.41-AJ78</f>
        <v>2.2599999999999998</v>
      </c>
      <c r="AG78" s="18">
        <f>0.59-AQ78</f>
        <v>0.55000000000000004</v>
      </c>
      <c r="AH78" s="9">
        <v>2.4700000000000002</v>
      </c>
      <c r="AI78" s="43">
        <v>1270</v>
      </c>
      <c r="AJ78" s="21">
        <f t="shared" si="48"/>
        <v>0.15</v>
      </c>
      <c r="AK78" s="9">
        <v>1.98</v>
      </c>
      <c r="AL78" s="9">
        <v>0.26</v>
      </c>
      <c r="AM78" s="9">
        <v>0.11</v>
      </c>
      <c r="AN78" s="13"/>
      <c r="AO78" s="13">
        <v>820.4</v>
      </c>
      <c r="AP78" s="13">
        <f t="shared" si="77"/>
        <v>5.58</v>
      </c>
      <c r="AQ78" s="18">
        <f t="shared" si="49"/>
        <v>0.04</v>
      </c>
      <c r="AR78" s="9">
        <v>0.48</v>
      </c>
      <c r="AS78" s="9">
        <v>0.16</v>
      </c>
      <c r="AT78" s="9">
        <v>7.0000000000000007E-2</v>
      </c>
      <c r="AU78" s="9">
        <v>5.04</v>
      </c>
      <c r="AV78" s="9">
        <v>0.14000000000000001</v>
      </c>
      <c r="AW78" s="9">
        <f>1.33+0.26+0.45</f>
        <v>2.04</v>
      </c>
      <c r="AX78" s="9">
        <f>1.86+0.59</f>
        <v>2.4500000000000002</v>
      </c>
      <c r="AY78" s="63">
        <f t="shared" si="78"/>
        <v>24.44</v>
      </c>
      <c r="AZ78" s="64">
        <v>7115.5</v>
      </c>
      <c r="BA78" s="64">
        <v>1552</v>
      </c>
      <c r="BB78" s="64">
        <f t="shared" si="30"/>
        <v>8667.5</v>
      </c>
      <c r="BC78" s="64">
        <v>24.44</v>
      </c>
      <c r="BD78" s="13">
        <f t="shared" si="76"/>
        <v>0</v>
      </c>
      <c r="BE78" s="9">
        <f t="shared" si="50"/>
        <v>212134.31</v>
      </c>
      <c r="BF78" s="9">
        <v>24.44</v>
      </c>
      <c r="BG78" s="10">
        <v>44409</v>
      </c>
      <c r="BH78" s="9">
        <f t="shared" si="51"/>
        <v>13627.29</v>
      </c>
      <c r="BI78" s="9">
        <f t="shared" si="52"/>
        <v>40534.67</v>
      </c>
      <c r="BJ78" s="9">
        <f t="shared" si="53"/>
        <v>19616.349999999999</v>
      </c>
      <c r="BK78" s="9">
        <f t="shared" si="54"/>
        <v>4773.8900000000003</v>
      </c>
      <c r="BL78" s="9">
        <f t="shared" si="55"/>
        <v>21439.11</v>
      </c>
      <c r="BM78" s="9">
        <f t="shared" si="56"/>
        <v>1301.97</v>
      </c>
      <c r="BN78" s="9">
        <f t="shared" si="57"/>
        <v>17186</v>
      </c>
      <c r="BO78" s="9">
        <f t="shared" si="58"/>
        <v>2256.75</v>
      </c>
      <c r="BP78" s="9">
        <f t="shared" si="59"/>
        <v>954.78</v>
      </c>
      <c r="BQ78" s="9">
        <f t="shared" si="60"/>
        <v>347.19</v>
      </c>
      <c r="BR78" s="9">
        <f t="shared" si="61"/>
        <v>4166.3</v>
      </c>
      <c r="BS78" s="9">
        <f t="shared" si="62"/>
        <v>1388.77</v>
      </c>
      <c r="BT78" s="9">
        <f t="shared" si="63"/>
        <v>607.59</v>
      </c>
      <c r="BU78" s="9">
        <f t="shared" si="64"/>
        <v>43746.19</v>
      </c>
      <c r="BV78" s="9">
        <f t="shared" si="65"/>
        <v>1215.17</v>
      </c>
      <c r="BW78" s="9">
        <f t="shared" si="66"/>
        <v>17706.79</v>
      </c>
      <c r="BX78" s="9">
        <f t="shared" si="67"/>
        <v>21265.51</v>
      </c>
      <c r="BY78" s="17">
        <f t="shared" si="68"/>
        <v>212134.32</v>
      </c>
      <c r="BZ78" s="17">
        <v>4.17</v>
      </c>
      <c r="CA78" s="17">
        <v>0.06</v>
      </c>
      <c r="CB78" s="17">
        <v>0.38</v>
      </c>
      <c r="CC78" s="27">
        <v>0.06</v>
      </c>
      <c r="CD78" s="29">
        <v>6.33</v>
      </c>
      <c r="CE78" s="9">
        <v>7991.52</v>
      </c>
      <c r="CF78" s="9"/>
      <c r="CG78" s="9">
        <v>0</v>
      </c>
      <c r="CH78" s="9">
        <v>273.58</v>
      </c>
      <c r="CI78" s="9">
        <f t="shared" ref="CI78:CI95" si="79">IF(CE78&gt;0,CE78/AB78,0)</f>
        <v>0.92</v>
      </c>
      <c r="CJ78" s="9">
        <f t="shared" ref="CJ78:CJ95" si="80">IF(CF78&gt;0,CF78/AB78,0)</f>
        <v>0</v>
      </c>
      <c r="CK78" s="13">
        <f t="shared" ref="CK78:CK95" si="81">IF(CG78&gt;0,CG78/AB78,0)</f>
        <v>0</v>
      </c>
      <c r="CL78" s="13">
        <f t="shared" ref="CL78:CL95" si="82">IF(CH78&gt;0,CH78/AB78,0)</f>
        <v>0.03</v>
      </c>
      <c r="CM78" s="13">
        <v>174203.48</v>
      </c>
      <c r="CN78" s="13">
        <v>0</v>
      </c>
      <c r="CO78" s="13">
        <v>0</v>
      </c>
      <c r="CP78" s="13">
        <v>0</v>
      </c>
      <c r="CQ78" s="13">
        <v>213.84</v>
      </c>
      <c r="CR78" s="13">
        <v>188439.91</v>
      </c>
      <c r="CS78" s="13">
        <v>14172.93</v>
      </c>
      <c r="CT78" s="13">
        <v>428.59</v>
      </c>
      <c r="CU78" s="13">
        <v>67.66</v>
      </c>
      <c r="CV78" s="13">
        <v>245.59</v>
      </c>
      <c r="CW78" s="202">
        <v>7559</v>
      </c>
      <c r="CX78" s="200">
        <v>4337</v>
      </c>
      <c r="CY78" s="202"/>
      <c r="CZ78" s="202"/>
      <c r="DA78" s="202"/>
      <c r="DB78" s="202"/>
      <c r="DC78" s="202"/>
      <c r="DD78" s="461"/>
      <c r="DE78" s="256"/>
      <c r="DF78" s="202"/>
      <c r="DG78" s="202"/>
      <c r="DH78" s="202"/>
      <c r="DI78" s="204">
        <v>1270</v>
      </c>
      <c r="DJ78" s="202">
        <f>17200-416.13-277.42</f>
        <v>16506.45</v>
      </c>
      <c r="DK78" s="202"/>
      <c r="DL78" s="202">
        <v>56000</v>
      </c>
      <c r="DM78" s="202"/>
      <c r="DN78" s="202"/>
      <c r="DO78" s="202"/>
      <c r="DP78" s="202">
        <v>52819</v>
      </c>
      <c r="DQ78" s="202">
        <v>2822</v>
      </c>
      <c r="DR78" s="202">
        <v>1.66</v>
      </c>
      <c r="DS78" s="202"/>
      <c r="DT78" s="254"/>
      <c r="DU78" s="254"/>
      <c r="DV78" s="202"/>
      <c r="DW78" s="202">
        <v>37961</v>
      </c>
      <c r="DX78" s="202"/>
      <c r="DY78" s="107">
        <v>1365</v>
      </c>
      <c r="DZ78" s="107">
        <v>942</v>
      </c>
      <c r="EA78" s="202"/>
      <c r="EB78" s="202"/>
      <c r="EC78" s="202"/>
      <c r="ED78" s="202"/>
      <c r="EE78" s="202"/>
      <c r="EF78" s="229"/>
      <c r="EG78" s="202"/>
      <c r="EH78" s="202"/>
      <c r="EI78" s="202"/>
      <c r="EJ78" s="202"/>
      <c r="EK78" s="202">
        <v>1586.42</v>
      </c>
      <c r="EL78" s="202">
        <v>0</v>
      </c>
      <c r="EM78" s="202">
        <v>0</v>
      </c>
      <c r="EN78" s="202">
        <v>273.58</v>
      </c>
      <c r="EO78" s="202">
        <v>1586.42</v>
      </c>
      <c r="EP78" s="202"/>
      <c r="EQ78" s="202">
        <v>0</v>
      </c>
      <c r="ER78" s="202">
        <v>273.58</v>
      </c>
      <c r="ES78" s="202"/>
      <c r="ET78" s="202"/>
      <c r="EU78" s="202"/>
      <c r="EV78" s="214">
        <v>-17.29</v>
      </c>
      <c r="EW78" s="240">
        <f t="shared" si="73"/>
        <v>18984.11</v>
      </c>
      <c r="EX78" s="209">
        <f t="shared" si="74"/>
        <v>12355.87</v>
      </c>
    </row>
    <row r="79" spans="1:154" ht="12.75" customHeight="1" x14ac:dyDescent="0.2">
      <c r="A79" s="45" t="s">
        <v>126</v>
      </c>
      <c r="B79" s="60" t="s">
        <v>97</v>
      </c>
      <c r="C79" s="61" t="s">
        <v>79</v>
      </c>
      <c r="D79" s="62" t="s">
        <v>555</v>
      </c>
      <c r="E79" s="61" t="s">
        <v>9</v>
      </c>
      <c r="F79" s="11">
        <v>9</v>
      </c>
      <c r="G79" s="11">
        <v>2</v>
      </c>
      <c r="H79" s="11">
        <v>144</v>
      </c>
      <c r="I79" s="11">
        <v>144</v>
      </c>
      <c r="J79" s="11">
        <v>313</v>
      </c>
      <c r="K79" s="11">
        <v>375</v>
      </c>
      <c r="L79" s="11">
        <v>2</v>
      </c>
      <c r="M79" s="84">
        <v>1003.4</v>
      </c>
      <c r="N79" s="84">
        <v>1216.0999999999999</v>
      </c>
      <c r="O79" s="84">
        <v>1216.0999999999999</v>
      </c>
      <c r="P79" s="135">
        <f>488.3+515.1+4+4+31.4+13.2+73.2+11</f>
        <v>1140.2</v>
      </c>
      <c r="Q79" s="135">
        <v>839.5</v>
      </c>
      <c r="R79" s="135">
        <v>881.3</v>
      </c>
      <c r="S79" s="133">
        <f t="shared" si="75"/>
        <v>2861</v>
      </c>
      <c r="T79" s="134">
        <v>1140.2</v>
      </c>
      <c r="U79" s="130">
        <v>2.44</v>
      </c>
      <c r="V79" s="91">
        <v>1.9800000000000002E-2</v>
      </c>
      <c r="W79" s="91">
        <v>1.9800000000000002E-2</v>
      </c>
      <c r="X79" s="132">
        <v>1.32E-3</v>
      </c>
      <c r="Y79" s="91">
        <v>3.9699999999999999E-2</v>
      </c>
      <c r="Z79" s="29">
        <v>7515.5</v>
      </c>
      <c r="AA79" s="34"/>
      <c r="AB79" s="9">
        <f t="shared" si="32"/>
        <v>7515.5</v>
      </c>
      <c r="AC79" s="9">
        <f t="shared" si="39"/>
        <v>47573.120000000003</v>
      </c>
      <c r="AD79" s="9">
        <v>1.81</v>
      </c>
      <c r="AE79" s="9">
        <v>4.75</v>
      </c>
      <c r="AF79" s="21">
        <f>2.47-AJ79</f>
        <v>2.2999999999999998</v>
      </c>
      <c r="AG79" s="18">
        <f>0.54-AQ79</f>
        <v>0.49</v>
      </c>
      <c r="AH79" s="9">
        <v>2.4700000000000002</v>
      </c>
      <c r="AI79" s="43">
        <v>1262</v>
      </c>
      <c r="AJ79" s="21">
        <f t="shared" si="48"/>
        <v>0.17</v>
      </c>
      <c r="AK79" s="9">
        <v>1.1499999999999999</v>
      </c>
      <c r="AL79" s="9">
        <v>0.1</v>
      </c>
      <c r="AM79" s="9">
        <v>0.13</v>
      </c>
      <c r="AN79" s="13"/>
      <c r="AO79" s="13">
        <v>813.4</v>
      </c>
      <c r="AP79" s="13">
        <f t="shared" si="77"/>
        <v>5.58</v>
      </c>
      <c r="AQ79" s="18">
        <f t="shared" si="49"/>
        <v>0.05</v>
      </c>
      <c r="AR79" s="9">
        <v>0.6</v>
      </c>
      <c r="AS79" s="9">
        <v>0.18</v>
      </c>
      <c r="AT79" s="9">
        <v>7.0000000000000007E-2</v>
      </c>
      <c r="AU79" s="9">
        <v>3.95</v>
      </c>
      <c r="AV79" s="9">
        <v>0.13</v>
      </c>
      <c r="AW79" s="9">
        <f>0.27+0.35+1.28</f>
        <v>1.9</v>
      </c>
      <c r="AX79" s="9">
        <f>1.77+0.47</f>
        <v>2.2400000000000002</v>
      </c>
      <c r="AY79" s="63">
        <f t="shared" si="78"/>
        <v>22.49</v>
      </c>
      <c r="AZ79" s="64">
        <v>7507.2</v>
      </c>
      <c r="BA79" s="64">
        <v>0</v>
      </c>
      <c r="BB79" s="64">
        <f t="shared" si="30"/>
        <v>7507.2</v>
      </c>
      <c r="BC79" s="64">
        <v>22.49</v>
      </c>
      <c r="BD79" s="13">
        <f t="shared" si="76"/>
        <v>0</v>
      </c>
      <c r="BE79" s="9">
        <f t="shared" si="50"/>
        <v>169023.6</v>
      </c>
      <c r="BF79" s="9">
        <v>22.49</v>
      </c>
      <c r="BG79" s="10">
        <v>44378</v>
      </c>
      <c r="BH79" s="9">
        <f t="shared" si="51"/>
        <v>13603.06</v>
      </c>
      <c r="BI79" s="9">
        <f t="shared" si="52"/>
        <v>35698.629999999997</v>
      </c>
      <c r="BJ79" s="9">
        <f t="shared" si="53"/>
        <v>17285.650000000001</v>
      </c>
      <c r="BK79" s="9">
        <f t="shared" si="54"/>
        <v>3682.6</v>
      </c>
      <c r="BL79" s="9">
        <f t="shared" si="55"/>
        <v>18563.29</v>
      </c>
      <c r="BM79" s="9">
        <f t="shared" si="56"/>
        <v>1277.6400000000001</v>
      </c>
      <c r="BN79" s="9">
        <f t="shared" si="57"/>
        <v>8642.83</v>
      </c>
      <c r="BO79" s="9">
        <f t="shared" si="58"/>
        <v>751.55</v>
      </c>
      <c r="BP79" s="9">
        <f t="shared" si="59"/>
        <v>977.02</v>
      </c>
      <c r="BQ79" s="9">
        <f t="shared" si="60"/>
        <v>375.78</v>
      </c>
      <c r="BR79" s="9">
        <f t="shared" si="61"/>
        <v>4509.3</v>
      </c>
      <c r="BS79" s="9">
        <f t="shared" si="62"/>
        <v>1352.79</v>
      </c>
      <c r="BT79" s="9">
        <f t="shared" si="63"/>
        <v>526.09</v>
      </c>
      <c r="BU79" s="9">
        <f t="shared" si="64"/>
        <v>29686.23</v>
      </c>
      <c r="BV79" s="9">
        <f t="shared" si="65"/>
        <v>977.02</v>
      </c>
      <c r="BW79" s="9">
        <f t="shared" si="66"/>
        <v>14279.45</v>
      </c>
      <c r="BX79" s="9">
        <f t="shared" si="67"/>
        <v>16834.72</v>
      </c>
      <c r="BY79" s="17">
        <f t="shared" si="68"/>
        <v>169023.65</v>
      </c>
      <c r="BZ79" s="17">
        <v>3.56</v>
      </c>
      <c r="CA79" s="17">
        <v>0.08</v>
      </c>
      <c r="CB79" s="17">
        <v>0.51</v>
      </c>
      <c r="CC79" s="27">
        <v>0.09</v>
      </c>
      <c r="CD79" s="29">
        <v>6.33</v>
      </c>
      <c r="CE79" s="9">
        <v>16393.05</v>
      </c>
      <c r="CF79" s="9"/>
      <c r="CG79" s="9">
        <v>2540.2600000000002</v>
      </c>
      <c r="CH79" s="9">
        <v>1663.46</v>
      </c>
      <c r="CI79" s="9">
        <f t="shared" si="79"/>
        <v>2.1800000000000002</v>
      </c>
      <c r="CJ79" s="9">
        <f t="shared" si="80"/>
        <v>0</v>
      </c>
      <c r="CK79" s="13">
        <f t="shared" si="81"/>
        <v>0.34</v>
      </c>
      <c r="CL79" s="13">
        <f t="shared" si="82"/>
        <v>0.22</v>
      </c>
      <c r="CM79" s="13">
        <v>169023.68</v>
      </c>
      <c r="CN79" s="13">
        <v>16308.58</v>
      </c>
      <c r="CO79" s="13">
        <v>32692.78</v>
      </c>
      <c r="CP79" s="13">
        <v>977.08</v>
      </c>
      <c r="CQ79" s="13">
        <v>826.72</v>
      </c>
      <c r="CR79" s="13">
        <v>198870.67</v>
      </c>
      <c r="CS79" s="13">
        <v>18615.150000000001</v>
      </c>
      <c r="CT79" s="13">
        <v>27178.36</v>
      </c>
      <c r="CU79" s="13">
        <v>803.34</v>
      </c>
      <c r="CV79" s="13">
        <v>788.84</v>
      </c>
      <c r="CW79" s="202">
        <v>6542</v>
      </c>
      <c r="CX79" s="200">
        <v>3753</v>
      </c>
      <c r="CY79" s="202"/>
      <c r="CZ79" s="202"/>
      <c r="DA79" s="202"/>
      <c r="DB79" s="202"/>
      <c r="DC79" s="202"/>
      <c r="DD79" s="461"/>
      <c r="DE79" s="256"/>
      <c r="DF79" s="202"/>
      <c r="DG79" s="202"/>
      <c r="DH79" s="202"/>
      <c r="DI79" s="204">
        <v>1262</v>
      </c>
      <c r="DJ79" s="202">
        <v>8600</v>
      </c>
      <c r="DK79" s="202"/>
      <c r="DL79" s="202"/>
      <c r="DM79" s="202"/>
      <c r="DN79" s="202"/>
      <c r="DO79" s="202"/>
      <c r="DP79" s="202">
        <v>48112</v>
      </c>
      <c r="DQ79" s="202">
        <v>2822</v>
      </c>
      <c r="DR79" s="202">
        <v>1.66</v>
      </c>
      <c r="DS79" s="202"/>
      <c r="DT79" s="254"/>
      <c r="DU79" s="254"/>
      <c r="DV79" s="202"/>
      <c r="DW79" s="202">
        <v>32785</v>
      </c>
      <c r="DX79" s="202"/>
      <c r="DY79" s="107">
        <v>1365</v>
      </c>
      <c r="DZ79" s="107">
        <v>942</v>
      </c>
      <c r="EA79" s="202">
        <v>2487.02</v>
      </c>
      <c r="EB79" s="202"/>
      <c r="EC79" s="202"/>
      <c r="ED79" s="202"/>
      <c r="EE79" s="202"/>
      <c r="EF79" s="229"/>
      <c r="EG79" s="202"/>
      <c r="EH79" s="202"/>
      <c r="EI79" s="202"/>
      <c r="EJ79" s="202"/>
      <c r="EK79" s="202">
        <v>16332.96</v>
      </c>
      <c r="EL79" s="202">
        <v>60456.3</v>
      </c>
      <c r="EM79" s="202">
        <v>945.84</v>
      </c>
      <c r="EN79" s="202">
        <v>814.58</v>
      </c>
      <c r="EO79" s="202">
        <v>16332.96</v>
      </c>
      <c r="EP79" s="202"/>
      <c r="EQ79" s="202">
        <v>945.84</v>
      </c>
      <c r="ER79" s="202">
        <v>814.58</v>
      </c>
      <c r="ES79" s="202"/>
      <c r="ET79" s="202"/>
      <c r="EU79" s="202"/>
      <c r="EV79" s="214">
        <f>-20.54+21932.52</f>
        <v>21911.98</v>
      </c>
      <c r="EW79" s="240">
        <f t="shared" si="73"/>
        <v>16437.599999999999</v>
      </c>
      <c r="EX79" s="209">
        <f t="shared" si="74"/>
        <v>10698.46</v>
      </c>
    </row>
    <row r="80" spans="1:154" ht="12.75" customHeight="1" x14ac:dyDescent="0.2">
      <c r="A80" s="45" t="s">
        <v>128</v>
      </c>
      <c r="B80" s="156" t="s">
        <v>105</v>
      </c>
      <c r="C80" s="157" t="s">
        <v>106</v>
      </c>
      <c r="D80" s="158" t="s">
        <v>629</v>
      </c>
      <c r="E80" s="157" t="s">
        <v>39</v>
      </c>
      <c r="F80" s="11">
        <v>5</v>
      </c>
      <c r="G80" s="11">
        <v>1</v>
      </c>
      <c r="H80" s="11">
        <v>10</v>
      </c>
      <c r="I80" s="11">
        <v>10</v>
      </c>
      <c r="J80" s="11">
        <v>21</v>
      </c>
      <c r="K80" s="11"/>
      <c r="L80" s="11" t="s">
        <v>746</v>
      </c>
      <c r="M80" s="84"/>
      <c r="N80" s="84"/>
      <c r="O80" s="84"/>
      <c r="P80" s="138"/>
      <c r="Q80" s="138"/>
      <c r="R80" s="138"/>
      <c r="S80" s="133">
        <f t="shared" si="75"/>
        <v>0</v>
      </c>
      <c r="T80" s="138">
        <v>451.5</v>
      </c>
      <c r="U80" s="130">
        <v>1.53</v>
      </c>
      <c r="V80" s="131">
        <v>1.1299999999999999E-2</v>
      </c>
      <c r="W80" s="171" t="e">
        <v>#N/A</v>
      </c>
      <c r="X80" s="172" t="e">
        <v>#N/A</v>
      </c>
      <c r="Y80" s="131">
        <v>1.1299999999999999E-2</v>
      </c>
      <c r="Z80" s="29">
        <v>1548.7</v>
      </c>
      <c r="AA80" s="34"/>
      <c r="AB80" s="9">
        <f t="shared" si="32"/>
        <v>1548.7</v>
      </c>
      <c r="AC80" s="9">
        <f t="shared" si="39"/>
        <v>9803.27</v>
      </c>
      <c r="AD80" s="9">
        <v>4.2699999999999996</v>
      </c>
      <c r="AE80" s="9">
        <v>5.12</v>
      </c>
      <c r="AF80" s="21">
        <f>0.51-AJ80</f>
        <v>0.33</v>
      </c>
      <c r="AG80" s="18">
        <f>0.18-AQ80</f>
        <v>0.14000000000000001</v>
      </c>
      <c r="AH80" s="9">
        <v>1.81</v>
      </c>
      <c r="AI80" s="43">
        <v>283</v>
      </c>
      <c r="AJ80" s="21">
        <f t="shared" si="48"/>
        <v>0.18</v>
      </c>
      <c r="AK80" s="9">
        <v>0</v>
      </c>
      <c r="AL80" s="9">
        <v>0</v>
      </c>
      <c r="AM80" s="9">
        <v>0.38</v>
      </c>
      <c r="AN80" s="13"/>
      <c r="AO80" s="13">
        <v>149.6</v>
      </c>
      <c r="AP80" s="13">
        <f t="shared" si="77"/>
        <v>5.58</v>
      </c>
      <c r="AQ80" s="18">
        <f t="shared" si="49"/>
        <v>0.04</v>
      </c>
      <c r="AR80" s="9">
        <v>0</v>
      </c>
      <c r="AS80" s="9">
        <v>0</v>
      </c>
      <c r="AT80" s="9">
        <v>7.0000000000000007E-2</v>
      </c>
      <c r="AU80" s="9">
        <v>2.88</v>
      </c>
      <c r="AV80" s="9">
        <v>0.12</v>
      </c>
      <c r="AW80" s="9">
        <f>1.1+0.11+0.25</f>
        <v>1.46</v>
      </c>
      <c r="AX80" s="9">
        <f>1.48+0.35</f>
        <v>1.83</v>
      </c>
      <c r="AY80" s="159">
        <f t="shared" si="78"/>
        <v>18.63</v>
      </c>
      <c r="AZ80" s="160">
        <v>1525</v>
      </c>
      <c r="BA80" s="160">
        <v>0</v>
      </c>
      <c r="BB80" s="160">
        <f t="shared" si="30"/>
        <v>1525</v>
      </c>
      <c r="BC80" s="160">
        <v>18.63</v>
      </c>
      <c r="BD80" s="13">
        <f t="shared" si="76"/>
        <v>0</v>
      </c>
      <c r="BE80" s="9">
        <f t="shared" si="50"/>
        <v>28852.28</v>
      </c>
      <c r="BF80" s="9">
        <v>18.63</v>
      </c>
      <c r="BG80" s="10">
        <v>44348</v>
      </c>
      <c r="BH80" s="9">
        <f t="shared" si="51"/>
        <v>6612.95</v>
      </c>
      <c r="BI80" s="9">
        <f t="shared" si="52"/>
        <v>7929.34</v>
      </c>
      <c r="BJ80" s="9">
        <f t="shared" si="53"/>
        <v>511.07</v>
      </c>
      <c r="BK80" s="9">
        <f t="shared" si="54"/>
        <v>216.82</v>
      </c>
      <c r="BL80" s="9">
        <f t="shared" si="55"/>
        <v>2803.15</v>
      </c>
      <c r="BM80" s="9">
        <f t="shared" si="56"/>
        <v>278.77</v>
      </c>
      <c r="BN80" s="9">
        <f t="shared" si="57"/>
        <v>0</v>
      </c>
      <c r="BO80" s="9">
        <f t="shared" si="58"/>
        <v>0</v>
      </c>
      <c r="BP80" s="9">
        <f t="shared" si="59"/>
        <v>588.51</v>
      </c>
      <c r="BQ80" s="9">
        <f t="shared" si="60"/>
        <v>61.95</v>
      </c>
      <c r="BR80" s="9">
        <f t="shared" si="61"/>
        <v>0</v>
      </c>
      <c r="BS80" s="9">
        <f t="shared" si="62"/>
        <v>0</v>
      </c>
      <c r="BT80" s="9">
        <f t="shared" si="63"/>
        <v>108.41</v>
      </c>
      <c r="BU80" s="9">
        <f t="shared" si="64"/>
        <v>4460.26</v>
      </c>
      <c r="BV80" s="9">
        <f t="shared" si="65"/>
        <v>185.84</v>
      </c>
      <c r="BW80" s="9">
        <f t="shared" si="66"/>
        <v>2261.1</v>
      </c>
      <c r="BX80" s="9">
        <f t="shared" si="67"/>
        <v>2834.12</v>
      </c>
      <c r="BY80" s="17">
        <f t="shared" si="68"/>
        <v>28852.29</v>
      </c>
      <c r="BZ80" s="17">
        <v>3.36</v>
      </c>
      <c r="CA80" s="17">
        <v>0.09</v>
      </c>
      <c r="CB80" s="173">
        <v>0</v>
      </c>
      <c r="CC80" s="27">
        <v>0.05</v>
      </c>
      <c r="CD80" s="29">
        <v>6.33</v>
      </c>
      <c r="CE80" s="9">
        <v>156.03</v>
      </c>
      <c r="CF80" s="9"/>
      <c r="CG80" s="9"/>
      <c r="CH80" s="9"/>
      <c r="CI80" s="9">
        <f t="shared" si="79"/>
        <v>0.1</v>
      </c>
      <c r="CJ80" s="9">
        <f t="shared" si="80"/>
        <v>0</v>
      </c>
      <c r="CK80" s="13">
        <f t="shared" si="81"/>
        <v>0</v>
      </c>
      <c r="CL80" s="13">
        <f t="shared" si="82"/>
        <v>0</v>
      </c>
      <c r="CM80" s="13">
        <v>28852.29</v>
      </c>
      <c r="CN80" s="13">
        <v>0</v>
      </c>
      <c r="CO80" s="13">
        <v>0</v>
      </c>
      <c r="CP80" s="13">
        <v>0</v>
      </c>
      <c r="CQ80" s="13">
        <v>0</v>
      </c>
      <c r="CR80" s="13">
        <v>28332.42</v>
      </c>
      <c r="CS80" s="13">
        <v>745.79</v>
      </c>
      <c r="CT80" s="13">
        <v>0</v>
      </c>
      <c r="CU80" s="13">
        <v>18.350000000000001</v>
      </c>
      <c r="CV80" s="13">
        <v>9.74</v>
      </c>
      <c r="CW80" s="202">
        <v>1340</v>
      </c>
      <c r="CX80" s="200">
        <v>769</v>
      </c>
      <c r="CY80" s="202"/>
      <c r="CZ80" s="202"/>
      <c r="DA80" s="202"/>
      <c r="DB80" s="202"/>
      <c r="DC80" s="202"/>
      <c r="DD80" s="461"/>
      <c r="DE80" s="256"/>
      <c r="DF80" s="202"/>
      <c r="DG80" s="202"/>
      <c r="DH80" s="202"/>
      <c r="DI80" s="204">
        <v>283</v>
      </c>
      <c r="DJ80" s="202"/>
      <c r="DK80" s="202"/>
      <c r="DL80" s="202"/>
      <c r="DM80" s="202"/>
      <c r="DN80" s="202"/>
      <c r="DO80" s="202"/>
      <c r="DP80" s="202">
        <v>9214</v>
      </c>
      <c r="DQ80" s="202">
        <v>3400</v>
      </c>
      <c r="DR80" s="202">
        <v>2</v>
      </c>
      <c r="DS80" s="202"/>
      <c r="DT80" s="254"/>
      <c r="DU80" s="254"/>
      <c r="DV80" s="202">
        <v>6951</v>
      </c>
      <c r="DW80" s="202"/>
      <c r="DX80" s="202"/>
      <c r="DY80" s="107"/>
      <c r="DZ80" s="107">
        <v>577</v>
      </c>
      <c r="EA80" s="202"/>
      <c r="EB80" s="202">
        <v>1876</v>
      </c>
      <c r="EC80" s="202"/>
      <c r="ED80" s="202"/>
      <c r="EE80" s="202"/>
      <c r="EF80" s="229"/>
      <c r="EG80" s="202"/>
      <c r="EH80" s="202"/>
      <c r="EI80" s="202"/>
      <c r="EJ80" s="202"/>
      <c r="EK80" s="202">
        <v>0</v>
      </c>
      <c r="EL80" s="202">
        <v>0</v>
      </c>
      <c r="EM80" s="202">
        <v>0</v>
      </c>
      <c r="EN80" s="202">
        <v>0</v>
      </c>
      <c r="EO80" s="202">
        <v>0</v>
      </c>
      <c r="EP80" s="202"/>
      <c r="EQ80" s="202">
        <v>0</v>
      </c>
      <c r="ER80" s="202">
        <v>0</v>
      </c>
      <c r="ES80" s="202"/>
      <c r="ET80" s="202"/>
      <c r="EU80" s="202"/>
      <c r="EV80" s="214">
        <v>-2.95</v>
      </c>
      <c r="EW80" s="240">
        <f t="shared" si="73"/>
        <v>3387.25</v>
      </c>
      <c r="EX80" s="209">
        <f t="shared" si="74"/>
        <v>2204.61</v>
      </c>
    </row>
    <row r="81" spans="1:154" ht="12.75" customHeight="1" x14ac:dyDescent="0.2">
      <c r="A81" s="45" t="s">
        <v>130</v>
      </c>
      <c r="B81" s="60" t="s">
        <v>108</v>
      </c>
      <c r="C81" s="61" t="s">
        <v>109</v>
      </c>
      <c r="D81" s="62" t="s">
        <v>634</v>
      </c>
      <c r="E81" s="61" t="s">
        <v>12</v>
      </c>
      <c r="F81" s="11">
        <v>9</v>
      </c>
      <c r="G81" s="11">
        <v>4</v>
      </c>
      <c r="H81" s="11">
        <v>144</v>
      </c>
      <c r="I81" s="11">
        <v>145</v>
      </c>
      <c r="J81" s="11">
        <v>337</v>
      </c>
      <c r="K81" s="11">
        <v>427</v>
      </c>
      <c r="L81" s="11">
        <v>4</v>
      </c>
      <c r="M81" s="84">
        <v>503</v>
      </c>
      <c r="N81" s="84">
        <v>1231.5999999999999</v>
      </c>
      <c r="O81" s="84">
        <v>1231.5999999999999</v>
      </c>
      <c r="P81" s="138">
        <v>503</v>
      </c>
      <c r="Q81" s="138">
        <v>1231.5999999999999</v>
      </c>
      <c r="R81" s="138">
        <v>1231.5999999999999</v>
      </c>
      <c r="S81" s="133">
        <f t="shared" si="75"/>
        <v>2966.2</v>
      </c>
      <c r="T81" s="138">
        <v>1183</v>
      </c>
      <c r="U81" s="130">
        <v>2.44</v>
      </c>
      <c r="V81" s="131">
        <v>1.9800000000000002E-2</v>
      </c>
      <c r="W81" s="131">
        <v>1.9800000000000002E-2</v>
      </c>
      <c r="X81" s="132">
        <v>1.32E-3</v>
      </c>
      <c r="Y81" s="131">
        <v>3.9699999999999999E-2</v>
      </c>
      <c r="Z81" s="29">
        <v>7598.12</v>
      </c>
      <c r="AA81" s="34"/>
      <c r="AB81" s="9">
        <f t="shared" si="32"/>
        <v>7598.12</v>
      </c>
      <c r="AC81" s="9">
        <f t="shared" si="39"/>
        <v>48096.1</v>
      </c>
      <c r="AD81" s="9">
        <v>2.14</v>
      </c>
      <c r="AE81" s="9">
        <v>4.1100000000000003</v>
      </c>
      <c r="AF81" s="21">
        <f>2.4-AJ81</f>
        <v>2.2400000000000002</v>
      </c>
      <c r="AG81" s="18">
        <f>0.64-AQ81</f>
        <v>0.59</v>
      </c>
      <c r="AH81" s="9">
        <v>2.78</v>
      </c>
      <c r="AI81" s="43">
        <v>1182</v>
      </c>
      <c r="AJ81" s="21">
        <f t="shared" si="48"/>
        <v>0.16</v>
      </c>
      <c r="AK81" s="9">
        <v>2.27</v>
      </c>
      <c r="AL81" s="9">
        <v>0.2</v>
      </c>
      <c r="AM81" s="9">
        <v>0.08</v>
      </c>
      <c r="AN81" s="13"/>
      <c r="AO81" s="13">
        <v>892.8</v>
      </c>
      <c r="AP81" s="13">
        <f t="shared" si="77"/>
        <v>5.58</v>
      </c>
      <c r="AQ81" s="18">
        <f t="shared" si="49"/>
        <v>0.05</v>
      </c>
      <c r="AR81" s="9">
        <v>0.59</v>
      </c>
      <c r="AS81" s="9">
        <v>0.18</v>
      </c>
      <c r="AT81" s="9">
        <v>7.0000000000000007E-2</v>
      </c>
      <c r="AU81" s="9">
        <v>4.17</v>
      </c>
      <c r="AV81" s="9">
        <v>0.15</v>
      </c>
      <c r="AW81" s="9">
        <f>1.39+0.27+0.37</f>
        <v>2.0299999999999998</v>
      </c>
      <c r="AX81" s="9">
        <f>1.95+0.49</f>
        <v>2.44</v>
      </c>
      <c r="AY81" s="63">
        <f t="shared" si="78"/>
        <v>24.25</v>
      </c>
      <c r="AZ81" s="64">
        <v>7592.1</v>
      </c>
      <c r="BA81" s="64">
        <v>0</v>
      </c>
      <c r="BB81" s="64">
        <f t="shared" si="30"/>
        <v>7592.1</v>
      </c>
      <c r="BC81" s="64">
        <v>24.25</v>
      </c>
      <c r="BD81" s="13">
        <f t="shared" si="76"/>
        <v>0</v>
      </c>
      <c r="BE81" s="9">
        <f t="shared" si="50"/>
        <v>184254.41</v>
      </c>
      <c r="BF81" s="9">
        <v>24.25</v>
      </c>
      <c r="BG81" s="10">
        <v>44409</v>
      </c>
      <c r="BH81" s="9">
        <f t="shared" si="51"/>
        <v>16259.98</v>
      </c>
      <c r="BI81" s="9">
        <f t="shared" si="52"/>
        <v>31228.27</v>
      </c>
      <c r="BJ81" s="9">
        <f t="shared" si="53"/>
        <v>17019.79</v>
      </c>
      <c r="BK81" s="9">
        <f t="shared" si="54"/>
        <v>4482.8900000000003</v>
      </c>
      <c r="BL81" s="9">
        <f t="shared" si="55"/>
        <v>21122.77</v>
      </c>
      <c r="BM81" s="9">
        <f t="shared" si="56"/>
        <v>1215.7</v>
      </c>
      <c r="BN81" s="9">
        <f t="shared" si="57"/>
        <v>17247.73</v>
      </c>
      <c r="BO81" s="9">
        <f t="shared" si="58"/>
        <v>1519.62</v>
      </c>
      <c r="BP81" s="9">
        <f t="shared" si="59"/>
        <v>607.85</v>
      </c>
      <c r="BQ81" s="9">
        <f t="shared" si="60"/>
        <v>379.91</v>
      </c>
      <c r="BR81" s="9">
        <f t="shared" si="61"/>
        <v>4482.8900000000003</v>
      </c>
      <c r="BS81" s="9">
        <f t="shared" si="62"/>
        <v>1367.66</v>
      </c>
      <c r="BT81" s="9">
        <f t="shared" si="63"/>
        <v>531.87</v>
      </c>
      <c r="BU81" s="9">
        <f t="shared" si="64"/>
        <v>31684.16</v>
      </c>
      <c r="BV81" s="9">
        <f t="shared" si="65"/>
        <v>1139.72</v>
      </c>
      <c r="BW81" s="9">
        <f t="shared" si="66"/>
        <v>15424.18</v>
      </c>
      <c r="BX81" s="9">
        <f t="shared" si="67"/>
        <v>18539.41</v>
      </c>
      <c r="BY81" s="17">
        <f t="shared" si="68"/>
        <v>184254.4</v>
      </c>
      <c r="BZ81" s="17">
        <v>4.49</v>
      </c>
      <c r="CA81" s="17">
        <v>0.08</v>
      </c>
      <c r="CB81" s="17">
        <v>0.53</v>
      </c>
      <c r="CC81" s="27">
        <v>0.09</v>
      </c>
      <c r="CD81" s="29">
        <v>6.33</v>
      </c>
      <c r="CE81" s="9">
        <v>24916.22</v>
      </c>
      <c r="CF81" s="9"/>
      <c r="CG81" s="9">
        <v>9620.5400000000009</v>
      </c>
      <c r="CH81" s="9">
        <v>5368.08</v>
      </c>
      <c r="CI81" s="9">
        <f t="shared" si="79"/>
        <v>3.28</v>
      </c>
      <c r="CJ81" s="9">
        <f t="shared" si="80"/>
        <v>0</v>
      </c>
      <c r="CK81" s="13">
        <f t="shared" si="81"/>
        <v>1.27</v>
      </c>
      <c r="CL81" s="13">
        <f t="shared" si="82"/>
        <v>0.71</v>
      </c>
      <c r="CM81" s="13">
        <v>184254.74</v>
      </c>
      <c r="CN81" s="13">
        <v>0</v>
      </c>
      <c r="CO81" s="13">
        <v>0</v>
      </c>
      <c r="CP81" s="13">
        <v>4862.83</v>
      </c>
      <c r="CQ81" s="13">
        <v>2887.25</v>
      </c>
      <c r="CR81" s="13">
        <v>194003.08</v>
      </c>
      <c r="CS81" s="13">
        <v>22593.61</v>
      </c>
      <c r="CT81" s="13">
        <v>665.64</v>
      </c>
      <c r="CU81" s="13">
        <v>3221.91</v>
      </c>
      <c r="CV81" s="13">
        <v>2039</v>
      </c>
      <c r="CW81" s="202">
        <v>6617</v>
      </c>
      <c r="CX81" s="200">
        <v>3796</v>
      </c>
      <c r="CY81" s="202"/>
      <c r="CZ81" s="202"/>
      <c r="DA81" s="202"/>
      <c r="DB81" s="202"/>
      <c r="DC81" s="202"/>
      <c r="DD81" s="461"/>
      <c r="DE81" s="256"/>
      <c r="DF81" s="202"/>
      <c r="DG81" s="202"/>
      <c r="DH81" s="202"/>
      <c r="DI81" s="204">
        <v>1182</v>
      </c>
      <c r="DJ81" s="202">
        <v>17200</v>
      </c>
      <c r="DK81" s="202"/>
      <c r="DL81" s="202"/>
      <c r="DM81" s="202"/>
      <c r="DN81" s="202"/>
      <c r="DO81" s="202"/>
      <c r="DP81" s="202">
        <v>46356</v>
      </c>
      <c r="DQ81" s="202">
        <v>2720</v>
      </c>
      <c r="DR81" s="202">
        <v>1.6</v>
      </c>
      <c r="DS81" s="202"/>
      <c r="DT81" s="254"/>
      <c r="DU81" s="254"/>
      <c r="DV81" s="202"/>
      <c r="DW81" s="202">
        <v>35361</v>
      </c>
      <c r="DX81" s="202"/>
      <c r="DY81" s="107">
        <v>1365</v>
      </c>
      <c r="DZ81" s="107">
        <v>577</v>
      </c>
      <c r="EA81" s="202"/>
      <c r="EB81" s="202"/>
      <c r="EC81" s="202"/>
      <c r="ED81" s="202"/>
      <c r="EE81" s="202"/>
      <c r="EF81" s="229"/>
      <c r="EG81" s="202"/>
      <c r="EH81" s="202"/>
      <c r="EI81" s="202"/>
      <c r="EJ81" s="202"/>
      <c r="EK81" s="202">
        <v>19045.71</v>
      </c>
      <c r="EL81" s="202">
        <v>0</v>
      </c>
      <c r="EM81" s="202">
        <v>4864.32</v>
      </c>
      <c r="EN81" s="202">
        <v>2878.03</v>
      </c>
      <c r="EO81" s="202">
        <v>19045.71</v>
      </c>
      <c r="EP81" s="202"/>
      <c r="EQ81" s="202">
        <v>4864.32</v>
      </c>
      <c r="ER81" s="202">
        <v>2878.03</v>
      </c>
      <c r="ES81" s="202"/>
      <c r="ET81" s="202"/>
      <c r="EU81" s="202"/>
      <c r="EV81" s="214">
        <v>-21.39</v>
      </c>
      <c r="EW81" s="240">
        <f t="shared" si="73"/>
        <v>16618.3</v>
      </c>
      <c r="EX81" s="209">
        <f t="shared" si="74"/>
        <v>10816.08</v>
      </c>
    </row>
    <row r="82" spans="1:154" ht="12.75" customHeight="1" x14ac:dyDescent="0.2">
      <c r="A82" s="45" t="s">
        <v>132</v>
      </c>
      <c r="B82" s="123" t="s">
        <v>108</v>
      </c>
      <c r="C82" s="124" t="s">
        <v>111</v>
      </c>
      <c r="D82" s="125" t="s">
        <v>630</v>
      </c>
      <c r="E82" s="124" t="s">
        <v>12</v>
      </c>
      <c r="F82" s="11">
        <v>9</v>
      </c>
      <c r="G82" s="11">
        <v>2</v>
      </c>
      <c r="H82" s="11">
        <v>72</v>
      </c>
      <c r="I82" s="11">
        <v>73</v>
      </c>
      <c r="J82" s="11">
        <v>171</v>
      </c>
      <c r="K82" s="11">
        <v>198</v>
      </c>
      <c r="L82" s="11">
        <v>2</v>
      </c>
      <c r="M82" s="84">
        <v>649</v>
      </c>
      <c r="N82" s="84">
        <v>616</v>
      </c>
      <c r="O82" s="84">
        <v>0</v>
      </c>
      <c r="P82" s="135">
        <v>649</v>
      </c>
      <c r="Q82" s="135">
        <v>616.29999999999995</v>
      </c>
      <c r="R82" s="133">
        <v>0</v>
      </c>
      <c r="S82" s="133">
        <f t="shared" si="75"/>
        <v>1265.3</v>
      </c>
      <c r="T82" s="134">
        <v>649</v>
      </c>
      <c r="U82" s="130">
        <v>2.44</v>
      </c>
      <c r="V82" s="131">
        <v>1.9800000000000002E-2</v>
      </c>
      <c r="W82" s="131">
        <v>1.9800000000000002E-2</v>
      </c>
      <c r="X82" s="132">
        <v>1.32E-3</v>
      </c>
      <c r="Y82" s="131">
        <v>3.9699999999999999E-2</v>
      </c>
      <c r="Z82" s="29">
        <v>3839.7</v>
      </c>
      <c r="AA82" s="34"/>
      <c r="AB82" s="9">
        <f t="shared" si="32"/>
        <v>3839.7</v>
      </c>
      <c r="AC82" s="9">
        <f t="shared" si="39"/>
        <v>24305.3</v>
      </c>
      <c r="AD82" s="9">
        <v>2.3199999999999998</v>
      </c>
      <c r="AE82" s="9">
        <v>4.17</v>
      </c>
      <c r="AF82" s="21">
        <f>2.48-AJ82</f>
        <v>2.33</v>
      </c>
      <c r="AG82" s="18">
        <f>0.62-AQ82</f>
        <v>0.56999999999999995</v>
      </c>
      <c r="AH82" s="9">
        <v>2.78</v>
      </c>
      <c r="AI82" s="43">
        <v>591</v>
      </c>
      <c r="AJ82" s="21">
        <f t="shared" si="48"/>
        <v>0.15</v>
      </c>
      <c r="AK82" s="9">
        <v>2.25</v>
      </c>
      <c r="AL82" s="9">
        <v>0.2</v>
      </c>
      <c r="AM82" s="9">
        <v>0</v>
      </c>
      <c r="AN82" s="13"/>
      <c r="AO82" s="13">
        <v>422.4</v>
      </c>
      <c r="AP82" s="13">
        <f t="shared" si="77"/>
        <v>5.58</v>
      </c>
      <c r="AQ82" s="18">
        <f t="shared" si="49"/>
        <v>0.05</v>
      </c>
      <c r="AR82" s="9">
        <v>0.59</v>
      </c>
      <c r="AS82" s="9">
        <v>0.36</v>
      </c>
      <c r="AT82" s="9">
        <v>7.0000000000000007E-2</v>
      </c>
      <c r="AU82" s="9">
        <v>3.85</v>
      </c>
      <c r="AV82" s="9">
        <v>0.17</v>
      </c>
      <c r="AW82" s="9">
        <f>1.42+0.34+0.26</f>
        <v>2.02</v>
      </c>
      <c r="AX82" s="9">
        <f>2+0.45</f>
        <v>2.4500000000000002</v>
      </c>
      <c r="AY82" s="126">
        <f t="shared" si="78"/>
        <v>24.33</v>
      </c>
      <c r="AZ82" s="127">
        <v>3826.6</v>
      </c>
      <c r="BA82" s="127">
        <v>0</v>
      </c>
      <c r="BB82" s="127">
        <f t="shared" si="30"/>
        <v>3826.6</v>
      </c>
      <c r="BC82" s="127">
        <v>24.33</v>
      </c>
      <c r="BD82" s="13">
        <f t="shared" si="76"/>
        <v>0</v>
      </c>
      <c r="BE82" s="9">
        <f t="shared" si="50"/>
        <v>93419.9</v>
      </c>
      <c r="BF82" s="9">
        <v>24.33</v>
      </c>
      <c r="BG82" s="10">
        <v>44378</v>
      </c>
      <c r="BH82" s="9">
        <f t="shared" si="51"/>
        <v>8908.1</v>
      </c>
      <c r="BI82" s="9">
        <f t="shared" si="52"/>
        <v>16011.55</v>
      </c>
      <c r="BJ82" s="9">
        <f t="shared" si="53"/>
        <v>8946.5</v>
      </c>
      <c r="BK82" s="9">
        <f t="shared" si="54"/>
        <v>2188.63</v>
      </c>
      <c r="BL82" s="9">
        <f t="shared" si="55"/>
        <v>10674.37</v>
      </c>
      <c r="BM82" s="9">
        <f t="shared" si="56"/>
        <v>575.96</v>
      </c>
      <c r="BN82" s="9">
        <f t="shared" si="57"/>
        <v>8639.33</v>
      </c>
      <c r="BO82" s="9">
        <f t="shared" si="58"/>
        <v>767.94</v>
      </c>
      <c r="BP82" s="9">
        <f t="shared" si="59"/>
        <v>0</v>
      </c>
      <c r="BQ82" s="9">
        <f t="shared" si="60"/>
        <v>191.99</v>
      </c>
      <c r="BR82" s="9">
        <f t="shared" si="61"/>
        <v>2265.42</v>
      </c>
      <c r="BS82" s="9">
        <f t="shared" si="62"/>
        <v>1382.29</v>
      </c>
      <c r="BT82" s="9">
        <f t="shared" si="63"/>
        <v>268.77999999999997</v>
      </c>
      <c r="BU82" s="9">
        <f t="shared" si="64"/>
        <v>14782.85</v>
      </c>
      <c r="BV82" s="9">
        <f t="shared" si="65"/>
        <v>652.75</v>
      </c>
      <c r="BW82" s="9">
        <f t="shared" si="66"/>
        <v>7756.19</v>
      </c>
      <c r="BX82" s="9">
        <f t="shared" si="67"/>
        <v>9407.27</v>
      </c>
      <c r="BY82" s="17">
        <f t="shared" si="68"/>
        <v>93419.92</v>
      </c>
      <c r="BZ82" s="17">
        <v>3.09</v>
      </c>
      <c r="CA82" s="17">
        <v>0.09</v>
      </c>
      <c r="CB82" s="17">
        <v>0.56999999999999995</v>
      </c>
      <c r="CC82" s="27">
        <v>0.1</v>
      </c>
      <c r="CD82" s="29">
        <v>6.33</v>
      </c>
      <c r="CE82" s="9">
        <v>4172.9799999999996</v>
      </c>
      <c r="CF82" s="9"/>
      <c r="CG82" s="9">
        <v>347.26</v>
      </c>
      <c r="CH82" s="9">
        <v>364.53</v>
      </c>
      <c r="CI82" s="9">
        <f t="shared" si="79"/>
        <v>1.0900000000000001</v>
      </c>
      <c r="CJ82" s="9">
        <f t="shared" si="80"/>
        <v>0</v>
      </c>
      <c r="CK82" s="13">
        <f t="shared" si="81"/>
        <v>0.09</v>
      </c>
      <c r="CL82" s="13">
        <f t="shared" si="82"/>
        <v>0.09</v>
      </c>
      <c r="CM82" s="13">
        <v>93419.92</v>
      </c>
      <c r="CN82" s="13">
        <v>3878</v>
      </c>
      <c r="CO82" s="13">
        <v>1881.52</v>
      </c>
      <c r="CP82" s="13">
        <v>345.66</v>
      </c>
      <c r="CQ82" s="13">
        <v>345.64</v>
      </c>
      <c r="CR82" s="13">
        <v>91830.26</v>
      </c>
      <c r="CS82" s="13">
        <v>7083.16</v>
      </c>
      <c r="CT82" s="13">
        <v>500.46</v>
      </c>
      <c r="CU82" s="13">
        <v>339.74</v>
      </c>
      <c r="CV82" s="13">
        <v>344.08</v>
      </c>
      <c r="CW82" s="202">
        <v>3345</v>
      </c>
      <c r="CX82" s="200">
        <v>1919</v>
      </c>
      <c r="CY82" s="202"/>
      <c r="CZ82" s="202"/>
      <c r="DA82" s="202"/>
      <c r="DB82" s="202"/>
      <c r="DC82" s="202"/>
      <c r="DD82" s="461"/>
      <c r="DE82" s="256"/>
      <c r="DF82" s="202"/>
      <c r="DG82" s="202"/>
      <c r="DH82" s="202"/>
      <c r="DI82" s="204">
        <v>591</v>
      </c>
      <c r="DJ82" s="202">
        <v>8600</v>
      </c>
      <c r="DK82" s="202"/>
      <c r="DL82" s="202"/>
      <c r="DM82" s="202">
        <v>25283</v>
      </c>
      <c r="DN82" s="202">
        <v>765</v>
      </c>
      <c r="DO82" s="202">
        <v>0.45</v>
      </c>
      <c r="DP82" s="202"/>
      <c r="DQ82" s="202"/>
      <c r="DR82" s="202"/>
      <c r="DS82" s="202"/>
      <c r="DT82" s="254"/>
      <c r="DU82" s="254"/>
      <c r="DV82" s="202"/>
      <c r="DW82" s="202"/>
      <c r="DX82" s="202">
        <v>17766</v>
      </c>
      <c r="DY82" s="107">
        <v>1365</v>
      </c>
      <c r="DZ82" s="107"/>
      <c r="EA82" s="202"/>
      <c r="EB82" s="202"/>
      <c r="EC82" s="202"/>
      <c r="ED82" s="202"/>
      <c r="EE82" s="202"/>
      <c r="EF82" s="229"/>
      <c r="EG82" s="202"/>
      <c r="EH82" s="202"/>
      <c r="EI82" s="202"/>
      <c r="EJ82" s="202"/>
      <c r="EK82" s="202">
        <v>3877.99</v>
      </c>
      <c r="EL82" s="202">
        <v>1878.49</v>
      </c>
      <c r="EM82" s="202">
        <v>347.26</v>
      </c>
      <c r="EN82" s="202">
        <v>364.53</v>
      </c>
      <c r="EO82" s="202">
        <v>3877.99</v>
      </c>
      <c r="EP82" s="202"/>
      <c r="EQ82" s="202">
        <v>347.26</v>
      </c>
      <c r="ER82" s="202">
        <v>364.53</v>
      </c>
      <c r="ES82" s="202"/>
      <c r="ET82" s="202"/>
      <c r="EU82" s="202"/>
      <c r="EV82" s="214">
        <v>2.15</v>
      </c>
      <c r="EW82" s="240">
        <f t="shared" si="73"/>
        <v>8398.0400000000009</v>
      </c>
      <c r="EX82" s="209">
        <f t="shared" si="74"/>
        <v>5465.89</v>
      </c>
    </row>
    <row r="83" spans="1:154" ht="12.75" customHeight="1" x14ac:dyDescent="0.2">
      <c r="A83" s="45" t="s">
        <v>134</v>
      </c>
      <c r="B83" s="117" t="s">
        <v>108</v>
      </c>
      <c r="C83" s="118" t="s">
        <v>113</v>
      </c>
      <c r="D83" s="119" t="s">
        <v>692</v>
      </c>
      <c r="E83" s="118" t="s">
        <v>44</v>
      </c>
      <c r="F83" s="11">
        <v>5</v>
      </c>
      <c r="G83" s="11">
        <v>4</v>
      </c>
      <c r="H83" s="11">
        <v>80</v>
      </c>
      <c r="I83" s="11">
        <v>0</v>
      </c>
      <c r="J83" s="11">
        <v>143</v>
      </c>
      <c r="K83" s="11">
        <v>153</v>
      </c>
      <c r="L83" s="11" t="s">
        <v>746</v>
      </c>
      <c r="M83" s="84">
        <v>259</v>
      </c>
      <c r="N83" s="84">
        <v>879</v>
      </c>
      <c r="O83" s="84">
        <v>0</v>
      </c>
      <c r="P83" s="135">
        <v>259</v>
      </c>
      <c r="Q83" s="135">
        <v>417.3</v>
      </c>
      <c r="R83" s="133">
        <v>0</v>
      </c>
      <c r="S83" s="133">
        <f t="shared" si="75"/>
        <v>676.3</v>
      </c>
      <c r="T83" s="134">
        <v>259</v>
      </c>
      <c r="U83" s="130">
        <v>1.53</v>
      </c>
      <c r="V83" s="131">
        <v>1.9800000000000002E-2</v>
      </c>
      <c r="W83" s="91">
        <v>1.9800000000000002E-2</v>
      </c>
      <c r="X83" s="132">
        <v>1.32E-3</v>
      </c>
      <c r="Y83" s="131">
        <v>3.95E-2</v>
      </c>
      <c r="Z83" s="29">
        <v>3316.6</v>
      </c>
      <c r="AA83" s="34">
        <v>345.6</v>
      </c>
      <c r="AB83" s="9">
        <f t="shared" si="32"/>
        <v>3662.2</v>
      </c>
      <c r="AC83" s="9">
        <f t="shared" si="39"/>
        <v>23181.73</v>
      </c>
      <c r="AD83" s="9">
        <v>0.35</v>
      </c>
      <c r="AE83" s="9">
        <v>3.78</v>
      </c>
      <c r="AF83" s="21">
        <f>2.41-AJ83</f>
        <v>2.1800000000000002</v>
      </c>
      <c r="AG83" s="18">
        <f>0.53-AQ83</f>
        <v>0.43</v>
      </c>
      <c r="AH83" s="9">
        <v>2.78</v>
      </c>
      <c r="AI83" s="43">
        <v>844</v>
      </c>
      <c r="AJ83" s="21">
        <f t="shared" si="48"/>
        <v>0.23</v>
      </c>
      <c r="AK83" s="9">
        <v>0</v>
      </c>
      <c r="AL83" s="9">
        <v>0</v>
      </c>
      <c r="AM83" s="9">
        <v>0.32</v>
      </c>
      <c r="AN83" s="13"/>
      <c r="AO83" s="13">
        <v>801.6</v>
      </c>
      <c r="AP83" s="13">
        <f t="shared" si="77"/>
        <v>5.58</v>
      </c>
      <c r="AQ83" s="18">
        <f t="shared" si="49"/>
        <v>0.1</v>
      </c>
      <c r="AR83" s="9">
        <v>0.78</v>
      </c>
      <c r="AS83" s="9">
        <v>0.37</v>
      </c>
      <c r="AT83" s="9">
        <v>7.0000000000000007E-2</v>
      </c>
      <c r="AU83" s="9">
        <v>4.57</v>
      </c>
      <c r="AV83" s="9">
        <v>0.12</v>
      </c>
      <c r="AW83" s="9">
        <f>1.02+0.31+0.4</f>
        <v>1.73</v>
      </c>
      <c r="AX83" s="9">
        <f>1.4+0.54</f>
        <v>1.94</v>
      </c>
      <c r="AY83" s="120">
        <f t="shared" si="78"/>
        <v>19.75</v>
      </c>
      <c r="AZ83" s="121">
        <v>3315.3</v>
      </c>
      <c r="BA83" s="121">
        <v>345.6</v>
      </c>
      <c r="BB83" s="121">
        <f t="shared" si="30"/>
        <v>3660.9</v>
      </c>
      <c r="BC83" s="121">
        <v>19.75</v>
      </c>
      <c r="BD83" s="13">
        <f t="shared" si="76"/>
        <v>0</v>
      </c>
      <c r="BE83" s="9">
        <f t="shared" si="50"/>
        <v>72328.45</v>
      </c>
      <c r="BF83" s="9">
        <v>19.75</v>
      </c>
      <c r="BG83" s="10">
        <v>44409</v>
      </c>
      <c r="BH83" s="9">
        <f t="shared" si="51"/>
        <v>1281.77</v>
      </c>
      <c r="BI83" s="9">
        <f t="shared" si="52"/>
        <v>13843.12</v>
      </c>
      <c r="BJ83" s="9">
        <f t="shared" si="53"/>
        <v>7983.6</v>
      </c>
      <c r="BK83" s="9">
        <f t="shared" si="54"/>
        <v>1574.75</v>
      </c>
      <c r="BL83" s="9">
        <f t="shared" si="55"/>
        <v>10180.92</v>
      </c>
      <c r="BM83" s="9">
        <f t="shared" si="56"/>
        <v>842.31</v>
      </c>
      <c r="BN83" s="9">
        <f t="shared" si="57"/>
        <v>0</v>
      </c>
      <c r="BO83" s="9">
        <f t="shared" si="58"/>
        <v>0</v>
      </c>
      <c r="BP83" s="9">
        <f t="shared" si="59"/>
        <v>1171.9000000000001</v>
      </c>
      <c r="BQ83" s="9">
        <f t="shared" si="60"/>
        <v>366.22</v>
      </c>
      <c r="BR83" s="9">
        <f t="shared" si="61"/>
        <v>2856.52</v>
      </c>
      <c r="BS83" s="9">
        <f t="shared" si="62"/>
        <v>1355.01</v>
      </c>
      <c r="BT83" s="9">
        <f t="shared" si="63"/>
        <v>256.35000000000002</v>
      </c>
      <c r="BU83" s="9">
        <f t="shared" si="64"/>
        <v>16736.25</v>
      </c>
      <c r="BV83" s="9">
        <f t="shared" si="65"/>
        <v>439.46</v>
      </c>
      <c r="BW83" s="9">
        <f t="shared" si="66"/>
        <v>6335.61</v>
      </c>
      <c r="BX83" s="9">
        <f t="shared" si="67"/>
        <v>7104.67</v>
      </c>
      <c r="BY83" s="17">
        <f t="shared" si="68"/>
        <v>72328.460000000006</v>
      </c>
      <c r="BZ83" s="17">
        <v>1.83</v>
      </c>
      <c r="CA83" s="17">
        <v>0.04</v>
      </c>
      <c r="CB83" s="17">
        <v>0.24</v>
      </c>
      <c r="CC83" s="27">
        <v>0.04</v>
      </c>
      <c r="CD83" s="29">
        <v>6.33</v>
      </c>
      <c r="CE83" s="9">
        <v>1517.71</v>
      </c>
      <c r="CF83" s="9"/>
      <c r="CG83" s="9">
        <v>2459.1799999999998</v>
      </c>
      <c r="CH83" s="9">
        <v>1360.02</v>
      </c>
      <c r="CI83" s="9">
        <f t="shared" si="79"/>
        <v>0.41</v>
      </c>
      <c r="CJ83" s="9">
        <f t="shared" si="80"/>
        <v>0</v>
      </c>
      <c r="CK83" s="13">
        <f t="shared" si="81"/>
        <v>0.67</v>
      </c>
      <c r="CL83" s="13">
        <f t="shared" si="82"/>
        <v>0.37</v>
      </c>
      <c r="CM83" s="13">
        <v>65503.06</v>
      </c>
      <c r="CN83" s="13">
        <v>1359.78</v>
      </c>
      <c r="CO83" s="13">
        <v>0</v>
      </c>
      <c r="CP83" s="13">
        <v>1525.62</v>
      </c>
      <c r="CQ83" s="13">
        <v>862.3</v>
      </c>
      <c r="CR83" s="13">
        <v>64782.42</v>
      </c>
      <c r="CS83" s="13">
        <v>1827.91</v>
      </c>
      <c r="CT83" s="13">
        <v>130.83000000000001</v>
      </c>
      <c r="CU83" s="13">
        <v>801.85</v>
      </c>
      <c r="CV83" s="13">
        <v>485.24</v>
      </c>
      <c r="CW83" s="202">
        <v>3191</v>
      </c>
      <c r="CX83" s="200">
        <v>1830</v>
      </c>
      <c r="CY83" s="202"/>
      <c r="CZ83" s="202"/>
      <c r="DA83" s="202"/>
      <c r="DB83" s="202"/>
      <c r="DC83" s="202"/>
      <c r="DD83" s="461"/>
      <c r="DE83" s="256"/>
      <c r="DF83" s="202"/>
      <c r="DG83" s="202"/>
      <c r="DH83" s="202"/>
      <c r="DI83" s="204">
        <v>844</v>
      </c>
      <c r="DJ83" s="202"/>
      <c r="DK83" s="202"/>
      <c r="DL83" s="202"/>
      <c r="DM83" s="202">
        <v>15471</v>
      </c>
      <c r="DN83" s="202">
        <v>2839</v>
      </c>
      <c r="DO83" s="202">
        <v>1.67</v>
      </c>
      <c r="DP83" s="202"/>
      <c r="DQ83" s="202"/>
      <c r="DR83" s="202"/>
      <c r="DS83" s="202">
        <v>8730</v>
      </c>
      <c r="DT83" s="254">
        <v>274</v>
      </c>
      <c r="DU83" s="254">
        <v>188</v>
      </c>
      <c r="DV83" s="202"/>
      <c r="DW83" s="202">
        <v>16601</v>
      </c>
      <c r="DX83" s="202"/>
      <c r="DY83" s="107">
        <v>1365</v>
      </c>
      <c r="DZ83" s="107">
        <f>577*2</f>
        <v>1154</v>
      </c>
      <c r="EA83" s="202">
        <v>1843.92</v>
      </c>
      <c r="EB83" s="202"/>
      <c r="EC83" s="202"/>
      <c r="ED83" s="202"/>
      <c r="EE83" s="202"/>
      <c r="EF83" s="229"/>
      <c r="EG83" s="202"/>
      <c r="EH83" s="202"/>
      <c r="EI83" s="202"/>
      <c r="EJ83" s="202"/>
      <c r="EK83" s="202">
        <v>1517.71</v>
      </c>
      <c r="EL83" s="202">
        <v>0</v>
      </c>
      <c r="EM83" s="202">
        <v>1675.49</v>
      </c>
      <c r="EN83" s="202">
        <v>949.73</v>
      </c>
      <c r="EO83" s="202">
        <v>1517.71</v>
      </c>
      <c r="EP83" s="202"/>
      <c r="EQ83" s="202">
        <v>1675.49</v>
      </c>
      <c r="ER83" s="202">
        <v>949.73</v>
      </c>
      <c r="ES83" s="202"/>
      <c r="ET83" s="202"/>
      <c r="EU83" s="202"/>
      <c r="EV83" s="214">
        <v>-2.95</v>
      </c>
      <c r="EW83" s="240">
        <f t="shared" si="73"/>
        <v>8009.82</v>
      </c>
      <c r="EX83" s="209">
        <f t="shared" si="74"/>
        <v>5213.21</v>
      </c>
    </row>
    <row r="84" spans="1:154" ht="12.75" customHeight="1" x14ac:dyDescent="0.2">
      <c r="A84" s="45" t="s">
        <v>136</v>
      </c>
      <c r="B84" s="141" t="s">
        <v>108</v>
      </c>
      <c r="C84" s="142" t="s">
        <v>115</v>
      </c>
      <c r="D84" s="143" t="s">
        <v>421</v>
      </c>
      <c r="E84" s="142" t="s">
        <v>12</v>
      </c>
      <c r="F84" s="11">
        <v>5</v>
      </c>
      <c r="G84" s="11">
        <v>6</v>
      </c>
      <c r="H84" s="11">
        <v>90</v>
      </c>
      <c r="I84" s="11">
        <v>91</v>
      </c>
      <c r="J84" s="11">
        <v>215</v>
      </c>
      <c r="K84" s="11">
        <v>217</v>
      </c>
      <c r="L84" s="11" t="s">
        <v>746</v>
      </c>
      <c r="M84" s="84">
        <v>416</v>
      </c>
      <c r="N84" s="84">
        <v>1264</v>
      </c>
      <c r="O84" s="84">
        <v>0</v>
      </c>
      <c r="P84" s="135">
        <v>416</v>
      </c>
      <c r="Q84" s="135">
        <v>1012.1</v>
      </c>
      <c r="R84" s="133">
        <v>0</v>
      </c>
      <c r="S84" s="133">
        <f t="shared" si="75"/>
        <v>1428.1</v>
      </c>
      <c r="T84" s="134">
        <v>416</v>
      </c>
      <c r="U84" s="130">
        <v>1.53</v>
      </c>
      <c r="V84" s="131">
        <v>1.9800000000000002E-2</v>
      </c>
      <c r="W84" s="131">
        <v>1.9800000000000002E-2</v>
      </c>
      <c r="X84" s="132">
        <v>1.2199999999999999E-3</v>
      </c>
      <c r="Y84" s="131">
        <v>3.95E-2</v>
      </c>
      <c r="Z84" s="29">
        <v>3989.05</v>
      </c>
      <c r="AA84" s="34"/>
      <c r="AB84" s="9">
        <f t="shared" si="32"/>
        <v>3989.05</v>
      </c>
      <c r="AC84" s="9">
        <f t="shared" si="39"/>
        <v>25250.69</v>
      </c>
      <c r="AD84" s="9">
        <v>0.52</v>
      </c>
      <c r="AE84" s="9">
        <v>4.96</v>
      </c>
      <c r="AF84" s="21">
        <f>2.5-AJ84</f>
        <v>2.2000000000000002</v>
      </c>
      <c r="AG84" s="18">
        <f>0.56-AQ84</f>
        <v>0.45</v>
      </c>
      <c r="AH84" s="9">
        <v>2.78</v>
      </c>
      <c r="AI84" s="43">
        <v>1213</v>
      </c>
      <c r="AJ84" s="21">
        <f t="shared" si="48"/>
        <v>0.3</v>
      </c>
      <c r="AK84" s="9">
        <v>0</v>
      </c>
      <c r="AL84" s="9">
        <v>0</v>
      </c>
      <c r="AM84" s="9">
        <v>0.14000000000000001</v>
      </c>
      <c r="AN84" s="13"/>
      <c r="AO84" s="13">
        <v>901.8</v>
      </c>
      <c r="AP84" s="13">
        <f t="shared" si="77"/>
        <v>5.58</v>
      </c>
      <c r="AQ84" s="18">
        <f t="shared" si="49"/>
        <v>0.11</v>
      </c>
      <c r="AR84" s="9">
        <v>0.79</v>
      </c>
      <c r="AS84" s="9">
        <v>0.34</v>
      </c>
      <c r="AT84" s="9">
        <v>7.0000000000000007E-2</v>
      </c>
      <c r="AU84" s="9">
        <v>3.57</v>
      </c>
      <c r="AV84" s="9">
        <v>0.13</v>
      </c>
      <c r="AW84" s="9">
        <f>1.13+0.32+0.32</f>
        <v>1.77</v>
      </c>
      <c r="AX84" s="9">
        <f>1.55+0.43</f>
        <v>1.98</v>
      </c>
      <c r="AY84" s="144">
        <f t="shared" si="78"/>
        <v>20.11</v>
      </c>
      <c r="AZ84" s="145">
        <v>3985.4</v>
      </c>
      <c r="BA84" s="145">
        <v>0</v>
      </c>
      <c r="BB84" s="145">
        <f t="shared" si="30"/>
        <v>3985.4</v>
      </c>
      <c r="BC84" s="145">
        <v>20.11</v>
      </c>
      <c r="BD84" s="13">
        <f t="shared" si="76"/>
        <v>0</v>
      </c>
      <c r="BE84" s="9">
        <f t="shared" si="50"/>
        <v>80219.8</v>
      </c>
      <c r="BF84" s="9">
        <v>20.11</v>
      </c>
      <c r="BG84" s="10">
        <v>44378</v>
      </c>
      <c r="BH84" s="9">
        <f t="shared" si="51"/>
        <v>2074.31</v>
      </c>
      <c r="BI84" s="9">
        <f t="shared" si="52"/>
        <v>19785.689999999999</v>
      </c>
      <c r="BJ84" s="9">
        <f t="shared" si="53"/>
        <v>8775.91</v>
      </c>
      <c r="BK84" s="9">
        <f t="shared" si="54"/>
        <v>1795.07</v>
      </c>
      <c r="BL84" s="9">
        <f t="shared" si="55"/>
        <v>11089.56</v>
      </c>
      <c r="BM84" s="9">
        <f t="shared" si="56"/>
        <v>1196.72</v>
      </c>
      <c r="BN84" s="9">
        <f t="shared" si="57"/>
        <v>0</v>
      </c>
      <c r="BO84" s="9">
        <f t="shared" si="58"/>
        <v>0</v>
      </c>
      <c r="BP84" s="9">
        <f t="shared" si="59"/>
        <v>558.47</v>
      </c>
      <c r="BQ84" s="9">
        <f t="shared" si="60"/>
        <v>438.8</v>
      </c>
      <c r="BR84" s="9">
        <f t="shared" si="61"/>
        <v>3151.35</v>
      </c>
      <c r="BS84" s="9">
        <f t="shared" si="62"/>
        <v>1356.28</v>
      </c>
      <c r="BT84" s="9">
        <f t="shared" si="63"/>
        <v>279.23</v>
      </c>
      <c r="BU84" s="9">
        <f t="shared" si="64"/>
        <v>14240.91</v>
      </c>
      <c r="BV84" s="9">
        <f t="shared" si="65"/>
        <v>518.58000000000004</v>
      </c>
      <c r="BW84" s="9">
        <f t="shared" si="66"/>
        <v>7060.62</v>
      </c>
      <c r="BX84" s="9">
        <f t="shared" si="67"/>
        <v>7898.32</v>
      </c>
      <c r="BY84" s="17">
        <f t="shared" si="68"/>
        <v>80219.820000000007</v>
      </c>
      <c r="BZ84" s="17">
        <v>2.4700000000000002</v>
      </c>
      <c r="CA84" s="17">
        <v>0.06</v>
      </c>
      <c r="CB84" s="17">
        <v>0.33</v>
      </c>
      <c r="CC84" s="27">
        <v>0.06</v>
      </c>
      <c r="CD84" s="29">
        <v>6.33</v>
      </c>
      <c r="CE84" s="9">
        <v>13203.54</v>
      </c>
      <c r="CF84" s="9"/>
      <c r="CG84" s="9">
        <v>0</v>
      </c>
      <c r="CH84" s="9">
        <v>116.53</v>
      </c>
      <c r="CI84" s="9">
        <f t="shared" si="79"/>
        <v>3.31</v>
      </c>
      <c r="CJ84" s="9">
        <f t="shared" si="80"/>
        <v>0</v>
      </c>
      <c r="CK84" s="13">
        <f t="shared" si="81"/>
        <v>0</v>
      </c>
      <c r="CL84" s="13">
        <f t="shared" si="82"/>
        <v>0.03</v>
      </c>
      <c r="CM84" s="13">
        <v>80219.850000000006</v>
      </c>
      <c r="CN84" s="13">
        <v>6103.19</v>
      </c>
      <c r="CO84" s="13">
        <v>3869.43</v>
      </c>
      <c r="CP84" s="13">
        <v>0</v>
      </c>
      <c r="CQ84" s="13">
        <v>119.62</v>
      </c>
      <c r="CR84" s="13">
        <v>76832.639999999999</v>
      </c>
      <c r="CS84" s="13">
        <v>7775.83</v>
      </c>
      <c r="CT84" s="13">
        <v>1087.8900000000001</v>
      </c>
      <c r="CU84" s="13">
        <v>194.06</v>
      </c>
      <c r="CV84" s="13">
        <v>212.09</v>
      </c>
      <c r="CW84" s="202">
        <v>3475</v>
      </c>
      <c r="CX84" s="200">
        <v>1994</v>
      </c>
      <c r="CY84" s="202"/>
      <c r="CZ84" s="202"/>
      <c r="DA84" s="202"/>
      <c r="DB84" s="202"/>
      <c r="DC84" s="202"/>
      <c r="DD84" s="461"/>
      <c r="DE84" s="256"/>
      <c r="DF84" s="202"/>
      <c r="DG84" s="202"/>
      <c r="DH84" s="202"/>
      <c r="DI84" s="204">
        <v>1213</v>
      </c>
      <c r="DJ84" s="202"/>
      <c r="DK84" s="202"/>
      <c r="DL84" s="202"/>
      <c r="DM84" s="202">
        <v>22249</v>
      </c>
      <c r="DN84" s="202">
        <v>765</v>
      </c>
      <c r="DO84" s="202">
        <v>0.45</v>
      </c>
      <c r="DP84" s="202"/>
      <c r="DQ84" s="202"/>
      <c r="DR84" s="202"/>
      <c r="DS84" s="202"/>
      <c r="DT84" s="254"/>
      <c r="DU84" s="254"/>
      <c r="DV84" s="202"/>
      <c r="DW84" s="202"/>
      <c r="DX84" s="202">
        <v>18437</v>
      </c>
      <c r="DY84" s="107">
        <v>1365</v>
      </c>
      <c r="DZ84" s="107">
        <v>577</v>
      </c>
      <c r="EA84" s="202"/>
      <c r="EB84" s="202"/>
      <c r="EC84" s="202"/>
      <c r="ED84" s="202"/>
      <c r="EE84" s="202"/>
      <c r="EF84" s="229"/>
      <c r="EG84" s="202"/>
      <c r="EH84" s="202"/>
      <c r="EI84" s="202"/>
      <c r="EJ84" s="202"/>
      <c r="EK84" s="202">
        <v>6118.58</v>
      </c>
      <c r="EL84" s="202">
        <v>3851.22</v>
      </c>
      <c r="EM84" s="202">
        <v>0</v>
      </c>
      <c r="EN84" s="202">
        <v>116.53</v>
      </c>
      <c r="EO84" s="202">
        <v>6118.58</v>
      </c>
      <c r="EP84" s="202"/>
      <c r="EQ84" s="202">
        <v>0</v>
      </c>
      <c r="ER84" s="202">
        <v>116.53</v>
      </c>
      <c r="ES84" s="202"/>
      <c r="ET84" s="202"/>
      <c r="EU84" s="202"/>
      <c r="EV84" s="214">
        <v>-6.05</v>
      </c>
      <c r="EW84" s="240">
        <f t="shared" si="73"/>
        <v>8724.69</v>
      </c>
      <c r="EX84" s="209">
        <f t="shared" si="74"/>
        <v>5678.49</v>
      </c>
    </row>
    <row r="85" spans="1:154" ht="12.75" customHeight="1" x14ac:dyDescent="0.2">
      <c r="A85" s="45" t="s">
        <v>138</v>
      </c>
      <c r="B85" s="117" t="s">
        <v>108</v>
      </c>
      <c r="C85" s="118" t="s">
        <v>117</v>
      </c>
      <c r="D85" s="119" t="s">
        <v>422</v>
      </c>
      <c r="E85" s="118" t="s">
        <v>12</v>
      </c>
      <c r="F85" s="11">
        <v>5</v>
      </c>
      <c r="G85" s="11">
        <v>4</v>
      </c>
      <c r="H85" s="11">
        <v>80</v>
      </c>
      <c r="I85" s="11">
        <v>0</v>
      </c>
      <c r="J85" s="11">
        <v>168</v>
      </c>
      <c r="K85" s="11">
        <v>196</v>
      </c>
      <c r="L85" s="11" t="s">
        <v>746</v>
      </c>
      <c r="M85" s="84">
        <v>278</v>
      </c>
      <c r="N85" s="84">
        <v>920</v>
      </c>
      <c r="O85" s="84">
        <v>0</v>
      </c>
      <c r="P85" s="135">
        <v>278</v>
      </c>
      <c r="Q85" s="135">
        <v>704</v>
      </c>
      <c r="R85" s="133">
        <v>0</v>
      </c>
      <c r="S85" s="133">
        <f t="shared" si="75"/>
        <v>982</v>
      </c>
      <c r="T85" s="134">
        <v>278</v>
      </c>
      <c r="U85" s="130">
        <v>1.53</v>
      </c>
      <c r="V85" s="131">
        <v>1.9800000000000002E-2</v>
      </c>
      <c r="W85" s="131">
        <v>1.9800000000000002E-2</v>
      </c>
      <c r="X85" s="132">
        <v>1.2199999999999999E-3</v>
      </c>
      <c r="Y85" s="131">
        <v>3.95E-2</v>
      </c>
      <c r="Z85" s="29">
        <v>3426.74</v>
      </c>
      <c r="AA85" s="34">
        <v>71.900000000000006</v>
      </c>
      <c r="AB85" s="9">
        <f t="shared" si="32"/>
        <v>3498.64</v>
      </c>
      <c r="AC85" s="9">
        <f t="shared" si="39"/>
        <v>22146.39</v>
      </c>
      <c r="AD85" s="9">
        <v>0.4</v>
      </c>
      <c r="AE85" s="9">
        <v>4.28</v>
      </c>
      <c r="AF85" s="21">
        <f>2.43-AJ85</f>
        <v>2.1800000000000002</v>
      </c>
      <c r="AG85" s="18">
        <f>0.54-AQ85</f>
        <v>0.43</v>
      </c>
      <c r="AH85" s="9">
        <v>2.78</v>
      </c>
      <c r="AI85" s="43">
        <v>883</v>
      </c>
      <c r="AJ85" s="21">
        <f t="shared" si="48"/>
        <v>0.25</v>
      </c>
      <c r="AK85" s="9">
        <v>0</v>
      </c>
      <c r="AL85" s="9">
        <v>0</v>
      </c>
      <c r="AM85" s="9">
        <v>0.27</v>
      </c>
      <c r="AN85" s="13"/>
      <c r="AO85" s="13">
        <v>801.6</v>
      </c>
      <c r="AP85" s="13">
        <f t="shared" si="77"/>
        <v>5.58</v>
      </c>
      <c r="AQ85" s="18">
        <f t="shared" si="49"/>
        <v>0.11</v>
      </c>
      <c r="AR85" s="9">
        <v>0.78</v>
      </c>
      <c r="AS85" s="9">
        <v>0.39</v>
      </c>
      <c r="AT85" s="9">
        <v>7.0000000000000007E-2</v>
      </c>
      <c r="AU85" s="9">
        <v>4.3</v>
      </c>
      <c r="AV85" s="9">
        <v>0.12</v>
      </c>
      <c r="AW85" s="9">
        <f>1.07+0.32+0.36</f>
        <v>1.75</v>
      </c>
      <c r="AX85" s="9">
        <f>1.47+0.51</f>
        <v>1.98</v>
      </c>
      <c r="AY85" s="120">
        <f t="shared" si="78"/>
        <v>20.09</v>
      </c>
      <c r="AZ85" s="121">
        <v>3423.3</v>
      </c>
      <c r="BA85" s="121">
        <v>71.900000000000006</v>
      </c>
      <c r="BB85" s="121">
        <f t="shared" si="30"/>
        <v>3495.2</v>
      </c>
      <c r="BC85" s="121">
        <v>20.09</v>
      </c>
      <c r="BD85" s="13">
        <f t="shared" si="76"/>
        <v>0</v>
      </c>
      <c r="BE85" s="9">
        <f t="shared" si="50"/>
        <v>70287.679999999993</v>
      </c>
      <c r="BF85" s="9">
        <v>20.09</v>
      </c>
      <c r="BG85" s="10">
        <v>44409</v>
      </c>
      <c r="BH85" s="9">
        <f t="shared" si="51"/>
        <v>1399.46</v>
      </c>
      <c r="BI85" s="9">
        <f t="shared" si="52"/>
        <v>14974.18</v>
      </c>
      <c r="BJ85" s="9">
        <f t="shared" si="53"/>
        <v>7627.04</v>
      </c>
      <c r="BK85" s="9">
        <f t="shared" si="54"/>
        <v>1504.42</v>
      </c>
      <c r="BL85" s="9">
        <f t="shared" si="55"/>
        <v>9726.2199999999993</v>
      </c>
      <c r="BM85" s="9">
        <f t="shared" si="56"/>
        <v>874.66</v>
      </c>
      <c r="BN85" s="9">
        <f t="shared" si="57"/>
        <v>0</v>
      </c>
      <c r="BO85" s="9">
        <f t="shared" si="58"/>
        <v>0</v>
      </c>
      <c r="BP85" s="9">
        <f t="shared" si="59"/>
        <v>944.63</v>
      </c>
      <c r="BQ85" s="9">
        <f t="shared" si="60"/>
        <v>384.85</v>
      </c>
      <c r="BR85" s="9">
        <f t="shared" si="61"/>
        <v>2728.94</v>
      </c>
      <c r="BS85" s="9">
        <f t="shared" si="62"/>
        <v>1364.47</v>
      </c>
      <c r="BT85" s="9">
        <f t="shared" si="63"/>
        <v>244.9</v>
      </c>
      <c r="BU85" s="9">
        <f t="shared" si="64"/>
        <v>15044.15</v>
      </c>
      <c r="BV85" s="9">
        <f t="shared" si="65"/>
        <v>419.84</v>
      </c>
      <c r="BW85" s="9">
        <f t="shared" si="66"/>
        <v>6122.62</v>
      </c>
      <c r="BX85" s="9">
        <f t="shared" si="67"/>
        <v>6927.31</v>
      </c>
      <c r="BY85" s="17">
        <f t="shared" si="68"/>
        <v>70287.69</v>
      </c>
      <c r="BZ85" s="17">
        <v>2.0099999999999998</v>
      </c>
      <c r="CA85" s="17">
        <v>0.04</v>
      </c>
      <c r="CB85" s="17">
        <v>0.25</v>
      </c>
      <c r="CC85" s="27">
        <v>0.04</v>
      </c>
      <c r="CD85" s="29">
        <v>6.33</v>
      </c>
      <c r="CE85" s="9">
        <v>1629.05</v>
      </c>
      <c r="CF85" s="9"/>
      <c r="CG85" s="9">
        <v>0</v>
      </c>
      <c r="CH85" s="9">
        <v>77.88</v>
      </c>
      <c r="CI85" s="9">
        <f t="shared" si="79"/>
        <v>0.47</v>
      </c>
      <c r="CJ85" s="9">
        <f t="shared" si="80"/>
        <v>0</v>
      </c>
      <c r="CK85" s="13">
        <f t="shared" si="81"/>
        <v>0</v>
      </c>
      <c r="CL85" s="13">
        <f t="shared" si="82"/>
        <v>0.02</v>
      </c>
      <c r="CM85" s="13">
        <v>68843.23</v>
      </c>
      <c r="CN85" s="13">
        <v>1610.54</v>
      </c>
      <c r="CO85" s="13">
        <v>0</v>
      </c>
      <c r="CP85" s="13">
        <v>0</v>
      </c>
      <c r="CQ85" s="13">
        <v>68.540000000000006</v>
      </c>
      <c r="CR85" s="13">
        <v>66750.28</v>
      </c>
      <c r="CS85" s="13">
        <v>1949.24</v>
      </c>
      <c r="CT85" s="13">
        <v>125.87</v>
      </c>
      <c r="CU85" s="13">
        <v>20.16</v>
      </c>
      <c r="CV85" s="13">
        <v>70.3</v>
      </c>
      <c r="CW85" s="202">
        <v>3048</v>
      </c>
      <c r="CX85" s="200">
        <v>1749</v>
      </c>
      <c r="CY85" s="202"/>
      <c r="CZ85" s="202"/>
      <c r="DA85" s="202"/>
      <c r="DB85" s="202"/>
      <c r="DC85" s="202"/>
      <c r="DD85" s="461"/>
      <c r="DE85" s="256"/>
      <c r="DF85" s="202"/>
      <c r="DG85" s="202"/>
      <c r="DH85" s="202"/>
      <c r="DI85" s="204">
        <v>883</v>
      </c>
      <c r="DJ85" s="202"/>
      <c r="DK85" s="202"/>
      <c r="DL85" s="202"/>
      <c r="DM85" s="202">
        <v>16684</v>
      </c>
      <c r="DN85" s="202">
        <v>2839</v>
      </c>
      <c r="DO85" s="202">
        <v>1.67</v>
      </c>
      <c r="DP85" s="202"/>
      <c r="DQ85" s="202"/>
      <c r="DR85" s="202"/>
      <c r="DS85" s="202">
        <v>9085</v>
      </c>
      <c r="DT85" s="254">
        <v>285</v>
      </c>
      <c r="DU85" s="254">
        <v>196</v>
      </c>
      <c r="DV85" s="202"/>
      <c r="DW85" s="202">
        <v>15897</v>
      </c>
      <c r="DX85" s="202"/>
      <c r="DY85" s="107">
        <v>1365</v>
      </c>
      <c r="DZ85" s="107">
        <v>942</v>
      </c>
      <c r="EA85" s="202"/>
      <c r="EB85" s="202"/>
      <c r="EC85" s="202"/>
      <c r="ED85" s="202"/>
      <c r="EE85" s="202"/>
      <c r="EF85" s="229"/>
      <c r="EG85" s="202"/>
      <c r="EH85" s="202"/>
      <c r="EI85" s="202"/>
      <c r="EJ85" s="202"/>
      <c r="EK85" s="202">
        <v>1629.05</v>
      </c>
      <c r="EL85" s="202">
        <v>0</v>
      </c>
      <c r="EM85" s="202">
        <v>0</v>
      </c>
      <c r="EN85" s="202">
        <v>77.88</v>
      </c>
      <c r="EO85" s="202">
        <v>1629.05</v>
      </c>
      <c r="EP85" s="202"/>
      <c r="EQ85" s="202">
        <v>0</v>
      </c>
      <c r="ER85" s="202">
        <v>77.88</v>
      </c>
      <c r="ES85" s="202"/>
      <c r="ET85" s="202"/>
      <c r="EU85" s="202"/>
      <c r="EV85" s="214">
        <v>-3.33</v>
      </c>
      <c r="EW85" s="240">
        <f t="shared" si="73"/>
        <v>7652.09</v>
      </c>
      <c r="EX85" s="209">
        <f t="shared" si="74"/>
        <v>4980.38</v>
      </c>
    </row>
    <row r="86" spans="1:154" ht="12.75" customHeight="1" x14ac:dyDescent="0.2">
      <c r="A86" s="45" t="s">
        <v>139</v>
      </c>
      <c r="B86" s="123" t="s">
        <v>108</v>
      </c>
      <c r="C86" s="124" t="s">
        <v>119</v>
      </c>
      <c r="D86" s="125" t="s">
        <v>423</v>
      </c>
      <c r="E86" s="124" t="s">
        <v>12</v>
      </c>
      <c r="F86" s="11">
        <v>9</v>
      </c>
      <c r="G86" s="11">
        <v>2</v>
      </c>
      <c r="H86" s="11">
        <v>72</v>
      </c>
      <c r="I86" s="11">
        <v>73</v>
      </c>
      <c r="J86" s="11">
        <v>176</v>
      </c>
      <c r="K86" s="11">
        <v>184</v>
      </c>
      <c r="L86" s="83">
        <v>2</v>
      </c>
      <c r="M86" s="84">
        <v>639</v>
      </c>
      <c r="N86" s="84">
        <v>616</v>
      </c>
      <c r="O86" s="84">
        <v>0</v>
      </c>
      <c r="P86" s="135">
        <f>336.3+302.2</f>
        <v>638.5</v>
      </c>
      <c r="Q86" s="135">
        <v>619.20000000000005</v>
      </c>
      <c r="R86" s="133">
        <v>0</v>
      </c>
      <c r="S86" s="133">
        <f t="shared" si="75"/>
        <v>1257.7</v>
      </c>
      <c r="T86" s="134">
        <v>639</v>
      </c>
      <c r="U86" s="130">
        <v>2.44</v>
      </c>
      <c r="V86" s="131">
        <v>1.9800000000000002E-2</v>
      </c>
      <c r="W86" s="91">
        <v>1.9800000000000002E-2</v>
      </c>
      <c r="X86" s="132">
        <v>1.32E-3</v>
      </c>
      <c r="Y86" s="131">
        <v>3.9699999999999999E-2</v>
      </c>
      <c r="Z86" s="29">
        <v>3827.84</v>
      </c>
      <c r="AA86" s="34"/>
      <c r="AB86" s="9">
        <f t="shared" ref="AB86:AB159" si="83">Z86+AA86</f>
        <v>3827.84</v>
      </c>
      <c r="AC86" s="9">
        <f t="shared" si="39"/>
        <v>24230.23</v>
      </c>
      <c r="AD86" s="9">
        <v>2.29</v>
      </c>
      <c r="AE86" s="9">
        <v>4.1399999999999997</v>
      </c>
      <c r="AF86" s="21">
        <f>2.48-AJ86</f>
        <v>2.33</v>
      </c>
      <c r="AG86" s="18">
        <f>0.62-AQ86</f>
        <v>0.56999999999999995</v>
      </c>
      <c r="AH86" s="9">
        <v>2.78</v>
      </c>
      <c r="AI86" s="43">
        <v>591</v>
      </c>
      <c r="AJ86" s="21">
        <f t="shared" si="48"/>
        <v>0.15</v>
      </c>
      <c r="AK86" s="9">
        <v>2.25</v>
      </c>
      <c r="AL86" s="9">
        <v>0.2</v>
      </c>
      <c r="AM86" s="9">
        <v>0.15</v>
      </c>
      <c r="AN86" s="13"/>
      <c r="AO86" s="13">
        <v>422.4</v>
      </c>
      <c r="AP86" s="13">
        <f t="shared" si="77"/>
        <v>5.58</v>
      </c>
      <c r="AQ86" s="18">
        <f t="shared" si="49"/>
        <v>0.05</v>
      </c>
      <c r="AR86" s="9">
        <v>0.59</v>
      </c>
      <c r="AS86" s="9">
        <v>0.36</v>
      </c>
      <c r="AT86" s="9">
        <v>7.0000000000000007E-2</v>
      </c>
      <c r="AU86" s="9">
        <v>3.85</v>
      </c>
      <c r="AV86" s="9">
        <v>0.17</v>
      </c>
      <c r="AW86" s="9">
        <f>1.43+0.34+0.27</f>
        <v>2.04</v>
      </c>
      <c r="AX86" s="9">
        <f>2.01+0.46</f>
        <v>2.4700000000000002</v>
      </c>
      <c r="AY86" s="126">
        <f t="shared" si="78"/>
        <v>24.46</v>
      </c>
      <c r="AZ86" s="127">
        <v>3816.9</v>
      </c>
      <c r="BA86" s="127">
        <v>0</v>
      </c>
      <c r="BB86" s="127">
        <f t="shared" ref="BB86:BB159" si="84">AZ86+BA86</f>
        <v>3816.9</v>
      </c>
      <c r="BC86" s="127">
        <v>24.46</v>
      </c>
      <c r="BD86" s="13">
        <f t="shared" si="76"/>
        <v>0</v>
      </c>
      <c r="BE86" s="9">
        <f t="shared" si="50"/>
        <v>93628.97</v>
      </c>
      <c r="BF86" s="9">
        <v>24.46</v>
      </c>
      <c r="BG86" s="10">
        <v>44378</v>
      </c>
      <c r="BH86" s="9">
        <f t="shared" si="51"/>
        <v>8765.75</v>
      </c>
      <c r="BI86" s="9">
        <f t="shared" si="52"/>
        <v>15847.26</v>
      </c>
      <c r="BJ86" s="9">
        <f t="shared" si="53"/>
        <v>8918.8700000000008</v>
      </c>
      <c r="BK86" s="9">
        <f t="shared" si="54"/>
        <v>2181.87</v>
      </c>
      <c r="BL86" s="9">
        <f t="shared" si="55"/>
        <v>10641.4</v>
      </c>
      <c r="BM86" s="9">
        <f t="shared" si="56"/>
        <v>574.17999999999995</v>
      </c>
      <c r="BN86" s="9">
        <f t="shared" si="57"/>
        <v>8612.64</v>
      </c>
      <c r="BO86" s="9">
        <f t="shared" si="58"/>
        <v>765.57</v>
      </c>
      <c r="BP86" s="9">
        <f t="shared" si="59"/>
        <v>574.17999999999995</v>
      </c>
      <c r="BQ86" s="9">
        <f t="shared" si="60"/>
        <v>191.39</v>
      </c>
      <c r="BR86" s="9">
        <f t="shared" si="61"/>
        <v>2258.4299999999998</v>
      </c>
      <c r="BS86" s="9">
        <f t="shared" si="62"/>
        <v>1378.02</v>
      </c>
      <c r="BT86" s="9">
        <f t="shared" si="63"/>
        <v>267.95</v>
      </c>
      <c r="BU86" s="9">
        <f t="shared" si="64"/>
        <v>14737.18</v>
      </c>
      <c r="BV86" s="9">
        <f t="shared" si="65"/>
        <v>650.73</v>
      </c>
      <c r="BW86" s="9">
        <f t="shared" si="66"/>
        <v>7808.79</v>
      </c>
      <c r="BX86" s="9">
        <f t="shared" si="67"/>
        <v>9454.76</v>
      </c>
      <c r="BY86" s="17">
        <f t="shared" si="68"/>
        <v>93628.97</v>
      </c>
      <c r="BZ86" s="17">
        <v>3.07</v>
      </c>
      <c r="CA86" s="17">
        <v>0.09</v>
      </c>
      <c r="CB86" s="17">
        <v>0.56000000000000005</v>
      </c>
      <c r="CC86" s="27">
        <v>0.09</v>
      </c>
      <c r="CD86" s="29">
        <v>6.33</v>
      </c>
      <c r="CE86" s="9">
        <v>12813.84</v>
      </c>
      <c r="CF86" s="9"/>
      <c r="CG86" s="9">
        <v>0</v>
      </c>
      <c r="CH86" s="9">
        <v>179</v>
      </c>
      <c r="CI86" s="9">
        <f t="shared" si="79"/>
        <v>3.35</v>
      </c>
      <c r="CJ86" s="9">
        <f t="shared" si="80"/>
        <v>0</v>
      </c>
      <c r="CK86" s="13">
        <f t="shared" si="81"/>
        <v>0</v>
      </c>
      <c r="CL86" s="13">
        <f t="shared" si="82"/>
        <v>0.05</v>
      </c>
      <c r="CM86" s="13">
        <v>93628.97</v>
      </c>
      <c r="CN86" s="13">
        <v>6775.26</v>
      </c>
      <c r="CO86" s="13">
        <v>0</v>
      </c>
      <c r="CP86" s="13">
        <v>1722.72</v>
      </c>
      <c r="CQ86" s="13">
        <v>1071.81</v>
      </c>
      <c r="CR86" s="13">
        <v>86274.45</v>
      </c>
      <c r="CS86" s="13">
        <v>9142.64</v>
      </c>
      <c r="CT86" s="13">
        <v>205.69</v>
      </c>
      <c r="CU86" s="13">
        <v>610.35</v>
      </c>
      <c r="CV86" s="13">
        <v>486.65</v>
      </c>
      <c r="CW86" s="202">
        <v>3334</v>
      </c>
      <c r="CX86" s="200">
        <v>1913</v>
      </c>
      <c r="CY86" s="202"/>
      <c r="CZ86" s="202"/>
      <c r="DA86" s="202"/>
      <c r="DB86" s="202"/>
      <c r="DC86" s="202"/>
      <c r="DD86" s="461"/>
      <c r="DE86" s="256"/>
      <c r="DF86" s="202"/>
      <c r="DG86" s="202"/>
      <c r="DH86" s="202"/>
      <c r="DI86" s="204">
        <v>591</v>
      </c>
      <c r="DJ86" s="202">
        <v>8600</v>
      </c>
      <c r="DK86" s="202"/>
      <c r="DL86" s="202"/>
      <c r="DM86" s="202">
        <v>24979</v>
      </c>
      <c r="DN86" s="202">
        <v>765</v>
      </c>
      <c r="DO86" s="202">
        <v>0.45</v>
      </c>
      <c r="DP86" s="202"/>
      <c r="DQ86" s="202"/>
      <c r="DR86" s="202"/>
      <c r="DS86" s="202"/>
      <c r="DT86" s="254"/>
      <c r="DU86" s="254"/>
      <c r="DV86" s="202"/>
      <c r="DW86" s="202"/>
      <c r="DX86" s="202">
        <v>17720</v>
      </c>
      <c r="DY86" s="107">
        <v>1365</v>
      </c>
      <c r="DZ86" s="107"/>
      <c r="EA86" s="202"/>
      <c r="EB86" s="202"/>
      <c r="EC86" s="202"/>
      <c r="ED86" s="202"/>
      <c r="EE86" s="202"/>
      <c r="EF86" s="229"/>
      <c r="EG86" s="202"/>
      <c r="EH86" s="202"/>
      <c r="EI86" s="202"/>
      <c r="EJ86" s="202"/>
      <c r="EK86" s="202">
        <v>6784.31</v>
      </c>
      <c r="EL86" s="202">
        <v>0</v>
      </c>
      <c r="EM86" s="202">
        <v>1729.54</v>
      </c>
      <c r="EN86" s="202">
        <v>1084.48</v>
      </c>
      <c r="EO86" s="202">
        <v>6784.31</v>
      </c>
      <c r="EP86" s="202"/>
      <c r="EQ86" s="202">
        <v>1729.54</v>
      </c>
      <c r="ER86" s="202">
        <v>1084.48</v>
      </c>
      <c r="ES86" s="202"/>
      <c r="ET86" s="202"/>
      <c r="EU86" s="202"/>
      <c r="EV86" s="214">
        <v>-10.57</v>
      </c>
      <c r="EW86" s="240">
        <f t="shared" si="73"/>
        <v>8372.1</v>
      </c>
      <c r="EX86" s="209">
        <f t="shared" si="74"/>
        <v>5449.01</v>
      </c>
    </row>
    <row r="87" spans="1:154" ht="12.75" customHeight="1" x14ac:dyDescent="0.2">
      <c r="A87" s="45" t="s">
        <v>141</v>
      </c>
      <c r="B87" s="141" t="s">
        <v>108</v>
      </c>
      <c r="C87" s="142" t="s">
        <v>119</v>
      </c>
      <c r="D87" s="143" t="s">
        <v>556</v>
      </c>
      <c r="E87" s="142" t="s">
        <v>9</v>
      </c>
      <c r="F87" s="11">
        <v>5</v>
      </c>
      <c r="G87" s="11">
        <v>3</v>
      </c>
      <c r="H87" s="11">
        <v>60</v>
      </c>
      <c r="I87" s="11">
        <v>60</v>
      </c>
      <c r="J87" s="11">
        <v>106</v>
      </c>
      <c r="K87" s="11">
        <v>121</v>
      </c>
      <c r="L87" s="11" t="s">
        <v>746</v>
      </c>
      <c r="M87" s="84">
        <v>209</v>
      </c>
      <c r="N87" s="84">
        <v>750</v>
      </c>
      <c r="O87" s="84">
        <v>0</v>
      </c>
      <c r="P87" s="135">
        <v>208.5</v>
      </c>
      <c r="Q87" s="135">
        <v>519.20000000000005</v>
      </c>
      <c r="R87" s="133">
        <v>0</v>
      </c>
      <c r="S87" s="133">
        <f t="shared" si="75"/>
        <v>727.7</v>
      </c>
      <c r="T87" s="134">
        <v>209</v>
      </c>
      <c r="U87" s="130">
        <v>1.53</v>
      </c>
      <c r="V87" s="131">
        <v>1.9800000000000002E-2</v>
      </c>
      <c r="W87" s="131">
        <v>1.9800000000000002E-2</v>
      </c>
      <c r="X87" s="132">
        <v>1.2199999999999999E-3</v>
      </c>
      <c r="Y87" s="131">
        <v>3.95E-2</v>
      </c>
      <c r="Z87" s="29">
        <v>2568.92</v>
      </c>
      <c r="AA87" s="34"/>
      <c r="AB87" s="9">
        <f t="shared" si="83"/>
        <v>2568.92</v>
      </c>
      <c r="AC87" s="9">
        <f t="shared" si="39"/>
        <v>16261.26</v>
      </c>
      <c r="AD87" s="9">
        <v>0.41</v>
      </c>
      <c r="AE87" s="9">
        <v>4.57</v>
      </c>
      <c r="AF87" s="21">
        <f>2.43-AJ87</f>
        <v>2.15</v>
      </c>
      <c r="AG87" s="18">
        <f>0.54-AQ87</f>
        <v>0.43</v>
      </c>
      <c r="AH87" s="9">
        <v>2.78</v>
      </c>
      <c r="AI87" s="43">
        <v>720</v>
      </c>
      <c r="AJ87" s="21">
        <f t="shared" si="48"/>
        <v>0.28000000000000003</v>
      </c>
      <c r="AK87" s="9">
        <v>0</v>
      </c>
      <c r="AL87" s="9">
        <v>0</v>
      </c>
      <c r="AM87" s="9">
        <v>0.22</v>
      </c>
      <c r="AN87" s="13"/>
      <c r="AO87" s="13">
        <v>601.20000000000005</v>
      </c>
      <c r="AP87" s="13">
        <f t="shared" si="77"/>
        <v>5.58</v>
      </c>
      <c r="AQ87" s="18">
        <f t="shared" si="49"/>
        <v>0.11</v>
      </c>
      <c r="AR87" s="9">
        <v>0.81</v>
      </c>
      <c r="AS87" s="9">
        <v>0.53</v>
      </c>
      <c r="AT87" s="9">
        <v>7.0000000000000007E-2</v>
      </c>
      <c r="AU87" s="9">
        <v>3.8</v>
      </c>
      <c r="AV87" s="9">
        <v>0.13</v>
      </c>
      <c r="AW87" s="9">
        <f>1.11+0.34+0.32</f>
        <v>1.77</v>
      </c>
      <c r="AX87" s="9">
        <f>1.52+0.45</f>
        <v>1.97</v>
      </c>
      <c r="AY87" s="144">
        <f t="shared" si="78"/>
        <v>20.03</v>
      </c>
      <c r="AZ87" s="145">
        <v>2570.6</v>
      </c>
      <c r="BA87" s="145">
        <v>0</v>
      </c>
      <c r="BB87" s="145">
        <f t="shared" si="84"/>
        <v>2570.6</v>
      </c>
      <c r="BC87" s="145">
        <v>20.03</v>
      </c>
      <c r="BD87" s="13">
        <f t="shared" si="76"/>
        <v>0</v>
      </c>
      <c r="BE87" s="9">
        <f t="shared" si="50"/>
        <v>51455.47</v>
      </c>
      <c r="BF87" s="9">
        <v>20.03</v>
      </c>
      <c r="BG87" s="10">
        <v>44409</v>
      </c>
      <c r="BH87" s="9">
        <f t="shared" si="51"/>
        <v>1053.26</v>
      </c>
      <c r="BI87" s="9">
        <f t="shared" si="52"/>
        <v>11739.96</v>
      </c>
      <c r="BJ87" s="9">
        <f t="shared" si="53"/>
        <v>5523.18</v>
      </c>
      <c r="BK87" s="9">
        <f t="shared" si="54"/>
        <v>1104.6400000000001</v>
      </c>
      <c r="BL87" s="9">
        <f t="shared" si="55"/>
        <v>7141.6</v>
      </c>
      <c r="BM87" s="9">
        <f t="shared" si="56"/>
        <v>719.3</v>
      </c>
      <c r="BN87" s="9">
        <f t="shared" si="57"/>
        <v>0</v>
      </c>
      <c r="BO87" s="9">
        <f t="shared" si="58"/>
        <v>0</v>
      </c>
      <c r="BP87" s="9">
        <f t="shared" si="59"/>
        <v>565.16</v>
      </c>
      <c r="BQ87" s="9">
        <f t="shared" si="60"/>
        <v>282.58</v>
      </c>
      <c r="BR87" s="9">
        <f t="shared" si="61"/>
        <v>2080.83</v>
      </c>
      <c r="BS87" s="9">
        <f t="shared" si="62"/>
        <v>1361.53</v>
      </c>
      <c r="BT87" s="9">
        <f t="shared" si="63"/>
        <v>179.82</v>
      </c>
      <c r="BU87" s="9">
        <f t="shared" si="64"/>
        <v>9761.9</v>
      </c>
      <c r="BV87" s="9">
        <f t="shared" si="65"/>
        <v>333.96</v>
      </c>
      <c r="BW87" s="9">
        <f t="shared" si="66"/>
        <v>4546.99</v>
      </c>
      <c r="BX87" s="9">
        <f t="shared" si="67"/>
        <v>5060.7700000000004</v>
      </c>
      <c r="BY87" s="17">
        <f t="shared" si="68"/>
        <v>51455.48</v>
      </c>
      <c r="BZ87" s="17">
        <v>2.19</v>
      </c>
      <c r="CA87" s="17">
        <v>0.04</v>
      </c>
      <c r="CB87" s="17">
        <v>0.26</v>
      </c>
      <c r="CC87" s="27">
        <v>0.05</v>
      </c>
      <c r="CD87" s="29">
        <v>6.33</v>
      </c>
      <c r="CE87" s="9">
        <v>6114.75</v>
      </c>
      <c r="CF87" s="9"/>
      <c r="CG87" s="9">
        <v>0</v>
      </c>
      <c r="CH87" s="9">
        <v>58.55</v>
      </c>
      <c r="CI87" s="9">
        <f t="shared" si="79"/>
        <v>2.38</v>
      </c>
      <c r="CJ87" s="9">
        <f t="shared" si="80"/>
        <v>0</v>
      </c>
      <c r="CK87" s="13">
        <f t="shared" si="81"/>
        <v>0</v>
      </c>
      <c r="CL87" s="13">
        <f t="shared" si="82"/>
        <v>0.02</v>
      </c>
      <c r="CM87" s="13">
        <v>51455.43</v>
      </c>
      <c r="CN87" s="13">
        <v>0</v>
      </c>
      <c r="CO87" s="13">
        <v>0</v>
      </c>
      <c r="CP87" s="13">
        <v>0</v>
      </c>
      <c r="CQ87" s="13">
        <v>51.44</v>
      </c>
      <c r="CR87" s="13">
        <v>52397.07</v>
      </c>
      <c r="CS87" s="13">
        <v>1861.4</v>
      </c>
      <c r="CT87" s="13">
        <v>105.11</v>
      </c>
      <c r="CU87" s="13">
        <v>16.170000000000002</v>
      </c>
      <c r="CV87" s="13">
        <v>54.27</v>
      </c>
      <c r="CW87" s="202">
        <v>2238</v>
      </c>
      <c r="CX87" s="200">
        <v>1284</v>
      </c>
      <c r="CY87" s="202"/>
      <c r="CZ87" s="202"/>
      <c r="DA87" s="202"/>
      <c r="DB87" s="202"/>
      <c r="DC87" s="202"/>
      <c r="DD87" s="461"/>
      <c r="DE87" s="256"/>
      <c r="DF87" s="202"/>
      <c r="DG87" s="202"/>
      <c r="DH87" s="202"/>
      <c r="DI87" s="204">
        <v>720</v>
      </c>
      <c r="DJ87" s="202"/>
      <c r="DK87" s="202"/>
      <c r="DL87" s="202"/>
      <c r="DM87" s="202">
        <v>13069</v>
      </c>
      <c r="DN87" s="202">
        <v>765</v>
      </c>
      <c r="DO87" s="202">
        <v>0.45</v>
      </c>
      <c r="DP87" s="202"/>
      <c r="DQ87" s="202"/>
      <c r="DR87" s="202"/>
      <c r="DS87" s="202">
        <v>7565</v>
      </c>
      <c r="DT87" s="254">
        <v>237</v>
      </c>
      <c r="DU87" s="254">
        <v>164</v>
      </c>
      <c r="DV87" s="202"/>
      <c r="DW87" s="202"/>
      <c r="DX87" s="202">
        <v>11700</v>
      </c>
      <c r="DY87" s="107">
        <v>1365</v>
      </c>
      <c r="DZ87" s="107">
        <v>577</v>
      </c>
      <c r="EA87" s="202"/>
      <c r="EB87" s="202"/>
      <c r="EC87" s="202"/>
      <c r="ED87" s="202"/>
      <c r="EE87" s="202"/>
      <c r="EF87" s="229"/>
      <c r="EG87" s="202"/>
      <c r="EH87" s="202"/>
      <c r="EI87" s="202"/>
      <c r="EJ87" s="202"/>
      <c r="EK87" s="202">
        <v>0</v>
      </c>
      <c r="EL87" s="202">
        <v>0</v>
      </c>
      <c r="EM87" s="202">
        <v>0</v>
      </c>
      <c r="EN87" s="202">
        <v>58.55</v>
      </c>
      <c r="EO87" s="202">
        <v>0</v>
      </c>
      <c r="EP87" s="202"/>
      <c r="EQ87" s="202">
        <v>0</v>
      </c>
      <c r="ER87" s="202">
        <v>58.55</v>
      </c>
      <c r="ES87" s="202"/>
      <c r="ET87" s="202"/>
      <c r="EU87" s="202"/>
      <c r="EV87" s="214">
        <v>-1.97</v>
      </c>
      <c r="EW87" s="240">
        <f t="shared" si="73"/>
        <v>5618.64</v>
      </c>
      <c r="EX87" s="209">
        <f t="shared" si="74"/>
        <v>3656.91</v>
      </c>
    </row>
    <row r="88" spans="1:154" ht="12.75" customHeight="1" x14ac:dyDescent="0.2">
      <c r="A88" s="45" t="s">
        <v>143</v>
      </c>
      <c r="B88" s="117" t="s">
        <v>108</v>
      </c>
      <c r="C88" s="118" t="s">
        <v>122</v>
      </c>
      <c r="D88" s="119" t="s">
        <v>698</v>
      </c>
      <c r="E88" s="118" t="s">
        <v>19</v>
      </c>
      <c r="F88" s="11">
        <v>5</v>
      </c>
      <c r="G88" s="11">
        <v>6</v>
      </c>
      <c r="H88" s="11">
        <v>90</v>
      </c>
      <c r="I88" s="11">
        <v>0</v>
      </c>
      <c r="J88" s="11">
        <v>197</v>
      </c>
      <c r="K88" s="11">
        <v>233</v>
      </c>
      <c r="L88" s="11" t="s">
        <v>746</v>
      </c>
      <c r="M88" s="84">
        <v>415</v>
      </c>
      <c r="N88" s="84">
        <v>1151</v>
      </c>
      <c r="O88" s="84">
        <v>0</v>
      </c>
      <c r="P88" s="135">
        <v>414.5</v>
      </c>
      <c r="Q88" s="135">
        <v>417.3</v>
      </c>
      <c r="R88" s="133">
        <v>0</v>
      </c>
      <c r="S88" s="133">
        <f t="shared" si="75"/>
        <v>831.8</v>
      </c>
      <c r="T88" s="134">
        <v>415</v>
      </c>
      <c r="U88" s="130">
        <v>1.53</v>
      </c>
      <c r="V88" s="131">
        <v>1.9800000000000002E-2</v>
      </c>
      <c r="W88" s="131">
        <v>1.9800000000000002E-2</v>
      </c>
      <c r="X88" s="132">
        <v>1.2199999999999999E-3</v>
      </c>
      <c r="Y88" s="131">
        <v>3.95E-2</v>
      </c>
      <c r="Z88" s="29">
        <v>3987.1</v>
      </c>
      <c r="AA88" s="34"/>
      <c r="AB88" s="9">
        <f t="shared" si="83"/>
        <v>3987.1</v>
      </c>
      <c r="AC88" s="9">
        <f t="shared" si="39"/>
        <v>25238.34</v>
      </c>
      <c r="AD88" s="9">
        <v>0.52</v>
      </c>
      <c r="AE88" s="9">
        <v>5.1100000000000003</v>
      </c>
      <c r="AF88" s="21">
        <f>2.49-AJ88</f>
        <v>2.21</v>
      </c>
      <c r="AG88" s="18">
        <f>0.56-AQ88</f>
        <v>0.45</v>
      </c>
      <c r="AH88" s="9">
        <v>2.78</v>
      </c>
      <c r="AI88" s="43">
        <v>1105</v>
      </c>
      <c r="AJ88" s="21">
        <f t="shared" si="48"/>
        <v>0.28000000000000003</v>
      </c>
      <c r="AK88" s="9">
        <v>0</v>
      </c>
      <c r="AL88" s="9">
        <v>0</v>
      </c>
      <c r="AM88" s="9">
        <v>0</v>
      </c>
      <c r="AN88" s="13"/>
      <c r="AO88" s="13">
        <v>901.8</v>
      </c>
      <c r="AP88" s="13">
        <f t="shared" si="77"/>
        <v>5.58</v>
      </c>
      <c r="AQ88" s="18">
        <f t="shared" si="49"/>
        <v>0.11</v>
      </c>
      <c r="AR88" s="9">
        <v>0.79</v>
      </c>
      <c r="AS88" s="9">
        <v>0.34</v>
      </c>
      <c r="AT88" s="9">
        <v>7.0000000000000007E-2</v>
      </c>
      <c r="AU88" s="9">
        <v>3.34</v>
      </c>
      <c r="AV88" s="9">
        <v>0.12</v>
      </c>
      <c r="AW88" s="9">
        <f>1.13+0.32+0.42</f>
        <v>1.87</v>
      </c>
      <c r="AX88" s="9">
        <f>1.55+0.56</f>
        <v>2.11</v>
      </c>
      <c r="AY88" s="120">
        <f t="shared" si="78"/>
        <v>20.100000000000001</v>
      </c>
      <c r="AZ88" s="121">
        <v>3990.3</v>
      </c>
      <c r="BA88" s="121">
        <v>0</v>
      </c>
      <c r="BB88" s="121">
        <f t="shared" si="84"/>
        <v>3990.3</v>
      </c>
      <c r="BC88" s="121">
        <v>20.100000000000001</v>
      </c>
      <c r="BD88" s="13">
        <f t="shared" si="76"/>
        <v>0</v>
      </c>
      <c r="BE88" s="9">
        <f t="shared" si="50"/>
        <v>80140.710000000006</v>
      </c>
      <c r="BF88" s="9">
        <v>20.100000000000001</v>
      </c>
      <c r="BG88" s="10">
        <v>44409</v>
      </c>
      <c r="BH88" s="9">
        <f t="shared" si="51"/>
        <v>2073.29</v>
      </c>
      <c r="BI88" s="9">
        <f t="shared" si="52"/>
        <v>20374.080000000002</v>
      </c>
      <c r="BJ88" s="9">
        <f t="shared" si="53"/>
        <v>8811.49</v>
      </c>
      <c r="BK88" s="9">
        <f t="shared" si="54"/>
        <v>1794.2</v>
      </c>
      <c r="BL88" s="9">
        <f t="shared" si="55"/>
        <v>11084.14</v>
      </c>
      <c r="BM88" s="9">
        <f t="shared" si="56"/>
        <v>1116.3900000000001</v>
      </c>
      <c r="BN88" s="9">
        <f t="shared" si="57"/>
        <v>0</v>
      </c>
      <c r="BO88" s="9">
        <f t="shared" si="58"/>
        <v>0</v>
      </c>
      <c r="BP88" s="9">
        <f t="shared" si="59"/>
        <v>0</v>
      </c>
      <c r="BQ88" s="9">
        <f t="shared" si="60"/>
        <v>438.58</v>
      </c>
      <c r="BR88" s="9">
        <f t="shared" si="61"/>
        <v>3149.81</v>
      </c>
      <c r="BS88" s="9">
        <f t="shared" si="62"/>
        <v>1355.61</v>
      </c>
      <c r="BT88" s="9">
        <f t="shared" si="63"/>
        <v>279.10000000000002</v>
      </c>
      <c r="BU88" s="9">
        <f t="shared" si="64"/>
        <v>13316.91</v>
      </c>
      <c r="BV88" s="9">
        <f t="shared" si="65"/>
        <v>478.45</v>
      </c>
      <c r="BW88" s="9">
        <f t="shared" si="66"/>
        <v>7455.88</v>
      </c>
      <c r="BX88" s="9">
        <f t="shared" si="67"/>
        <v>8412.7800000000007</v>
      </c>
      <c r="BY88" s="17">
        <f t="shared" si="68"/>
        <v>80140.710000000006</v>
      </c>
      <c r="BZ88" s="17">
        <v>2.2999999999999998</v>
      </c>
      <c r="CA88" s="17">
        <v>0.06</v>
      </c>
      <c r="CB88" s="17">
        <v>0.33</v>
      </c>
      <c r="CC88" s="27">
        <v>0.06</v>
      </c>
      <c r="CD88" s="29">
        <v>6.33</v>
      </c>
      <c r="CE88" s="9">
        <v>17285.939999999999</v>
      </c>
      <c r="CF88" s="9"/>
      <c r="CG88" s="9">
        <v>222.06</v>
      </c>
      <c r="CH88" s="9">
        <v>231.92</v>
      </c>
      <c r="CI88" s="9">
        <f t="shared" si="79"/>
        <v>4.34</v>
      </c>
      <c r="CJ88" s="9">
        <f t="shared" si="80"/>
        <v>0</v>
      </c>
      <c r="CK88" s="13">
        <f t="shared" si="81"/>
        <v>0.06</v>
      </c>
      <c r="CL88" s="13">
        <f t="shared" si="82"/>
        <v>0.06</v>
      </c>
      <c r="CM88" s="13">
        <v>80140.710000000006</v>
      </c>
      <c r="CN88" s="13">
        <v>0</v>
      </c>
      <c r="CO88" s="13">
        <v>0</v>
      </c>
      <c r="CP88" s="13">
        <v>239.27</v>
      </c>
      <c r="CQ88" s="13">
        <v>239.27</v>
      </c>
      <c r="CR88" s="13">
        <v>96861.52</v>
      </c>
      <c r="CS88" s="13">
        <v>5719.78</v>
      </c>
      <c r="CT88" s="13">
        <v>245.28</v>
      </c>
      <c r="CU88" s="13">
        <v>289.26</v>
      </c>
      <c r="CV88" s="13">
        <v>289.26</v>
      </c>
      <c r="CW88" s="202">
        <v>3474</v>
      </c>
      <c r="CX88" s="200">
        <v>1993</v>
      </c>
      <c r="CY88" s="202"/>
      <c r="CZ88" s="202"/>
      <c r="DA88" s="202"/>
      <c r="DB88" s="202"/>
      <c r="DC88" s="202"/>
      <c r="DD88" s="461"/>
      <c r="DE88" s="256"/>
      <c r="DF88" s="202"/>
      <c r="DG88" s="202"/>
      <c r="DH88" s="202"/>
      <c r="DI88" s="204">
        <v>1105</v>
      </c>
      <c r="DJ88" s="202"/>
      <c r="DK88" s="202"/>
      <c r="DL88" s="202"/>
      <c r="DM88" s="202">
        <v>22870</v>
      </c>
      <c r="DN88" s="202">
        <v>2346</v>
      </c>
      <c r="DO88" s="202">
        <v>1.38</v>
      </c>
      <c r="DP88" s="202"/>
      <c r="DQ88" s="202"/>
      <c r="DR88" s="202"/>
      <c r="DS88" s="202">
        <v>21150</v>
      </c>
      <c r="DT88" s="254">
        <v>702</v>
      </c>
      <c r="DU88" s="254">
        <v>360</v>
      </c>
      <c r="DV88" s="202"/>
      <c r="DW88" s="202">
        <v>18438</v>
      </c>
      <c r="DX88" s="202"/>
      <c r="DY88" s="107">
        <v>1365</v>
      </c>
      <c r="DZ88" s="107"/>
      <c r="EA88" s="202"/>
      <c r="EB88" s="202"/>
      <c r="EC88" s="202"/>
      <c r="ED88" s="202"/>
      <c r="EE88" s="202"/>
      <c r="EF88" s="229"/>
      <c r="EG88" s="202"/>
      <c r="EH88" s="202"/>
      <c r="EI88" s="202"/>
      <c r="EJ88" s="202"/>
      <c r="EK88" s="202">
        <v>0</v>
      </c>
      <c r="EL88" s="202">
        <v>0</v>
      </c>
      <c r="EM88" s="202">
        <v>222.06</v>
      </c>
      <c r="EN88" s="202">
        <v>231.92</v>
      </c>
      <c r="EO88" s="202">
        <v>0</v>
      </c>
      <c r="EP88" s="202"/>
      <c r="EQ88" s="202">
        <v>222.06</v>
      </c>
      <c r="ER88" s="202">
        <v>231.92</v>
      </c>
      <c r="ES88" s="202"/>
      <c r="ET88" s="202"/>
      <c r="EU88" s="202"/>
      <c r="EV88" s="214">
        <v>2.15</v>
      </c>
      <c r="EW88" s="240">
        <f t="shared" si="73"/>
        <v>8720.43</v>
      </c>
      <c r="EX88" s="209">
        <f t="shared" si="74"/>
        <v>5675.72</v>
      </c>
    </row>
    <row r="89" spans="1:154" ht="12.75" customHeight="1" x14ac:dyDescent="0.2">
      <c r="A89" s="45" t="s">
        <v>145</v>
      </c>
      <c r="B89" s="141" t="s">
        <v>108</v>
      </c>
      <c r="C89" s="142" t="s">
        <v>124</v>
      </c>
      <c r="D89" s="143" t="s">
        <v>424</v>
      </c>
      <c r="E89" s="142" t="s">
        <v>12</v>
      </c>
      <c r="F89" s="11">
        <v>5</v>
      </c>
      <c r="G89" s="11">
        <v>6</v>
      </c>
      <c r="H89" s="11">
        <v>90</v>
      </c>
      <c r="I89" s="11">
        <v>90</v>
      </c>
      <c r="J89" s="11">
        <v>162</v>
      </c>
      <c r="K89" s="11">
        <v>195</v>
      </c>
      <c r="L89" s="11" t="s">
        <v>746</v>
      </c>
      <c r="M89" s="84">
        <v>412</v>
      </c>
      <c r="N89" s="84">
        <v>616</v>
      </c>
      <c r="O89" s="84">
        <v>0</v>
      </c>
      <c r="P89" s="135">
        <v>412</v>
      </c>
      <c r="Q89" s="135">
        <v>253.6</v>
      </c>
      <c r="R89" s="133">
        <v>0</v>
      </c>
      <c r="S89" s="133">
        <f t="shared" si="75"/>
        <v>665.6</v>
      </c>
      <c r="T89" s="134">
        <v>412</v>
      </c>
      <c r="U89" s="130">
        <v>1.53</v>
      </c>
      <c r="V89" s="131">
        <v>1.9800000000000002E-2</v>
      </c>
      <c r="W89" s="131">
        <v>1.9800000000000002E-2</v>
      </c>
      <c r="X89" s="132">
        <v>1.2199999999999999E-3</v>
      </c>
      <c r="Y89" s="131">
        <v>3.95E-2</v>
      </c>
      <c r="Z89" s="29">
        <v>3954.86</v>
      </c>
      <c r="AA89" s="34">
        <v>448.1</v>
      </c>
      <c r="AB89" s="9">
        <f t="shared" si="83"/>
        <v>4402.96</v>
      </c>
      <c r="AC89" s="9">
        <f t="shared" si="39"/>
        <v>27870.74</v>
      </c>
      <c r="AD89" s="9">
        <v>0.45</v>
      </c>
      <c r="AE89" s="9">
        <v>3.81</v>
      </c>
      <c r="AF89" s="21">
        <f>2.45-AJ89</f>
        <v>2.17</v>
      </c>
      <c r="AG89" s="18">
        <f>0.55-AQ89</f>
        <v>0.45</v>
      </c>
      <c r="AH89" s="9">
        <v>2.78</v>
      </c>
      <c r="AI89" s="43">
        <v>1213</v>
      </c>
      <c r="AJ89" s="21">
        <f t="shared" si="48"/>
        <v>0.28000000000000003</v>
      </c>
      <c r="AK89" s="9">
        <v>0</v>
      </c>
      <c r="AL89" s="9">
        <v>0</v>
      </c>
      <c r="AM89" s="9">
        <v>0.13</v>
      </c>
      <c r="AN89" s="13"/>
      <c r="AO89" s="13">
        <v>901.8</v>
      </c>
      <c r="AP89" s="13">
        <f t="shared" si="77"/>
        <v>5.58</v>
      </c>
      <c r="AQ89" s="18">
        <f t="shared" si="49"/>
        <v>0.1</v>
      </c>
      <c r="AR89" s="9">
        <v>0.72</v>
      </c>
      <c r="AS89" s="9">
        <v>0.31</v>
      </c>
      <c r="AT89" s="9">
        <v>7.0000000000000007E-2</v>
      </c>
      <c r="AU89" s="9">
        <v>4.8899999999999997</v>
      </c>
      <c r="AV89" s="9">
        <v>0.12</v>
      </c>
      <c r="AW89" s="9">
        <f>1.01+0.32+0.42</f>
        <v>1.75</v>
      </c>
      <c r="AX89" s="9">
        <f>1.38+0.58</f>
        <v>1.96</v>
      </c>
      <c r="AY89" s="144">
        <f t="shared" si="78"/>
        <v>19.989999999999998</v>
      </c>
      <c r="AZ89" s="145">
        <v>3955.6</v>
      </c>
      <c r="BA89" s="145">
        <v>388.8</v>
      </c>
      <c r="BB89" s="145">
        <f t="shared" si="84"/>
        <v>4344.3999999999996</v>
      </c>
      <c r="BC89" s="145">
        <v>19.989999999999998</v>
      </c>
      <c r="BD89" s="13">
        <f t="shared" si="76"/>
        <v>0</v>
      </c>
      <c r="BE89" s="9">
        <f t="shared" si="50"/>
        <v>88015.17</v>
      </c>
      <c r="BF89" s="9">
        <v>19.989999999999998</v>
      </c>
      <c r="BG89" s="10">
        <v>44409</v>
      </c>
      <c r="BH89" s="9">
        <f t="shared" si="51"/>
        <v>1981.33</v>
      </c>
      <c r="BI89" s="9">
        <f t="shared" si="52"/>
        <v>16775.28</v>
      </c>
      <c r="BJ89" s="9">
        <f t="shared" si="53"/>
        <v>9554.42</v>
      </c>
      <c r="BK89" s="9">
        <f t="shared" si="54"/>
        <v>1981.33</v>
      </c>
      <c r="BL89" s="9">
        <f t="shared" si="55"/>
        <v>12240.23</v>
      </c>
      <c r="BM89" s="9">
        <f t="shared" si="56"/>
        <v>1232.83</v>
      </c>
      <c r="BN89" s="9">
        <f t="shared" si="57"/>
        <v>0</v>
      </c>
      <c r="BO89" s="9">
        <f t="shared" si="58"/>
        <v>0</v>
      </c>
      <c r="BP89" s="9">
        <f t="shared" si="59"/>
        <v>572.38</v>
      </c>
      <c r="BQ89" s="9">
        <f t="shared" si="60"/>
        <v>440.3</v>
      </c>
      <c r="BR89" s="9">
        <f t="shared" si="61"/>
        <v>3170.13</v>
      </c>
      <c r="BS89" s="9">
        <f t="shared" si="62"/>
        <v>1364.92</v>
      </c>
      <c r="BT89" s="9">
        <f t="shared" si="63"/>
        <v>308.20999999999998</v>
      </c>
      <c r="BU89" s="9">
        <f t="shared" si="64"/>
        <v>21530.47</v>
      </c>
      <c r="BV89" s="9">
        <f t="shared" si="65"/>
        <v>528.36</v>
      </c>
      <c r="BW89" s="9">
        <f t="shared" si="66"/>
        <v>7705.18</v>
      </c>
      <c r="BX89" s="9">
        <f t="shared" si="67"/>
        <v>8629.7999999999993</v>
      </c>
      <c r="BY89" s="17">
        <f t="shared" si="68"/>
        <v>88015.17</v>
      </c>
      <c r="BZ89" s="17">
        <v>1.39</v>
      </c>
      <c r="CA89" s="17">
        <v>0.05</v>
      </c>
      <c r="CB89" s="17">
        <v>0.3</v>
      </c>
      <c r="CC89" s="27">
        <v>0.05</v>
      </c>
      <c r="CD89" s="29">
        <v>6.33</v>
      </c>
      <c r="CE89" s="9">
        <v>11194.9</v>
      </c>
      <c r="CF89" s="9"/>
      <c r="CG89" s="9">
        <v>220.45</v>
      </c>
      <c r="CH89" s="9">
        <v>230.24</v>
      </c>
      <c r="CI89" s="9">
        <f t="shared" si="79"/>
        <v>2.54</v>
      </c>
      <c r="CJ89" s="9">
        <f t="shared" si="80"/>
        <v>0</v>
      </c>
      <c r="CK89" s="13">
        <f t="shared" si="81"/>
        <v>0.05</v>
      </c>
      <c r="CL89" s="13">
        <f t="shared" si="82"/>
        <v>0.05</v>
      </c>
      <c r="CM89" s="13">
        <v>79057.679999999993</v>
      </c>
      <c r="CN89" s="13">
        <v>4350.33</v>
      </c>
      <c r="CO89" s="13">
        <v>0</v>
      </c>
      <c r="CP89" s="13">
        <v>197.93</v>
      </c>
      <c r="CQ89" s="13">
        <v>197.93</v>
      </c>
      <c r="CR89" s="13">
        <v>79651.47</v>
      </c>
      <c r="CS89" s="13">
        <v>6137.51</v>
      </c>
      <c r="CT89" s="13">
        <v>129.47</v>
      </c>
      <c r="CU89" s="13">
        <v>199.35</v>
      </c>
      <c r="CV89" s="13">
        <v>199.36</v>
      </c>
      <c r="CW89" s="202">
        <v>3836</v>
      </c>
      <c r="CX89" s="200">
        <v>2201</v>
      </c>
      <c r="CY89" s="202"/>
      <c r="CZ89" s="202"/>
      <c r="DA89" s="202"/>
      <c r="DB89" s="202"/>
      <c r="DC89" s="202"/>
      <c r="DD89" s="461"/>
      <c r="DE89" s="256"/>
      <c r="DF89" s="202"/>
      <c r="DG89" s="202"/>
      <c r="DH89" s="202"/>
      <c r="DI89" s="204">
        <v>1213</v>
      </c>
      <c r="DJ89" s="202"/>
      <c r="DK89" s="202"/>
      <c r="DL89" s="202"/>
      <c r="DM89" s="202">
        <v>18958</v>
      </c>
      <c r="DN89" s="202">
        <v>1700</v>
      </c>
      <c r="DO89" s="202">
        <v>1</v>
      </c>
      <c r="DP89" s="202"/>
      <c r="DQ89" s="202"/>
      <c r="DR89" s="202"/>
      <c r="DS89" s="202"/>
      <c r="DT89" s="254"/>
      <c r="DU89" s="254"/>
      <c r="DV89" s="202"/>
      <c r="DW89" s="202"/>
      <c r="DX89" s="202">
        <v>19906</v>
      </c>
      <c r="DY89" s="107">
        <v>1365</v>
      </c>
      <c r="DZ89" s="107"/>
      <c r="EA89" s="202"/>
      <c r="EB89" s="202"/>
      <c r="EC89" s="202"/>
      <c r="ED89" s="202"/>
      <c r="EE89" s="202"/>
      <c r="EF89" s="229"/>
      <c r="EG89" s="202"/>
      <c r="EH89" s="202"/>
      <c r="EI89" s="202"/>
      <c r="EJ89" s="202"/>
      <c r="EK89" s="202">
        <v>4836.83</v>
      </c>
      <c r="EL89" s="202">
        <v>0</v>
      </c>
      <c r="EM89" s="202">
        <v>220.45</v>
      </c>
      <c r="EN89" s="202">
        <v>230.24</v>
      </c>
      <c r="EO89" s="202">
        <v>4836.83</v>
      </c>
      <c r="EP89" s="202"/>
      <c r="EQ89" s="202">
        <v>220.45</v>
      </c>
      <c r="ER89" s="202">
        <v>230.24</v>
      </c>
      <c r="ES89" s="202"/>
      <c r="ET89" s="202"/>
      <c r="EU89" s="202"/>
      <c r="EV89" s="214">
        <v>2.15</v>
      </c>
      <c r="EW89" s="240">
        <f t="shared" si="73"/>
        <v>9629.98</v>
      </c>
      <c r="EX89" s="209">
        <f t="shared" si="74"/>
        <v>6267.7</v>
      </c>
    </row>
    <row r="90" spans="1:154" ht="12.75" customHeight="1" x14ac:dyDescent="0.2">
      <c r="A90" s="45" t="s">
        <v>147</v>
      </c>
      <c r="B90" s="141" t="s">
        <v>108</v>
      </c>
      <c r="C90" s="142" t="s">
        <v>124</v>
      </c>
      <c r="D90" s="143" t="s">
        <v>557</v>
      </c>
      <c r="E90" s="142" t="s">
        <v>9</v>
      </c>
      <c r="F90" s="11">
        <v>5</v>
      </c>
      <c r="G90" s="11">
        <v>3</v>
      </c>
      <c r="H90" s="11">
        <v>60</v>
      </c>
      <c r="I90" s="11">
        <v>60</v>
      </c>
      <c r="J90" s="11">
        <v>99</v>
      </c>
      <c r="K90" s="11">
        <v>116</v>
      </c>
      <c r="L90" s="11" t="s">
        <v>746</v>
      </c>
      <c r="M90" s="84">
        <v>207</v>
      </c>
      <c r="N90" s="84">
        <v>750</v>
      </c>
      <c r="O90" s="84">
        <v>0</v>
      </c>
      <c r="P90" s="135">
        <v>207</v>
      </c>
      <c r="Q90" s="135">
        <v>525</v>
      </c>
      <c r="R90" s="133">
        <v>0</v>
      </c>
      <c r="S90" s="133">
        <f t="shared" si="75"/>
        <v>732</v>
      </c>
      <c r="T90" s="134">
        <v>207</v>
      </c>
      <c r="U90" s="130">
        <v>1.53</v>
      </c>
      <c r="V90" s="131">
        <v>1.9800000000000002E-2</v>
      </c>
      <c r="W90" s="131">
        <v>1.9800000000000002E-2</v>
      </c>
      <c r="X90" s="132">
        <v>1.2199999999999999E-3</v>
      </c>
      <c r="Y90" s="131">
        <v>3.95E-2</v>
      </c>
      <c r="Z90" s="29">
        <v>2553.1799999999998</v>
      </c>
      <c r="AA90" s="34"/>
      <c r="AB90" s="9">
        <f t="shared" si="83"/>
        <v>2553.1799999999998</v>
      </c>
      <c r="AC90" s="9">
        <f t="shared" si="39"/>
        <v>16161.63</v>
      </c>
      <c r="AD90" s="9">
        <v>0.4</v>
      </c>
      <c r="AE90" s="9">
        <v>4.53</v>
      </c>
      <c r="AF90" s="21">
        <f>2.44-AJ90</f>
        <v>2.16</v>
      </c>
      <c r="AG90" s="18">
        <f>0.54-AQ90</f>
        <v>0.43</v>
      </c>
      <c r="AH90" s="9">
        <v>2.78</v>
      </c>
      <c r="AI90" s="43">
        <v>720</v>
      </c>
      <c r="AJ90" s="21">
        <f t="shared" si="48"/>
        <v>0.28000000000000003</v>
      </c>
      <c r="AK90" s="9">
        <v>0</v>
      </c>
      <c r="AL90" s="9">
        <v>0</v>
      </c>
      <c r="AM90" s="9">
        <v>0.22</v>
      </c>
      <c r="AN90" s="13"/>
      <c r="AO90" s="13">
        <v>601.20000000000005</v>
      </c>
      <c r="AP90" s="13">
        <f t="shared" si="77"/>
        <v>5.58</v>
      </c>
      <c r="AQ90" s="18">
        <f t="shared" si="49"/>
        <v>0.11</v>
      </c>
      <c r="AR90" s="9">
        <v>0.81</v>
      </c>
      <c r="AS90" s="9">
        <v>0.53</v>
      </c>
      <c r="AT90" s="9">
        <v>7.0000000000000007E-2</v>
      </c>
      <c r="AU90" s="9">
        <v>3.8</v>
      </c>
      <c r="AV90" s="9">
        <v>0.13</v>
      </c>
      <c r="AW90" s="9">
        <f>1.1+0.34+0.32</f>
        <v>1.76</v>
      </c>
      <c r="AX90" s="9">
        <f>1.52+0.45</f>
        <v>1.97</v>
      </c>
      <c r="AY90" s="144">
        <f t="shared" si="78"/>
        <v>19.98</v>
      </c>
      <c r="AZ90" s="145">
        <v>2568.6999999999998</v>
      </c>
      <c r="BA90" s="145">
        <v>0</v>
      </c>
      <c r="BB90" s="145">
        <f t="shared" si="84"/>
        <v>2568.6999999999998</v>
      </c>
      <c r="BC90" s="145">
        <v>19.98</v>
      </c>
      <c r="BD90" s="13">
        <f t="shared" si="76"/>
        <v>0</v>
      </c>
      <c r="BE90" s="9">
        <f t="shared" si="50"/>
        <v>51012.54</v>
      </c>
      <c r="BF90" s="9">
        <v>19.98</v>
      </c>
      <c r="BG90" s="10">
        <v>44378</v>
      </c>
      <c r="BH90" s="9">
        <f t="shared" si="51"/>
        <v>1021.27</v>
      </c>
      <c r="BI90" s="9">
        <f t="shared" si="52"/>
        <v>11565.91</v>
      </c>
      <c r="BJ90" s="9">
        <f t="shared" si="53"/>
        <v>5514.87</v>
      </c>
      <c r="BK90" s="9">
        <f t="shared" si="54"/>
        <v>1097.8699999999999</v>
      </c>
      <c r="BL90" s="9">
        <f t="shared" si="55"/>
        <v>7097.84</v>
      </c>
      <c r="BM90" s="9">
        <f t="shared" si="56"/>
        <v>714.89</v>
      </c>
      <c r="BN90" s="9">
        <f t="shared" si="57"/>
        <v>0</v>
      </c>
      <c r="BO90" s="9">
        <f t="shared" si="58"/>
        <v>0</v>
      </c>
      <c r="BP90" s="9">
        <f t="shared" si="59"/>
        <v>561.70000000000005</v>
      </c>
      <c r="BQ90" s="9">
        <f t="shared" si="60"/>
        <v>280.85000000000002</v>
      </c>
      <c r="BR90" s="9">
        <f t="shared" si="61"/>
        <v>2068.08</v>
      </c>
      <c r="BS90" s="9">
        <f t="shared" si="62"/>
        <v>1353.19</v>
      </c>
      <c r="BT90" s="9">
        <f t="shared" si="63"/>
        <v>178.72</v>
      </c>
      <c r="BU90" s="9">
        <f t="shared" si="64"/>
        <v>9702.08</v>
      </c>
      <c r="BV90" s="9">
        <f t="shared" si="65"/>
        <v>331.91</v>
      </c>
      <c r="BW90" s="9">
        <f t="shared" si="66"/>
        <v>4493.6000000000004</v>
      </c>
      <c r="BX90" s="9">
        <f t="shared" si="67"/>
        <v>5029.76</v>
      </c>
      <c r="BY90" s="17">
        <f t="shared" si="68"/>
        <v>51012.54</v>
      </c>
      <c r="BZ90" s="17">
        <v>2.1800000000000002</v>
      </c>
      <c r="CA90" s="17">
        <v>0.04</v>
      </c>
      <c r="CB90" s="17">
        <v>0.25</v>
      </c>
      <c r="CC90" s="27">
        <v>0.04</v>
      </c>
      <c r="CD90" s="29">
        <v>6.33</v>
      </c>
      <c r="CE90" s="9">
        <v>0</v>
      </c>
      <c r="CF90" s="9"/>
      <c r="CG90" s="9">
        <v>166.14</v>
      </c>
      <c r="CH90" s="9">
        <v>115.68</v>
      </c>
      <c r="CI90" s="9">
        <f t="shared" si="79"/>
        <v>0</v>
      </c>
      <c r="CJ90" s="9">
        <f t="shared" si="80"/>
        <v>0</v>
      </c>
      <c r="CK90" s="13">
        <f t="shared" si="81"/>
        <v>7.0000000000000007E-2</v>
      </c>
      <c r="CL90" s="13">
        <f t="shared" si="82"/>
        <v>0.05</v>
      </c>
      <c r="CM90" s="13">
        <v>51012.51</v>
      </c>
      <c r="CN90" s="13">
        <v>0</v>
      </c>
      <c r="CO90" s="13">
        <v>0</v>
      </c>
      <c r="CP90" s="13">
        <v>180.15</v>
      </c>
      <c r="CQ90" s="13">
        <v>128.81</v>
      </c>
      <c r="CR90" s="13">
        <v>50451.21</v>
      </c>
      <c r="CS90" s="13">
        <v>658.53</v>
      </c>
      <c r="CT90" s="13">
        <v>75.55</v>
      </c>
      <c r="CU90" s="13">
        <v>173.33</v>
      </c>
      <c r="CV90" s="13">
        <v>125.23</v>
      </c>
      <c r="CW90" s="202">
        <v>2242</v>
      </c>
      <c r="CX90" s="200">
        <v>1286</v>
      </c>
      <c r="CY90" s="202"/>
      <c r="CZ90" s="202"/>
      <c r="DA90" s="202"/>
      <c r="DB90" s="202"/>
      <c r="DC90" s="202"/>
      <c r="DD90" s="461"/>
      <c r="DE90" s="256"/>
      <c r="DF90" s="202"/>
      <c r="DG90" s="202"/>
      <c r="DH90" s="202"/>
      <c r="DI90" s="204">
        <v>720</v>
      </c>
      <c r="DJ90" s="202"/>
      <c r="DK90" s="202"/>
      <c r="DL90" s="202"/>
      <c r="DM90" s="202">
        <v>12940</v>
      </c>
      <c r="DN90" s="202">
        <v>765</v>
      </c>
      <c r="DO90" s="202">
        <v>0.45</v>
      </c>
      <c r="DP90" s="202"/>
      <c r="DQ90" s="202"/>
      <c r="DR90" s="202"/>
      <c r="DS90" s="202">
        <v>7565</v>
      </c>
      <c r="DT90" s="254">
        <v>237</v>
      </c>
      <c r="DU90" s="254">
        <v>164</v>
      </c>
      <c r="DV90" s="202"/>
      <c r="DW90" s="202"/>
      <c r="DX90" s="202">
        <v>11700</v>
      </c>
      <c r="DY90" s="107">
        <v>1365</v>
      </c>
      <c r="DZ90" s="107"/>
      <c r="EA90" s="202"/>
      <c r="EB90" s="202"/>
      <c r="EC90" s="202"/>
      <c r="ED90" s="202"/>
      <c r="EE90" s="202"/>
      <c r="EF90" s="229"/>
      <c r="EG90" s="202"/>
      <c r="EH90" s="202"/>
      <c r="EI90" s="202"/>
      <c r="EJ90" s="202"/>
      <c r="EK90" s="202">
        <v>0</v>
      </c>
      <c r="EL90" s="202">
        <v>0</v>
      </c>
      <c r="EM90" s="202">
        <v>166.14</v>
      </c>
      <c r="EN90" s="202">
        <v>115.68</v>
      </c>
      <c r="EO90" s="202">
        <v>0</v>
      </c>
      <c r="EP90" s="202"/>
      <c r="EQ90" s="202">
        <v>166.14</v>
      </c>
      <c r="ER90" s="202">
        <v>115.68</v>
      </c>
      <c r="ES90" s="202"/>
      <c r="ET90" s="202"/>
      <c r="EU90" s="202"/>
      <c r="EV90" s="214">
        <v>2.15</v>
      </c>
      <c r="EW90" s="240">
        <f t="shared" si="73"/>
        <v>5584.21</v>
      </c>
      <c r="EX90" s="209">
        <f t="shared" si="74"/>
        <v>3634.5</v>
      </c>
    </row>
    <row r="91" spans="1:154" ht="12.75" customHeight="1" x14ac:dyDescent="0.2">
      <c r="A91" s="45" t="s">
        <v>149</v>
      </c>
      <c r="B91" s="117" t="s">
        <v>108</v>
      </c>
      <c r="C91" s="118" t="s">
        <v>127</v>
      </c>
      <c r="D91" s="119" t="s">
        <v>558</v>
      </c>
      <c r="E91" s="118" t="s">
        <v>9</v>
      </c>
      <c r="F91" s="11">
        <v>5</v>
      </c>
      <c r="G91" s="11">
        <v>4</v>
      </c>
      <c r="H91" s="11">
        <v>80</v>
      </c>
      <c r="I91" s="11">
        <v>0</v>
      </c>
      <c r="J91" s="11">
        <v>165</v>
      </c>
      <c r="K91" s="11">
        <v>200</v>
      </c>
      <c r="L91" s="11" t="s">
        <v>746</v>
      </c>
      <c r="M91" s="84">
        <v>221</v>
      </c>
      <c r="N91" s="84">
        <v>989</v>
      </c>
      <c r="O91" s="84">
        <v>0</v>
      </c>
      <c r="P91" s="135">
        <v>220.8</v>
      </c>
      <c r="Q91" s="135">
        <v>718</v>
      </c>
      <c r="R91" s="133">
        <v>0</v>
      </c>
      <c r="S91" s="133">
        <f t="shared" si="75"/>
        <v>938.8</v>
      </c>
      <c r="T91" s="134">
        <v>256.8</v>
      </c>
      <c r="U91" s="130">
        <v>1.53</v>
      </c>
      <c r="V91" s="131">
        <v>1.9800000000000002E-2</v>
      </c>
      <c r="W91" s="131">
        <v>1.9800000000000002E-2</v>
      </c>
      <c r="X91" s="132">
        <v>1.2199999999999999E-3</v>
      </c>
      <c r="Y91" s="131">
        <v>3.95E-2</v>
      </c>
      <c r="Z91" s="29">
        <v>3525.58</v>
      </c>
      <c r="AA91" s="34"/>
      <c r="AB91" s="9">
        <f t="shared" si="83"/>
        <v>3525.58</v>
      </c>
      <c r="AC91" s="9">
        <f t="shared" si="39"/>
        <v>22316.92</v>
      </c>
      <c r="AD91" s="9">
        <v>0.39</v>
      </c>
      <c r="AE91" s="9">
        <v>5.1100000000000003</v>
      </c>
      <c r="AF91" s="21">
        <f>2.44-AJ91</f>
        <v>2.17</v>
      </c>
      <c r="AG91" s="18">
        <f>0.54-AQ91</f>
        <v>0.43</v>
      </c>
      <c r="AH91" s="9">
        <v>2.78</v>
      </c>
      <c r="AI91" s="43">
        <v>949</v>
      </c>
      <c r="AJ91" s="21">
        <f t="shared" si="48"/>
        <v>0.27</v>
      </c>
      <c r="AK91" s="9">
        <v>0</v>
      </c>
      <c r="AL91" s="9">
        <v>0</v>
      </c>
      <c r="AM91" s="9">
        <v>0</v>
      </c>
      <c r="AN91" s="13"/>
      <c r="AO91" s="13">
        <v>801.6</v>
      </c>
      <c r="AP91" s="13">
        <f t="shared" si="77"/>
        <v>5.58</v>
      </c>
      <c r="AQ91" s="18">
        <f t="shared" si="49"/>
        <v>0.11</v>
      </c>
      <c r="AR91" s="9">
        <v>0.78</v>
      </c>
      <c r="AS91" s="9">
        <v>0.39</v>
      </c>
      <c r="AT91" s="9">
        <v>7.0000000000000007E-2</v>
      </c>
      <c r="AU91" s="9">
        <v>3.34</v>
      </c>
      <c r="AV91" s="9">
        <v>0.13</v>
      </c>
      <c r="AW91" s="9">
        <f>1.12+0.32+0.29</f>
        <v>1.73</v>
      </c>
      <c r="AX91" s="9">
        <f>1.53+0.39</f>
        <v>1.92</v>
      </c>
      <c r="AY91" s="120">
        <f t="shared" si="78"/>
        <v>19.62</v>
      </c>
      <c r="AZ91" s="121">
        <v>3521.4</v>
      </c>
      <c r="BA91" s="121">
        <v>0</v>
      </c>
      <c r="BB91" s="121">
        <f t="shared" si="84"/>
        <v>3521.4</v>
      </c>
      <c r="BC91" s="121">
        <v>19.62</v>
      </c>
      <c r="BD91" s="13">
        <f t="shared" si="76"/>
        <v>0</v>
      </c>
      <c r="BE91" s="9">
        <f t="shared" si="50"/>
        <v>69171.88</v>
      </c>
      <c r="BF91" s="9">
        <v>19.62</v>
      </c>
      <c r="BG91" s="10">
        <v>44409</v>
      </c>
      <c r="BH91" s="9">
        <f t="shared" si="51"/>
        <v>1374.98</v>
      </c>
      <c r="BI91" s="9">
        <f t="shared" si="52"/>
        <v>18015.71</v>
      </c>
      <c r="BJ91" s="9">
        <f t="shared" si="53"/>
        <v>7650.51</v>
      </c>
      <c r="BK91" s="9">
        <f t="shared" si="54"/>
        <v>1516</v>
      </c>
      <c r="BL91" s="9">
        <f t="shared" si="55"/>
        <v>9801.11</v>
      </c>
      <c r="BM91" s="9">
        <f t="shared" si="56"/>
        <v>951.91</v>
      </c>
      <c r="BN91" s="9">
        <f t="shared" si="57"/>
        <v>0</v>
      </c>
      <c r="BO91" s="9">
        <f t="shared" si="58"/>
        <v>0</v>
      </c>
      <c r="BP91" s="9">
        <f t="shared" si="59"/>
        <v>0</v>
      </c>
      <c r="BQ91" s="9">
        <f t="shared" si="60"/>
        <v>387.81</v>
      </c>
      <c r="BR91" s="9">
        <f t="shared" si="61"/>
        <v>2749.95</v>
      </c>
      <c r="BS91" s="9">
        <f t="shared" si="62"/>
        <v>1374.98</v>
      </c>
      <c r="BT91" s="9">
        <f t="shared" si="63"/>
        <v>246.79</v>
      </c>
      <c r="BU91" s="9">
        <f t="shared" si="64"/>
        <v>11775.44</v>
      </c>
      <c r="BV91" s="9">
        <f t="shared" si="65"/>
        <v>458.33</v>
      </c>
      <c r="BW91" s="9">
        <f t="shared" si="66"/>
        <v>6099.25</v>
      </c>
      <c r="BX91" s="9">
        <f t="shared" si="67"/>
        <v>6769.11</v>
      </c>
      <c r="BY91" s="17">
        <f t="shared" si="68"/>
        <v>69171.88</v>
      </c>
      <c r="BZ91" s="17">
        <v>2.0699999999999998</v>
      </c>
      <c r="CA91" s="17">
        <v>0.04</v>
      </c>
      <c r="CB91" s="17">
        <v>0.23</v>
      </c>
      <c r="CC91" s="27">
        <v>0.04</v>
      </c>
      <c r="CD91" s="29">
        <v>6.33</v>
      </c>
      <c r="CE91" s="9">
        <v>0</v>
      </c>
      <c r="CF91" s="9"/>
      <c r="CG91" s="9">
        <v>137.41</v>
      </c>
      <c r="CH91" s="9">
        <v>143.51</v>
      </c>
      <c r="CI91" s="9">
        <f t="shared" si="79"/>
        <v>0</v>
      </c>
      <c r="CJ91" s="9">
        <f t="shared" si="80"/>
        <v>0</v>
      </c>
      <c r="CK91" s="13">
        <f t="shared" si="81"/>
        <v>0.04</v>
      </c>
      <c r="CL91" s="13">
        <f t="shared" si="82"/>
        <v>0.04</v>
      </c>
      <c r="CM91" s="13">
        <v>69171.87</v>
      </c>
      <c r="CN91" s="13">
        <v>317.31</v>
      </c>
      <c r="CO91" s="13">
        <v>0</v>
      </c>
      <c r="CP91" s="13">
        <v>141.01</v>
      </c>
      <c r="CQ91" s="13">
        <v>141.01</v>
      </c>
      <c r="CR91" s="13">
        <v>69830.58</v>
      </c>
      <c r="CS91" s="13">
        <v>6773.68</v>
      </c>
      <c r="CT91" s="13">
        <v>189.95</v>
      </c>
      <c r="CU91" s="13">
        <v>142.41</v>
      </c>
      <c r="CV91" s="13">
        <v>142.38</v>
      </c>
      <c r="CW91" s="202">
        <v>3072</v>
      </c>
      <c r="CX91" s="200">
        <v>1762</v>
      </c>
      <c r="CY91" s="202"/>
      <c r="CZ91" s="202"/>
      <c r="DA91" s="202"/>
      <c r="DB91" s="202"/>
      <c r="DC91" s="202"/>
      <c r="DD91" s="461"/>
      <c r="DE91" s="256"/>
      <c r="DF91" s="202"/>
      <c r="DG91" s="202"/>
      <c r="DH91" s="202"/>
      <c r="DI91" s="204">
        <v>949</v>
      </c>
      <c r="DJ91" s="202"/>
      <c r="DK91" s="202"/>
      <c r="DL91" s="202"/>
      <c r="DM91" s="202">
        <v>19746</v>
      </c>
      <c r="DN91" s="202">
        <v>2346</v>
      </c>
      <c r="DO91" s="202">
        <v>1.38</v>
      </c>
      <c r="DP91" s="202"/>
      <c r="DQ91" s="202"/>
      <c r="DR91" s="202"/>
      <c r="DS91" s="202">
        <v>9715</v>
      </c>
      <c r="DT91" s="254">
        <v>305</v>
      </c>
      <c r="DU91" s="254">
        <v>209</v>
      </c>
      <c r="DV91" s="202"/>
      <c r="DW91" s="202">
        <v>16040</v>
      </c>
      <c r="DX91" s="202"/>
      <c r="DY91" s="107">
        <v>1365</v>
      </c>
      <c r="DZ91" s="107"/>
      <c r="EA91" s="202"/>
      <c r="EB91" s="202"/>
      <c r="EC91" s="202"/>
      <c r="ED91" s="202"/>
      <c r="EE91" s="202"/>
      <c r="EF91" s="229"/>
      <c r="EG91" s="202"/>
      <c r="EH91" s="202"/>
      <c r="EI91" s="202"/>
      <c r="EJ91" s="202"/>
      <c r="EK91" s="202">
        <v>325.08999999999997</v>
      </c>
      <c r="EL91" s="202">
        <v>0</v>
      </c>
      <c r="EM91" s="202">
        <v>137.41</v>
      </c>
      <c r="EN91" s="202">
        <v>143.51</v>
      </c>
      <c r="EO91" s="202">
        <v>325.08999999999997</v>
      </c>
      <c r="EP91" s="202"/>
      <c r="EQ91" s="202">
        <v>137.41</v>
      </c>
      <c r="ER91" s="202">
        <v>143.51</v>
      </c>
      <c r="ES91" s="202"/>
      <c r="ET91" s="202"/>
      <c r="EU91" s="202"/>
      <c r="EV91" s="214">
        <v>2.15</v>
      </c>
      <c r="EW91" s="240">
        <f t="shared" si="73"/>
        <v>7711.01</v>
      </c>
      <c r="EX91" s="209">
        <f t="shared" si="74"/>
        <v>5018.7299999999996</v>
      </c>
    </row>
    <row r="92" spans="1:154" ht="12.75" customHeight="1" x14ac:dyDescent="0.2">
      <c r="A92" s="45" t="s">
        <v>151</v>
      </c>
      <c r="B92" s="123" t="s">
        <v>108</v>
      </c>
      <c r="C92" s="124" t="s">
        <v>129</v>
      </c>
      <c r="D92" s="125" t="s">
        <v>699</v>
      </c>
      <c r="E92" s="124" t="s">
        <v>44</v>
      </c>
      <c r="F92" s="11">
        <v>9</v>
      </c>
      <c r="G92" s="11">
        <v>2</v>
      </c>
      <c r="H92" s="11">
        <v>72</v>
      </c>
      <c r="I92" s="11">
        <v>74</v>
      </c>
      <c r="J92" s="11">
        <v>166</v>
      </c>
      <c r="K92" s="11">
        <v>197</v>
      </c>
      <c r="L92" s="83">
        <v>2</v>
      </c>
      <c r="M92" s="84">
        <v>654</v>
      </c>
      <c r="N92" s="84">
        <v>616</v>
      </c>
      <c r="O92" s="84">
        <v>0</v>
      </c>
      <c r="P92" s="135">
        <v>654</v>
      </c>
      <c r="Q92" s="135">
        <v>662.6</v>
      </c>
      <c r="R92" s="133">
        <v>0</v>
      </c>
      <c r="S92" s="133">
        <f t="shared" si="75"/>
        <v>1316.6</v>
      </c>
      <c r="T92" s="134">
        <v>654</v>
      </c>
      <c r="U92" s="130">
        <v>2.44</v>
      </c>
      <c r="V92" s="131">
        <v>1.9800000000000002E-2</v>
      </c>
      <c r="W92" s="131">
        <v>1.9800000000000002E-2</v>
      </c>
      <c r="X92" s="132">
        <v>1.32E-3</v>
      </c>
      <c r="Y92" s="131">
        <v>3.9699999999999999E-2</v>
      </c>
      <c r="Z92" s="29">
        <v>3783.69</v>
      </c>
      <c r="AA92" s="34">
        <v>57.6</v>
      </c>
      <c r="AB92" s="9">
        <f t="shared" si="83"/>
        <v>3841.29</v>
      </c>
      <c r="AC92" s="9">
        <f t="shared" si="39"/>
        <v>24315.37</v>
      </c>
      <c r="AD92" s="9">
        <v>1.84</v>
      </c>
      <c r="AE92" s="9">
        <v>4.7699999999999996</v>
      </c>
      <c r="AF92" s="21">
        <f>2.47-AJ92</f>
        <v>2.3199999999999998</v>
      </c>
      <c r="AG92" s="18">
        <f>0.62-AQ92</f>
        <v>0.56999999999999995</v>
      </c>
      <c r="AH92" s="9">
        <v>2.78</v>
      </c>
      <c r="AI92" s="43">
        <v>591</v>
      </c>
      <c r="AJ92" s="21">
        <f t="shared" si="48"/>
        <v>0.15</v>
      </c>
      <c r="AK92" s="9">
        <v>2.2400000000000002</v>
      </c>
      <c r="AL92" s="9">
        <v>0.2</v>
      </c>
      <c r="AM92" s="9">
        <v>0.15</v>
      </c>
      <c r="AN92" s="13"/>
      <c r="AO92" s="13">
        <v>422.4</v>
      </c>
      <c r="AP92" s="13">
        <f t="shared" si="77"/>
        <v>5.58</v>
      </c>
      <c r="AQ92" s="18">
        <f t="shared" si="49"/>
        <v>0.05</v>
      </c>
      <c r="AR92" s="9">
        <v>0.57999999999999996</v>
      </c>
      <c r="AS92" s="9">
        <v>0.36</v>
      </c>
      <c r="AT92" s="9">
        <v>7.0000000000000007E-2</v>
      </c>
      <c r="AU92" s="9">
        <v>3.85</v>
      </c>
      <c r="AV92" s="9">
        <v>0.17</v>
      </c>
      <c r="AW92" s="9">
        <f>1.44+0.34+0.25</f>
        <v>2.0299999999999998</v>
      </c>
      <c r="AX92" s="9">
        <f>2.03+0.45</f>
        <v>2.48</v>
      </c>
      <c r="AY92" s="126">
        <f t="shared" si="78"/>
        <v>24.61</v>
      </c>
      <c r="AZ92" s="127">
        <v>3782.69</v>
      </c>
      <c r="BA92" s="127">
        <v>57.6</v>
      </c>
      <c r="BB92" s="127">
        <f t="shared" si="84"/>
        <v>3840.29</v>
      </c>
      <c r="BC92" s="127">
        <v>24.61</v>
      </c>
      <c r="BD92" s="13">
        <f t="shared" si="76"/>
        <v>0</v>
      </c>
      <c r="BE92" s="9">
        <f t="shared" si="50"/>
        <v>94534.15</v>
      </c>
      <c r="BF92" s="9">
        <v>24.61</v>
      </c>
      <c r="BG92" s="10">
        <v>44378</v>
      </c>
      <c r="BH92" s="9">
        <f t="shared" si="51"/>
        <v>7067.97</v>
      </c>
      <c r="BI92" s="9">
        <f t="shared" si="52"/>
        <v>18322.95</v>
      </c>
      <c r="BJ92" s="9">
        <f t="shared" si="53"/>
        <v>8911.7900000000009</v>
      </c>
      <c r="BK92" s="9">
        <f t="shared" si="54"/>
        <v>2189.54</v>
      </c>
      <c r="BL92" s="9">
        <f t="shared" si="55"/>
        <v>10678.79</v>
      </c>
      <c r="BM92" s="9">
        <f t="shared" si="56"/>
        <v>576.19000000000005</v>
      </c>
      <c r="BN92" s="9">
        <f t="shared" si="57"/>
        <v>8604.49</v>
      </c>
      <c r="BO92" s="9">
        <f t="shared" si="58"/>
        <v>768.26</v>
      </c>
      <c r="BP92" s="9">
        <f t="shared" si="59"/>
        <v>576.19000000000005</v>
      </c>
      <c r="BQ92" s="9">
        <f t="shared" si="60"/>
        <v>192.06</v>
      </c>
      <c r="BR92" s="9">
        <f t="shared" si="61"/>
        <v>2227.9499999999998</v>
      </c>
      <c r="BS92" s="9">
        <f t="shared" si="62"/>
        <v>1382.86</v>
      </c>
      <c r="BT92" s="9">
        <f t="shared" si="63"/>
        <v>268.89</v>
      </c>
      <c r="BU92" s="9">
        <f t="shared" si="64"/>
        <v>14788.97</v>
      </c>
      <c r="BV92" s="9">
        <f t="shared" si="65"/>
        <v>653.02</v>
      </c>
      <c r="BW92" s="9">
        <f t="shared" si="66"/>
        <v>7797.82</v>
      </c>
      <c r="BX92" s="9">
        <f t="shared" si="67"/>
        <v>9526.4</v>
      </c>
      <c r="BY92" s="17">
        <f t="shared" si="68"/>
        <v>94534.14</v>
      </c>
      <c r="BZ92" s="17">
        <v>3.09</v>
      </c>
      <c r="CA92" s="17">
        <v>0.09</v>
      </c>
      <c r="CB92" s="17">
        <v>0.56999999999999995</v>
      </c>
      <c r="CC92" s="27">
        <v>0.1</v>
      </c>
      <c r="CD92" s="29">
        <v>6.33</v>
      </c>
      <c r="CE92" s="9">
        <v>12138.46</v>
      </c>
      <c r="CF92" s="9"/>
      <c r="CG92" s="9">
        <v>0</v>
      </c>
      <c r="CH92" s="9">
        <v>183.21</v>
      </c>
      <c r="CI92" s="9">
        <f t="shared" si="79"/>
        <v>3.16</v>
      </c>
      <c r="CJ92" s="9">
        <f t="shared" si="80"/>
        <v>0</v>
      </c>
      <c r="CK92" s="13">
        <f t="shared" si="81"/>
        <v>0</v>
      </c>
      <c r="CL92" s="13">
        <f t="shared" si="82"/>
        <v>0.05</v>
      </c>
      <c r="CM92" s="13">
        <v>93097.94</v>
      </c>
      <c r="CN92" s="13">
        <v>5465.56</v>
      </c>
      <c r="CO92" s="13">
        <v>24.1</v>
      </c>
      <c r="CP92" s="13">
        <v>3.81</v>
      </c>
      <c r="CQ92" s="13">
        <v>193.22</v>
      </c>
      <c r="CR92" s="13">
        <v>94899.82</v>
      </c>
      <c r="CS92" s="13">
        <v>9968.9599999999991</v>
      </c>
      <c r="CT92" s="13">
        <v>236.47</v>
      </c>
      <c r="CU92" s="13">
        <v>37.39</v>
      </c>
      <c r="CV92" s="13">
        <v>192.09</v>
      </c>
      <c r="CW92" s="202">
        <v>3347</v>
      </c>
      <c r="CX92" s="200">
        <v>1920</v>
      </c>
      <c r="CY92" s="202"/>
      <c r="CZ92" s="202"/>
      <c r="DA92" s="202"/>
      <c r="DB92" s="202"/>
      <c r="DC92" s="202"/>
      <c r="DD92" s="461"/>
      <c r="DE92" s="256"/>
      <c r="DF92" s="202"/>
      <c r="DG92" s="202"/>
      <c r="DH92" s="202"/>
      <c r="DI92" s="204">
        <v>591</v>
      </c>
      <c r="DJ92" s="202">
        <v>8600</v>
      </c>
      <c r="DK92" s="202"/>
      <c r="DL92" s="202"/>
      <c r="DM92" s="202">
        <v>25825</v>
      </c>
      <c r="DN92" s="202">
        <v>1700</v>
      </c>
      <c r="DO92" s="202">
        <v>1</v>
      </c>
      <c r="DP92" s="202"/>
      <c r="DQ92" s="202"/>
      <c r="DR92" s="202"/>
      <c r="DS92" s="202"/>
      <c r="DT92" s="254"/>
      <c r="DU92" s="254"/>
      <c r="DV92" s="202"/>
      <c r="DW92" s="202"/>
      <c r="DX92" s="202">
        <v>17780</v>
      </c>
      <c r="DY92" s="107">
        <v>1365</v>
      </c>
      <c r="DZ92" s="107">
        <v>577</v>
      </c>
      <c r="EA92" s="202"/>
      <c r="EB92" s="202"/>
      <c r="EC92" s="202"/>
      <c r="ED92" s="202"/>
      <c r="EE92" s="202"/>
      <c r="EF92" s="229"/>
      <c r="EG92" s="202"/>
      <c r="EH92" s="202"/>
      <c r="EI92" s="202"/>
      <c r="EJ92" s="202"/>
      <c r="EK92" s="202">
        <v>5423.59</v>
      </c>
      <c r="EL92" s="202">
        <v>0</v>
      </c>
      <c r="EM92" s="202">
        <v>0</v>
      </c>
      <c r="EN92" s="202">
        <v>183.21</v>
      </c>
      <c r="EO92" s="202">
        <v>5423.59</v>
      </c>
      <c r="EP92" s="202"/>
      <c r="EQ92" s="202">
        <v>0</v>
      </c>
      <c r="ER92" s="202">
        <v>183.21</v>
      </c>
      <c r="ES92" s="202"/>
      <c r="ET92" s="202"/>
      <c r="EU92" s="202"/>
      <c r="EV92" s="214">
        <v>-10.87</v>
      </c>
      <c r="EW92" s="240">
        <f t="shared" si="73"/>
        <v>8401.52</v>
      </c>
      <c r="EX92" s="209">
        <f t="shared" si="74"/>
        <v>5468.15</v>
      </c>
    </row>
    <row r="93" spans="1:154" ht="12.75" customHeight="1" x14ac:dyDescent="0.2">
      <c r="A93" s="45" t="s">
        <v>152</v>
      </c>
      <c r="B93" s="117" t="s">
        <v>108</v>
      </c>
      <c r="C93" s="118" t="s">
        <v>131</v>
      </c>
      <c r="D93" s="119" t="s">
        <v>425</v>
      </c>
      <c r="E93" s="118" t="s">
        <v>12</v>
      </c>
      <c r="F93" s="11">
        <v>5</v>
      </c>
      <c r="G93" s="11">
        <v>6</v>
      </c>
      <c r="H93" s="11">
        <v>90</v>
      </c>
      <c r="I93" s="11">
        <v>0</v>
      </c>
      <c r="J93" s="11">
        <v>185</v>
      </c>
      <c r="K93" s="11">
        <v>214</v>
      </c>
      <c r="L93" s="11" t="s">
        <v>746</v>
      </c>
      <c r="M93" s="84">
        <v>496</v>
      </c>
      <c r="N93" s="84">
        <v>1155</v>
      </c>
      <c r="O93" s="84">
        <v>0</v>
      </c>
      <c r="P93" s="135">
        <v>496.2</v>
      </c>
      <c r="Q93" s="135">
        <v>1008.2</v>
      </c>
      <c r="R93" s="133">
        <v>0</v>
      </c>
      <c r="S93" s="133">
        <f t="shared" si="75"/>
        <v>1504.4</v>
      </c>
      <c r="T93" s="134">
        <v>496</v>
      </c>
      <c r="U93" s="130">
        <v>1.53</v>
      </c>
      <c r="V93" s="131">
        <v>1.9800000000000002E-2</v>
      </c>
      <c r="W93" s="131">
        <v>1.9800000000000002E-2</v>
      </c>
      <c r="X93" s="132">
        <v>1.2199999999999999E-3</v>
      </c>
      <c r="Y93" s="131">
        <v>3.95E-2</v>
      </c>
      <c r="Z93" s="29">
        <v>3985.13</v>
      </c>
      <c r="AA93" s="34"/>
      <c r="AB93" s="9">
        <f t="shared" si="83"/>
        <v>3985.13</v>
      </c>
      <c r="AC93" s="9">
        <f t="shared" si="39"/>
        <v>25225.87</v>
      </c>
      <c r="AD93" s="9">
        <v>0.51</v>
      </c>
      <c r="AE93" s="9">
        <v>3.95</v>
      </c>
      <c r="AF93" s="21">
        <f>2.48-AJ93</f>
        <v>2.2000000000000002</v>
      </c>
      <c r="AG93" s="18">
        <f>0.56-AQ93</f>
        <v>0.45</v>
      </c>
      <c r="AH93" s="9">
        <v>2.78</v>
      </c>
      <c r="AI93" s="43">
        <v>1108</v>
      </c>
      <c r="AJ93" s="21">
        <f t="shared" si="48"/>
        <v>0.28000000000000003</v>
      </c>
      <c r="AK93" s="9">
        <v>0</v>
      </c>
      <c r="AL93" s="9">
        <v>0</v>
      </c>
      <c r="AM93" s="9">
        <v>0.14000000000000001</v>
      </c>
      <c r="AN93" s="13"/>
      <c r="AO93" s="13">
        <v>901.8</v>
      </c>
      <c r="AP93" s="13">
        <f t="shared" si="77"/>
        <v>5.58</v>
      </c>
      <c r="AQ93" s="18">
        <f t="shared" si="49"/>
        <v>0.11</v>
      </c>
      <c r="AR93" s="9">
        <v>0.79</v>
      </c>
      <c r="AS93" s="9">
        <v>0.34</v>
      </c>
      <c r="AT93" s="9">
        <v>7.0000000000000007E-2</v>
      </c>
      <c r="AU93" s="9">
        <v>4.55</v>
      </c>
      <c r="AV93" s="9">
        <v>0.12</v>
      </c>
      <c r="AW93" s="9">
        <f>1.04+0.32+0.4</f>
        <v>1.76</v>
      </c>
      <c r="AX93" s="9">
        <f>1.43+0.54</f>
        <v>1.97</v>
      </c>
      <c r="AY93" s="120">
        <f t="shared" si="78"/>
        <v>20.02</v>
      </c>
      <c r="AZ93" s="121">
        <v>3990.8</v>
      </c>
      <c r="BA93" s="121">
        <v>0</v>
      </c>
      <c r="BB93" s="121">
        <f t="shared" si="84"/>
        <v>3990.8</v>
      </c>
      <c r="BC93" s="121">
        <v>20.02</v>
      </c>
      <c r="BD93" s="13">
        <f t="shared" si="76"/>
        <v>0</v>
      </c>
      <c r="BE93" s="9">
        <f t="shared" si="50"/>
        <v>79782.3</v>
      </c>
      <c r="BF93" s="9">
        <v>20.02</v>
      </c>
      <c r="BG93" s="10">
        <v>44409</v>
      </c>
      <c r="BH93" s="9">
        <f t="shared" si="51"/>
        <v>2032.42</v>
      </c>
      <c r="BI93" s="9">
        <f t="shared" si="52"/>
        <v>15741.26</v>
      </c>
      <c r="BJ93" s="9">
        <f t="shared" si="53"/>
        <v>8767.2900000000009</v>
      </c>
      <c r="BK93" s="9">
        <f t="shared" si="54"/>
        <v>1793.31</v>
      </c>
      <c r="BL93" s="9">
        <f t="shared" si="55"/>
        <v>11078.66</v>
      </c>
      <c r="BM93" s="9">
        <f t="shared" si="56"/>
        <v>1115.8399999999999</v>
      </c>
      <c r="BN93" s="9">
        <f t="shared" si="57"/>
        <v>0</v>
      </c>
      <c r="BO93" s="9">
        <f t="shared" si="58"/>
        <v>0</v>
      </c>
      <c r="BP93" s="9">
        <f t="shared" si="59"/>
        <v>557.91999999999996</v>
      </c>
      <c r="BQ93" s="9">
        <f t="shared" si="60"/>
        <v>438.36</v>
      </c>
      <c r="BR93" s="9">
        <f t="shared" si="61"/>
        <v>3148.25</v>
      </c>
      <c r="BS93" s="9">
        <f t="shared" si="62"/>
        <v>1354.94</v>
      </c>
      <c r="BT93" s="9">
        <f t="shared" si="63"/>
        <v>278.95999999999998</v>
      </c>
      <c r="BU93" s="9">
        <f t="shared" si="64"/>
        <v>18132.34</v>
      </c>
      <c r="BV93" s="9">
        <f t="shared" si="65"/>
        <v>478.22</v>
      </c>
      <c r="BW93" s="9">
        <f t="shared" si="66"/>
        <v>7013.83</v>
      </c>
      <c r="BX93" s="9">
        <f t="shared" si="67"/>
        <v>7850.71</v>
      </c>
      <c r="BY93" s="17">
        <f t="shared" si="68"/>
        <v>79782.31</v>
      </c>
      <c r="BZ93" s="17">
        <v>2.4300000000000002</v>
      </c>
      <c r="CA93" s="17">
        <v>7.0000000000000007E-2</v>
      </c>
      <c r="CB93" s="17">
        <v>0.39</v>
      </c>
      <c r="CC93" s="27">
        <v>7.0000000000000007E-2</v>
      </c>
      <c r="CD93" s="29">
        <v>6.33</v>
      </c>
      <c r="CE93" s="9">
        <v>0</v>
      </c>
      <c r="CF93" s="9"/>
      <c r="CG93" s="9">
        <v>0</v>
      </c>
      <c r="CH93" s="9">
        <v>138.94</v>
      </c>
      <c r="CI93" s="9">
        <f t="shared" si="79"/>
        <v>0</v>
      </c>
      <c r="CJ93" s="9">
        <f t="shared" si="80"/>
        <v>0</v>
      </c>
      <c r="CK93" s="13">
        <f t="shared" si="81"/>
        <v>0</v>
      </c>
      <c r="CL93" s="13">
        <f t="shared" si="82"/>
        <v>0.03</v>
      </c>
      <c r="CM93" s="13">
        <v>79782.259999999995</v>
      </c>
      <c r="CN93" s="13">
        <v>9683.8700000000008</v>
      </c>
      <c r="CO93" s="13">
        <v>0</v>
      </c>
      <c r="CP93" s="13">
        <v>0</v>
      </c>
      <c r="CQ93" s="13">
        <v>119.51</v>
      </c>
      <c r="CR93" s="13">
        <v>79180.69</v>
      </c>
      <c r="CS93" s="13">
        <v>9401.1200000000008</v>
      </c>
      <c r="CT93" s="13">
        <v>323.73</v>
      </c>
      <c r="CU93" s="13">
        <v>58.15</v>
      </c>
      <c r="CV93" s="13">
        <v>142.04</v>
      </c>
      <c r="CW93" s="202">
        <v>3472</v>
      </c>
      <c r="CX93" s="200">
        <v>1992</v>
      </c>
      <c r="CY93" s="202"/>
      <c r="CZ93" s="202"/>
      <c r="DA93" s="202"/>
      <c r="DB93" s="202"/>
      <c r="DC93" s="202"/>
      <c r="DD93" s="461"/>
      <c r="DE93" s="256"/>
      <c r="DF93" s="202"/>
      <c r="DG93" s="202"/>
      <c r="DH93" s="202"/>
      <c r="DI93" s="204">
        <v>1108</v>
      </c>
      <c r="DJ93" s="202"/>
      <c r="DK93" s="202"/>
      <c r="DL93" s="202"/>
      <c r="DM93" s="202">
        <v>18202</v>
      </c>
      <c r="DN93" s="202">
        <v>2346</v>
      </c>
      <c r="DO93" s="202">
        <v>1.38</v>
      </c>
      <c r="DP93" s="202"/>
      <c r="DQ93" s="202"/>
      <c r="DR93" s="202"/>
      <c r="DS93" s="202"/>
      <c r="DT93" s="254"/>
      <c r="DU93" s="254"/>
      <c r="DV93" s="202"/>
      <c r="DW93" s="202">
        <v>18389</v>
      </c>
      <c r="DX93" s="202"/>
      <c r="DY93" s="107">
        <v>1365</v>
      </c>
      <c r="DZ93" s="107"/>
      <c r="EA93" s="202">
        <v>6635.58</v>
      </c>
      <c r="EB93" s="202"/>
      <c r="EC93" s="202"/>
      <c r="ED93" s="202"/>
      <c r="EE93" s="202"/>
      <c r="EF93" s="229"/>
      <c r="EG93" s="202"/>
      <c r="EH93" s="202"/>
      <c r="EI93" s="202"/>
      <c r="EJ93" s="202"/>
      <c r="EK93" s="202">
        <v>0</v>
      </c>
      <c r="EL93" s="202">
        <v>0</v>
      </c>
      <c r="EM93" s="202">
        <v>0</v>
      </c>
      <c r="EN93" s="202">
        <v>138.94</v>
      </c>
      <c r="EO93" s="202">
        <v>0</v>
      </c>
      <c r="EP93" s="202"/>
      <c r="EQ93" s="202">
        <v>0</v>
      </c>
      <c r="ER93" s="202">
        <v>138.94</v>
      </c>
      <c r="ES93" s="202"/>
      <c r="ET93" s="202"/>
      <c r="EU93" s="202"/>
      <c r="EV93" s="214">
        <v>-7.62</v>
      </c>
      <c r="EW93" s="240">
        <f t="shared" si="73"/>
        <v>8716.1200000000008</v>
      </c>
      <c r="EX93" s="209">
        <f t="shared" si="74"/>
        <v>5672.91</v>
      </c>
    </row>
    <row r="94" spans="1:154" ht="12.75" customHeight="1" x14ac:dyDescent="0.2">
      <c r="A94" s="45" t="s">
        <v>154</v>
      </c>
      <c r="B94" s="117" t="s">
        <v>108</v>
      </c>
      <c r="C94" s="118" t="s">
        <v>133</v>
      </c>
      <c r="D94" s="119" t="s">
        <v>559</v>
      </c>
      <c r="E94" s="118" t="s">
        <v>30</v>
      </c>
      <c r="F94" s="11">
        <v>5</v>
      </c>
      <c r="G94" s="11">
        <v>5</v>
      </c>
      <c r="H94" s="11">
        <v>100</v>
      </c>
      <c r="I94" s="11">
        <v>0</v>
      </c>
      <c r="J94" s="11">
        <v>148</v>
      </c>
      <c r="K94" s="11">
        <v>193</v>
      </c>
      <c r="L94" s="11" t="s">
        <v>746</v>
      </c>
      <c r="M94" s="84">
        <v>342</v>
      </c>
      <c r="N94" s="84">
        <v>1098</v>
      </c>
      <c r="O94" s="84">
        <v>0</v>
      </c>
      <c r="P94" s="135">
        <v>342</v>
      </c>
      <c r="Q94" s="135">
        <v>863.5</v>
      </c>
      <c r="R94" s="133">
        <v>0</v>
      </c>
      <c r="S94" s="133">
        <f t="shared" si="75"/>
        <v>1205.5</v>
      </c>
      <c r="T94" s="134">
        <v>342</v>
      </c>
      <c r="U94" s="130">
        <v>1.53</v>
      </c>
      <c r="V94" s="131">
        <v>1.9800000000000002E-2</v>
      </c>
      <c r="W94" s="131">
        <v>1.9800000000000002E-2</v>
      </c>
      <c r="X94" s="132">
        <v>1.2199999999999999E-3</v>
      </c>
      <c r="Y94" s="131">
        <v>3.95E-2</v>
      </c>
      <c r="Z94" s="29">
        <v>3379.17</v>
      </c>
      <c r="AA94" s="34"/>
      <c r="AB94" s="9">
        <f t="shared" si="83"/>
        <v>3379.17</v>
      </c>
      <c r="AC94" s="9">
        <f t="shared" si="39"/>
        <v>21390.15</v>
      </c>
      <c r="AD94" s="9">
        <v>0.5</v>
      </c>
      <c r="AE94" s="9">
        <v>4.49</v>
      </c>
      <c r="AF94" s="21">
        <f>2.49-AJ94</f>
        <v>2.1800000000000002</v>
      </c>
      <c r="AG94" s="18">
        <f>0.56-AQ94</f>
        <v>0.42</v>
      </c>
      <c r="AH94" s="9">
        <v>2.78</v>
      </c>
      <c r="AI94" s="43">
        <v>1053</v>
      </c>
      <c r="AJ94" s="21">
        <f t="shared" si="48"/>
        <v>0.31</v>
      </c>
      <c r="AK94" s="9">
        <v>0</v>
      </c>
      <c r="AL94" s="9">
        <v>0</v>
      </c>
      <c r="AM94" s="9">
        <v>0.17</v>
      </c>
      <c r="AN94" s="13"/>
      <c r="AO94" s="13">
        <v>1002</v>
      </c>
      <c r="AP94" s="13">
        <f t="shared" si="77"/>
        <v>5.58</v>
      </c>
      <c r="AQ94" s="18">
        <f t="shared" si="49"/>
        <v>0.14000000000000001</v>
      </c>
      <c r="AR94" s="9">
        <v>1.02</v>
      </c>
      <c r="AS94" s="9">
        <v>0.4</v>
      </c>
      <c r="AT94" s="9">
        <v>7.0000000000000007E-2</v>
      </c>
      <c r="AU94" s="9">
        <v>3.69</v>
      </c>
      <c r="AV94" s="9">
        <v>0.13</v>
      </c>
      <c r="AW94" s="9">
        <f>1.12+0.41+0.33</f>
        <v>1.86</v>
      </c>
      <c r="AX94" s="9">
        <f>1.54+0.44</f>
        <v>1.98</v>
      </c>
      <c r="AY94" s="120">
        <f t="shared" si="78"/>
        <v>20.14</v>
      </c>
      <c r="AZ94" s="121">
        <v>3382.3</v>
      </c>
      <c r="BA94" s="121">
        <v>0</v>
      </c>
      <c r="BB94" s="121">
        <f t="shared" si="84"/>
        <v>3382.3</v>
      </c>
      <c r="BC94" s="121">
        <v>20.14</v>
      </c>
      <c r="BD94" s="13">
        <f t="shared" si="76"/>
        <v>0</v>
      </c>
      <c r="BE94" s="9">
        <f t="shared" si="50"/>
        <v>68056.479999999996</v>
      </c>
      <c r="BF94" s="9">
        <v>20.14</v>
      </c>
      <c r="BG94" s="10">
        <v>44409</v>
      </c>
      <c r="BH94" s="9">
        <f t="shared" si="51"/>
        <v>1689.59</v>
      </c>
      <c r="BI94" s="9">
        <f t="shared" si="52"/>
        <v>15172.47</v>
      </c>
      <c r="BJ94" s="9">
        <f t="shared" si="53"/>
        <v>7366.59</v>
      </c>
      <c r="BK94" s="9">
        <f t="shared" si="54"/>
        <v>1419.25</v>
      </c>
      <c r="BL94" s="9">
        <f t="shared" si="55"/>
        <v>9394.09</v>
      </c>
      <c r="BM94" s="9">
        <f t="shared" si="56"/>
        <v>1047.54</v>
      </c>
      <c r="BN94" s="9">
        <f t="shared" si="57"/>
        <v>0</v>
      </c>
      <c r="BO94" s="9">
        <f t="shared" si="58"/>
        <v>0</v>
      </c>
      <c r="BP94" s="9">
        <f t="shared" si="59"/>
        <v>574.46</v>
      </c>
      <c r="BQ94" s="9">
        <f t="shared" si="60"/>
        <v>473.08</v>
      </c>
      <c r="BR94" s="9">
        <f t="shared" si="61"/>
        <v>3446.75</v>
      </c>
      <c r="BS94" s="9">
        <f t="shared" si="62"/>
        <v>1351.67</v>
      </c>
      <c r="BT94" s="9">
        <f t="shared" si="63"/>
        <v>236.54</v>
      </c>
      <c r="BU94" s="9">
        <f t="shared" si="64"/>
        <v>12469.14</v>
      </c>
      <c r="BV94" s="9">
        <f t="shared" si="65"/>
        <v>439.29</v>
      </c>
      <c r="BW94" s="9">
        <f t="shared" si="66"/>
        <v>6285.26</v>
      </c>
      <c r="BX94" s="9">
        <f t="shared" si="67"/>
        <v>6690.76</v>
      </c>
      <c r="BY94" s="17">
        <f t="shared" si="68"/>
        <v>68056.479999999996</v>
      </c>
      <c r="BZ94" s="17">
        <v>2.5</v>
      </c>
      <c r="CA94" s="17">
        <v>0.05</v>
      </c>
      <c r="CB94" s="17">
        <v>0.32</v>
      </c>
      <c r="CC94" s="27">
        <v>0.06</v>
      </c>
      <c r="CD94" s="29">
        <v>6.33</v>
      </c>
      <c r="CE94" s="9">
        <v>1440.08</v>
      </c>
      <c r="CF94" s="9"/>
      <c r="CG94" s="9">
        <v>5161.58</v>
      </c>
      <c r="CH94" s="9">
        <v>2798.07</v>
      </c>
      <c r="CI94" s="9">
        <f t="shared" si="79"/>
        <v>0.43</v>
      </c>
      <c r="CJ94" s="9">
        <f t="shared" si="80"/>
        <v>0</v>
      </c>
      <c r="CK94" s="13">
        <f t="shared" si="81"/>
        <v>1.53</v>
      </c>
      <c r="CL94" s="13">
        <f t="shared" si="82"/>
        <v>0.83</v>
      </c>
      <c r="CM94" s="13">
        <v>68094.58</v>
      </c>
      <c r="CN94" s="13">
        <v>1931.91</v>
      </c>
      <c r="CO94" s="13">
        <v>0.61</v>
      </c>
      <c r="CP94" s="13">
        <v>4226.67</v>
      </c>
      <c r="CQ94" s="13">
        <v>2299.13</v>
      </c>
      <c r="CR94" s="13">
        <v>68856.34</v>
      </c>
      <c r="CS94" s="13">
        <v>3204.3</v>
      </c>
      <c r="CT94" s="13">
        <v>230.85</v>
      </c>
      <c r="CU94" s="13">
        <v>1873.56</v>
      </c>
      <c r="CV94" s="13">
        <v>1082.55</v>
      </c>
      <c r="CW94" s="202">
        <v>2944</v>
      </c>
      <c r="CX94" s="200">
        <v>1689</v>
      </c>
      <c r="CY94" s="202"/>
      <c r="CZ94" s="202"/>
      <c r="DA94" s="202"/>
      <c r="DB94" s="202"/>
      <c r="DC94" s="202"/>
      <c r="DD94" s="461"/>
      <c r="DE94" s="256"/>
      <c r="DF94" s="202"/>
      <c r="DG94" s="202"/>
      <c r="DH94" s="202"/>
      <c r="DI94" s="204">
        <v>1053</v>
      </c>
      <c r="DJ94" s="202"/>
      <c r="DK94" s="202"/>
      <c r="DL94" s="202"/>
      <c r="DM94" s="202">
        <v>17203</v>
      </c>
      <c r="DN94" s="202">
        <v>2431</v>
      </c>
      <c r="DO94" s="202">
        <v>1.43</v>
      </c>
      <c r="DP94" s="202"/>
      <c r="DQ94" s="202"/>
      <c r="DR94" s="202"/>
      <c r="DS94" s="202"/>
      <c r="DT94" s="254"/>
      <c r="DU94" s="254"/>
      <c r="DV94" s="202"/>
      <c r="DW94" s="202">
        <v>15600</v>
      </c>
      <c r="DX94" s="202"/>
      <c r="DY94" s="107">
        <v>1365</v>
      </c>
      <c r="DZ94" s="107"/>
      <c r="EA94" s="202"/>
      <c r="EB94" s="202"/>
      <c r="EC94" s="202"/>
      <c r="ED94" s="202"/>
      <c r="EE94" s="202"/>
      <c r="EF94" s="229"/>
      <c r="EG94" s="202"/>
      <c r="EH94" s="202"/>
      <c r="EI94" s="202"/>
      <c r="EJ94" s="202"/>
      <c r="EK94" s="202">
        <v>1937.98</v>
      </c>
      <c r="EL94" s="202">
        <v>0</v>
      </c>
      <c r="EM94" s="202">
        <v>4215.74</v>
      </c>
      <c r="EN94" s="202">
        <v>2302.89</v>
      </c>
      <c r="EO94" s="202">
        <v>1937.98</v>
      </c>
      <c r="EP94" s="202"/>
      <c r="EQ94" s="202">
        <v>4215.74</v>
      </c>
      <c r="ER94" s="202">
        <v>2302.89</v>
      </c>
      <c r="ES94" s="202"/>
      <c r="ET94" s="202"/>
      <c r="EU94" s="202"/>
      <c r="EV94" s="214">
        <f>14.41+20401.72</f>
        <v>20416.13</v>
      </c>
      <c r="EW94" s="240">
        <f t="shared" si="73"/>
        <v>7390.79</v>
      </c>
      <c r="EX94" s="209">
        <f t="shared" si="74"/>
        <v>4810.32</v>
      </c>
    </row>
    <row r="95" spans="1:154" ht="12.75" customHeight="1" x14ac:dyDescent="0.2">
      <c r="A95" s="45" t="s">
        <v>156</v>
      </c>
      <c r="B95" s="123" t="s">
        <v>108</v>
      </c>
      <c r="C95" s="124" t="s">
        <v>135</v>
      </c>
      <c r="D95" s="125" t="s">
        <v>426</v>
      </c>
      <c r="E95" s="124" t="s">
        <v>12</v>
      </c>
      <c r="F95" s="11">
        <v>9</v>
      </c>
      <c r="G95" s="11">
        <v>6</v>
      </c>
      <c r="H95" s="11">
        <v>216</v>
      </c>
      <c r="I95" s="11">
        <v>219</v>
      </c>
      <c r="J95" s="11">
        <v>499</v>
      </c>
      <c r="K95" s="11">
        <v>583</v>
      </c>
      <c r="L95" s="83">
        <v>6</v>
      </c>
      <c r="M95" s="84">
        <v>1521</v>
      </c>
      <c r="N95" s="139">
        <v>1807</v>
      </c>
      <c r="O95" s="84">
        <v>0</v>
      </c>
      <c r="P95" s="135">
        <v>1520.8</v>
      </c>
      <c r="Q95" s="139">
        <v>1807</v>
      </c>
      <c r="R95" s="133">
        <v>0</v>
      </c>
      <c r="S95" s="133">
        <f t="shared" si="75"/>
        <v>3327.8</v>
      </c>
      <c r="T95" s="134">
        <v>1521</v>
      </c>
      <c r="U95" s="130">
        <v>2.72</v>
      </c>
      <c r="V95" s="131">
        <v>1.21E-2</v>
      </c>
      <c r="W95" s="131">
        <v>1.9800000000000002E-2</v>
      </c>
      <c r="X95" s="132">
        <v>1.2700000000000001E-3</v>
      </c>
      <c r="Y95" s="131">
        <v>1.21E-2</v>
      </c>
      <c r="Z95" s="29">
        <v>11120.23</v>
      </c>
      <c r="AA95" s="34"/>
      <c r="AB95" s="9">
        <f t="shared" si="83"/>
        <v>11120.23</v>
      </c>
      <c r="AC95" s="9">
        <f t="shared" si="39"/>
        <v>70391.06</v>
      </c>
      <c r="AD95" s="9">
        <v>1.9</v>
      </c>
      <c r="AE95" s="9">
        <v>4.84</v>
      </c>
      <c r="AF95" s="21">
        <f>2.49-AJ95</f>
        <v>2.33</v>
      </c>
      <c r="AG95" s="18">
        <f>0.64-AQ95</f>
        <v>0.59</v>
      </c>
      <c r="AH95" s="19">
        <f>2.78+0.05+0.11</f>
        <v>2.94</v>
      </c>
      <c r="AI95" s="43">
        <v>1735</v>
      </c>
      <c r="AJ95" s="21">
        <f t="shared" si="48"/>
        <v>0.16</v>
      </c>
      <c r="AK95" s="9">
        <v>2.34</v>
      </c>
      <c r="AL95" s="9">
        <v>0.2</v>
      </c>
      <c r="AM95" s="9">
        <v>0.05</v>
      </c>
      <c r="AN95" s="13"/>
      <c r="AO95" s="13">
        <v>1267.2</v>
      </c>
      <c r="AP95" s="13">
        <f t="shared" si="77"/>
        <v>5.58</v>
      </c>
      <c r="AQ95" s="18">
        <f t="shared" si="49"/>
        <v>0.05</v>
      </c>
      <c r="AR95" s="9">
        <v>0.61</v>
      </c>
      <c r="AS95" s="9">
        <v>0.12</v>
      </c>
      <c r="AT95" s="9">
        <v>7.0000000000000007E-2</v>
      </c>
      <c r="AU95" s="9">
        <v>3.46</v>
      </c>
      <c r="AV95" s="9">
        <v>0.17</v>
      </c>
      <c r="AW95" s="9">
        <f>1.45+0.31+0.26</f>
        <v>2.02</v>
      </c>
      <c r="AX95" s="9">
        <f>2.04+0.41</f>
        <v>2.4500000000000002</v>
      </c>
      <c r="AY95" s="126">
        <f t="shared" si="78"/>
        <v>24.3</v>
      </c>
      <c r="AZ95" s="127">
        <v>11041.7</v>
      </c>
      <c r="BA95" s="127">
        <v>0</v>
      </c>
      <c r="BB95" s="127">
        <f t="shared" si="84"/>
        <v>11041.7</v>
      </c>
      <c r="BC95" s="127">
        <v>24.3</v>
      </c>
      <c r="BD95" s="13">
        <f t="shared" si="76"/>
        <v>0</v>
      </c>
      <c r="BE95" s="9">
        <f t="shared" si="50"/>
        <v>270221.59000000003</v>
      </c>
      <c r="BF95" s="9">
        <v>24.3</v>
      </c>
      <c r="BG95" s="10">
        <v>44409</v>
      </c>
      <c r="BH95" s="9">
        <f t="shared" si="51"/>
        <v>21128.44</v>
      </c>
      <c r="BI95" s="9">
        <f t="shared" si="52"/>
        <v>53821.91</v>
      </c>
      <c r="BJ95" s="9">
        <f t="shared" si="53"/>
        <v>25910.14</v>
      </c>
      <c r="BK95" s="9">
        <f t="shared" si="54"/>
        <v>6560.94</v>
      </c>
      <c r="BL95" s="9">
        <f t="shared" si="55"/>
        <v>32693.48</v>
      </c>
      <c r="BM95" s="9">
        <f t="shared" si="56"/>
        <v>1779.24</v>
      </c>
      <c r="BN95" s="9">
        <f t="shared" si="57"/>
        <v>26021.34</v>
      </c>
      <c r="BO95" s="9">
        <f t="shared" si="58"/>
        <v>2224.0500000000002</v>
      </c>
      <c r="BP95" s="9">
        <f t="shared" si="59"/>
        <v>556.01</v>
      </c>
      <c r="BQ95" s="9">
        <f t="shared" si="60"/>
        <v>556.01</v>
      </c>
      <c r="BR95" s="9">
        <f t="shared" si="61"/>
        <v>6783.34</v>
      </c>
      <c r="BS95" s="9">
        <f t="shared" si="62"/>
        <v>1334.43</v>
      </c>
      <c r="BT95" s="9">
        <f t="shared" si="63"/>
        <v>778.42</v>
      </c>
      <c r="BU95" s="9">
        <f t="shared" si="64"/>
        <v>38476</v>
      </c>
      <c r="BV95" s="9">
        <f t="shared" si="65"/>
        <v>1890.44</v>
      </c>
      <c r="BW95" s="9">
        <f t="shared" si="66"/>
        <v>22462.86</v>
      </c>
      <c r="BX95" s="9">
        <f t="shared" si="67"/>
        <v>27244.560000000001</v>
      </c>
      <c r="BY95" s="17">
        <f t="shared" si="68"/>
        <v>270221.61</v>
      </c>
      <c r="BZ95" s="17">
        <v>3.13</v>
      </c>
      <c r="CA95" s="17">
        <v>7.0000000000000007E-2</v>
      </c>
      <c r="CB95" s="17">
        <v>0.44</v>
      </c>
      <c r="CC95" s="27">
        <v>0.08</v>
      </c>
      <c r="CD95" s="29">
        <v>6.33</v>
      </c>
      <c r="CE95" s="9">
        <v>23674.3</v>
      </c>
      <c r="CF95" s="9">
        <v>4402.45</v>
      </c>
      <c r="CG95" s="9">
        <v>0</v>
      </c>
      <c r="CH95" s="9">
        <v>0</v>
      </c>
      <c r="CI95" s="9">
        <f t="shared" si="79"/>
        <v>2.13</v>
      </c>
      <c r="CJ95" s="9">
        <f t="shared" si="80"/>
        <v>0.4</v>
      </c>
      <c r="CK95" s="13">
        <f t="shared" si="81"/>
        <v>0</v>
      </c>
      <c r="CL95" s="13">
        <f t="shared" si="82"/>
        <v>0</v>
      </c>
      <c r="CM95" s="13">
        <v>269762.34000000003</v>
      </c>
      <c r="CN95" s="13">
        <v>11878.27</v>
      </c>
      <c r="CO95" s="13">
        <v>7770.96</v>
      </c>
      <c r="CP95" s="13">
        <v>0</v>
      </c>
      <c r="CQ95" s="13">
        <v>0</v>
      </c>
      <c r="CR95" s="13">
        <v>291097.58</v>
      </c>
      <c r="CS95" s="13">
        <v>22782.79</v>
      </c>
      <c r="CT95" s="13">
        <v>12701.91</v>
      </c>
      <c r="CU95" s="13">
        <v>128.41999999999999</v>
      </c>
      <c r="CV95" s="13">
        <v>146.65</v>
      </c>
      <c r="CW95" s="202">
        <v>9683</v>
      </c>
      <c r="CX95" s="200">
        <v>5555</v>
      </c>
      <c r="CY95" s="202"/>
      <c r="CZ95" s="202"/>
      <c r="DA95" s="202"/>
      <c r="DB95" s="202"/>
      <c r="DC95" s="202"/>
      <c r="DD95" s="461"/>
      <c r="DE95" s="256"/>
      <c r="DF95" s="202"/>
      <c r="DG95" s="202"/>
      <c r="DH95" s="202"/>
      <c r="DI95" s="204">
        <v>1735</v>
      </c>
      <c r="DJ95" s="202">
        <v>25800</v>
      </c>
      <c r="DK95" s="202"/>
      <c r="DL95" s="202"/>
      <c r="DM95" s="202">
        <v>75586</v>
      </c>
      <c r="DN95" s="202">
        <v>850</v>
      </c>
      <c r="DO95" s="202">
        <v>0.5</v>
      </c>
      <c r="DP95" s="202"/>
      <c r="DQ95" s="202"/>
      <c r="DR95" s="202"/>
      <c r="DS95" s="202"/>
      <c r="DT95" s="254"/>
      <c r="DU95" s="254"/>
      <c r="DV95" s="202"/>
      <c r="DW95" s="202"/>
      <c r="DX95" s="202">
        <v>51870</v>
      </c>
      <c r="DY95" s="107">
        <v>1365</v>
      </c>
      <c r="DZ95" s="107">
        <v>577</v>
      </c>
      <c r="EA95" s="202"/>
      <c r="EB95" s="202"/>
      <c r="EC95" s="202"/>
      <c r="ED95" s="202"/>
      <c r="EE95" s="202"/>
      <c r="EF95" s="229"/>
      <c r="EG95" s="202"/>
      <c r="EH95" s="202"/>
      <c r="EI95" s="202"/>
      <c r="EJ95" s="202"/>
      <c r="EK95" s="202">
        <v>28950.36</v>
      </c>
      <c r="EL95" s="202">
        <v>7764.18</v>
      </c>
      <c r="EM95" s="202">
        <v>0</v>
      </c>
      <c r="EN95" s="202">
        <v>0</v>
      </c>
      <c r="EO95" s="202">
        <v>28950.36</v>
      </c>
      <c r="EP95" s="202"/>
      <c r="EQ95" s="202">
        <v>0</v>
      </c>
      <c r="ER95" s="202">
        <v>0</v>
      </c>
      <c r="ES95" s="202"/>
      <c r="ET95" s="202"/>
      <c r="EU95" s="202"/>
      <c r="EV95" s="214">
        <v>-16.260000000000002</v>
      </c>
      <c r="EW95" s="240">
        <f t="shared" si="73"/>
        <v>24321.72</v>
      </c>
      <c r="EX95" s="209">
        <f t="shared" si="74"/>
        <v>15829.87</v>
      </c>
    </row>
    <row r="96" spans="1:154" ht="12.75" customHeight="1" x14ac:dyDescent="0.2">
      <c r="A96" s="45" t="s">
        <v>157</v>
      </c>
      <c r="B96" s="123" t="s">
        <v>108</v>
      </c>
      <c r="C96" s="124" t="s">
        <v>135</v>
      </c>
      <c r="D96" s="123" t="s">
        <v>631</v>
      </c>
      <c r="E96" s="124" t="s">
        <v>9</v>
      </c>
      <c r="F96" s="11">
        <v>9</v>
      </c>
      <c r="G96" s="11">
        <v>1</v>
      </c>
      <c r="H96" s="11">
        <v>171</v>
      </c>
      <c r="I96" s="11">
        <v>170</v>
      </c>
      <c r="J96" s="11">
        <v>218</v>
      </c>
      <c r="K96" s="11">
        <v>243</v>
      </c>
      <c r="L96" s="11">
        <v>1</v>
      </c>
      <c r="M96" s="84">
        <v>934</v>
      </c>
      <c r="N96" s="139">
        <v>888</v>
      </c>
      <c r="O96" s="84">
        <v>0</v>
      </c>
      <c r="P96" s="135">
        <v>934</v>
      </c>
      <c r="Q96" s="139">
        <v>888</v>
      </c>
      <c r="R96" s="133">
        <v>0</v>
      </c>
      <c r="S96" s="133">
        <f t="shared" si="75"/>
        <v>1822</v>
      </c>
      <c r="T96" s="134">
        <v>934</v>
      </c>
      <c r="U96" s="130">
        <v>2.72</v>
      </c>
      <c r="V96" s="131">
        <v>1.21E-2</v>
      </c>
      <c r="W96" s="131">
        <v>1.9800000000000002E-2</v>
      </c>
      <c r="X96" s="132">
        <v>1.2700000000000001E-3</v>
      </c>
      <c r="Y96" s="131">
        <v>1.21E-2</v>
      </c>
      <c r="Z96" s="29">
        <v>4250.59</v>
      </c>
      <c r="AA96" s="34">
        <v>21.1</v>
      </c>
      <c r="AB96" s="9">
        <f t="shared" si="83"/>
        <v>4271.6899999999996</v>
      </c>
      <c r="AC96" s="9">
        <f t="shared" si="39"/>
        <v>27039.8</v>
      </c>
      <c r="AD96" s="9">
        <v>2.95</v>
      </c>
      <c r="AE96" s="9">
        <v>3.26</v>
      </c>
      <c r="AF96" s="21">
        <f>2.42-AJ96</f>
        <v>2.2200000000000002</v>
      </c>
      <c r="AG96" s="18">
        <f>0.67-AQ96</f>
        <v>0.56000000000000005</v>
      </c>
      <c r="AH96" s="9">
        <v>2.77</v>
      </c>
      <c r="AI96" s="43">
        <v>852</v>
      </c>
      <c r="AJ96" s="21">
        <f t="shared" si="48"/>
        <v>0.2</v>
      </c>
      <c r="AK96" s="9">
        <v>1.01</v>
      </c>
      <c r="AL96" s="9">
        <v>0.09</v>
      </c>
      <c r="AM96" s="9">
        <v>0.22</v>
      </c>
      <c r="AN96" s="13"/>
      <c r="AO96" s="13">
        <v>1014.6</v>
      </c>
      <c r="AP96" s="13">
        <f t="shared" si="77"/>
        <v>5.58</v>
      </c>
      <c r="AQ96" s="18">
        <f t="shared" si="49"/>
        <v>0.11</v>
      </c>
      <c r="AR96" s="9">
        <v>1.22</v>
      </c>
      <c r="AS96" s="9">
        <v>0.32</v>
      </c>
      <c r="AT96" s="9">
        <v>7.0000000000000007E-2</v>
      </c>
      <c r="AU96" s="9">
        <v>3.59</v>
      </c>
      <c r="AV96" s="9">
        <v>0.16</v>
      </c>
      <c r="AW96" s="9">
        <f>1.35+0.32+0.55</f>
        <v>2.2200000000000002</v>
      </c>
      <c r="AX96" s="9">
        <f>1.88+0.42</f>
        <v>2.2999999999999998</v>
      </c>
      <c r="AY96" s="126">
        <f t="shared" si="78"/>
        <v>23.27</v>
      </c>
      <c r="AZ96" s="127"/>
      <c r="BA96" s="127"/>
      <c r="BB96" s="127"/>
      <c r="BC96" s="127">
        <v>23.27</v>
      </c>
      <c r="BD96" s="13">
        <f t="shared" si="76"/>
        <v>0</v>
      </c>
      <c r="BE96" s="9">
        <f t="shared" si="50"/>
        <v>99402.23</v>
      </c>
      <c r="BF96" s="9">
        <v>23.27</v>
      </c>
      <c r="BG96" s="10">
        <v>44440</v>
      </c>
      <c r="BH96" s="9">
        <f t="shared" si="51"/>
        <v>12601.49</v>
      </c>
      <c r="BI96" s="9">
        <f t="shared" si="52"/>
        <v>13925.71</v>
      </c>
      <c r="BJ96" s="9">
        <f t="shared" si="53"/>
        <v>9483.15</v>
      </c>
      <c r="BK96" s="9">
        <f t="shared" si="54"/>
        <v>2392.15</v>
      </c>
      <c r="BL96" s="9">
        <f t="shared" si="55"/>
        <v>11832.58</v>
      </c>
      <c r="BM96" s="9">
        <f t="shared" si="56"/>
        <v>854.34</v>
      </c>
      <c r="BN96" s="9">
        <f t="shared" si="57"/>
        <v>4314.41</v>
      </c>
      <c r="BO96" s="9">
        <f t="shared" si="58"/>
        <v>384.45</v>
      </c>
      <c r="BP96" s="9">
        <f t="shared" si="59"/>
        <v>939.77</v>
      </c>
      <c r="BQ96" s="9">
        <f t="shared" si="60"/>
        <v>469.89</v>
      </c>
      <c r="BR96" s="9">
        <f t="shared" si="61"/>
        <v>5211.46</v>
      </c>
      <c r="BS96" s="9">
        <f t="shared" si="62"/>
        <v>1366.94</v>
      </c>
      <c r="BT96" s="9">
        <f t="shared" si="63"/>
        <v>299.02</v>
      </c>
      <c r="BU96" s="9">
        <f t="shared" si="64"/>
        <v>15335.37</v>
      </c>
      <c r="BV96" s="9">
        <f t="shared" si="65"/>
        <v>683.47</v>
      </c>
      <c r="BW96" s="9">
        <f t="shared" si="66"/>
        <v>9483.15</v>
      </c>
      <c r="BX96" s="9">
        <f t="shared" si="67"/>
        <v>9824.89</v>
      </c>
      <c r="BY96" s="17">
        <f t="shared" si="68"/>
        <v>99402.240000000005</v>
      </c>
      <c r="BZ96" s="17">
        <v>4.47</v>
      </c>
      <c r="CA96" s="17">
        <v>0.12</v>
      </c>
      <c r="CB96" s="17">
        <v>0.72</v>
      </c>
      <c r="CC96" s="27">
        <v>0.12</v>
      </c>
      <c r="CD96" s="29">
        <v>6.33</v>
      </c>
      <c r="CE96" s="9"/>
      <c r="CF96" s="9"/>
      <c r="CG96" s="9"/>
      <c r="CH96" s="9"/>
      <c r="CI96" s="9"/>
      <c r="CJ96" s="9"/>
      <c r="CK96" s="13"/>
      <c r="CL96" s="13"/>
      <c r="CM96" s="13">
        <v>98911.3</v>
      </c>
      <c r="CN96" s="13">
        <v>2805.52</v>
      </c>
      <c r="CO96" s="13">
        <v>0</v>
      </c>
      <c r="CP96" s="13">
        <v>0</v>
      </c>
      <c r="CQ96" s="13">
        <v>0</v>
      </c>
      <c r="CR96" s="13">
        <v>102463.05</v>
      </c>
      <c r="CS96" s="13">
        <v>4550.97</v>
      </c>
      <c r="CT96" s="13">
        <v>1043.31</v>
      </c>
      <c r="CU96" s="13">
        <v>108.13</v>
      </c>
      <c r="CV96" s="13">
        <v>108.12</v>
      </c>
      <c r="CW96" s="202">
        <v>3722</v>
      </c>
      <c r="CX96" s="200">
        <v>2135</v>
      </c>
      <c r="CY96" s="202"/>
      <c r="CZ96" s="202"/>
      <c r="DA96" s="202"/>
      <c r="DB96" s="202"/>
      <c r="DC96" s="202"/>
      <c r="DD96" s="461"/>
      <c r="DE96" s="256"/>
      <c r="DF96" s="202"/>
      <c r="DG96" s="202"/>
      <c r="DH96" s="202"/>
      <c r="DI96" s="204">
        <v>852</v>
      </c>
      <c r="DJ96" s="202">
        <v>4300</v>
      </c>
      <c r="DK96" s="202"/>
      <c r="DL96" s="202"/>
      <c r="DM96" s="202">
        <v>26876</v>
      </c>
      <c r="DN96" s="202">
        <v>850</v>
      </c>
      <c r="DO96" s="202">
        <v>0.5</v>
      </c>
      <c r="DP96" s="202"/>
      <c r="DQ96" s="202"/>
      <c r="DR96" s="202"/>
      <c r="DS96" s="202"/>
      <c r="DT96" s="254"/>
      <c r="DU96" s="254"/>
      <c r="DV96" s="202"/>
      <c r="DW96" s="202"/>
      <c r="DX96" s="202">
        <v>19672</v>
      </c>
      <c r="DY96" s="107">
        <v>1365</v>
      </c>
      <c r="DZ96" s="107">
        <v>942</v>
      </c>
      <c r="EA96" s="202"/>
      <c r="EB96" s="202"/>
      <c r="EC96" s="202"/>
      <c r="ED96" s="202"/>
      <c r="EE96" s="202"/>
      <c r="EF96" s="229"/>
      <c r="EG96" s="202"/>
      <c r="EH96" s="202"/>
      <c r="EI96" s="202"/>
      <c r="EJ96" s="202"/>
      <c r="EK96" s="202">
        <v>2825.12</v>
      </c>
      <c r="EL96" s="202">
        <v>0</v>
      </c>
      <c r="EM96" s="202">
        <v>0</v>
      </c>
      <c r="EN96" s="202">
        <v>0</v>
      </c>
      <c r="EO96" s="202">
        <v>2825.12</v>
      </c>
      <c r="EP96" s="202"/>
      <c r="EQ96" s="202">
        <v>0</v>
      </c>
      <c r="ER96" s="202">
        <v>0</v>
      </c>
      <c r="ES96" s="202"/>
      <c r="ET96" s="202"/>
      <c r="EU96" s="202"/>
      <c r="EV96" s="214">
        <f>-9.15+33350.8</f>
        <v>33341.65</v>
      </c>
      <c r="EW96" s="240">
        <f t="shared" si="73"/>
        <v>9342.8700000000008</v>
      </c>
      <c r="EX96" s="209">
        <f t="shared" si="74"/>
        <v>6080.84</v>
      </c>
    </row>
    <row r="97" spans="1:154" ht="12.75" customHeight="1" x14ac:dyDescent="0.2">
      <c r="A97" s="45" t="s">
        <v>158</v>
      </c>
      <c r="B97" s="141" t="s">
        <v>108</v>
      </c>
      <c r="C97" s="142" t="s">
        <v>137</v>
      </c>
      <c r="D97" s="143" t="s">
        <v>427</v>
      </c>
      <c r="E97" s="142" t="s">
        <v>12</v>
      </c>
      <c r="F97" s="11">
        <v>5</v>
      </c>
      <c r="G97" s="11">
        <v>6</v>
      </c>
      <c r="H97" s="11">
        <v>90</v>
      </c>
      <c r="I97" s="11">
        <v>93</v>
      </c>
      <c r="J97" s="11">
        <v>170</v>
      </c>
      <c r="K97" s="11">
        <v>196</v>
      </c>
      <c r="L97" s="11" t="s">
        <v>746</v>
      </c>
      <c r="M97" s="84">
        <v>419</v>
      </c>
      <c r="N97" s="84">
        <v>1287</v>
      </c>
      <c r="O97" s="84">
        <v>0</v>
      </c>
      <c r="P97" s="135">
        <v>408.4</v>
      </c>
      <c r="Q97" s="135">
        <v>720.5</v>
      </c>
      <c r="R97" s="135">
        <v>720.5</v>
      </c>
      <c r="S97" s="133">
        <f t="shared" si="75"/>
        <v>1849.4</v>
      </c>
      <c r="T97" s="134">
        <v>419</v>
      </c>
      <c r="U97" s="130">
        <v>1.53</v>
      </c>
      <c r="V97" s="131">
        <v>1.9800000000000002E-2</v>
      </c>
      <c r="W97" s="131">
        <v>1.9800000000000002E-2</v>
      </c>
      <c r="X97" s="132">
        <v>1.2199999999999999E-3</v>
      </c>
      <c r="Y97" s="131">
        <v>3.95E-2</v>
      </c>
      <c r="Z97" s="29">
        <v>3947.01</v>
      </c>
      <c r="AA97" s="34">
        <v>44.3</v>
      </c>
      <c r="AB97" s="9">
        <f t="shared" si="83"/>
        <v>3991.31</v>
      </c>
      <c r="AC97" s="9">
        <f t="shared" si="39"/>
        <v>25264.99</v>
      </c>
      <c r="AD97" s="9">
        <v>0.52</v>
      </c>
      <c r="AE97" s="9">
        <v>4.74</v>
      </c>
      <c r="AF97" s="21">
        <f>2.51-AJ97</f>
        <v>2.2000000000000002</v>
      </c>
      <c r="AG97" s="18">
        <f>0.56-AQ97</f>
        <v>0.45</v>
      </c>
      <c r="AH97" s="9">
        <v>2.78</v>
      </c>
      <c r="AI97" s="43">
        <v>1236</v>
      </c>
      <c r="AJ97" s="21">
        <f t="shared" si="48"/>
        <v>0.31</v>
      </c>
      <c r="AK97" s="9">
        <v>0</v>
      </c>
      <c r="AL97" s="9">
        <v>0</v>
      </c>
      <c r="AM97" s="9">
        <v>0.14000000000000001</v>
      </c>
      <c r="AN97" s="13"/>
      <c r="AO97" s="13">
        <v>901.8</v>
      </c>
      <c r="AP97" s="13">
        <f t="shared" si="77"/>
        <v>5.58</v>
      </c>
      <c r="AQ97" s="18">
        <f t="shared" si="49"/>
        <v>0.11</v>
      </c>
      <c r="AR97" s="9">
        <v>0.85</v>
      </c>
      <c r="AS97" s="9">
        <v>0.34</v>
      </c>
      <c r="AT97" s="9">
        <v>7.0000000000000007E-2</v>
      </c>
      <c r="AU97" s="9">
        <v>3.59</v>
      </c>
      <c r="AV97" s="9">
        <v>0.13</v>
      </c>
      <c r="AW97" s="9">
        <f>1.12+0.32+0.33</f>
        <v>1.77</v>
      </c>
      <c r="AX97" s="9">
        <f>1.54+0.42</f>
        <v>1.96</v>
      </c>
      <c r="AY97" s="144">
        <f t="shared" si="78"/>
        <v>19.96</v>
      </c>
      <c r="AZ97" s="145">
        <v>3937.1</v>
      </c>
      <c r="BA97" s="145">
        <v>44.3</v>
      </c>
      <c r="BB97" s="145">
        <f t="shared" si="84"/>
        <v>3981.4</v>
      </c>
      <c r="BC97" s="145">
        <v>19.96</v>
      </c>
      <c r="BD97" s="13">
        <f t="shared" si="76"/>
        <v>0</v>
      </c>
      <c r="BE97" s="9">
        <f t="shared" si="50"/>
        <v>79666.55</v>
      </c>
      <c r="BF97" s="9">
        <v>19.96</v>
      </c>
      <c r="BG97" s="10">
        <v>44409</v>
      </c>
      <c r="BH97" s="9">
        <f t="shared" si="51"/>
        <v>2075.48</v>
      </c>
      <c r="BI97" s="9">
        <f t="shared" si="52"/>
        <v>18918.810000000001</v>
      </c>
      <c r="BJ97" s="9">
        <f t="shared" si="53"/>
        <v>8780.8799999999992</v>
      </c>
      <c r="BK97" s="9">
        <f t="shared" si="54"/>
        <v>1796.09</v>
      </c>
      <c r="BL97" s="9">
        <f t="shared" si="55"/>
        <v>11095.84</v>
      </c>
      <c r="BM97" s="9">
        <f t="shared" si="56"/>
        <v>1237.31</v>
      </c>
      <c r="BN97" s="9">
        <f t="shared" si="57"/>
        <v>0</v>
      </c>
      <c r="BO97" s="9">
        <f t="shared" si="58"/>
        <v>0</v>
      </c>
      <c r="BP97" s="9">
        <f t="shared" si="59"/>
        <v>558.78</v>
      </c>
      <c r="BQ97" s="9">
        <f t="shared" si="60"/>
        <v>439.04</v>
      </c>
      <c r="BR97" s="9">
        <f t="shared" si="61"/>
        <v>3392.61</v>
      </c>
      <c r="BS97" s="9">
        <f t="shared" si="62"/>
        <v>1357.05</v>
      </c>
      <c r="BT97" s="9">
        <f t="shared" si="63"/>
        <v>279.39</v>
      </c>
      <c r="BU97" s="9">
        <f t="shared" si="64"/>
        <v>14328.8</v>
      </c>
      <c r="BV97" s="9">
        <f t="shared" si="65"/>
        <v>518.87</v>
      </c>
      <c r="BW97" s="9">
        <f t="shared" si="66"/>
        <v>7064.62</v>
      </c>
      <c r="BX97" s="9">
        <f t="shared" si="67"/>
        <v>7822.97</v>
      </c>
      <c r="BY97" s="17">
        <f t="shared" si="68"/>
        <v>79666.539999999994</v>
      </c>
      <c r="BZ97" s="17">
        <v>2.5099999999999998</v>
      </c>
      <c r="CA97" s="17">
        <v>0.06</v>
      </c>
      <c r="CB97" s="17">
        <v>0.33</v>
      </c>
      <c r="CC97" s="27">
        <v>0.06</v>
      </c>
      <c r="CD97" s="29">
        <v>6.33</v>
      </c>
      <c r="CE97" s="9">
        <v>0</v>
      </c>
      <c r="CF97" s="9"/>
      <c r="CG97" s="9">
        <v>0</v>
      </c>
      <c r="CH97" s="9">
        <v>117.37</v>
      </c>
      <c r="CI97" s="9">
        <f t="shared" ref="CI97:CI106" si="85">IF(CE97&gt;0,CE97/AB97,0)</f>
        <v>0</v>
      </c>
      <c r="CJ97" s="9">
        <f t="shared" ref="CJ97:CJ106" si="86">IF(CF97&gt;0,CF97/AB97,0)</f>
        <v>0</v>
      </c>
      <c r="CK97" s="13">
        <f t="shared" ref="CK97:CK106" si="87">IF(CG97&gt;0,CG97/AB97,0)</f>
        <v>0</v>
      </c>
      <c r="CL97" s="13">
        <f t="shared" ref="CL97:CL106" si="88">IF(CH97&gt;0,CH97/AB97,0)</f>
        <v>0.03</v>
      </c>
      <c r="CM97" s="13">
        <v>78782.3</v>
      </c>
      <c r="CN97" s="13">
        <v>9907.07</v>
      </c>
      <c r="CO97" s="13">
        <v>0</v>
      </c>
      <c r="CP97" s="13">
        <v>0</v>
      </c>
      <c r="CQ97" s="13">
        <v>118.36</v>
      </c>
      <c r="CR97" s="13">
        <v>74573.490000000005</v>
      </c>
      <c r="CS97" s="13">
        <v>3232.29</v>
      </c>
      <c r="CT97" s="13">
        <v>208.98</v>
      </c>
      <c r="CU97" s="13">
        <v>37.99</v>
      </c>
      <c r="CV97" s="13">
        <v>122.43</v>
      </c>
      <c r="CW97" s="202">
        <v>3477</v>
      </c>
      <c r="CX97" s="200">
        <v>1995</v>
      </c>
      <c r="CY97" s="202"/>
      <c r="CZ97" s="202"/>
      <c r="DA97" s="202"/>
      <c r="DB97" s="202"/>
      <c r="DC97" s="202"/>
      <c r="DD97" s="461"/>
      <c r="DE97" s="256"/>
      <c r="DF97" s="202"/>
      <c r="DG97" s="202"/>
      <c r="DH97" s="202"/>
      <c r="DI97" s="204">
        <v>1236</v>
      </c>
      <c r="DJ97" s="202"/>
      <c r="DK97" s="202"/>
      <c r="DL97" s="202"/>
      <c r="DM97" s="202">
        <v>21325</v>
      </c>
      <c r="DN97" s="202">
        <v>850</v>
      </c>
      <c r="DO97" s="202">
        <v>0.5</v>
      </c>
      <c r="DP97" s="202"/>
      <c r="DQ97" s="202"/>
      <c r="DR97" s="202"/>
      <c r="DS97" s="202">
        <v>12410</v>
      </c>
      <c r="DT97" s="254">
        <v>390</v>
      </c>
      <c r="DU97" s="254">
        <v>266</v>
      </c>
      <c r="DV97" s="202"/>
      <c r="DW97" s="202"/>
      <c r="DX97" s="202">
        <v>18453</v>
      </c>
      <c r="DY97" s="107">
        <v>1365</v>
      </c>
      <c r="DZ97" s="107">
        <v>577</v>
      </c>
      <c r="EA97" s="202"/>
      <c r="EB97" s="202"/>
      <c r="EC97" s="202"/>
      <c r="ED97" s="202"/>
      <c r="EE97" s="202"/>
      <c r="EF97" s="229"/>
      <c r="EG97" s="202"/>
      <c r="EH97" s="202"/>
      <c r="EI97" s="202"/>
      <c r="EJ97" s="202"/>
      <c r="EK97" s="202">
        <v>0</v>
      </c>
      <c r="EL97" s="202">
        <v>0</v>
      </c>
      <c r="EM97" s="202">
        <v>0</v>
      </c>
      <c r="EN97" s="202">
        <v>117.37</v>
      </c>
      <c r="EO97" s="202">
        <v>0</v>
      </c>
      <c r="EP97" s="202"/>
      <c r="EQ97" s="202">
        <v>0</v>
      </c>
      <c r="ER97" s="202">
        <v>117.37</v>
      </c>
      <c r="ES97" s="202"/>
      <c r="ET97" s="202"/>
      <c r="EU97" s="202"/>
      <c r="EV97" s="214">
        <v>-6.11</v>
      </c>
      <c r="EW97" s="240">
        <f t="shared" si="73"/>
        <v>8729.6299999999992</v>
      </c>
      <c r="EX97" s="209">
        <f t="shared" si="74"/>
        <v>5681.71</v>
      </c>
    </row>
    <row r="98" spans="1:154" ht="12.75" customHeight="1" x14ac:dyDescent="0.2">
      <c r="A98" s="45" t="s">
        <v>159</v>
      </c>
      <c r="B98" s="141" t="s">
        <v>108</v>
      </c>
      <c r="C98" s="142" t="s">
        <v>137</v>
      </c>
      <c r="D98" s="143" t="s">
        <v>560</v>
      </c>
      <c r="E98" s="142" t="s">
        <v>9</v>
      </c>
      <c r="F98" s="11">
        <v>5</v>
      </c>
      <c r="G98" s="11">
        <v>4</v>
      </c>
      <c r="H98" s="11">
        <v>69</v>
      </c>
      <c r="I98" s="11">
        <v>69</v>
      </c>
      <c r="J98" s="11">
        <v>168</v>
      </c>
      <c r="K98" s="11">
        <v>176</v>
      </c>
      <c r="L98" s="11" t="s">
        <v>746</v>
      </c>
      <c r="M98" s="84">
        <v>417</v>
      </c>
      <c r="N98" s="139">
        <v>1014</v>
      </c>
      <c r="O98" s="84">
        <v>0</v>
      </c>
      <c r="P98" s="135">
        <v>260.5</v>
      </c>
      <c r="Q98" s="139">
        <v>1014</v>
      </c>
      <c r="R98" s="133">
        <v>0</v>
      </c>
      <c r="S98" s="133">
        <f t="shared" si="75"/>
        <v>1274.5</v>
      </c>
      <c r="T98" s="134">
        <v>261</v>
      </c>
      <c r="U98" s="130">
        <v>1.53</v>
      </c>
      <c r="V98" s="131">
        <v>1.9800000000000002E-2</v>
      </c>
      <c r="W98" s="131">
        <v>1.9800000000000002E-2</v>
      </c>
      <c r="X98" s="132">
        <v>1.2199999999999999E-3</v>
      </c>
      <c r="Y98" s="131">
        <v>3.95E-2</v>
      </c>
      <c r="Z98" s="29">
        <v>3350.64</v>
      </c>
      <c r="AA98" s="34">
        <v>84.1</v>
      </c>
      <c r="AB98" s="9">
        <f t="shared" si="83"/>
        <v>3434.74</v>
      </c>
      <c r="AC98" s="9">
        <f t="shared" si="39"/>
        <v>21741.9</v>
      </c>
      <c r="AD98" s="9">
        <v>0.33</v>
      </c>
      <c r="AE98" s="9">
        <v>4.82</v>
      </c>
      <c r="AF98" s="21">
        <f>2.4-AJ98</f>
        <v>2.12</v>
      </c>
      <c r="AG98" s="18">
        <f>0.52-AQ98</f>
        <v>0.44</v>
      </c>
      <c r="AH98" s="9">
        <v>2.78</v>
      </c>
      <c r="AI98" s="43">
        <v>973</v>
      </c>
      <c r="AJ98" s="21">
        <f t="shared" si="48"/>
        <v>0.28000000000000003</v>
      </c>
      <c r="AK98" s="9">
        <v>0</v>
      </c>
      <c r="AL98" s="9">
        <v>0</v>
      </c>
      <c r="AM98" s="9">
        <v>0.14000000000000001</v>
      </c>
      <c r="AN98" s="13"/>
      <c r="AO98" s="13">
        <v>601.20000000000005</v>
      </c>
      <c r="AP98" s="13">
        <f t="shared" si="77"/>
        <v>5.58</v>
      </c>
      <c r="AQ98" s="18">
        <f t="shared" si="49"/>
        <v>0.08</v>
      </c>
      <c r="AR98" s="9">
        <v>0.62</v>
      </c>
      <c r="AS98" s="9">
        <v>0.34</v>
      </c>
      <c r="AT98" s="9">
        <v>7.0000000000000007E-2</v>
      </c>
      <c r="AU98" s="9">
        <v>4.1900000000000004</v>
      </c>
      <c r="AV98" s="9">
        <v>0.12</v>
      </c>
      <c r="AW98" s="9">
        <f>1.08+0.37+0.29</f>
        <v>1.74</v>
      </c>
      <c r="AX98" s="9">
        <f>1.47+0.49</f>
        <v>1.96</v>
      </c>
      <c r="AY98" s="144">
        <f t="shared" si="78"/>
        <v>20.03</v>
      </c>
      <c r="AZ98" s="145">
        <v>3332</v>
      </c>
      <c r="BA98" s="145">
        <v>712</v>
      </c>
      <c r="BB98" s="145">
        <f t="shared" si="84"/>
        <v>4044</v>
      </c>
      <c r="BC98" s="145">
        <v>20.03</v>
      </c>
      <c r="BD98" s="13">
        <f t="shared" si="76"/>
        <v>0</v>
      </c>
      <c r="BE98" s="9">
        <f t="shared" si="50"/>
        <v>68797.84</v>
      </c>
      <c r="BF98" s="9">
        <v>20.03</v>
      </c>
      <c r="BG98" s="10">
        <v>44409</v>
      </c>
      <c r="BH98" s="9">
        <f t="shared" si="51"/>
        <v>1133.46</v>
      </c>
      <c r="BI98" s="9">
        <f t="shared" si="52"/>
        <v>16555.45</v>
      </c>
      <c r="BJ98" s="9">
        <f t="shared" si="53"/>
        <v>7281.65</v>
      </c>
      <c r="BK98" s="9">
        <f t="shared" si="54"/>
        <v>1511.29</v>
      </c>
      <c r="BL98" s="9">
        <f t="shared" si="55"/>
        <v>9548.58</v>
      </c>
      <c r="BM98" s="9">
        <f t="shared" si="56"/>
        <v>961.73</v>
      </c>
      <c r="BN98" s="9">
        <f t="shared" si="57"/>
        <v>0</v>
      </c>
      <c r="BO98" s="9">
        <f t="shared" si="58"/>
        <v>0</v>
      </c>
      <c r="BP98" s="9">
        <f t="shared" si="59"/>
        <v>480.86</v>
      </c>
      <c r="BQ98" s="9">
        <f t="shared" si="60"/>
        <v>274.77999999999997</v>
      </c>
      <c r="BR98" s="9">
        <f t="shared" si="61"/>
        <v>2129.54</v>
      </c>
      <c r="BS98" s="9">
        <f t="shared" si="62"/>
        <v>1167.81</v>
      </c>
      <c r="BT98" s="9">
        <f t="shared" si="63"/>
        <v>240.43</v>
      </c>
      <c r="BU98" s="9">
        <f t="shared" si="64"/>
        <v>14391.56</v>
      </c>
      <c r="BV98" s="9">
        <f t="shared" si="65"/>
        <v>412.17</v>
      </c>
      <c r="BW98" s="9">
        <f t="shared" si="66"/>
        <v>5976.45</v>
      </c>
      <c r="BX98" s="9">
        <f t="shared" si="67"/>
        <v>6732.09</v>
      </c>
      <c r="BY98" s="17">
        <f t="shared" si="68"/>
        <v>68797.850000000006</v>
      </c>
      <c r="BZ98" s="17">
        <v>2.19</v>
      </c>
      <c r="CA98" s="17">
        <v>0.04</v>
      </c>
      <c r="CB98" s="17">
        <v>0.24</v>
      </c>
      <c r="CC98" s="27">
        <v>0.04</v>
      </c>
      <c r="CD98" s="29">
        <v>6.33</v>
      </c>
      <c r="CE98" s="9">
        <v>23827.43</v>
      </c>
      <c r="CF98" s="9"/>
      <c r="CG98" s="9">
        <v>209.38</v>
      </c>
      <c r="CH98" s="9">
        <v>145.86000000000001</v>
      </c>
      <c r="CI98" s="9">
        <f t="shared" si="85"/>
        <v>6.94</v>
      </c>
      <c r="CJ98" s="9">
        <f t="shared" si="86"/>
        <v>0</v>
      </c>
      <c r="CK98" s="13">
        <f t="shared" si="87"/>
        <v>0.06</v>
      </c>
      <c r="CL98" s="13">
        <f t="shared" si="88"/>
        <v>0.04</v>
      </c>
      <c r="CM98" s="13">
        <v>67113.39</v>
      </c>
      <c r="CN98" s="13">
        <v>5126.49</v>
      </c>
      <c r="CO98" s="13">
        <v>2613.54</v>
      </c>
      <c r="CP98" s="13">
        <v>201.01</v>
      </c>
      <c r="CQ98" s="13">
        <v>134.06</v>
      </c>
      <c r="CR98" s="13">
        <v>61827.05</v>
      </c>
      <c r="CS98" s="13">
        <v>4477.32</v>
      </c>
      <c r="CT98" s="13">
        <v>967.5</v>
      </c>
      <c r="CU98" s="13">
        <v>195.35</v>
      </c>
      <c r="CV98" s="13">
        <v>133.96</v>
      </c>
      <c r="CW98" s="202">
        <v>2978</v>
      </c>
      <c r="CX98" s="200">
        <v>1709</v>
      </c>
      <c r="CY98" s="202"/>
      <c r="CZ98" s="202"/>
      <c r="DA98" s="202"/>
      <c r="DB98" s="202"/>
      <c r="DC98" s="202"/>
      <c r="DD98" s="461"/>
      <c r="DE98" s="256"/>
      <c r="DF98" s="202"/>
      <c r="DG98" s="202"/>
      <c r="DH98" s="202"/>
      <c r="DI98" s="204">
        <v>973</v>
      </c>
      <c r="DJ98" s="202"/>
      <c r="DK98" s="202"/>
      <c r="DL98" s="202"/>
      <c r="DM98" s="202">
        <v>15916</v>
      </c>
      <c r="DN98" s="202">
        <v>850</v>
      </c>
      <c r="DO98" s="202">
        <v>0.5</v>
      </c>
      <c r="DP98" s="202"/>
      <c r="DQ98" s="202"/>
      <c r="DR98" s="202"/>
      <c r="DS98" s="202">
        <v>18810</v>
      </c>
      <c r="DT98" s="254">
        <v>624</v>
      </c>
      <c r="DU98" s="254">
        <v>321</v>
      </c>
      <c r="DV98" s="202"/>
      <c r="DW98" s="202"/>
      <c r="DX98" s="202">
        <v>17382</v>
      </c>
      <c r="DY98" s="107">
        <v>1365</v>
      </c>
      <c r="DZ98" s="107"/>
      <c r="EA98" s="202">
        <v>3345.29</v>
      </c>
      <c r="EB98" s="202"/>
      <c r="EC98" s="202"/>
      <c r="ED98" s="202"/>
      <c r="EE98" s="202"/>
      <c r="EF98" s="229"/>
      <c r="EG98" s="202"/>
      <c r="EH98" s="202"/>
      <c r="EI98" s="202"/>
      <c r="EJ98" s="202"/>
      <c r="EK98" s="202">
        <v>5260.47</v>
      </c>
      <c r="EL98" s="202">
        <v>2676.63</v>
      </c>
      <c r="EM98" s="202">
        <v>209.48</v>
      </c>
      <c r="EN98" s="202">
        <v>145.86000000000001</v>
      </c>
      <c r="EO98" s="202">
        <v>5260.47</v>
      </c>
      <c r="EP98" s="202"/>
      <c r="EQ98" s="202">
        <v>209.48</v>
      </c>
      <c r="ER98" s="202">
        <v>145.86000000000001</v>
      </c>
      <c r="ES98" s="202"/>
      <c r="ET98" s="202"/>
      <c r="EU98" s="202"/>
      <c r="EV98" s="214">
        <f>2.15+19897.97</f>
        <v>19900.12</v>
      </c>
      <c r="EW98" s="240">
        <f t="shared" si="73"/>
        <v>7512.33</v>
      </c>
      <c r="EX98" s="209">
        <f t="shared" si="74"/>
        <v>4889.42</v>
      </c>
    </row>
    <row r="99" spans="1:154" ht="12.75" customHeight="1" x14ac:dyDescent="0.2">
      <c r="A99" s="45" t="s">
        <v>160</v>
      </c>
      <c r="B99" s="78" t="s">
        <v>108</v>
      </c>
      <c r="C99" s="79" t="s">
        <v>140</v>
      </c>
      <c r="D99" s="80" t="s">
        <v>428</v>
      </c>
      <c r="E99" s="79" t="s">
        <v>12</v>
      </c>
      <c r="F99" s="11">
        <v>9</v>
      </c>
      <c r="G99" s="11">
        <v>2</v>
      </c>
      <c r="H99" s="11">
        <v>72</v>
      </c>
      <c r="I99" s="11">
        <v>72</v>
      </c>
      <c r="J99" s="11">
        <v>170</v>
      </c>
      <c r="K99" s="11">
        <v>214</v>
      </c>
      <c r="L99" s="11">
        <v>2</v>
      </c>
      <c r="M99" s="84">
        <v>594</v>
      </c>
      <c r="N99" s="84">
        <v>629</v>
      </c>
      <c r="O99" s="84">
        <v>0</v>
      </c>
      <c r="P99" s="135">
        <f>280+314.1+9.3+4.8+32</f>
        <v>640.20000000000005</v>
      </c>
      <c r="Q99" s="135">
        <v>550.70000000000005</v>
      </c>
      <c r="R99" s="133">
        <v>0</v>
      </c>
      <c r="S99" s="133">
        <f t="shared" si="75"/>
        <v>1190.9000000000001</v>
      </c>
      <c r="T99" s="134">
        <v>640.20000000000005</v>
      </c>
      <c r="U99" s="130">
        <v>2.44</v>
      </c>
      <c r="V99" s="91">
        <v>1.9800000000000002E-2</v>
      </c>
      <c r="W99" s="91">
        <v>1.9800000000000002E-2</v>
      </c>
      <c r="X99" s="132">
        <v>1.32E-3</v>
      </c>
      <c r="Y99" s="91">
        <v>3.9699999999999999E-2</v>
      </c>
      <c r="Z99" s="29">
        <v>3809.79</v>
      </c>
      <c r="AA99" s="34"/>
      <c r="AB99" s="9">
        <f t="shared" si="83"/>
        <v>3809.79</v>
      </c>
      <c r="AC99" s="9">
        <f t="shared" si="39"/>
        <v>24115.97</v>
      </c>
      <c r="AD99" s="9">
        <v>2.13</v>
      </c>
      <c r="AE99" s="9">
        <v>4.26</v>
      </c>
      <c r="AF99" s="21">
        <f>2.49-AJ99</f>
        <v>2.33</v>
      </c>
      <c r="AG99" s="18">
        <f>0.62-AQ99</f>
        <v>0.56999999999999995</v>
      </c>
      <c r="AH99" s="9">
        <v>2.78</v>
      </c>
      <c r="AI99" s="43">
        <v>604</v>
      </c>
      <c r="AJ99" s="21">
        <f t="shared" si="48"/>
        <v>0.16</v>
      </c>
      <c r="AK99" s="9">
        <v>2.2400000000000002</v>
      </c>
      <c r="AL99" s="9">
        <v>0.2</v>
      </c>
      <c r="AM99" s="9">
        <v>0.15</v>
      </c>
      <c r="AN99" s="13"/>
      <c r="AO99" s="13">
        <v>422.4</v>
      </c>
      <c r="AP99" s="13">
        <f t="shared" si="77"/>
        <v>5.58</v>
      </c>
      <c r="AQ99" s="18">
        <f t="shared" si="49"/>
        <v>0.05</v>
      </c>
      <c r="AR99" s="9">
        <v>0.59</v>
      </c>
      <c r="AS99" s="9">
        <v>0.36</v>
      </c>
      <c r="AT99" s="9">
        <v>7.0000000000000007E-2</v>
      </c>
      <c r="AU99" s="9">
        <v>3.88</v>
      </c>
      <c r="AV99" s="9">
        <v>0.15</v>
      </c>
      <c r="AW99" s="9">
        <f>1.43+0.34+0.26</f>
        <v>2.0299999999999998</v>
      </c>
      <c r="AX99" s="9">
        <f>2.01+0.46</f>
        <v>2.4700000000000002</v>
      </c>
      <c r="AY99" s="81">
        <f t="shared" si="78"/>
        <v>24.42</v>
      </c>
      <c r="AZ99" s="82">
        <v>3842.1</v>
      </c>
      <c r="BA99" s="82">
        <v>0</v>
      </c>
      <c r="BB99" s="82">
        <f t="shared" si="84"/>
        <v>3842.1</v>
      </c>
      <c r="BC99" s="82">
        <v>24.42</v>
      </c>
      <c r="BD99" s="13">
        <f t="shared" si="76"/>
        <v>0</v>
      </c>
      <c r="BE99" s="9">
        <f t="shared" si="50"/>
        <v>93035.07</v>
      </c>
      <c r="BF99" s="9">
        <v>24.42</v>
      </c>
      <c r="BG99" s="10">
        <v>44378</v>
      </c>
      <c r="BH99" s="9">
        <f t="shared" si="51"/>
        <v>8114.85</v>
      </c>
      <c r="BI99" s="9">
        <f t="shared" si="52"/>
        <v>16229.71</v>
      </c>
      <c r="BJ99" s="9">
        <f t="shared" si="53"/>
        <v>8876.81</v>
      </c>
      <c r="BK99" s="9">
        <f t="shared" si="54"/>
        <v>2171.58</v>
      </c>
      <c r="BL99" s="9">
        <f t="shared" si="55"/>
        <v>10591.22</v>
      </c>
      <c r="BM99" s="9">
        <f t="shared" si="56"/>
        <v>609.57000000000005</v>
      </c>
      <c r="BN99" s="9">
        <f t="shared" si="57"/>
        <v>8533.93</v>
      </c>
      <c r="BO99" s="9">
        <f t="shared" si="58"/>
        <v>761.96</v>
      </c>
      <c r="BP99" s="9">
        <f t="shared" si="59"/>
        <v>571.47</v>
      </c>
      <c r="BQ99" s="9">
        <f t="shared" si="60"/>
        <v>190.49</v>
      </c>
      <c r="BR99" s="9">
        <f t="shared" si="61"/>
        <v>2247.7800000000002</v>
      </c>
      <c r="BS99" s="9">
        <f t="shared" si="62"/>
        <v>1371.52</v>
      </c>
      <c r="BT99" s="9">
        <f t="shared" si="63"/>
        <v>266.69</v>
      </c>
      <c r="BU99" s="9">
        <f t="shared" si="64"/>
        <v>14781.99</v>
      </c>
      <c r="BV99" s="9">
        <f t="shared" si="65"/>
        <v>571.47</v>
      </c>
      <c r="BW99" s="9">
        <f t="shared" si="66"/>
        <v>7733.87</v>
      </c>
      <c r="BX99" s="9">
        <f t="shared" si="67"/>
        <v>9410.18</v>
      </c>
      <c r="BY99" s="17">
        <f t="shared" si="68"/>
        <v>93035.09</v>
      </c>
      <c r="BZ99" s="17">
        <v>2.93</v>
      </c>
      <c r="CA99" s="17">
        <v>0.09</v>
      </c>
      <c r="CB99" s="17">
        <v>0.56999999999999995</v>
      </c>
      <c r="CC99" s="27">
        <v>0.09</v>
      </c>
      <c r="CD99" s="29">
        <v>6.33</v>
      </c>
      <c r="CE99" s="9">
        <v>9143.4699999999993</v>
      </c>
      <c r="CF99" s="9"/>
      <c r="CG99" s="9">
        <v>1972.75</v>
      </c>
      <c r="CH99" s="9">
        <v>1212.1400000000001</v>
      </c>
      <c r="CI99" s="9">
        <f t="shared" si="85"/>
        <v>2.4</v>
      </c>
      <c r="CJ99" s="9">
        <f t="shared" si="86"/>
        <v>0</v>
      </c>
      <c r="CK99" s="13">
        <f t="shared" si="87"/>
        <v>0.52</v>
      </c>
      <c r="CL99" s="13">
        <f t="shared" si="88"/>
        <v>0.32</v>
      </c>
      <c r="CM99" s="13">
        <v>93035.11</v>
      </c>
      <c r="CN99" s="13">
        <v>8114.77</v>
      </c>
      <c r="CO99" s="13">
        <v>0</v>
      </c>
      <c r="CP99" s="13">
        <v>0</v>
      </c>
      <c r="CQ99" s="13">
        <v>190.27</v>
      </c>
      <c r="CR99" s="13">
        <v>93782.97</v>
      </c>
      <c r="CS99" s="13">
        <v>7522.62</v>
      </c>
      <c r="CT99" s="13">
        <v>407</v>
      </c>
      <c r="CU99" s="13">
        <v>635.5</v>
      </c>
      <c r="CV99" s="13">
        <v>520.27</v>
      </c>
      <c r="CW99" s="202">
        <v>3319</v>
      </c>
      <c r="CX99" s="200">
        <v>1904</v>
      </c>
      <c r="CY99" s="202"/>
      <c r="CZ99" s="202"/>
      <c r="DA99" s="202"/>
      <c r="DB99" s="202"/>
      <c r="DC99" s="202"/>
      <c r="DD99" s="461"/>
      <c r="DE99" s="256"/>
      <c r="DF99" s="202"/>
      <c r="DG99" s="202"/>
      <c r="DH99" s="202"/>
      <c r="DI99" s="204">
        <v>604</v>
      </c>
      <c r="DJ99" s="202">
        <v>8600</v>
      </c>
      <c r="DK99" s="202"/>
      <c r="DL99" s="202"/>
      <c r="DM99" s="202">
        <v>24990</v>
      </c>
      <c r="DN99" s="202">
        <v>3400</v>
      </c>
      <c r="DO99" s="202">
        <v>2</v>
      </c>
      <c r="DP99" s="202"/>
      <c r="DQ99" s="202"/>
      <c r="DR99" s="202"/>
      <c r="DS99" s="202"/>
      <c r="DT99" s="254"/>
      <c r="DU99" s="254"/>
      <c r="DV99" s="202"/>
      <c r="DW99" s="202">
        <v>17866</v>
      </c>
      <c r="DX99" s="202"/>
      <c r="DY99" s="107">
        <v>1365</v>
      </c>
      <c r="DZ99" s="107">
        <v>577</v>
      </c>
      <c r="EA99" s="202"/>
      <c r="EB99" s="202"/>
      <c r="EC99" s="202"/>
      <c r="ED99" s="202"/>
      <c r="EE99" s="202"/>
      <c r="EF99" s="229"/>
      <c r="EG99" s="202"/>
      <c r="EH99" s="202"/>
      <c r="EI99" s="202"/>
      <c r="EJ99" s="202"/>
      <c r="EK99" s="202">
        <v>8125.69</v>
      </c>
      <c r="EL99" s="202">
        <v>0</v>
      </c>
      <c r="EM99" s="202">
        <v>0</v>
      </c>
      <c r="EN99" s="202">
        <v>179.34</v>
      </c>
      <c r="EO99" s="202">
        <v>8125.69</v>
      </c>
      <c r="EP99" s="202"/>
      <c r="EQ99" s="202">
        <v>0</v>
      </c>
      <c r="ER99" s="202">
        <v>179.34</v>
      </c>
      <c r="ES99" s="202"/>
      <c r="ET99" s="202"/>
      <c r="EU99" s="202"/>
      <c r="EV99" s="214">
        <v>-10.59</v>
      </c>
      <c r="EW99" s="240">
        <f t="shared" si="73"/>
        <v>8332.6200000000008</v>
      </c>
      <c r="EX99" s="209">
        <f t="shared" si="74"/>
        <v>5423.31</v>
      </c>
    </row>
    <row r="100" spans="1:154" ht="12.75" customHeight="1" x14ac:dyDescent="0.2">
      <c r="A100" s="45" t="s">
        <v>161</v>
      </c>
      <c r="B100" s="141" t="s">
        <v>108</v>
      </c>
      <c r="C100" s="142" t="s">
        <v>142</v>
      </c>
      <c r="D100" s="143" t="s">
        <v>429</v>
      </c>
      <c r="E100" s="142" t="s">
        <v>12</v>
      </c>
      <c r="F100" s="11">
        <v>5</v>
      </c>
      <c r="G100" s="11">
        <v>6</v>
      </c>
      <c r="H100" s="11">
        <v>100</v>
      </c>
      <c r="I100" s="11">
        <v>101</v>
      </c>
      <c r="J100" s="11">
        <v>181</v>
      </c>
      <c r="K100" s="11">
        <v>231</v>
      </c>
      <c r="L100" s="11" t="s">
        <v>746</v>
      </c>
      <c r="M100" s="84">
        <v>501</v>
      </c>
      <c r="N100" s="84">
        <v>1339</v>
      </c>
      <c r="O100" s="84">
        <v>0</v>
      </c>
      <c r="P100" s="135">
        <v>775.5</v>
      </c>
      <c r="Q100" s="135">
        <v>953.5</v>
      </c>
      <c r="R100" s="133">
        <v>0</v>
      </c>
      <c r="S100" s="133">
        <f t="shared" si="75"/>
        <v>1729</v>
      </c>
      <c r="T100" s="139">
        <v>501</v>
      </c>
      <c r="U100" s="130">
        <v>1.53</v>
      </c>
      <c r="V100" s="131">
        <v>1.9800000000000002E-2</v>
      </c>
      <c r="W100" s="131">
        <v>1.9800000000000002E-2</v>
      </c>
      <c r="X100" s="132">
        <v>1.2199999999999999E-3</v>
      </c>
      <c r="Y100" s="131">
        <v>3.95E-2</v>
      </c>
      <c r="Z100" s="29">
        <v>4531.55</v>
      </c>
      <c r="AA100" s="34">
        <v>40.200000000000003</v>
      </c>
      <c r="AB100" s="9">
        <f t="shared" si="83"/>
        <v>4571.75</v>
      </c>
      <c r="AC100" s="9">
        <f t="shared" si="39"/>
        <v>28939.18</v>
      </c>
      <c r="AD100" s="9">
        <v>0.43</v>
      </c>
      <c r="AE100" s="9">
        <v>4.1100000000000003</v>
      </c>
      <c r="AF100" s="21">
        <f>2.47-AJ100</f>
        <v>2.19</v>
      </c>
      <c r="AG100" s="18">
        <f>0.55-AQ100</f>
        <v>0.45</v>
      </c>
      <c r="AH100" s="9">
        <v>2.78</v>
      </c>
      <c r="AI100" s="43">
        <v>1285</v>
      </c>
      <c r="AJ100" s="21">
        <f t="shared" si="48"/>
        <v>0.28000000000000003</v>
      </c>
      <c r="AK100" s="9">
        <v>0</v>
      </c>
      <c r="AL100" s="9">
        <v>0</v>
      </c>
      <c r="AM100" s="9">
        <v>0.13</v>
      </c>
      <c r="AN100" s="13"/>
      <c r="AO100" s="13">
        <v>945</v>
      </c>
      <c r="AP100" s="13">
        <f t="shared" si="77"/>
        <v>5.58</v>
      </c>
      <c r="AQ100" s="18">
        <f t="shared" si="49"/>
        <v>0.1</v>
      </c>
      <c r="AR100" s="9">
        <v>0.8</v>
      </c>
      <c r="AS100" s="9">
        <v>0.3</v>
      </c>
      <c r="AT100" s="9">
        <v>7.0000000000000007E-2</v>
      </c>
      <c r="AU100" s="9">
        <v>4.57</v>
      </c>
      <c r="AV100" s="9">
        <v>0.12</v>
      </c>
      <c r="AW100" s="9">
        <f>1.02+0.4+0.31</f>
        <v>1.73</v>
      </c>
      <c r="AX100" s="9">
        <f>1.43+0.54</f>
        <v>1.97</v>
      </c>
      <c r="AY100" s="144">
        <f t="shared" si="78"/>
        <v>20.03</v>
      </c>
      <c r="AZ100" s="145">
        <v>4522.6000000000004</v>
      </c>
      <c r="BA100" s="145">
        <v>40.200000000000003</v>
      </c>
      <c r="BB100" s="145">
        <f t="shared" si="84"/>
        <v>4562.8</v>
      </c>
      <c r="BC100" s="145">
        <v>20.03</v>
      </c>
      <c r="BD100" s="13">
        <f t="shared" si="76"/>
        <v>0</v>
      </c>
      <c r="BE100" s="9">
        <f t="shared" si="50"/>
        <v>91572.15</v>
      </c>
      <c r="BF100" s="9">
        <v>20.03</v>
      </c>
      <c r="BG100" s="10">
        <v>44409</v>
      </c>
      <c r="BH100" s="9">
        <f t="shared" si="51"/>
        <v>1965.85</v>
      </c>
      <c r="BI100" s="9">
        <f t="shared" si="52"/>
        <v>18789.89</v>
      </c>
      <c r="BJ100" s="9">
        <f t="shared" si="53"/>
        <v>10012.129999999999</v>
      </c>
      <c r="BK100" s="9">
        <f t="shared" si="54"/>
        <v>2057.29</v>
      </c>
      <c r="BL100" s="9">
        <f t="shared" si="55"/>
        <v>12709.47</v>
      </c>
      <c r="BM100" s="9">
        <f t="shared" si="56"/>
        <v>1280.0899999999999</v>
      </c>
      <c r="BN100" s="9">
        <f t="shared" si="57"/>
        <v>0</v>
      </c>
      <c r="BO100" s="9">
        <f t="shared" si="58"/>
        <v>0</v>
      </c>
      <c r="BP100" s="9">
        <f t="shared" si="59"/>
        <v>594.33000000000004</v>
      </c>
      <c r="BQ100" s="9">
        <f t="shared" si="60"/>
        <v>457.18</v>
      </c>
      <c r="BR100" s="9">
        <f t="shared" si="61"/>
        <v>3657.4</v>
      </c>
      <c r="BS100" s="9">
        <f t="shared" si="62"/>
        <v>1371.53</v>
      </c>
      <c r="BT100" s="9">
        <f t="shared" si="63"/>
        <v>320.02</v>
      </c>
      <c r="BU100" s="9">
        <f t="shared" si="64"/>
        <v>20892.900000000001</v>
      </c>
      <c r="BV100" s="9">
        <f t="shared" si="65"/>
        <v>548.61</v>
      </c>
      <c r="BW100" s="9">
        <f t="shared" si="66"/>
        <v>7909.13</v>
      </c>
      <c r="BX100" s="9">
        <f t="shared" si="67"/>
        <v>9006.35</v>
      </c>
      <c r="BY100" s="17">
        <f t="shared" si="68"/>
        <v>91572.17</v>
      </c>
      <c r="BZ100" s="17">
        <v>2.36</v>
      </c>
      <c r="CA100" s="17">
        <v>0.06</v>
      </c>
      <c r="CB100" s="17">
        <v>0.35</v>
      </c>
      <c r="CC100" s="27">
        <v>0.06</v>
      </c>
      <c r="CD100" s="29">
        <v>6.33</v>
      </c>
      <c r="CE100" s="9">
        <v>4397.1099999999997</v>
      </c>
      <c r="CF100" s="9"/>
      <c r="CG100" s="9">
        <v>10377.219999999999</v>
      </c>
      <c r="CH100" s="9">
        <v>5573.18</v>
      </c>
      <c r="CI100" s="9">
        <f t="shared" si="85"/>
        <v>0.96</v>
      </c>
      <c r="CJ100" s="9">
        <f t="shared" si="86"/>
        <v>0</v>
      </c>
      <c r="CK100" s="13">
        <f t="shared" si="87"/>
        <v>2.27</v>
      </c>
      <c r="CL100" s="13">
        <f t="shared" si="88"/>
        <v>1.22</v>
      </c>
      <c r="CM100" s="13">
        <v>90767</v>
      </c>
      <c r="CN100" s="13">
        <v>4440.91</v>
      </c>
      <c r="CO100" s="13">
        <v>0</v>
      </c>
      <c r="CP100" s="13">
        <v>0</v>
      </c>
      <c r="CQ100" s="13">
        <v>135.94999999999999</v>
      </c>
      <c r="CR100" s="13">
        <v>87934.7</v>
      </c>
      <c r="CS100" s="13">
        <v>3043.88</v>
      </c>
      <c r="CT100" s="13">
        <v>241.75</v>
      </c>
      <c r="CU100" s="13">
        <v>681.96</v>
      </c>
      <c r="CV100" s="13">
        <v>486.2</v>
      </c>
      <c r="CW100" s="202">
        <v>3984</v>
      </c>
      <c r="CX100" s="200">
        <v>2286</v>
      </c>
      <c r="CY100" s="202"/>
      <c r="CZ100" s="202"/>
      <c r="DA100" s="202"/>
      <c r="DB100" s="202"/>
      <c r="DC100" s="202"/>
      <c r="DD100" s="461"/>
      <c r="DE100" s="256"/>
      <c r="DF100" s="202"/>
      <c r="DG100" s="202"/>
      <c r="DH100" s="202"/>
      <c r="DI100" s="204">
        <v>1285</v>
      </c>
      <c r="DJ100" s="202"/>
      <c r="DK100" s="202"/>
      <c r="DL100" s="202"/>
      <c r="DM100" s="202">
        <v>21152</v>
      </c>
      <c r="DN100" s="202">
        <v>3060</v>
      </c>
      <c r="DO100" s="202">
        <v>1.8</v>
      </c>
      <c r="DP100" s="202"/>
      <c r="DQ100" s="202"/>
      <c r="DR100" s="202"/>
      <c r="DS100" s="202">
        <v>24390</v>
      </c>
      <c r="DT100" s="254">
        <v>810</v>
      </c>
      <c r="DU100" s="254">
        <v>414</v>
      </c>
      <c r="DV100" s="202"/>
      <c r="DW100" s="202"/>
      <c r="DX100" s="202">
        <v>20947</v>
      </c>
      <c r="DY100" s="107">
        <v>1365</v>
      </c>
      <c r="DZ100" s="107">
        <v>577</v>
      </c>
      <c r="EA100" s="202">
        <v>4837.3599999999997</v>
      </c>
      <c r="EB100" s="202"/>
      <c r="EC100" s="202"/>
      <c r="ED100" s="202"/>
      <c r="EE100" s="202"/>
      <c r="EF100" s="229"/>
      <c r="EG100" s="202"/>
      <c r="EH100" s="202"/>
      <c r="EI100" s="202"/>
      <c r="EJ100" s="202"/>
      <c r="EK100" s="202">
        <v>4468.04</v>
      </c>
      <c r="EL100" s="202">
        <v>0</v>
      </c>
      <c r="EM100" s="202">
        <v>0</v>
      </c>
      <c r="EN100" s="202">
        <v>140.35</v>
      </c>
      <c r="EO100" s="202">
        <v>4468.04</v>
      </c>
      <c r="EP100" s="202"/>
      <c r="EQ100" s="202">
        <v>0</v>
      </c>
      <c r="ER100" s="202">
        <v>140.35</v>
      </c>
      <c r="ES100" s="202"/>
      <c r="ET100" s="202"/>
      <c r="EU100" s="202"/>
      <c r="EV100" s="214">
        <v>-7.72</v>
      </c>
      <c r="EW100" s="240">
        <f t="shared" si="73"/>
        <v>9999.15</v>
      </c>
      <c r="EX100" s="209">
        <f t="shared" si="74"/>
        <v>6507.98</v>
      </c>
    </row>
    <row r="101" spans="1:154" ht="12.75" customHeight="1" x14ac:dyDescent="0.2">
      <c r="A101" s="45" t="s">
        <v>162</v>
      </c>
      <c r="B101" s="78" t="s">
        <v>108</v>
      </c>
      <c r="C101" s="79" t="s">
        <v>144</v>
      </c>
      <c r="D101" s="80" t="s">
        <v>430</v>
      </c>
      <c r="E101" s="79" t="s">
        <v>12</v>
      </c>
      <c r="F101" s="11">
        <v>9</v>
      </c>
      <c r="G101" s="11">
        <v>2</v>
      </c>
      <c r="H101" s="11">
        <v>72</v>
      </c>
      <c r="I101" s="11">
        <v>74</v>
      </c>
      <c r="J101" s="11">
        <v>176</v>
      </c>
      <c r="K101" s="11">
        <v>226</v>
      </c>
      <c r="L101" s="11">
        <v>2</v>
      </c>
      <c r="M101" s="84">
        <v>622</v>
      </c>
      <c r="N101" s="84">
        <v>629</v>
      </c>
      <c r="O101" s="84">
        <v>0</v>
      </c>
      <c r="P101" s="135">
        <v>622.70000000000005</v>
      </c>
      <c r="Q101" s="135">
        <v>465.1</v>
      </c>
      <c r="R101" s="133">
        <v>0</v>
      </c>
      <c r="S101" s="133">
        <f t="shared" si="75"/>
        <v>1087.8</v>
      </c>
      <c r="T101" s="134">
        <v>622</v>
      </c>
      <c r="U101" s="130">
        <v>2.44</v>
      </c>
      <c r="V101" s="131">
        <v>1.9800000000000002E-2</v>
      </c>
      <c r="W101" s="131">
        <v>1.9800000000000002E-2</v>
      </c>
      <c r="X101" s="132">
        <v>1.32E-3</v>
      </c>
      <c r="Y101" s="131">
        <v>3.9699999999999999E-2</v>
      </c>
      <c r="Z101" s="29">
        <v>3862.11</v>
      </c>
      <c r="AA101" s="34"/>
      <c r="AB101" s="9">
        <f t="shared" si="83"/>
        <v>3862.11</v>
      </c>
      <c r="AC101" s="9">
        <f t="shared" si="39"/>
        <v>24447.16</v>
      </c>
      <c r="AD101" s="9">
        <v>2.21</v>
      </c>
      <c r="AE101" s="9">
        <v>3.72</v>
      </c>
      <c r="AF101" s="21">
        <f>2.41-AJ101</f>
        <v>2.25</v>
      </c>
      <c r="AG101" s="18">
        <f>0.62-AQ101</f>
        <v>0.56999999999999995</v>
      </c>
      <c r="AH101" s="9">
        <v>2.78</v>
      </c>
      <c r="AI101" s="43">
        <v>604</v>
      </c>
      <c r="AJ101" s="21">
        <f t="shared" si="48"/>
        <v>0.16</v>
      </c>
      <c r="AK101" s="9">
        <v>2.23</v>
      </c>
      <c r="AL101" s="9">
        <v>0.61</v>
      </c>
      <c r="AM101" s="9">
        <v>0.15</v>
      </c>
      <c r="AN101" s="13"/>
      <c r="AO101" s="13">
        <v>422.4</v>
      </c>
      <c r="AP101" s="13">
        <f t="shared" si="77"/>
        <v>5.58</v>
      </c>
      <c r="AQ101" s="18">
        <f t="shared" si="49"/>
        <v>0.05</v>
      </c>
      <c r="AR101" s="9">
        <v>0.57999999999999996</v>
      </c>
      <c r="AS101" s="9">
        <v>0.35</v>
      </c>
      <c r="AT101" s="9">
        <v>7.0000000000000007E-2</v>
      </c>
      <c r="AU101" s="9">
        <v>4.3499999999999996</v>
      </c>
      <c r="AV101" s="9">
        <v>0.17</v>
      </c>
      <c r="AW101" s="9">
        <f>1.41+0.27+0.38</f>
        <v>2.06</v>
      </c>
      <c r="AX101" s="9">
        <f>2+0.52</f>
        <v>2.52</v>
      </c>
      <c r="AY101" s="81">
        <f t="shared" si="78"/>
        <v>24.83</v>
      </c>
      <c r="AZ101" s="82">
        <v>3854.4</v>
      </c>
      <c r="BA101" s="82">
        <v>0</v>
      </c>
      <c r="BB101" s="82">
        <f t="shared" si="84"/>
        <v>3854.4</v>
      </c>
      <c r="BC101" s="82">
        <v>24.83</v>
      </c>
      <c r="BD101" s="13">
        <f t="shared" si="76"/>
        <v>0</v>
      </c>
      <c r="BE101" s="9">
        <f t="shared" si="50"/>
        <v>95896.19</v>
      </c>
      <c r="BF101" s="9">
        <v>24.83</v>
      </c>
      <c r="BG101" s="10">
        <v>44409</v>
      </c>
      <c r="BH101" s="9">
        <f t="shared" si="51"/>
        <v>8535.26</v>
      </c>
      <c r="BI101" s="9">
        <f t="shared" si="52"/>
        <v>14367.05</v>
      </c>
      <c r="BJ101" s="9">
        <f t="shared" si="53"/>
        <v>8689.75</v>
      </c>
      <c r="BK101" s="9">
        <f t="shared" si="54"/>
        <v>2201.4</v>
      </c>
      <c r="BL101" s="9">
        <f t="shared" si="55"/>
        <v>10736.67</v>
      </c>
      <c r="BM101" s="9">
        <f t="shared" si="56"/>
        <v>617.94000000000005</v>
      </c>
      <c r="BN101" s="9">
        <f t="shared" si="57"/>
        <v>8612.51</v>
      </c>
      <c r="BO101" s="9">
        <f t="shared" si="58"/>
        <v>2355.89</v>
      </c>
      <c r="BP101" s="9">
        <f t="shared" si="59"/>
        <v>579.32000000000005</v>
      </c>
      <c r="BQ101" s="9">
        <f t="shared" si="60"/>
        <v>193.11</v>
      </c>
      <c r="BR101" s="9">
        <f t="shared" si="61"/>
        <v>2240.02</v>
      </c>
      <c r="BS101" s="9">
        <f t="shared" si="62"/>
        <v>1351.74</v>
      </c>
      <c r="BT101" s="9">
        <f t="shared" si="63"/>
        <v>270.35000000000002</v>
      </c>
      <c r="BU101" s="9">
        <f t="shared" si="64"/>
        <v>16800.18</v>
      </c>
      <c r="BV101" s="9">
        <f t="shared" si="65"/>
        <v>656.56</v>
      </c>
      <c r="BW101" s="9">
        <f t="shared" si="66"/>
        <v>7955.95</v>
      </c>
      <c r="BX101" s="9">
        <f t="shared" si="67"/>
        <v>9732.52</v>
      </c>
      <c r="BY101" s="17">
        <f t="shared" si="68"/>
        <v>95896.22</v>
      </c>
      <c r="BZ101" s="17">
        <v>3.03</v>
      </c>
      <c r="CA101" s="17">
        <v>0.09</v>
      </c>
      <c r="CB101" s="17">
        <v>0.54</v>
      </c>
      <c r="CC101" s="27">
        <v>0.09</v>
      </c>
      <c r="CD101" s="29">
        <v>6.33</v>
      </c>
      <c r="CE101" s="9">
        <v>18596.830000000002</v>
      </c>
      <c r="CF101" s="9"/>
      <c r="CG101" s="9">
        <v>1783.58</v>
      </c>
      <c r="CH101" s="9">
        <v>1122.1600000000001</v>
      </c>
      <c r="CI101" s="9">
        <f t="shared" si="85"/>
        <v>4.82</v>
      </c>
      <c r="CJ101" s="9">
        <f t="shared" si="86"/>
        <v>0</v>
      </c>
      <c r="CK101" s="13">
        <f t="shared" si="87"/>
        <v>0.46</v>
      </c>
      <c r="CL101" s="13">
        <f t="shared" si="88"/>
        <v>0.28999999999999998</v>
      </c>
      <c r="CM101" s="13">
        <v>95896.22</v>
      </c>
      <c r="CN101" s="13">
        <v>5522.77</v>
      </c>
      <c r="CO101" s="13">
        <v>0</v>
      </c>
      <c r="CP101" s="13">
        <v>2046.95</v>
      </c>
      <c r="CQ101" s="13">
        <v>1235.82</v>
      </c>
      <c r="CR101" s="13">
        <v>93231.41</v>
      </c>
      <c r="CS101" s="13">
        <v>11880.34</v>
      </c>
      <c r="CT101" s="13">
        <v>327.62</v>
      </c>
      <c r="CU101" s="13">
        <v>2260.5100000000002</v>
      </c>
      <c r="CV101" s="13">
        <v>1351.88</v>
      </c>
      <c r="CW101" s="202">
        <v>3365</v>
      </c>
      <c r="CX101" s="200">
        <v>1930</v>
      </c>
      <c r="CY101" s="202"/>
      <c r="CZ101" s="202"/>
      <c r="DA101" s="202"/>
      <c r="DB101" s="202"/>
      <c r="DC101" s="202"/>
      <c r="DD101" s="461"/>
      <c r="DE101" s="256"/>
      <c r="DF101" s="202"/>
      <c r="DG101" s="202"/>
      <c r="DH101" s="202"/>
      <c r="DI101" s="204">
        <v>604</v>
      </c>
      <c r="DJ101" s="202">
        <v>8600</v>
      </c>
      <c r="DK101" s="202"/>
      <c r="DL101" s="202"/>
      <c r="DM101" s="202">
        <v>23298</v>
      </c>
      <c r="DN101" s="202">
        <v>1360</v>
      </c>
      <c r="DO101" s="202">
        <v>0.8</v>
      </c>
      <c r="DP101" s="202"/>
      <c r="DQ101" s="202"/>
      <c r="DR101" s="202"/>
      <c r="DS101" s="202"/>
      <c r="DT101" s="254"/>
      <c r="DU101" s="254"/>
      <c r="DV101" s="202"/>
      <c r="DW101" s="202">
        <v>17675</v>
      </c>
      <c r="DX101" s="202"/>
      <c r="DY101" s="107">
        <v>1365</v>
      </c>
      <c r="DZ101" s="107"/>
      <c r="EA101" s="202"/>
      <c r="EB101" s="202"/>
      <c r="EC101" s="202"/>
      <c r="ED101" s="202"/>
      <c r="EE101" s="202"/>
      <c r="EF101" s="229"/>
      <c r="EG101" s="202"/>
      <c r="EH101" s="202"/>
      <c r="EI101" s="202"/>
      <c r="EJ101" s="202"/>
      <c r="EK101" s="202">
        <v>5540.78</v>
      </c>
      <c r="EL101" s="202">
        <v>0</v>
      </c>
      <c r="EM101" s="202">
        <v>2053.8200000000002</v>
      </c>
      <c r="EN101" s="202">
        <v>1249.49</v>
      </c>
      <c r="EO101" s="202">
        <v>5540.78</v>
      </c>
      <c r="EP101" s="202"/>
      <c r="EQ101" s="202">
        <v>2053.8200000000002</v>
      </c>
      <c r="ER101" s="202">
        <v>1249.49</v>
      </c>
      <c r="ES101" s="202"/>
      <c r="ET101" s="202"/>
      <c r="EU101" s="202"/>
      <c r="EV101" s="214">
        <v>42.77</v>
      </c>
      <c r="EW101" s="240">
        <f t="shared" si="73"/>
        <v>8447.0499999999993</v>
      </c>
      <c r="EX101" s="209">
        <f t="shared" si="74"/>
        <v>5497.79</v>
      </c>
    </row>
    <row r="102" spans="1:154" ht="12.75" customHeight="1" x14ac:dyDescent="0.2">
      <c r="A102" s="45" t="s">
        <v>163</v>
      </c>
      <c r="B102" s="78" t="s">
        <v>108</v>
      </c>
      <c r="C102" s="79" t="s">
        <v>146</v>
      </c>
      <c r="D102" s="80" t="s">
        <v>431</v>
      </c>
      <c r="E102" s="79" t="s">
        <v>12</v>
      </c>
      <c r="F102" s="11">
        <v>9</v>
      </c>
      <c r="G102" s="11">
        <v>4</v>
      </c>
      <c r="H102" s="11">
        <v>144</v>
      </c>
      <c r="I102" s="11">
        <v>146</v>
      </c>
      <c r="J102" s="11">
        <v>358</v>
      </c>
      <c r="K102" s="11">
        <v>411</v>
      </c>
      <c r="L102" s="83">
        <v>4</v>
      </c>
      <c r="M102" s="84">
        <v>1246</v>
      </c>
      <c r="N102" s="84">
        <v>1234</v>
      </c>
      <c r="O102" s="84">
        <v>0</v>
      </c>
      <c r="P102" s="135">
        <f>705.6+539.9</f>
        <v>1245.5</v>
      </c>
      <c r="Q102" s="135">
        <v>1022.8</v>
      </c>
      <c r="R102" s="133">
        <v>0</v>
      </c>
      <c r="S102" s="133">
        <f t="shared" si="75"/>
        <v>2268.3000000000002</v>
      </c>
      <c r="T102" s="134">
        <v>1245.5</v>
      </c>
      <c r="U102" s="130">
        <v>2.44</v>
      </c>
      <c r="V102" s="131">
        <v>1.9800000000000002E-2</v>
      </c>
      <c r="W102" s="131">
        <v>1.9800000000000002E-2</v>
      </c>
      <c r="X102" s="132">
        <v>1.32E-3</v>
      </c>
      <c r="Y102" s="131">
        <v>3.9699999999999999E-2</v>
      </c>
      <c r="Z102" s="29">
        <v>7590.72</v>
      </c>
      <c r="AA102" s="34"/>
      <c r="AB102" s="9">
        <f t="shared" si="83"/>
        <v>7590.72</v>
      </c>
      <c r="AC102" s="9">
        <f t="shared" ref="AC102:AC165" si="89">SUM(AB102*6.33)</f>
        <v>48049.26</v>
      </c>
      <c r="AD102" s="9">
        <v>2.2400000000000002</v>
      </c>
      <c r="AE102" s="9">
        <v>3.95</v>
      </c>
      <c r="AF102" s="21">
        <f>2.42-AJ102</f>
        <v>2.2599999999999998</v>
      </c>
      <c r="AG102" s="18">
        <f>0.64-AQ102</f>
        <v>0.59</v>
      </c>
      <c r="AH102" s="9">
        <v>2.78</v>
      </c>
      <c r="AI102" s="43">
        <v>1185</v>
      </c>
      <c r="AJ102" s="21">
        <f t="shared" si="48"/>
        <v>0.16</v>
      </c>
      <c r="AK102" s="9">
        <v>2.27</v>
      </c>
      <c r="AL102" s="9">
        <v>0.41</v>
      </c>
      <c r="AM102" s="9">
        <v>0.08</v>
      </c>
      <c r="AN102" s="13"/>
      <c r="AO102" s="13">
        <v>844.8</v>
      </c>
      <c r="AP102" s="13">
        <f t="shared" si="77"/>
        <v>5.58</v>
      </c>
      <c r="AQ102" s="18">
        <f t="shared" si="49"/>
        <v>0.05</v>
      </c>
      <c r="AR102" s="9">
        <v>0.51</v>
      </c>
      <c r="AS102" s="9">
        <v>0.18</v>
      </c>
      <c r="AT102" s="9">
        <v>7.0000000000000007E-2</v>
      </c>
      <c r="AU102" s="9">
        <v>4.38</v>
      </c>
      <c r="AV102" s="9">
        <v>0.14000000000000001</v>
      </c>
      <c r="AW102" s="9">
        <f>1.39+0.27+0.39</f>
        <v>2.0499999999999998</v>
      </c>
      <c r="AX102" s="9">
        <f>1.96+0.52</f>
        <v>2.48</v>
      </c>
      <c r="AY102" s="81">
        <f t="shared" si="78"/>
        <v>24.6</v>
      </c>
      <c r="AZ102" s="82">
        <v>7590.6</v>
      </c>
      <c r="BA102" s="82">
        <v>0</v>
      </c>
      <c r="BB102" s="82">
        <f t="shared" si="84"/>
        <v>7590.6</v>
      </c>
      <c r="BC102" s="82">
        <v>24.6</v>
      </c>
      <c r="BD102" s="13">
        <f t="shared" si="76"/>
        <v>0</v>
      </c>
      <c r="BE102" s="9">
        <f t="shared" si="50"/>
        <v>186731.71</v>
      </c>
      <c r="BF102" s="9">
        <v>24.6</v>
      </c>
      <c r="BG102" s="10">
        <v>44409</v>
      </c>
      <c r="BH102" s="9">
        <f t="shared" si="51"/>
        <v>17003.21</v>
      </c>
      <c r="BI102" s="9">
        <f t="shared" si="52"/>
        <v>29983.34</v>
      </c>
      <c r="BJ102" s="9">
        <f t="shared" si="53"/>
        <v>17155.03</v>
      </c>
      <c r="BK102" s="9">
        <f t="shared" si="54"/>
        <v>4478.5200000000004</v>
      </c>
      <c r="BL102" s="9">
        <f t="shared" si="55"/>
        <v>21102.2</v>
      </c>
      <c r="BM102" s="9">
        <f t="shared" si="56"/>
        <v>1214.52</v>
      </c>
      <c r="BN102" s="9">
        <f t="shared" si="57"/>
        <v>17230.93</v>
      </c>
      <c r="BO102" s="9">
        <f t="shared" si="58"/>
        <v>3112.2</v>
      </c>
      <c r="BP102" s="9">
        <f t="shared" si="59"/>
        <v>607.26</v>
      </c>
      <c r="BQ102" s="9">
        <f t="shared" si="60"/>
        <v>379.54</v>
      </c>
      <c r="BR102" s="9">
        <f t="shared" si="61"/>
        <v>3871.27</v>
      </c>
      <c r="BS102" s="9">
        <f t="shared" si="62"/>
        <v>1366.33</v>
      </c>
      <c r="BT102" s="9">
        <f t="shared" si="63"/>
        <v>531.35</v>
      </c>
      <c r="BU102" s="9">
        <f t="shared" si="64"/>
        <v>33247.35</v>
      </c>
      <c r="BV102" s="9">
        <f t="shared" si="65"/>
        <v>1062.7</v>
      </c>
      <c r="BW102" s="9">
        <f t="shared" si="66"/>
        <v>15560.98</v>
      </c>
      <c r="BX102" s="9">
        <f t="shared" si="67"/>
        <v>18824.990000000002</v>
      </c>
      <c r="BY102" s="17">
        <f t="shared" si="68"/>
        <v>186731.72</v>
      </c>
      <c r="BZ102" s="17">
        <v>2.79</v>
      </c>
      <c r="CA102" s="17">
        <v>0.09</v>
      </c>
      <c r="CB102" s="17">
        <v>0.56000000000000005</v>
      </c>
      <c r="CC102" s="27">
        <v>0.09</v>
      </c>
      <c r="CD102" s="29">
        <v>6.33</v>
      </c>
      <c r="CE102" s="9">
        <v>15815.68</v>
      </c>
      <c r="CF102" s="9"/>
      <c r="CG102" s="9">
        <v>0</v>
      </c>
      <c r="CH102" s="9">
        <v>348.9</v>
      </c>
      <c r="CI102" s="9">
        <f t="shared" si="85"/>
        <v>2.08</v>
      </c>
      <c r="CJ102" s="9">
        <f t="shared" si="86"/>
        <v>0</v>
      </c>
      <c r="CK102" s="13">
        <f t="shared" si="87"/>
        <v>0</v>
      </c>
      <c r="CL102" s="13">
        <f t="shared" si="88"/>
        <v>0.05</v>
      </c>
      <c r="CM102" s="13">
        <v>186731.71</v>
      </c>
      <c r="CN102" s="13">
        <v>16219.31</v>
      </c>
      <c r="CO102" s="13">
        <v>0</v>
      </c>
      <c r="CP102" s="13">
        <v>2601.3200000000002</v>
      </c>
      <c r="CQ102" s="13">
        <v>1683.12</v>
      </c>
      <c r="CR102" s="13">
        <v>197819.54</v>
      </c>
      <c r="CS102" s="13">
        <v>22898.23</v>
      </c>
      <c r="CT102" s="13">
        <v>904.97</v>
      </c>
      <c r="CU102" s="13">
        <v>1078.8599999999999</v>
      </c>
      <c r="CV102" s="13">
        <v>937.71</v>
      </c>
      <c r="CW102" s="202">
        <v>6613</v>
      </c>
      <c r="CX102" s="200">
        <v>3794</v>
      </c>
      <c r="CY102" s="202"/>
      <c r="CZ102" s="202"/>
      <c r="DA102" s="202"/>
      <c r="DB102" s="202"/>
      <c r="DC102" s="202"/>
      <c r="DD102" s="461"/>
      <c r="DE102" s="256"/>
      <c r="DF102" s="202"/>
      <c r="DG102" s="202"/>
      <c r="DH102" s="202"/>
      <c r="DI102" s="204">
        <v>1185</v>
      </c>
      <c r="DJ102" s="202">
        <v>17200</v>
      </c>
      <c r="DK102" s="202"/>
      <c r="DL102" s="202"/>
      <c r="DM102" s="202">
        <v>47826</v>
      </c>
      <c r="DN102" s="202">
        <v>1360</v>
      </c>
      <c r="DO102" s="202">
        <v>0.8</v>
      </c>
      <c r="DP102" s="202"/>
      <c r="DQ102" s="202"/>
      <c r="DR102" s="202"/>
      <c r="DS102" s="202"/>
      <c r="DT102" s="254"/>
      <c r="DU102" s="254"/>
      <c r="DV102" s="202"/>
      <c r="DW102" s="202">
        <v>34967</v>
      </c>
      <c r="DX102" s="202"/>
      <c r="DY102" s="107">
        <v>1365</v>
      </c>
      <c r="DZ102" s="107">
        <v>577</v>
      </c>
      <c r="EA102" s="202"/>
      <c r="EB102" s="202"/>
      <c r="EC102" s="202"/>
      <c r="ED102" s="202"/>
      <c r="EE102" s="202"/>
      <c r="EF102" s="229"/>
      <c r="EG102" s="202"/>
      <c r="EH102" s="202"/>
      <c r="EI102" s="202"/>
      <c r="EJ102" s="202"/>
      <c r="EK102" s="202">
        <v>16078.53</v>
      </c>
      <c r="EL102" s="202">
        <v>0</v>
      </c>
      <c r="EM102" s="202">
        <v>2567.2800000000002</v>
      </c>
      <c r="EN102" s="202">
        <v>1692.96</v>
      </c>
      <c r="EO102" s="202">
        <v>16078.53</v>
      </c>
      <c r="EP102" s="202"/>
      <c r="EQ102" s="202">
        <v>2567.2800000000002</v>
      </c>
      <c r="ER102" s="202">
        <v>1692.96</v>
      </c>
      <c r="ES102" s="202"/>
      <c r="ET102" s="202"/>
      <c r="EU102" s="202"/>
      <c r="EV102" s="214">
        <v>-11.64</v>
      </c>
      <c r="EW102" s="240">
        <f t="shared" si="73"/>
        <v>16602.12</v>
      </c>
      <c r="EX102" s="209">
        <f t="shared" si="74"/>
        <v>10805.54</v>
      </c>
    </row>
    <row r="103" spans="1:154" ht="12.75" customHeight="1" x14ac:dyDescent="0.2">
      <c r="A103" s="45" t="s">
        <v>164</v>
      </c>
      <c r="B103" s="78" t="s">
        <v>108</v>
      </c>
      <c r="C103" s="79" t="s">
        <v>148</v>
      </c>
      <c r="D103" s="80" t="s">
        <v>632</v>
      </c>
      <c r="E103" s="79" t="s">
        <v>32</v>
      </c>
      <c r="F103" s="11">
        <v>9</v>
      </c>
      <c r="G103" s="11">
        <v>2</v>
      </c>
      <c r="H103" s="11">
        <v>72</v>
      </c>
      <c r="I103" s="11">
        <v>74</v>
      </c>
      <c r="J103" s="11">
        <v>182</v>
      </c>
      <c r="K103" s="11">
        <v>205</v>
      </c>
      <c r="L103" s="83">
        <v>2</v>
      </c>
      <c r="M103" s="84">
        <v>502</v>
      </c>
      <c r="N103" s="139">
        <v>602</v>
      </c>
      <c r="O103" s="84">
        <v>0</v>
      </c>
      <c r="P103" s="135">
        <v>501.9</v>
      </c>
      <c r="Q103" s="139">
        <v>602</v>
      </c>
      <c r="R103" s="133">
        <v>0</v>
      </c>
      <c r="S103" s="133">
        <f t="shared" si="75"/>
        <v>1103.9000000000001</v>
      </c>
      <c r="T103" s="134">
        <v>502</v>
      </c>
      <c r="U103" s="130">
        <v>2.72</v>
      </c>
      <c r="V103" s="131">
        <v>1.21E-2</v>
      </c>
      <c r="W103" s="131">
        <v>1.9800000000000002E-2</v>
      </c>
      <c r="X103" s="132">
        <v>1.2700000000000001E-3</v>
      </c>
      <c r="Y103" s="131">
        <v>1.21E-2</v>
      </c>
      <c r="Z103" s="29">
        <v>3780.35</v>
      </c>
      <c r="AA103" s="34"/>
      <c r="AB103" s="9">
        <f t="shared" si="83"/>
        <v>3780.35</v>
      </c>
      <c r="AC103" s="9">
        <f t="shared" si="89"/>
        <v>23929.62</v>
      </c>
      <c r="AD103" s="9">
        <v>1.85</v>
      </c>
      <c r="AE103" s="9">
        <v>4.75</v>
      </c>
      <c r="AF103" s="21">
        <f>2.42-AJ103</f>
        <v>2.27</v>
      </c>
      <c r="AG103" s="18">
        <f>0.62-AQ103</f>
        <v>0.56999999999999995</v>
      </c>
      <c r="AH103" s="19">
        <f>2.78+0.19+0.15</f>
        <v>3.12</v>
      </c>
      <c r="AI103" s="43">
        <v>578</v>
      </c>
      <c r="AJ103" s="21">
        <f t="shared" si="48"/>
        <v>0.15</v>
      </c>
      <c r="AK103" s="9">
        <v>2.29</v>
      </c>
      <c r="AL103" s="9">
        <v>0.2</v>
      </c>
      <c r="AM103" s="9">
        <v>0.13</v>
      </c>
      <c r="AN103" s="13"/>
      <c r="AO103" s="13">
        <v>422.4</v>
      </c>
      <c r="AP103" s="13">
        <f t="shared" si="77"/>
        <v>5.58</v>
      </c>
      <c r="AQ103" s="18">
        <f t="shared" si="49"/>
        <v>0.05</v>
      </c>
      <c r="AR103" s="9">
        <v>0.51</v>
      </c>
      <c r="AS103" s="9">
        <v>0.36</v>
      </c>
      <c r="AT103" s="9">
        <v>7.0000000000000007E-2</v>
      </c>
      <c r="AU103" s="9">
        <v>3.41</v>
      </c>
      <c r="AV103" s="9">
        <v>0.17</v>
      </c>
      <c r="AW103" s="9">
        <f>1.47+0.3+0.28</f>
        <v>2.0499999999999998</v>
      </c>
      <c r="AX103" s="9">
        <f>2.06+0.41</f>
        <v>2.4700000000000002</v>
      </c>
      <c r="AY103" s="81">
        <f t="shared" si="78"/>
        <v>24.42</v>
      </c>
      <c r="AZ103" s="82">
        <v>3752.5</v>
      </c>
      <c r="BA103" s="82">
        <v>0</v>
      </c>
      <c r="BB103" s="82">
        <f t="shared" si="84"/>
        <v>3752.5</v>
      </c>
      <c r="BC103" s="82">
        <v>24.42</v>
      </c>
      <c r="BD103" s="13">
        <f t="shared" si="76"/>
        <v>0</v>
      </c>
      <c r="BE103" s="9">
        <f t="shared" si="50"/>
        <v>92316.15</v>
      </c>
      <c r="BF103" s="9">
        <v>24.42</v>
      </c>
      <c r="BG103" s="10">
        <v>44378</v>
      </c>
      <c r="BH103" s="9">
        <f t="shared" si="51"/>
        <v>6993.65</v>
      </c>
      <c r="BI103" s="9">
        <f t="shared" si="52"/>
        <v>17956.66</v>
      </c>
      <c r="BJ103" s="9">
        <f t="shared" si="53"/>
        <v>8581.39</v>
      </c>
      <c r="BK103" s="9">
        <f t="shared" si="54"/>
        <v>2154.8000000000002</v>
      </c>
      <c r="BL103" s="9">
        <f t="shared" si="55"/>
        <v>11794.69</v>
      </c>
      <c r="BM103" s="9">
        <f t="shared" si="56"/>
        <v>567.04999999999995</v>
      </c>
      <c r="BN103" s="9">
        <f t="shared" si="57"/>
        <v>8657</v>
      </c>
      <c r="BO103" s="9">
        <f t="shared" si="58"/>
        <v>756.07</v>
      </c>
      <c r="BP103" s="9">
        <f t="shared" si="59"/>
        <v>491.45</v>
      </c>
      <c r="BQ103" s="9">
        <f t="shared" si="60"/>
        <v>189.02</v>
      </c>
      <c r="BR103" s="9">
        <f t="shared" si="61"/>
        <v>1927.98</v>
      </c>
      <c r="BS103" s="9">
        <f t="shared" si="62"/>
        <v>1360.93</v>
      </c>
      <c r="BT103" s="9">
        <f t="shared" si="63"/>
        <v>264.62</v>
      </c>
      <c r="BU103" s="9">
        <f t="shared" si="64"/>
        <v>12890.99</v>
      </c>
      <c r="BV103" s="9">
        <f t="shared" si="65"/>
        <v>642.66</v>
      </c>
      <c r="BW103" s="9">
        <f t="shared" si="66"/>
        <v>7749.72</v>
      </c>
      <c r="BX103" s="9">
        <f t="shared" si="67"/>
        <v>9337.4599999999991</v>
      </c>
      <c r="BY103" s="17">
        <f t="shared" si="68"/>
        <v>92316.14</v>
      </c>
      <c r="BZ103" s="17">
        <v>3.06</v>
      </c>
      <c r="CA103" s="17">
        <v>7.0000000000000007E-2</v>
      </c>
      <c r="CB103" s="17">
        <v>0.43</v>
      </c>
      <c r="CC103" s="27">
        <v>0.08</v>
      </c>
      <c r="CD103" s="29">
        <v>6.33</v>
      </c>
      <c r="CE103" s="9">
        <v>18921.919999999998</v>
      </c>
      <c r="CF103" s="9"/>
      <c r="CG103" s="9">
        <v>12160.8</v>
      </c>
      <c r="CH103" s="9">
        <v>3395.52</v>
      </c>
      <c r="CI103" s="9">
        <f t="shared" si="85"/>
        <v>5.01</v>
      </c>
      <c r="CJ103" s="9">
        <f t="shared" si="86"/>
        <v>0</v>
      </c>
      <c r="CK103" s="13">
        <f t="shared" si="87"/>
        <v>3.22</v>
      </c>
      <c r="CL103" s="13">
        <f t="shared" si="88"/>
        <v>0.9</v>
      </c>
      <c r="CM103" s="13">
        <v>92316.17</v>
      </c>
      <c r="CN103" s="13">
        <v>604.86</v>
      </c>
      <c r="CO103" s="13">
        <v>5481.74</v>
      </c>
      <c r="CP103" s="13">
        <v>11492.25</v>
      </c>
      <c r="CQ103" s="13">
        <v>5821.74</v>
      </c>
      <c r="CR103" s="13">
        <v>94615.41</v>
      </c>
      <c r="CS103" s="13">
        <v>8528.5</v>
      </c>
      <c r="CT103" s="13">
        <v>2646.55</v>
      </c>
      <c r="CU103" s="13">
        <v>5485.27</v>
      </c>
      <c r="CV103" s="13">
        <v>2407.15</v>
      </c>
      <c r="CW103" s="202">
        <v>3294</v>
      </c>
      <c r="CX103" s="200">
        <v>1890</v>
      </c>
      <c r="CY103" s="202"/>
      <c r="CZ103" s="202"/>
      <c r="DA103" s="202"/>
      <c r="DB103" s="202"/>
      <c r="DC103" s="202"/>
      <c r="DD103" s="461"/>
      <c r="DE103" s="257">
        <f>8540.86+1708.17</f>
        <v>10249.030000000001</v>
      </c>
      <c r="DF103" s="202"/>
      <c r="DG103" s="202"/>
      <c r="DH103" s="202"/>
      <c r="DI103" s="204">
        <v>578</v>
      </c>
      <c r="DJ103" s="202">
        <v>8600</v>
      </c>
      <c r="DK103" s="202"/>
      <c r="DL103" s="202">
        <v>9000</v>
      </c>
      <c r="DM103" s="202">
        <v>25168</v>
      </c>
      <c r="DN103" s="202">
        <v>3400</v>
      </c>
      <c r="DO103" s="202">
        <v>2</v>
      </c>
      <c r="DP103" s="202"/>
      <c r="DQ103" s="202"/>
      <c r="DR103" s="202"/>
      <c r="DS103" s="202"/>
      <c r="DT103" s="254"/>
      <c r="DU103" s="254"/>
      <c r="DV103" s="202"/>
      <c r="DW103" s="202"/>
      <c r="DX103" s="202">
        <v>17625</v>
      </c>
      <c r="DY103" s="107">
        <v>1365</v>
      </c>
      <c r="DZ103" s="107">
        <v>577</v>
      </c>
      <c r="EA103" s="202"/>
      <c r="EB103" s="202"/>
      <c r="EC103" s="202"/>
      <c r="ED103" s="202"/>
      <c r="EE103" s="202"/>
      <c r="EF103" s="229"/>
      <c r="EG103" s="202"/>
      <c r="EH103" s="202"/>
      <c r="EI103" s="202"/>
      <c r="EJ103" s="202"/>
      <c r="EK103" s="202">
        <v>12183.84</v>
      </c>
      <c r="EL103" s="202">
        <v>7098.83</v>
      </c>
      <c r="EM103" s="202">
        <v>6945.17</v>
      </c>
      <c r="EN103" s="202">
        <v>3636.04</v>
      </c>
      <c r="EO103" s="202">
        <v>12183.84</v>
      </c>
      <c r="EP103" s="202"/>
      <c r="EQ103" s="202">
        <v>6945.17</v>
      </c>
      <c r="ER103" s="202">
        <v>3636.04</v>
      </c>
      <c r="ES103" s="202"/>
      <c r="ET103" s="202"/>
      <c r="EU103" s="202"/>
      <c r="EV103" s="214">
        <v>173.07</v>
      </c>
      <c r="EW103" s="240">
        <f t="shared" si="73"/>
        <v>8268.23</v>
      </c>
      <c r="EX103" s="209">
        <f t="shared" si="74"/>
        <v>5381.4</v>
      </c>
    </row>
    <row r="104" spans="1:154" ht="12.75" customHeight="1" x14ac:dyDescent="0.2">
      <c r="A104" s="45" t="s">
        <v>165</v>
      </c>
      <c r="B104" s="78" t="s">
        <v>108</v>
      </c>
      <c r="C104" s="79" t="s">
        <v>150</v>
      </c>
      <c r="D104" s="80" t="s">
        <v>432</v>
      </c>
      <c r="E104" s="79" t="s">
        <v>12</v>
      </c>
      <c r="F104" s="11">
        <v>9</v>
      </c>
      <c r="G104" s="11">
        <v>4</v>
      </c>
      <c r="H104" s="11">
        <v>144</v>
      </c>
      <c r="I104" s="11">
        <v>146</v>
      </c>
      <c r="J104" s="11">
        <v>365</v>
      </c>
      <c r="K104" s="11">
        <v>418</v>
      </c>
      <c r="L104" s="83">
        <v>4</v>
      </c>
      <c r="M104" s="84">
        <v>1185</v>
      </c>
      <c r="N104" s="139">
        <v>1288</v>
      </c>
      <c r="O104" s="84">
        <v>0</v>
      </c>
      <c r="P104" s="135">
        <v>1185.0999999999999</v>
      </c>
      <c r="Q104" s="139">
        <v>1288</v>
      </c>
      <c r="R104" s="133">
        <v>0</v>
      </c>
      <c r="S104" s="133">
        <f t="shared" si="75"/>
        <v>2473.1</v>
      </c>
      <c r="T104" s="134">
        <v>1185</v>
      </c>
      <c r="U104" s="130">
        <v>2.72</v>
      </c>
      <c r="V104" s="131">
        <v>1.21E-2</v>
      </c>
      <c r="W104" s="131">
        <v>1.9800000000000002E-2</v>
      </c>
      <c r="X104" s="132">
        <v>1.2700000000000001E-3</v>
      </c>
      <c r="Y104" s="131">
        <v>1.21E-2</v>
      </c>
      <c r="Z104" s="29">
        <v>7582.63</v>
      </c>
      <c r="AA104" s="34"/>
      <c r="AB104" s="9">
        <f t="shared" si="83"/>
        <v>7582.63</v>
      </c>
      <c r="AC104" s="9">
        <f t="shared" si="89"/>
        <v>47998.05</v>
      </c>
      <c r="AD104" s="9">
        <v>2.14</v>
      </c>
      <c r="AE104" s="9">
        <v>4.2300000000000004</v>
      </c>
      <c r="AF104" s="21">
        <f>2.49-AJ104</f>
        <v>2.33</v>
      </c>
      <c r="AG104" s="18">
        <f>0.64-AQ104</f>
        <v>0.59</v>
      </c>
      <c r="AH104" s="19">
        <f>2.78+0.07+0.1</f>
        <v>2.95</v>
      </c>
      <c r="AI104" s="43">
        <v>1236</v>
      </c>
      <c r="AJ104" s="21">
        <f t="shared" si="48"/>
        <v>0.16</v>
      </c>
      <c r="AK104" s="9">
        <v>2.27</v>
      </c>
      <c r="AL104" s="9">
        <v>0.2</v>
      </c>
      <c r="AM104" s="9">
        <v>0.08</v>
      </c>
      <c r="AN104" s="13"/>
      <c r="AO104" s="13">
        <v>844.8</v>
      </c>
      <c r="AP104" s="13">
        <f t="shared" si="77"/>
        <v>5.58</v>
      </c>
      <c r="AQ104" s="18">
        <f t="shared" si="49"/>
        <v>0.05</v>
      </c>
      <c r="AR104" s="9">
        <v>0.51</v>
      </c>
      <c r="AS104" s="9">
        <v>0.18</v>
      </c>
      <c r="AT104" s="9">
        <v>7.0000000000000007E-2</v>
      </c>
      <c r="AU104" s="9">
        <v>4.4000000000000004</v>
      </c>
      <c r="AV104" s="9">
        <v>0.15</v>
      </c>
      <c r="AW104" s="9">
        <f>1.41+0.27+0.39</f>
        <v>2.0699999999999998</v>
      </c>
      <c r="AX104" s="9">
        <f>1.98+0.52</f>
        <v>2.5</v>
      </c>
      <c r="AY104" s="81">
        <f t="shared" si="78"/>
        <v>24.88</v>
      </c>
      <c r="AZ104" s="82">
        <v>7570.5</v>
      </c>
      <c r="BA104" s="82">
        <v>0</v>
      </c>
      <c r="BB104" s="82">
        <f t="shared" si="84"/>
        <v>7570.5</v>
      </c>
      <c r="BC104" s="82">
        <v>24.88</v>
      </c>
      <c r="BD104" s="13">
        <f t="shared" si="76"/>
        <v>0</v>
      </c>
      <c r="BE104" s="9">
        <f t="shared" si="50"/>
        <v>188655.83</v>
      </c>
      <c r="BF104" s="9">
        <v>24.88</v>
      </c>
      <c r="BG104" s="10">
        <v>44409</v>
      </c>
      <c r="BH104" s="9">
        <f t="shared" si="51"/>
        <v>16226.83</v>
      </c>
      <c r="BI104" s="9">
        <f t="shared" si="52"/>
        <v>32074.52</v>
      </c>
      <c r="BJ104" s="9">
        <f t="shared" si="53"/>
        <v>17667.53</v>
      </c>
      <c r="BK104" s="9">
        <f t="shared" si="54"/>
        <v>4473.75</v>
      </c>
      <c r="BL104" s="9">
        <f t="shared" si="55"/>
        <v>22368.76</v>
      </c>
      <c r="BM104" s="9">
        <f t="shared" si="56"/>
        <v>1213.22</v>
      </c>
      <c r="BN104" s="9">
        <f t="shared" si="57"/>
        <v>17212.57</v>
      </c>
      <c r="BO104" s="9">
        <f t="shared" si="58"/>
        <v>1516.53</v>
      </c>
      <c r="BP104" s="9">
        <f t="shared" si="59"/>
        <v>606.61</v>
      </c>
      <c r="BQ104" s="9">
        <f t="shared" si="60"/>
        <v>379.13</v>
      </c>
      <c r="BR104" s="9">
        <f t="shared" si="61"/>
        <v>3867.14</v>
      </c>
      <c r="BS104" s="9">
        <f t="shared" si="62"/>
        <v>1364.87</v>
      </c>
      <c r="BT104" s="9">
        <f t="shared" si="63"/>
        <v>530.78</v>
      </c>
      <c r="BU104" s="9">
        <f t="shared" si="64"/>
        <v>33363.57</v>
      </c>
      <c r="BV104" s="9">
        <f t="shared" si="65"/>
        <v>1137.3900000000001</v>
      </c>
      <c r="BW104" s="9">
        <f t="shared" si="66"/>
        <v>15696.04</v>
      </c>
      <c r="BX104" s="9">
        <f t="shared" si="67"/>
        <v>18956.580000000002</v>
      </c>
      <c r="BY104" s="17">
        <f t="shared" si="68"/>
        <v>188655.82</v>
      </c>
      <c r="BZ104" s="17">
        <v>3.41</v>
      </c>
      <c r="CA104" s="17">
        <v>0.08</v>
      </c>
      <c r="CB104" s="17">
        <v>0.51</v>
      </c>
      <c r="CC104" s="27">
        <v>0.09</v>
      </c>
      <c r="CD104" s="29">
        <v>6.33</v>
      </c>
      <c r="CE104" s="9">
        <v>16391.52</v>
      </c>
      <c r="CF104" s="9">
        <v>3429.93</v>
      </c>
      <c r="CG104" s="9">
        <v>0</v>
      </c>
      <c r="CH104" s="9">
        <v>331.95</v>
      </c>
      <c r="CI104" s="9">
        <f t="shared" si="85"/>
        <v>2.16</v>
      </c>
      <c r="CJ104" s="9">
        <f t="shared" si="86"/>
        <v>0.45</v>
      </c>
      <c r="CK104" s="13">
        <f t="shared" si="87"/>
        <v>0</v>
      </c>
      <c r="CL104" s="13">
        <f t="shared" si="88"/>
        <v>0.04</v>
      </c>
      <c r="CM104" s="13">
        <v>188655.82</v>
      </c>
      <c r="CN104" s="13">
        <v>3108.62</v>
      </c>
      <c r="CO104" s="13">
        <v>37534.43</v>
      </c>
      <c r="CP104" s="13">
        <v>0</v>
      </c>
      <c r="CQ104" s="13">
        <v>303.33</v>
      </c>
      <c r="CR104" s="13">
        <v>185147.67</v>
      </c>
      <c r="CS104" s="13">
        <v>7165.27</v>
      </c>
      <c r="CT104" s="13">
        <v>25140.06</v>
      </c>
      <c r="CU104" s="13">
        <v>98.71</v>
      </c>
      <c r="CV104" s="13">
        <v>325.83999999999997</v>
      </c>
      <c r="CW104" s="202">
        <v>6659</v>
      </c>
      <c r="CX104" s="200">
        <v>3820</v>
      </c>
      <c r="CY104" s="202"/>
      <c r="CZ104" s="202"/>
      <c r="DA104" s="202"/>
      <c r="DB104" s="202"/>
      <c r="DC104" s="202"/>
      <c r="DD104" s="461"/>
      <c r="DE104" s="256"/>
      <c r="DF104" s="202"/>
      <c r="DG104" s="202"/>
      <c r="DH104" s="202"/>
      <c r="DI104" s="204">
        <v>1236</v>
      </c>
      <c r="DJ104" s="202">
        <v>17200</v>
      </c>
      <c r="DK104" s="202"/>
      <c r="DL104" s="202"/>
      <c r="DM104" s="202">
        <v>49065</v>
      </c>
      <c r="DN104" s="202">
        <v>1360</v>
      </c>
      <c r="DO104" s="202">
        <v>0.8</v>
      </c>
      <c r="DP104" s="202"/>
      <c r="DQ104" s="202"/>
      <c r="DR104" s="202"/>
      <c r="DS104" s="202"/>
      <c r="DT104" s="254"/>
      <c r="DU104" s="254"/>
      <c r="DV104" s="202"/>
      <c r="DW104" s="202"/>
      <c r="DX104" s="202">
        <v>35699</v>
      </c>
      <c r="DY104" s="107">
        <v>1365</v>
      </c>
      <c r="DZ104" s="107">
        <v>577</v>
      </c>
      <c r="EA104" s="202"/>
      <c r="EB104" s="202"/>
      <c r="EC104" s="202"/>
      <c r="ED104" s="202"/>
      <c r="EE104" s="202"/>
      <c r="EF104" s="229"/>
      <c r="EG104" s="202"/>
      <c r="EH104" s="202"/>
      <c r="EI104" s="202"/>
      <c r="EJ104" s="202"/>
      <c r="EK104" s="202">
        <v>3095.83</v>
      </c>
      <c r="EL104" s="202">
        <v>66002.09</v>
      </c>
      <c r="EM104" s="202">
        <v>0</v>
      </c>
      <c r="EN104" s="202">
        <v>331.95</v>
      </c>
      <c r="EO104" s="202">
        <v>3095.83</v>
      </c>
      <c r="EP104" s="202"/>
      <c r="EQ104" s="202">
        <v>0</v>
      </c>
      <c r="ER104" s="202">
        <v>331.95</v>
      </c>
      <c r="ES104" s="202"/>
      <c r="ET104" s="202"/>
      <c r="EU104" s="202"/>
      <c r="EV104" s="214">
        <v>11.27</v>
      </c>
      <c r="EW104" s="240">
        <f t="shared" si="73"/>
        <v>16584.43</v>
      </c>
      <c r="EX104" s="209">
        <f t="shared" si="74"/>
        <v>10794.03</v>
      </c>
    </row>
    <row r="105" spans="1:154" ht="12.75" customHeight="1" x14ac:dyDescent="0.2">
      <c r="A105" s="45" t="s">
        <v>166</v>
      </c>
      <c r="B105" s="117" t="s">
        <v>108</v>
      </c>
      <c r="C105" s="118" t="s">
        <v>150</v>
      </c>
      <c r="D105" s="119" t="s">
        <v>561</v>
      </c>
      <c r="E105" s="118" t="s">
        <v>9</v>
      </c>
      <c r="F105" s="11">
        <v>5</v>
      </c>
      <c r="G105" s="11">
        <v>6</v>
      </c>
      <c r="H105" s="11">
        <v>90</v>
      </c>
      <c r="I105" s="11">
        <v>0</v>
      </c>
      <c r="J105" s="11">
        <v>199</v>
      </c>
      <c r="K105" s="11">
        <v>222</v>
      </c>
      <c r="L105" s="11" t="s">
        <v>746</v>
      </c>
      <c r="M105" s="84">
        <v>419</v>
      </c>
      <c r="N105" s="84">
        <v>1288</v>
      </c>
      <c r="O105" s="84">
        <v>0</v>
      </c>
      <c r="P105" s="139">
        <v>403.5</v>
      </c>
      <c r="Q105" s="139">
        <v>1012.8</v>
      </c>
      <c r="R105" s="139">
        <v>0</v>
      </c>
      <c r="S105" s="133">
        <f t="shared" si="75"/>
        <v>1416.3</v>
      </c>
      <c r="T105" s="139">
        <v>419</v>
      </c>
      <c r="U105" s="130">
        <v>1.83</v>
      </c>
      <c r="V105" s="131">
        <v>1.1299999999999999E-2</v>
      </c>
      <c r="W105" s="131">
        <v>1.9800000000000002E-2</v>
      </c>
      <c r="X105" s="132">
        <v>1.2700000000000001E-3</v>
      </c>
      <c r="Y105" s="131">
        <v>1.1299999999999999E-2</v>
      </c>
      <c r="Z105" s="29">
        <v>3976</v>
      </c>
      <c r="AA105" s="34"/>
      <c r="AB105" s="9">
        <f t="shared" si="83"/>
        <v>3976</v>
      </c>
      <c r="AC105" s="9">
        <f t="shared" si="89"/>
        <v>25168.080000000002</v>
      </c>
      <c r="AD105" s="9">
        <v>0.51</v>
      </c>
      <c r="AE105" s="9">
        <v>4.25</v>
      </c>
      <c r="AF105" s="21">
        <f>2.5-AJ105</f>
        <v>2.19</v>
      </c>
      <c r="AG105" s="18">
        <f>0.56-AQ105</f>
        <v>0.45</v>
      </c>
      <c r="AH105" s="19">
        <f>2.78+0.13+0.18</f>
        <v>3.09</v>
      </c>
      <c r="AI105" s="43">
        <v>1236</v>
      </c>
      <c r="AJ105" s="21">
        <f t="shared" si="48"/>
        <v>0.31</v>
      </c>
      <c r="AK105" s="9">
        <v>0</v>
      </c>
      <c r="AL105" s="9">
        <v>0</v>
      </c>
      <c r="AM105" s="9">
        <v>0.15</v>
      </c>
      <c r="AN105" s="13"/>
      <c r="AO105" s="13">
        <v>901.8</v>
      </c>
      <c r="AP105" s="13">
        <f t="shared" si="77"/>
        <v>5.58</v>
      </c>
      <c r="AQ105" s="18">
        <f t="shared" si="49"/>
        <v>0.11</v>
      </c>
      <c r="AR105" s="9">
        <v>0.79</v>
      </c>
      <c r="AS105" s="9">
        <v>0.34</v>
      </c>
      <c r="AT105" s="9">
        <v>7.0000000000000007E-2</v>
      </c>
      <c r="AU105" s="9">
        <v>4.05</v>
      </c>
      <c r="AV105" s="9">
        <v>0.13</v>
      </c>
      <c r="AW105" s="9">
        <f>1.1+0.32+0.36</f>
        <v>1.78</v>
      </c>
      <c r="AX105" s="9">
        <f>1.5+0.48</f>
        <v>1.98</v>
      </c>
      <c r="AY105" s="120">
        <f t="shared" si="78"/>
        <v>20.2</v>
      </c>
      <c r="AZ105" s="121">
        <v>3964.8</v>
      </c>
      <c r="BA105" s="121">
        <v>0</v>
      </c>
      <c r="BB105" s="121">
        <f t="shared" si="84"/>
        <v>3964.8</v>
      </c>
      <c r="BC105" s="121">
        <v>20.2</v>
      </c>
      <c r="BD105" s="13">
        <f t="shared" si="76"/>
        <v>0</v>
      </c>
      <c r="BE105" s="9">
        <f t="shared" si="50"/>
        <v>80315.199999999997</v>
      </c>
      <c r="BF105" s="9">
        <v>20.2</v>
      </c>
      <c r="BG105" s="10">
        <v>44409</v>
      </c>
      <c r="BH105" s="9">
        <f t="shared" si="51"/>
        <v>2027.76</v>
      </c>
      <c r="BI105" s="9">
        <f t="shared" si="52"/>
        <v>16898</v>
      </c>
      <c r="BJ105" s="9">
        <f t="shared" si="53"/>
        <v>8707.44</v>
      </c>
      <c r="BK105" s="9">
        <f t="shared" si="54"/>
        <v>1789.2</v>
      </c>
      <c r="BL105" s="9">
        <f t="shared" si="55"/>
        <v>12285.84</v>
      </c>
      <c r="BM105" s="9">
        <f t="shared" si="56"/>
        <v>1232.56</v>
      </c>
      <c r="BN105" s="9">
        <f t="shared" si="57"/>
        <v>0</v>
      </c>
      <c r="BO105" s="9">
        <f t="shared" si="58"/>
        <v>0</v>
      </c>
      <c r="BP105" s="9">
        <f t="shared" si="59"/>
        <v>596.4</v>
      </c>
      <c r="BQ105" s="9">
        <f t="shared" si="60"/>
        <v>437.36</v>
      </c>
      <c r="BR105" s="9">
        <f t="shared" si="61"/>
        <v>3141.04</v>
      </c>
      <c r="BS105" s="9">
        <f t="shared" si="62"/>
        <v>1351.84</v>
      </c>
      <c r="BT105" s="9">
        <f t="shared" si="63"/>
        <v>278.32</v>
      </c>
      <c r="BU105" s="9">
        <f t="shared" si="64"/>
        <v>16102.8</v>
      </c>
      <c r="BV105" s="9">
        <f t="shared" si="65"/>
        <v>516.88</v>
      </c>
      <c r="BW105" s="9">
        <f t="shared" si="66"/>
        <v>7077.28</v>
      </c>
      <c r="BX105" s="9">
        <f t="shared" si="67"/>
        <v>7872.48</v>
      </c>
      <c r="BY105" s="17">
        <f t="shared" si="68"/>
        <v>80315.199999999997</v>
      </c>
      <c r="BZ105" s="17">
        <v>3.01</v>
      </c>
      <c r="CA105" s="17">
        <v>0.06</v>
      </c>
      <c r="CB105" s="17">
        <v>0.35</v>
      </c>
      <c r="CC105" s="27">
        <v>0.06</v>
      </c>
      <c r="CD105" s="29">
        <v>6.33</v>
      </c>
      <c r="CE105" s="9">
        <v>14768.25</v>
      </c>
      <c r="CF105" s="9"/>
      <c r="CG105" s="9">
        <v>0</v>
      </c>
      <c r="CH105" s="9">
        <v>0</v>
      </c>
      <c r="CI105" s="9">
        <f t="shared" si="85"/>
        <v>3.71</v>
      </c>
      <c r="CJ105" s="9">
        <f t="shared" si="86"/>
        <v>0</v>
      </c>
      <c r="CK105" s="13">
        <f t="shared" si="87"/>
        <v>0</v>
      </c>
      <c r="CL105" s="13">
        <f t="shared" si="88"/>
        <v>0</v>
      </c>
      <c r="CM105" s="13">
        <v>80315.199999999997</v>
      </c>
      <c r="CN105" s="13">
        <v>8985.76</v>
      </c>
      <c r="CO105" s="13">
        <v>0</v>
      </c>
      <c r="CP105" s="13">
        <v>9303.84</v>
      </c>
      <c r="CQ105" s="13">
        <v>4890.49</v>
      </c>
      <c r="CR105" s="13">
        <v>72005.25</v>
      </c>
      <c r="CS105" s="13">
        <v>4588.04</v>
      </c>
      <c r="CT105" s="13">
        <v>179.97</v>
      </c>
      <c r="CU105" s="13">
        <v>2789.31</v>
      </c>
      <c r="CV105" s="13">
        <v>1466.12</v>
      </c>
      <c r="CW105" s="202">
        <v>3464</v>
      </c>
      <c r="CX105" s="200">
        <v>1987</v>
      </c>
      <c r="CY105" s="202"/>
      <c r="CZ105" s="202"/>
      <c r="DA105" s="202"/>
      <c r="DB105" s="202"/>
      <c r="DC105" s="202"/>
      <c r="DD105" s="461"/>
      <c r="DE105" s="256"/>
      <c r="DF105" s="202"/>
      <c r="DG105" s="202"/>
      <c r="DH105" s="202"/>
      <c r="DI105" s="204">
        <v>1236</v>
      </c>
      <c r="DJ105" s="202"/>
      <c r="DK105" s="202"/>
      <c r="DL105" s="202"/>
      <c r="DM105" s="202">
        <v>19279</v>
      </c>
      <c r="DN105" s="202">
        <v>3400</v>
      </c>
      <c r="DO105" s="202">
        <v>2</v>
      </c>
      <c r="DP105" s="202"/>
      <c r="DQ105" s="202"/>
      <c r="DR105" s="202"/>
      <c r="DS105" s="202"/>
      <c r="DT105" s="254"/>
      <c r="DU105" s="254"/>
      <c r="DV105" s="202"/>
      <c r="DW105" s="202"/>
      <c r="DX105" s="202">
        <v>18736</v>
      </c>
      <c r="DY105" s="107">
        <v>1365</v>
      </c>
      <c r="DZ105" s="107">
        <v>577</v>
      </c>
      <c r="EA105" s="202"/>
      <c r="EB105" s="202"/>
      <c r="EC105" s="202"/>
      <c r="ED105" s="202"/>
      <c r="EE105" s="202"/>
      <c r="EF105" s="229"/>
      <c r="EG105" s="202"/>
      <c r="EH105" s="202"/>
      <c r="EI105" s="202"/>
      <c r="EJ105" s="202"/>
      <c r="EK105" s="202">
        <v>8982.84</v>
      </c>
      <c r="EL105" s="202">
        <v>0</v>
      </c>
      <c r="EM105" s="202">
        <v>9323.2800000000007</v>
      </c>
      <c r="EN105" s="202">
        <v>4881.0600000000004</v>
      </c>
      <c r="EO105" s="202">
        <v>8982.84</v>
      </c>
      <c r="EP105" s="202"/>
      <c r="EQ105" s="202">
        <v>9323.2800000000007</v>
      </c>
      <c r="ER105" s="202">
        <v>4881.0600000000004</v>
      </c>
      <c r="ES105" s="202"/>
      <c r="ET105" s="202"/>
      <c r="EU105" s="202"/>
      <c r="EV105" s="214">
        <v>-2.92</v>
      </c>
      <c r="EW105" s="240">
        <f t="shared" si="73"/>
        <v>8696.15</v>
      </c>
      <c r="EX105" s="209">
        <f t="shared" si="74"/>
        <v>5659.92</v>
      </c>
    </row>
    <row r="106" spans="1:154" ht="12.75" customHeight="1" x14ac:dyDescent="0.2">
      <c r="A106" s="45" t="s">
        <v>167</v>
      </c>
      <c r="B106" s="78" t="s">
        <v>108</v>
      </c>
      <c r="C106" s="79" t="s">
        <v>153</v>
      </c>
      <c r="D106" s="80" t="s">
        <v>433</v>
      </c>
      <c r="E106" s="79" t="s">
        <v>12</v>
      </c>
      <c r="F106" s="11">
        <v>9</v>
      </c>
      <c r="G106" s="11">
        <v>2</v>
      </c>
      <c r="H106" s="11">
        <v>108</v>
      </c>
      <c r="I106" s="11">
        <v>110</v>
      </c>
      <c r="J106" s="11">
        <v>186</v>
      </c>
      <c r="K106" s="11">
        <v>237</v>
      </c>
      <c r="L106" s="83">
        <v>2</v>
      </c>
      <c r="M106" s="84">
        <v>553</v>
      </c>
      <c r="N106" s="84">
        <v>826</v>
      </c>
      <c r="O106" s="84">
        <v>0</v>
      </c>
      <c r="P106" s="135">
        <v>553.5</v>
      </c>
      <c r="Q106" s="135">
        <v>491</v>
      </c>
      <c r="R106" s="133">
        <v>0</v>
      </c>
      <c r="S106" s="133">
        <f t="shared" si="75"/>
        <v>1044.5</v>
      </c>
      <c r="T106" s="134">
        <v>553</v>
      </c>
      <c r="U106" s="130">
        <v>2.72</v>
      </c>
      <c r="V106" s="131">
        <v>1.21E-2</v>
      </c>
      <c r="W106" s="131">
        <v>1.9800000000000002E-2</v>
      </c>
      <c r="X106" s="132">
        <v>1.2700000000000001E-3</v>
      </c>
      <c r="Y106" s="131">
        <v>1.21E-2</v>
      </c>
      <c r="Z106" s="29">
        <v>4658.3999999999996</v>
      </c>
      <c r="AA106" s="34"/>
      <c r="AB106" s="9">
        <f t="shared" si="83"/>
        <v>4658.3999999999996</v>
      </c>
      <c r="AC106" s="9">
        <f t="shared" si="89"/>
        <v>29487.67</v>
      </c>
      <c r="AD106" s="9">
        <v>1.65</v>
      </c>
      <c r="AE106" s="9">
        <v>3.57</v>
      </c>
      <c r="AF106" s="21">
        <f>2.49-AJ106</f>
        <v>2.3199999999999998</v>
      </c>
      <c r="AG106" s="18">
        <f>0.59-AQ106</f>
        <v>0.53</v>
      </c>
      <c r="AH106" s="9">
        <v>2.77</v>
      </c>
      <c r="AI106" s="43">
        <v>793</v>
      </c>
      <c r="AJ106" s="21">
        <f t="shared" si="48"/>
        <v>0.17</v>
      </c>
      <c r="AK106" s="9">
        <v>1.86</v>
      </c>
      <c r="AL106" s="9">
        <v>0.5</v>
      </c>
      <c r="AM106" s="9">
        <v>0.12</v>
      </c>
      <c r="AN106" s="13"/>
      <c r="AO106" s="13">
        <v>611.79999999999995</v>
      </c>
      <c r="AP106" s="13">
        <f t="shared" si="77"/>
        <v>5.58</v>
      </c>
      <c r="AQ106" s="18">
        <f t="shared" si="49"/>
        <v>0.06</v>
      </c>
      <c r="AR106" s="9">
        <v>0.75</v>
      </c>
      <c r="AS106" s="9">
        <v>0.3</v>
      </c>
      <c r="AT106" s="9">
        <v>7.0000000000000007E-2</v>
      </c>
      <c r="AU106" s="9">
        <v>4.9800000000000004</v>
      </c>
      <c r="AV106" s="9">
        <v>0.15</v>
      </c>
      <c r="AW106" s="9">
        <f>1.32+0.44+0.33</f>
        <v>2.09</v>
      </c>
      <c r="AX106" s="9">
        <f>1.86+0.59</f>
        <v>2.4500000000000002</v>
      </c>
      <c r="AY106" s="81">
        <f t="shared" si="78"/>
        <v>24.34</v>
      </c>
      <c r="AZ106" s="82">
        <v>4623.8</v>
      </c>
      <c r="BA106" s="82">
        <v>0</v>
      </c>
      <c r="BB106" s="82">
        <f t="shared" si="84"/>
        <v>4623.8</v>
      </c>
      <c r="BC106" s="82">
        <v>24.34</v>
      </c>
      <c r="BD106" s="13">
        <f t="shared" si="76"/>
        <v>0</v>
      </c>
      <c r="BE106" s="9">
        <f t="shared" si="50"/>
        <v>113385.46</v>
      </c>
      <c r="BF106" s="9">
        <v>24.34</v>
      </c>
      <c r="BG106" s="10">
        <v>44378</v>
      </c>
      <c r="BH106" s="9">
        <f t="shared" si="51"/>
        <v>7686.36</v>
      </c>
      <c r="BI106" s="9">
        <f t="shared" si="52"/>
        <v>16630.490000000002</v>
      </c>
      <c r="BJ106" s="9">
        <f t="shared" si="53"/>
        <v>10807.49</v>
      </c>
      <c r="BK106" s="9">
        <f t="shared" si="54"/>
        <v>2468.9499999999998</v>
      </c>
      <c r="BL106" s="9">
        <f t="shared" si="55"/>
        <v>12903.77</v>
      </c>
      <c r="BM106" s="9">
        <f t="shared" si="56"/>
        <v>791.93</v>
      </c>
      <c r="BN106" s="9">
        <f t="shared" si="57"/>
        <v>8664.6200000000008</v>
      </c>
      <c r="BO106" s="9">
        <f t="shared" si="58"/>
        <v>2329.1999999999998</v>
      </c>
      <c r="BP106" s="9">
        <f t="shared" si="59"/>
        <v>559.01</v>
      </c>
      <c r="BQ106" s="9">
        <f t="shared" si="60"/>
        <v>279.5</v>
      </c>
      <c r="BR106" s="9">
        <f t="shared" si="61"/>
        <v>3493.8</v>
      </c>
      <c r="BS106" s="9">
        <f t="shared" si="62"/>
        <v>1397.52</v>
      </c>
      <c r="BT106" s="9">
        <f t="shared" si="63"/>
        <v>326.08999999999997</v>
      </c>
      <c r="BU106" s="9">
        <f t="shared" si="64"/>
        <v>23198.83</v>
      </c>
      <c r="BV106" s="9">
        <f t="shared" si="65"/>
        <v>698.76</v>
      </c>
      <c r="BW106" s="9">
        <f t="shared" si="66"/>
        <v>9736.06</v>
      </c>
      <c r="BX106" s="9">
        <f t="shared" si="67"/>
        <v>11413.08</v>
      </c>
      <c r="BY106" s="17">
        <f t="shared" si="68"/>
        <v>113385.46</v>
      </c>
      <c r="BZ106" s="17">
        <v>3.09</v>
      </c>
      <c r="CA106" s="17">
        <v>0.06</v>
      </c>
      <c r="CB106" s="17">
        <v>0.38</v>
      </c>
      <c r="CC106" s="27">
        <v>7.0000000000000007E-2</v>
      </c>
      <c r="CD106" s="29">
        <v>6.33</v>
      </c>
      <c r="CE106" s="9">
        <v>14172.8</v>
      </c>
      <c r="CF106" s="9"/>
      <c r="CG106" s="9">
        <v>891.79</v>
      </c>
      <c r="CH106" s="9">
        <v>466.88</v>
      </c>
      <c r="CI106" s="9">
        <f t="shared" si="85"/>
        <v>3.04</v>
      </c>
      <c r="CJ106" s="9">
        <f t="shared" si="86"/>
        <v>0</v>
      </c>
      <c r="CK106" s="13">
        <f t="shared" si="87"/>
        <v>0.19</v>
      </c>
      <c r="CL106" s="13">
        <f t="shared" si="88"/>
        <v>0.1</v>
      </c>
      <c r="CM106" s="13">
        <v>113402.49</v>
      </c>
      <c r="CN106" s="13">
        <v>10203.39</v>
      </c>
      <c r="CO106" s="13">
        <v>0</v>
      </c>
      <c r="CP106" s="13">
        <v>0</v>
      </c>
      <c r="CQ106" s="13">
        <v>0</v>
      </c>
      <c r="CR106" s="13">
        <v>106060.66</v>
      </c>
      <c r="CS106" s="13">
        <v>7502.9</v>
      </c>
      <c r="CT106" s="13">
        <v>862.28</v>
      </c>
      <c r="CU106" s="13">
        <v>268.88</v>
      </c>
      <c r="CV106" s="13">
        <v>160.5</v>
      </c>
      <c r="CW106" s="202">
        <v>4059</v>
      </c>
      <c r="CX106" s="200">
        <v>2328</v>
      </c>
      <c r="CY106" s="202"/>
      <c r="CZ106" s="202"/>
      <c r="DA106" s="202"/>
      <c r="DB106" s="202"/>
      <c r="DC106" s="202"/>
      <c r="DD106" s="461"/>
      <c r="DE106" s="256"/>
      <c r="DF106" s="202"/>
      <c r="DG106" s="202"/>
      <c r="DH106" s="202"/>
      <c r="DI106" s="204">
        <v>793</v>
      </c>
      <c r="DJ106" s="202">
        <v>8600</v>
      </c>
      <c r="DK106" s="202"/>
      <c r="DL106" s="202"/>
      <c r="DM106" s="202">
        <v>24594</v>
      </c>
      <c r="DN106" s="202">
        <v>3400</v>
      </c>
      <c r="DO106" s="202">
        <v>2</v>
      </c>
      <c r="DP106" s="202"/>
      <c r="DQ106" s="202"/>
      <c r="DR106" s="202"/>
      <c r="DS106" s="202">
        <v>2000</v>
      </c>
      <c r="DT106" s="254">
        <v>80</v>
      </c>
      <c r="DU106" s="254"/>
      <c r="DV106" s="202"/>
      <c r="DW106" s="202"/>
      <c r="DX106" s="202">
        <v>21305</v>
      </c>
      <c r="DY106" s="107">
        <v>1365</v>
      </c>
      <c r="DZ106" s="107">
        <v>577</v>
      </c>
      <c r="EA106" s="202">
        <f>1906.69+2245.31</f>
        <v>4152</v>
      </c>
      <c r="EB106" s="202"/>
      <c r="EC106" s="202"/>
      <c r="ED106" s="202"/>
      <c r="EE106" s="202"/>
      <c r="EF106" s="229"/>
      <c r="EG106" s="202"/>
      <c r="EH106" s="202"/>
      <c r="EI106" s="202"/>
      <c r="EJ106" s="202"/>
      <c r="EK106" s="202">
        <v>10221.700000000001</v>
      </c>
      <c r="EL106" s="202">
        <v>0</v>
      </c>
      <c r="EM106" s="202">
        <v>0</v>
      </c>
      <c r="EN106" s="202">
        <v>0</v>
      </c>
      <c r="EO106" s="202">
        <v>10221.700000000001</v>
      </c>
      <c r="EP106" s="202"/>
      <c r="EQ106" s="202">
        <v>0</v>
      </c>
      <c r="ER106" s="202">
        <v>0</v>
      </c>
      <c r="ES106" s="202"/>
      <c r="ET106" s="202"/>
      <c r="EU106" s="202"/>
      <c r="EV106" s="214">
        <f>-4.54+1293.27</f>
        <v>1288.73</v>
      </c>
      <c r="EW106" s="240">
        <f t="shared" si="73"/>
        <v>10188.67</v>
      </c>
      <c r="EX106" s="209">
        <f t="shared" si="74"/>
        <v>6631.33</v>
      </c>
    </row>
    <row r="107" spans="1:154" ht="12.75" customHeight="1" x14ac:dyDescent="0.2">
      <c r="A107" s="45" t="s">
        <v>168</v>
      </c>
      <c r="B107" s="78" t="s">
        <v>108</v>
      </c>
      <c r="C107" s="79" t="s">
        <v>267</v>
      </c>
      <c r="D107" s="78" t="s">
        <v>633</v>
      </c>
      <c r="E107" s="79"/>
      <c r="F107" s="11">
        <v>9</v>
      </c>
      <c r="G107" s="11">
        <v>1</v>
      </c>
      <c r="H107" s="11">
        <v>216</v>
      </c>
      <c r="I107" s="11">
        <v>134</v>
      </c>
      <c r="J107" s="11">
        <v>188</v>
      </c>
      <c r="K107" s="11">
        <v>274</v>
      </c>
      <c r="L107" s="11">
        <v>2</v>
      </c>
      <c r="M107" s="84">
        <v>1932</v>
      </c>
      <c r="N107" s="84">
        <v>814</v>
      </c>
      <c r="O107" s="84">
        <v>0</v>
      </c>
      <c r="P107" s="135">
        <f>214+58.6</f>
        <v>272.60000000000002</v>
      </c>
      <c r="Q107" s="139">
        <v>689.6</v>
      </c>
      <c r="R107" s="133">
        <v>0</v>
      </c>
      <c r="S107" s="133">
        <f t="shared" si="75"/>
        <v>962.2</v>
      </c>
      <c r="T107" s="134">
        <v>1932</v>
      </c>
      <c r="U107" s="130">
        <v>2.72</v>
      </c>
      <c r="V107" s="91">
        <v>1.21E-2</v>
      </c>
      <c r="W107" s="91">
        <v>1.9800000000000002E-2</v>
      </c>
      <c r="X107" s="132">
        <v>1.2700000000000001E-3</v>
      </c>
      <c r="Y107" s="91">
        <v>1.21E-2</v>
      </c>
      <c r="Z107" s="29">
        <v>4943.76</v>
      </c>
      <c r="AA107" s="34">
        <v>526.5</v>
      </c>
      <c r="AB107" s="9">
        <f t="shared" si="83"/>
        <v>5470.26</v>
      </c>
      <c r="AC107" s="9">
        <f t="shared" si="89"/>
        <v>34626.75</v>
      </c>
      <c r="AD107" s="9">
        <v>0.68</v>
      </c>
      <c r="AE107" s="9">
        <v>4.59</v>
      </c>
      <c r="AF107" s="21">
        <f>2.47-AJ107</f>
        <v>2.35</v>
      </c>
      <c r="AG107" s="18">
        <f>0.62-AQ107</f>
        <v>0.51</v>
      </c>
      <c r="AH107" s="19">
        <f>2.77+0.09+0.13</f>
        <v>2.99</v>
      </c>
      <c r="AI107" s="43">
        <v>633</v>
      </c>
      <c r="AJ107" s="21">
        <f t="shared" si="48"/>
        <v>0.12</v>
      </c>
      <c r="AK107" s="9">
        <v>1.5</v>
      </c>
      <c r="AL107" s="9">
        <v>0.41</v>
      </c>
      <c r="AM107" s="9">
        <v>0.1</v>
      </c>
      <c r="AN107" s="13"/>
      <c r="AO107" s="13">
        <v>1281.5999999999999</v>
      </c>
      <c r="AP107" s="13">
        <f t="shared" si="77"/>
        <v>5.58</v>
      </c>
      <c r="AQ107" s="18">
        <f t="shared" si="49"/>
        <v>0.11</v>
      </c>
      <c r="AR107" s="9">
        <v>0</v>
      </c>
      <c r="AS107" s="9">
        <v>0.24</v>
      </c>
      <c r="AT107" s="9">
        <v>7.0000000000000007E-2</v>
      </c>
      <c r="AU107" s="9">
        <v>4.95</v>
      </c>
      <c r="AV107" s="9">
        <v>0.14000000000000001</v>
      </c>
      <c r="AW107" s="9">
        <f>1.23+0.44+0.41</f>
        <v>2.08</v>
      </c>
      <c r="AX107" s="9">
        <f>1.7+0.58</f>
        <v>2.2799999999999998</v>
      </c>
      <c r="AY107" s="81">
        <f t="shared" si="78"/>
        <v>23.12</v>
      </c>
      <c r="AZ107" s="82"/>
      <c r="BA107" s="82"/>
      <c r="BB107" s="82"/>
      <c r="BC107" s="82">
        <v>23.12</v>
      </c>
      <c r="BD107" s="13">
        <f t="shared" si="76"/>
        <v>0</v>
      </c>
      <c r="BE107" s="9">
        <f t="shared" si="50"/>
        <v>126472.41</v>
      </c>
      <c r="BF107" s="9">
        <v>23.12</v>
      </c>
      <c r="BG107" s="10">
        <v>44440</v>
      </c>
      <c r="BH107" s="9">
        <f t="shared" si="51"/>
        <v>3719.78</v>
      </c>
      <c r="BI107" s="9">
        <f t="shared" si="52"/>
        <v>25108.49</v>
      </c>
      <c r="BJ107" s="9">
        <f t="shared" si="53"/>
        <v>12855.11</v>
      </c>
      <c r="BK107" s="9">
        <f t="shared" si="54"/>
        <v>2789.83</v>
      </c>
      <c r="BL107" s="9">
        <f t="shared" si="55"/>
        <v>16356.08</v>
      </c>
      <c r="BM107" s="9">
        <f t="shared" si="56"/>
        <v>656.43</v>
      </c>
      <c r="BN107" s="9">
        <f t="shared" si="57"/>
        <v>8205.39</v>
      </c>
      <c r="BO107" s="9">
        <f t="shared" si="58"/>
        <v>2242.81</v>
      </c>
      <c r="BP107" s="9">
        <f t="shared" si="59"/>
        <v>547.03</v>
      </c>
      <c r="BQ107" s="9">
        <f t="shared" si="60"/>
        <v>601.73</v>
      </c>
      <c r="BR107" s="9">
        <f t="shared" si="61"/>
        <v>0</v>
      </c>
      <c r="BS107" s="9">
        <f t="shared" si="62"/>
        <v>1312.86</v>
      </c>
      <c r="BT107" s="9">
        <f t="shared" si="63"/>
        <v>382.92</v>
      </c>
      <c r="BU107" s="9">
        <f t="shared" si="64"/>
        <v>27077.79</v>
      </c>
      <c r="BV107" s="9">
        <f t="shared" si="65"/>
        <v>765.84</v>
      </c>
      <c r="BW107" s="9">
        <f t="shared" si="66"/>
        <v>11378.14</v>
      </c>
      <c r="BX107" s="9">
        <f t="shared" si="67"/>
        <v>12472.19</v>
      </c>
      <c r="BY107" s="17">
        <f t="shared" si="68"/>
        <v>126472.42</v>
      </c>
      <c r="BZ107" s="17">
        <v>3.68</v>
      </c>
      <c r="CA107" s="17">
        <v>0.19</v>
      </c>
      <c r="CB107" s="17">
        <v>1.1499999999999999</v>
      </c>
      <c r="CC107" s="27">
        <v>0.2</v>
      </c>
      <c r="CD107" s="29">
        <v>6.33</v>
      </c>
      <c r="CE107" s="9"/>
      <c r="CF107" s="9"/>
      <c r="CG107" s="9"/>
      <c r="CH107" s="9"/>
      <c r="CI107" s="9"/>
      <c r="CJ107" s="9"/>
      <c r="CK107" s="13"/>
      <c r="CL107" s="13"/>
      <c r="CM107" s="13">
        <v>114299.69</v>
      </c>
      <c r="CN107" s="13">
        <v>35051.33</v>
      </c>
      <c r="CO107" s="13">
        <v>0</v>
      </c>
      <c r="CP107" s="13">
        <v>0</v>
      </c>
      <c r="CQ107" s="13">
        <v>0</v>
      </c>
      <c r="CR107" s="13">
        <v>86310.65</v>
      </c>
      <c r="CS107" s="13">
        <v>16483.5</v>
      </c>
      <c r="CT107" s="13">
        <v>1047.92</v>
      </c>
      <c r="CU107" s="13">
        <v>173.15</v>
      </c>
      <c r="CV107" s="13">
        <v>182.27</v>
      </c>
      <c r="CW107" s="202">
        <v>4766</v>
      </c>
      <c r="CX107" s="200">
        <v>2734</v>
      </c>
      <c r="CY107" s="202"/>
      <c r="CZ107" s="202"/>
      <c r="DA107" s="202"/>
      <c r="DB107" s="202"/>
      <c r="DC107" s="202"/>
      <c r="DD107" s="461"/>
      <c r="DE107" s="256"/>
      <c r="DF107" s="202"/>
      <c r="DG107" s="202"/>
      <c r="DH107" s="202"/>
      <c r="DI107" s="204">
        <v>633</v>
      </c>
      <c r="DJ107" s="202">
        <f>8600-277.42-277.42</f>
        <v>8045.16</v>
      </c>
      <c r="DK107" s="202"/>
      <c r="DL107" s="202"/>
      <c r="DM107" s="202">
        <v>25456</v>
      </c>
      <c r="DN107" s="202">
        <v>3400</v>
      </c>
      <c r="DO107" s="202">
        <v>2</v>
      </c>
      <c r="DP107" s="202"/>
      <c r="DQ107" s="202"/>
      <c r="DR107" s="202"/>
      <c r="DS107" s="202"/>
      <c r="DT107" s="254"/>
      <c r="DU107" s="254"/>
      <c r="DV107" s="202"/>
      <c r="DW107" s="202"/>
      <c r="DX107" s="202">
        <v>30187</v>
      </c>
      <c r="DY107" s="107">
        <v>1365</v>
      </c>
      <c r="DZ107" s="107">
        <v>577</v>
      </c>
      <c r="EA107" s="202"/>
      <c r="EB107" s="202"/>
      <c r="EC107" s="202"/>
      <c r="ED107" s="202"/>
      <c r="EE107" s="202"/>
      <c r="EF107" s="229"/>
      <c r="EG107" s="202"/>
      <c r="EH107" s="202"/>
      <c r="EI107" s="202"/>
      <c r="EJ107" s="202"/>
      <c r="EK107" s="202">
        <v>38783.24</v>
      </c>
      <c r="EL107" s="202">
        <v>0</v>
      </c>
      <c r="EM107" s="202">
        <v>0</v>
      </c>
      <c r="EN107" s="202">
        <v>0</v>
      </c>
      <c r="EO107" s="202">
        <v>38783.24</v>
      </c>
      <c r="EP107" s="202"/>
      <c r="EQ107" s="202">
        <v>0</v>
      </c>
      <c r="ER107" s="202">
        <v>0</v>
      </c>
      <c r="ES107" s="202"/>
      <c r="ET107" s="202"/>
      <c r="EU107" s="202"/>
      <c r="EV107" s="214">
        <v>-21.23</v>
      </c>
      <c r="EW107" s="240">
        <f t="shared" si="73"/>
        <v>11964.33</v>
      </c>
      <c r="EX107" s="209">
        <f t="shared" si="74"/>
        <v>7787.02</v>
      </c>
    </row>
    <row r="108" spans="1:154" ht="12.75" customHeight="1" x14ac:dyDescent="0.2">
      <c r="A108" s="45" t="s">
        <v>169</v>
      </c>
      <c r="B108" s="55" t="s">
        <v>155</v>
      </c>
      <c r="C108" s="56" t="s">
        <v>8</v>
      </c>
      <c r="D108" s="57" t="s">
        <v>449</v>
      </c>
      <c r="E108" s="56" t="s">
        <v>12</v>
      </c>
      <c r="F108" s="11">
        <v>3</v>
      </c>
      <c r="G108" s="11">
        <v>3</v>
      </c>
      <c r="H108" s="11">
        <v>27</v>
      </c>
      <c r="I108" s="11">
        <v>34</v>
      </c>
      <c r="J108" s="11">
        <v>66</v>
      </c>
      <c r="K108" s="11">
        <v>77</v>
      </c>
      <c r="L108" s="11" t="s">
        <v>746</v>
      </c>
      <c r="M108" s="84">
        <v>153.6</v>
      </c>
      <c r="N108" s="84">
        <v>424</v>
      </c>
      <c r="O108" s="84">
        <v>424</v>
      </c>
      <c r="P108" s="135">
        <v>153.6</v>
      </c>
      <c r="Q108" s="135">
        <v>526.5</v>
      </c>
      <c r="R108" s="133">
        <v>526.5</v>
      </c>
      <c r="S108" s="133">
        <f t="shared" si="75"/>
        <v>1206.5999999999999</v>
      </c>
      <c r="T108" s="134">
        <v>153.6</v>
      </c>
      <c r="U108" s="130">
        <v>0.84</v>
      </c>
      <c r="V108" s="91">
        <v>1.1299999999999999E-2</v>
      </c>
      <c r="W108" s="91" t="s">
        <v>823</v>
      </c>
      <c r="X108" s="132" t="s">
        <v>823</v>
      </c>
      <c r="Y108" s="91">
        <v>1.1299999999999999E-2</v>
      </c>
      <c r="Z108" s="29">
        <v>1882.83</v>
      </c>
      <c r="AA108" s="34"/>
      <c r="AB108" s="9">
        <f t="shared" si="83"/>
        <v>1882.83</v>
      </c>
      <c r="AC108" s="9">
        <f t="shared" si="89"/>
        <v>11918.31</v>
      </c>
      <c r="AD108" s="9">
        <v>0.4</v>
      </c>
      <c r="AE108" s="9">
        <v>3.62</v>
      </c>
      <c r="AF108" s="21">
        <f>2.47-AJ108</f>
        <v>2.04</v>
      </c>
      <c r="AG108" s="18">
        <f>0.54-AQ108</f>
        <v>0.45</v>
      </c>
      <c r="AH108" s="9">
        <v>2.17</v>
      </c>
      <c r="AI108" s="13">
        <v>813</v>
      </c>
      <c r="AJ108" s="21">
        <f t="shared" si="48"/>
        <v>0.43</v>
      </c>
      <c r="AK108" s="9">
        <v>0</v>
      </c>
      <c r="AL108" s="9">
        <v>0</v>
      </c>
      <c r="AM108" s="9">
        <v>0.31</v>
      </c>
      <c r="AN108" s="13">
        <v>126.9</v>
      </c>
      <c r="AO108" s="13">
        <v>253.8</v>
      </c>
      <c r="AP108" s="13">
        <f t="shared" si="77"/>
        <v>5.58</v>
      </c>
      <c r="AQ108" s="18">
        <f t="shared" si="49"/>
        <v>0.09</v>
      </c>
      <c r="AR108" s="9">
        <v>0.64</v>
      </c>
      <c r="AS108" s="9">
        <v>0.72</v>
      </c>
      <c r="AT108" s="9">
        <v>7.0000000000000007E-2</v>
      </c>
      <c r="AU108" s="9">
        <v>4.33</v>
      </c>
      <c r="AV108" s="9">
        <v>0.11</v>
      </c>
      <c r="AW108" s="9">
        <f>0.38+0.25+0.98</f>
        <v>1.61</v>
      </c>
      <c r="AX108" s="9">
        <f>1.36+0.52</f>
        <v>1.88</v>
      </c>
      <c r="AY108" s="58">
        <f t="shared" si="78"/>
        <v>18.87</v>
      </c>
      <c r="AZ108" s="59">
        <v>1883.6</v>
      </c>
      <c r="BA108" s="59">
        <v>0</v>
      </c>
      <c r="BB108" s="59">
        <f t="shared" si="84"/>
        <v>1883.6</v>
      </c>
      <c r="BC108" s="59">
        <v>18.87</v>
      </c>
      <c r="BD108" s="13">
        <f t="shared" si="76"/>
        <v>0</v>
      </c>
      <c r="BE108" s="9">
        <f t="shared" si="50"/>
        <v>35529</v>
      </c>
      <c r="BF108" s="9">
        <v>18.87</v>
      </c>
      <c r="BG108" s="10">
        <v>44378</v>
      </c>
      <c r="BH108" s="9">
        <f t="shared" si="51"/>
        <v>753.13</v>
      </c>
      <c r="BI108" s="9">
        <f t="shared" si="52"/>
        <v>6815.84</v>
      </c>
      <c r="BJ108" s="9">
        <f t="shared" si="53"/>
        <v>3840.97</v>
      </c>
      <c r="BK108" s="9">
        <f t="shared" si="54"/>
        <v>847.27</v>
      </c>
      <c r="BL108" s="9">
        <f t="shared" si="55"/>
        <v>4085.74</v>
      </c>
      <c r="BM108" s="9">
        <f t="shared" si="56"/>
        <v>809.62</v>
      </c>
      <c r="BN108" s="9">
        <f t="shared" si="57"/>
        <v>0</v>
      </c>
      <c r="BO108" s="9">
        <f t="shared" si="58"/>
        <v>0</v>
      </c>
      <c r="BP108" s="9">
        <f t="shared" si="59"/>
        <v>583.67999999999995</v>
      </c>
      <c r="BQ108" s="9">
        <f t="shared" si="60"/>
        <v>169.45</v>
      </c>
      <c r="BR108" s="9">
        <f t="shared" si="61"/>
        <v>1205.01</v>
      </c>
      <c r="BS108" s="9">
        <f t="shared" si="62"/>
        <v>1355.64</v>
      </c>
      <c r="BT108" s="9">
        <f t="shared" si="63"/>
        <v>131.80000000000001</v>
      </c>
      <c r="BU108" s="9">
        <f t="shared" si="64"/>
        <v>8152.65</v>
      </c>
      <c r="BV108" s="9">
        <f t="shared" si="65"/>
        <v>207.11</v>
      </c>
      <c r="BW108" s="9">
        <f t="shared" si="66"/>
        <v>3031.36</v>
      </c>
      <c r="BX108" s="9">
        <f t="shared" si="67"/>
        <v>3539.72</v>
      </c>
      <c r="BY108" s="17">
        <f t="shared" si="68"/>
        <v>35528.99</v>
      </c>
      <c r="BZ108" s="17">
        <v>1.65</v>
      </c>
      <c r="CA108" s="17">
        <v>0.02</v>
      </c>
      <c r="CB108" s="173">
        <v>0</v>
      </c>
      <c r="CC108" s="27">
        <v>0.01</v>
      </c>
      <c r="CD108" s="29">
        <v>6.33</v>
      </c>
      <c r="CE108" s="9">
        <v>494.15</v>
      </c>
      <c r="CF108" s="9"/>
      <c r="CG108" s="9">
        <v>10025.9</v>
      </c>
      <c r="CH108" s="9">
        <v>5248.91</v>
      </c>
      <c r="CI108" s="9">
        <f t="shared" ref="CI108:CI114" si="90">IF(CE108&gt;0,CE108/AB108,0)</f>
        <v>0.26</v>
      </c>
      <c r="CJ108" s="9">
        <f t="shared" ref="CJ108:CJ114" si="91">IF(CF108&gt;0,CF108/AB108,0)</f>
        <v>0</v>
      </c>
      <c r="CK108" s="13">
        <f t="shared" ref="CK108:CK114" si="92">IF(CG108&gt;0,CG108/AB108,0)</f>
        <v>5.32</v>
      </c>
      <c r="CL108" s="13">
        <f t="shared" ref="CL108:CL114" si="93">IF(CH108&gt;0,CH108/AB108,0)</f>
        <v>2.79</v>
      </c>
      <c r="CM108" s="13">
        <v>35529.03</v>
      </c>
      <c r="CN108" s="13">
        <v>489.55</v>
      </c>
      <c r="CO108" s="13">
        <v>0</v>
      </c>
      <c r="CP108" s="13">
        <v>7550.17</v>
      </c>
      <c r="CQ108" s="13">
        <v>4933.0200000000004</v>
      </c>
      <c r="CR108" s="13">
        <v>36051.9</v>
      </c>
      <c r="CS108" s="13">
        <v>599.26</v>
      </c>
      <c r="CT108" s="13">
        <v>0</v>
      </c>
      <c r="CU108" s="13">
        <v>8082.15</v>
      </c>
      <c r="CV108" s="13">
        <v>4336.13</v>
      </c>
      <c r="CW108" s="202">
        <v>1640</v>
      </c>
      <c r="CX108" s="200">
        <v>941</v>
      </c>
      <c r="CY108" s="202"/>
      <c r="CZ108" s="202"/>
      <c r="DA108" s="202"/>
      <c r="DB108" s="202"/>
      <c r="DC108" s="202"/>
      <c r="DD108" s="461"/>
      <c r="DE108" s="256"/>
      <c r="DF108" s="204">
        <v>813</v>
      </c>
      <c r="DG108" s="204"/>
      <c r="DH108" s="204"/>
      <c r="DI108" s="204"/>
      <c r="DJ108" s="202"/>
      <c r="DK108" s="202"/>
      <c r="DL108" s="202"/>
      <c r="DM108" s="202"/>
      <c r="DN108" s="202"/>
      <c r="DO108" s="202"/>
      <c r="DP108" s="202">
        <v>7449</v>
      </c>
      <c r="DQ108" s="202">
        <v>1700</v>
      </c>
      <c r="DR108" s="202">
        <v>1</v>
      </c>
      <c r="DS108" s="202"/>
      <c r="DT108" s="254"/>
      <c r="DU108" s="254"/>
      <c r="DV108" s="202"/>
      <c r="DW108" s="202">
        <v>7271</v>
      </c>
      <c r="DX108" s="202"/>
      <c r="DY108" s="107">
        <v>1365</v>
      </c>
      <c r="DZ108" s="107">
        <v>577</v>
      </c>
      <c r="EA108" s="202"/>
      <c r="EB108" s="202"/>
      <c r="EC108" s="202"/>
      <c r="ED108" s="202"/>
      <c r="EE108" s="202"/>
      <c r="EF108" s="229"/>
      <c r="EG108" s="202"/>
      <c r="EH108" s="202"/>
      <c r="EI108" s="202"/>
      <c r="EJ108" s="202"/>
      <c r="EK108" s="202">
        <v>494.15</v>
      </c>
      <c r="EL108" s="202">
        <v>0</v>
      </c>
      <c r="EM108" s="202">
        <v>11323.06</v>
      </c>
      <c r="EN108" s="202">
        <v>5928.01</v>
      </c>
      <c r="EO108" s="202">
        <v>494.15</v>
      </c>
      <c r="EP108" s="202"/>
      <c r="EQ108" s="202">
        <v>11323.06</v>
      </c>
      <c r="ER108" s="202">
        <v>5928.01</v>
      </c>
      <c r="ES108" s="202"/>
      <c r="ET108" s="202"/>
      <c r="EU108" s="202"/>
      <c r="EV108" s="214">
        <v>343.41</v>
      </c>
      <c r="EW108" s="240">
        <f t="shared" si="73"/>
        <v>4118.05</v>
      </c>
      <c r="EX108" s="209">
        <f t="shared" si="74"/>
        <v>2680.25</v>
      </c>
    </row>
    <row r="109" spans="1:154" ht="12.75" customHeight="1" x14ac:dyDescent="0.2">
      <c r="A109" s="45" t="s">
        <v>170</v>
      </c>
      <c r="B109" s="55" t="s">
        <v>155</v>
      </c>
      <c r="C109" s="56" t="s">
        <v>44</v>
      </c>
      <c r="D109" s="57" t="s">
        <v>636</v>
      </c>
      <c r="E109" s="56" t="s">
        <v>12</v>
      </c>
      <c r="F109" s="11">
        <v>3</v>
      </c>
      <c r="G109" s="11">
        <v>3</v>
      </c>
      <c r="H109" s="11">
        <v>27</v>
      </c>
      <c r="I109" s="11">
        <v>36</v>
      </c>
      <c r="J109" s="11">
        <v>83</v>
      </c>
      <c r="K109" s="11">
        <v>94</v>
      </c>
      <c r="L109" s="11" t="s">
        <v>746</v>
      </c>
      <c r="M109" s="84">
        <v>150</v>
      </c>
      <c r="N109" s="84">
        <v>684.7</v>
      </c>
      <c r="O109" s="84">
        <v>684.7</v>
      </c>
      <c r="P109" s="139">
        <v>137.69999999999999</v>
      </c>
      <c r="Q109" s="135">
        <v>588.20000000000005</v>
      </c>
      <c r="R109" s="133">
        <v>653.24</v>
      </c>
      <c r="S109" s="133">
        <f t="shared" si="75"/>
        <v>1379.14</v>
      </c>
      <c r="T109" s="139">
        <v>150</v>
      </c>
      <c r="U109" s="130">
        <v>0.84</v>
      </c>
      <c r="V109" s="91">
        <v>1.1299999999999999E-2</v>
      </c>
      <c r="W109" s="91" t="s">
        <v>823</v>
      </c>
      <c r="X109" s="132" t="s">
        <v>823</v>
      </c>
      <c r="Y109" s="91">
        <v>1.1299999999999999E-2</v>
      </c>
      <c r="Z109" s="29">
        <v>1878.11</v>
      </c>
      <c r="AA109" s="34"/>
      <c r="AB109" s="9">
        <f t="shared" si="83"/>
        <v>1878.11</v>
      </c>
      <c r="AC109" s="9">
        <f t="shared" si="89"/>
        <v>11888.44</v>
      </c>
      <c r="AD109" s="9">
        <v>0.35</v>
      </c>
      <c r="AE109" s="9">
        <v>3.69</v>
      </c>
      <c r="AF109" s="21">
        <f>2.47-AJ109</f>
        <v>1.53</v>
      </c>
      <c r="AG109" s="18">
        <f>0.54-AQ109</f>
        <v>0.45</v>
      </c>
      <c r="AH109" s="9">
        <v>2.17</v>
      </c>
      <c r="AI109" s="13">
        <v>1771</v>
      </c>
      <c r="AJ109" s="21">
        <f t="shared" si="48"/>
        <v>0.94</v>
      </c>
      <c r="AK109" s="9">
        <v>0</v>
      </c>
      <c r="AL109" s="9">
        <v>0</v>
      </c>
      <c r="AM109" s="9">
        <v>0.31</v>
      </c>
      <c r="AN109" s="13">
        <v>126.9</v>
      </c>
      <c r="AO109" s="13">
        <v>253.8</v>
      </c>
      <c r="AP109" s="13">
        <f t="shared" si="77"/>
        <v>5.58</v>
      </c>
      <c r="AQ109" s="18">
        <f t="shared" si="49"/>
        <v>0.09</v>
      </c>
      <c r="AR109" s="9">
        <v>0.64</v>
      </c>
      <c r="AS109" s="9">
        <v>0.73</v>
      </c>
      <c r="AT109" s="9">
        <v>7.0000000000000007E-2</v>
      </c>
      <c r="AU109" s="9">
        <v>4.6399999999999997</v>
      </c>
      <c r="AV109" s="9">
        <v>0.11</v>
      </c>
      <c r="AW109" s="9">
        <f>0.98+0.26+0.41</f>
        <v>1.65</v>
      </c>
      <c r="AX109" s="9">
        <f>1.36+0.56</f>
        <v>1.92</v>
      </c>
      <c r="AY109" s="58">
        <f t="shared" si="78"/>
        <v>19.29</v>
      </c>
      <c r="AZ109" s="59">
        <v>1876.7</v>
      </c>
      <c r="BA109" s="59">
        <v>0</v>
      </c>
      <c r="BB109" s="59">
        <f t="shared" si="84"/>
        <v>1876.7</v>
      </c>
      <c r="BC109" s="59">
        <v>19.29</v>
      </c>
      <c r="BD109" s="13">
        <f t="shared" si="76"/>
        <v>0</v>
      </c>
      <c r="BE109" s="9">
        <f t="shared" si="50"/>
        <v>36228.74</v>
      </c>
      <c r="BF109" s="9">
        <v>19.29</v>
      </c>
      <c r="BG109" s="10">
        <v>44378</v>
      </c>
      <c r="BH109" s="9">
        <f t="shared" si="51"/>
        <v>657.34</v>
      </c>
      <c r="BI109" s="9">
        <f t="shared" si="52"/>
        <v>6930.23</v>
      </c>
      <c r="BJ109" s="9">
        <f t="shared" si="53"/>
        <v>2873.51</v>
      </c>
      <c r="BK109" s="9">
        <f t="shared" si="54"/>
        <v>845.15</v>
      </c>
      <c r="BL109" s="9">
        <f t="shared" si="55"/>
        <v>4075.5</v>
      </c>
      <c r="BM109" s="9">
        <f t="shared" si="56"/>
        <v>1765.42</v>
      </c>
      <c r="BN109" s="9">
        <f t="shared" si="57"/>
        <v>0</v>
      </c>
      <c r="BO109" s="9">
        <f t="shared" si="58"/>
        <v>0</v>
      </c>
      <c r="BP109" s="9">
        <f t="shared" si="59"/>
        <v>582.21</v>
      </c>
      <c r="BQ109" s="9">
        <f t="shared" si="60"/>
        <v>169.03</v>
      </c>
      <c r="BR109" s="9">
        <f t="shared" si="61"/>
        <v>1201.99</v>
      </c>
      <c r="BS109" s="9">
        <f t="shared" si="62"/>
        <v>1371.02</v>
      </c>
      <c r="BT109" s="9">
        <f t="shared" si="63"/>
        <v>131.47</v>
      </c>
      <c r="BU109" s="9">
        <f t="shared" si="64"/>
        <v>8714.43</v>
      </c>
      <c r="BV109" s="9">
        <f t="shared" si="65"/>
        <v>206.59</v>
      </c>
      <c r="BW109" s="9">
        <f t="shared" si="66"/>
        <v>3098.88</v>
      </c>
      <c r="BX109" s="9">
        <f t="shared" si="67"/>
        <v>3605.97</v>
      </c>
      <c r="BY109" s="17">
        <f t="shared" si="68"/>
        <v>36228.74</v>
      </c>
      <c r="BZ109" s="17">
        <v>2.5</v>
      </c>
      <c r="CA109" s="17">
        <v>0.02</v>
      </c>
      <c r="CB109" s="173">
        <v>0</v>
      </c>
      <c r="CC109" s="27">
        <v>0.01</v>
      </c>
      <c r="CD109" s="29">
        <v>6.33</v>
      </c>
      <c r="CE109" s="9">
        <v>1404.15</v>
      </c>
      <c r="CF109" s="9"/>
      <c r="CG109" s="9">
        <v>0</v>
      </c>
      <c r="CH109" s="9">
        <v>0</v>
      </c>
      <c r="CI109" s="9">
        <f t="shared" si="90"/>
        <v>0.75</v>
      </c>
      <c r="CJ109" s="9">
        <f t="shared" si="91"/>
        <v>0</v>
      </c>
      <c r="CK109" s="13">
        <f t="shared" si="92"/>
        <v>0</v>
      </c>
      <c r="CL109" s="13">
        <f t="shared" si="93"/>
        <v>0</v>
      </c>
      <c r="CM109" s="13">
        <v>36226.81</v>
      </c>
      <c r="CN109" s="13">
        <v>3530.41</v>
      </c>
      <c r="CO109" s="13">
        <v>0</v>
      </c>
      <c r="CP109" s="13">
        <v>0</v>
      </c>
      <c r="CQ109" s="13">
        <v>0</v>
      </c>
      <c r="CR109" s="13">
        <v>42146.38</v>
      </c>
      <c r="CS109" s="13">
        <v>6540.35</v>
      </c>
      <c r="CT109" s="13">
        <v>0</v>
      </c>
      <c r="CU109" s="13">
        <v>5.27</v>
      </c>
      <c r="CV109" s="13">
        <v>2.65</v>
      </c>
      <c r="CW109" s="202">
        <v>1636</v>
      </c>
      <c r="CX109" s="200">
        <v>939</v>
      </c>
      <c r="CY109" s="202"/>
      <c r="CZ109" s="202"/>
      <c r="DA109" s="202"/>
      <c r="DB109" s="202"/>
      <c r="DC109" s="202"/>
      <c r="DD109" s="461"/>
      <c r="DE109" s="256"/>
      <c r="DF109" s="204">
        <v>1771</v>
      </c>
      <c r="DG109" s="204"/>
      <c r="DH109" s="204"/>
      <c r="DI109" s="204"/>
      <c r="DJ109" s="202"/>
      <c r="DK109" s="202"/>
      <c r="DL109" s="202"/>
      <c r="DM109" s="202"/>
      <c r="DN109" s="202"/>
      <c r="DO109" s="202"/>
      <c r="DP109" s="202">
        <v>7461</v>
      </c>
      <c r="DQ109" s="202">
        <v>1700</v>
      </c>
      <c r="DR109" s="202">
        <v>1</v>
      </c>
      <c r="DS109" s="202"/>
      <c r="DT109" s="254"/>
      <c r="DU109" s="254"/>
      <c r="DV109" s="202"/>
      <c r="DW109" s="202">
        <v>6448</v>
      </c>
      <c r="DX109" s="202"/>
      <c r="DY109" s="107">
        <v>1365</v>
      </c>
      <c r="DZ109" s="107">
        <v>577</v>
      </c>
      <c r="EA109" s="202"/>
      <c r="EB109" s="202"/>
      <c r="EC109" s="202"/>
      <c r="ED109" s="202"/>
      <c r="EE109" s="202"/>
      <c r="EF109" s="229"/>
      <c r="EG109" s="202"/>
      <c r="EH109" s="202"/>
      <c r="EI109" s="202"/>
      <c r="EJ109" s="202"/>
      <c r="EK109" s="202">
        <v>3536.09</v>
      </c>
      <c r="EL109" s="202">
        <v>0</v>
      </c>
      <c r="EM109" s="202">
        <v>0</v>
      </c>
      <c r="EN109" s="202">
        <v>0</v>
      </c>
      <c r="EO109" s="202">
        <v>3536.09</v>
      </c>
      <c r="EP109" s="202"/>
      <c r="EQ109" s="202">
        <v>0</v>
      </c>
      <c r="ER109" s="202">
        <v>0</v>
      </c>
      <c r="ES109" s="202"/>
      <c r="ET109" s="202"/>
      <c r="EU109" s="202"/>
      <c r="EV109" s="214">
        <v>0.45</v>
      </c>
      <c r="EW109" s="240">
        <f t="shared" si="73"/>
        <v>4107.7299999999996</v>
      </c>
      <c r="EX109" s="209">
        <f t="shared" si="74"/>
        <v>2673.53</v>
      </c>
    </row>
    <row r="110" spans="1:154" ht="12.75" customHeight="1" x14ac:dyDescent="0.2">
      <c r="A110" s="45" t="s">
        <v>171</v>
      </c>
      <c r="B110" s="55" t="s">
        <v>155</v>
      </c>
      <c r="C110" s="56" t="s">
        <v>11</v>
      </c>
      <c r="D110" s="57" t="s">
        <v>434</v>
      </c>
      <c r="E110" s="56" t="s">
        <v>12</v>
      </c>
      <c r="F110" s="11">
        <v>3</v>
      </c>
      <c r="G110" s="11">
        <v>3</v>
      </c>
      <c r="H110" s="11">
        <v>22</v>
      </c>
      <c r="I110" s="11">
        <v>24</v>
      </c>
      <c r="J110" s="11">
        <v>55</v>
      </c>
      <c r="K110" s="11">
        <v>61</v>
      </c>
      <c r="L110" s="11" t="s">
        <v>746</v>
      </c>
      <c r="M110" s="84">
        <v>152.69999999999999</v>
      </c>
      <c r="N110" s="84">
        <v>0</v>
      </c>
      <c r="O110" s="84">
        <v>420</v>
      </c>
      <c r="P110" s="135">
        <f>152.7+2.2</f>
        <v>154.9</v>
      </c>
      <c r="Q110" s="135">
        <v>132.5</v>
      </c>
      <c r="R110" s="133">
        <v>347.2</v>
      </c>
      <c r="S110" s="133">
        <f t="shared" si="75"/>
        <v>634.6</v>
      </c>
      <c r="T110" s="134">
        <v>154.9</v>
      </c>
      <c r="U110" s="130">
        <v>0.84</v>
      </c>
      <c r="V110" s="91">
        <v>1.1299999999999999E-2</v>
      </c>
      <c r="W110" s="91" t="s">
        <v>823</v>
      </c>
      <c r="X110" s="132" t="s">
        <v>823</v>
      </c>
      <c r="Y110" s="91">
        <v>1.1299999999999999E-2</v>
      </c>
      <c r="Z110" s="29">
        <v>1544.62</v>
      </c>
      <c r="AA110" s="34">
        <v>675.6</v>
      </c>
      <c r="AB110" s="9">
        <f t="shared" si="83"/>
        <v>2220.2199999999998</v>
      </c>
      <c r="AC110" s="9">
        <f t="shared" si="89"/>
        <v>14053.99</v>
      </c>
      <c r="AD110" s="9">
        <v>0.31</v>
      </c>
      <c r="AE110" s="9">
        <v>3.69</v>
      </c>
      <c r="AF110" s="21">
        <f>2.43-AJ110</f>
        <v>2.06</v>
      </c>
      <c r="AG110" s="18">
        <f>0.52-AQ110</f>
        <v>0.47</v>
      </c>
      <c r="AH110" s="9">
        <v>2.17</v>
      </c>
      <c r="AI110" s="13">
        <v>827</v>
      </c>
      <c r="AJ110" s="21">
        <f t="shared" si="48"/>
        <v>0.37</v>
      </c>
      <c r="AK110" s="9">
        <v>0</v>
      </c>
      <c r="AL110" s="9">
        <v>0</v>
      </c>
      <c r="AM110" s="9">
        <v>0.26</v>
      </c>
      <c r="AN110" s="13">
        <v>84.6</v>
      </c>
      <c r="AO110" s="13">
        <v>169.2</v>
      </c>
      <c r="AP110" s="13">
        <f t="shared" si="77"/>
        <v>5.58</v>
      </c>
      <c r="AQ110" s="18">
        <f t="shared" si="49"/>
        <v>0.05</v>
      </c>
      <c r="AR110" s="9">
        <v>0.46</v>
      </c>
      <c r="AS110" s="9">
        <v>0.61</v>
      </c>
      <c r="AT110" s="9">
        <v>0</v>
      </c>
      <c r="AU110" s="9">
        <v>4.33</v>
      </c>
      <c r="AV110" s="9">
        <v>0.11</v>
      </c>
      <c r="AW110" s="9">
        <f>0.2+0.94+0.38</f>
        <v>1.52</v>
      </c>
      <c r="AX110" s="9">
        <f>1.29+0.51</f>
        <v>1.8</v>
      </c>
      <c r="AY110" s="58">
        <f t="shared" si="78"/>
        <v>18.21</v>
      </c>
      <c r="AZ110" s="59">
        <v>1548.9</v>
      </c>
      <c r="BA110" s="59">
        <v>675.6</v>
      </c>
      <c r="BB110" s="59">
        <f t="shared" si="84"/>
        <v>2224.5</v>
      </c>
      <c r="BC110" s="59">
        <v>18.21</v>
      </c>
      <c r="BD110" s="13">
        <f t="shared" si="76"/>
        <v>0</v>
      </c>
      <c r="BE110" s="9">
        <f t="shared" si="50"/>
        <v>40430.21</v>
      </c>
      <c r="BF110" s="9">
        <v>18.21</v>
      </c>
      <c r="BG110" s="10">
        <v>44378</v>
      </c>
      <c r="BH110" s="9">
        <f t="shared" si="51"/>
        <v>688.27</v>
      </c>
      <c r="BI110" s="9">
        <f t="shared" si="52"/>
        <v>8192.61</v>
      </c>
      <c r="BJ110" s="9">
        <f t="shared" si="53"/>
        <v>4573.6499999999996</v>
      </c>
      <c r="BK110" s="9">
        <f t="shared" si="54"/>
        <v>1043.5</v>
      </c>
      <c r="BL110" s="9">
        <f t="shared" si="55"/>
        <v>4817.88</v>
      </c>
      <c r="BM110" s="9">
        <f t="shared" si="56"/>
        <v>821.48</v>
      </c>
      <c r="BN110" s="9">
        <f t="shared" si="57"/>
        <v>0</v>
      </c>
      <c r="BO110" s="9">
        <f t="shared" si="58"/>
        <v>0</v>
      </c>
      <c r="BP110" s="9">
        <f t="shared" si="59"/>
        <v>577.26</v>
      </c>
      <c r="BQ110" s="9">
        <f t="shared" si="60"/>
        <v>111.01</v>
      </c>
      <c r="BR110" s="9">
        <f t="shared" si="61"/>
        <v>1021.3</v>
      </c>
      <c r="BS110" s="9">
        <f t="shared" si="62"/>
        <v>1354.33</v>
      </c>
      <c r="BT110" s="9">
        <f t="shared" si="63"/>
        <v>0</v>
      </c>
      <c r="BU110" s="9">
        <f t="shared" si="64"/>
        <v>9613.5499999999993</v>
      </c>
      <c r="BV110" s="9">
        <f t="shared" si="65"/>
        <v>244.22</v>
      </c>
      <c r="BW110" s="9">
        <f t="shared" si="66"/>
        <v>3374.73</v>
      </c>
      <c r="BX110" s="9">
        <f t="shared" si="67"/>
        <v>3996.4</v>
      </c>
      <c r="BY110" s="17">
        <f t="shared" si="68"/>
        <v>40430.19</v>
      </c>
      <c r="BZ110" s="17">
        <v>0.89</v>
      </c>
      <c r="CA110" s="17">
        <v>0.02</v>
      </c>
      <c r="CB110" s="173">
        <v>0</v>
      </c>
      <c r="CC110" s="27">
        <v>0.01</v>
      </c>
      <c r="CD110" s="29">
        <v>6.33</v>
      </c>
      <c r="CE110" s="9">
        <v>491.27</v>
      </c>
      <c r="CF110" s="9"/>
      <c r="CG110" s="9">
        <v>7107.31</v>
      </c>
      <c r="CH110" s="9">
        <v>3706.78</v>
      </c>
      <c r="CI110" s="9">
        <f t="shared" si="90"/>
        <v>0.22</v>
      </c>
      <c r="CJ110" s="9">
        <f t="shared" si="91"/>
        <v>0</v>
      </c>
      <c r="CK110" s="13">
        <f t="shared" si="92"/>
        <v>3.2</v>
      </c>
      <c r="CL110" s="13">
        <f t="shared" si="93"/>
        <v>1.67</v>
      </c>
      <c r="CM110" s="13">
        <v>28127.55</v>
      </c>
      <c r="CN110" s="13">
        <v>339.8</v>
      </c>
      <c r="CO110" s="13">
        <v>0</v>
      </c>
      <c r="CP110" s="13">
        <v>3537.18</v>
      </c>
      <c r="CQ110" s="13">
        <v>1853.54</v>
      </c>
      <c r="CR110" s="13">
        <v>30099</v>
      </c>
      <c r="CS110" s="13">
        <v>293.01</v>
      </c>
      <c r="CT110" s="13">
        <v>0</v>
      </c>
      <c r="CU110" s="13">
        <v>4240.93</v>
      </c>
      <c r="CV110" s="13">
        <v>2220.11</v>
      </c>
      <c r="CW110" s="202">
        <v>1934</v>
      </c>
      <c r="CX110" s="200">
        <v>1110</v>
      </c>
      <c r="CY110" s="202"/>
      <c r="CZ110" s="202"/>
      <c r="DA110" s="202"/>
      <c r="DB110" s="202"/>
      <c r="DC110" s="202"/>
      <c r="DD110" s="461"/>
      <c r="DE110" s="256"/>
      <c r="DF110" s="204">
        <v>827</v>
      </c>
      <c r="DG110" s="204"/>
      <c r="DH110" s="204"/>
      <c r="DI110" s="204"/>
      <c r="DJ110" s="202"/>
      <c r="DK110" s="202"/>
      <c r="DL110" s="202"/>
      <c r="DM110" s="202"/>
      <c r="DN110" s="202"/>
      <c r="DO110" s="202"/>
      <c r="DP110" s="202">
        <v>8609</v>
      </c>
      <c r="DQ110" s="202">
        <v>1700</v>
      </c>
      <c r="DR110" s="202">
        <v>1</v>
      </c>
      <c r="DS110" s="202"/>
      <c r="DT110" s="254"/>
      <c r="DU110" s="254"/>
      <c r="DV110" s="202"/>
      <c r="DW110" s="202">
        <v>8655</v>
      </c>
      <c r="DX110" s="202"/>
      <c r="DY110" s="107">
        <v>1365</v>
      </c>
      <c r="DZ110" s="107">
        <v>577</v>
      </c>
      <c r="EA110" s="202"/>
      <c r="EB110" s="202"/>
      <c r="EC110" s="202"/>
      <c r="ED110" s="202"/>
      <c r="EE110" s="202"/>
      <c r="EF110" s="229"/>
      <c r="EG110" s="202"/>
      <c r="EH110" s="202"/>
      <c r="EI110" s="202"/>
      <c r="EJ110" s="202"/>
      <c r="EK110" s="202">
        <v>491.27</v>
      </c>
      <c r="EL110" s="202">
        <v>0</v>
      </c>
      <c r="EM110" s="202">
        <v>5080.51</v>
      </c>
      <c r="EN110" s="202">
        <v>2659.82</v>
      </c>
      <c r="EO110" s="202">
        <v>491.27</v>
      </c>
      <c r="EP110" s="202"/>
      <c r="EQ110" s="202">
        <v>5080.51</v>
      </c>
      <c r="ER110" s="202">
        <v>2659.82</v>
      </c>
      <c r="ES110" s="202"/>
      <c r="ET110" s="202"/>
      <c r="EU110" s="202"/>
      <c r="EV110" s="214">
        <v>170.4</v>
      </c>
      <c r="EW110" s="240">
        <f t="shared" si="73"/>
        <v>4855.9799999999996</v>
      </c>
      <c r="EX110" s="209">
        <f t="shared" si="74"/>
        <v>3160.53</v>
      </c>
    </row>
    <row r="111" spans="1:154" ht="12.75" customHeight="1" x14ac:dyDescent="0.2">
      <c r="A111" s="45" t="s">
        <v>172</v>
      </c>
      <c r="B111" s="55" t="s">
        <v>155</v>
      </c>
      <c r="C111" s="56" t="s">
        <v>46</v>
      </c>
      <c r="D111" s="57" t="s">
        <v>435</v>
      </c>
      <c r="E111" s="56" t="s">
        <v>12</v>
      </c>
      <c r="F111" s="11">
        <v>3</v>
      </c>
      <c r="G111" s="11">
        <v>3</v>
      </c>
      <c r="H111" s="11">
        <v>22</v>
      </c>
      <c r="I111" s="11">
        <v>32</v>
      </c>
      <c r="J111" s="11">
        <v>50</v>
      </c>
      <c r="K111" s="11">
        <v>76</v>
      </c>
      <c r="L111" s="11" t="s">
        <v>746</v>
      </c>
      <c r="M111" s="84">
        <v>49.6</v>
      </c>
      <c r="N111" s="84">
        <v>420.8</v>
      </c>
      <c r="O111" s="84">
        <v>420</v>
      </c>
      <c r="P111" s="135">
        <v>166.4</v>
      </c>
      <c r="Q111" s="135">
        <v>263.10000000000002</v>
      </c>
      <c r="R111" s="133">
        <v>454</v>
      </c>
      <c r="S111" s="133">
        <f t="shared" si="75"/>
        <v>883.5</v>
      </c>
      <c r="T111" s="134">
        <v>166.4</v>
      </c>
      <c r="U111" s="130">
        <v>0.84</v>
      </c>
      <c r="V111" s="91">
        <v>1.1299999999999999E-2</v>
      </c>
      <c r="W111" s="91" t="s">
        <v>823</v>
      </c>
      <c r="X111" s="132" t="s">
        <v>823</v>
      </c>
      <c r="Y111" s="91">
        <v>1.1299999999999999E-2</v>
      </c>
      <c r="Z111" s="29">
        <v>1601.24</v>
      </c>
      <c r="AA111" s="34">
        <v>519.29999999999995</v>
      </c>
      <c r="AB111" s="9">
        <f t="shared" si="83"/>
        <v>2120.54</v>
      </c>
      <c r="AC111" s="9">
        <f t="shared" si="89"/>
        <v>13423.02</v>
      </c>
      <c r="AD111" s="9">
        <v>0.35</v>
      </c>
      <c r="AE111" s="9">
        <v>3.67</v>
      </c>
      <c r="AF111" s="21">
        <f>2.43-AJ111</f>
        <v>2.04</v>
      </c>
      <c r="AG111" s="18">
        <f>0.52-AQ111</f>
        <v>0.46</v>
      </c>
      <c r="AH111" s="9">
        <v>2.17</v>
      </c>
      <c r="AI111" s="13">
        <v>826</v>
      </c>
      <c r="AJ111" s="21">
        <f t="shared" si="48"/>
        <v>0.39</v>
      </c>
      <c r="AK111" s="9">
        <v>0</v>
      </c>
      <c r="AL111" s="9">
        <v>0</v>
      </c>
      <c r="AM111" s="9">
        <v>0.28000000000000003</v>
      </c>
      <c r="AN111" s="13">
        <v>84.6</v>
      </c>
      <c r="AO111" s="13">
        <v>169.2</v>
      </c>
      <c r="AP111" s="13">
        <f t="shared" si="77"/>
        <v>5.58</v>
      </c>
      <c r="AQ111" s="18">
        <f t="shared" si="49"/>
        <v>0.06</v>
      </c>
      <c r="AR111" s="9">
        <v>0.49</v>
      </c>
      <c r="AS111" s="9">
        <v>0.65</v>
      </c>
      <c r="AT111" s="9">
        <v>7.0000000000000007E-2</v>
      </c>
      <c r="AU111" s="9">
        <v>4.33</v>
      </c>
      <c r="AV111" s="9">
        <v>0.11</v>
      </c>
      <c r="AW111" s="9">
        <f>0.29+0.38+0.95</f>
        <v>1.62</v>
      </c>
      <c r="AX111" s="9">
        <f>1.31+0.51</f>
        <v>1.82</v>
      </c>
      <c r="AY111" s="58">
        <f t="shared" si="78"/>
        <v>18.510000000000002</v>
      </c>
      <c r="AZ111" s="59">
        <v>1574.9</v>
      </c>
      <c r="BA111" s="59">
        <v>519.29999999999995</v>
      </c>
      <c r="BB111" s="59">
        <f t="shared" si="84"/>
        <v>2094.1999999999998</v>
      </c>
      <c r="BC111" s="59">
        <v>18.510000000000002</v>
      </c>
      <c r="BD111" s="13">
        <f t="shared" si="76"/>
        <v>0</v>
      </c>
      <c r="BE111" s="9">
        <f t="shared" si="50"/>
        <v>39251.199999999997</v>
      </c>
      <c r="BF111" s="9">
        <v>18.510000000000002</v>
      </c>
      <c r="BG111" s="10">
        <v>44378</v>
      </c>
      <c r="BH111" s="9">
        <f t="shared" si="51"/>
        <v>742.19</v>
      </c>
      <c r="BI111" s="9">
        <f t="shared" si="52"/>
        <v>7782.38</v>
      </c>
      <c r="BJ111" s="9">
        <f t="shared" si="53"/>
        <v>4325.8999999999996</v>
      </c>
      <c r="BK111" s="9">
        <f t="shared" si="54"/>
        <v>975.45</v>
      </c>
      <c r="BL111" s="9">
        <f t="shared" si="55"/>
        <v>4601.57</v>
      </c>
      <c r="BM111" s="9">
        <f t="shared" si="56"/>
        <v>827.01</v>
      </c>
      <c r="BN111" s="9">
        <f t="shared" si="57"/>
        <v>0</v>
      </c>
      <c r="BO111" s="9">
        <f t="shared" si="58"/>
        <v>0</v>
      </c>
      <c r="BP111" s="9">
        <f t="shared" si="59"/>
        <v>593.75</v>
      </c>
      <c r="BQ111" s="9">
        <f t="shared" si="60"/>
        <v>127.23</v>
      </c>
      <c r="BR111" s="9">
        <f t="shared" si="61"/>
        <v>1039.06</v>
      </c>
      <c r="BS111" s="9">
        <f t="shared" si="62"/>
        <v>1378.35</v>
      </c>
      <c r="BT111" s="9">
        <f t="shared" si="63"/>
        <v>148.44</v>
      </c>
      <c r="BU111" s="9">
        <f t="shared" si="64"/>
        <v>9181.94</v>
      </c>
      <c r="BV111" s="9">
        <f t="shared" si="65"/>
        <v>233.26</v>
      </c>
      <c r="BW111" s="9">
        <f t="shared" si="66"/>
        <v>3435.27</v>
      </c>
      <c r="BX111" s="9">
        <f t="shared" si="67"/>
        <v>3859.38</v>
      </c>
      <c r="BY111" s="17">
        <f t="shared" si="68"/>
        <v>39251.18</v>
      </c>
      <c r="BZ111" s="17">
        <v>1.32</v>
      </c>
      <c r="CA111" s="17">
        <v>0.02</v>
      </c>
      <c r="CB111" s="173">
        <v>0</v>
      </c>
      <c r="CC111" s="27">
        <v>0.01</v>
      </c>
      <c r="CD111" s="29">
        <v>6.33</v>
      </c>
      <c r="CE111" s="9">
        <v>2191.79</v>
      </c>
      <c r="CF111" s="9"/>
      <c r="CG111" s="9">
        <v>729.65</v>
      </c>
      <c r="CH111" s="9">
        <v>382</v>
      </c>
      <c r="CI111" s="9">
        <f t="shared" si="90"/>
        <v>1.03</v>
      </c>
      <c r="CJ111" s="9">
        <f t="shared" si="91"/>
        <v>0</v>
      </c>
      <c r="CK111" s="13">
        <f t="shared" si="92"/>
        <v>0.34</v>
      </c>
      <c r="CL111" s="13">
        <f t="shared" si="93"/>
        <v>0.18</v>
      </c>
      <c r="CM111" s="13">
        <v>29638.959999999999</v>
      </c>
      <c r="CN111" s="13">
        <v>2706.12</v>
      </c>
      <c r="CO111" s="13">
        <v>0</v>
      </c>
      <c r="CP111" s="13">
        <v>1953.52</v>
      </c>
      <c r="CQ111" s="13">
        <v>1024.81</v>
      </c>
      <c r="CR111" s="13">
        <v>31188.82</v>
      </c>
      <c r="CS111" s="13">
        <v>7347.33</v>
      </c>
      <c r="CT111" s="13">
        <v>0</v>
      </c>
      <c r="CU111" s="13">
        <v>1913.02</v>
      </c>
      <c r="CV111" s="13">
        <v>1003.01</v>
      </c>
      <c r="CW111" s="202">
        <v>1847</v>
      </c>
      <c r="CX111" s="200">
        <v>1060</v>
      </c>
      <c r="CY111" s="202"/>
      <c r="CZ111" s="202"/>
      <c r="DA111" s="202"/>
      <c r="DB111" s="202"/>
      <c r="DC111" s="202"/>
      <c r="DD111" s="461"/>
      <c r="DE111" s="256"/>
      <c r="DF111" s="204">
        <v>826</v>
      </c>
      <c r="DG111" s="204"/>
      <c r="DH111" s="204"/>
      <c r="DI111" s="204"/>
      <c r="DJ111" s="202"/>
      <c r="DK111" s="202"/>
      <c r="DL111" s="202"/>
      <c r="DM111" s="202"/>
      <c r="DN111" s="202"/>
      <c r="DO111" s="202"/>
      <c r="DP111" s="202">
        <v>8271</v>
      </c>
      <c r="DQ111" s="202">
        <v>1700</v>
      </c>
      <c r="DR111" s="202">
        <v>1</v>
      </c>
      <c r="DS111" s="202"/>
      <c r="DT111" s="254"/>
      <c r="DU111" s="254"/>
      <c r="DV111" s="202"/>
      <c r="DW111" s="202">
        <v>8112</v>
      </c>
      <c r="DX111" s="202"/>
      <c r="DY111" s="107">
        <v>1365</v>
      </c>
      <c r="DZ111" s="107">
        <v>577</v>
      </c>
      <c r="EA111" s="202"/>
      <c r="EB111" s="202"/>
      <c r="EC111" s="202"/>
      <c r="ED111" s="202"/>
      <c r="EE111" s="202"/>
      <c r="EF111" s="229"/>
      <c r="EG111" s="202"/>
      <c r="EH111" s="202"/>
      <c r="EI111" s="202"/>
      <c r="EJ111" s="202"/>
      <c r="EK111" s="202">
        <v>3588.56</v>
      </c>
      <c r="EL111" s="202">
        <v>0</v>
      </c>
      <c r="EM111" s="202">
        <v>2594.3000000000002</v>
      </c>
      <c r="EN111" s="202">
        <v>1358.21</v>
      </c>
      <c r="EO111" s="202">
        <v>3588.56</v>
      </c>
      <c r="EP111" s="202"/>
      <c r="EQ111" s="202">
        <v>2594.3000000000002</v>
      </c>
      <c r="ER111" s="202">
        <v>1358.21</v>
      </c>
      <c r="ES111" s="202"/>
      <c r="ET111" s="202"/>
      <c r="EU111" s="202"/>
      <c r="EV111" s="214">
        <v>78.27</v>
      </c>
      <c r="EW111" s="240">
        <f t="shared" si="73"/>
        <v>4637.96</v>
      </c>
      <c r="EX111" s="209">
        <f t="shared" si="74"/>
        <v>3018.63</v>
      </c>
    </row>
    <row r="112" spans="1:154" ht="12.75" customHeight="1" x14ac:dyDescent="0.2">
      <c r="A112" s="45" t="s">
        <v>174</v>
      </c>
      <c r="B112" s="55" t="s">
        <v>155</v>
      </c>
      <c r="C112" s="56" t="s">
        <v>67</v>
      </c>
      <c r="D112" s="57" t="s">
        <v>436</v>
      </c>
      <c r="E112" s="56" t="s">
        <v>12</v>
      </c>
      <c r="F112" s="11">
        <v>3</v>
      </c>
      <c r="G112" s="11">
        <v>3</v>
      </c>
      <c r="H112" s="11">
        <v>30</v>
      </c>
      <c r="I112" s="11">
        <v>0</v>
      </c>
      <c r="J112" s="11">
        <v>62</v>
      </c>
      <c r="K112" s="11">
        <v>0</v>
      </c>
      <c r="L112" s="11" t="s">
        <v>746</v>
      </c>
      <c r="M112" s="84">
        <v>54.9</v>
      </c>
      <c r="N112" s="84">
        <v>187.9</v>
      </c>
      <c r="O112" s="84">
        <v>380</v>
      </c>
      <c r="P112" s="135">
        <f>164.7+267.9</f>
        <v>432.6</v>
      </c>
      <c r="Q112" s="135">
        <v>187.9</v>
      </c>
      <c r="R112" s="133">
        <v>187.9</v>
      </c>
      <c r="S112" s="133">
        <f t="shared" si="75"/>
        <v>808.4</v>
      </c>
      <c r="T112" s="134">
        <v>432.6</v>
      </c>
      <c r="U112" s="130">
        <v>0.84</v>
      </c>
      <c r="V112" s="91">
        <v>1.1299999999999999E-2</v>
      </c>
      <c r="W112" s="91" t="s">
        <v>823</v>
      </c>
      <c r="X112" s="132" t="s">
        <v>823</v>
      </c>
      <c r="Y112" s="91">
        <v>1.1299999999999999E-2</v>
      </c>
      <c r="Z112" s="29">
        <v>1785.66</v>
      </c>
      <c r="AA112" s="34">
        <v>159.69999999999999</v>
      </c>
      <c r="AB112" s="9">
        <f t="shared" si="83"/>
        <v>1945.36</v>
      </c>
      <c r="AC112" s="9">
        <f t="shared" si="89"/>
        <v>12314.13</v>
      </c>
      <c r="AD112" s="9">
        <v>0.38</v>
      </c>
      <c r="AE112" s="9">
        <v>3.46</v>
      </c>
      <c r="AF112" s="21">
        <f>2.38-AJ112</f>
        <v>2</v>
      </c>
      <c r="AG112" s="18">
        <f>0.52-AQ112</f>
        <v>0.43</v>
      </c>
      <c r="AH112" s="9">
        <v>2.09</v>
      </c>
      <c r="AI112" s="13">
        <v>737</v>
      </c>
      <c r="AJ112" s="21">
        <f t="shared" si="48"/>
        <v>0.38</v>
      </c>
      <c r="AK112" s="9">
        <v>0</v>
      </c>
      <c r="AL112" s="9">
        <v>0</v>
      </c>
      <c r="AM112" s="9">
        <v>0.3</v>
      </c>
      <c r="AN112" s="13">
        <v>126.9</v>
      </c>
      <c r="AO112" s="13">
        <v>253.8</v>
      </c>
      <c r="AP112" s="13">
        <f t="shared" si="77"/>
        <v>5.58</v>
      </c>
      <c r="AQ112" s="18">
        <f t="shared" si="49"/>
        <v>0.09</v>
      </c>
      <c r="AR112" s="9">
        <v>0.61</v>
      </c>
      <c r="AS112" s="9">
        <v>0.7</v>
      </c>
      <c r="AT112" s="9">
        <v>7.0000000000000007E-2</v>
      </c>
      <c r="AU112" s="9">
        <v>4.33</v>
      </c>
      <c r="AV112" s="9">
        <v>0.11</v>
      </c>
      <c r="AW112" s="9">
        <f>0.27+1.04+0.33</f>
        <v>1.64</v>
      </c>
      <c r="AX112" s="9">
        <f>1.6+0.55</f>
        <v>2.15</v>
      </c>
      <c r="AY112" s="58">
        <f t="shared" si="78"/>
        <v>18.739999999999998</v>
      </c>
      <c r="AZ112" s="59">
        <v>1789.6</v>
      </c>
      <c r="BA112" s="59">
        <v>159.69999999999999</v>
      </c>
      <c r="BB112" s="59">
        <f t="shared" si="84"/>
        <v>1949.3</v>
      </c>
      <c r="BC112" s="59">
        <v>18.739999999999998</v>
      </c>
      <c r="BD112" s="13">
        <f t="shared" si="76"/>
        <v>0</v>
      </c>
      <c r="BE112" s="9">
        <f t="shared" si="50"/>
        <v>36456.050000000003</v>
      </c>
      <c r="BF112" s="9">
        <v>18.739999999999998</v>
      </c>
      <c r="BG112" s="10">
        <v>44378</v>
      </c>
      <c r="BH112" s="9">
        <f t="shared" si="51"/>
        <v>739.24</v>
      </c>
      <c r="BI112" s="9">
        <f t="shared" si="52"/>
        <v>6730.95</v>
      </c>
      <c r="BJ112" s="9">
        <f t="shared" si="53"/>
        <v>3890.72</v>
      </c>
      <c r="BK112" s="9">
        <f t="shared" si="54"/>
        <v>836.5</v>
      </c>
      <c r="BL112" s="9">
        <f t="shared" si="55"/>
        <v>4065.8</v>
      </c>
      <c r="BM112" s="9">
        <f t="shared" si="56"/>
        <v>739.24</v>
      </c>
      <c r="BN112" s="9">
        <f t="shared" si="57"/>
        <v>0</v>
      </c>
      <c r="BO112" s="9">
        <f t="shared" si="58"/>
        <v>0</v>
      </c>
      <c r="BP112" s="9">
        <f t="shared" si="59"/>
        <v>583.61</v>
      </c>
      <c r="BQ112" s="9">
        <f t="shared" si="60"/>
        <v>175.08</v>
      </c>
      <c r="BR112" s="9">
        <f t="shared" si="61"/>
        <v>1186.67</v>
      </c>
      <c r="BS112" s="9">
        <f t="shared" si="62"/>
        <v>1361.75</v>
      </c>
      <c r="BT112" s="9">
        <f t="shared" si="63"/>
        <v>136.18</v>
      </c>
      <c r="BU112" s="9">
        <f t="shared" si="64"/>
        <v>8423.41</v>
      </c>
      <c r="BV112" s="9">
        <f t="shared" si="65"/>
        <v>213.99</v>
      </c>
      <c r="BW112" s="9">
        <f t="shared" si="66"/>
        <v>3190.39</v>
      </c>
      <c r="BX112" s="9">
        <f t="shared" si="67"/>
        <v>4182.5200000000004</v>
      </c>
      <c r="BY112" s="17">
        <f t="shared" si="68"/>
        <v>36456.050000000003</v>
      </c>
      <c r="BZ112" s="17">
        <v>1.34</v>
      </c>
      <c r="CA112" s="17">
        <v>7.0000000000000007E-2</v>
      </c>
      <c r="CB112" s="173">
        <v>0</v>
      </c>
      <c r="CC112" s="27">
        <v>0.04</v>
      </c>
      <c r="CD112" s="29">
        <v>6.33</v>
      </c>
      <c r="CE112" s="9">
        <v>176.64</v>
      </c>
      <c r="CF112" s="9"/>
      <c r="CG112" s="9">
        <v>1675.49</v>
      </c>
      <c r="CH112" s="9">
        <v>877.18</v>
      </c>
      <c r="CI112" s="9">
        <f t="shared" si="90"/>
        <v>0.09</v>
      </c>
      <c r="CJ112" s="9">
        <f t="shared" si="91"/>
        <v>0</v>
      </c>
      <c r="CK112" s="13">
        <f t="shared" si="92"/>
        <v>0.86</v>
      </c>
      <c r="CL112" s="13">
        <f t="shared" si="93"/>
        <v>0.45</v>
      </c>
      <c r="CM112" s="13">
        <v>33463.279999999999</v>
      </c>
      <c r="CN112" s="13">
        <v>160.66</v>
      </c>
      <c r="CO112" s="13">
        <v>0</v>
      </c>
      <c r="CP112" s="13">
        <v>1785.66</v>
      </c>
      <c r="CQ112" s="13">
        <v>928.55</v>
      </c>
      <c r="CR112" s="13">
        <v>38873.550000000003</v>
      </c>
      <c r="CS112" s="13">
        <v>393.89</v>
      </c>
      <c r="CT112" s="13">
        <v>0</v>
      </c>
      <c r="CU112" s="13">
        <v>1753.93</v>
      </c>
      <c r="CV112" s="13">
        <v>916.16</v>
      </c>
      <c r="CW112" s="202">
        <v>1695</v>
      </c>
      <c r="CX112" s="200">
        <v>972</v>
      </c>
      <c r="CY112" s="202"/>
      <c r="CZ112" s="202"/>
      <c r="DA112" s="202"/>
      <c r="DB112" s="202"/>
      <c r="DC112" s="202"/>
      <c r="DD112" s="461"/>
      <c r="DE112" s="256"/>
      <c r="DF112" s="204">
        <v>737</v>
      </c>
      <c r="DG112" s="204"/>
      <c r="DH112" s="204"/>
      <c r="DI112" s="204"/>
      <c r="DJ112" s="202"/>
      <c r="DK112" s="202"/>
      <c r="DL112" s="202"/>
      <c r="DM112" s="202"/>
      <c r="DN112" s="202"/>
      <c r="DO112" s="202"/>
      <c r="DP112" s="202">
        <v>7622</v>
      </c>
      <c r="DQ112" s="202">
        <v>1700</v>
      </c>
      <c r="DR112" s="202">
        <v>1</v>
      </c>
      <c r="DS112" s="202"/>
      <c r="DT112" s="254"/>
      <c r="DU112" s="254"/>
      <c r="DV112" s="202"/>
      <c r="DW112" s="202">
        <v>7613</v>
      </c>
      <c r="DX112" s="202"/>
      <c r="DY112" s="107">
        <v>1365</v>
      </c>
      <c r="DZ112" s="107">
        <v>577</v>
      </c>
      <c r="EA112" s="202"/>
      <c r="EB112" s="202"/>
      <c r="EC112" s="202"/>
      <c r="ED112" s="202"/>
      <c r="EE112" s="202"/>
      <c r="EF112" s="229"/>
      <c r="EG112" s="202"/>
      <c r="EH112" s="202"/>
      <c r="EI112" s="202"/>
      <c r="EJ112" s="202"/>
      <c r="EK112" s="202">
        <v>176.64</v>
      </c>
      <c r="EL112" s="202">
        <v>0</v>
      </c>
      <c r="EM112" s="202">
        <v>1945.73</v>
      </c>
      <c r="EN112" s="202">
        <v>1018.66</v>
      </c>
      <c r="EO112" s="202">
        <v>176.64</v>
      </c>
      <c r="EP112" s="202"/>
      <c r="EQ112" s="202">
        <v>1945.73</v>
      </c>
      <c r="ER112" s="202">
        <v>1018.66</v>
      </c>
      <c r="ES112" s="202"/>
      <c r="ET112" s="202"/>
      <c r="EU112" s="202"/>
      <c r="EV112" s="214">
        <v>82.26</v>
      </c>
      <c r="EW112" s="240">
        <f t="shared" si="73"/>
        <v>4254.8100000000004</v>
      </c>
      <c r="EX112" s="209">
        <f t="shared" si="74"/>
        <v>2769.26</v>
      </c>
    </row>
    <row r="113" spans="1:154" ht="12.75" customHeight="1" x14ac:dyDescent="0.2">
      <c r="A113" s="45" t="s">
        <v>175</v>
      </c>
      <c r="B113" s="55" t="s">
        <v>155</v>
      </c>
      <c r="C113" s="56" t="s">
        <v>15</v>
      </c>
      <c r="D113" s="57" t="s">
        <v>437</v>
      </c>
      <c r="E113" s="56" t="s">
        <v>12</v>
      </c>
      <c r="F113" s="11">
        <v>3</v>
      </c>
      <c r="G113" s="11">
        <v>3</v>
      </c>
      <c r="H113" s="11">
        <v>24</v>
      </c>
      <c r="I113" s="11">
        <v>27</v>
      </c>
      <c r="J113" s="11">
        <v>51</v>
      </c>
      <c r="K113" s="11">
        <v>60</v>
      </c>
      <c r="L113" s="11" t="s">
        <v>746</v>
      </c>
      <c r="M113" s="84">
        <v>33.4</v>
      </c>
      <c r="N113" s="84">
        <v>369.5</v>
      </c>
      <c r="O113" s="84">
        <v>369.5</v>
      </c>
      <c r="P113" s="135">
        <f>112.5+17.7</f>
        <v>130.19999999999999</v>
      </c>
      <c r="Q113" s="135">
        <v>263.3</v>
      </c>
      <c r="R113" s="133">
        <v>407.2</v>
      </c>
      <c r="S113" s="133">
        <f t="shared" si="75"/>
        <v>800.7</v>
      </c>
      <c r="T113" s="134">
        <v>130.19999999999999</v>
      </c>
      <c r="U113" s="130">
        <v>0.84</v>
      </c>
      <c r="V113" s="91">
        <v>1.1299999999999999E-2</v>
      </c>
      <c r="W113" s="91" t="s">
        <v>823</v>
      </c>
      <c r="X113" s="132" t="s">
        <v>823</v>
      </c>
      <c r="Y113" s="91">
        <v>1.1299999999999999E-2</v>
      </c>
      <c r="Z113" s="29">
        <v>1454.09</v>
      </c>
      <c r="AA113" s="34">
        <v>155.30000000000001</v>
      </c>
      <c r="AB113" s="9">
        <f t="shared" si="83"/>
        <v>1609.39</v>
      </c>
      <c r="AC113" s="9">
        <f t="shared" si="89"/>
        <v>10187.44</v>
      </c>
      <c r="AD113" s="9">
        <v>0.4</v>
      </c>
      <c r="AE113" s="9">
        <v>3.52</v>
      </c>
      <c r="AF113" s="21">
        <f>2.48-AJ113</f>
        <v>2.08</v>
      </c>
      <c r="AG113" s="18">
        <f>0.56-AQ113</f>
        <v>0.45</v>
      </c>
      <c r="AH113" s="9">
        <v>2.17</v>
      </c>
      <c r="AI113" s="13">
        <v>639</v>
      </c>
      <c r="AJ113" s="21">
        <f t="shared" si="48"/>
        <v>0.4</v>
      </c>
      <c r="AK113" s="9">
        <v>0</v>
      </c>
      <c r="AL113" s="9">
        <v>0</v>
      </c>
      <c r="AM113" s="9">
        <v>0.36</v>
      </c>
      <c r="AN113" s="13">
        <v>126.9</v>
      </c>
      <c r="AO113" s="13">
        <v>253.8</v>
      </c>
      <c r="AP113" s="13">
        <f t="shared" si="77"/>
        <v>5.58</v>
      </c>
      <c r="AQ113" s="18">
        <f t="shared" si="49"/>
        <v>0.11</v>
      </c>
      <c r="AR113" s="9">
        <v>0.67</v>
      </c>
      <c r="AS113" s="9">
        <v>0.85</v>
      </c>
      <c r="AT113" s="9">
        <v>7.0000000000000007E-2</v>
      </c>
      <c r="AU113" s="9">
        <v>4.3499999999999996</v>
      </c>
      <c r="AV113" s="9">
        <v>0.12</v>
      </c>
      <c r="AW113" s="9">
        <f>0.27+0.38+0.99</f>
        <v>1.64</v>
      </c>
      <c r="AX113" s="9">
        <f>1.38+0.52</f>
        <v>1.9</v>
      </c>
      <c r="AY113" s="58">
        <f t="shared" si="78"/>
        <v>19.09</v>
      </c>
      <c r="AZ113" s="59">
        <v>1445.6</v>
      </c>
      <c r="BA113" s="59">
        <v>155.30000000000001</v>
      </c>
      <c r="BB113" s="59">
        <f t="shared" si="84"/>
        <v>1600.9</v>
      </c>
      <c r="BC113" s="59">
        <v>19.09</v>
      </c>
      <c r="BD113" s="13">
        <f t="shared" si="76"/>
        <v>0</v>
      </c>
      <c r="BE113" s="9">
        <f t="shared" si="50"/>
        <v>30723.26</v>
      </c>
      <c r="BF113" s="9">
        <v>19.09</v>
      </c>
      <c r="BG113" s="10">
        <v>44378</v>
      </c>
      <c r="BH113" s="9">
        <f t="shared" si="51"/>
        <v>643.76</v>
      </c>
      <c r="BI113" s="9">
        <f t="shared" si="52"/>
        <v>5665.05</v>
      </c>
      <c r="BJ113" s="9">
        <f t="shared" si="53"/>
        <v>3347.53</v>
      </c>
      <c r="BK113" s="9">
        <f t="shared" si="54"/>
        <v>724.23</v>
      </c>
      <c r="BL113" s="9">
        <f t="shared" si="55"/>
        <v>3492.38</v>
      </c>
      <c r="BM113" s="9">
        <f t="shared" si="56"/>
        <v>643.76</v>
      </c>
      <c r="BN113" s="9">
        <f t="shared" si="57"/>
        <v>0</v>
      </c>
      <c r="BO113" s="9">
        <f t="shared" si="58"/>
        <v>0</v>
      </c>
      <c r="BP113" s="9">
        <f t="shared" si="59"/>
        <v>579.38</v>
      </c>
      <c r="BQ113" s="9">
        <f t="shared" si="60"/>
        <v>177.03</v>
      </c>
      <c r="BR113" s="9">
        <f t="shared" si="61"/>
        <v>1078.29</v>
      </c>
      <c r="BS113" s="9">
        <f t="shared" si="62"/>
        <v>1367.98</v>
      </c>
      <c r="BT113" s="9">
        <f t="shared" si="63"/>
        <v>112.66</v>
      </c>
      <c r="BU113" s="9">
        <f t="shared" si="64"/>
        <v>7000.85</v>
      </c>
      <c r="BV113" s="9">
        <f t="shared" si="65"/>
        <v>193.13</v>
      </c>
      <c r="BW113" s="9">
        <f t="shared" si="66"/>
        <v>2639.4</v>
      </c>
      <c r="BX113" s="9">
        <f t="shared" si="67"/>
        <v>3057.84</v>
      </c>
      <c r="BY113" s="17">
        <f t="shared" si="68"/>
        <v>30723.27</v>
      </c>
      <c r="BZ113" s="17">
        <v>1.61</v>
      </c>
      <c r="CA113" s="17">
        <v>0.02</v>
      </c>
      <c r="CB113" s="173">
        <v>0</v>
      </c>
      <c r="CC113" s="27">
        <v>0.01</v>
      </c>
      <c r="CD113" s="29">
        <v>6.33</v>
      </c>
      <c r="CE113" s="9">
        <v>107.47</v>
      </c>
      <c r="CF113" s="9"/>
      <c r="CG113" s="9">
        <v>837.74</v>
      </c>
      <c r="CH113" s="9">
        <v>438.59</v>
      </c>
      <c r="CI113" s="9">
        <f t="shared" si="90"/>
        <v>7.0000000000000007E-2</v>
      </c>
      <c r="CJ113" s="9">
        <f t="shared" si="91"/>
        <v>0</v>
      </c>
      <c r="CK113" s="13">
        <f t="shared" si="92"/>
        <v>0.52</v>
      </c>
      <c r="CL113" s="13">
        <f t="shared" si="93"/>
        <v>0.27</v>
      </c>
      <c r="CM113" s="13">
        <v>27770.06</v>
      </c>
      <c r="CN113" s="13">
        <v>102.78</v>
      </c>
      <c r="CO113" s="13">
        <v>0</v>
      </c>
      <c r="CP113" s="13">
        <v>4320.45</v>
      </c>
      <c r="CQ113" s="13">
        <v>2269.31</v>
      </c>
      <c r="CR113" s="13">
        <v>39259.199999999997</v>
      </c>
      <c r="CS113" s="13">
        <v>586.62</v>
      </c>
      <c r="CT113" s="13">
        <v>0</v>
      </c>
      <c r="CU113" s="13">
        <v>3673.84</v>
      </c>
      <c r="CV113" s="13">
        <v>1921.07</v>
      </c>
      <c r="CW113" s="202">
        <v>1402</v>
      </c>
      <c r="CX113" s="200">
        <v>804</v>
      </c>
      <c r="CY113" s="202"/>
      <c r="CZ113" s="202"/>
      <c r="DA113" s="202"/>
      <c r="DB113" s="202"/>
      <c r="DC113" s="202"/>
      <c r="DD113" s="461"/>
      <c r="DE113" s="256"/>
      <c r="DF113" s="204">
        <v>639</v>
      </c>
      <c r="DG113" s="204"/>
      <c r="DH113" s="204"/>
      <c r="DI113" s="204"/>
      <c r="DJ113" s="202"/>
      <c r="DK113" s="202"/>
      <c r="DL113" s="202"/>
      <c r="DM113" s="202"/>
      <c r="DN113" s="202"/>
      <c r="DO113" s="202"/>
      <c r="DP113" s="202">
        <v>6174</v>
      </c>
      <c r="DQ113" s="202">
        <v>3400</v>
      </c>
      <c r="DR113" s="202">
        <v>2</v>
      </c>
      <c r="DS113" s="202"/>
      <c r="DT113" s="254"/>
      <c r="DU113" s="254"/>
      <c r="DV113" s="202"/>
      <c r="DW113" s="202">
        <v>6244</v>
      </c>
      <c r="DX113" s="202"/>
      <c r="DY113" s="107">
        <v>1365</v>
      </c>
      <c r="DZ113" s="107">
        <v>577</v>
      </c>
      <c r="EA113" s="202"/>
      <c r="EB113" s="202"/>
      <c r="EC113" s="202"/>
      <c r="ED113" s="202"/>
      <c r="EE113" s="202"/>
      <c r="EF113" s="229"/>
      <c r="EG113" s="202"/>
      <c r="EH113" s="202"/>
      <c r="EI113" s="202"/>
      <c r="EJ113" s="202"/>
      <c r="EK113" s="202">
        <v>107.47</v>
      </c>
      <c r="EL113" s="202">
        <v>0</v>
      </c>
      <c r="EM113" s="202">
        <v>4783.25</v>
      </c>
      <c r="EN113" s="202">
        <v>2504.1999999999998</v>
      </c>
      <c r="EO113" s="202">
        <v>107.47</v>
      </c>
      <c r="EP113" s="202"/>
      <c r="EQ113" s="202">
        <v>4783.25</v>
      </c>
      <c r="ER113" s="202">
        <v>2504.1999999999998</v>
      </c>
      <c r="ES113" s="202"/>
      <c r="ET113" s="202"/>
      <c r="EU113" s="202"/>
      <c r="EV113" s="214">
        <v>113.68</v>
      </c>
      <c r="EW113" s="240">
        <f t="shared" si="73"/>
        <v>3519.99</v>
      </c>
      <c r="EX113" s="209">
        <f t="shared" si="74"/>
        <v>2291</v>
      </c>
    </row>
    <row r="114" spans="1:154" ht="12.75" customHeight="1" x14ac:dyDescent="0.2">
      <c r="A114" s="45" t="s">
        <v>176</v>
      </c>
      <c r="B114" s="55" t="s">
        <v>155</v>
      </c>
      <c r="C114" s="56" t="s">
        <v>17</v>
      </c>
      <c r="D114" s="57" t="s">
        <v>438</v>
      </c>
      <c r="E114" s="56" t="s">
        <v>12</v>
      </c>
      <c r="F114" s="11">
        <v>3</v>
      </c>
      <c r="G114" s="11">
        <v>3</v>
      </c>
      <c r="H114" s="11">
        <v>24</v>
      </c>
      <c r="I114" s="11">
        <v>28</v>
      </c>
      <c r="J114" s="11">
        <v>53</v>
      </c>
      <c r="K114" s="11">
        <v>77</v>
      </c>
      <c r="L114" s="11" t="s">
        <v>746</v>
      </c>
      <c r="M114" s="84">
        <v>42.3</v>
      </c>
      <c r="N114" s="84">
        <v>123</v>
      </c>
      <c r="O114" s="84">
        <v>412.3</v>
      </c>
      <c r="P114" s="135">
        <v>126.9</v>
      </c>
      <c r="Q114" s="135">
        <v>224.4</v>
      </c>
      <c r="R114" s="133">
        <v>412.3</v>
      </c>
      <c r="S114" s="133">
        <f t="shared" si="75"/>
        <v>763.6</v>
      </c>
      <c r="T114" s="134">
        <v>126.9</v>
      </c>
      <c r="U114" s="130">
        <v>0.84</v>
      </c>
      <c r="V114" s="91">
        <v>1.1299999999999999E-2</v>
      </c>
      <c r="W114" s="91" t="s">
        <v>823</v>
      </c>
      <c r="X114" s="132" t="s">
        <v>823</v>
      </c>
      <c r="Y114" s="91">
        <v>1.1299999999999999E-2</v>
      </c>
      <c r="Z114" s="29">
        <v>1451.04</v>
      </c>
      <c r="AA114" s="34">
        <v>187.9</v>
      </c>
      <c r="AB114" s="9">
        <f t="shared" si="83"/>
        <v>1638.94</v>
      </c>
      <c r="AC114" s="9">
        <f t="shared" si="89"/>
        <v>10374.49</v>
      </c>
      <c r="AD114" s="9">
        <v>0.38</v>
      </c>
      <c r="AE114" s="9">
        <v>4.3</v>
      </c>
      <c r="AF114" s="21">
        <f>2.48-AJ114</f>
        <v>2.1</v>
      </c>
      <c r="AG114" s="18">
        <f>0.55-AQ114</f>
        <v>0.44</v>
      </c>
      <c r="AH114" s="9">
        <v>2.17</v>
      </c>
      <c r="AI114" s="13">
        <v>627</v>
      </c>
      <c r="AJ114" s="21">
        <f t="shared" si="48"/>
        <v>0.38</v>
      </c>
      <c r="AK114" s="9">
        <v>0</v>
      </c>
      <c r="AL114" s="9">
        <v>0</v>
      </c>
      <c r="AM114" s="9">
        <v>0.35</v>
      </c>
      <c r="AN114" s="13">
        <v>126.9</v>
      </c>
      <c r="AO114" s="13">
        <v>253.8</v>
      </c>
      <c r="AP114" s="13">
        <f t="shared" si="77"/>
        <v>5.58</v>
      </c>
      <c r="AQ114" s="18">
        <f t="shared" si="49"/>
        <v>0.11</v>
      </c>
      <c r="AR114" s="9">
        <v>0.66</v>
      </c>
      <c r="AS114" s="9">
        <v>0.83</v>
      </c>
      <c r="AT114" s="9">
        <v>7.0000000000000007E-2</v>
      </c>
      <c r="AU114" s="9">
        <v>3.35</v>
      </c>
      <c r="AV114" s="9">
        <v>0.12</v>
      </c>
      <c r="AW114" s="9">
        <f>0.28+1.06+0.3</f>
        <v>1.64</v>
      </c>
      <c r="AX114" s="9">
        <f>1.47+0.39</f>
        <v>1.86</v>
      </c>
      <c r="AY114" s="58">
        <f t="shared" si="78"/>
        <v>18.760000000000002</v>
      </c>
      <c r="AZ114" s="59">
        <v>1448.8</v>
      </c>
      <c r="BA114" s="59">
        <v>187.9</v>
      </c>
      <c r="BB114" s="59">
        <f t="shared" si="84"/>
        <v>1636.7</v>
      </c>
      <c r="BC114" s="59">
        <v>18.760000000000002</v>
      </c>
      <c r="BD114" s="13">
        <f t="shared" si="76"/>
        <v>0</v>
      </c>
      <c r="BE114" s="9">
        <f t="shared" si="50"/>
        <v>30746.51</v>
      </c>
      <c r="BF114" s="9">
        <v>18.760000000000002</v>
      </c>
      <c r="BG114" s="10">
        <v>44378</v>
      </c>
      <c r="BH114" s="9">
        <f t="shared" si="51"/>
        <v>622.79999999999995</v>
      </c>
      <c r="BI114" s="9">
        <f t="shared" si="52"/>
        <v>7047.44</v>
      </c>
      <c r="BJ114" s="9">
        <f t="shared" si="53"/>
        <v>3441.77</v>
      </c>
      <c r="BK114" s="9">
        <f t="shared" si="54"/>
        <v>721.13</v>
      </c>
      <c r="BL114" s="9">
        <f t="shared" si="55"/>
        <v>3556.5</v>
      </c>
      <c r="BM114" s="9">
        <f t="shared" si="56"/>
        <v>622.79999999999995</v>
      </c>
      <c r="BN114" s="9">
        <f t="shared" si="57"/>
        <v>0</v>
      </c>
      <c r="BO114" s="9">
        <f t="shared" si="58"/>
        <v>0</v>
      </c>
      <c r="BP114" s="9">
        <f t="shared" si="59"/>
        <v>573.63</v>
      </c>
      <c r="BQ114" s="9">
        <f t="shared" si="60"/>
        <v>180.28</v>
      </c>
      <c r="BR114" s="9">
        <f t="shared" si="61"/>
        <v>1081.7</v>
      </c>
      <c r="BS114" s="9">
        <f t="shared" si="62"/>
        <v>1360.32</v>
      </c>
      <c r="BT114" s="9">
        <f t="shared" si="63"/>
        <v>114.73</v>
      </c>
      <c r="BU114" s="9">
        <f t="shared" si="64"/>
        <v>5490.45</v>
      </c>
      <c r="BV114" s="9">
        <f t="shared" si="65"/>
        <v>196.67</v>
      </c>
      <c r="BW114" s="9">
        <f t="shared" si="66"/>
        <v>2687.86</v>
      </c>
      <c r="BX114" s="9">
        <f t="shared" si="67"/>
        <v>3048.43</v>
      </c>
      <c r="BY114" s="17">
        <f t="shared" si="68"/>
        <v>30746.51</v>
      </c>
      <c r="BZ114" s="17">
        <v>1.5</v>
      </c>
      <c r="CA114" s="17">
        <v>0.02</v>
      </c>
      <c r="CB114" s="173">
        <v>0</v>
      </c>
      <c r="CC114" s="27">
        <v>0.01</v>
      </c>
      <c r="CD114" s="29">
        <v>6.33</v>
      </c>
      <c r="CE114" s="9">
        <v>136.08000000000001</v>
      </c>
      <c r="CF114" s="9"/>
      <c r="CG114" s="9">
        <v>2459.1799999999998</v>
      </c>
      <c r="CH114" s="9">
        <v>1287.47</v>
      </c>
      <c r="CI114" s="9">
        <f t="shared" si="90"/>
        <v>0.08</v>
      </c>
      <c r="CJ114" s="9">
        <f t="shared" si="91"/>
        <v>0</v>
      </c>
      <c r="CK114" s="13">
        <f t="shared" si="92"/>
        <v>1.5</v>
      </c>
      <c r="CL114" s="13">
        <f t="shared" si="93"/>
        <v>0.79</v>
      </c>
      <c r="CM114" s="13">
        <v>26884.22</v>
      </c>
      <c r="CN114" s="13">
        <v>116.09</v>
      </c>
      <c r="CO114" s="13">
        <v>0</v>
      </c>
      <c r="CP114" s="13">
        <v>3940.98</v>
      </c>
      <c r="CQ114" s="13">
        <v>2063.6</v>
      </c>
      <c r="CR114" s="13">
        <v>18599.689999999999</v>
      </c>
      <c r="CS114" s="13">
        <v>232.26</v>
      </c>
      <c r="CT114" s="13">
        <v>0</v>
      </c>
      <c r="CU114" s="13">
        <v>2299.14</v>
      </c>
      <c r="CV114" s="13">
        <v>1202.0999999999999</v>
      </c>
      <c r="CW114" s="202">
        <v>1412</v>
      </c>
      <c r="CX114" s="200">
        <v>810</v>
      </c>
      <c r="CY114" s="202"/>
      <c r="CZ114" s="202"/>
      <c r="DA114" s="202"/>
      <c r="DB114" s="202"/>
      <c r="DC114" s="202"/>
      <c r="DD114" s="461"/>
      <c r="DE114" s="256"/>
      <c r="DF114" s="204">
        <v>627</v>
      </c>
      <c r="DG114" s="204"/>
      <c r="DH114" s="204"/>
      <c r="DI114" s="204"/>
      <c r="DJ114" s="202"/>
      <c r="DK114" s="202"/>
      <c r="DL114" s="202"/>
      <c r="DM114" s="202"/>
      <c r="DN114" s="202"/>
      <c r="DO114" s="202"/>
      <c r="DP114" s="202">
        <v>7515</v>
      </c>
      <c r="DQ114" s="202">
        <v>2550</v>
      </c>
      <c r="DR114" s="202">
        <v>1.5</v>
      </c>
      <c r="DS114" s="202"/>
      <c r="DT114" s="254"/>
      <c r="DU114" s="254"/>
      <c r="DV114" s="202"/>
      <c r="DW114" s="202">
        <v>6398</v>
      </c>
      <c r="DX114" s="202"/>
      <c r="DY114" s="107">
        <v>1365</v>
      </c>
      <c r="DZ114" s="107">
        <v>577</v>
      </c>
      <c r="EA114" s="202"/>
      <c r="EB114" s="202"/>
      <c r="EC114" s="202"/>
      <c r="ED114" s="202"/>
      <c r="EE114" s="202"/>
      <c r="EF114" s="229"/>
      <c r="EG114" s="202"/>
      <c r="EH114" s="202"/>
      <c r="EI114" s="202"/>
      <c r="EJ114" s="202"/>
      <c r="EK114" s="202">
        <v>136.08000000000001</v>
      </c>
      <c r="EL114" s="202">
        <v>0</v>
      </c>
      <c r="EM114" s="202">
        <v>4513.01</v>
      </c>
      <c r="EN114" s="202">
        <v>2362.7199999999998</v>
      </c>
      <c r="EO114" s="202">
        <v>136.08000000000001</v>
      </c>
      <c r="EP114" s="202"/>
      <c r="EQ114" s="202">
        <v>4513.01</v>
      </c>
      <c r="ER114" s="202">
        <v>2362.7199999999998</v>
      </c>
      <c r="ES114" s="202"/>
      <c r="ET114" s="202"/>
      <c r="EU114" s="202"/>
      <c r="EV114" s="214">
        <v>129.71</v>
      </c>
      <c r="EW114" s="240">
        <f t="shared" si="73"/>
        <v>3584.62</v>
      </c>
      <c r="EX114" s="209">
        <f t="shared" si="74"/>
        <v>2333.06</v>
      </c>
    </row>
    <row r="115" spans="1:154" ht="12.75" customHeight="1" x14ac:dyDescent="0.2">
      <c r="A115" s="45" t="s">
        <v>177</v>
      </c>
      <c r="B115" s="48" t="s">
        <v>155</v>
      </c>
      <c r="C115" s="49" t="s">
        <v>21</v>
      </c>
      <c r="D115" s="48" t="s">
        <v>635</v>
      </c>
      <c r="E115" s="49" t="s">
        <v>9</v>
      </c>
      <c r="F115" s="11">
        <v>9</v>
      </c>
      <c r="G115" s="11">
        <v>1</v>
      </c>
      <c r="H115" s="11">
        <v>143</v>
      </c>
      <c r="I115" s="11">
        <v>143</v>
      </c>
      <c r="J115" s="11">
        <v>204</v>
      </c>
      <c r="K115" s="11">
        <v>194</v>
      </c>
      <c r="L115" s="11">
        <v>1</v>
      </c>
      <c r="M115" s="84">
        <v>695.7</v>
      </c>
      <c r="N115" s="84">
        <v>849.3</v>
      </c>
      <c r="O115" s="84">
        <v>849.3</v>
      </c>
      <c r="P115" s="139">
        <v>695.7</v>
      </c>
      <c r="Q115" s="139">
        <v>849.3</v>
      </c>
      <c r="R115" s="139">
        <v>849.3</v>
      </c>
      <c r="S115" s="133">
        <f t="shared" si="75"/>
        <v>2394.3000000000002</v>
      </c>
      <c r="T115" s="139">
        <v>845</v>
      </c>
      <c r="U115" s="130">
        <v>2.44</v>
      </c>
      <c r="V115" s="91">
        <v>1.9800000000000002E-2</v>
      </c>
      <c r="W115" s="91">
        <v>1.9800000000000002E-2</v>
      </c>
      <c r="X115" s="132">
        <v>1.32E-3</v>
      </c>
      <c r="Y115" s="91">
        <v>3.9699999999999999E-2</v>
      </c>
      <c r="Z115" s="29">
        <v>4947.3</v>
      </c>
      <c r="AA115" s="34"/>
      <c r="AB115" s="9">
        <f t="shared" si="83"/>
        <v>4947.3</v>
      </c>
      <c r="AC115" s="9">
        <f t="shared" si="89"/>
        <v>31316.41</v>
      </c>
      <c r="AD115" s="9">
        <v>2.2400000000000002</v>
      </c>
      <c r="AE115" s="9">
        <v>2.95</v>
      </c>
      <c r="AF115" s="21">
        <f>2.42-AJ115</f>
        <v>2.2599999999999998</v>
      </c>
      <c r="AG115" s="18">
        <f>0.63-AQ115</f>
        <v>0.55000000000000004</v>
      </c>
      <c r="AH115" s="9">
        <v>2.4700000000000002</v>
      </c>
      <c r="AI115" s="13">
        <v>815</v>
      </c>
      <c r="AJ115" s="21">
        <f t="shared" si="48"/>
        <v>0.16</v>
      </c>
      <c r="AK115" s="9">
        <v>0.88</v>
      </c>
      <c r="AL115" s="9">
        <v>0.24</v>
      </c>
      <c r="AM115" s="9">
        <v>0.12</v>
      </c>
      <c r="AN115" s="13"/>
      <c r="AO115" s="13">
        <v>854.4</v>
      </c>
      <c r="AP115" s="13">
        <f t="shared" si="77"/>
        <v>5.58</v>
      </c>
      <c r="AQ115" s="18">
        <f t="shared" si="49"/>
        <v>0.08</v>
      </c>
      <c r="AR115" s="9">
        <v>0.88</v>
      </c>
      <c r="AS115" s="9">
        <v>0.28000000000000003</v>
      </c>
      <c r="AT115" s="9">
        <v>7.0000000000000007E-2</v>
      </c>
      <c r="AU115" s="9">
        <v>5.08</v>
      </c>
      <c r="AV115" s="9">
        <v>0.14000000000000001</v>
      </c>
      <c r="AW115" s="9">
        <f>0.4+1.18+0.44</f>
        <v>2.02</v>
      </c>
      <c r="AX115" s="9">
        <f>1.65+0.6</f>
        <v>2.25</v>
      </c>
      <c r="AY115" s="46">
        <f t="shared" si="78"/>
        <v>22.67</v>
      </c>
      <c r="AZ115" s="47"/>
      <c r="BA115" s="47"/>
      <c r="BB115" s="47"/>
      <c r="BC115" s="47">
        <v>22.67</v>
      </c>
      <c r="BD115" s="13">
        <f t="shared" si="76"/>
        <v>0</v>
      </c>
      <c r="BE115" s="9">
        <f t="shared" si="50"/>
        <v>112155.29</v>
      </c>
      <c r="BF115" s="9">
        <v>22.67</v>
      </c>
      <c r="BG115" s="10">
        <v>44440</v>
      </c>
      <c r="BH115" s="9">
        <f t="shared" si="51"/>
        <v>11081.95</v>
      </c>
      <c r="BI115" s="9">
        <f t="shared" si="52"/>
        <v>14594.54</v>
      </c>
      <c r="BJ115" s="9">
        <f t="shared" si="53"/>
        <v>11180.9</v>
      </c>
      <c r="BK115" s="9">
        <f t="shared" si="54"/>
        <v>2721.02</v>
      </c>
      <c r="BL115" s="9">
        <f t="shared" si="55"/>
        <v>12219.83</v>
      </c>
      <c r="BM115" s="9">
        <f t="shared" si="56"/>
        <v>791.57</v>
      </c>
      <c r="BN115" s="9">
        <f t="shared" si="57"/>
        <v>4353.62</v>
      </c>
      <c r="BO115" s="9">
        <f t="shared" si="58"/>
        <v>1187.3499999999999</v>
      </c>
      <c r="BP115" s="9">
        <f t="shared" si="59"/>
        <v>593.67999999999995</v>
      </c>
      <c r="BQ115" s="9">
        <f t="shared" si="60"/>
        <v>395.78</v>
      </c>
      <c r="BR115" s="9">
        <f t="shared" si="61"/>
        <v>4353.62</v>
      </c>
      <c r="BS115" s="9">
        <f t="shared" si="62"/>
        <v>1385.24</v>
      </c>
      <c r="BT115" s="9">
        <f t="shared" si="63"/>
        <v>346.31</v>
      </c>
      <c r="BU115" s="9">
        <f t="shared" si="64"/>
        <v>25132.28</v>
      </c>
      <c r="BV115" s="9">
        <f t="shared" si="65"/>
        <v>692.62</v>
      </c>
      <c r="BW115" s="9">
        <f t="shared" si="66"/>
        <v>9993.5499999999993</v>
      </c>
      <c r="BX115" s="9">
        <f t="shared" si="67"/>
        <v>11131.43</v>
      </c>
      <c r="BY115" s="17">
        <f t="shared" si="68"/>
        <v>112155.29</v>
      </c>
      <c r="BZ115" s="17">
        <v>3.96</v>
      </c>
      <c r="CA115" s="17">
        <v>0.09</v>
      </c>
      <c r="CB115" s="17">
        <v>0.64</v>
      </c>
      <c r="CC115" s="27">
        <v>0.1</v>
      </c>
      <c r="CD115" s="29">
        <v>6.33</v>
      </c>
      <c r="CE115" s="9"/>
      <c r="CF115" s="9"/>
      <c r="CG115" s="9"/>
      <c r="CH115" s="9"/>
      <c r="CI115" s="9"/>
      <c r="CJ115" s="9"/>
      <c r="CK115" s="13"/>
      <c r="CL115" s="13"/>
      <c r="CM115" s="13">
        <v>112180.35</v>
      </c>
      <c r="CN115" s="13">
        <v>14300.8</v>
      </c>
      <c r="CO115" s="13">
        <v>0</v>
      </c>
      <c r="CP115" s="13">
        <v>247.05</v>
      </c>
      <c r="CQ115" s="13">
        <v>395.95</v>
      </c>
      <c r="CR115" s="13">
        <v>105012.74</v>
      </c>
      <c r="CS115" s="13">
        <v>20376.28</v>
      </c>
      <c r="CT115" s="13">
        <v>676.49</v>
      </c>
      <c r="CU115" s="13">
        <v>301.98</v>
      </c>
      <c r="CV115" s="13">
        <v>399.15</v>
      </c>
      <c r="CW115" s="202">
        <v>4309</v>
      </c>
      <c r="CX115" s="200">
        <v>2472</v>
      </c>
      <c r="CY115" s="202"/>
      <c r="CZ115" s="202"/>
      <c r="DA115" s="202"/>
      <c r="DB115" s="202"/>
      <c r="DC115" s="202"/>
      <c r="DD115" s="461"/>
      <c r="DE115" s="256"/>
      <c r="DF115" s="204">
        <v>815</v>
      </c>
      <c r="DG115" s="204"/>
      <c r="DH115" s="204"/>
      <c r="DI115" s="204"/>
      <c r="DJ115" s="202"/>
      <c r="DK115" s="202">
        <v>4300</v>
      </c>
      <c r="DL115" s="202"/>
      <c r="DM115" s="202"/>
      <c r="DN115" s="202"/>
      <c r="DO115" s="202"/>
      <c r="DP115" s="202">
        <v>25013</v>
      </c>
      <c r="DQ115" s="202">
        <v>2550</v>
      </c>
      <c r="DR115" s="202">
        <v>1.5</v>
      </c>
      <c r="DS115" s="202"/>
      <c r="DT115" s="254"/>
      <c r="DU115" s="254"/>
      <c r="DV115" s="202"/>
      <c r="DW115" s="202">
        <v>21493</v>
      </c>
      <c r="DX115" s="202"/>
      <c r="DY115" s="107">
        <v>1365</v>
      </c>
      <c r="DZ115" s="107"/>
      <c r="EA115" s="202"/>
      <c r="EB115" s="202"/>
      <c r="EC115" s="202"/>
      <c r="ED115" s="202"/>
      <c r="EE115" s="202"/>
      <c r="EF115" s="229"/>
      <c r="EG115" s="202"/>
      <c r="EH115" s="202"/>
      <c r="EI115" s="202"/>
      <c r="EJ115" s="202"/>
      <c r="EK115" s="202">
        <v>14317.23</v>
      </c>
      <c r="EL115" s="202">
        <v>0</v>
      </c>
      <c r="EM115" s="202">
        <v>270.24</v>
      </c>
      <c r="EN115" s="202">
        <v>378.19</v>
      </c>
      <c r="EO115" s="202">
        <v>14317.23</v>
      </c>
      <c r="EP115" s="202"/>
      <c r="EQ115" s="202">
        <v>270.24</v>
      </c>
      <c r="ER115" s="202">
        <v>378.19</v>
      </c>
      <c r="ES115" s="202"/>
      <c r="ET115" s="202"/>
      <c r="EU115" s="202"/>
      <c r="EV115" s="214">
        <v>-14.67</v>
      </c>
      <c r="EW115" s="240">
        <f t="shared" si="73"/>
        <v>10820.54</v>
      </c>
      <c r="EX115" s="209">
        <f t="shared" si="74"/>
        <v>7042.58</v>
      </c>
    </row>
    <row r="116" spans="1:154" ht="12.75" customHeight="1" x14ac:dyDescent="0.2">
      <c r="A116" s="45" t="s">
        <v>178</v>
      </c>
      <c r="B116" s="55" t="s">
        <v>155</v>
      </c>
      <c r="C116" s="56" t="s">
        <v>23</v>
      </c>
      <c r="D116" s="57" t="s">
        <v>439</v>
      </c>
      <c r="E116" s="56" t="s">
        <v>12</v>
      </c>
      <c r="F116" s="11">
        <v>3</v>
      </c>
      <c r="G116" s="11">
        <v>3</v>
      </c>
      <c r="H116" s="11">
        <v>20</v>
      </c>
      <c r="I116" s="11">
        <v>22</v>
      </c>
      <c r="J116" s="11">
        <v>45</v>
      </c>
      <c r="K116" s="11">
        <v>51</v>
      </c>
      <c r="L116" s="11" t="s">
        <v>746</v>
      </c>
      <c r="M116" s="84">
        <v>43.6</v>
      </c>
      <c r="N116" s="84">
        <v>454.4</v>
      </c>
      <c r="O116" s="84">
        <v>454.4</v>
      </c>
      <c r="P116" s="135">
        <v>130.80000000000001</v>
      </c>
      <c r="Q116" s="135">
        <v>250.9</v>
      </c>
      <c r="R116" s="133">
        <v>454.4</v>
      </c>
      <c r="S116" s="133">
        <f t="shared" si="75"/>
        <v>836.1</v>
      </c>
      <c r="T116" s="134">
        <v>130.80000000000001</v>
      </c>
      <c r="U116" s="130">
        <v>0.84</v>
      </c>
      <c r="V116" s="91">
        <v>1.1299999999999999E-2</v>
      </c>
      <c r="W116" s="91" t="s">
        <v>823</v>
      </c>
      <c r="X116" s="132" t="s">
        <v>823</v>
      </c>
      <c r="Y116" s="91">
        <v>1.1299999999999999E-2</v>
      </c>
      <c r="Z116" s="29">
        <v>1079.25</v>
      </c>
      <c r="AA116" s="34">
        <v>447.5</v>
      </c>
      <c r="AB116" s="9">
        <f t="shared" si="83"/>
        <v>1526.75</v>
      </c>
      <c r="AC116" s="9">
        <f t="shared" si="89"/>
        <v>9664.33</v>
      </c>
      <c r="AD116" s="9">
        <v>0.37</v>
      </c>
      <c r="AE116" s="9">
        <v>3.1</v>
      </c>
      <c r="AF116" s="21">
        <f>2.43-AJ116</f>
        <v>2.0299999999999998</v>
      </c>
      <c r="AG116" s="18">
        <f>0.56-AQ116</f>
        <v>0.48</v>
      </c>
      <c r="AH116" s="9">
        <v>2.17</v>
      </c>
      <c r="AI116" s="13">
        <v>614</v>
      </c>
      <c r="AJ116" s="21">
        <f t="shared" si="48"/>
        <v>0.4</v>
      </c>
      <c r="AK116" s="9">
        <v>0</v>
      </c>
      <c r="AL116" s="9">
        <v>0</v>
      </c>
      <c r="AM116" s="9">
        <v>0.38</v>
      </c>
      <c r="AN116" s="13">
        <v>84.6</v>
      </c>
      <c r="AO116" s="13">
        <v>169.2</v>
      </c>
      <c r="AP116" s="13">
        <f t="shared" si="77"/>
        <v>5.58</v>
      </c>
      <c r="AQ116" s="18">
        <f t="shared" si="49"/>
        <v>0.08</v>
      </c>
      <c r="AR116" s="9">
        <v>1.08</v>
      </c>
      <c r="AS116" s="9">
        <v>0.9</v>
      </c>
      <c r="AT116" s="9">
        <v>7.0000000000000007E-2</v>
      </c>
      <c r="AU116" s="9">
        <v>4.62</v>
      </c>
      <c r="AV116" s="9">
        <v>0.12</v>
      </c>
      <c r="AW116" s="9">
        <f>0.29+0.41+0.99</f>
        <v>1.69</v>
      </c>
      <c r="AX116" s="9">
        <f>1.4+0.55</f>
        <v>1.95</v>
      </c>
      <c r="AY116" s="58">
        <f t="shared" si="78"/>
        <v>19.440000000000001</v>
      </c>
      <c r="AZ116" s="59">
        <v>1072.5999999999999</v>
      </c>
      <c r="BA116" s="59">
        <v>447.5</v>
      </c>
      <c r="BB116" s="59">
        <f t="shared" si="84"/>
        <v>1520.1</v>
      </c>
      <c r="BC116" s="59">
        <v>19.440000000000001</v>
      </c>
      <c r="BD116" s="13">
        <f t="shared" si="76"/>
        <v>0</v>
      </c>
      <c r="BE116" s="9">
        <f t="shared" si="50"/>
        <v>29680.02</v>
      </c>
      <c r="BF116" s="9">
        <v>19.440000000000001</v>
      </c>
      <c r="BG116" s="10">
        <v>44378</v>
      </c>
      <c r="BH116" s="9">
        <f t="shared" si="51"/>
        <v>564.9</v>
      </c>
      <c r="BI116" s="9">
        <f t="shared" si="52"/>
        <v>4732.93</v>
      </c>
      <c r="BJ116" s="9">
        <f t="shared" si="53"/>
        <v>3099.3</v>
      </c>
      <c r="BK116" s="9">
        <f t="shared" si="54"/>
        <v>732.84</v>
      </c>
      <c r="BL116" s="9">
        <f t="shared" si="55"/>
        <v>3313.05</v>
      </c>
      <c r="BM116" s="9">
        <f t="shared" si="56"/>
        <v>610.70000000000005</v>
      </c>
      <c r="BN116" s="9">
        <f t="shared" si="57"/>
        <v>0</v>
      </c>
      <c r="BO116" s="9">
        <f t="shared" si="58"/>
        <v>0</v>
      </c>
      <c r="BP116" s="9">
        <f t="shared" si="59"/>
        <v>580.16999999999996</v>
      </c>
      <c r="BQ116" s="9">
        <f t="shared" si="60"/>
        <v>122.14</v>
      </c>
      <c r="BR116" s="9">
        <f t="shared" si="61"/>
        <v>1648.89</v>
      </c>
      <c r="BS116" s="9">
        <f t="shared" si="62"/>
        <v>1374.08</v>
      </c>
      <c r="BT116" s="9">
        <f t="shared" si="63"/>
        <v>106.87</v>
      </c>
      <c r="BU116" s="9">
        <f t="shared" si="64"/>
        <v>7053.59</v>
      </c>
      <c r="BV116" s="9">
        <f t="shared" si="65"/>
        <v>183.21</v>
      </c>
      <c r="BW116" s="9">
        <f t="shared" si="66"/>
        <v>2580.21</v>
      </c>
      <c r="BX116" s="9">
        <f t="shared" si="67"/>
        <v>2977.16</v>
      </c>
      <c r="BY116" s="17">
        <f t="shared" si="68"/>
        <v>29680.04</v>
      </c>
      <c r="BZ116" s="17">
        <v>1.73</v>
      </c>
      <c r="CA116" s="17">
        <v>0.03</v>
      </c>
      <c r="CB116" s="173">
        <v>0</v>
      </c>
      <c r="CC116" s="27">
        <v>0.01</v>
      </c>
      <c r="CD116" s="29">
        <v>6.33</v>
      </c>
      <c r="CE116" s="9">
        <v>3192.38</v>
      </c>
      <c r="CF116" s="9"/>
      <c r="CG116" s="9">
        <v>2648.35</v>
      </c>
      <c r="CH116" s="9">
        <v>1386.5</v>
      </c>
      <c r="CI116" s="9">
        <f t="shared" ref="CI116:CI132" si="94">IF(CE116&gt;0,CE116/AB116,0)</f>
        <v>2.09</v>
      </c>
      <c r="CJ116" s="9">
        <f t="shared" ref="CJ116:CJ136" si="95">IF(CF116&gt;0,CF116/AB116,0)</f>
        <v>0</v>
      </c>
      <c r="CK116" s="13">
        <f t="shared" ref="CK116:CK136" si="96">IF(CG116&gt;0,CG116/AB116,0)</f>
        <v>1.73</v>
      </c>
      <c r="CL116" s="13">
        <f t="shared" ref="CL116:CL136" si="97">IF(CH116&gt;0,CH116/AB116,0)</f>
        <v>0.91</v>
      </c>
      <c r="CM116" s="13">
        <v>20980.61</v>
      </c>
      <c r="CN116" s="13">
        <v>0</v>
      </c>
      <c r="CO116" s="13">
        <v>0</v>
      </c>
      <c r="CP116" s="13">
        <v>4090.38</v>
      </c>
      <c r="CQ116" s="13">
        <v>2136.9</v>
      </c>
      <c r="CR116" s="13">
        <v>21718</v>
      </c>
      <c r="CS116" s="13">
        <v>1021.87</v>
      </c>
      <c r="CT116" s="13">
        <v>0</v>
      </c>
      <c r="CU116" s="13">
        <v>3291.69</v>
      </c>
      <c r="CV116" s="13">
        <v>1715.4</v>
      </c>
      <c r="CW116" s="202">
        <v>1330</v>
      </c>
      <c r="CX116" s="200">
        <v>763</v>
      </c>
      <c r="CY116" s="202"/>
      <c r="CZ116" s="202"/>
      <c r="DA116" s="202"/>
      <c r="DB116" s="202"/>
      <c r="DC116" s="202"/>
      <c r="DD116" s="461"/>
      <c r="DE116" s="256"/>
      <c r="DF116" s="204">
        <v>614</v>
      </c>
      <c r="DG116" s="204"/>
      <c r="DH116" s="204"/>
      <c r="DI116" s="204"/>
      <c r="DJ116" s="202"/>
      <c r="DK116" s="202"/>
      <c r="DL116" s="202"/>
      <c r="DM116" s="202"/>
      <c r="DN116" s="202"/>
      <c r="DO116" s="202"/>
      <c r="DP116" s="202">
        <v>5212</v>
      </c>
      <c r="DQ116" s="202">
        <v>3400</v>
      </c>
      <c r="DR116" s="202">
        <v>2</v>
      </c>
      <c r="DS116" s="202"/>
      <c r="DT116" s="254"/>
      <c r="DU116" s="254"/>
      <c r="DV116" s="202"/>
      <c r="DW116" s="202">
        <v>5904</v>
      </c>
      <c r="DX116" s="202"/>
      <c r="DY116" s="107">
        <v>1365</v>
      </c>
      <c r="DZ116" s="107">
        <v>577</v>
      </c>
      <c r="EA116" s="202"/>
      <c r="EB116" s="202"/>
      <c r="EC116" s="202"/>
      <c r="ED116" s="202"/>
      <c r="EE116" s="202"/>
      <c r="EF116" s="229"/>
      <c r="EG116" s="202"/>
      <c r="EH116" s="202"/>
      <c r="EI116" s="202"/>
      <c r="EJ116" s="202"/>
      <c r="EK116" s="202">
        <v>0</v>
      </c>
      <c r="EL116" s="202">
        <v>0</v>
      </c>
      <c r="EM116" s="202">
        <v>5783.14</v>
      </c>
      <c r="EN116" s="202">
        <v>3027.67</v>
      </c>
      <c r="EO116" s="202">
        <v>0</v>
      </c>
      <c r="EP116" s="202"/>
      <c r="EQ116" s="202">
        <v>5783.14</v>
      </c>
      <c r="ER116" s="202">
        <v>3027.67</v>
      </c>
      <c r="ES116" s="202"/>
      <c r="ET116" s="202"/>
      <c r="EU116" s="202"/>
      <c r="EV116" s="214">
        <v>161.66999999999999</v>
      </c>
      <c r="EW116" s="240">
        <f t="shared" si="73"/>
        <v>3339.25</v>
      </c>
      <c r="EX116" s="209">
        <f t="shared" si="74"/>
        <v>2173.36</v>
      </c>
    </row>
    <row r="117" spans="1:154" ht="12.75" customHeight="1" x14ac:dyDescent="0.2">
      <c r="A117" s="45" t="s">
        <v>180</v>
      </c>
      <c r="B117" s="55" t="s">
        <v>155</v>
      </c>
      <c r="C117" s="56" t="s">
        <v>62</v>
      </c>
      <c r="D117" s="57" t="s">
        <v>440</v>
      </c>
      <c r="E117" s="56" t="s">
        <v>12</v>
      </c>
      <c r="F117" s="11">
        <v>3</v>
      </c>
      <c r="G117" s="11">
        <v>3</v>
      </c>
      <c r="H117" s="11">
        <v>20</v>
      </c>
      <c r="I117" s="11">
        <v>20</v>
      </c>
      <c r="J117" s="11">
        <v>47</v>
      </c>
      <c r="K117" s="11">
        <v>43</v>
      </c>
      <c r="L117" s="11" t="s">
        <v>746</v>
      </c>
      <c r="M117" s="84">
        <v>42.3</v>
      </c>
      <c r="N117" s="84">
        <v>358.7</v>
      </c>
      <c r="O117" s="84">
        <v>358.7</v>
      </c>
      <c r="P117" s="135">
        <v>126.9</v>
      </c>
      <c r="Q117" s="135">
        <v>230</v>
      </c>
      <c r="R117" s="133">
        <v>452.1</v>
      </c>
      <c r="S117" s="133">
        <f t="shared" si="75"/>
        <v>809</v>
      </c>
      <c r="T117" s="134">
        <v>126.9</v>
      </c>
      <c r="U117" s="130">
        <v>0.84</v>
      </c>
      <c r="V117" s="91">
        <v>1.1299999999999999E-2</v>
      </c>
      <c r="W117" s="91" t="s">
        <v>823</v>
      </c>
      <c r="X117" s="132" t="s">
        <v>823</v>
      </c>
      <c r="Y117" s="91">
        <v>1.1299999999999999E-2</v>
      </c>
      <c r="Z117" s="29">
        <v>1116.5999999999999</v>
      </c>
      <c r="AA117" s="34">
        <v>290.5</v>
      </c>
      <c r="AB117" s="9">
        <f t="shared" si="83"/>
        <v>1407.1</v>
      </c>
      <c r="AC117" s="9">
        <f t="shared" si="89"/>
        <v>8906.94</v>
      </c>
      <c r="AD117" s="9">
        <v>0.45</v>
      </c>
      <c r="AE117" s="9">
        <v>3.46</v>
      </c>
      <c r="AF117" s="21">
        <f>2.46-AJ117</f>
        <v>2.0099999999999998</v>
      </c>
      <c r="AG117" s="18">
        <f>0.55-AQ117</f>
        <v>0.47</v>
      </c>
      <c r="AH117" s="9">
        <f>2.17</f>
        <v>2.17</v>
      </c>
      <c r="AI117" s="13">
        <v>631</v>
      </c>
      <c r="AJ117" s="21">
        <f t="shared" si="48"/>
        <v>0.45</v>
      </c>
      <c r="AK117" s="9">
        <v>0</v>
      </c>
      <c r="AL117" s="9">
        <v>0</v>
      </c>
      <c r="AM117" s="9">
        <v>0.41</v>
      </c>
      <c r="AN117" s="13">
        <v>84.6</v>
      </c>
      <c r="AO117" s="13">
        <v>169.2</v>
      </c>
      <c r="AP117" s="13">
        <f t="shared" si="77"/>
        <v>5.58</v>
      </c>
      <c r="AQ117" s="18">
        <f t="shared" si="49"/>
        <v>0.08</v>
      </c>
      <c r="AR117" s="9">
        <v>0.69</v>
      </c>
      <c r="AS117" s="9">
        <v>0.97</v>
      </c>
      <c r="AT117" s="9">
        <v>7.0000000000000007E-2</v>
      </c>
      <c r="AU117" s="9">
        <v>4.5999999999999996</v>
      </c>
      <c r="AV117" s="9">
        <v>0.12</v>
      </c>
      <c r="AW117" s="9">
        <f>1.01+0.23+0.41</f>
        <v>1.65</v>
      </c>
      <c r="AX117" s="9">
        <f>1.41+0.54</f>
        <v>1.95</v>
      </c>
      <c r="AY117" s="58">
        <f t="shared" si="78"/>
        <v>19.55</v>
      </c>
      <c r="AZ117" s="59">
        <v>1121.5</v>
      </c>
      <c r="BA117" s="59">
        <v>290.5</v>
      </c>
      <c r="BB117" s="59">
        <f t="shared" si="84"/>
        <v>1412</v>
      </c>
      <c r="BC117" s="59">
        <v>19.55</v>
      </c>
      <c r="BD117" s="13">
        <f t="shared" si="76"/>
        <v>0</v>
      </c>
      <c r="BE117" s="9">
        <f t="shared" si="50"/>
        <v>27508.81</v>
      </c>
      <c r="BF117" s="9">
        <v>19.55</v>
      </c>
      <c r="BG117" s="10">
        <v>44378</v>
      </c>
      <c r="BH117" s="9">
        <f t="shared" si="51"/>
        <v>633.20000000000005</v>
      </c>
      <c r="BI117" s="9">
        <f t="shared" si="52"/>
        <v>4868.57</v>
      </c>
      <c r="BJ117" s="9">
        <f t="shared" si="53"/>
        <v>2828.27</v>
      </c>
      <c r="BK117" s="9">
        <f t="shared" si="54"/>
        <v>661.34</v>
      </c>
      <c r="BL117" s="9">
        <f t="shared" si="55"/>
        <v>3053.41</v>
      </c>
      <c r="BM117" s="9">
        <f t="shared" si="56"/>
        <v>633.20000000000005</v>
      </c>
      <c r="BN117" s="9">
        <f t="shared" si="57"/>
        <v>0</v>
      </c>
      <c r="BO117" s="9">
        <f t="shared" si="58"/>
        <v>0</v>
      </c>
      <c r="BP117" s="9">
        <f t="shared" si="59"/>
        <v>576.91</v>
      </c>
      <c r="BQ117" s="9">
        <f t="shared" si="60"/>
        <v>112.57</v>
      </c>
      <c r="BR117" s="9">
        <f t="shared" si="61"/>
        <v>970.9</v>
      </c>
      <c r="BS117" s="9">
        <f t="shared" si="62"/>
        <v>1364.89</v>
      </c>
      <c r="BT117" s="9">
        <f t="shared" si="63"/>
        <v>98.5</v>
      </c>
      <c r="BU117" s="9">
        <f t="shared" si="64"/>
        <v>6472.66</v>
      </c>
      <c r="BV117" s="9">
        <f t="shared" si="65"/>
        <v>168.85</v>
      </c>
      <c r="BW117" s="9">
        <f t="shared" si="66"/>
        <v>2321.7199999999998</v>
      </c>
      <c r="BX117" s="9">
        <f t="shared" si="67"/>
        <v>2743.85</v>
      </c>
      <c r="BY117" s="17">
        <f t="shared" si="68"/>
        <v>27508.84</v>
      </c>
      <c r="BZ117" s="17">
        <v>1.59</v>
      </c>
      <c r="CA117" s="17">
        <v>0.02</v>
      </c>
      <c r="CB117" s="173">
        <v>0</v>
      </c>
      <c r="CC117" s="27">
        <v>0.01</v>
      </c>
      <c r="CD117" s="29">
        <v>6.33</v>
      </c>
      <c r="CE117" s="9">
        <v>136.08000000000001</v>
      </c>
      <c r="CF117" s="9"/>
      <c r="CG117" s="9">
        <v>648.58000000000004</v>
      </c>
      <c r="CH117" s="9">
        <v>339.55</v>
      </c>
      <c r="CI117" s="9">
        <f t="shared" si="94"/>
        <v>0.1</v>
      </c>
      <c r="CJ117" s="9">
        <f t="shared" si="95"/>
        <v>0</v>
      </c>
      <c r="CK117" s="13">
        <f t="shared" si="96"/>
        <v>0.46</v>
      </c>
      <c r="CL117" s="13">
        <f t="shared" si="97"/>
        <v>0.24</v>
      </c>
      <c r="CM117" s="13">
        <v>21829.58</v>
      </c>
      <c r="CN117" s="13">
        <v>111.66</v>
      </c>
      <c r="CO117" s="13">
        <v>0</v>
      </c>
      <c r="CP117" s="13">
        <v>1585.57</v>
      </c>
      <c r="CQ117" s="13">
        <v>826.29</v>
      </c>
      <c r="CR117" s="13">
        <v>26973.52</v>
      </c>
      <c r="CS117" s="13">
        <v>236.3</v>
      </c>
      <c r="CT117" s="13">
        <v>0</v>
      </c>
      <c r="CU117" s="13">
        <v>1466.64</v>
      </c>
      <c r="CV117" s="13">
        <v>765.76</v>
      </c>
      <c r="CW117" s="202">
        <v>1226</v>
      </c>
      <c r="CX117" s="200">
        <v>703</v>
      </c>
      <c r="CY117" s="202"/>
      <c r="CZ117" s="202"/>
      <c r="DA117" s="202"/>
      <c r="DB117" s="202"/>
      <c r="DC117" s="202"/>
      <c r="DD117" s="461"/>
      <c r="DE117" s="256"/>
      <c r="DF117" s="204">
        <v>631</v>
      </c>
      <c r="DG117" s="204"/>
      <c r="DH117" s="204"/>
      <c r="DI117" s="204"/>
      <c r="DJ117" s="202"/>
      <c r="DK117" s="202"/>
      <c r="DL117" s="202"/>
      <c r="DM117" s="202"/>
      <c r="DN117" s="202"/>
      <c r="DO117" s="202"/>
      <c r="DP117" s="202">
        <v>5432</v>
      </c>
      <c r="DQ117" s="202">
        <v>2550</v>
      </c>
      <c r="DR117" s="202">
        <v>1.5</v>
      </c>
      <c r="DS117" s="202"/>
      <c r="DT117" s="254"/>
      <c r="DU117" s="254"/>
      <c r="DV117" s="202"/>
      <c r="DW117" s="202">
        <v>5440</v>
      </c>
      <c r="DX117" s="202"/>
      <c r="DY117" s="107">
        <v>1365</v>
      </c>
      <c r="DZ117" s="107"/>
      <c r="EA117" s="202"/>
      <c r="EB117" s="202"/>
      <c r="EC117" s="202"/>
      <c r="ED117" s="202"/>
      <c r="EE117" s="202"/>
      <c r="EF117" s="229"/>
      <c r="EG117" s="202"/>
      <c r="EH117" s="202"/>
      <c r="EI117" s="202"/>
      <c r="EJ117" s="202"/>
      <c r="EK117" s="202">
        <v>136.08000000000001</v>
      </c>
      <c r="EL117" s="202">
        <v>0</v>
      </c>
      <c r="EM117" s="202">
        <v>1999.78</v>
      </c>
      <c r="EN117" s="202">
        <v>1046.95</v>
      </c>
      <c r="EO117" s="202">
        <v>136.08000000000001</v>
      </c>
      <c r="EP117" s="202"/>
      <c r="EQ117" s="202">
        <v>1999.78</v>
      </c>
      <c r="ER117" s="202">
        <v>1046.95</v>
      </c>
      <c r="ES117" s="202"/>
      <c r="ET117" s="202"/>
      <c r="EU117" s="202"/>
      <c r="EV117" s="214">
        <v>19.71</v>
      </c>
      <c r="EW117" s="240">
        <f t="shared" si="73"/>
        <v>3077.55</v>
      </c>
      <c r="EX117" s="209">
        <f t="shared" si="74"/>
        <v>2003.03</v>
      </c>
    </row>
    <row r="118" spans="1:154" ht="12.75" customHeight="1" x14ac:dyDescent="0.2">
      <c r="A118" s="45" t="s">
        <v>181</v>
      </c>
      <c r="B118" s="51" t="s">
        <v>155</v>
      </c>
      <c r="C118" s="52" t="s">
        <v>25</v>
      </c>
      <c r="D118" s="53" t="s">
        <v>441</v>
      </c>
      <c r="E118" s="52" t="s">
        <v>12</v>
      </c>
      <c r="F118" s="11">
        <v>4</v>
      </c>
      <c r="G118" s="11">
        <v>4</v>
      </c>
      <c r="H118" s="11">
        <v>35</v>
      </c>
      <c r="I118" s="11">
        <v>43</v>
      </c>
      <c r="J118" s="11">
        <v>76</v>
      </c>
      <c r="K118" s="11">
        <v>81</v>
      </c>
      <c r="L118" s="11" t="s">
        <v>746</v>
      </c>
      <c r="M118" s="84">
        <v>628</v>
      </c>
      <c r="N118" s="84">
        <v>635.1</v>
      </c>
      <c r="O118" s="84">
        <v>635.1</v>
      </c>
      <c r="P118" s="139">
        <f>201.2+50</f>
        <v>251.2</v>
      </c>
      <c r="Q118" s="135">
        <v>458.9</v>
      </c>
      <c r="R118" s="133">
        <v>635.1</v>
      </c>
      <c r="S118" s="133">
        <f t="shared" si="75"/>
        <v>1345.2</v>
      </c>
      <c r="T118" s="139">
        <v>263.7</v>
      </c>
      <c r="U118" s="130">
        <v>0.84</v>
      </c>
      <c r="V118" s="91">
        <v>1.1299999999999999E-2</v>
      </c>
      <c r="W118" s="91" t="s">
        <v>823</v>
      </c>
      <c r="X118" s="132" t="s">
        <v>823</v>
      </c>
      <c r="Y118" s="91">
        <v>1.1299999999999999E-2</v>
      </c>
      <c r="Z118" s="29">
        <v>2224.8200000000002</v>
      </c>
      <c r="AA118" s="34">
        <v>624.4</v>
      </c>
      <c r="AB118" s="9">
        <f t="shared" si="83"/>
        <v>2849.22</v>
      </c>
      <c r="AC118" s="9">
        <f t="shared" si="89"/>
        <v>18035.560000000001</v>
      </c>
      <c r="AD118" s="9">
        <v>0.44</v>
      </c>
      <c r="AE118" s="9">
        <v>3.92</v>
      </c>
      <c r="AF118" s="21">
        <f>2.41-AJ118</f>
        <v>2.11</v>
      </c>
      <c r="AG118" s="18">
        <f>0.52-AQ118</f>
        <v>0.45</v>
      </c>
      <c r="AH118" s="9">
        <v>2.17</v>
      </c>
      <c r="AI118" s="13">
        <v>855</v>
      </c>
      <c r="AJ118" s="21">
        <f t="shared" si="48"/>
        <v>0.3</v>
      </c>
      <c r="AK118" s="9">
        <v>0</v>
      </c>
      <c r="AL118" s="9">
        <v>0</v>
      </c>
      <c r="AM118" s="9">
        <v>0.21</v>
      </c>
      <c r="AN118" s="13">
        <v>138.4</v>
      </c>
      <c r="AO118" s="13">
        <v>276.8</v>
      </c>
      <c r="AP118" s="13">
        <f t="shared" si="77"/>
        <v>5.58</v>
      </c>
      <c r="AQ118" s="18">
        <f t="shared" si="49"/>
        <v>7.0000000000000007E-2</v>
      </c>
      <c r="AR118" s="9">
        <v>0.49</v>
      </c>
      <c r="AS118" s="9">
        <v>0.49</v>
      </c>
      <c r="AT118" s="9">
        <v>7.0000000000000007E-2</v>
      </c>
      <c r="AU118" s="9">
        <v>4.38</v>
      </c>
      <c r="AV118" s="9">
        <v>0.11</v>
      </c>
      <c r="AW118" s="9">
        <f>0.26+0.96+0.37</f>
        <v>1.59</v>
      </c>
      <c r="AX118" s="9">
        <f>1.31+0.52</f>
        <v>1.83</v>
      </c>
      <c r="AY118" s="54">
        <f t="shared" si="78"/>
        <v>18.63</v>
      </c>
      <c r="AZ118" s="43">
        <v>2174.8000000000002</v>
      </c>
      <c r="BA118" s="43">
        <v>624.4</v>
      </c>
      <c r="BB118" s="43">
        <f t="shared" si="84"/>
        <v>2799.2</v>
      </c>
      <c r="BC118" s="43">
        <v>18.63</v>
      </c>
      <c r="BD118" s="13">
        <f t="shared" si="76"/>
        <v>0</v>
      </c>
      <c r="BE118" s="9">
        <f t="shared" si="50"/>
        <v>53080.97</v>
      </c>
      <c r="BF118" s="9">
        <v>18.63</v>
      </c>
      <c r="BG118" s="10">
        <v>44378</v>
      </c>
      <c r="BH118" s="9">
        <f t="shared" si="51"/>
        <v>1253.6600000000001</v>
      </c>
      <c r="BI118" s="9">
        <f t="shared" si="52"/>
        <v>11168.94</v>
      </c>
      <c r="BJ118" s="9">
        <f t="shared" si="53"/>
        <v>6011.85</v>
      </c>
      <c r="BK118" s="9">
        <f t="shared" si="54"/>
        <v>1282.1500000000001</v>
      </c>
      <c r="BL118" s="9">
        <f t="shared" si="55"/>
        <v>6182.81</v>
      </c>
      <c r="BM118" s="9">
        <f t="shared" si="56"/>
        <v>854.77</v>
      </c>
      <c r="BN118" s="9">
        <f t="shared" si="57"/>
        <v>0</v>
      </c>
      <c r="BO118" s="9">
        <f t="shared" si="58"/>
        <v>0</v>
      </c>
      <c r="BP118" s="9">
        <f t="shared" si="59"/>
        <v>598.34</v>
      </c>
      <c r="BQ118" s="9">
        <f t="shared" si="60"/>
        <v>199.45</v>
      </c>
      <c r="BR118" s="9">
        <f t="shared" si="61"/>
        <v>1396.12</v>
      </c>
      <c r="BS118" s="9">
        <f t="shared" si="62"/>
        <v>1396.12</v>
      </c>
      <c r="BT118" s="9">
        <f t="shared" si="63"/>
        <v>199.45</v>
      </c>
      <c r="BU118" s="9">
        <f t="shared" si="64"/>
        <v>12479.58</v>
      </c>
      <c r="BV118" s="9">
        <f t="shared" si="65"/>
        <v>313.41000000000003</v>
      </c>
      <c r="BW118" s="9">
        <f t="shared" si="66"/>
        <v>4530.26</v>
      </c>
      <c r="BX118" s="9">
        <f t="shared" si="67"/>
        <v>5214.07</v>
      </c>
      <c r="BY118" s="17">
        <f t="shared" si="68"/>
        <v>53080.98</v>
      </c>
      <c r="BZ118" s="17">
        <v>1.74</v>
      </c>
      <c r="CA118" s="17">
        <v>0.03</v>
      </c>
      <c r="CB118" s="173">
        <v>0</v>
      </c>
      <c r="CC118" s="27">
        <v>0.02</v>
      </c>
      <c r="CD118" s="29">
        <v>6.33</v>
      </c>
      <c r="CE118" s="9">
        <v>4672.33</v>
      </c>
      <c r="CF118" s="9"/>
      <c r="CG118" s="9">
        <v>12376.99</v>
      </c>
      <c r="CH118" s="9">
        <v>6479.78</v>
      </c>
      <c r="CI118" s="9">
        <f t="shared" si="94"/>
        <v>1.64</v>
      </c>
      <c r="CJ118" s="9">
        <f t="shared" si="95"/>
        <v>0</v>
      </c>
      <c r="CK118" s="13">
        <f t="shared" si="96"/>
        <v>4.34</v>
      </c>
      <c r="CL118" s="13">
        <f t="shared" si="97"/>
        <v>2.27</v>
      </c>
      <c r="CM118" s="13">
        <v>40425.629999999997</v>
      </c>
      <c r="CN118" s="13">
        <v>3893.48</v>
      </c>
      <c r="CO118" s="13">
        <v>0</v>
      </c>
      <c r="CP118" s="13">
        <v>4738.8599999999997</v>
      </c>
      <c r="CQ118" s="13">
        <v>2491.79</v>
      </c>
      <c r="CR118" s="13">
        <v>31486.77</v>
      </c>
      <c r="CS118" s="13">
        <v>5336.29</v>
      </c>
      <c r="CT118" s="13">
        <v>0</v>
      </c>
      <c r="CU118" s="13">
        <v>3530.96</v>
      </c>
      <c r="CV118" s="13">
        <v>1854.02</v>
      </c>
      <c r="CW118" s="202">
        <v>2435</v>
      </c>
      <c r="CX118" s="200">
        <v>1397</v>
      </c>
      <c r="CY118" s="202"/>
      <c r="CZ118" s="202"/>
      <c r="DA118" s="202"/>
      <c r="DB118" s="202"/>
      <c r="DC118" s="202"/>
      <c r="DD118" s="461"/>
      <c r="DE118" s="256"/>
      <c r="DF118" s="204">
        <v>855</v>
      </c>
      <c r="DG118" s="204"/>
      <c r="DH118" s="204"/>
      <c r="DI118" s="204"/>
      <c r="DJ118" s="202"/>
      <c r="DK118" s="202"/>
      <c r="DL118" s="202"/>
      <c r="DM118" s="202"/>
      <c r="DN118" s="202"/>
      <c r="DO118" s="202"/>
      <c r="DP118" s="202">
        <v>11980</v>
      </c>
      <c r="DQ118" s="202">
        <v>1700</v>
      </c>
      <c r="DR118" s="202">
        <v>1</v>
      </c>
      <c r="DS118" s="202"/>
      <c r="DT118" s="254"/>
      <c r="DU118" s="254"/>
      <c r="DV118" s="202"/>
      <c r="DW118" s="202">
        <v>10972</v>
      </c>
      <c r="DX118" s="202"/>
      <c r="DY118" s="107">
        <v>1365</v>
      </c>
      <c r="DZ118" s="107">
        <v>577</v>
      </c>
      <c r="EA118" s="202"/>
      <c r="EB118" s="202"/>
      <c r="EC118" s="202"/>
      <c r="ED118" s="202"/>
      <c r="EE118" s="202"/>
      <c r="EF118" s="229"/>
      <c r="EG118" s="202"/>
      <c r="EH118" s="202"/>
      <c r="EI118" s="202"/>
      <c r="EJ118" s="202"/>
      <c r="EK118" s="202">
        <v>4990.1499999999996</v>
      </c>
      <c r="EL118" s="202">
        <v>0</v>
      </c>
      <c r="EM118" s="202">
        <v>6080.4</v>
      </c>
      <c r="EN118" s="202">
        <v>3183.3</v>
      </c>
      <c r="EO118" s="202">
        <v>4990.1499999999996</v>
      </c>
      <c r="EP118" s="202"/>
      <c r="EQ118" s="202">
        <v>6080.4</v>
      </c>
      <c r="ER118" s="202">
        <v>3183.3</v>
      </c>
      <c r="ES118" s="202"/>
      <c r="ET118" s="202"/>
      <c r="EU118" s="202"/>
      <c r="EV118" s="214">
        <v>164.17</v>
      </c>
      <c r="EW118" s="240">
        <f t="shared" si="73"/>
        <v>6231.7</v>
      </c>
      <c r="EX118" s="209">
        <f t="shared" si="74"/>
        <v>4055.92</v>
      </c>
    </row>
    <row r="119" spans="1:154" ht="12.75" customHeight="1" x14ac:dyDescent="0.2">
      <c r="A119" s="45" t="s">
        <v>183</v>
      </c>
      <c r="B119" s="55" t="s">
        <v>155</v>
      </c>
      <c r="C119" s="56" t="s">
        <v>64</v>
      </c>
      <c r="D119" s="57" t="s">
        <v>442</v>
      </c>
      <c r="E119" s="56" t="s">
        <v>12</v>
      </c>
      <c r="F119" s="11">
        <v>4</v>
      </c>
      <c r="G119" s="11">
        <v>4</v>
      </c>
      <c r="H119" s="11">
        <v>35</v>
      </c>
      <c r="I119" s="11">
        <v>42</v>
      </c>
      <c r="J119" s="11">
        <v>76</v>
      </c>
      <c r="K119" s="11">
        <v>88</v>
      </c>
      <c r="L119" s="11" t="s">
        <v>746</v>
      </c>
      <c r="M119" s="84">
        <v>66.5</v>
      </c>
      <c r="N119" s="84">
        <v>486.7</v>
      </c>
      <c r="O119" s="84">
        <v>486</v>
      </c>
      <c r="P119" s="135">
        <v>266</v>
      </c>
      <c r="Q119" s="135">
        <v>447.8</v>
      </c>
      <c r="R119" s="133">
        <v>624.29999999999995</v>
      </c>
      <c r="S119" s="133">
        <f t="shared" si="75"/>
        <v>1338.1</v>
      </c>
      <c r="T119" s="134">
        <v>263.7</v>
      </c>
      <c r="U119" s="130">
        <v>0.84</v>
      </c>
      <c r="V119" s="131">
        <v>1.1299999999999999E-2</v>
      </c>
      <c r="W119" s="131" t="s">
        <v>823</v>
      </c>
      <c r="X119" s="132" t="s">
        <v>823</v>
      </c>
      <c r="Y119" s="131">
        <v>1.1299999999999999E-2</v>
      </c>
      <c r="Z119" s="29">
        <v>2271.77</v>
      </c>
      <c r="AA119" s="34">
        <v>311.5</v>
      </c>
      <c r="AB119" s="9">
        <f t="shared" si="83"/>
        <v>2583.27</v>
      </c>
      <c r="AC119" s="9">
        <f t="shared" si="89"/>
        <v>16352.1</v>
      </c>
      <c r="AD119" s="9">
        <v>0.5</v>
      </c>
      <c r="AE119" s="9">
        <v>3.76</v>
      </c>
      <c r="AF119" s="21">
        <f>2.39-AJ119</f>
        <v>2.06</v>
      </c>
      <c r="AG119" s="18">
        <f>0.53-AQ119</f>
        <v>0.46</v>
      </c>
      <c r="AH119" s="9">
        <v>2.17</v>
      </c>
      <c r="AI119" s="13">
        <v>851</v>
      </c>
      <c r="AJ119" s="21">
        <f t="shared" si="48"/>
        <v>0.33</v>
      </c>
      <c r="AK119" s="9">
        <v>0</v>
      </c>
      <c r="AL119" s="9">
        <v>0</v>
      </c>
      <c r="AM119" s="9">
        <v>0.22</v>
      </c>
      <c r="AN119" s="13">
        <v>138.4</v>
      </c>
      <c r="AO119" s="13">
        <v>276.8</v>
      </c>
      <c r="AP119" s="13">
        <f t="shared" si="77"/>
        <v>5.58</v>
      </c>
      <c r="AQ119" s="18">
        <f t="shared" si="49"/>
        <v>7.0000000000000007E-2</v>
      </c>
      <c r="AR119" s="9">
        <v>0.53</v>
      </c>
      <c r="AS119" s="9">
        <v>0.53</v>
      </c>
      <c r="AT119" s="9">
        <v>7.0000000000000007E-2</v>
      </c>
      <c r="AU119" s="9">
        <v>4.3899999999999997</v>
      </c>
      <c r="AV119" s="9">
        <v>0.11</v>
      </c>
      <c r="AW119" s="9">
        <f>0.26+0.96+0.38</f>
        <v>1.6</v>
      </c>
      <c r="AX119" s="9">
        <f>1.32+0.52</f>
        <v>1.84</v>
      </c>
      <c r="AY119" s="58">
        <f t="shared" si="78"/>
        <v>18.64</v>
      </c>
      <c r="AZ119" s="59">
        <v>2276.9</v>
      </c>
      <c r="BA119" s="59">
        <v>311.5</v>
      </c>
      <c r="BB119" s="59">
        <f t="shared" si="84"/>
        <v>2588.4</v>
      </c>
      <c r="BC119" s="59">
        <v>18.64</v>
      </c>
      <c r="BD119" s="13">
        <f t="shared" si="76"/>
        <v>0</v>
      </c>
      <c r="BE119" s="9">
        <f t="shared" si="50"/>
        <v>48152.15</v>
      </c>
      <c r="BF119" s="9">
        <v>18.64</v>
      </c>
      <c r="BG119" s="10">
        <v>44378</v>
      </c>
      <c r="BH119" s="9">
        <f t="shared" si="51"/>
        <v>1291.6400000000001</v>
      </c>
      <c r="BI119" s="9">
        <f t="shared" si="52"/>
        <v>9713.1</v>
      </c>
      <c r="BJ119" s="9">
        <f t="shared" si="53"/>
        <v>5321.54</v>
      </c>
      <c r="BK119" s="9">
        <f t="shared" si="54"/>
        <v>1188.3</v>
      </c>
      <c r="BL119" s="9">
        <f t="shared" si="55"/>
        <v>5605.7</v>
      </c>
      <c r="BM119" s="9">
        <f t="shared" si="56"/>
        <v>852.48</v>
      </c>
      <c r="BN119" s="9">
        <f t="shared" si="57"/>
        <v>0</v>
      </c>
      <c r="BO119" s="9">
        <f t="shared" si="58"/>
        <v>0</v>
      </c>
      <c r="BP119" s="9">
        <f t="shared" si="59"/>
        <v>568.32000000000005</v>
      </c>
      <c r="BQ119" s="9">
        <f t="shared" si="60"/>
        <v>180.83</v>
      </c>
      <c r="BR119" s="9">
        <f t="shared" si="61"/>
        <v>1369.13</v>
      </c>
      <c r="BS119" s="9">
        <f t="shared" si="62"/>
        <v>1369.13</v>
      </c>
      <c r="BT119" s="9">
        <f t="shared" si="63"/>
        <v>180.83</v>
      </c>
      <c r="BU119" s="9">
        <f t="shared" si="64"/>
        <v>11340.56</v>
      </c>
      <c r="BV119" s="9">
        <f t="shared" si="65"/>
        <v>284.16000000000003</v>
      </c>
      <c r="BW119" s="9">
        <f t="shared" si="66"/>
        <v>4133.2299999999996</v>
      </c>
      <c r="BX119" s="9">
        <f t="shared" si="67"/>
        <v>4753.22</v>
      </c>
      <c r="BY119" s="17">
        <f t="shared" si="68"/>
        <v>48152.17</v>
      </c>
      <c r="BZ119" s="17">
        <v>1.44</v>
      </c>
      <c r="CA119" s="17">
        <v>0.03</v>
      </c>
      <c r="CB119" s="173">
        <v>0</v>
      </c>
      <c r="CC119" s="27">
        <v>0.02</v>
      </c>
      <c r="CD119" s="29">
        <v>6.33</v>
      </c>
      <c r="CE119" s="9">
        <v>213.94</v>
      </c>
      <c r="CF119" s="9"/>
      <c r="CG119" s="9">
        <v>2837.52</v>
      </c>
      <c r="CH119" s="9">
        <v>1485.54</v>
      </c>
      <c r="CI119" s="9">
        <f t="shared" si="94"/>
        <v>0.08</v>
      </c>
      <c r="CJ119" s="9">
        <f t="shared" si="95"/>
        <v>0</v>
      </c>
      <c r="CK119" s="13">
        <f t="shared" si="96"/>
        <v>1.1000000000000001</v>
      </c>
      <c r="CL119" s="13">
        <f t="shared" si="97"/>
        <v>0.57999999999999996</v>
      </c>
      <c r="CM119" s="13">
        <v>42345.81</v>
      </c>
      <c r="CN119" s="13">
        <v>181.7</v>
      </c>
      <c r="CO119" s="13">
        <v>0</v>
      </c>
      <c r="CP119" s="13">
        <v>1635.69</v>
      </c>
      <c r="CQ119" s="13">
        <v>863.25</v>
      </c>
      <c r="CR119" s="13">
        <v>50006.38</v>
      </c>
      <c r="CS119" s="13">
        <v>593.77</v>
      </c>
      <c r="CT119" s="13">
        <v>0</v>
      </c>
      <c r="CU119" s="13">
        <v>2063.7199999999998</v>
      </c>
      <c r="CV119" s="13">
        <v>1081.94</v>
      </c>
      <c r="CW119" s="202">
        <v>2249</v>
      </c>
      <c r="CX119" s="200">
        <v>1290</v>
      </c>
      <c r="CY119" s="202"/>
      <c r="CZ119" s="202"/>
      <c r="DA119" s="202"/>
      <c r="DB119" s="202"/>
      <c r="DC119" s="202"/>
      <c r="DD119" s="461"/>
      <c r="DE119" s="256"/>
      <c r="DF119" s="204">
        <v>851</v>
      </c>
      <c r="DG119" s="204"/>
      <c r="DH119" s="204"/>
      <c r="DI119" s="204"/>
      <c r="DJ119" s="202"/>
      <c r="DK119" s="202"/>
      <c r="DL119" s="202"/>
      <c r="DM119" s="202"/>
      <c r="DN119" s="202"/>
      <c r="DO119" s="202"/>
      <c r="DP119" s="202">
        <v>10827</v>
      </c>
      <c r="DQ119" s="202">
        <v>2720</v>
      </c>
      <c r="DR119" s="202">
        <v>1.6</v>
      </c>
      <c r="DS119" s="202"/>
      <c r="DT119" s="254"/>
      <c r="DU119" s="254"/>
      <c r="DV119" s="202"/>
      <c r="DW119" s="202">
        <v>10076</v>
      </c>
      <c r="DX119" s="202"/>
      <c r="DY119" s="107">
        <v>1365</v>
      </c>
      <c r="DZ119" s="107">
        <v>577</v>
      </c>
      <c r="EA119" s="202"/>
      <c r="EB119" s="202"/>
      <c r="EC119" s="202"/>
      <c r="ED119" s="202"/>
      <c r="EE119" s="202"/>
      <c r="EF119" s="229"/>
      <c r="EG119" s="202"/>
      <c r="EH119" s="202"/>
      <c r="EI119" s="202"/>
      <c r="EJ119" s="202"/>
      <c r="EK119" s="202">
        <v>213.94</v>
      </c>
      <c r="EL119" s="202">
        <v>0</v>
      </c>
      <c r="EM119" s="202">
        <v>1864.66</v>
      </c>
      <c r="EN119" s="202">
        <v>976.21</v>
      </c>
      <c r="EO119" s="202">
        <v>213.94</v>
      </c>
      <c r="EP119" s="202"/>
      <c r="EQ119" s="202">
        <v>1864.66</v>
      </c>
      <c r="ER119" s="202">
        <v>976.21</v>
      </c>
      <c r="ES119" s="202"/>
      <c r="ET119" s="202"/>
      <c r="EU119" s="202"/>
      <c r="EV119" s="214">
        <v>35.17</v>
      </c>
      <c r="EW119" s="240">
        <f t="shared" si="73"/>
        <v>5650.02</v>
      </c>
      <c r="EX119" s="209">
        <f t="shared" si="74"/>
        <v>3677.34</v>
      </c>
    </row>
    <row r="120" spans="1:154" ht="12.75" customHeight="1" x14ac:dyDescent="0.2">
      <c r="A120" s="45" t="s">
        <v>185</v>
      </c>
      <c r="B120" s="55" t="s">
        <v>155</v>
      </c>
      <c r="C120" s="56" t="s">
        <v>79</v>
      </c>
      <c r="D120" s="57" t="s">
        <v>443</v>
      </c>
      <c r="E120" s="56" t="s">
        <v>12</v>
      </c>
      <c r="F120" s="11">
        <v>4</v>
      </c>
      <c r="G120" s="11">
        <v>2</v>
      </c>
      <c r="H120" s="11">
        <v>32</v>
      </c>
      <c r="I120" s="11">
        <v>32</v>
      </c>
      <c r="J120" s="11">
        <v>62</v>
      </c>
      <c r="K120" s="11">
        <v>64</v>
      </c>
      <c r="L120" s="11" t="s">
        <v>746</v>
      </c>
      <c r="M120" s="84">
        <v>24.5</v>
      </c>
      <c r="N120" s="84">
        <v>236</v>
      </c>
      <c r="O120" s="84">
        <v>236</v>
      </c>
      <c r="P120" s="135">
        <v>98</v>
      </c>
      <c r="Q120" s="135">
        <v>302.3</v>
      </c>
      <c r="R120" s="133">
        <v>345.3</v>
      </c>
      <c r="S120" s="133">
        <f t="shared" si="75"/>
        <v>745.6</v>
      </c>
      <c r="T120" s="134">
        <v>98</v>
      </c>
      <c r="U120" s="130">
        <v>0.84</v>
      </c>
      <c r="V120" s="91">
        <v>1.1299999999999999E-2</v>
      </c>
      <c r="W120" s="91" t="s">
        <v>823</v>
      </c>
      <c r="X120" s="132" t="s">
        <v>823</v>
      </c>
      <c r="Y120" s="91">
        <v>1.1299999999999999E-2</v>
      </c>
      <c r="Z120" s="29">
        <v>1292.9000000000001</v>
      </c>
      <c r="AA120" s="34">
        <v>72.8</v>
      </c>
      <c r="AB120" s="9">
        <f t="shared" si="83"/>
        <v>1365.7</v>
      </c>
      <c r="AC120" s="9">
        <f t="shared" si="89"/>
        <v>8644.8799999999992</v>
      </c>
      <c r="AD120" s="9">
        <v>0.36</v>
      </c>
      <c r="AE120" s="9">
        <v>3.08</v>
      </c>
      <c r="AF120" s="21">
        <f>2.4-AJ120</f>
        <v>2.09</v>
      </c>
      <c r="AG120" s="18">
        <f>0.55-AQ120</f>
        <v>0.41</v>
      </c>
      <c r="AH120" s="9">
        <v>2.16</v>
      </c>
      <c r="AI120" s="13">
        <v>419</v>
      </c>
      <c r="AJ120" s="21">
        <f t="shared" si="48"/>
        <v>0.31</v>
      </c>
      <c r="AK120" s="9">
        <v>0</v>
      </c>
      <c r="AL120" s="9">
        <v>0</v>
      </c>
      <c r="AM120" s="9">
        <v>0.42</v>
      </c>
      <c r="AN120" s="13">
        <v>138.4</v>
      </c>
      <c r="AO120" s="13">
        <v>276.8</v>
      </c>
      <c r="AP120" s="13">
        <f t="shared" si="77"/>
        <v>5.58</v>
      </c>
      <c r="AQ120" s="18">
        <f t="shared" si="49"/>
        <v>0.14000000000000001</v>
      </c>
      <c r="AR120" s="9">
        <v>0.91</v>
      </c>
      <c r="AS120" s="9">
        <v>1</v>
      </c>
      <c r="AT120" s="9">
        <v>7.0000000000000007E-2</v>
      </c>
      <c r="AU120" s="9">
        <v>4.66</v>
      </c>
      <c r="AV120" s="9">
        <v>0.12</v>
      </c>
      <c r="AW120" s="9">
        <f>0.34+0.41+0.98</f>
        <v>1.73</v>
      </c>
      <c r="AX120" s="9">
        <f>1.38+0.55</f>
        <v>1.93</v>
      </c>
      <c r="AY120" s="58">
        <f t="shared" si="78"/>
        <v>19.39</v>
      </c>
      <c r="AZ120" s="59">
        <v>1298.5999999999999</v>
      </c>
      <c r="BA120" s="59">
        <v>72.8</v>
      </c>
      <c r="BB120" s="59">
        <f t="shared" si="84"/>
        <v>1371.4</v>
      </c>
      <c r="BC120" s="59">
        <v>19.39</v>
      </c>
      <c r="BD120" s="13">
        <f t="shared" si="76"/>
        <v>0</v>
      </c>
      <c r="BE120" s="9">
        <f t="shared" si="50"/>
        <v>26480.92</v>
      </c>
      <c r="BF120" s="9">
        <v>19.39</v>
      </c>
      <c r="BG120" s="10">
        <v>44378</v>
      </c>
      <c r="BH120" s="9">
        <f t="shared" si="51"/>
        <v>491.65</v>
      </c>
      <c r="BI120" s="9">
        <f t="shared" si="52"/>
        <v>4206.3599999999997</v>
      </c>
      <c r="BJ120" s="9">
        <f t="shared" si="53"/>
        <v>2854.31</v>
      </c>
      <c r="BK120" s="9">
        <f t="shared" si="54"/>
        <v>559.94000000000005</v>
      </c>
      <c r="BL120" s="9">
        <f t="shared" si="55"/>
        <v>2949.91</v>
      </c>
      <c r="BM120" s="9">
        <f t="shared" si="56"/>
        <v>423.37</v>
      </c>
      <c r="BN120" s="9">
        <f t="shared" si="57"/>
        <v>0</v>
      </c>
      <c r="BO120" s="9">
        <f t="shared" si="58"/>
        <v>0</v>
      </c>
      <c r="BP120" s="9">
        <f t="shared" si="59"/>
        <v>573.59</v>
      </c>
      <c r="BQ120" s="9">
        <f t="shared" si="60"/>
        <v>191.2</v>
      </c>
      <c r="BR120" s="9">
        <f t="shared" si="61"/>
        <v>1242.79</v>
      </c>
      <c r="BS120" s="9">
        <f t="shared" si="62"/>
        <v>1365.7</v>
      </c>
      <c r="BT120" s="9">
        <f t="shared" si="63"/>
        <v>95.6</v>
      </c>
      <c r="BU120" s="9">
        <f t="shared" si="64"/>
        <v>6364.16</v>
      </c>
      <c r="BV120" s="9">
        <f t="shared" si="65"/>
        <v>163.88</v>
      </c>
      <c r="BW120" s="9">
        <f t="shared" si="66"/>
        <v>2362.66</v>
      </c>
      <c r="BX120" s="9">
        <f t="shared" si="67"/>
        <v>2635.8</v>
      </c>
      <c r="BY120" s="17">
        <f t="shared" si="68"/>
        <v>26480.92</v>
      </c>
      <c r="BZ120" s="17">
        <v>1.79</v>
      </c>
      <c r="CA120" s="17">
        <v>0.02</v>
      </c>
      <c r="CB120" s="173">
        <v>0</v>
      </c>
      <c r="CC120" s="27">
        <v>0.01</v>
      </c>
      <c r="CD120" s="29">
        <v>6.33</v>
      </c>
      <c r="CE120" s="9">
        <v>78.819999999999993</v>
      </c>
      <c r="CF120" s="9"/>
      <c r="CG120" s="9">
        <v>0</v>
      </c>
      <c r="CH120" s="9">
        <v>0</v>
      </c>
      <c r="CI120" s="9">
        <f t="shared" si="94"/>
        <v>0.06</v>
      </c>
      <c r="CJ120" s="9">
        <f t="shared" si="95"/>
        <v>0</v>
      </c>
      <c r="CK120" s="13">
        <f t="shared" si="96"/>
        <v>0</v>
      </c>
      <c r="CL120" s="13">
        <f t="shared" si="97"/>
        <v>0</v>
      </c>
      <c r="CM120" s="13">
        <v>25069.360000000001</v>
      </c>
      <c r="CN120" s="13">
        <v>77.58</v>
      </c>
      <c r="CO120" s="13">
        <v>0</v>
      </c>
      <c r="CP120" s="13">
        <v>0</v>
      </c>
      <c r="CQ120" s="13">
        <v>0</v>
      </c>
      <c r="CR120" s="13">
        <v>31785.66</v>
      </c>
      <c r="CS120" s="13">
        <v>565.24</v>
      </c>
      <c r="CT120" s="13">
        <v>0</v>
      </c>
      <c r="CU120" s="13">
        <v>5.95</v>
      </c>
      <c r="CV120" s="13">
        <v>2.95</v>
      </c>
      <c r="CW120" s="202">
        <v>1190</v>
      </c>
      <c r="CX120" s="200">
        <v>683</v>
      </c>
      <c r="CY120" s="202"/>
      <c r="CZ120" s="202"/>
      <c r="DA120" s="202"/>
      <c r="DB120" s="202"/>
      <c r="DC120" s="202"/>
      <c r="DD120" s="461"/>
      <c r="DE120" s="256"/>
      <c r="DF120" s="204">
        <v>419</v>
      </c>
      <c r="DG120" s="204"/>
      <c r="DH120" s="204"/>
      <c r="DI120" s="204"/>
      <c r="DJ120" s="202"/>
      <c r="DK120" s="202"/>
      <c r="DL120" s="202"/>
      <c r="DM120" s="202"/>
      <c r="DN120" s="202"/>
      <c r="DO120" s="202"/>
      <c r="DP120" s="202">
        <v>4650</v>
      </c>
      <c r="DQ120" s="202">
        <v>2720</v>
      </c>
      <c r="DR120" s="202">
        <v>1.6</v>
      </c>
      <c r="DS120" s="202"/>
      <c r="DT120" s="254"/>
      <c r="DU120" s="254"/>
      <c r="DV120" s="202"/>
      <c r="DW120" s="202">
        <v>5304</v>
      </c>
      <c r="DX120" s="202"/>
      <c r="DY120" s="107">
        <v>1365</v>
      </c>
      <c r="DZ120" s="107">
        <v>577</v>
      </c>
      <c r="EA120" s="202"/>
      <c r="EB120" s="202"/>
      <c r="EC120" s="202"/>
      <c r="ED120" s="202"/>
      <c r="EE120" s="202"/>
      <c r="EF120" s="229"/>
      <c r="EG120" s="202"/>
      <c r="EH120" s="202"/>
      <c r="EI120" s="202"/>
      <c r="EJ120" s="202"/>
      <c r="EK120" s="202">
        <v>78.819999999999993</v>
      </c>
      <c r="EL120" s="202">
        <v>0</v>
      </c>
      <c r="EM120" s="202">
        <v>0</v>
      </c>
      <c r="EN120" s="202">
        <v>0</v>
      </c>
      <c r="EO120" s="202">
        <v>78.819999999999993</v>
      </c>
      <c r="EP120" s="202"/>
      <c r="EQ120" s="202">
        <v>0</v>
      </c>
      <c r="ER120" s="202">
        <v>0</v>
      </c>
      <c r="ES120" s="202"/>
      <c r="ET120" s="202"/>
      <c r="EU120" s="202"/>
      <c r="EV120" s="214">
        <v>1.04</v>
      </c>
      <c r="EW120" s="240">
        <f t="shared" si="73"/>
        <v>2987</v>
      </c>
      <c r="EX120" s="209">
        <f t="shared" si="74"/>
        <v>1944.1</v>
      </c>
    </row>
    <row r="121" spans="1:154" ht="12.75" customHeight="1" x14ac:dyDescent="0.2">
      <c r="A121" s="45" t="s">
        <v>186</v>
      </c>
      <c r="B121" s="51" t="s">
        <v>155</v>
      </c>
      <c r="C121" s="52" t="s">
        <v>32</v>
      </c>
      <c r="D121" s="53" t="s">
        <v>444</v>
      </c>
      <c r="E121" s="52" t="s">
        <v>12</v>
      </c>
      <c r="F121" s="11">
        <v>4</v>
      </c>
      <c r="G121" s="11">
        <v>4</v>
      </c>
      <c r="H121" s="11">
        <v>40</v>
      </c>
      <c r="I121" s="11">
        <v>53</v>
      </c>
      <c r="J121" s="11">
        <v>88</v>
      </c>
      <c r="K121" s="11">
        <v>105</v>
      </c>
      <c r="L121" s="11" t="s">
        <v>746</v>
      </c>
      <c r="M121" s="84">
        <v>64.599999999999994</v>
      </c>
      <c r="N121" s="84">
        <v>595</v>
      </c>
      <c r="O121" s="84">
        <v>595</v>
      </c>
      <c r="P121" s="139">
        <f>213.6+44.8</f>
        <v>258.39999999999998</v>
      </c>
      <c r="Q121" s="135">
        <v>375.7</v>
      </c>
      <c r="R121" s="133">
        <v>673.5</v>
      </c>
      <c r="S121" s="133">
        <f t="shared" si="75"/>
        <v>1307.5999999999999</v>
      </c>
      <c r="T121" s="139">
        <v>249.2</v>
      </c>
      <c r="U121" s="130">
        <v>0.84</v>
      </c>
      <c r="V121" s="91">
        <v>1.1299999999999999E-2</v>
      </c>
      <c r="W121" s="91" t="s">
        <v>823</v>
      </c>
      <c r="X121" s="132" t="s">
        <v>823</v>
      </c>
      <c r="Y121" s="91">
        <v>1.1299999999999999E-2</v>
      </c>
      <c r="Z121" s="29">
        <v>2589.16</v>
      </c>
      <c r="AA121" s="34">
        <v>309.8</v>
      </c>
      <c r="AB121" s="9">
        <f t="shared" si="83"/>
        <v>2898.96</v>
      </c>
      <c r="AC121" s="9">
        <f t="shared" si="89"/>
        <v>18350.419999999998</v>
      </c>
      <c r="AD121" s="9">
        <v>0.44</v>
      </c>
      <c r="AE121" s="9">
        <v>3.91</v>
      </c>
      <c r="AF121" s="21">
        <f>2.4-AJ121</f>
        <v>2.1</v>
      </c>
      <c r="AG121" s="18">
        <f>0.53-AQ121</f>
        <v>0.43</v>
      </c>
      <c r="AH121" s="9">
        <v>2.17</v>
      </c>
      <c r="AI121" s="13">
        <v>860</v>
      </c>
      <c r="AJ121" s="21">
        <f t="shared" si="48"/>
        <v>0.3</v>
      </c>
      <c r="AK121" s="9">
        <v>0</v>
      </c>
      <c r="AL121" s="9">
        <v>0</v>
      </c>
      <c r="AM121" s="9">
        <v>0.2</v>
      </c>
      <c r="AN121" s="13">
        <v>207.6</v>
      </c>
      <c r="AO121" s="13">
        <v>415.2</v>
      </c>
      <c r="AP121" s="13">
        <f t="shared" si="77"/>
        <v>5.58</v>
      </c>
      <c r="AQ121" s="18">
        <f t="shared" si="49"/>
        <v>0.1</v>
      </c>
      <c r="AR121" s="9">
        <v>0.51</v>
      </c>
      <c r="AS121" s="9">
        <v>0.47</v>
      </c>
      <c r="AT121" s="9">
        <v>7.0000000000000007E-2</v>
      </c>
      <c r="AU121" s="9">
        <v>4.3499999999999996</v>
      </c>
      <c r="AV121" s="9">
        <v>0.11</v>
      </c>
      <c r="AW121" s="9">
        <f>0.29+0.38+0.95</f>
        <v>1.62</v>
      </c>
      <c r="AX121" s="9">
        <f>1.31+0.51</f>
        <v>1.82</v>
      </c>
      <c r="AY121" s="54">
        <f t="shared" si="78"/>
        <v>18.600000000000001</v>
      </c>
      <c r="AZ121" s="43">
        <v>2590.6999999999998</v>
      </c>
      <c r="BA121" s="43">
        <v>309.8</v>
      </c>
      <c r="BB121" s="43">
        <f t="shared" si="84"/>
        <v>2900.5</v>
      </c>
      <c r="BC121" s="43">
        <v>18.600000000000001</v>
      </c>
      <c r="BD121" s="13">
        <f t="shared" si="76"/>
        <v>0</v>
      </c>
      <c r="BE121" s="9">
        <f t="shared" si="50"/>
        <v>53920.66</v>
      </c>
      <c r="BF121" s="9">
        <v>18.600000000000001</v>
      </c>
      <c r="BG121" s="10">
        <v>44378</v>
      </c>
      <c r="BH121" s="9">
        <f t="shared" si="51"/>
        <v>1275.54</v>
      </c>
      <c r="BI121" s="9">
        <f t="shared" si="52"/>
        <v>11334.93</v>
      </c>
      <c r="BJ121" s="9">
        <f t="shared" si="53"/>
        <v>6087.82</v>
      </c>
      <c r="BK121" s="9">
        <f t="shared" si="54"/>
        <v>1246.55</v>
      </c>
      <c r="BL121" s="9">
        <f t="shared" si="55"/>
        <v>6290.74</v>
      </c>
      <c r="BM121" s="9">
        <f t="shared" si="56"/>
        <v>869.69</v>
      </c>
      <c r="BN121" s="9">
        <f t="shared" si="57"/>
        <v>0</v>
      </c>
      <c r="BO121" s="9">
        <f t="shared" si="58"/>
        <v>0</v>
      </c>
      <c r="BP121" s="9">
        <f t="shared" si="59"/>
        <v>579.79</v>
      </c>
      <c r="BQ121" s="9">
        <f t="shared" si="60"/>
        <v>289.89999999999998</v>
      </c>
      <c r="BR121" s="9">
        <f t="shared" si="61"/>
        <v>1478.47</v>
      </c>
      <c r="BS121" s="9">
        <f t="shared" si="62"/>
        <v>1362.51</v>
      </c>
      <c r="BT121" s="9">
        <f t="shared" si="63"/>
        <v>202.93</v>
      </c>
      <c r="BU121" s="9">
        <f t="shared" si="64"/>
        <v>12610.48</v>
      </c>
      <c r="BV121" s="9">
        <f t="shared" si="65"/>
        <v>318.89</v>
      </c>
      <c r="BW121" s="9">
        <f t="shared" si="66"/>
        <v>4696.32</v>
      </c>
      <c r="BX121" s="9">
        <f t="shared" si="67"/>
        <v>5276.11</v>
      </c>
      <c r="BY121" s="17">
        <f t="shared" si="68"/>
        <v>53920.67</v>
      </c>
      <c r="BZ121" s="17">
        <v>1.53</v>
      </c>
      <c r="CA121" s="17">
        <v>0.03</v>
      </c>
      <c r="CB121" s="173">
        <v>0</v>
      </c>
      <c r="CC121" s="27">
        <v>0.01</v>
      </c>
      <c r="CD121" s="29">
        <v>6.33</v>
      </c>
      <c r="CE121" s="9">
        <v>8958.8700000000008</v>
      </c>
      <c r="CF121" s="9"/>
      <c r="CG121" s="9">
        <v>6323.62</v>
      </c>
      <c r="CH121" s="9">
        <v>3310.63</v>
      </c>
      <c r="CI121" s="9">
        <f t="shared" si="94"/>
        <v>3.09</v>
      </c>
      <c r="CJ121" s="9">
        <f t="shared" si="95"/>
        <v>0</v>
      </c>
      <c r="CK121" s="13">
        <f t="shared" si="96"/>
        <v>2.1800000000000002</v>
      </c>
      <c r="CL121" s="13">
        <f t="shared" si="97"/>
        <v>1.1399999999999999</v>
      </c>
      <c r="CM121" s="13">
        <v>48158.36</v>
      </c>
      <c r="CN121" s="13">
        <v>6291.69</v>
      </c>
      <c r="CO121" s="13">
        <v>0</v>
      </c>
      <c r="CP121" s="13">
        <v>647.4</v>
      </c>
      <c r="CQ121" s="13">
        <v>336.61</v>
      </c>
      <c r="CR121" s="13">
        <v>46229.25</v>
      </c>
      <c r="CS121" s="13">
        <v>8985.99</v>
      </c>
      <c r="CT121" s="13">
        <v>0</v>
      </c>
      <c r="CU121" s="13">
        <v>1058.8800000000001</v>
      </c>
      <c r="CV121" s="13">
        <v>551.6</v>
      </c>
      <c r="CW121" s="202">
        <v>2526</v>
      </c>
      <c r="CX121" s="200">
        <v>1449</v>
      </c>
      <c r="CY121" s="202"/>
      <c r="CZ121" s="202"/>
      <c r="DA121" s="202"/>
      <c r="DB121" s="202"/>
      <c r="DC121" s="202"/>
      <c r="DD121" s="461"/>
      <c r="DE121" s="256"/>
      <c r="DF121" s="204">
        <v>860</v>
      </c>
      <c r="DG121" s="204"/>
      <c r="DH121" s="204"/>
      <c r="DI121" s="204"/>
      <c r="DJ121" s="202"/>
      <c r="DK121" s="202"/>
      <c r="DL121" s="202"/>
      <c r="DM121" s="202"/>
      <c r="DN121" s="202"/>
      <c r="DO121" s="202"/>
      <c r="DP121" s="202">
        <v>12369</v>
      </c>
      <c r="DQ121" s="202">
        <v>2550</v>
      </c>
      <c r="DR121" s="202">
        <v>1.5</v>
      </c>
      <c r="DS121" s="202"/>
      <c r="DT121" s="254"/>
      <c r="DU121" s="254"/>
      <c r="DV121" s="202"/>
      <c r="DW121" s="202">
        <v>11303</v>
      </c>
      <c r="DX121" s="202"/>
      <c r="DY121" s="107">
        <v>1365</v>
      </c>
      <c r="DZ121" s="107">
        <v>577</v>
      </c>
      <c r="EA121" s="202"/>
      <c r="EB121" s="202"/>
      <c r="EC121" s="202"/>
      <c r="ED121" s="202"/>
      <c r="EE121" s="202"/>
      <c r="EF121" s="229"/>
      <c r="EG121" s="202"/>
      <c r="EH121" s="202"/>
      <c r="EI121" s="202"/>
      <c r="EJ121" s="202"/>
      <c r="EK121" s="202">
        <v>7030.16</v>
      </c>
      <c r="EL121" s="202">
        <v>0</v>
      </c>
      <c r="EM121" s="202">
        <v>729.65</v>
      </c>
      <c r="EN121" s="202">
        <v>367.85</v>
      </c>
      <c r="EO121" s="202">
        <v>7030.16</v>
      </c>
      <c r="EP121" s="202"/>
      <c r="EQ121" s="202">
        <v>729.65</v>
      </c>
      <c r="ER121" s="202">
        <v>367.85</v>
      </c>
      <c r="ES121" s="202"/>
      <c r="ET121" s="202"/>
      <c r="EU121" s="202"/>
      <c r="EV121" s="214">
        <v>-0.67</v>
      </c>
      <c r="EW121" s="240">
        <f t="shared" si="73"/>
        <v>6340.49</v>
      </c>
      <c r="EX121" s="209">
        <f t="shared" si="74"/>
        <v>4126.7299999999996</v>
      </c>
    </row>
    <row r="122" spans="1:154" ht="12.75" customHeight="1" x14ac:dyDescent="0.2">
      <c r="A122" s="45" t="s">
        <v>187</v>
      </c>
      <c r="B122" s="55" t="s">
        <v>155</v>
      </c>
      <c r="C122" s="56" t="s">
        <v>89</v>
      </c>
      <c r="D122" s="57" t="s">
        <v>445</v>
      </c>
      <c r="E122" s="56" t="s">
        <v>12</v>
      </c>
      <c r="F122" s="11">
        <v>4</v>
      </c>
      <c r="G122" s="11">
        <v>4</v>
      </c>
      <c r="H122" s="11">
        <v>42</v>
      </c>
      <c r="I122" s="11">
        <v>45</v>
      </c>
      <c r="J122" s="11">
        <v>74</v>
      </c>
      <c r="K122" s="11">
        <v>98</v>
      </c>
      <c r="L122" s="11" t="s">
        <v>746</v>
      </c>
      <c r="M122" s="84">
        <v>64</v>
      </c>
      <c r="N122" s="84">
        <v>411.8</v>
      </c>
      <c r="O122" s="84">
        <v>411.8</v>
      </c>
      <c r="P122" s="139">
        <f>228+37.2</f>
        <v>265.2</v>
      </c>
      <c r="Q122" s="135">
        <v>364</v>
      </c>
      <c r="R122" s="133">
        <v>653.5</v>
      </c>
      <c r="S122" s="133">
        <f t="shared" si="75"/>
        <v>1282.7</v>
      </c>
      <c r="T122" s="139">
        <v>253.1</v>
      </c>
      <c r="U122" s="130">
        <v>0.84</v>
      </c>
      <c r="V122" s="91">
        <v>1.1299999999999999E-2</v>
      </c>
      <c r="W122" s="91" t="s">
        <v>823</v>
      </c>
      <c r="X122" s="132" t="s">
        <v>823</v>
      </c>
      <c r="Y122" s="91">
        <v>1.1299999999999999E-2</v>
      </c>
      <c r="Z122" s="29">
        <v>2356.54</v>
      </c>
      <c r="AA122" s="34">
        <v>529.70000000000005</v>
      </c>
      <c r="AB122" s="9">
        <f t="shared" si="83"/>
        <v>2886.24</v>
      </c>
      <c r="AC122" s="9">
        <f t="shared" si="89"/>
        <v>18269.900000000001</v>
      </c>
      <c r="AD122" s="9">
        <v>0.44</v>
      </c>
      <c r="AE122" s="9">
        <v>3.77</v>
      </c>
      <c r="AF122" s="21">
        <f>2.43-AJ122</f>
        <v>2.14</v>
      </c>
      <c r="AG122" s="18">
        <f>0.53-AQ122</f>
        <v>0.43</v>
      </c>
      <c r="AH122" s="9">
        <v>2.17</v>
      </c>
      <c r="AI122" s="13">
        <v>850</v>
      </c>
      <c r="AJ122" s="21">
        <f t="shared" si="48"/>
        <v>0.28999999999999998</v>
      </c>
      <c r="AK122" s="9">
        <v>0</v>
      </c>
      <c r="AL122" s="9">
        <v>0</v>
      </c>
      <c r="AM122" s="9">
        <v>0.2</v>
      </c>
      <c r="AN122" s="13">
        <v>207.6</v>
      </c>
      <c r="AO122" s="13">
        <v>415.2</v>
      </c>
      <c r="AP122" s="13">
        <f t="shared" si="77"/>
        <v>5.58</v>
      </c>
      <c r="AQ122" s="18">
        <f t="shared" si="49"/>
        <v>0.1</v>
      </c>
      <c r="AR122" s="9">
        <v>0.49</v>
      </c>
      <c r="AS122" s="9">
        <v>0.47</v>
      </c>
      <c r="AT122" s="9">
        <v>7.0000000000000007E-2</v>
      </c>
      <c r="AU122" s="9">
        <v>4.37</v>
      </c>
      <c r="AV122" s="9">
        <v>0.11</v>
      </c>
      <c r="AW122" s="9">
        <f>0.26+0.39+0.94</f>
        <v>1.59</v>
      </c>
      <c r="AX122" s="9">
        <f>1.3+0.51</f>
        <v>1.81</v>
      </c>
      <c r="AY122" s="58">
        <f t="shared" si="78"/>
        <v>18.45</v>
      </c>
      <c r="AZ122" s="59">
        <v>2351.1</v>
      </c>
      <c r="BA122" s="59">
        <v>529.70000000000005</v>
      </c>
      <c r="BB122" s="59">
        <f t="shared" si="84"/>
        <v>2880.8</v>
      </c>
      <c r="BC122" s="59">
        <v>18.45</v>
      </c>
      <c r="BD122" s="13">
        <f t="shared" si="76"/>
        <v>0</v>
      </c>
      <c r="BE122" s="9">
        <f t="shared" si="50"/>
        <v>53251.13</v>
      </c>
      <c r="BF122" s="9">
        <v>18.45</v>
      </c>
      <c r="BG122" s="10">
        <v>44378</v>
      </c>
      <c r="BH122" s="9">
        <f t="shared" si="51"/>
        <v>1269.95</v>
      </c>
      <c r="BI122" s="9">
        <f t="shared" si="52"/>
        <v>10881.12</v>
      </c>
      <c r="BJ122" s="9">
        <f t="shared" si="53"/>
        <v>6176.55</v>
      </c>
      <c r="BK122" s="9">
        <f t="shared" si="54"/>
        <v>1241.08</v>
      </c>
      <c r="BL122" s="9">
        <f t="shared" si="55"/>
        <v>6263.14</v>
      </c>
      <c r="BM122" s="9">
        <f t="shared" si="56"/>
        <v>837.01</v>
      </c>
      <c r="BN122" s="9">
        <f t="shared" si="57"/>
        <v>0</v>
      </c>
      <c r="BO122" s="9">
        <f t="shared" si="58"/>
        <v>0</v>
      </c>
      <c r="BP122" s="9">
        <f t="shared" si="59"/>
        <v>577.25</v>
      </c>
      <c r="BQ122" s="9">
        <f t="shared" si="60"/>
        <v>288.62</v>
      </c>
      <c r="BR122" s="9">
        <f t="shared" si="61"/>
        <v>1414.26</v>
      </c>
      <c r="BS122" s="9">
        <f t="shared" si="62"/>
        <v>1356.53</v>
      </c>
      <c r="BT122" s="9">
        <f t="shared" si="63"/>
        <v>202.04</v>
      </c>
      <c r="BU122" s="9">
        <f t="shared" si="64"/>
        <v>12612.87</v>
      </c>
      <c r="BV122" s="9">
        <f t="shared" si="65"/>
        <v>317.49</v>
      </c>
      <c r="BW122" s="9">
        <f t="shared" si="66"/>
        <v>4589.12</v>
      </c>
      <c r="BX122" s="9">
        <f t="shared" si="67"/>
        <v>5224.09</v>
      </c>
      <c r="BY122" s="17">
        <f t="shared" si="68"/>
        <v>53251.12</v>
      </c>
      <c r="BZ122" s="17">
        <v>1.1599999999999999</v>
      </c>
      <c r="CA122" s="17">
        <v>0.03</v>
      </c>
      <c r="CB122" s="173">
        <v>0</v>
      </c>
      <c r="CC122" s="27">
        <v>0.01</v>
      </c>
      <c r="CD122" s="29">
        <v>6.33</v>
      </c>
      <c r="CE122" s="9">
        <v>205.9</v>
      </c>
      <c r="CF122" s="9"/>
      <c r="CG122" s="9">
        <v>0</v>
      </c>
      <c r="CH122" s="9">
        <v>0</v>
      </c>
      <c r="CI122" s="9">
        <f t="shared" si="94"/>
        <v>7.0000000000000007E-2</v>
      </c>
      <c r="CJ122" s="9">
        <f t="shared" si="95"/>
        <v>0</v>
      </c>
      <c r="CK122" s="13">
        <f t="shared" si="96"/>
        <v>0</v>
      </c>
      <c r="CL122" s="13">
        <f t="shared" si="97"/>
        <v>0</v>
      </c>
      <c r="CM122" s="13">
        <v>43478.25</v>
      </c>
      <c r="CN122" s="13">
        <v>164.93</v>
      </c>
      <c r="CO122" s="13">
        <v>0</v>
      </c>
      <c r="CP122" s="13">
        <v>0</v>
      </c>
      <c r="CQ122" s="13">
        <v>0</v>
      </c>
      <c r="CR122" s="13">
        <v>44088.9</v>
      </c>
      <c r="CS122" s="13">
        <v>354.38</v>
      </c>
      <c r="CT122" s="13">
        <v>0</v>
      </c>
      <c r="CU122" s="13">
        <v>7.08</v>
      </c>
      <c r="CV122" s="13">
        <v>2.34</v>
      </c>
      <c r="CW122" s="202">
        <v>2515</v>
      </c>
      <c r="CX122" s="200">
        <v>1443</v>
      </c>
      <c r="CY122" s="202"/>
      <c r="CZ122" s="202"/>
      <c r="DA122" s="202"/>
      <c r="DB122" s="202"/>
      <c r="DC122" s="202"/>
      <c r="DD122" s="461"/>
      <c r="DE122" s="256"/>
      <c r="DF122" s="204">
        <v>850</v>
      </c>
      <c r="DG122" s="204"/>
      <c r="DH122" s="204"/>
      <c r="DI122" s="204"/>
      <c r="DJ122" s="202"/>
      <c r="DK122" s="202"/>
      <c r="DL122" s="202"/>
      <c r="DM122" s="202"/>
      <c r="DN122" s="202"/>
      <c r="DO122" s="202"/>
      <c r="DP122" s="202">
        <v>11910</v>
      </c>
      <c r="DQ122" s="202">
        <v>3400</v>
      </c>
      <c r="DR122" s="202">
        <v>2</v>
      </c>
      <c r="DS122" s="202"/>
      <c r="DT122" s="254"/>
      <c r="DU122" s="254"/>
      <c r="DV122" s="202"/>
      <c r="DW122" s="202">
        <v>11315</v>
      </c>
      <c r="DX122" s="202"/>
      <c r="DY122" s="107">
        <v>1365</v>
      </c>
      <c r="DZ122" s="107">
        <v>577</v>
      </c>
      <c r="EA122" s="202"/>
      <c r="EB122" s="202"/>
      <c r="EC122" s="202"/>
      <c r="ED122" s="202"/>
      <c r="EE122" s="202"/>
      <c r="EF122" s="229"/>
      <c r="EG122" s="202"/>
      <c r="EH122" s="202"/>
      <c r="EI122" s="202"/>
      <c r="EJ122" s="202"/>
      <c r="EK122" s="202">
        <v>205.9</v>
      </c>
      <c r="EL122" s="202">
        <v>0</v>
      </c>
      <c r="EM122" s="202">
        <v>0</v>
      </c>
      <c r="EN122" s="202">
        <v>0</v>
      </c>
      <c r="EO122" s="202">
        <v>205.9</v>
      </c>
      <c r="EP122" s="202"/>
      <c r="EQ122" s="202">
        <v>0</v>
      </c>
      <c r="ER122" s="202">
        <v>0</v>
      </c>
      <c r="ES122" s="202"/>
      <c r="ET122" s="202"/>
      <c r="EU122" s="202"/>
      <c r="EV122" s="214">
        <v>-0.71</v>
      </c>
      <c r="EW122" s="240">
        <f t="shared" si="73"/>
        <v>6312.67</v>
      </c>
      <c r="EX122" s="209">
        <f t="shared" si="74"/>
        <v>4108.62</v>
      </c>
    </row>
    <row r="123" spans="1:154" ht="12.75" customHeight="1" x14ac:dyDescent="0.2">
      <c r="A123" s="45" t="s">
        <v>188</v>
      </c>
      <c r="B123" s="51" t="s">
        <v>155</v>
      </c>
      <c r="C123" s="52" t="s">
        <v>34</v>
      </c>
      <c r="D123" s="53" t="s">
        <v>446</v>
      </c>
      <c r="E123" s="52" t="s">
        <v>12</v>
      </c>
      <c r="F123" s="11">
        <v>5</v>
      </c>
      <c r="G123" s="11">
        <v>3</v>
      </c>
      <c r="H123" s="11">
        <v>56</v>
      </c>
      <c r="I123" s="11">
        <v>57</v>
      </c>
      <c r="J123" s="11">
        <v>101</v>
      </c>
      <c r="K123" s="11">
        <v>107</v>
      </c>
      <c r="L123" s="11" t="s">
        <v>746</v>
      </c>
      <c r="M123" s="84">
        <v>183</v>
      </c>
      <c r="N123" s="84">
        <v>353.8</v>
      </c>
      <c r="O123" s="84">
        <v>353.8</v>
      </c>
      <c r="P123" s="135">
        <v>183</v>
      </c>
      <c r="Q123" s="135">
        <v>354.3</v>
      </c>
      <c r="R123" s="133">
        <v>354.3</v>
      </c>
      <c r="S123" s="133">
        <f t="shared" si="75"/>
        <v>891.6</v>
      </c>
      <c r="T123" s="134">
        <v>183</v>
      </c>
      <c r="U123" s="130">
        <v>1.53</v>
      </c>
      <c r="V123" s="91">
        <v>1.1299999999999999E-2</v>
      </c>
      <c r="W123" s="91" t="s">
        <v>823</v>
      </c>
      <c r="X123" s="132" t="s">
        <v>823</v>
      </c>
      <c r="Y123" s="91">
        <v>1.1299999999999999E-2</v>
      </c>
      <c r="Z123" s="29">
        <v>2319.5500000000002</v>
      </c>
      <c r="AA123" s="34">
        <v>219.6</v>
      </c>
      <c r="AB123" s="9">
        <f t="shared" si="83"/>
        <v>2539.15</v>
      </c>
      <c r="AC123" s="9">
        <f t="shared" si="89"/>
        <v>16072.82</v>
      </c>
      <c r="AD123" s="9">
        <v>0.36</v>
      </c>
      <c r="AE123" s="9">
        <v>3.43</v>
      </c>
      <c r="AF123" s="21">
        <f>2.44-AJ123</f>
        <v>2.1800000000000002</v>
      </c>
      <c r="AG123" s="18">
        <f>0.53-AQ123</f>
        <v>0.39</v>
      </c>
      <c r="AH123" s="9">
        <v>2.16</v>
      </c>
      <c r="AI123" s="13">
        <v>668</v>
      </c>
      <c r="AJ123" s="21">
        <f t="shared" si="48"/>
        <v>0.26</v>
      </c>
      <c r="AK123" s="9">
        <v>0</v>
      </c>
      <c r="AL123" s="9">
        <v>0</v>
      </c>
      <c r="AM123" s="9">
        <v>0.23</v>
      </c>
      <c r="AN123" s="13">
        <v>246</v>
      </c>
      <c r="AO123" s="13">
        <v>492</v>
      </c>
      <c r="AP123" s="13">
        <f t="shared" si="77"/>
        <v>5.58</v>
      </c>
      <c r="AQ123" s="18">
        <f t="shared" si="49"/>
        <v>0.14000000000000001</v>
      </c>
      <c r="AR123" s="9">
        <v>0.81</v>
      </c>
      <c r="AS123" s="9">
        <v>0.54</v>
      </c>
      <c r="AT123" s="9">
        <v>7.0000000000000007E-2</v>
      </c>
      <c r="AU123" s="9">
        <v>4.6500000000000004</v>
      </c>
      <c r="AV123" s="9">
        <v>0.11</v>
      </c>
      <c r="AW123" s="9">
        <f>0.95+0.32+0.41</f>
        <v>1.68</v>
      </c>
      <c r="AX123" s="9">
        <f>1.31+0.55</f>
        <v>1.86</v>
      </c>
      <c r="AY123" s="54">
        <f t="shared" si="78"/>
        <v>18.87</v>
      </c>
      <c r="AZ123" s="43">
        <v>2378.1999999999998</v>
      </c>
      <c r="BA123" s="43">
        <v>165.1</v>
      </c>
      <c r="BB123" s="43">
        <f t="shared" si="84"/>
        <v>2543.3000000000002</v>
      </c>
      <c r="BC123" s="43">
        <v>18.87</v>
      </c>
      <c r="BD123" s="13">
        <f t="shared" si="76"/>
        <v>0</v>
      </c>
      <c r="BE123" s="9">
        <f t="shared" si="50"/>
        <v>47913.760000000002</v>
      </c>
      <c r="BF123" s="9">
        <v>18.87</v>
      </c>
      <c r="BG123" s="10">
        <v>44378</v>
      </c>
      <c r="BH123" s="9">
        <f t="shared" si="51"/>
        <v>914.09</v>
      </c>
      <c r="BI123" s="9">
        <f t="shared" si="52"/>
        <v>8709.2800000000007</v>
      </c>
      <c r="BJ123" s="9">
        <f t="shared" si="53"/>
        <v>5535.35</v>
      </c>
      <c r="BK123" s="9">
        <f t="shared" si="54"/>
        <v>990.27</v>
      </c>
      <c r="BL123" s="9">
        <f t="shared" si="55"/>
        <v>5484.56</v>
      </c>
      <c r="BM123" s="9">
        <f t="shared" si="56"/>
        <v>660.18</v>
      </c>
      <c r="BN123" s="9">
        <f t="shared" si="57"/>
        <v>0</v>
      </c>
      <c r="BO123" s="9">
        <f t="shared" si="58"/>
        <v>0</v>
      </c>
      <c r="BP123" s="9">
        <f t="shared" si="59"/>
        <v>584</v>
      </c>
      <c r="BQ123" s="9">
        <f t="shared" si="60"/>
        <v>355.48</v>
      </c>
      <c r="BR123" s="9">
        <f t="shared" si="61"/>
        <v>2056.71</v>
      </c>
      <c r="BS123" s="9">
        <f t="shared" si="62"/>
        <v>1371.14</v>
      </c>
      <c r="BT123" s="9">
        <f t="shared" si="63"/>
        <v>177.74</v>
      </c>
      <c r="BU123" s="9">
        <f t="shared" si="64"/>
        <v>11807.05</v>
      </c>
      <c r="BV123" s="9">
        <f t="shared" si="65"/>
        <v>279.31</v>
      </c>
      <c r="BW123" s="9">
        <f t="shared" si="66"/>
        <v>4265.7700000000004</v>
      </c>
      <c r="BX123" s="9">
        <f t="shared" si="67"/>
        <v>4722.82</v>
      </c>
      <c r="BY123" s="17">
        <f t="shared" si="68"/>
        <v>47913.75</v>
      </c>
      <c r="BZ123" s="17">
        <v>2.06</v>
      </c>
      <c r="CA123" s="17">
        <v>0.02</v>
      </c>
      <c r="CB123" s="173">
        <v>0</v>
      </c>
      <c r="CC123" s="27">
        <v>0.01</v>
      </c>
      <c r="CD123" s="29">
        <v>6.33</v>
      </c>
      <c r="CE123" s="9">
        <v>1072.3599999999999</v>
      </c>
      <c r="CF123" s="9"/>
      <c r="CG123" s="9">
        <v>2270.02</v>
      </c>
      <c r="CH123" s="9">
        <v>1174.28</v>
      </c>
      <c r="CI123" s="9">
        <f t="shared" si="94"/>
        <v>0.42</v>
      </c>
      <c r="CJ123" s="9">
        <f t="shared" si="95"/>
        <v>0</v>
      </c>
      <c r="CK123" s="13">
        <f t="shared" si="96"/>
        <v>0.89</v>
      </c>
      <c r="CL123" s="13">
        <f t="shared" si="97"/>
        <v>0.46</v>
      </c>
      <c r="CM123" s="13">
        <v>43769.94</v>
      </c>
      <c r="CN123" s="13">
        <v>974.22</v>
      </c>
      <c r="CO123" s="13">
        <v>0</v>
      </c>
      <c r="CP123" s="13">
        <v>7306.72</v>
      </c>
      <c r="CQ123" s="13">
        <v>3827.39</v>
      </c>
      <c r="CR123" s="13">
        <v>45466.65</v>
      </c>
      <c r="CS123" s="13">
        <v>1058.5999999999999</v>
      </c>
      <c r="CT123" s="13">
        <v>0</v>
      </c>
      <c r="CU123" s="13">
        <v>3838.3</v>
      </c>
      <c r="CV123" s="13">
        <v>2010.78</v>
      </c>
      <c r="CW123" s="202">
        <v>2212</v>
      </c>
      <c r="CX123" s="200">
        <v>1269</v>
      </c>
      <c r="CY123" s="202"/>
      <c r="CZ123" s="202"/>
      <c r="DA123" s="202"/>
      <c r="DB123" s="202"/>
      <c r="DC123" s="202"/>
      <c r="DD123" s="461"/>
      <c r="DE123" s="256"/>
      <c r="DF123" s="204">
        <v>668</v>
      </c>
      <c r="DG123" s="204"/>
      <c r="DH123" s="204"/>
      <c r="DI123" s="204"/>
      <c r="DJ123" s="202"/>
      <c r="DK123" s="202"/>
      <c r="DL123" s="202"/>
      <c r="DM123" s="202"/>
      <c r="DN123" s="202"/>
      <c r="DO123" s="202"/>
      <c r="DP123" s="202">
        <v>9469</v>
      </c>
      <c r="DQ123" s="202">
        <v>2074</v>
      </c>
      <c r="DR123" s="202">
        <v>1.22</v>
      </c>
      <c r="DS123" s="202"/>
      <c r="DT123" s="254"/>
      <c r="DU123" s="254"/>
      <c r="DV123" s="202"/>
      <c r="DW123" s="202">
        <v>9982</v>
      </c>
      <c r="DX123" s="202"/>
      <c r="DY123" s="107">
        <v>1365</v>
      </c>
      <c r="DZ123" s="107">
        <v>577</v>
      </c>
      <c r="EA123" s="202">
        <v>5113.47</v>
      </c>
      <c r="EB123" s="202"/>
      <c r="EC123" s="202"/>
      <c r="ED123" s="202"/>
      <c r="EE123" s="202"/>
      <c r="EF123" s="229"/>
      <c r="EG123" s="202"/>
      <c r="EH123" s="202"/>
      <c r="EI123" s="202"/>
      <c r="EJ123" s="202"/>
      <c r="EK123" s="202">
        <v>1072.3599999999999</v>
      </c>
      <c r="EL123" s="202">
        <v>0</v>
      </c>
      <c r="EM123" s="202">
        <v>7999.1</v>
      </c>
      <c r="EN123" s="202">
        <v>4187.8100000000004</v>
      </c>
      <c r="EO123" s="202">
        <v>1072.3599999999999</v>
      </c>
      <c r="EP123" s="202"/>
      <c r="EQ123" s="202">
        <v>7999.1</v>
      </c>
      <c r="ER123" s="202">
        <v>4187.8100000000004</v>
      </c>
      <c r="ES123" s="202"/>
      <c r="ET123" s="202"/>
      <c r="EU123" s="202"/>
      <c r="EV123" s="214">
        <v>0.08</v>
      </c>
      <c r="EW123" s="240">
        <f t="shared" si="73"/>
        <v>5553.53</v>
      </c>
      <c r="EX123" s="209">
        <f t="shared" si="74"/>
        <v>3614.53</v>
      </c>
    </row>
    <row r="124" spans="1:154" ht="12.75" customHeight="1" x14ac:dyDescent="0.2">
      <c r="A124" s="45" t="s">
        <v>189</v>
      </c>
      <c r="B124" s="55" t="s">
        <v>155</v>
      </c>
      <c r="C124" s="56" t="s">
        <v>37</v>
      </c>
      <c r="D124" s="57" t="s">
        <v>447</v>
      </c>
      <c r="E124" s="56" t="s">
        <v>12</v>
      </c>
      <c r="F124" s="11">
        <v>5</v>
      </c>
      <c r="G124" s="11">
        <v>2</v>
      </c>
      <c r="H124" s="11">
        <v>40</v>
      </c>
      <c r="I124" s="11">
        <v>40</v>
      </c>
      <c r="J124" s="11">
        <v>69</v>
      </c>
      <c r="K124" s="11">
        <v>91</v>
      </c>
      <c r="L124" s="11" t="s">
        <v>746</v>
      </c>
      <c r="M124" s="84">
        <v>170</v>
      </c>
      <c r="N124" s="84">
        <v>247</v>
      </c>
      <c r="O124" s="84">
        <v>247</v>
      </c>
      <c r="P124" s="139">
        <v>122</v>
      </c>
      <c r="Q124" s="135">
        <v>333.7</v>
      </c>
      <c r="R124" s="133">
        <v>333.7</v>
      </c>
      <c r="S124" s="133">
        <f t="shared" si="75"/>
        <v>789.4</v>
      </c>
      <c r="T124" s="139">
        <v>170</v>
      </c>
      <c r="U124" s="130">
        <v>1.53</v>
      </c>
      <c r="V124" s="91">
        <v>1.1299999999999999E-2</v>
      </c>
      <c r="W124" s="91" t="s">
        <v>823</v>
      </c>
      <c r="X124" s="132" t="s">
        <v>823</v>
      </c>
      <c r="Y124" s="91">
        <v>1.1299999999999999E-2</v>
      </c>
      <c r="Z124" s="29">
        <v>1452.53</v>
      </c>
      <c r="AA124" s="34">
        <v>166.7</v>
      </c>
      <c r="AB124" s="9">
        <f t="shared" si="83"/>
        <v>1619.23</v>
      </c>
      <c r="AC124" s="9">
        <f t="shared" si="89"/>
        <v>10249.73</v>
      </c>
      <c r="AD124" s="9">
        <v>0.51</v>
      </c>
      <c r="AE124" s="9">
        <v>3.1</v>
      </c>
      <c r="AF124" s="21">
        <f>2.44-AJ124</f>
        <v>2.1</v>
      </c>
      <c r="AG124" s="18">
        <f>0.54-AQ124</f>
        <v>0.4</v>
      </c>
      <c r="AH124" s="9">
        <v>2.16</v>
      </c>
      <c r="AI124" s="13">
        <v>545</v>
      </c>
      <c r="AJ124" s="21">
        <f t="shared" si="48"/>
        <v>0.34</v>
      </c>
      <c r="AK124" s="9">
        <v>0</v>
      </c>
      <c r="AL124" s="9">
        <v>0</v>
      </c>
      <c r="AM124" s="9">
        <v>0.36</v>
      </c>
      <c r="AN124" s="13">
        <v>164</v>
      </c>
      <c r="AO124" s="13">
        <v>328</v>
      </c>
      <c r="AP124" s="13">
        <f t="shared" si="77"/>
        <v>5.58</v>
      </c>
      <c r="AQ124" s="18">
        <f t="shared" si="49"/>
        <v>0.14000000000000001</v>
      </c>
      <c r="AR124" s="9">
        <v>0.83</v>
      </c>
      <c r="AS124" s="9">
        <v>0.84</v>
      </c>
      <c r="AT124" s="9">
        <v>7.0000000000000007E-2</v>
      </c>
      <c r="AU124" s="9">
        <v>4.6500000000000004</v>
      </c>
      <c r="AV124" s="9">
        <v>0.11</v>
      </c>
      <c r="AW124" s="9">
        <f>0.35+0.97+0.4</f>
        <v>1.72</v>
      </c>
      <c r="AX124" s="9">
        <f>1.36+0.55</f>
        <v>1.91</v>
      </c>
      <c r="AY124" s="58">
        <f t="shared" si="78"/>
        <v>19.239999999999998</v>
      </c>
      <c r="AZ124" s="59">
        <v>1450.2</v>
      </c>
      <c r="BA124" s="59">
        <v>166.7</v>
      </c>
      <c r="BB124" s="59">
        <f t="shared" si="84"/>
        <v>1616.9</v>
      </c>
      <c r="BC124" s="59">
        <v>19.239999999999998</v>
      </c>
      <c r="BD124" s="13">
        <f t="shared" si="76"/>
        <v>0</v>
      </c>
      <c r="BE124" s="9">
        <f t="shared" si="50"/>
        <v>31153.99</v>
      </c>
      <c r="BF124" s="9">
        <v>19.239999999999998</v>
      </c>
      <c r="BG124" s="10">
        <v>44378</v>
      </c>
      <c r="BH124" s="9">
        <f t="shared" si="51"/>
        <v>825.81</v>
      </c>
      <c r="BI124" s="9">
        <f t="shared" si="52"/>
        <v>5019.6099999999997</v>
      </c>
      <c r="BJ124" s="9">
        <f t="shared" si="53"/>
        <v>3400.38</v>
      </c>
      <c r="BK124" s="9">
        <f t="shared" si="54"/>
        <v>647.69000000000005</v>
      </c>
      <c r="BL124" s="9">
        <f t="shared" si="55"/>
        <v>3497.54</v>
      </c>
      <c r="BM124" s="9">
        <f t="shared" si="56"/>
        <v>550.54</v>
      </c>
      <c r="BN124" s="9">
        <f t="shared" si="57"/>
        <v>0</v>
      </c>
      <c r="BO124" s="9">
        <f t="shared" si="58"/>
        <v>0</v>
      </c>
      <c r="BP124" s="9">
        <f t="shared" si="59"/>
        <v>582.91999999999996</v>
      </c>
      <c r="BQ124" s="9">
        <f t="shared" si="60"/>
        <v>226.69</v>
      </c>
      <c r="BR124" s="9">
        <f t="shared" si="61"/>
        <v>1343.96</v>
      </c>
      <c r="BS124" s="9">
        <f t="shared" si="62"/>
        <v>1360.15</v>
      </c>
      <c r="BT124" s="9">
        <f t="shared" si="63"/>
        <v>113.35</v>
      </c>
      <c r="BU124" s="9">
        <f t="shared" si="64"/>
        <v>7529.42</v>
      </c>
      <c r="BV124" s="9">
        <f t="shared" si="65"/>
        <v>178.12</v>
      </c>
      <c r="BW124" s="9">
        <f t="shared" si="66"/>
        <v>2785.08</v>
      </c>
      <c r="BX124" s="9">
        <f t="shared" si="67"/>
        <v>3092.73</v>
      </c>
      <c r="BY124" s="17">
        <f t="shared" si="68"/>
        <v>31153.99</v>
      </c>
      <c r="BZ124" s="17">
        <v>2.31</v>
      </c>
      <c r="CA124" s="17">
        <v>0.03</v>
      </c>
      <c r="CB124" s="173">
        <v>0</v>
      </c>
      <c r="CC124" s="27">
        <v>0.02</v>
      </c>
      <c r="CD124" s="29">
        <v>6.33</v>
      </c>
      <c r="CE124" s="9">
        <v>996.18</v>
      </c>
      <c r="CF124" s="9"/>
      <c r="CG124" s="9">
        <v>0</v>
      </c>
      <c r="CH124" s="9">
        <v>0</v>
      </c>
      <c r="CI124" s="9">
        <f t="shared" si="94"/>
        <v>0.62</v>
      </c>
      <c r="CJ124" s="9">
        <f t="shared" si="95"/>
        <v>0</v>
      </c>
      <c r="CK124" s="13">
        <f t="shared" si="96"/>
        <v>0</v>
      </c>
      <c r="CL124" s="13">
        <f t="shared" si="97"/>
        <v>0</v>
      </c>
      <c r="CM124" s="13">
        <v>27946.69</v>
      </c>
      <c r="CN124" s="13">
        <v>900.58</v>
      </c>
      <c r="CO124" s="13">
        <v>0</v>
      </c>
      <c r="CP124" s="13">
        <v>0</v>
      </c>
      <c r="CQ124" s="13">
        <v>0</v>
      </c>
      <c r="CR124" s="13">
        <v>33586.65</v>
      </c>
      <c r="CS124" s="13">
        <v>1885.42</v>
      </c>
      <c r="CT124" s="13">
        <v>0</v>
      </c>
      <c r="CU124" s="13">
        <v>18.87</v>
      </c>
      <c r="CV124" s="13">
        <v>12.63</v>
      </c>
      <c r="CW124" s="202">
        <v>1411</v>
      </c>
      <c r="CX124" s="200">
        <v>809</v>
      </c>
      <c r="CY124" s="202"/>
      <c r="CZ124" s="202"/>
      <c r="DA124" s="202"/>
      <c r="DB124" s="202"/>
      <c r="DC124" s="202"/>
      <c r="DD124" s="461"/>
      <c r="DE124" s="256"/>
      <c r="DF124" s="204">
        <v>545</v>
      </c>
      <c r="DG124" s="204"/>
      <c r="DH124" s="204"/>
      <c r="DI124" s="204"/>
      <c r="DJ124" s="202"/>
      <c r="DK124" s="202"/>
      <c r="DL124" s="202"/>
      <c r="DM124" s="202"/>
      <c r="DN124" s="202"/>
      <c r="DO124" s="202"/>
      <c r="DP124" s="202">
        <v>5750</v>
      </c>
      <c r="DQ124" s="202">
        <v>2074</v>
      </c>
      <c r="DR124" s="202">
        <v>1.22</v>
      </c>
      <c r="DS124" s="202"/>
      <c r="DT124" s="254"/>
      <c r="DU124" s="254"/>
      <c r="DV124" s="202"/>
      <c r="DW124" s="202">
        <v>6251</v>
      </c>
      <c r="DX124" s="202"/>
      <c r="DY124" s="107">
        <v>1365</v>
      </c>
      <c r="DZ124" s="107">
        <v>577</v>
      </c>
      <c r="EA124" s="202"/>
      <c r="EB124" s="202"/>
      <c r="EC124" s="202"/>
      <c r="ED124" s="202"/>
      <c r="EE124" s="202"/>
      <c r="EF124" s="229"/>
      <c r="EG124" s="202"/>
      <c r="EH124" s="202"/>
      <c r="EI124" s="202"/>
      <c r="EJ124" s="202"/>
      <c r="EK124" s="202">
        <v>996.18</v>
      </c>
      <c r="EL124" s="202">
        <v>0</v>
      </c>
      <c r="EM124" s="202">
        <v>0</v>
      </c>
      <c r="EN124" s="202">
        <v>0</v>
      </c>
      <c r="EO124" s="202">
        <v>996.18</v>
      </c>
      <c r="EP124" s="202"/>
      <c r="EQ124" s="202">
        <v>0</v>
      </c>
      <c r="ER124" s="202">
        <v>0</v>
      </c>
      <c r="ES124" s="202"/>
      <c r="ET124" s="202"/>
      <c r="EU124" s="202"/>
      <c r="EV124" s="214">
        <v>0.23</v>
      </c>
      <c r="EW124" s="240">
        <f t="shared" si="73"/>
        <v>3541.52</v>
      </c>
      <c r="EX124" s="209">
        <f t="shared" si="74"/>
        <v>2305.0100000000002</v>
      </c>
    </row>
    <row r="125" spans="1:154" ht="12.75" customHeight="1" x14ac:dyDescent="0.2">
      <c r="A125" s="45" t="s">
        <v>190</v>
      </c>
      <c r="B125" s="55" t="s">
        <v>155</v>
      </c>
      <c r="C125" s="56" t="s">
        <v>106</v>
      </c>
      <c r="D125" s="57" t="s">
        <v>448</v>
      </c>
      <c r="E125" s="56" t="s">
        <v>12</v>
      </c>
      <c r="F125" s="11">
        <v>5</v>
      </c>
      <c r="G125" s="11">
        <v>2</v>
      </c>
      <c r="H125" s="11">
        <v>40</v>
      </c>
      <c r="I125" s="11">
        <v>40</v>
      </c>
      <c r="J125" s="11">
        <v>54</v>
      </c>
      <c r="K125" s="11">
        <v>67</v>
      </c>
      <c r="L125" s="11" t="s">
        <v>746</v>
      </c>
      <c r="M125" s="84">
        <v>171</v>
      </c>
      <c r="N125" s="84">
        <v>240</v>
      </c>
      <c r="O125" s="84">
        <v>240</v>
      </c>
      <c r="P125" s="139">
        <f>96.5+19</f>
        <v>115.5</v>
      </c>
      <c r="Q125" s="135">
        <v>328.5</v>
      </c>
      <c r="R125" s="133">
        <v>328.5</v>
      </c>
      <c r="S125" s="133">
        <f t="shared" si="75"/>
        <v>772.5</v>
      </c>
      <c r="T125" s="139">
        <v>171</v>
      </c>
      <c r="U125" s="130">
        <v>1.53</v>
      </c>
      <c r="V125" s="131">
        <v>1.1299999999999999E-2</v>
      </c>
      <c r="W125" s="131" t="s">
        <v>823</v>
      </c>
      <c r="X125" s="132" t="s">
        <v>823</v>
      </c>
      <c r="Y125" s="131">
        <v>1.1299999999999999E-2</v>
      </c>
      <c r="Z125" s="29">
        <v>1300.4100000000001</v>
      </c>
      <c r="AA125" s="34">
        <v>282</v>
      </c>
      <c r="AB125" s="9">
        <f t="shared" si="83"/>
        <v>1582.41</v>
      </c>
      <c r="AC125" s="9">
        <f t="shared" si="89"/>
        <v>10016.66</v>
      </c>
      <c r="AD125" s="9">
        <v>0.52</v>
      </c>
      <c r="AE125" s="9">
        <v>3.07</v>
      </c>
      <c r="AF125" s="21">
        <f>2.44-AJ125</f>
        <v>2.1</v>
      </c>
      <c r="AG125" s="18">
        <f>0.54-AQ125</f>
        <v>0.4</v>
      </c>
      <c r="AH125" s="9">
        <v>2.16</v>
      </c>
      <c r="AI125" s="13">
        <v>545</v>
      </c>
      <c r="AJ125" s="21">
        <f t="shared" si="48"/>
        <v>0.34</v>
      </c>
      <c r="AK125" s="9">
        <v>0</v>
      </c>
      <c r="AL125" s="9">
        <v>0</v>
      </c>
      <c r="AM125" s="9">
        <v>0.36</v>
      </c>
      <c r="AN125" s="13">
        <v>164</v>
      </c>
      <c r="AO125" s="13">
        <v>328</v>
      </c>
      <c r="AP125" s="13">
        <f t="shared" si="77"/>
        <v>5.58</v>
      </c>
      <c r="AQ125" s="18">
        <f t="shared" si="49"/>
        <v>0.14000000000000001</v>
      </c>
      <c r="AR125" s="9">
        <v>0.82</v>
      </c>
      <c r="AS125" s="9">
        <v>0.86</v>
      </c>
      <c r="AT125" s="9">
        <v>7.0000000000000007E-2</v>
      </c>
      <c r="AU125" s="9">
        <v>4.6399999999999997</v>
      </c>
      <c r="AV125" s="9">
        <v>0.11</v>
      </c>
      <c r="AW125" s="9">
        <f>0.36+0.97+0.41</f>
        <v>1.74</v>
      </c>
      <c r="AX125" s="9">
        <f>1.36+0.55</f>
        <v>1.91</v>
      </c>
      <c r="AY125" s="58">
        <f t="shared" si="78"/>
        <v>19.239999999999998</v>
      </c>
      <c r="AZ125" s="59">
        <v>1307.0999999999999</v>
      </c>
      <c r="BA125" s="59">
        <v>282</v>
      </c>
      <c r="BB125" s="59">
        <f t="shared" si="84"/>
        <v>1589.1</v>
      </c>
      <c r="BC125" s="59">
        <v>19.239999999999998</v>
      </c>
      <c r="BD125" s="13">
        <f t="shared" si="76"/>
        <v>0</v>
      </c>
      <c r="BE125" s="9">
        <f t="shared" si="50"/>
        <v>30445.57</v>
      </c>
      <c r="BF125" s="9">
        <v>19.239999999999998</v>
      </c>
      <c r="BG125" s="10">
        <v>44378</v>
      </c>
      <c r="BH125" s="9">
        <f t="shared" si="51"/>
        <v>822.85</v>
      </c>
      <c r="BI125" s="9">
        <f t="shared" si="52"/>
        <v>4858</v>
      </c>
      <c r="BJ125" s="9">
        <f t="shared" si="53"/>
        <v>3323.06</v>
      </c>
      <c r="BK125" s="9">
        <f t="shared" si="54"/>
        <v>632.96</v>
      </c>
      <c r="BL125" s="9">
        <f t="shared" si="55"/>
        <v>3418.01</v>
      </c>
      <c r="BM125" s="9">
        <f t="shared" si="56"/>
        <v>538.02</v>
      </c>
      <c r="BN125" s="9">
        <f t="shared" si="57"/>
        <v>0</v>
      </c>
      <c r="BO125" s="9">
        <f t="shared" si="58"/>
        <v>0</v>
      </c>
      <c r="BP125" s="9">
        <f t="shared" si="59"/>
        <v>569.66999999999996</v>
      </c>
      <c r="BQ125" s="9">
        <f t="shared" si="60"/>
        <v>221.54</v>
      </c>
      <c r="BR125" s="9">
        <f t="shared" si="61"/>
        <v>1297.58</v>
      </c>
      <c r="BS125" s="9">
        <f t="shared" si="62"/>
        <v>1360.87</v>
      </c>
      <c r="BT125" s="9">
        <f t="shared" si="63"/>
        <v>110.77</v>
      </c>
      <c r="BU125" s="9">
        <f t="shared" si="64"/>
        <v>7342.38</v>
      </c>
      <c r="BV125" s="9">
        <f t="shared" si="65"/>
        <v>174.07</v>
      </c>
      <c r="BW125" s="9">
        <f t="shared" si="66"/>
        <v>2753.39</v>
      </c>
      <c r="BX125" s="9">
        <f t="shared" si="67"/>
        <v>3022.4</v>
      </c>
      <c r="BY125" s="17">
        <f t="shared" si="68"/>
        <v>30445.57</v>
      </c>
      <c r="BZ125" s="17">
        <v>2.3199999999999998</v>
      </c>
      <c r="CA125" s="17">
        <v>0.03</v>
      </c>
      <c r="CB125" s="173">
        <v>0</v>
      </c>
      <c r="CC125" s="27">
        <v>0.02</v>
      </c>
      <c r="CD125" s="29">
        <v>6.33</v>
      </c>
      <c r="CE125" s="9">
        <v>1002.04</v>
      </c>
      <c r="CF125" s="9"/>
      <c r="CG125" s="9">
        <v>0</v>
      </c>
      <c r="CH125" s="9">
        <v>0</v>
      </c>
      <c r="CI125" s="9">
        <f t="shared" si="94"/>
        <v>0.63</v>
      </c>
      <c r="CJ125" s="9">
        <f t="shared" si="95"/>
        <v>0</v>
      </c>
      <c r="CK125" s="13">
        <f t="shared" si="96"/>
        <v>0</v>
      </c>
      <c r="CL125" s="13">
        <f t="shared" si="97"/>
        <v>0</v>
      </c>
      <c r="CM125" s="13">
        <v>25019.88</v>
      </c>
      <c r="CN125" s="13">
        <v>819.22</v>
      </c>
      <c r="CO125" s="13">
        <v>0</v>
      </c>
      <c r="CP125" s="13">
        <v>0</v>
      </c>
      <c r="CQ125" s="13">
        <v>0</v>
      </c>
      <c r="CR125" s="13">
        <v>25327.79</v>
      </c>
      <c r="CS125" s="13">
        <v>675.7</v>
      </c>
      <c r="CT125" s="13">
        <v>0</v>
      </c>
      <c r="CU125" s="13">
        <v>2.5</v>
      </c>
      <c r="CV125" s="13">
        <v>1.67</v>
      </c>
      <c r="CW125" s="202">
        <v>1379</v>
      </c>
      <c r="CX125" s="200">
        <v>791</v>
      </c>
      <c r="CY125" s="202"/>
      <c r="CZ125" s="202"/>
      <c r="DA125" s="202"/>
      <c r="DB125" s="202"/>
      <c r="DC125" s="202"/>
      <c r="DD125" s="461"/>
      <c r="DE125" s="256"/>
      <c r="DF125" s="204">
        <v>545</v>
      </c>
      <c r="DG125" s="204"/>
      <c r="DH125" s="204"/>
      <c r="DI125" s="204"/>
      <c r="DJ125" s="202"/>
      <c r="DK125" s="202"/>
      <c r="DL125" s="202"/>
      <c r="DM125" s="202"/>
      <c r="DN125" s="202"/>
      <c r="DO125" s="202"/>
      <c r="DP125" s="202">
        <v>5616</v>
      </c>
      <c r="DQ125" s="202">
        <v>2074</v>
      </c>
      <c r="DR125" s="202">
        <v>1.22</v>
      </c>
      <c r="DS125" s="202"/>
      <c r="DT125" s="254"/>
      <c r="DU125" s="254"/>
      <c r="DV125" s="202"/>
      <c r="DW125" s="202">
        <v>6132</v>
      </c>
      <c r="DX125" s="202"/>
      <c r="DY125" s="107">
        <v>1365</v>
      </c>
      <c r="DZ125" s="107">
        <v>577</v>
      </c>
      <c r="EA125" s="202"/>
      <c r="EB125" s="202"/>
      <c r="EC125" s="202"/>
      <c r="ED125" s="202"/>
      <c r="EE125" s="202"/>
      <c r="EF125" s="229"/>
      <c r="EG125" s="202"/>
      <c r="EH125" s="202"/>
      <c r="EI125" s="202"/>
      <c r="EJ125" s="202"/>
      <c r="EK125" s="202">
        <v>1002.04</v>
      </c>
      <c r="EL125" s="202">
        <v>0</v>
      </c>
      <c r="EM125" s="202">
        <v>0</v>
      </c>
      <c r="EN125" s="202">
        <v>0</v>
      </c>
      <c r="EO125" s="202">
        <v>1002.04</v>
      </c>
      <c r="EP125" s="202"/>
      <c r="EQ125" s="202">
        <v>0</v>
      </c>
      <c r="ER125" s="202">
        <v>0</v>
      </c>
      <c r="ES125" s="202"/>
      <c r="ET125" s="202"/>
      <c r="EU125" s="202"/>
      <c r="EV125" s="214">
        <v>0.22</v>
      </c>
      <c r="EW125" s="240">
        <f t="shared" si="73"/>
        <v>3460.98</v>
      </c>
      <c r="EX125" s="209">
        <f t="shared" si="74"/>
        <v>2252.59</v>
      </c>
    </row>
    <row r="126" spans="1:154" ht="12.75" customHeight="1" x14ac:dyDescent="0.2">
      <c r="A126" s="45" t="s">
        <v>191</v>
      </c>
      <c r="B126" s="163" t="s">
        <v>173</v>
      </c>
      <c r="C126" s="164" t="s">
        <v>8</v>
      </c>
      <c r="D126" s="165" t="s">
        <v>454</v>
      </c>
      <c r="E126" s="164" t="s">
        <v>12</v>
      </c>
      <c r="F126" s="11">
        <v>9</v>
      </c>
      <c r="G126" s="11">
        <v>2</v>
      </c>
      <c r="H126" s="11">
        <v>72</v>
      </c>
      <c r="I126" s="11">
        <v>74</v>
      </c>
      <c r="J126" s="11">
        <v>153</v>
      </c>
      <c r="K126" s="11">
        <v>197</v>
      </c>
      <c r="L126" s="83">
        <v>2</v>
      </c>
      <c r="M126" s="84">
        <v>740</v>
      </c>
      <c r="N126" s="84">
        <v>605</v>
      </c>
      <c r="O126" s="84">
        <v>0</v>
      </c>
      <c r="P126" s="135">
        <f>482.5</f>
        <v>482.5</v>
      </c>
      <c r="Q126" s="135">
        <v>463.2</v>
      </c>
      <c r="R126" s="133">
        <v>0</v>
      </c>
      <c r="S126" s="133">
        <f t="shared" si="75"/>
        <v>945.7</v>
      </c>
      <c r="T126" s="134">
        <v>482.5</v>
      </c>
      <c r="U126" s="130">
        <v>2.72</v>
      </c>
      <c r="V126" s="131">
        <v>1.21E-2</v>
      </c>
      <c r="W126" s="171">
        <v>0</v>
      </c>
      <c r="X126" s="172">
        <v>0</v>
      </c>
      <c r="Y126" s="131">
        <v>1.21E-2</v>
      </c>
      <c r="Z126" s="29">
        <v>3909.2</v>
      </c>
      <c r="AA126" s="34"/>
      <c r="AB126" s="9">
        <f t="shared" si="83"/>
        <v>3909.2</v>
      </c>
      <c r="AC126" s="9">
        <f t="shared" si="89"/>
        <v>24745.24</v>
      </c>
      <c r="AD126" s="9">
        <v>1.68</v>
      </c>
      <c r="AE126" s="9">
        <v>4.79</v>
      </c>
      <c r="AF126" s="21">
        <f>2.59-AJ126</f>
        <v>2.44</v>
      </c>
      <c r="AG126" s="18">
        <f>0.67-AQ126</f>
        <v>0.62</v>
      </c>
      <c r="AH126" s="19">
        <f>2.72+0.07+0.17</f>
        <v>2.96</v>
      </c>
      <c r="AI126" s="13">
        <v>581</v>
      </c>
      <c r="AJ126" s="21">
        <f t="shared" si="48"/>
        <v>0.15</v>
      </c>
      <c r="AK126" s="9">
        <v>2.21</v>
      </c>
      <c r="AL126" s="9">
        <v>0.19</v>
      </c>
      <c r="AM126" s="9">
        <v>0.24</v>
      </c>
      <c r="AN126" s="13"/>
      <c r="AO126" s="13">
        <v>422.4</v>
      </c>
      <c r="AP126" s="13">
        <f t="shared" si="77"/>
        <v>5.58</v>
      </c>
      <c r="AQ126" s="18">
        <f t="shared" si="49"/>
        <v>0.05</v>
      </c>
      <c r="AR126" s="9">
        <v>0.56999999999999995</v>
      </c>
      <c r="AS126" s="9">
        <v>0.35</v>
      </c>
      <c r="AT126" s="9">
        <v>7.0000000000000007E-2</v>
      </c>
      <c r="AU126" s="9">
        <v>4.37</v>
      </c>
      <c r="AV126" s="9">
        <v>0.17</v>
      </c>
      <c r="AW126" s="9">
        <f>1.47+0.26+0.39</f>
        <v>2.12</v>
      </c>
      <c r="AX126" s="9">
        <f>2.06+0.51</f>
        <v>2.57</v>
      </c>
      <c r="AY126" s="169">
        <f t="shared" si="78"/>
        <v>25.55</v>
      </c>
      <c r="AZ126" s="19">
        <v>3896</v>
      </c>
      <c r="BA126" s="19">
        <v>0</v>
      </c>
      <c r="BB126" s="19">
        <f t="shared" si="84"/>
        <v>3896</v>
      </c>
      <c r="BC126" s="19">
        <v>25.55</v>
      </c>
      <c r="BD126" s="13">
        <f t="shared" si="76"/>
        <v>0</v>
      </c>
      <c r="BE126" s="9">
        <f t="shared" si="50"/>
        <v>99880.06</v>
      </c>
      <c r="BF126" s="9">
        <v>25.55</v>
      </c>
      <c r="BG126" s="10">
        <v>44378</v>
      </c>
      <c r="BH126" s="9">
        <f t="shared" si="51"/>
        <v>6567.46</v>
      </c>
      <c r="BI126" s="9">
        <f t="shared" si="52"/>
        <v>18725.07</v>
      </c>
      <c r="BJ126" s="9">
        <f t="shared" si="53"/>
        <v>9538.4500000000007</v>
      </c>
      <c r="BK126" s="9">
        <f t="shared" si="54"/>
        <v>2423.6999999999998</v>
      </c>
      <c r="BL126" s="9">
        <f t="shared" si="55"/>
        <v>11571.23</v>
      </c>
      <c r="BM126" s="9">
        <f t="shared" si="56"/>
        <v>586.38</v>
      </c>
      <c r="BN126" s="9">
        <f t="shared" si="57"/>
        <v>8639.33</v>
      </c>
      <c r="BO126" s="9">
        <f t="shared" si="58"/>
        <v>742.75</v>
      </c>
      <c r="BP126" s="9">
        <f t="shared" si="59"/>
        <v>938.21</v>
      </c>
      <c r="BQ126" s="9">
        <f t="shared" si="60"/>
        <v>195.46</v>
      </c>
      <c r="BR126" s="9">
        <f t="shared" si="61"/>
        <v>2228.2399999999998</v>
      </c>
      <c r="BS126" s="9">
        <f t="shared" si="62"/>
        <v>1368.22</v>
      </c>
      <c r="BT126" s="9">
        <f t="shared" si="63"/>
        <v>273.64</v>
      </c>
      <c r="BU126" s="9">
        <f t="shared" si="64"/>
        <v>17083.2</v>
      </c>
      <c r="BV126" s="9">
        <f t="shared" si="65"/>
        <v>664.56</v>
      </c>
      <c r="BW126" s="9">
        <f t="shared" si="66"/>
        <v>8287.5</v>
      </c>
      <c r="BX126" s="9">
        <f t="shared" si="67"/>
        <v>10046.64</v>
      </c>
      <c r="BY126" s="17">
        <f t="shared" si="68"/>
        <v>99880.04</v>
      </c>
      <c r="BZ126" s="17">
        <v>2.91</v>
      </c>
      <c r="CA126" s="17">
        <v>0.04</v>
      </c>
      <c r="CB126" s="173">
        <v>0</v>
      </c>
      <c r="CC126" s="27">
        <v>0.02</v>
      </c>
      <c r="CD126" s="29">
        <v>6.33</v>
      </c>
      <c r="CE126" s="9">
        <v>16342.88</v>
      </c>
      <c r="CF126" s="9"/>
      <c r="CG126" s="9">
        <v>0</v>
      </c>
      <c r="CH126" s="9">
        <v>0</v>
      </c>
      <c r="CI126" s="9">
        <f t="shared" si="94"/>
        <v>4.18</v>
      </c>
      <c r="CJ126" s="9">
        <f t="shared" si="95"/>
        <v>0</v>
      </c>
      <c r="CK126" s="13">
        <f t="shared" si="96"/>
        <v>0</v>
      </c>
      <c r="CL126" s="13">
        <f t="shared" si="97"/>
        <v>0</v>
      </c>
      <c r="CM126" s="13">
        <v>99880.23</v>
      </c>
      <c r="CN126" s="13">
        <v>6176.49</v>
      </c>
      <c r="CO126" s="13">
        <v>0</v>
      </c>
      <c r="CP126" s="13">
        <v>0</v>
      </c>
      <c r="CQ126" s="13">
        <v>0</v>
      </c>
      <c r="CR126" s="13">
        <v>103573.94</v>
      </c>
      <c r="CS126" s="13">
        <v>7945.75</v>
      </c>
      <c r="CT126" s="13">
        <v>0</v>
      </c>
      <c r="CU126" s="13">
        <v>15.58</v>
      </c>
      <c r="CV126" s="13">
        <v>7.83</v>
      </c>
      <c r="CW126" s="202">
        <v>3406</v>
      </c>
      <c r="CX126" s="200">
        <v>1954</v>
      </c>
      <c r="CY126" s="202"/>
      <c r="CZ126" s="202"/>
      <c r="DA126" s="202"/>
      <c r="DB126" s="202"/>
      <c r="DC126" s="202"/>
      <c r="DD126" s="461"/>
      <c r="DE126" s="256"/>
      <c r="DF126" s="204">
        <v>581</v>
      </c>
      <c r="DG126" s="204"/>
      <c r="DH126" s="204"/>
      <c r="DI126" s="204"/>
      <c r="DJ126" s="202">
        <v>8600</v>
      </c>
      <c r="DK126" s="202"/>
      <c r="DL126" s="202"/>
      <c r="DM126" s="202"/>
      <c r="DN126" s="202"/>
      <c r="DO126" s="202"/>
      <c r="DP126" s="202">
        <v>21975</v>
      </c>
      <c r="DQ126" s="202">
        <v>4420</v>
      </c>
      <c r="DR126" s="202">
        <v>2.6</v>
      </c>
      <c r="DS126" s="202"/>
      <c r="DT126" s="254"/>
      <c r="DU126" s="254"/>
      <c r="DV126" s="202">
        <v>23330</v>
      </c>
      <c r="DW126" s="202"/>
      <c r="DX126" s="202"/>
      <c r="DY126" s="107">
        <v>1365</v>
      </c>
      <c r="DZ126" s="107">
        <v>942</v>
      </c>
      <c r="EA126" s="202">
        <v>12383</v>
      </c>
      <c r="EB126" s="202"/>
      <c r="EC126" s="202"/>
      <c r="ED126" s="202"/>
      <c r="EE126" s="202"/>
      <c r="EF126" s="229"/>
      <c r="EG126" s="202"/>
      <c r="EH126" s="202"/>
      <c r="EI126" s="202"/>
      <c r="EJ126" s="202"/>
      <c r="EK126" s="202">
        <v>6186.48</v>
      </c>
      <c r="EL126" s="202">
        <v>0</v>
      </c>
      <c r="EM126" s="202">
        <v>0</v>
      </c>
      <c r="EN126" s="202">
        <v>0</v>
      </c>
      <c r="EO126" s="202">
        <v>6186.48</v>
      </c>
      <c r="EP126" s="202"/>
      <c r="EQ126" s="202">
        <v>0</v>
      </c>
      <c r="ER126" s="202">
        <v>0</v>
      </c>
      <c r="ES126" s="202"/>
      <c r="ET126" s="202"/>
      <c r="EU126" s="202"/>
      <c r="EV126" s="214">
        <v>-3.69</v>
      </c>
      <c r="EW126" s="240">
        <f t="shared" si="73"/>
        <v>8550.0499999999993</v>
      </c>
      <c r="EX126" s="209">
        <f t="shared" si="74"/>
        <v>5564.82</v>
      </c>
    </row>
    <row r="127" spans="1:154" ht="12.75" customHeight="1" x14ac:dyDescent="0.2">
      <c r="A127" s="45" t="s">
        <v>192</v>
      </c>
      <c r="B127" s="163" t="s">
        <v>173</v>
      </c>
      <c r="C127" s="164" t="s">
        <v>11</v>
      </c>
      <c r="D127" s="165" t="s">
        <v>637</v>
      </c>
      <c r="E127" s="164" t="s">
        <v>12</v>
      </c>
      <c r="F127" s="11">
        <v>5</v>
      </c>
      <c r="G127" s="11">
        <v>6</v>
      </c>
      <c r="H127" s="11">
        <v>90</v>
      </c>
      <c r="I127" s="11">
        <v>90</v>
      </c>
      <c r="J127" s="11">
        <v>207</v>
      </c>
      <c r="K127" s="11">
        <v>238</v>
      </c>
      <c r="L127" s="11" t="s">
        <v>746</v>
      </c>
      <c r="M127" s="84">
        <v>480</v>
      </c>
      <c r="N127" s="84">
        <v>1008</v>
      </c>
      <c r="O127" s="84">
        <v>0</v>
      </c>
      <c r="P127" s="135">
        <v>413.4</v>
      </c>
      <c r="Q127" s="135">
        <v>1015.4</v>
      </c>
      <c r="R127" s="133">
        <v>0</v>
      </c>
      <c r="S127" s="133">
        <f t="shared" si="75"/>
        <v>1428.8</v>
      </c>
      <c r="T127" s="134">
        <v>413.4</v>
      </c>
      <c r="U127" s="130">
        <v>1.83</v>
      </c>
      <c r="V127" s="131">
        <v>1.1299999999999999E-2</v>
      </c>
      <c r="W127" s="171">
        <v>0</v>
      </c>
      <c r="X127" s="172">
        <v>0</v>
      </c>
      <c r="Y127" s="131">
        <v>1.1299999999999999E-2</v>
      </c>
      <c r="Z127" s="29">
        <v>4000.7</v>
      </c>
      <c r="AA127" s="34"/>
      <c r="AB127" s="9">
        <f t="shared" si="83"/>
        <v>4000.7</v>
      </c>
      <c r="AC127" s="9">
        <f t="shared" si="89"/>
        <v>25324.43</v>
      </c>
      <c r="AD127" s="9">
        <v>0.56000000000000005</v>
      </c>
      <c r="AE127" s="9">
        <v>4.13</v>
      </c>
      <c r="AF127" s="21">
        <f>2.64-AJ127</f>
        <v>2.4</v>
      </c>
      <c r="AG127" s="18">
        <f>0.62-AQ127</f>
        <v>0.52</v>
      </c>
      <c r="AH127" s="19">
        <f>3.06+0.07+0.17</f>
        <v>3.3</v>
      </c>
      <c r="AI127" s="13">
        <v>968</v>
      </c>
      <c r="AJ127" s="21">
        <f t="shared" si="48"/>
        <v>0.24</v>
      </c>
      <c r="AK127" s="9">
        <v>0</v>
      </c>
      <c r="AL127" s="9">
        <v>0</v>
      </c>
      <c r="AM127" s="9">
        <v>0.23</v>
      </c>
      <c r="AN127" s="13"/>
      <c r="AO127" s="13">
        <v>901.8</v>
      </c>
      <c r="AP127" s="13">
        <f t="shared" si="77"/>
        <v>5.58</v>
      </c>
      <c r="AQ127" s="18">
        <f t="shared" si="49"/>
        <v>0.1</v>
      </c>
      <c r="AR127" s="9">
        <v>0.78</v>
      </c>
      <c r="AS127" s="9">
        <v>0.34</v>
      </c>
      <c r="AT127" s="9">
        <v>7.0000000000000007E-2</v>
      </c>
      <c r="AU127" s="9">
        <v>5.08</v>
      </c>
      <c r="AV127" s="9">
        <v>0.13</v>
      </c>
      <c r="AW127" s="9">
        <f>1.13+0.45+0.31</f>
        <v>1.89</v>
      </c>
      <c r="AX127" s="9">
        <f>1.55+0.6</f>
        <v>2.15</v>
      </c>
      <c r="AY127" s="166">
        <f t="shared" si="78"/>
        <v>21.92</v>
      </c>
      <c r="AZ127" s="21">
        <v>4008.9</v>
      </c>
      <c r="BA127" s="21">
        <v>0</v>
      </c>
      <c r="BB127" s="21">
        <f t="shared" si="84"/>
        <v>4008.9</v>
      </c>
      <c r="BC127" s="21">
        <v>21.92</v>
      </c>
      <c r="BD127" s="13">
        <f t="shared" si="76"/>
        <v>0</v>
      </c>
      <c r="BE127" s="9">
        <f t="shared" si="50"/>
        <v>87695.34</v>
      </c>
      <c r="BF127" s="9">
        <v>21.92</v>
      </c>
      <c r="BG127" s="10">
        <v>44409</v>
      </c>
      <c r="BH127" s="9">
        <f t="shared" si="51"/>
        <v>2240.39</v>
      </c>
      <c r="BI127" s="9">
        <f t="shared" si="52"/>
        <v>16522.89</v>
      </c>
      <c r="BJ127" s="9">
        <f t="shared" si="53"/>
        <v>9601.68</v>
      </c>
      <c r="BK127" s="9">
        <f t="shared" si="54"/>
        <v>2080.36</v>
      </c>
      <c r="BL127" s="9">
        <f t="shared" si="55"/>
        <v>13202.31</v>
      </c>
      <c r="BM127" s="9">
        <f t="shared" si="56"/>
        <v>960.17</v>
      </c>
      <c r="BN127" s="9">
        <f t="shared" si="57"/>
        <v>0</v>
      </c>
      <c r="BO127" s="9">
        <f t="shared" si="58"/>
        <v>0</v>
      </c>
      <c r="BP127" s="9">
        <f t="shared" si="59"/>
        <v>920.16</v>
      </c>
      <c r="BQ127" s="9">
        <f t="shared" si="60"/>
        <v>400.07</v>
      </c>
      <c r="BR127" s="9">
        <f t="shared" si="61"/>
        <v>3120.55</v>
      </c>
      <c r="BS127" s="9">
        <f t="shared" si="62"/>
        <v>1360.24</v>
      </c>
      <c r="BT127" s="9">
        <f t="shared" si="63"/>
        <v>280.05</v>
      </c>
      <c r="BU127" s="9">
        <f t="shared" si="64"/>
        <v>20323.560000000001</v>
      </c>
      <c r="BV127" s="9">
        <f t="shared" si="65"/>
        <v>520.09</v>
      </c>
      <c r="BW127" s="9">
        <f t="shared" si="66"/>
        <v>7561.32</v>
      </c>
      <c r="BX127" s="9">
        <f t="shared" si="67"/>
        <v>8601.51</v>
      </c>
      <c r="BY127" s="17">
        <f t="shared" si="68"/>
        <v>87695.35</v>
      </c>
      <c r="BZ127" s="17">
        <v>2.5</v>
      </c>
      <c r="CA127" s="17">
        <v>0.03</v>
      </c>
      <c r="CB127" s="173">
        <v>0</v>
      </c>
      <c r="CC127" s="27">
        <v>0.02</v>
      </c>
      <c r="CD127" s="29">
        <v>6.33</v>
      </c>
      <c r="CE127" s="9">
        <v>0</v>
      </c>
      <c r="CF127" s="9"/>
      <c r="CG127" s="9">
        <v>0</v>
      </c>
      <c r="CH127" s="9">
        <v>0</v>
      </c>
      <c r="CI127" s="9">
        <f t="shared" si="94"/>
        <v>0</v>
      </c>
      <c r="CJ127" s="9">
        <f t="shared" si="95"/>
        <v>0</v>
      </c>
      <c r="CK127" s="13">
        <f t="shared" si="96"/>
        <v>0</v>
      </c>
      <c r="CL127" s="13">
        <f t="shared" si="97"/>
        <v>0</v>
      </c>
      <c r="CM127" s="13">
        <v>87695.32</v>
      </c>
      <c r="CN127" s="13">
        <v>6041.07</v>
      </c>
      <c r="CO127" s="13">
        <v>0</v>
      </c>
      <c r="CP127" s="13">
        <v>0</v>
      </c>
      <c r="CQ127" s="13">
        <v>0</v>
      </c>
      <c r="CR127" s="13">
        <v>98991.679999999993</v>
      </c>
      <c r="CS127" s="13">
        <v>3410.04</v>
      </c>
      <c r="CT127" s="13">
        <v>0</v>
      </c>
      <c r="CU127" s="13">
        <v>19.61</v>
      </c>
      <c r="CV127" s="13">
        <v>13.02</v>
      </c>
      <c r="CW127" s="202">
        <v>3486</v>
      </c>
      <c r="CX127" s="200">
        <v>2000</v>
      </c>
      <c r="CY127" s="202"/>
      <c r="CZ127" s="202"/>
      <c r="DA127" s="202"/>
      <c r="DB127" s="202"/>
      <c r="DC127" s="202"/>
      <c r="DD127" s="461"/>
      <c r="DE127" s="256"/>
      <c r="DF127" s="204">
        <v>968</v>
      </c>
      <c r="DG127" s="204"/>
      <c r="DH127" s="204"/>
      <c r="DI127" s="204"/>
      <c r="DJ127" s="202"/>
      <c r="DK127" s="202"/>
      <c r="DL127" s="202"/>
      <c r="DM127" s="202"/>
      <c r="DN127" s="202"/>
      <c r="DO127" s="202"/>
      <c r="DP127" s="202">
        <v>15608</v>
      </c>
      <c r="DQ127" s="202">
        <v>4420</v>
      </c>
      <c r="DR127" s="202">
        <v>2.6</v>
      </c>
      <c r="DS127" s="202"/>
      <c r="DT127" s="254"/>
      <c r="DU127" s="254"/>
      <c r="DV127" s="202">
        <v>25330</v>
      </c>
      <c r="DW127" s="202"/>
      <c r="DX127" s="202"/>
      <c r="DY127" s="107">
        <v>1365</v>
      </c>
      <c r="DZ127" s="107">
        <v>942</v>
      </c>
      <c r="EA127" s="202"/>
      <c r="EB127" s="202"/>
      <c r="EC127" s="202"/>
      <c r="ED127" s="202"/>
      <c r="EE127" s="202"/>
      <c r="EF127" s="229"/>
      <c r="EG127" s="202"/>
      <c r="EH127" s="202"/>
      <c r="EI127" s="202"/>
      <c r="EJ127" s="202"/>
      <c r="EK127" s="202">
        <v>6037.31</v>
      </c>
      <c r="EL127" s="202">
        <v>0</v>
      </c>
      <c r="EM127" s="202">
        <v>0</v>
      </c>
      <c r="EN127" s="202">
        <v>0</v>
      </c>
      <c r="EO127" s="202">
        <v>6037.31</v>
      </c>
      <c r="EP127" s="202"/>
      <c r="EQ127" s="202">
        <v>0</v>
      </c>
      <c r="ER127" s="202">
        <v>0</v>
      </c>
      <c r="ES127" s="202"/>
      <c r="ET127" s="202"/>
      <c r="EU127" s="202"/>
      <c r="EV127" s="214">
        <v>-2.52</v>
      </c>
      <c r="EW127" s="240">
        <f t="shared" si="73"/>
        <v>8750.17</v>
      </c>
      <c r="EX127" s="209">
        <f t="shared" si="74"/>
        <v>5695.08</v>
      </c>
    </row>
    <row r="128" spans="1:154" ht="12.75" customHeight="1" x14ac:dyDescent="0.2">
      <c r="A128" s="45" t="s">
        <v>193</v>
      </c>
      <c r="B128" s="163" t="s">
        <v>173</v>
      </c>
      <c r="C128" s="164" t="s">
        <v>67</v>
      </c>
      <c r="D128" s="165" t="s">
        <v>450</v>
      </c>
      <c r="E128" s="164" t="s">
        <v>12</v>
      </c>
      <c r="F128" s="11">
        <v>9</v>
      </c>
      <c r="G128" s="11">
        <v>5</v>
      </c>
      <c r="H128" s="11">
        <v>270</v>
      </c>
      <c r="I128" s="11">
        <v>270</v>
      </c>
      <c r="J128" s="11">
        <v>633</v>
      </c>
      <c r="K128" s="11">
        <v>694</v>
      </c>
      <c r="L128" s="11">
        <v>5</v>
      </c>
      <c r="M128" s="84">
        <v>1840</v>
      </c>
      <c r="N128" s="84">
        <v>1700</v>
      </c>
      <c r="O128" s="84">
        <v>1700</v>
      </c>
      <c r="P128" s="135">
        <f>675.6+1128.5</f>
        <v>1804.1</v>
      </c>
      <c r="Q128" s="135">
        <f>1055.2+94.5+133.8+10+21</f>
        <v>1314.5</v>
      </c>
      <c r="R128" s="133">
        <v>2503.1</v>
      </c>
      <c r="S128" s="133">
        <f t="shared" si="75"/>
        <v>5621.7</v>
      </c>
      <c r="T128" s="134">
        <v>1804.1</v>
      </c>
      <c r="U128" s="130">
        <v>2.44</v>
      </c>
      <c r="V128" s="131">
        <v>1.9800000000000002E-2</v>
      </c>
      <c r="W128" s="131">
        <v>1.9800000000000002E-2</v>
      </c>
      <c r="X128" s="132">
        <v>1.32E-3</v>
      </c>
      <c r="Y128" s="131">
        <v>3.9699999999999999E-2</v>
      </c>
      <c r="Z128" s="29">
        <v>13714.87</v>
      </c>
      <c r="AA128" s="34">
        <v>447.8</v>
      </c>
      <c r="AB128" s="9">
        <f t="shared" si="83"/>
        <v>14162.67</v>
      </c>
      <c r="AC128" s="9">
        <f t="shared" si="89"/>
        <v>89649.7</v>
      </c>
      <c r="AD128" s="9">
        <v>1.89</v>
      </c>
      <c r="AE128" s="9">
        <v>4.32</v>
      </c>
      <c r="AF128" s="21">
        <f>2.67-AJ128</f>
        <v>2.5499999999999998</v>
      </c>
      <c r="AG128" s="18">
        <f>0.6-AQ128</f>
        <v>0.55000000000000004</v>
      </c>
      <c r="AH128" s="9">
        <v>2.71</v>
      </c>
      <c r="AI128" s="13">
        <v>1631</v>
      </c>
      <c r="AJ128" s="21">
        <f t="shared" si="48"/>
        <v>0.12</v>
      </c>
      <c r="AK128" s="9">
        <v>1.51</v>
      </c>
      <c r="AL128" s="9">
        <v>0.24</v>
      </c>
      <c r="AM128" s="9">
        <v>0.04</v>
      </c>
      <c r="AN128" s="13"/>
      <c r="AO128" s="13">
        <v>1529.5</v>
      </c>
      <c r="AP128" s="13">
        <f t="shared" si="77"/>
        <v>5.58</v>
      </c>
      <c r="AQ128" s="18">
        <f t="shared" si="49"/>
        <v>0.05</v>
      </c>
      <c r="AR128" s="9">
        <v>0.57999999999999996</v>
      </c>
      <c r="AS128" s="9">
        <v>0.38</v>
      </c>
      <c r="AT128" s="9">
        <v>7.0000000000000007E-2</v>
      </c>
      <c r="AU128" s="9">
        <v>5.25</v>
      </c>
      <c r="AV128" s="9">
        <v>0.16</v>
      </c>
      <c r="AW128" s="9">
        <f>1.35+0.46+0.27</f>
        <v>2.08</v>
      </c>
      <c r="AX128" s="9">
        <f>1.88+0.62</f>
        <v>2.5</v>
      </c>
      <c r="AY128" s="166">
        <f t="shared" si="78"/>
        <v>25</v>
      </c>
      <c r="AZ128" s="21">
        <v>13702.8</v>
      </c>
      <c r="BA128" s="21">
        <v>520.20000000000005</v>
      </c>
      <c r="BB128" s="21">
        <f t="shared" si="84"/>
        <v>14223</v>
      </c>
      <c r="BC128" s="21">
        <v>25</v>
      </c>
      <c r="BD128" s="13">
        <f t="shared" si="76"/>
        <v>0</v>
      </c>
      <c r="BE128" s="9">
        <f t="shared" si="50"/>
        <v>354066.75</v>
      </c>
      <c r="BF128" s="9">
        <v>25</v>
      </c>
      <c r="BG128" s="10">
        <v>44409</v>
      </c>
      <c r="BH128" s="9">
        <f t="shared" si="51"/>
        <v>26767.45</v>
      </c>
      <c r="BI128" s="9">
        <f t="shared" si="52"/>
        <v>61182.73</v>
      </c>
      <c r="BJ128" s="9">
        <f t="shared" si="53"/>
        <v>36114.81</v>
      </c>
      <c r="BK128" s="9">
        <f t="shared" si="54"/>
        <v>7789.47</v>
      </c>
      <c r="BL128" s="9">
        <f t="shared" si="55"/>
        <v>38380.839999999997</v>
      </c>
      <c r="BM128" s="9">
        <f t="shared" si="56"/>
        <v>1699.52</v>
      </c>
      <c r="BN128" s="9">
        <f t="shared" si="57"/>
        <v>21385.63</v>
      </c>
      <c r="BO128" s="9">
        <f t="shared" si="58"/>
        <v>3399.04</v>
      </c>
      <c r="BP128" s="9">
        <f t="shared" si="59"/>
        <v>566.51</v>
      </c>
      <c r="BQ128" s="9">
        <f t="shared" si="60"/>
        <v>708.13</v>
      </c>
      <c r="BR128" s="9">
        <f t="shared" si="61"/>
        <v>8214.35</v>
      </c>
      <c r="BS128" s="9">
        <f t="shared" si="62"/>
        <v>5381.81</v>
      </c>
      <c r="BT128" s="9">
        <f t="shared" si="63"/>
        <v>991.39</v>
      </c>
      <c r="BU128" s="9">
        <f t="shared" si="64"/>
        <v>74354.02</v>
      </c>
      <c r="BV128" s="9">
        <f t="shared" si="65"/>
        <v>2266.0300000000002</v>
      </c>
      <c r="BW128" s="9">
        <f t="shared" si="66"/>
        <v>29458.35</v>
      </c>
      <c r="BX128" s="9">
        <f t="shared" si="67"/>
        <v>35406.68</v>
      </c>
      <c r="BY128" s="17">
        <f t="shared" si="68"/>
        <v>354066.76</v>
      </c>
      <c r="BZ128" s="17">
        <v>3.69</v>
      </c>
      <c r="CA128" s="17">
        <v>7.0000000000000007E-2</v>
      </c>
      <c r="CB128" s="17">
        <v>0.43</v>
      </c>
      <c r="CC128" s="27">
        <v>7.0000000000000007E-2</v>
      </c>
      <c r="CD128" s="29">
        <v>6.33</v>
      </c>
      <c r="CE128" s="9">
        <v>55464.99</v>
      </c>
      <c r="CF128" s="9"/>
      <c r="CG128" s="9">
        <v>0</v>
      </c>
      <c r="CH128" s="9">
        <v>515.44000000000005</v>
      </c>
      <c r="CI128" s="9">
        <f t="shared" si="94"/>
        <v>3.92</v>
      </c>
      <c r="CJ128" s="9">
        <f t="shared" si="95"/>
        <v>0</v>
      </c>
      <c r="CK128" s="13">
        <f t="shared" si="96"/>
        <v>0</v>
      </c>
      <c r="CL128" s="13">
        <f t="shared" si="97"/>
        <v>0.04</v>
      </c>
      <c r="CM128" s="13">
        <v>344078</v>
      </c>
      <c r="CN128" s="13">
        <v>50786.01</v>
      </c>
      <c r="CO128" s="13">
        <v>-1.44</v>
      </c>
      <c r="CP128" s="13">
        <v>-0.23</v>
      </c>
      <c r="CQ128" s="13">
        <v>550.29</v>
      </c>
      <c r="CR128" s="13">
        <v>362419.08</v>
      </c>
      <c r="CS128" s="13">
        <v>56233.68</v>
      </c>
      <c r="CT128" s="13">
        <v>990.54</v>
      </c>
      <c r="CU128" s="13">
        <v>282.82</v>
      </c>
      <c r="CV128" s="13">
        <v>667.72</v>
      </c>
      <c r="CW128" s="202">
        <v>12384</v>
      </c>
      <c r="CX128" s="200">
        <v>7105</v>
      </c>
      <c r="CY128" s="202"/>
      <c r="CZ128" s="202"/>
      <c r="DA128" s="202"/>
      <c r="DB128" s="202"/>
      <c r="DC128" s="202"/>
      <c r="DD128" s="461"/>
      <c r="DE128" s="256"/>
      <c r="DF128" s="204">
        <v>1631</v>
      </c>
      <c r="DG128" s="204"/>
      <c r="DH128" s="204"/>
      <c r="DI128" s="204"/>
      <c r="DJ128" s="202">
        <v>21500</v>
      </c>
      <c r="DK128" s="202"/>
      <c r="DL128" s="202"/>
      <c r="DM128" s="202"/>
      <c r="DN128" s="202"/>
      <c r="DO128" s="202"/>
      <c r="DP128" s="202">
        <v>79029</v>
      </c>
      <c r="DQ128" s="202">
        <v>4420</v>
      </c>
      <c r="DR128" s="202">
        <v>2.6</v>
      </c>
      <c r="DS128" s="202"/>
      <c r="DT128" s="254"/>
      <c r="DU128" s="254"/>
      <c r="DV128" s="202">
        <v>84250</v>
      </c>
      <c r="DW128" s="202"/>
      <c r="DX128" s="202"/>
      <c r="DY128" s="107"/>
      <c r="DZ128" s="107">
        <v>577</v>
      </c>
      <c r="EA128" s="202"/>
      <c r="EB128" s="202"/>
      <c r="EC128" s="202"/>
      <c r="ED128" s="202"/>
      <c r="EE128" s="202"/>
      <c r="EF128" s="229"/>
      <c r="EG128" s="202"/>
      <c r="EH128" s="202"/>
      <c r="EI128" s="202"/>
      <c r="EJ128" s="202"/>
      <c r="EK128" s="202">
        <v>13157.28</v>
      </c>
      <c r="EL128" s="202">
        <v>0</v>
      </c>
      <c r="EM128" s="202">
        <v>0</v>
      </c>
      <c r="EN128" s="202">
        <v>505.38</v>
      </c>
      <c r="EO128" s="202">
        <v>13157.28</v>
      </c>
      <c r="EP128" s="202"/>
      <c r="EQ128" s="202">
        <v>0</v>
      </c>
      <c r="ER128" s="202">
        <v>505.38</v>
      </c>
      <c r="ES128" s="202"/>
      <c r="ET128" s="202"/>
      <c r="EU128" s="202"/>
      <c r="EV128" s="214">
        <v>-33.75</v>
      </c>
      <c r="EW128" s="240">
        <f t="shared" si="73"/>
        <v>30976.03</v>
      </c>
      <c r="EX128" s="209">
        <f t="shared" si="74"/>
        <v>20160.84</v>
      </c>
    </row>
    <row r="129" spans="1:154" ht="12.75" customHeight="1" x14ac:dyDescent="0.2">
      <c r="A129" s="45" t="s">
        <v>194</v>
      </c>
      <c r="B129" s="163" t="s">
        <v>173</v>
      </c>
      <c r="C129" s="164" t="s">
        <v>34</v>
      </c>
      <c r="D129" s="165" t="s">
        <v>451</v>
      </c>
      <c r="E129" s="164" t="s">
        <v>12</v>
      </c>
      <c r="F129" s="11">
        <v>5</v>
      </c>
      <c r="G129" s="11">
        <v>4</v>
      </c>
      <c r="H129" s="11">
        <v>80</v>
      </c>
      <c r="I129" s="11">
        <v>80</v>
      </c>
      <c r="J129" s="11">
        <v>169</v>
      </c>
      <c r="K129" s="11">
        <v>205</v>
      </c>
      <c r="L129" s="11" t="s">
        <v>746</v>
      </c>
      <c r="M129" s="84">
        <v>168</v>
      </c>
      <c r="N129" s="84">
        <v>652</v>
      </c>
      <c r="O129" s="84">
        <v>0</v>
      </c>
      <c r="P129" s="135">
        <v>277.5</v>
      </c>
      <c r="Q129" s="135">
        <v>714.8</v>
      </c>
      <c r="R129" s="133">
        <v>0</v>
      </c>
      <c r="S129" s="133">
        <f t="shared" si="75"/>
        <v>992.3</v>
      </c>
      <c r="T129" s="134">
        <v>277.5</v>
      </c>
      <c r="U129" s="130">
        <v>1.53</v>
      </c>
      <c r="V129" s="131">
        <v>1.1299999999999999E-2</v>
      </c>
      <c r="W129" s="131" t="s">
        <v>823</v>
      </c>
      <c r="X129" s="132" t="s">
        <v>823</v>
      </c>
      <c r="Y129" s="131">
        <v>1.1299999999999999E-2</v>
      </c>
      <c r="Z129" s="29">
        <v>3502.3</v>
      </c>
      <c r="AA129" s="34"/>
      <c r="AB129" s="9">
        <f t="shared" si="83"/>
        <v>3502.3</v>
      </c>
      <c r="AC129" s="9">
        <f t="shared" si="89"/>
        <v>22169.56</v>
      </c>
      <c r="AD129" s="9">
        <v>0.43</v>
      </c>
      <c r="AE129" s="9">
        <v>4.25</v>
      </c>
      <c r="AF129" s="21">
        <f>2.68-AJ129</f>
        <v>2.44</v>
      </c>
      <c r="AG129" s="18">
        <f>0.59-AQ129</f>
        <v>0.45</v>
      </c>
      <c r="AH129" s="9">
        <v>2.38</v>
      </c>
      <c r="AI129" s="13">
        <v>846</v>
      </c>
      <c r="AJ129" s="21">
        <f t="shared" si="48"/>
        <v>0.24</v>
      </c>
      <c r="AK129" s="9">
        <v>0</v>
      </c>
      <c r="AL129" s="9">
        <v>0</v>
      </c>
      <c r="AM129" s="9">
        <v>0.16</v>
      </c>
      <c r="AN129" s="13">
        <v>356.3</v>
      </c>
      <c r="AO129" s="13">
        <v>712.5</v>
      </c>
      <c r="AP129" s="13">
        <f t="shared" si="77"/>
        <v>5.58</v>
      </c>
      <c r="AQ129" s="18">
        <f t="shared" si="49"/>
        <v>0.14000000000000001</v>
      </c>
      <c r="AR129" s="9">
        <v>0.83</v>
      </c>
      <c r="AS129" s="9">
        <v>0.39</v>
      </c>
      <c r="AT129" s="9">
        <v>7.0000000000000007E-2</v>
      </c>
      <c r="AU129" s="9">
        <v>4.7</v>
      </c>
      <c r="AV129" s="9">
        <v>0.12</v>
      </c>
      <c r="AW129" s="9">
        <f>1.05+0.41+0.32</f>
        <v>1.78</v>
      </c>
      <c r="AX129" s="9">
        <f>1.45+0.55</f>
        <v>2</v>
      </c>
      <c r="AY129" s="166">
        <f t="shared" si="78"/>
        <v>20.38</v>
      </c>
      <c r="AZ129" s="21">
        <v>3497.1</v>
      </c>
      <c r="BA129" s="21">
        <v>0</v>
      </c>
      <c r="BB129" s="21">
        <f t="shared" si="84"/>
        <v>3497.1</v>
      </c>
      <c r="BC129" s="21">
        <v>20.38</v>
      </c>
      <c r="BD129" s="13">
        <f t="shared" si="76"/>
        <v>0</v>
      </c>
      <c r="BE129" s="9">
        <f t="shared" si="50"/>
        <v>71376.87</v>
      </c>
      <c r="BF129" s="9">
        <v>20.38</v>
      </c>
      <c r="BG129" s="10">
        <v>44409</v>
      </c>
      <c r="BH129" s="9">
        <f t="shared" si="51"/>
        <v>1505.99</v>
      </c>
      <c r="BI129" s="9">
        <f t="shared" si="52"/>
        <v>14884.78</v>
      </c>
      <c r="BJ129" s="9">
        <f t="shared" si="53"/>
        <v>8545.61</v>
      </c>
      <c r="BK129" s="9">
        <f t="shared" si="54"/>
        <v>1576.04</v>
      </c>
      <c r="BL129" s="9">
        <f t="shared" si="55"/>
        <v>8335.4699999999993</v>
      </c>
      <c r="BM129" s="9">
        <f t="shared" si="56"/>
        <v>840.55</v>
      </c>
      <c r="BN129" s="9">
        <f t="shared" si="57"/>
        <v>0</v>
      </c>
      <c r="BO129" s="9">
        <f t="shared" si="58"/>
        <v>0</v>
      </c>
      <c r="BP129" s="9">
        <f t="shared" si="59"/>
        <v>560.37</v>
      </c>
      <c r="BQ129" s="9">
        <f t="shared" si="60"/>
        <v>490.32</v>
      </c>
      <c r="BR129" s="9">
        <f t="shared" si="61"/>
        <v>2906.91</v>
      </c>
      <c r="BS129" s="9">
        <f t="shared" si="62"/>
        <v>1365.9</v>
      </c>
      <c r="BT129" s="9">
        <f t="shared" si="63"/>
        <v>245.16</v>
      </c>
      <c r="BU129" s="9">
        <f t="shared" si="64"/>
        <v>16460.810000000001</v>
      </c>
      <c r="BV129" s="9">
        <f t="shared" si="65"/>
        <v>420.28</v>
      </c>
      <c r="BW129" s="9">
        <f t="shared" si="66"/>
        <v>6234.09</v>
      </c>
      <c r="BX129" s="9">
        <f t="shared" si="67"/>
        <v>7004.6</v>
      </c>
      <c r="BY129" s="17">
        <f t="shared" si="68"/>
        <v>71376.88</v>
      </c>
      <c r="BZ129" s="17">
        <v>1.66</v>
      </c>
      <c r="CA129" s="17">
        <v>0.02</v>
      </c>
      <c r="CB129" s="173">
        <v>0</v>
      </c>
      <c r="CC129" s="27">
        <v>0.01</v>
      </c>
      <c r="CD129" s="29">
        <v>6.33</v>
      </c>
      <c r="CE129" s="9">
        <v>5173.5600000000004</v>
      </c>
      <c r="CF129" s="9"/>
      <c r="CG129" s="9">
        <v>16808.93</v>
      </c>
      <c r="CH129" s="9">
        <v>8800.06</v>
      </c>
      <c r="CI129" s="9">
        <f t="shared" si="94"/>
        <v>1.48</v>
      </c>
      <c r="CJ129" s="9">
        <f t="shared" si="95"/>
        <v>0</v>
      </c>
      <c r="CK129" s="13">
        <f t="shared" si="96"/>
        <v>4.8</v>
      </c>
      <c r="CL129" s="13">
        <f t="shared" si="97"/>
        <v>2.5099999999999998</v>
      </c>
      <c r="CM129" s="13">
        <v>71376.899999999994</v>
      </c>
      <c r="CN129" s="13">
        <v>0</v>
      </c>
      <c r="CO129" s="13">
        <v>0</v>
      </c>
      <c r="CP129" s="13">
        <v>14009.2</v>
      </c>
      <c r="CQ129" s="13">
        <v>7039.66</v>
      </c>
      <c r="CR129" s="13">
        <v>64743</v>
      </c>
      <c r="CS129" s="13">
        <v>7684.98</v>
      </c>
      <c r="CT129" s="13">
        <v>0</v>
      </c>
      <c r="CU129" s="13">
        <v>10384.41</v>
      </c>
      <c r="CV129" s="13">
        <v>5724.28</v>
      </c>
      <c r="CW129" s="202">
        <v>3051</v>
      </c>
      <c r="CX129" s="200">
        <v>1750</v>
      </c>
      <c r="CY129" s="202"/>
      <c r="CZ129" s="202"/>
      <c r="DA129" s="202"/>
      <c r="DB129" s="202"/>
      <c r="DC129" s="202"/>
      <c r="DD129" s="461"/>
      <c r="DE129" s="256"/>
      <c r="DF129" s="204">
        <v>846</v>
      </c>
      <c r="DG129" s="204"/>
      <c r="DH129" s="204"/>
      <c r="DI129" s="204"/>
      <c r="DJ129" s="202"/>
      <c r="DK129" s="202"/>
      <c r="DL129" s="202"/>
      <c r="DM129" s="202"/>
      <c r="DN129" s="202"/>
      <c r="DO129" s="202"/>
      <c r="DP129" s="202">
        <v>13587</v>
      </c>
      <c r="DQ129" s="202">
        <v>5100</v>
      </c>
      <c r="DR129" s="202">
        <v>3</v>
      </c>
      <c r="DS129" s="202"/>
      <c r="DT129" s="254"/>
      <c r="DU129" s="254"/>
      <c r="DV129" s="202">
        <v>19550</v>
      </c>
      <c r="DW129" s="202"/>
      <c r="DX129" s="202"/>
      <c r="DY129" s="107">
        <v>1365</v>
      </c>
      <c r="DZ129" s="107"/>
      <c r="EA129" s="202"/>
      <c r="EB129" s="202"/>
      <c r="EC129" s="202"/>
      <c r="ED129" s="202"/>
      <c r="EE129" s="202"/>
      <c r="EF129" s="229"/>
      <c r="EG129" s="202"/>
      <c r="EH129" s="202"/>
      <c r="EI129" s="202"/>
      <c r="EJ129" s="202"/>
      <c r="EK129" s="202">
        <v>0</v>
      </c>
      <c r="EL129" s="202">
        <v>0</v>
      </c>
      <c r="EM129" s="202">
        <v>14025.46</v>
      </c>
      <c r="EN129" s="202">
        <v>7342.81</v>
      </c>
      <c r="EO129" s="202">
        <v>0</v>
      </c>
      <c r="EP129" s="202"/>
      <c r="EQ129" s="202">
        <v>14025.46</v>
      </c>
      <c r="ER129" s="202">
        <v>7342.81</v>
      </c>
      <c r="ES129" s="202"/>
      <c r="ET129" s="202"/>
      <c r="EU129" s="202"/>
      <c r="EV129" s="214">
        <v>631.01</v>
      </c>
      <c r="EW129" s="240">
        <f t="shared" si="73"/>
        <v>7660.09</v>
      </c>
      <c r="EX129" s="209">
        <f t="shared" si="74"/>
        <v>4985.59</v>
      </c>
    </row>
    <row r="130" spans="1:154" ht="12.75" customHeight="1" x14ac:dyDescent="0.2">
      <c r="A130" s="45" t="s">
        <v>195</v>
      </c>
      <c r="B130" s="163" t="s">
        <v>173</v>
      </c>
      <c r="C130" s="164" t="s">
        <v>39</v>
      </c>
      <c r="D130" s="165" t="s">
        <v>562</v>
      </c>
      <c r="E130" s="164" t="s">
        <v>9</v>
      </c>
      <c r="F130" s="11">
        <v>9</v>
      </c>
      <c r="G130" s="11">
        <v>4</v>
      </c>
      <c r="H130" s="11">
        <v>216</v>
      </c>
      <c r="I130" s="11">
        <v>214</v>
      </c>
      <c r="J130" s="11">
        <v>352</v>
      </c>
      <c r="K130" s="11">
        <v>430</v>
      </c>
      <c r="L130" s="11">
        <v>4</v>
      </c>
      <c r="M130" s="84">
        <v>853</v>
      </c>
      <c r="N130" s="84">
        <v>1565</v>
      </c>
      <c r="O130" s="84">
        <v>1565</v>
      </c>
      <c r="P130" s="135">
        <f>579.4+942.1</f>
        <v>1521.5</v>
      </c>
      <c r="Q130" s="135">
        <v>688</v>
      </c>
      <c r="R130" s="133">
        <v>1345.01</v>
      </c>
      <c r="S130" s="133">
        <f t="shared" si="75"/>
        <v>3554.51</v>
      </c>
      <c r="T130" s="134">
        <v>1521.5</v>
      </c>
      <c r="U130" s="130">
        <v>2.44</v>
      </c>
      <c r="V130" s="131">
        <v>1.9800000000000002E-2</v>
      </c>
      <c r="W130" s="131">
        <v>1.9800000000000002E-2</v>
      </c>
      <c r="X130" s="132">
        <v>1.32E-3</v>
      </c>
      <c r="Y130" s="131">
        <v>3.9699999999999999E-2</v>
      </c>
      <c r="Z130" s="29">
        <v>7570.95</v>
      </c>
      <c r="AA130" s="34">
        <v>62.6</v>
      </c>
      <c r="AB130" s="9">
        <f t="shared" si="83"/>
        <v>7633.55</v>
      </c>
      <c r="AC130" s="9">
        <f t="shared" si="89"/>
        <v>48320.37</v>
      </c>
      <c r="AD130" s="9">
        <v>2</v>
      </c>
      <c r="AE130" s="9">
        <v>3.88</v>
      </c>
      <c r="AF130" s="21">
        <f>2.74-AJ130</f>
        <v>2.54</v>
      </c>
      <c r="AG130" s="18">
        <f>0.66-AQ130</f>
        <v>0.59</v>
      </c>
      <c r="AH130" s="9">
        <v>3.05</v>
      </c>
      <c r="AI130" s="13">
        <v>1502</v>
      </c>
      <c r="AJ130" s="21">
        <f t="shared" si="48"/>
        <v>0.2</v>
      </c>
      <c r="AK130" s="9">
        <v>2.2400000000000002</v>
      </c>
      <c r="AL130" s="9">
        <v>0.4</v>
      </c>
      <c r="AM130" s="9">
        <v>0.12</v>
      </c>
      <c r="AN130" s="13"/>
      <c r="AO130" s="13">
        <v>1223.5999999999999</v>
      </c>
      <c r="AP130" s="13">
        <f t="shared" si="77"/>
        <v>5.58</v>
      </c>
      <c r="AQ130" s="18">
        <f t="shared" si="49"/>
        <v>7.0000000000000007E-2</v>
      </c>
      <c r="AR130" s="9">
        <v>0.85</v>
      </c>
      <c r="AS130" s="9">
        <v>0.18</v>
      </c>
      <c r="AT130" s="9">
        <v>7.0000000000000007E-2</v>
      </c>
      <c r="AU130" s="9">
        <v>4.53</v>
      </c>
      <c r="AV130" s="9">
        <v>0.17</v>
      </c>
      <c r="AW130" s="9">
        <f>1.45+0.4+0.39</f>
        <v>2.2400000000000002</v>
      </c>
      <c r="AX130" s="9">
        <f>2.05+0.54</f>
        <v>2.59</v>
      </c>
      <c r="AY130" s="166">
        <f t="shared" si="78"/>
        <v>25.72</v>
      </c>
      <c r="AZ130" s="21">
        <v>7622.7</v>
      </c>
      <c r="BA130" s="21">
        <v>62.6</v>
      </c>
      <c r="BB130" s="21">
        <f t="shared" si="84"/>
        <v>7685.3</v>
      </c>
      <c r="BC130" s="21">
        <v>25.72</v>
      </c>
      <c r="BD130" s="13">
        <f t="shared" si="76"/>
        <v>0</v>
      </c>
      <c r="BE130" s="9">
        <f t="shared" si="50"/>
        <v>196334.91</v>
      </c>
      <c r="BF130" s="9">
        <v>25.72</v>
      </c>
      <c r="BG130" s="10">
        <v>44409</v>
      </c>
      <c r="BH130" s="9">
        <f t="shared" si="51"/>
        <v>15267.1</v>
      </c>
      <c r="BI130" s="9">
        <f t="shared" si="52"/>
        <v>29618.17</v>
      </c>
      <c r="BJ130" s="9">
        <f t="shared" si="53"/>
        <v>19389.22</v>
      </c>
      <c r="BK130" s="9">
        <f t="shared" si="54"/>
        <v>4503.79</v>
      </c>
      <c r="BL130" s="9">
        <f t="shared" si="55"/>
        <v>23282.33</v>
      </c>
      <c r="BM130" s="9">
        <f t="shared" si="56"/>
        <v>1526.71</v>
      </c>
      <c r="BN130" s="9">
        <f t="shared" si="57"/>
        <v>17099.150000000001</v>
      </c>
      <c r="BO130" s="9">
        <f t="shared" si="58"/>
        <v>3053.42</v>
      </c>
      <c r="BP130" s="9">
        <f t="shared" si="59"/>
        <v>916.03</v>
      </c>
      <c r="BQ130" s="9">
        <f t="shared" si="60"/>
        <v>534.35</v>
      </c>
      <c r="BR130" s="9">
        <f t="shared" si="61"/>
        <v>6488.52</v>
      </c>
      <c r="BS130" s="9">
        <f t="shared" si="62"/>
        <v>1374.04</v>
      </c>
      <c r="BT130" s="9">
        <f t="shared" si="63"/>
        <v>534.35</v>
      </c>
      <c r="BU130" s="9">
        <f t="shared" si="64"/>
        <v>34579.980000000003</v>
      </c>
      <c r="BV130" s="9">
        <f t="shared" si="65"/>
        <v>1297.7</v>
      </c>
      <c r="BW130" s="9">
        <f t="shared" si="66"/>
        <v>17099.150000000001</v>
      </c>
      <c r="BX130" s="9">
        <f t="shared" si="67"/>
        <v>19770.89</v>
      </c>
      <c r="BY130" s="17">
        <f t="shared" si="68"/>
        <v>196334.9</v>
      </c>
      <c r="BZ130" s="17">
        <v>4.3600000000000003</v>
      </c>
      <c r="CA130" s="17">
        <v>0.11</v>
      </c>
      <c r="CB130" s="17">
        <v>0.67</v>
      </c>
      <c r="CC130" s="27">
        <v>0.11</v>
      </c>
      <c r="CD130" s="29">
        <v>6.33</v>
      </c>
      <c r="CE130" s="9">
        <v>34985.980000000003</v>
      </c>
      <c r="CF130" s="9"/>
      <c r="CG130" s="9">
        <v>8890.9</v>
      </c>
      <c r="CH130" s="9">
        <v>4944.74</v>
      </c>
      <c r="CI130" s="9">
        <f t="shared" si="94"/>
        <v>4.58</v>
      </c>
      <c r="CJ130" s="9">
        <f t="shared" si="95"/>
        <v>0</v>
      </c>
      <c r="CK130" s="13">
        <f t="shared" si="96"/>
        <v>1.1599999999999999</v>
      </c>
      <c r="CL130" s="13">
        <f t="shared" si="97"/>
        <v>0.65</v>
      </c>
      <c r="CM130" s="13">
        <v>194724.82</v>
      </c>
      <c r="CN130" s="13">
        <v>24151.14</v>
      </c>
      <c r="CO130" s="13">
        <v>0</v>
      </c>
      <c r="CP130" s="13">
        <v>1817.06</v>
      </c>
      <c r="CQ130" s="13">
        <v>1362.79</v>
      </c>
      <c r="CR130" s="13">
        <v>214059.21</v>
      </c>
      <c r="CS130" s="13">
        <v>36841.32</v>
      </c>
      <c r="CT130" s="13">
        <v>845.96</v>
      </c>
      <c r="CU130" s="13">
        <v>1879.51</v>
      </c>
      <c r="CV130" s="13">
        <v>1428.77</v>
      </c>
      <c r="CW130" s="202">
        <v>6645</v>
      </c>
      <c r="CX130" s="200">
        <v>3812</v>
      </c>
      <c r="CY130" s="202"/>
      <c r="CZ130" s="202"/>
      <c r="DA130" s="202"/>
      <c r="DB130" s="202"/>
      <c r="DC130" s="202"/>
      <c r="DD130" s="461"/>
      <c r="DE130" s="256"/>
      <c r="DF130" s="204">
        <v>1502</v>
      </c>
      <c r="DG130" s="204"/>
      <c r="DH130" s="204"/>
      <c r="DI130" s="204"/>
      <c r="DJ130" s="202">
        <v>17200</v>
      </c>
      <c r="DK130" s="202"/>
      <c r="DL130" s="202"/>
      <c r="DM130" s="202"/>
      <c r="DN130" s="202"/>
      <c r="DO130" s="202"/>
      <c r="DP130" s="202">
        <v>39049</v>
      </c>
      <c r="DQ130" s="202">
        <v>6800</v>
      </c>
      <c r="DR130" s="202">
        <v>4</v>
      </c>
      <c r="DS130" s="202"/>
      <c r="DT130" s="254"/>
      <c r="DU130" s="254"/>
      <c r="DV130" s="202">
        <v>48960</v>
      </c>
      <c r="DW130" s="202"/>
      <c r="DX130" s="202"/>
      <c r="DY130" s="107">
        <v>1365</v>
      </c>
      <c r="DZ130" s="107">
        <v>942</v>
      </c>
      <c r="EA130" s="202"/>
      <c r="EB130" s="202"/>
      <c r="EC130" s="202"/>
      <c r="ED130" s="202"/>
      <c r="EE130" s="202"/>
      <c r="EF130" s="229"/>
      <c r="EG130" s="202"/>
      <c r="EH130" s="202"/>
      <c r="EI130" s="202"/>
      <c r="EJ130" s="202"/>
      <c r="EK130" s="202">
        <v>24315.79</v>
      </c>
      <c r="EL130" s="202">
        <v>0</v>
      </c>
      <c r="EM130" s="202">
        <v>1864.66</v>
      </c>
      <c r="EN130" s="202">
        <v>1402.43</v>
      </c>
      <c r="EO130" s="202">
        <v>24315.79</v>
      </c>
      <c r="EP130" s="202"/>
      <c r="EQ130" s="202">
        <v>1864.66</v>
      </c>
      <c r="ER130" s="202">
        <v>1402.43</v>
      </c>
      <c r="ES130" s="202"/>
      <c r="ET130" s="202"/>
      <c r="EU130" s="202"/>
      <c r="EV130" s="214">
        <v>-7.13</v>
      </c>
      <c r="EW130" s="240">
        <f t="shared" si="73"/>
        <v>16695.8</v>
      </c>
      <c r="EX130" s="209">
        <f t="shared" si="74"/>
        <v>10866.51</v>
      </c>
    </row>
    <row r="131" spans="1:154" ht="12.75" customHeight="1" x14ac:dyDescent="0.2">
      <c r="A131" s="45" t="s">
        <v>196</v>
      </c>
      <c r="B131" s="163" t="s">
        <v>173</v>
      </c>
      <c r="C131" s="164" t="s">
        <v>179</v>
      </c>
      <c r="D131" s="165" t="s">
        <v>452</v>
      </c>
      <c r="E131" s="164" t="s">
        <v>12</v>
      </c>
      <c r="F131" s="11">
        <v>10</v>
      </c>
      <c r="G131" s="11">
        <v>14</v>
      </c>
      <c r="H131" s="11">
        <v>689</v>
      </c>
      <c r="I131" s="11">
        <v>731</v>
      </c>
      <c r="J131" s="11">
        <v>851</v>
      </c>
      <c r="K131" s="11">
        <v>1141</v>
      </c>
      <c r="L131" s="83">
        <v>14</v>
      </c>
      <c r="M131" s="84">
        <v>3721.2</v>
      </c>
      <c r="N131" s="84">
        <v>3456.15</v>
      </c>
      <c r="O131" s="84">
        <v>3459</v>
      </c>
      <c r="P131" s="135">
        <f>294.5+255.5+440.3+307.4+271.4+606.5+385.5+621.5+473.9+406.1</f>
        <v>4062.6</v>
      </c>
      <c r="Q131" s="135">
        <f>763.3+595.8</f>
        <v>1359.1</v>
      </c>
      <c r="R131" s="133">
        <v>0</v>
      </c>
      <c r="S131" s="133">
        <f t="shared" si="75"/>
        <v>5421.7</v>
      </c>
      <c r="T131" s="134">
        <v>3556.2</v>
      </c>
      <c r="U131" s="130">
        <v>2.74</v>
      </c>
      <c r="V131" s="91">
        <v>1.1299999999999999E-2</v>
      </c>
      <c r="W131" s="91">
        <v>1.1299999999999999E-2</v>
      </c>
      <c r="X131" s="132">
        <v>7.5000000000000002E-4</v>
      </c>
      <c r="Y131" s="91">
        <v>2.2499999999999999E-2</v>
      </c>
      <c r="Z131" s="29">
        <v>21487.38</v>
      </c>
      <c r="AA131" s="34">
        <v>16.3</v>
      </c>
      <c r="AB131" s="9">
        <f t="shared" si="83"/>
        <v>21503.68</v>
      </c>
      <c r="AC131" s="9">
        <f t="shared" si="89"/>
        <v>136118.29</v>
      </c>
      <c r="AD131" s="9">
        <v>1.97</v>
      </c>
      <c r="AE131" s="9">
        <v>4.26</v>
      </c>
      <c r="AF131" s="21">
        <f>2.75-AJ131</f>
        <v>2.6</v>
      </c>
      <c r="AG131" s="18">
        <f>0.68-AQ131</f>
        <v>0.61</v>
      </c>
      <c r="AH131" s="9">
        <v>2.71</v>
      </c>
      <c r="AI131" s="13">
        <v>3318</v>
      </c>
      <c r="AJ131" s="21">
        <f t="shared" si="48"/>
        <v>0.15</v>
      </c>
      <c r="AK131" s="9">
        <v>2</v>
      </c>
      <c r="AL131" s="9">
        <v>0.28000000000000003</v>
      </c>
      <c r="AM131" s="9">
        <v>0.09</v>
      </c>
      <c r="AN131" s="13"/>
      <c r="AO131" s="13">
        <v>3395</v>
      </c>
      <c r="AP131" s="13">
        <f t="shared" si="77"/>
        <v>5.58</v>
      </c>
      <c r="AQ131" s="18">
        <f t="shared" si="49"/>
        <v>7.0000000000000007E-2</v>
      </c>
      <c r="AR131" s="9">
        <v>0.65</v>
      </c>
      <c r="AS131" s="9">
        <v>0.19</v>
      </c>
      <c r="AT131" s="9">
        <v>7.0000000000000007E-2</v>
      </c>
      <c r="AU131" s="9">
        <v>5.27</v>
      </c>
      <c r="AV131" s="9">
        <v>0.17</v>
      </c>
      <c r="AW131" s="9">
        <f>1.41+0.47+0.3</f>
        <v>2.1800000000000002</v>
      </c>
      <c r="AX131" s="9">
        <f>1.97+0.62</f>
        <v>2.59</v>
      </c>
      <c r="AY131" s="166">
        <f t="shared" si="78"/>
        <v>25.86</v>
      </c>
      <c r="AZ131" s="21">
        <v>21495.4</v>
      </c>
      <c r="BA131" s="21">
        <v>0</v>
      </c>
      <c r="BB131" s="21">
        <f t="shared" si="84"/>
        <v>21495.4</v>
      </c>
      <c r="BC131" s="21">
        <v>25.86</v>
      </c>
      <c r="BD131" s="13">
        <f t="shared" si="76"/>
        <v>0</v>
      </c>
      <c r="BE131" s="9">
        <f t="shared" si="50"/>
        <v>556085.16</v>
      </c>
      <c r="BF131" s="9">
        <v>25.86</v>
      </c>
      <c r="BG131" s="10">
        <v>44409</v>
      </c>
      <c r="BH131" s="9">
        <f t="shared" si="51"/>
        <v>42362.25</v>
      </c>
      <c r="BI131" s="9">
        <f t="shared" si="52"/>
        <v>91605.68</v>
      </c>
      <c r="BJ131" s="9">
        <f t="shared" si="53"/>
        <v>55909.57</v>
      </c>
      <c r="BK131" s="9">
        <f t="shared" si="54"/>
        <v>13117.24</v>
      </c>
      <c r="BL131" s="9">
        <f t="shared" si="55"/>
        <v>58274.97</v>
      </c>
      <c r="BM131" s="9">
        <f t="shared" si="56"/>
        <v>3225.55</v>
      </c>
      <c r="BN131" s="9">
        <f t="shared" si="57"/>
        <v>43007.360000000001</v>
      </c>
      <c r="BO131" s="9">
        <f t="shared" si="58"/>
        <v>6021.03</v>
      </c>
      <c r="BP131" s="9">
        <f t="shared" si="59"/>
        <v>1935.33</v>
      </c>
      <c r="BQ131" s="9">
        <f t="shared" si="60"/>
        <v>1505.26</v>
      </c>
      <c r="BR131" s="9">
        <f t="shared" si="61"/>
        <v>13977.39</v>
      </c>
      <c r="BS131" s="9">
        <f t="shared" si="62"/>
        <v>4085.7</v>
      </c>
      <c r="BT131" s="9">
        <f t="shared" si="63"/>
        <v>1505.26</v>
      </c>
      <c r="BU131" s="9">
        <f t="shared" si="64"/>
        <v>113324.39</v>
      </c>
      <c r="BV131" s="9">
        <f t="shared" si="65"/>
        <v>3655.63</v>
      </c>
      <c r="BW131" s="9">
        <f t="shared" si="66"/>
        <v>46878.02</v>
      </c>
      <c r="BX131" s="9">
        <f t="shared" si="67"/>
        <v>55694.53</v>
      </c>
      <c r="BY131" s="17">
        <f t="shared" si="68"/>
        <v>556085.16</v>
      </c>
      <c r="BZ131" s="17">
        <v>4.8499999999999996</v>
      </c>
      <c r="CA131" s="17">
        <v>0.04</v>
      </c>
      <c r="CB131" s="17">
        <v>0.26</v>
      </c>
      <c r="CC131" s="27">
        <v>0.04</v>
      </c>
      <c r="CD131" s="29">
        <v>6.33</v>
      </c>
      <c r="CE131" s="9">
        <v>150572.39000000001</v>
      </c>
      <c r="CF131" s="9"/>
      <c r="CG131" s="9">
        <v>10863.65</v>
      </c>
      <c r="CH131" s="9">
        <v>6182.06</v>
      </c>
      <c r="CI131" s="9">
        <f t="shared" si="94"/>
        <v>7</v>
      </c>
      <c r="CJ131" s="9">
        <f t="shared" si="95"/>
        <v>0</v>
      </c>
      <c r="CK131" s="13">
        <f t="shared" si="96"/>
        <v>0.51</v>
      </c>
      <c r="CL131" s="13">
        <f t="shared" si="97"/>
        <v>0.28999999999999998</v>
      </c>
      <c r="CM131" s="13">
        <v>555746.29</v>
      </c>
      <c r="CN131" s="13">
        <v>92409.49</v>
      </c>
      <c r="CO131" s="13">
        <v>0</v>
      </c>
      <c r="CP131" s="13">
        <v>1719.23</v>
      </c>
      <c r="CQ131" s="13">
        <v>1075.6400000000001</v>
      </c>
      <c r="CR131" s="13">
        <v>608494.80000000005</v>
      </c>
      <c r="CS131" s="13">
        <v>133074.06</v>
      </c>
      <c r="CT131" s="13">
        <v>1219.18</v>
      </c>
      <c r="CU131" s="13">
        <v>2470.4899999999998</v>
      </c>
      <c r="CV131" s="13">
        <v>1616.56</v>
      </c>
      <c r="CW131" s="202">
        <v>18730</v>
      </c>
      <c r="CX131" s="200">
        <v>10745</v>
      </c>
      <c r="CY131" s="202"/>
      <c r="CZ131" s="202"/>
      <c r="DA131" s="202"/>
      <c r="DB131" s="202"/>
      <c r="DC131" s="202"/>
      <c r="DD131" s="461"/>
      <c r="DE131" s="256"/>
      <c r="DF131" s="204">
        <v>3318</v>
      </c>
      <c r="DG131" s="204"/>
      <c r="DH131" s="204"/>
      <c r="DI131" s="204"/>
      <c r="DJ131" s="202">
        <v>43000</v>
      </c>
      <c r="DK131" s="202"/>
      <c r="DL131" s="202"/>
      <c r="DM131" s="202"/>
      <c r="DN131" s="202"/>
      <c r="DO131" s="202"/>
      <c r="DP131" s="202">
        <v>118609</v>
      </c>
      <c r="DQ131" s="202">
        <v>6800</v>
      </c>
      <c r="DR131" s="202">
        <v>4</v>
      </c>
      <c r="DS131" s="202"/>
      <c r="DT131" s="254"/>
      <c r="DU131" s="254"/>
      <c r="DV131" s="202">
        <v>130150</v>
      </c>
      <c r="DW131" s="202"/>
      <c r="DX131" s="202"/>
      <c r="DY131" s="107">
        <v>1365</v>
      </c>
      <c r="DZ131" s="107"/>
      <c r="EA131" s="202">
        <f>5113.47+12154.77+45130</f>
        <v>62398.239999999998</v>
      </c>
      <c r="EB131" s="202"/>
      <c r="EC131" s="202"/>
      <c r="ED131" s="202"/>
      <c r="EE131" s="202"/>
      <c r="EF131" s="229"/>
      <c r="EG131" s="202"/>
      <c r="EH131" s="202"/>
      <c r="EI131" s="202"/>
      <c r="EJ131" s="202"/>
      <c r="EK131" s="202">
        <v>92496.15</v>
      </c>
      <c r="EL131" s="202">
        <v>0</v>
      </c>
      <c r="EM131" s="202">
        <v>1628.94</v>
      </c>
      <c r="EN131" s="202">
        <v>1132.05</v>
      </c>
      <c r="EO131" s="202">
        <v>92496.15</v>
      </c>
      <c r="EP131" s="202"/>
      <c r="EQ131" s="202">
        <v>1628.94</v>
      </c>
      <c r="ER131" s="202">
        <v>1132.05</v>
      </c>
      <c r="ES131" s="202"/>
      <c r="ET131" s="202">
        <v>88.12</v>
      </c>
      <c r="EU131" s="202">
        <v>21859.11</v>
      </c>
      <c r="EV131" s="214">
        <v>2.15</v>
      </c>
      <c r="EW131" s="240">
        <f t="shared" si="73"/>
        <v>47031.99</v>
      </c>
      <c r="EX131" s="209">
        <f t="shared" si="74"/>
        <v>30610.92</v>
      </c>
    </row>
    <row r="132" spans="1:154" ht="12.75" customHeight="1" x14ac:dyDescent="0.2">
      <c r="A132" s="45" t="s">
        <v>197</v>
      </c>
      <c r="B132" s="163" t="s">
        <v>173</v>
      </c>
      <c r="C132" s="164" t="s">
        <v>41</v>
      </c>
      <c r="D132" s="165" t="s">
        <v>453</v>
      </c>
      <c r="E132" s="164" t="s">
        <v>12</v>
      </c>
      <c r="F132" s="11">
        <v>9</v>
      </c>
      <c r="G132" s="11">
        <v>1</v>
      </c>
      <c r="H132" s="11">
        <v>54</v>
      </c>
      <c r="I132" s="11">
        <v>54</v>
      </c>
      <c r="J132" s="11">
        <v>103</v>
      </c>
      <c r="K132" s="11">
        <v>134</v>
      </c>
      <c r="L132" s="83">
        <v>1</v>
      </c>
      <c r="M132" s="84">
        <v>354.4</v>
      </c>
      <c r="N132" s="84">
        <v>0</v>
      </c>
      <c r="O132" s="84">
        <v>500.9</v>
      </c>
      <c r="P132" s="135">
        <v>377.4</v>
      </c>
      <c r="Q132" s="135">
        <v>472.9</v>
      </c>
      <c r="R132" s="133">
        <v>0</v>
      </c>
      <c r="S132" s="133">
        <f t="shared" si="75"/>
        <v>850.3</v>
      </c>
      <c r="T132" s="134">
        <v>377.4</v>
      </c>
      <c r="U132" s="130">
        <v>2.44</v>
      </c>
      <c r="V132" s="131">
        <v>1.9800000000000002E-2</v>
      </c>
      <c r="W132" s="131">
        <v>1.9800000000000002E-2</v>
      </c>
      <c r="X132" s="132">
        <v>1.32E-3</v>
      </c>
      <c r="Y132" s="131">
        <v>3.9699999999999999E-2</v>
      </c>
      <c r="Z132" s="29">
        <v>2808.8</v>
      </c>
      <c r="AA132" s="34">
        <v>306.89999999999998</v>
      </c>
      <c r="AB132" s="9">
        <f t="shared" si="83"/>
        <v>3115.7</v>
      </c>
      <c r="AC132" s="9">
        <f t="shared" si="89"/>
        <v>19722.38</v>
      </c>
      <c r="AD132" s="9">
        <v>1.7</v>
      </c>
      <c r="AE132" s="9">
        <v>4.45</v>
      </c>
      <c r="AF132" s="21">
        <f>2.57-AJ132</f>
        <v>2.42</v>
      </c>
      <c r="AG132" s="18">
        <f>0.61-AQ132</f>
        <v>0.56000000000000005</v>
      </c>
      <c r="AH132" s="9">
        <v>3.05</v>
      </c>
      <c r="AI132" s="13">
        <v>481</v>
      </c>
      <c r="AJ132" s="21">
        <f t="shared" si="48"/>
        <v>0.15</v>
      </c>
      <c r="AK132" s="9">
        <v>1.4</v>
      </c>
      <c r="AL132" s="9">
        <v>0.12</v>
      </c>
      <c r="AM132" s="9">
        <v>0.31</v>
      </c>
      <c r="AN132" s="13"/>
      <c r="AO132" s="13">
        <v>305.89999999999998</v>
      </c>
      <c r="AP132" s="13">
        <f t="shared" si="77"/>
        <v>5.58</v>
      </c>
      <c r="AQ132" s="18">
        <f t="shared" si="49"/>
        <v>0.05</v>
      </c>
      <c r="AR132" s="9">
        <v>0.54</v>
      </c>
      <c r="AS132" s="9">
        <v>0.44</v>
      </c>
      <c r="AT132" s="9">
        <v>0</v>
      </c>
      <c r="AU132" s="9">
        <v>4.37</v>
      </c>
      <c r="AV132" s="9">
        <v>0.16</v>
      </c>
      <c r="AW132" s="9">
        <f>1.36+0.39+0.27</f>
        <v>2.02</v>
      </c>
      <c r="AX132" s="9">
        <f>1.9+0.51</f>
        <v>2.41</v>
      </c>
      <c r="AY132" s="166">
        <f t="shared" si="78"/>
        <v>24.15</v>
      </c>
      <c r="AZ132" s="21">
        <v>2768.6</v>
      </c>
      <c r="BA132" s="21">
        <v>306.89999999999998</v>
      </c>
      <c r="BB132" s="21">
        <f t="shared" si="84"/>
        <v>3075.5</v>
      </c>
      <c r="BC132" s="21">
        <v>24.15</v>
      </c>
      <c r="BD132" s="13">
        <f t="shared" si="76"/>
        <v>0</v>
      </c>
      <c r="BE132" s="9">
        <f t="shared" si="50"/>
        <v>75244.160000000003</v>
      </c>
      <c r="BF132" s="9">
        <v>24.15</v>
      </c>
      <c r="BG132" s="10">
        <v>44409</v>
      </c>
      <c r="BH132" s="9">
        <f t="shared" si="51"/>
        <v>5296.69</v>
      </c>
      <c r="BI132" s="9">
        <f t="shared" si="52"/>
        <v>13864.87</v>
      </c>
      <c r="BJ132" s="9">
        <f t="shared" si="53"/>
        <v>7539.99</v>
      </c>
      <c r="BK132" s="9">
        <f t="shared" si="54"/>
        <v>1744.79</v>
      </c>
      <c r="BL132" s="9">
        <f t="shared" si="55"/>
        <v>9502.89</v>
      </c>
      <c r="BM132" s="9">
        <f t="shared" si="56"/>
        <v>467.36</v>
      </c>
      <c r="BN132" s="9">
        <f t="shared" si="57"/>
        <v>4361.9799999999996</v>
      </c>
      <c r="BO132" s="9">
        <f t="shared" si="58"/>
        <v>373.88</v>
      </c>
      <c r="BP132" s="9">
        <f t="shared" si="59"/>
        <v>965.87</v>
      </c>
      <c r="BQ132" s="9">
        <f t="shared" si="60"/>
        <v>155.79</v>
      </c>
      <c r="BR132" s="9">
        <f t="shared" si="61"/>
        <v>1682.48</v>
      </c>
      <c r="BS132" s="9">
        <f t="shared" si="62"/>
        <v>1370.91</v>
      </c>
      <c r="BT132" s="9">
        <f t="shared" si="63"/>
        <v>0</v>
      </c>
      <c r="BU132" s="9">
        <f t="shared" si="64"/>
        <v>13615.61</v>
      </c>
      <c r="BV132" s="9">
        <f t="shared" si="65"/>
        <v>498.51</v>
      </c>
      <c r="BW132" s="9">
        <f t="shared" si="66"/>
        <v>6293.71</v>
      </c>
      <c r="BX132" s="9">
        <f t="shared" si="67"/>
        <v>7508.84</v>
      </c>
      <c r="BY132" s="17">
        <f t="shared" si="68"/>
        <v>75244.17</v>
      </c>
      <c r="BZ132" s="17">
        <v>2.5499999999999998</v>
      </c>
      <c r="CA132" s="17">
        <v>0.06</v>
      </c>
      <c r="CB132" s="17">
        <v>0.4</v>
      </c>
      <c r="CC132" s="27">
        <v>7.0000000000000007E-2</v>
      </c>
      <c r="CD132" s="29">
        <v>6.33</v>
      </c>
      <c r="CE132" s="9">
        <v>9665.85</v>
      </c>
      <c r="CF132" s="92"/>
      <c r="CG132" s="92">
        <v>0</v>
      </c>
      <c r="CH132" s="92">
        <v>105.72</v>
      </c>
      <c r="CI132" s="92">
        <f t="shared" si="94"/>
        <v>3.1</v>
      </c>
      <c r="CJ132" s="92">
        <f t="shared" si="95"/>
        <v>0</v>
      </c>
      <c r="CK132" s="109">
        <f t="shared" si="96"/>
        <v>0</v>
      </c>
      <c r="CL132" s="109">
        <f t="shared" si="97"/>
        <v>0.03</v>
      </c>
      <c r="CM132" s="13">
        <v>67832.67</v>
      </c>
      <c r="CN132" s="13">
        <v>10280.18</v>
      </c>
      <c r="CO132" s="13">
        <v>0</v>
      </c>
      <c r="CP132" s="13">
        <v>0</v>
      </c>
      <c r="CQ132" s="13">
        <v>84.26</v>
      </c>
      <c r="CR132" s="13">
        <v>71914.100000000006</v>
      </c>
      <c r="CS132" s="13">
        <v>15647.59</v>
      </c>
      <c r="CT132" s="13">
        <v>179.22</v>
      </c>
      <c r="CU132" s="13">
        <v>26.88</v>
      </c>
      <c r="CV132" s="13">
        <v>91.9</v>
      </c>
      <c r="CW132" s="202">
        <v>2715</v>
      </c>
      <c r="CX132" s="200">
        <v>1557</v>
      </c>
      <c r="CY132" s="202"/>
      <c r="CZ132" s="202"/>
      <c r="DA132" s="202"/>
      <c r="DB132" s="202"/>
      <c r="DC132" s="202"/>
      <c r="DD132" s="461"/>
      <c r="DE132" s="256"/>
      <c r="DF132" s="204">
        <v>481</v>
      </c>
      <c r="DG132" s="204"/>
      <c r="DH132" s="204"/>
      <c r="DI132" s="204"/>
      <c r="DJ132" s="202">
        <v>4300</v>
      </c>
      <c r="DK132" s="202"/>
      <c r="DL132" s="202">
        <v>14000</v>
      </c>
      <c r="DM132" s="202"/>
      <c r="DN132" s="202"/>
      <c r="DO132" s="202"/>
      <c r="DP132" s="202">
        <v>17472</v>
      </c>
      <c r="DQ132" s="202">
        <v>7650</v>
      </c>
      <c r="DR132" s="202">
        <v>4.5</v>
      </c>
      <c r="DS132" s="202"/>
      <c r="DT132" s="254"/>
      <c r="DU132" s="254"/>
      <c r="DV132" s="202">
        <v>18970</v>
      </c>
      <c r="DW132" s="202"/>
      <c r="DX132" s="202"/>
      <c r="DY132" s="107">
        <v>1365</v>
      </c>
      <c r="DZ132" s="107">
        <v>942</v>
      </c>
      <c r="EA132" s="202">
        <v>16435.12</v>
      </c>
      <c r="EB132" s="202"/>
      <c r="EC132" s="202"/>
      <c r="ED132" s="202"/>
      <c r="EE132" s="202"/>
      <c r="EF132" s="229"/>
      <c r="EG132" s="202"/>
      <c r="EH132" s="202"/>
      <c r="EI132" s="202"/>
      <c r="EJ132" s="202"/>
      <c r="EK132" s="202">
        <v>11401.3</v>
      </c>
      <c r="EL132" s="202">
        <v>0</v>
      </c>
      <c r="EM132" s="202">
        <v>0</v>
      </c>
      <c r="EN132" s="202">
        <v>105.72</v>
      </c>
      <c r="EO132" s="202">
        <v>11401.3</v>
      </c>
      <c r="EP132" s="202"/>
      <c r="EQ132" s="202">
        <v>0</v>
      </c>
      <c r="ER132" s="202">
        <v>105.72</v>
      </c>
      <c r="ES132" s="202"/>
      <c r="ET132" s="202"/>
      <c r="EU132" s="202"/>
      <c r="EV132" s="214">
        <v>-5.36</v>
      </c>
      <c r="EW132" s="240">
        <f t="shared" si="73"/>
        <v>6814.53</v>
      </c>
      <c r="EX132" s="209">
        <f t="shared" si="74"/>
        <v>4435.26</v>
      </c>
    </row>
    <row r="133" spans="1:154" s="95" customFormat="1" ht="12.75" customHeight="1" x14ac:dyDescent="0.2">
      <c r="A133" s="85"/>
      <c r="B133" s="163" t="s">
        <v>173</v>
      </c>
      <c r="C133" s="164">
        <v>31</v>
      </c>
      <c r="D133" s="165" t="s">
        <v>701</v>
      </c>
      <c r="E133" s="164"/>
      <c r="F133" s="84">
        <v>9</v>
      </c>
      <c r="G133" s="84">
        <v>1</v>
      </c>
      <c r="H133" s="84">
        <v>54</v>
      </c>
      <c r="I133" s="84">
        <v>54</v>
      </c>
      <c r="J133" s="11">
        <v>110</v>
      </c>
      <c r="K133" s="84">
        <v>139</v>
      </c>
      <c r="L133" s="84">
        <v>1</v>
      </c>
      <c r="M133" s="84">
        <v>261.8</v>
      </c>
      <c r="N133" s="84">
        <v>458.3</v>
      </c>
      <c r="O133" s="84">
        <v>458.3</v>
      </c>
      <c r="P133" s="135">
        <v>374.3</v>
      </c>
      <c r="Q133" s="135">
        <v>325.89999999999998</v>
      </c>
      <c r="R133" s="133">
        <v>308.2</v>
      </c>
      <c r="S133" s="133">
        <f t="shared" si="75"/>
        <v>1008.4</v>
      </c>
      <c r="T133" s="139"/>
      <c r="U133" s="130">
        <v>2.44</v>
      </c>
      <c r="V133" s="131"/>
      <c r="W133" s="131">
        <v>1.9800000000000002E-2</v>
      </c>
      <c r="X133" s="132">
        <v>1.32E-3</v>
      </c>
      <c r="Y133" s="131"/>
      <c r="Z133" s="29">
        <v>2810.4</v>
      </c>
      <c r="AA133" s="13">
        <v>23</v>
      </c>
      <c r="AB133" s="9">
        <f t="shared" si="83"/>
        <v>2833.4</v>
      </c>
      <c r="AC133" s="9">
        <f t="shared" si="89"/>
        <v>17935.419999999998</v>
      </c>
      <c r="AD133" s="13">
        <v>1.89</v>
      </c>
      <c r="AE133" s="13">
        <v>4.17</v>
      </c>
      <c r="AF133" s="21">
        <f>2.65-AJ133</f>
        <v>2.4900000000000002</v>
      </c>
      <c r="AG133" s="18">
        <f>0.63-AQ133</f>
        <v>0.63</v>
      </c>
      <c r="AH133" s="13">
        <v>3.05</v>
      </c>
      <c r="AI133" s="13">
        <v>440</v>
      </c>
      <c r="AJ133" s="21">
        <f t="shared" si="48"/>
        <v>0.16</v>
      </c>
      <c r="AK133" s="13">
        <v>1.55</v>
      </c>
      <c r="AL133" s="13">
        <v>0.14000000000000001</v>
      </c>
      <c r="AM133" s="13">
        <v>0.21</v>
      </c>
      <c r="AN133" s="13"/>
      <c r="AO133" s="19"/>
      <c r="AP133" s="13">
        <f t="shared" si="77"/>
        <v>5.58</v>
      </c>
      <c r="AQ133" s="19"/>
      <c r="AR133" s="13">
        <v>0.6</v>
      </c>
      <c r="AS133" s="13">
        <v>0.49</v>
      </c>
      <c r="AT133" s="13">
        <v>7.0000000000000007E-2</v>
      </c>
      <c r="AU133" s="13">
        <v>5.27</v>
      </c>
      <c r="AV133" s="13">
        <v>0.16</v>
      </c>
      <c r="AW133" s="13">
        <f>1.39+0.47+0.26</f>
        <v>2.12</v>
      </c>
      <c r="AX133" s="94">
        <f>1.94+0.62</f>
        <v>2.56</v>
      </c>
      <c r="AY133" s="166">
        <f t="shared" si="78"/>
        <v>25.56</v>
      </c>
      <c r="AZ133" s="21"/>
      <c r="BA133" s="21"/>
      <c r="BB133" s="21">
        <v>25.56</v>
      </c>
      <c r="BC133" s="21">
        <v>25.56</v>
      </c>
      <c r="BD133" s="13">
        <f t="shared" si="76"/>
        <v>0</v>
      </c>
      <c r="BE133" s="13">
        <f t="shared" si="50"/>
        <v>72421.7</v>
      </c>
      <c r="BF133" s="30">
        <v>44470</v>
      </c>
      <c r="BG133" s="10">
        <v>44470</v>
      </c>
      <c r="BH133" s="9">
        <f t="shared" si="51"/>
        <v>5355.13</v>
      </c>
      <c r="BI133" s="9">
        <f t="shared" si="52"/>
        <v>11815.28</v>
      </c>
      <c r="BJ133" s="9">
        <f t="shared" si="53"/>
        <v>7055.17</v>
      </c>
      <c r="BK133" s="9">
        <f t="shared" si="54"/>
        <v>1785.04</v>
      </c>
      <c r="BL133" s="9">
        <f t="shared" si="55"/>
        <v>8641.8700000000008</v>
      </c>
      <c r="BM133" s="9">
        <f t="shared" si="56"/>
        <v>453.34</v>
      </c>
      <c r="BN133" s="9">
        <f t="shared" si="57"/>
        <v>4391.7700000000004</v>
      </c>
      <c r="BO133" s="9">
        <f t="shared" si="58"/>
        <v>396.68</v>
      </c>
      <c r="BP133" s="9">
        <f t="shared" si="59"/>
        <v>595.01</v>
      </c>
      <c r="BQ133" s="9">
        <f t="shared" si="60"/>
        <v>0</v>
      </c>
      <c r="BR133" s="9">
        <f t="shared" si="61"/>
        <v>1700.04</v>
      </c>
      <c r="BS133" s="9">
        <f t="shared" si="62"/>
        <v>1388.37</v>
      </c>
      <c r="BT133" s="9">
        <f t="shared" si="63"/>
        <v>198.34</v>
      </c>
      <c r="BU133" s="9">
        <f t="shared" si="64"/>
        <v>14932.02</v>
      </c>
      <c r="BV133" s="9">
        <f t="shared" si="65"/>
        <v>453.34</v>
      </c>
      <c r="BW133" s="9">
        <f t="shared" si="66"/>
        <v>6006.81</v>
      </c>
      <c r="BX133" s="9">
        <f t="shared" si="67"/>
        <v>7253.5</v>
      </c>
      <c r="BY133" s="17">
        <f t="shared" si="68"/>
        <v>72421.710000000006</v>
      </c>
      <c r="BZ133" s="17">
        <v>3.9</v>
      </c>
      <c r="CA133" s="17">
        <v>7.0000000000000007E-2</v>
      </c>
      <c r="CB133" s="17">
        <v>0.45</v>
      </c>
      <c r="CC133" s="27">
        <v>0.08</v>
      </c>
      <c r="CD133" s="27">
        <v>6.33</v>
      </c>
      <c r="CE133" s="97"/>
      <c r="CF133" s="87"/>
      <c r="CG133" s="86"/>
      <c r="CH133" s="19"/>
      <c r="CI133" s="19"/>
      <c r="CJ133" s="92">
        <f t="shared" si="95"/>
        <v>0</v>
      </c>
      <c r="CK133" s="109">
        <f t="shared" si="96"/>
        <v>0</v>
      </c>
      <c r="CL133" s="109">
        <f t="shared" si="97"/>
        <v>0</v>
      </c>
      <c r="CM133" s="13">
        <v>71833.850000000006</v>
      </c>
      <c r="CN133" s="13">
        <v>9639.64</v>
      </c>
      <c r="CO133" s="13">
        <v>1067.96</v>
      </c>
      <c r="CP133" s="13">
        <v>0</v>
      </c>
      <c r="CQ133" s="13">
        <v>112.39</v>
      </c>
      <c r="CR133" s="13">
        <v>65660.850000000006</v>
      </c>
      <c r="CS133" s="13">
        <v>10852.24</v>
      </c>
      <c r="CT133" s="13">
        <v>601.77</v>
      </c>
      <c r="CU133" s="13">
        <v>41.78</v>
      </c>
      <c r="CV133" s="13">
        <v>125.27</v>
      </c>
      <c r="CW133" s="202">
        <v>2449</v>
      </c>
      <c r="CX133" s="200">
        <v>1405</v>
      </c>
      <c r="CY133" s="202"/>
      <c r="CZ133" s="202"/>
      <c r="DA133" s="202"/>
      <c r="DB133" s="202"/>
      <c r="DC133" s="202"/>
      <c r="DD133" s="461"/>
      <c r="DE133" s="256"/>
      <c r="DF133" s="204">
        <v>440</v>
      </c>
      <c r="DG133" s="204"/>
      <c r="DH133" s="204"/>
      <c r="DI133" s="204"/>
      <c r="DJ133" s="202">
        <v>4300</v>
      </c>
      <c r="DK133" s="202"/>
      <c r="DL133" s="202">
        <v>14000</v>
      </c>
      <c r="DM133" s="202"/>
      <c r="DN133" s="202"/>
      <c r="DO133" s="202"/>
      <c r="DP133" s="202">
        <v>16557</v>
      </c>
      <c r="DQ133" s="202">
        <v>7650</v>
      </c>
      <c r="DR133" s="202">
        <v>4.5</v>
      </c>
      <c r="DS133" s="202"/>
      <c r="DT133" s="254"/>
      <c r="DU133" s="254"/>
      <c r="DV133" s="202">
        <v>17256</v>
      </c>
      <c r="DW133" s="202"/>
      <c r="DX133" s="202"/>
      <c r="DY133" s="107">
        <v>1365</v>
      </c>
      <c r="DZ133" s="107">
        <v>577</v>
      </c>
      <c r="EA133" s="202"/>
      <c r="EB133" s="107"/>
      <c r="EC133" s="107"/>
      <c r="ED133" s="107"/>
      <c r="EE133" s="107"/>
      <c r="EF133" s="230"/>
      <c r="EG133" s="107"/>
      <c r="EH133" s="107"/>
      <c r="EI133" s="107"/>
      <c r="EJ133" s="107"/>
      <c r="EK133" s="202">
        <v>9706.41</v>
      </c>
      <c r="EL133" s="202">
        <v>1075.6099999999999</v>
      </c>
      <c r="EM133" s="202">
        <v>0</v>
      </c>
      <c r="EN133" s="202">
        <v>104.85</v>
      </c>
      <c r="EO133" s="202">
        <v>9706.41</v>
      </c>
      <c r="EP133" s="107"/>
      <c r="EQ133" s="202">
        <v>0</v>
      </c>
      <c r="ER133" s="202">
        <v>104.85</v>
      </c>
      <c r="ES133" s="107"/>
      <c r="ET133" s="107"/>
      <c r="EU133" s="107"/>
      <c r="EV133" s="214">
        <f>-5.3+8059.92</f>
        <v>8054.62</v>
      </c>
      <c r="EW133" s="240">
        <f t="shared" si="73"/>
        <v>6197.1</v>
      </c>
      <c r="EX133" s="209">
        <f t="shared" si="74"/>
        <v>4033.4</v>
      </c>
    </row>
    <row r="134" spans="1:154" ht="12.75" customHeight="1" x14ac:dyDescent="0.2">
      <c r="A134" s="45" t="s">
        <v>198</v>
      </c>
      <c r="B134" s="156" t="s">
        <v>182</v>
      </c>
      <c r="C134" s="157" t="s">
        <v>46</v>
      </c>
      <c r="D134" s="158" t="s">
        <v>638</v>
      </c>
      <c r="E134" s="157" t="s">
        <v>12</v>
      </c>
      <c r="F134" s="11">
        <v>9</v>
      </c>
      <c r="G134" s="11">
        <v>4</v>
      </c>
      <c r="H134" s="11">
        <v>216</v>
      </c>
      <c r="I134" s="11">
        <v>220</v>
      </c>
      <c r="J134" s="11">
        <v>492</v>
      </c>
      <c r="K134" s="11">
        <v>587</v>
      </c>
      <c r="L134" s="11">
        <v>4</v>
      </c>
      <c r="M134" s="84">
        <v>1404</v>
      </c>
      <c r="N134" s="84">
        <v>1612</v>
      </c>
      <c r="O134" s="84">
        <v>0</v>
      </c>
      <c r="P134" s="135">
        <v>1561.8</v>
      </c>
      <c r="Q134" s="135">
        <v>1286.3</v>
      </c>
      <c r="R134" s="133">
        <v>0</v>
      </c>
      <c r="S134" s="133">
        <f t="shared" si="75"/>
        <v>2848.1</v>
      </c>
      <c r="T134" s="134">
        <v>1561.8</v>
      </c>
      <c r="U134" s="130">
        <v>2.44</v>
      </c>
      <c r="V134" s="131">
        <v>1.9800000000000002E-2</v>
      </c>
      <c r="W134" s="131">
        <v>1.9800000000000002E-2</v>
      </c>
      <c r="X134" s="132">
        <v>1.32E-3</v>
      </c>
      <c r="Y134" s="131">
        <v>3.9699999999999999E-2</v>
      </c>
      <c r="Z134" s="29">
        <v>11014.6</v>
      </c>
      <c r="AA134" s="34"/>
      <c r="AB134" s="9">
        <f t="shared" si="83"/>
        <v>11014.6</v>
      </c>
      <c r="AC134" s="9">
        <f t="shared" si="89"/>
        <v>69722.42</v>
      </c>
      <c r="AD134" s="9">
        <v>2.58</v>
      </c>
      <c r="AE134" s="9">
        <v>5.14</v>
      </c>
      <c r="AF134" s="21">
        <f>2.42-AJ134</f>
        <v>2.2799999999999998</v>
      </c>
      <c r="AG134" s="18">
        <f>0.6-AQ134</f>
        <v>0.56000000000000005</v>
      </c>
      <c r="AH134" s="9">
        <v>2.77</v>
      </c>
      <c r="AI134" s="13">
        <v>1548</v>
      </c>
      <c r="AJ134" s="21">
        <f t="shared" si="48"/>
        <v>0.14000000000000001</v>
      </c>
      <c r="AK134" s="9">
        <v>1.57</v>
      </c>
      <c r="AL134" s="9">
        <v>0.14000000000000001</v>
      </c>
      <c r="AM134" s="9">
        <v>0.05</v>
      </c>
      <c r="AN134" s="13"/>
      <c r="AO134" s="13">
        <v>844.8</v>
      </c>
      <c r="AP134" s="13">
        <f t="shared" si="77"/>
        <v>5.58</v>
      </c>
      <c r="AQ134" s="18">
        <f t="shared" ref="AQ134:AQ197" si="98">SUM(AN134:AO134)*AP134/AB134/12</f>
        <v>0.04</v>
      </c>
      <c r="AR134" s="9">
        <v>0.61</v>
      </c>
      <c r="AS134" s="9">
        <v>0.12</v>
      </c>
      <c r="AT134" s="9">
        <v>7.0000000000000007E-2</v>
      </c>
      <c r="AU134" s="9">
        <v>3.61</v>
      </c>
      <c r="AV134" s="9">
        <v>0.17</v>
      </c>
      <c r="AW134" s="9">
        <f>1.44+0.32+0.28</f>
        <v>2.04</v>
      </c>
      <c r="AX134" s="9">
        <f>2+0.43</f>
        <v>2.4300000000000002</v>
      </c>
      <c r="AY134" s="159">
        <f t="shared" si="78"/>
        <v>24.32</v>
      </c>
      <c r="AZ134" s="160">
        <v>10937.1</v>
      </c>
      <c r="BA134" s="160">
        <v>0</v>
      </c>
      <c r="BB134" s="160">
        <f t="shared" si="84"/>
        <v>10937.1</v>
      </c>
      <c r="BC134" s="160">
        <v>24.32</v>
      </c>
      <c r="BD134" s="13">
        <f t="shared" si="76"/>
        <v>0</v>
      </c>
      <c r="BE134" s="9">
        <f t="shared" si="50"/>
        <v>267875.07</v>
      </c>
      <c r="BF134" s="9">
        <v>24.32</v>
      </c>
      <c r="BG134" s="10">
        <v>44409</v>
      </c>
      <c r="BH134" s="9">
        <f t="shared" si="51"/>
        <v>28417.67</v>
      </c>
      <c r="BI134" s="9">
        <f t="shared" si="52"/>
        <v>56615.040000000001</v>
      </c>
      <c r="BJ134" s="9">
        <f t="shared" si="53"/>
        <v>25113.29</v>
      </c>
      <c r="BK134" s="9">
        <f t="shared" si="54"/>
        <v>6168.18</v>
      </c>
      <c r="BL134" s="9">
        <f t="shared" si="55"/>
        <v>30510.44</v>
      </c>
      <c r="BM134" s="9">
        <f t="shared" si="56"/>
        <v>1542.04</v>
      </c>
      <c r="BN134" s="9">
        <f t="shared" si="57"/>
        <v>17292.919999999998</v>
      </c>
      <c r="BO134" s="9">
        <f t="shared" si="58"/>
        <v>1542.04</v>
      </c>
      <c r="BP134" s="9">
        <f t="shared" si="59"/>
        <v>550.73</v>
      </c>
      <c r="BQ134" s="9">
        <f t="shared" si="60"/>
        <v>440.58</v>
      </c>
      <c r="BR134" s="9">
        <f t="shared" si="61"/>
        <v>6718.91</v>
      </c>
      <c r="BS134" s="9">
        <f t="shared" si="62"/>
        <v>1321.75</v>
      </c>
      <c r="BT134" s="9">
        <f t="shared" si="63"/>
        <v>771.02</v>
      </c>
      <c r="BU134" s="9">
        <f t="shared" si="64"/>
        <v>39762.71</v>
      </c>
      <c r="BV134" s="9">
        <f t="shared" si="65"/>
        <v>1872.48</v>
      </c>
      <c r="BW134" s="9">
        <f t="shared" si="66"/>
        <v>22469.78</v>
      </c>
      <c r="BX134" s="9">
        <f t="shared" si="67"/>
        <v>26765.48</v>
      </c>
      <c r="BY134" s="17">
        <f t="shared" si="68"/>
        <v>267875.06</v>
      </c>
      <c r="BZ134" s="17">
        <v>2.4300000000000002</v>
      </c>
      <c r="CA134" s="17">
        <v>0.08</v>
      </c>
      <c r="CB134" s="17">
        <v>0.48</v>
      </c>
      <c r="CC134" s="27">
        <v>0.08</v>
      </c>
      <c r="CD134" s="29">
        <v>6.33</v>
      </c>
      <c r="CE134" s="97">
        <v>22742.12</v>
      </c>
      <c r="CF134" s="9"/>
      <c r="CG134" s="9">
        <v>1216.08</v>
      </c>
      <c r="CH134" s="9">
        <v>1074.17</v>
      </c>
      <c r="CI134" s="9">
        <f>IF(CE134&gt;0,CE134/AB134,0)</f>
        <v>2.06</v>
      </c>
      <c r="CJ134" s="9">
        <f t="shared" si="95"/>
        <v>0</v>
      </c>
      <c r="CK134" s="13">
        <f t="shared" si="96"/>
        <v>0.11</v>
      </c>
      <c r="CL134" s="13">
        <f t="shared" si="97"/>
        <v>0.1</v>
      </c>
      <c r="CM134" s="13">
        <v>267875.05</v>
      </c>
      <c r="CN134" s="13">
        <v>15640.72</v>
      </c>
      <c r="CO134" s="13">
        <v>0</v>
      </c>
      <c r="CP134" s="13">
        <v>1211.8</v>
      </c>
      <c r="CQ134" s="13">
        <v>881.19</v>
      </c>
      <c r="CR134" s="13">
        <v>271623.94</v>
      </c>
      <c r="CS134" s="13">
        <v>20393.32</v>
      </c>
      <c r="CT134" s="13">
        <v>767.49</v>
      </c>
      <c r="CU134" s="13">
        <v>3548.18</v>
      </c>
      <c r="CV134" s="13">
        <v>2227.73</v>
      </c>
      <c r="CW134" s="202">
        <v>9596</v>
      </c>
      <c r="CX134" s="200">
        <v>5505</v>
      </c>
      <c r="CY134" s="202">
        <v>79231</v>
      </c>
      <c r="CZ134" s="202">
        <v>8500</v>
      </c>
      <c r="DA134" s="202">
        <v>5</v>
      </c>
      <c r="DB134" s="202"/>
      <c r="DC134" s="202"/>
      <c r="DD134" s="461"/>
      <c r="DE134" s="256"/>
      <c r="DF134" s="204">
        <v>1548</v>
      </c>
      <c r="DG134" s="204"/>
      <c r="DH134" s="204"/>
      <c r="DI134" s="204"/>
      <c r="DJ134" s="202"/>
      <c r="DK134" s="202">
        <v>17200</v>
      </c>
      <c r="DL134" s="202"/>
      <c r="DM134" s="202"/>
      <c r="DN134" s="202"/>
      <c r="DO134" s="202"/>
      <c r="DP134" s="202"/>
      <c r="DQ134" s="202"/>
      <c r="DR134" s="202"/>
      <c r="DS134" s="202"/>
      <c r="DT134" s="254"/>
      <c r="DU134" s="254"/>
      <c r="DV134" s="202">
        <v>62562</v>
      </c>
      <c r="DW134" s="202"/>
      <c r="DX134" s="202"/>
      <c r="DY134" s="107">
        <v>1365</v>
      </c>
      <c r="DZ134" s="107"/>
      <c r="EA134" s="202"/>
      <c r="EB134" s="202"/>
      <c r="EC134" s="202"/>
      <c r="ED134" s="202"/>
      <c r="EE134" s="202"/>
      <c r="EF134" s="229"/>
      <c r="EG134" s="202"/>
      <c r="EH134" s="202"/>
      <c r="EI134" s="202"/>
      <c r="EJ134" s="202"/>
      <c r="EK134" s="202">
        <v>15603.96</v>
      </c>
      <c r="EL134" s="202">
        <v>0</v>
      </c>
      <c r="EM134" s="202">
        <v>1253.52</v>
      </c>
      <c r="EN134" s="202">
        <v>877.22</v>
      </c>
      <c r="EO134" s="202">
        <v>15603.96</v>
      </c>
      <c r="EP134" s="202"/>
      <c r="EQ134" s="202">
        <v>1253.52</v>
      </c>
      <c r="ER134" s="202">
        <v>877.22</v>
      </c>
      <c r="ES134" s="202"/>
      <c r="ET134" s="202"/>
      <c r="EU134" s="202"/>
      <c r="EV134" s="214">
        <v>176.07</v>
      </c>
      <c r="EW134" s="240">
        <f t="shared" si="73"/>
        <v>24090.69</v>
      </c>
      <c r="EX134" s="209">
        <f t="shared" si="74"/>
        <v>15679.5</v>
      </c>
    </row>
    <row r="135" spans="1:154" ht="12.75" customHeight="1" x14ac:dyDescent="0.2">
      <c r="A135" s="45" t="s">
        <v>199</v>
      </c>
      <c r="B135" s="123" t="s">
        <v>184</v>
      </c>
      <c r="C135" s="124" t="s">
        <v>8</v>
      </c>
      <c r="D135" s="125" t="s">
        <v>639</v>
      </c>
      <c r="E135" s="124" t="s">
        <v>12</v>
      </c>
      <c r="F135" s="11">
        <v>9</v>
      </c>
      <c r="G135" s="11">
        <v>1</v>
      </c>
      <c r="H135" s="11">
        <v>54</v>
      </c>
      <c r="I135" s="11">
        <v>0</v>
      </c>
      <c r="J135" s="11">
        <v>110</v>
      </c>
      <c r="K135" s="11">
        <v>131</v>
      </c>
      <c r="L135" s="11">
        <v>1</v>
      </c>
      <c r="M135" s="84">
        <v>248</v>
      </c>
      <c r="N135" s="84">
        <v>384</v>
      </c>
      <c r="O135" s="84">
        <v>384</v>
      </c>
      <c r="P135" s="135">
        <v>248.2</v>
      </c>
      <c r="Q135" s="135">
        <v>277.3</v>
      </c>
      <c r="R135" s="133">
        <v>374.4</v>
      </c>
      <c r="S135" s="133">
        <f t="shared" si="75"/>
        <v>899.9</v>
      </c>
      <c r="T135" s="134">
        <v>248</v>
      </c>
      <c r="U135" s="130">
        <v>2.44</v>
      </c>
      <c r="V135" s="131">
        <v>1.9800000000000002E-2</v>
      </c>
      <c r="W135" s="131">
        <v>1.9800000000000002E-2</v>
      </c>
      <c r="X135" s="132">
        <v>1.32E-3</v>
      </c>
      <c r="Y135" s="131">
        <v>3.9699999999999999E-2</v>
      </c>
      <c r="Z135" s="29">
        <v>2299.4</v>
      </c>
      <c r="AA135" s="34"/>
      <c r="AB135" s="9">
        <f t="shared" si="83"/>
        <v>2299.4</v>
      </c>
      <c r="AC135" s="9">
        <f t="shared" si="89"/>
        <v>14555.2</v>
      </c>
      <c r="AD135" s="9">
        <v>1.5</v>
      </c>
      <c r="AE135" s="9">
        <v>4.88</v>
      </c>
      <c r="AF135" s="21">
        <f>2.41-AJ135</f>
        <v>2.25</v>
      </c>
      <c r="AG135" s="18">
        <f>0.6-AQ135</f>
        <v>0.54</v>
      </c>
      <c r="AH135" s="9">
        <v>2.77</v>
      </c>
      <c r="AI135" s="43">
        <v>369</v>
      </c>
      <c r="AJ135" s="21">
        <f t="shared" ref="AJ135:AJ198" si="99">SUM(AI135/AB135)</f>
        <v>0.16</v>
      </c>
      <c r="AK135" s="9">
        <v>1.88</v>
      </c>
      <c r="AL135" s="9">
        <v>0.16</v>
      </c>
      <c r="AM135" s="9">
        <v>0.25</v>
      </c>
      <c r="AN135" s="13"/>
      <c r="AO135" s="13">
        <v>305.89999999999998</v>
      </c>
      <c r="AP135" s="13">
        <f t="shared" si="77"/>
        <v>5.58</v>
      </c>
      <c r="AQ135" s="18">
        <f t="shared" si="98"/>
        <v>0.06</v>
      </c>
      <c r="AR135" s="9">
        <v>0.73</v>
      </c>
      <c r="AS135" s="9">
        <v>0.6</v>
      </c>
      <c r="AT135" s="9">
        <v>7.0000000000000007E-2</v>
      </c>
      <c r="AU135" s="9">
        <v>4.08</v>
      </c>
      <c r="AV135" s="9">
        <v>0.17</v>
      </c>
      <c r="AW135" s="9">
        <f>1.42+0.34+0.36</f>
        <v>2.12</v>
      </c>
      <c r="AX135" s="9">
        <f>2.01+0.48</f>
        <v>2.4900000000000002</v>
      </c>
      <c r="AY135" s="126">
        <f t="shared" si="78"/>
        <v>24.71</v>
      </c>
      <c r="AZ135" s="127">
        <v>2290.5</v>
      </c>
      <c r="BA135" s="127">
        <v>0</v>
      </c>
      <c r="BB135" s="127">
        <f t="shared" si="84"/>
        <v>2290.5</v>
      </c>
      <c r="BC135" s="127">
        <v>24.71</v>
      </c>
      <c r="BD135" s="13">
        <f t="shared" si="76"/>
        <v>0</v>
      </c>
      <c r="BE135" s="9">
        <f t="shared" ref="BE135:BE198" si="100">SUM(AB135*BC135)</f>
        <v>56818.17</v>
      </c>
      <c r="BF135" s="9">
        <v>24.71</v>
      </c>
      <c r="BG135" s="10">
        <v>44409</v>
      </c>
      <c r="BH135" s="9">
        <f t="shared" ref="BH135:BH198" si="101">SUM(AB135*AD135)</f>
        <v>3449.1</v>
      </c>
      <c r="BI135" s="9">
        <f t="shared" ref="BI135:BI198" si="102">SUM(AB135*AE135)</f>
        <v>11221.07</v>
      </c>
      <c r="BJ135" s="9">
        <f t="shared" ref="BJ135:BJ198" si="103">SUM(AB135*AF135)</f>
        <v>5173.6499999999996</v>
      </c>
      <c r="BK135" s="9">
        <f t="shared" ref="BK135:BK198" si="104">SUM(AB135*AG135)</f>
        <v>1241.68</v>
      </c>
      <c r="BL135" s="9">
        <f t="shared" ref="BL135:BL198" si="105">SUM(AB135*AH135)</f>
        <v>6369.34</v>
      </c>
      <c r="BM135" s="9">
        <f t="shared" ref="BM135:BM198" si="106">SUM(AB135*AJ135)</f>
        <v>367.9</v>
      </c>
      <c r="BN135" s="9">
        <f t="shared" ref="BN135:BN198" si="107">SUM(AB135*AK135)</f>
        <v>4322.87</v>
      </c>
      <c r="BO135" s="9">
        <f t="shared" ref="BO135:BO198" si="108">SUM(AB135*AL135)</f>
        <v>367.9</v>
      </c>
      <c r="BP135" s="9">
        <f t="shared" ref="BP135:BP198" si="109">SUM(AB135*AM135)</f>
        <v>574.85</v>
      </c>
      <c r="BQ135" s="9">
        <f t="shared" ref="BQ135:BQ198" si="110">SUM(AB135*AQ135)</f>
        <v>137.96</v>
      </c>
      <c r="BR135" s="9">
        <f t="shared" ref="BR135:BR198" si="111">SUM(AB135*AR135)</f>
        <v>1678.56</v>
      </c>
      <c r="BS135" s="9">
        <f t="shared" ref="BS135:BS198" si="112">SUM(AB135*AS135)</f>
        <v>1379.64</v>
      </c>
      <c r="BT135" s="9">
        <f t="shared" ref="BT135:BT198" si="113">SUM(AB135*AT135)</f>
        <v>160.96</v>
      </c>
      <c r="BU135" s="9">
        <f t="shared" ref="BU135:BU198" si="114">SUM(AB135*AU135)</f>
        <v>9381.5499999999993</v>
      </c>
      <c r="BV135" s="9">
        <f t="shared" ref="BV135:BV198" si="115">SUM(AB135*AV135)</f>
        <v>390.9</v>
      </c>
      <c r="BW135" s="9">
        <f t="shared" ref="BW135:BW198" si="116">SUM(AB135*AW135)</f>
        <v>4874.7299999999996</v>
      </c>
      <c r="BX135" s="9">
        <f t="shared" ref="BX135:BX198" si="117">SUM(AB135*AX135)</f>
        <v>5725.51</v>
      </c>
      <c r="BY135" s="17">
        <f t="shared" ref="BY135:BY198" si="118">SUM(BH135:BX135)</f>
        <v>56818.17</v>
      </c>
      <c r="BZ135" s="17">
        <v>3.97</v>
      </c>
      <c r="CA135" s="17">
        <v>0.06</v>
      </c>
      <c r="CB135" s="17">
        <v>0.36</v>
      </c>
      <c r="CC135" s="27">
        <v>0.06</v>
      </c>
      <c r="CD135" s="29">
        <v>6.33</v>
      </c>
      <c r="CE135" s="9">
        <v>2635.04</v>
      </c>
      <c r="CF135" s="9"/>
      <c r="CG135" s="9">
        <v>0</v>
      </c>
      <c r="CH135" s="9">
        <v>69.47</v>
      </c>
      <c r="CI135" s="9">
        <f>IF(CE135&gt;0,CE135/AB135,0)</f>
        <v>1.1499999999999999</v>
      </c>
      <c r="CJ135" s="9">
        <f t="shared" si="95"/>
        <v>0</v>
      </c>
      <c r="CK135" s="13">
        <f t="shared" si="96"/>
        <v>0</v>
      </c>
      <c r="CL135" s="13">
        <f t="shared" si="97"/>
        <v>0.03</v>
      </c>
      <c r="CM135" s="13">
        <v>56837.95</v>
      </c>
      <c r="CN135" s="13">
        <v>2438.19</v>
      </c>
      <c r="CO135" s="13">
        <v>4439.41</v>
      </c>
      <c r="CP135" s="13">
        <v>0</v>
      </c>
      <c r="CQ135" s="13">
        <v>69</v>
      </c>
      <c r="CR135" s="13">
        <v>68497.95</v>
      </c>
      <c r="CS135" s="13">
        <v>3904.58</v>
      </c>
      <c r="CT135" s="13">
        <v>5826.59</v>
      </c>
      <c r="CU135" s="13">
        <v>28.13</v>
      </c>
      <c r="CV135" s="13">
        <v>91.63</v>
      </c>
      <c r="CW135" s="202">
        <v>2004</v>
      </c>
      <c r="CX135" s="200">
        <v>1150</v>
      </c>
      <c r="CY135" s="202"/>
      <c r="CZ135" s="202"/>
      <c r="DA135" s="202"/>
      <c r="DB135" s="202"/>
      <c r="DC135" s="202"/>
      <c r="DD135" s="461"/>
      <c r="DE135" s="256"/>
      <c r="DF135" s="202"/>
      <c r="DG135" s="202"/>
      <c r="DH135" s="202"/>
      <c r="DI135" s="204">
        <v>369</v>
      </c>
      <c r="DJ135" s="202">
        <v>4300</v>
      </c>
      <c r="DK135" s="202"/>
      <c r="DL135" s="202"/>
      <c r="DM135" s="202">
        <v>14863</v>
      </c>
      <c r="DN135" s="202">
        <v>2125</v>
      </c>
      <c r="DO135" s="202">
        <v>1.25</v>
      </c>
      <c r="DP135" s="202"/>
      <c r="DQ135" s="202"/>
      <c r="DR135" s="202"/>
      <c r="DS135" s="202"/>
      <c r="DT135" s="254"/>
      <c r="DU135" s="254"/>
      <c r="DV135" s="202"/>
      <c r="DW135" s="202"/>
      <c r="DX135" s="202">
        <v>10457</v>
      </c>
      <c r="DY135" s="107"/>
      <c r="DZ135" s="107"/>
      <c r="EA135" s="202"/>
      <c r="EB135" s="202"/>
      <c r="EC135" s="202"/>
      <c r="ED135" s="202"/>
      <c r="EE135" s="202"/>
      <c r="EF135" s="229"/>
      <c r="EG135" s="202"/>
      <c r="EH135" s="202"/>
      <c r="EI135" s="202"/>
      <c r="EJ135" s="202"/>
      <c r="EK135" s="202">
        <v>2443.54</v>
      </c>
      <c r="EL135" s="202">
        <v>4438.3</v>
      </c>
      <c r="EM135" s="202">
        <v>0</v>
      </c>
      <c r="EN135" s="202">
        <v>69.47</v>
      </c>
      <c r="EO135" s="202">
        <v>2443.54</v>
      </c>
      <c r="EP135" s="202"/>
      <c r="EQ135" s="202">
        <v>0</v>
      </c>
      <c r="ER135" s="202">
        <v>69.47</v>
      </c>
      <c r="ES135" s="202"/>
      <c r="ET135" s="202"/>
      <c r="EU135" s="202"/>
      <c r="EV135" s="214">
        <f>-2.79+7417.52</f>
        <v>7414.73</v>
      </c>
      <c r="EW135" s="240">
        <f t="shared" ref="EW135:EW198" si="119">SUM(AB135*2.18716)</f>
        <v>5029.16</v>
      </c>
      <c r="EX135" s="209">
        <f t="shared" ref="EX135:EX198" si="120">SUM(AB135*1.42352)</f>
        <v>3273.24</v>
      </c>
    </row>
    <row r="136" spans="1:154" ht="12.75" customHeight="1" x14ac:dyDescent="0.2">
      <c r="A136" s="45" t="s">
        <v>200</v>
      </c>
      <c r="B136" s="141" t="s">
        <v>184</v>
      </c>
      <c r="C136" s="142" t="s">
        <v>11</v>
      </c>
      <c r="D136" s="143" t="s">
        <v>563</v>
      </c>
      <c r="E136" s="142" t="s">
        <v>9</v>
      </c>
      <c r="F136" s="11">
        <v>5</v>
      </c>
      <c r="G136" s="11">
        <v>3</v>
      </c>
      <c r="H136" s="11">
        <v>60</v>
      </c>
      <c r="I136" s="11">
        <v>0</v>
      </c>
      <c r="J136" s="11">
        <v>127</v>
      </c>
      <c r="K136" s="11">
        <v>140</v>
      </c>
      <c r="L136" s="11" t="s">
        <v>746</v>
      </c>
      <c r="M136" s="84">
        <v>207</v>
      </c>
      <c r="N136" s="84">
        <v>750</v>
      </c>
      <c r="O136" s="84">
        <v>0</v>
      </c>
      <c r="P136" s="135">
        <v>207</v>
      </c>
      <c r="Q136" s="135">
        <v>646.4</v>
      </c>
      <c r="R136" s="133">
        <v>0</v>
      </c>
      <c r="S136" s="133">
        <f t="shared" ref="S136:S199" si="121">SUM(P136:R136)</f>
        <v>853.4</v>
      </c>
      <c r="T136" s="134">
        <v>207</v>
      </c>
      <c r="U136" s="130">
        <v>1.53</v>
      </c>
      <c r="V136" s="131">
        <v>1.9800000000000002E-2</v>
      </c>
      <c r="W136" s="131">
        <v>1.9800000000000002E-2</v>
      </c>
      <c r="X136" s="132">
        <v>1.2199999999999999E-3</v>
      </c>
      <c r="Y136" s="131">
        <v>3.95E-2</v>
      </c>
      <c r="Z136" s="29">
        <v>2579.6</v>
      </c>
      <c r="AA136" s="34"/>
      <c r="AB136" s="9">
        <f t="shared" si="83"/>
        <v>2579.6</v>
      </c>
      <c r="AC136" s="9">
        <f t="shared" si="89"/>
        <v>16328.87</v>
      </c>
      <c r="AD136" s="9">
        <v>0.39</v>
      </c>
      <c r="AE136" s="9">
        <v>3.72</v>
      </c>
      <c r="AF136" s="21">
        <f>2.42-AJ136</f>
        <v>2.14</v>
      </c>
      <c r="AG136" s="18">
        <f>0.54-AQ136</f>
        <v>0.43</v>
      </c>
      <c r="AH136" s="9">
        <v>2.78</v>
      </c>
      <c r="AI136" s="43">
        <v>720</v>
      </c>
      <c r="AJ136" s="21">
        <f t="shared" si="99"/>
        <v>0.28000000000000003</v>
      </c>
      <c r="AK136" s="9">
        <v>0</v>
      </c>
      <c r="AL136" s="9">
        <v>0</v>
      </c>
      <c r="AM136" s="9">
        <v>0.22</v>
      </c>
      <c r="AN136" s="13"/>
      <c r="AO136" s="13">
        <v>601.20000000000005</v>
      </c>
      <c r="AP136" s="13">
        <f t="shared" si="77"/>
        <v>5.58</v>
      </c>
      <c r="AQ136" s="18">
        <f t="shared" si="98"/>
        <v>0.11</v>
      </c>
      <c r="AR136" s="9">
        <v>0.8</v>
      </c>
      <c r="AS136" s="9">
        <v>0.53</v>
      </c>
      <c r="AT136" s="9">
        <v>7.0000000000000007E-2</v>
      </c>
      <c r="AU136" s="9">
        <v>4.74</v>
      </c>
      <c r="AV136" s="9">
        <v>0.12</v>
      </c>
      <c r="AW136" s="9">
        <f>1.03+0.42+0.32</f>
        <v>1.77</v>
      </c>
      <c r="AX136" s="9">
        <f>1.42+0.56</f>
        <v>1.98</v>
      </c>
      <c r="AY136" s="144">
        <f t="shared" si="78"/>
        <v>20.079999999999998</v>
      </c>
      <c r="AZ136" s="145">
        <v>2579.1</v>
      </c>
      <c r="BA136" s="145">
        <v>0</v>
      </c>
      <c r="BB136" s="145">
        <f t="shared" si="84"/>
        <v>2579.1</v>
      </c>
      <c r="BC136" s="145">
        <v>20.079999999999998</v>
      </c>
      <c r="BD136" s="13">
        <f t="shared" ref="BD136:BD199" si="122">SUM(AY136-BC136)</f>
        <v>0</v>
      </c>
      <c r="BE136" s="9">
        <f t="shared" si="100"/>
        <v>51798.37</v>
      </c>
      <c r="BF136" s="9">
        <v>20.079999999999998</v>
      </c>
      <c r="BG136" s="10">
        <v>44378</v>
      </c>
      <c r="BH136" s="9">
        <f t="shared" si="101"/>
        <v>1006.04</v>
      </c>
      <c r="BI136" s="9">
        <f t="shared" si="102"/>
        <v>9596.11</v>
      </c>
      <c r="BJ136" s="9">
        <f t="shared" si="103"/>
        <v>5520.34</v>
      </c>
      <c r="BK136" s="9">
        <f t="shared" si="104"/>
        <v>1109.23</v>
      </c>
      <c r="BL136" s="9">
        <f t="shared" si="105"/>
        <v>7171.29</v>
      </c>
      <c r="BM136" s="9">
        <f t="shared" si="106"/>
        <v>722.29</v>
      </c>
      <c r="BN136" s="9">
        <f t="shared" si="107"/>
        <v>0</v>
      </c>
      <c r="BO136" s="9">
        <f t="shared" si="108"/>
        <v>0</v>
      </c>
      <c r="BP136" s="9">
        <f t="shared" si="109"/>
        <v>567.51</v>
      </c>
      <c r="BQ136" s="9">
        <f t="shared" si="110"/>
        <v>283.76</v>
      </c>
      <c r="BR136" s="9">
        <f t="shared" si="111"/>
        <v>2063.6799999999998</v>
      </c>
      <c r="BS136" s="9">
        <f t="shared" si="112"/>
        <v>1367.19</v>
      </c>
      <c r="BT136" s="9">
        <f t="shared" si="113"/>
        <v>180.57</v>
      </c>
      <c r="BU136" s="9">
        <f t="shared" si="114"/>
        <v>12227.3</v>
      </c>
      <c r="BV136" s="9">
        <f t="shared" si="115"/>
        <v>309.55</v>
      </c>
      <c r="BW136" s="9">
        <f t="shared" si="116"/>
        <v>4565.8900000000003</v>
      </c>
      <c r="BX136" s="9">
        <f t="shared" si="117"/>
        <v>5107.6099999999997</v>
      </c>
      <c r="BY136" s="17">
        <f t="shared" si="118"/>
        <v>51798.36</v>
      </c>
      <c r="BZ136" s="17">
        <v>2.17</v>
      </c>
      <c r="CA136" s="17">
        <v>0.04</v>
      </c>
      <c r="CB136" s="17">
        <v>0.25</v>
      </c>
      <c r="CC136" s="27">
        <v>0.04</v>
      </c>
      <c r="CD136" s="29">
        <v>6.33</v>
      </c>
      <c r="CE136" s="9"/>
      <c r="CF136" s="9"/>
      <c r="CG136" s="9">
        <v>0</v>
      </c>
      <c r="CH136" s="9">
        <v>57.99</v>
      </c>
      <c r="CI136" s="9" t="s">
        <v>382</v>
      </c>
      <c r="CJ136" s="9">
        <f t="shared" si="95"/>
        <v>0</v>
      </c>
      <c r="CK136" s="13">
        <f t="shared" si="96"/>
        <v>0</v>
      </c>
      <c r="CL136" s="13">
        <f t="shared" si="97"/>
        <v>0.02</v>
      </c>
      <c r="CM136" s="13">
        <v>51798.36</v>
      </c>
      <c r="CN136" s="13">
        <v>0</v>
      </c>
      <c r="CO136" s="13">
        <v>0</v>
      </c>
      <c r="CP136" s="13">
        <v>0</v>
      </c>
      <c r="CQ136" s="13">
        <v>51.6</v>
      </c>
      <c r="CR136" s="13">
        <v>39764.97</v>
      </c>
      <c r="CS136" s="13">
        <v>2125.2800000000002</v>
      </c>
      <c r="CT136" s="13">
        <v>57.57</v>
      </c>
      <c r="CU136" s="13">
        <v>9.26</v>
      </c>
      <c r="CV136" s="13">
        <v>37.21</v>
      </c>
      <c r="CW136" s="202">
        <v>2247</v>
      </c>
      <c r="CX136" s="200">
        <v>1289</v>
      </c>
      <c r="CY136" s="202"/>
      <c r="CZ136" s="202"/>
      <c r="DA136" s="202"/>
      <c r="DB136" s="202"/>
      <c r="DC136" s="202"/>
      <c r="DD136" s="461"/>
      <c r="DE136" s="256"/>
      <c r="DF136" s="202"/>
      <c r="DG136" s="202"/>
      <c r="DH136" s="202"/>
      <c r="DI136" s="204">
        <v>720</v>
      </c>
      <c r="DJ136" s="202"/>
      <c r="DK136" s="202"/>
      <c r="DL136" s="202"/>
      <c r="DM136" s="202">
        <v>10847</v>
      </c>
      <c r="DN136" s="202">
        <v>1360</v>
      </c>
      <c r="DO136" s="202">
        <v>0.8</v>
      </c>
      <c r="DP136" s="202"/>
      <c r="DQ136" s="202"/>
      <c r="DR136" s="202"/>
      <c r="DS136" s="202">
        <v>14310</v>
      </c>
      <c r="DT136" s="254">
        <v>474</v>
      </c>
      <c r="DU136" s="254">
        <v>246</v>
      </c>
      <c r="DV136" s="202"/>
      <c r="DW136" s="202"/>
      <c r="DX136" s="202">
        <v>11721</v>
      </c>
      <c r="DY136" s="107">
        <v>1365</v>
      </c>
      <c r="DZ136" s="107">
        <v>577</v>
      </c>
      <c r="EA136" s="202"/>
      <c r="EB136" s="202"/>
      <c r="EC136" s="202"/>
      <c r="ED136" s="202"/>
      <c r="EE136" s="202"/>
      <c r="EF136" s="229"/>
      <c r="EG136" s="202"/>
      <c r="EH136" s="202"/>
      <c r="EI136" s="202"/>
      <c r="EJ136" s="202"/>
      <c r="EK136" s="202">
        <v>0</v>
      </c>
      <c r="EL136" s="202">
        <v>0</v>
      </c>
      <c r="EM136" s="202">
        <v>0</v>
      </c>
      <c r="EN136" s="202">
        <v>57.99</v>
      </c>
      <c r="EO136" s="202">
        <v>0</v>
      </c>
      <c r="EP136" s="202"/>
      <c r="EQ136" s="202">
        <v>0</v>
      </c>
      <c r="ER136" s="202">
        <v>57.99</v>
      </c>
      <c r="ES136" s="202"/>
      <c r="ET136" s="202"/>
      <c r="EU136" s="202">
        <v>-49090.18</v>
      </c>
      <c r="EV136" s="214">
        <v>-1.93</v>
      </c>
      <c r="EW136" s="240">
        <f t="shared" si="119"/>
        <v>5642</v>
      </c>
      <c r="EX136" s="209">
        <f t="shared" si="120"/>
        <v>3672.11</v>
      </c>
    </row>
    <row r="137" spans="1:154" ht="12.75" customHeight="1" x14ac:dyDescent="0.2">
      <c r="A137" s="45" t="s">
        <v>201</v>
      </c>
      <c r="B137" s="123" t="s">
        <v>184</v>
      </c>
      <c r="C137" s="124" t="s">
        <v>46</v>
      </c>
      <c r="D137" s="123" t="s">
        <v>643</v>
      </c>
      <c r="E137" s="124"/>
      <c r="F137" s="11">
        <v>9</v>
      </c>
      <c r="G137" s="11">
        <v>6</v>
      </c>
      <c r="H137" s="11">
        <v>324</v>
      </c>
      <c r="I137" s="11">
        <v>322</v>
      </c>
      <c r="J137" s="11">
        <v>690</v>
      </c>
      <c r="K137" s="11">
        <v>846</v>
      </c>
      <c r="L137" s="11">
        <v>6</v>
      </c>
      <c r="M137" s="84">
        <v>2202</v>
      </c>
      <c r="N137" s="84">
        <v>2510</v>
      </c>
      <c r="O137" s="84">
        <v>0</v>
      </c>
      <c r="P137" s="135">
        <f>981.1+1221.8</f>
        <v>2202.9</v>
      </c>
      <c r="Q137" s="135">
        <v>2504.9</v>
      </c>
      <c r="R137" s="135">
        <v>0</v>
      </c>
      <c r="S137" s="133">
        <f t="shared" si="121"/>
        <v>4707.8</v>
      </c>
      <c r="T137" s="135">
        <v>2202</v>
      </c>
      <c r="U137" s="130">
        <v>2.44</v>
      </c>
      <c r="V137" s="91">
        <v>1.9800000000000002E-2</v>
      </c>
      <c r="W137" s="91">
        <v>1.9800000000000002E-2</v>
      </c>
      <c r="X137" s="132">
        <v>1.32E-3</v>
      </c>
      <c r="Y137" s="91">
        <v>3.9699999999999999E-2</v>
      </c>
      <c r="Z137" s="29">
        <v>15701.65</v>
      </c>
      <c r="AA137" s="34">
        <v>48.3</v>
      </c>
      <c r="AB137" s="9">
        <f t="shared" si="83"/>
        <v>15749.95</v>
      </c>
      <c r="AC137" s="9">
        <f t="shared" si="89"/>
        <v>99697.18</v>
      </c>
      <c r="AD137" s="9">
        <v>1.91</v>
      </c>
      <c r="AE137" s="9">
        <v>4.42</v>
      </c>
      <c r="AF137" s="21">
        <f>2.5-AJ137</f>
        <v>2.35</v>
      </c>
      <c r="AG137" s="18">
        <f>0.59-AQ137</f>
        <v>0.55000000000000004</v>
      </c>
      <c r="AH137" s="9">
        <v>2.77</v>
      </c>
      <c r="AI137" s="43">
        <v>2410</v>
      </c>
      <c r="AJ137" s="21">
        <f t="shared" si="99"/>
        <v>0.15</v>
      </c>
      <c r="AK137" s="9">
        <v>1.64</v>
      </c>
      <c r="AL137" s="9">
        <v>0.14000000000000001</v>
      </c>
      <c r="AM137" s="9">
        <v>0.04</v>
      </c>
      <c r="AN137" s="13"/>
      <c r="AO137" s="13">
        <v>1267.2</v>
      </c>
      <c r="AP137" s="13">
        <f t="shared" si="77"/>
        <v>5.58</v>
      </c>
      <c r="AQ137" s="18">
        <f t="shared" si="98"/>
        <v>0.04</v>
      </c>
      <c r="AR137" s="9">
        <v>0.65</v>
      </c>
      <c r="AS137" s="9">
        <v>0.17</v>
      </c>
      <c r="AT137" s="9">
        <v>7.0000000000000007E-2</v>
      </c>
      <c r="AU137" s="9">
        <v>4.2300000000000004</v>
      </c>
      <c r="AV137" s="9">
        <v>0.16</v>
      </c>
      <c r="AW137" s="9">
        <f>1.34+0.37+0.29</f>
        <v>2</v>
      </c>
      <c r="AX137" s="9">
        <f>1.86+0.52</f>
        <v>2.38</v>
      </c>
      <c r="AY137" s="126">
        <f t="shared" si="78"/>
        <v>23.67</v>
      </c>
      <c r="AZ137" s="127"/>
      <c r="BA137" s="127"/>
      <c r="BB137" s="127"/>
      <c r="BC137" s="127">
        <v>23.67</v>
      </c>
      <c r="BD137" s="13">
        <f t="shared" si="122"/>
        <v>0</v>
      </c>
      <c r="BE137" s="9">
        <f t="shared" si="100"/>
        <v>372801.32</v>
      </c>
      <c r="BF137" s="9">
        <v>23.67</v>
      </c>
      <c r="BG137" s="10">
        <v>44440</v>
      </c>
      <c r="BH137" s="9">
        <f t="shared" si="101"/>
        <v>30082.400000000001</v>
      </c>
      <c r="BI137" s="9">
        <f t="shared" si="102"/>
        <v>69614.78</v>
      </c>
      <c r="BJ137" s="9">
        <f t="shared" si="103"/>
        <v>37012.379999999997</v>
      </c>
      <c r="BK137" s="9">
        <f t="shared" si="104"/>
        <v>8662.4699999999993</v>
      </c>
      <c r="BL137" s="9">
        <f t="shared" si="105"/>
        <v>43627.360000000001</v>
      </c>
      <c r="BM137" s="9">
        <f t="shared" si="106"/>
        <v>2362.4899999999998</v>
      </c>
      <c r="BN137" s="9">
        <f t="shared" si="107"/>
        <v>25829.919999999998</v>
      </c>
      <c r="BO137" s="9">
        <f t="shared" si="108"/>
        <v>2204.9899999999998</v>
      </c>
      <c r="BP137" s="9">
        <f t="shared" si="109"/>
        <v>630</v>
      </c>
      <c r="BQ137" s="9">
        <f t="shared" si="110"/>
        <v>630</v>
      </c>
      <c r="BR137" s="9">
        <f t="shared" si="111"/>
        <v>10237.469999999999</v>
      </c>
      <c r="BS137" s="9">
        <f t="shared" si="112"/>
        <v>2677.49</v>
      </c>
      <c r="BT137" s="9">
        <f t="shared" si="113"/>
        <v>1102.5</v>
      </c>
      <c r="BU137" s="9">
        <f t="shared" si="114"/>
        <v>66622.289999999994</v>
      </c>
      <c r="BV137" s="9">
        <f t="shared" si="115"/>
        <v>2519.9899999999998</v>
      </c>
      <c r="BW137" s="9">
        <f t="shared" si="116"/>
        <v>31499.9</v>
      </c>
      <c r="BX137" s="9">
        <f t="shared" si="117"/>
        <v>37484.879999999997</v>
      </c>
      <c r="BY137" s="17">
        <f t="shared" si="118"/>
        <v>372801.31</v>
      </c>
      <c r="BZ137" s="17">
        <v>2.81</v>
      </c>
      <c r="CA137" s="17">
        <v>0.08</v>
      </c>
      <c r="CB137" s="17">
        <v>0.48</v>
      </c>
      <c r="CC137" s="27">
        <v>0.08</v>
      </c>
      <c r="CD137" s="29">
        <v>6.33</v>
      </c>
      <c r="CE137" s="9"/>
      <c r="CF137" s="9"/>
      <c r="CG137" s="9"/>
      <c r="CH137" s="9"/>
      <c r="CI137" s="9"/>
      <c r="CJ137" s="9"/>
      <c r="CK137" s="13"/>
      <c r="CL137" s="13"/>
      <c r="CM137" s="13">
        <v>367792.95</v>
      </c>
      <c r="CN137" s="13">
        <v>43663.01</v>
      </c>
      <c r="CO137" s="13">
        <v>-23.33</v>
      </c>
      <c r="CP137" s="13">
        <v>-3.89</v>
      </c>
      <c r="CQ137" s="13">
        <v>623.99</v>
      </c>
      <c r="CR137" s="13">
        <v>364685.21</v>
      </c>
      <c r="CS137" s="13">
        <v>45319.839999999997</v>
      </c>
      <c r="CT137" s="13">
        <v>1661.07</v>
      </c>
      <c r="CU137" s="13">
        <v>7048.82</v>
      </c>
      <c r="CV137" s="13">
        <v>4284.88</v>
      </c>
      <c r="CW137" s="202">
        <v>13716</v>
      </c>
      <c r="CX137" s="200">
        <v>7869</v>
      </c>
      <c r="CY137" s="202"/>
      <c r="CZ137" s="202"/>
      <c r="DA137" s="202"/>
      <c r="DB137" s="202"/>
      <c r="DC137" s="202"/>
      <c r="DD137" s="461"/>
      <c r="DE137" s="256"/>
      <c r="DF137" s="202"/>
      <c r="DG137" s="202"/>
      <c r="DH137" s="202"/>
      <c r="DI137" s="204">
        <v>2410</v>
      </c>
      <c r="DJ137" s="202">
        <v>25800</v>
      </c>
      <c r="DK137" s="202"/>
      <c r="DL137" s="202"/>
      <c r="DM137" s="202">
        <v>101077</v>
      </c>
      <c r="DN137" s="202">
        <v>3400</v>
      </c>
      <c r="DO137" s="202">
        <v>2</v>
      </c>
      <c r="DP137" s="202"/>
      <c r="DQ137" s="202"/>
      <c r="DR137" s="202"/>
      <c r="DS137" s="202"/>
      <c r="DT137" s="254"/>
      <c r="DU137" s="254"/>
      <c r="DV137" s="202"/>
      <c r="DW137" s="202"/>
      <c r="DX137" s="202">
        <v>72584</v>
      </c>
      <c r="DY137" s="107">
        <v>1365</v>
      </c>
      <c r="DZ137" s="107">
        <v>577</v>
      </c>
      <c r="EA137" s="202"/>
      <c r="EB137" s="202"/>
      <c r="EC137" s="202"/>
      <c r="ED137" s="202"/>
      <c r="EE137" s="202"/>
      <c r="EF137" s="229"/>
      <c r="EG137" s="202"/>
      <c r="EH137" s="202"/>
      <c r="EI137" s="202"/>
      <c r="EJ137" s="202"/>
      <c r="EK137" s="202">
        <v>0</v>
      </c>
      <c r="EL137" s="202">
        <v>0</v>
      </c>
      <c r="EM137" s="202">
        <v>0</v>
      </c>
      <c r="EN137" s="202">
        <v>616.85</v>
      </c>
      <c r="EO137" s="202">
        <v>0</v>
      </c>
      <c r="EP137" s="202"/>
      <c r="EQ137" s="202">
        <v>0</v>
      </c>
      <c r="ER137" s="202">
        <v>616.85</v>
      </c>
      <c r="ES137" s="202"/>
      <c r="ET137" s="202"/>
      <c r="EU137" s="202"/>
      <c r="EV137" s="214">
        <v>332.33</v>
      </c>
      <c r="EW137" s="240">
        <f t="shared" si="119"/>
        <v>34447.660000000003</v>
      </c>
      <c r="EX137" s="209">
        <f t="shared" si="120"/>
        <v>22420.37</v>
      </c>
    </row>
    <row r="138" spans="1:154" ht="12.75" customHeight="1" x14ac:dyDescent="0.2">
      <c r="A138" s="45" t="s">
        <v>202</v>
      </c>
      <c r="B138" s="141" t="s">
        <v>184</v>
      </c>
      <c r="C138" s="142" t="s">
        <v>67</v>
      </c>
      <c r="D138" s="143" t="s">
        <v>455</v>
      </c>
      <c r="E138" s="142" t="s">
        <v>12</v>
      </c>
      <c r="F138" s="11">
        <v>5</v>
      </c>
      <c r="G138" s="11">
        <v>3</v>
      </c>
      <c r="H138" s="11">
        <v>60</v>
      </c>
      <c r="I138" s="11">
        <v>62</v>
      </c>
      <c r="J138" s="11">
        <v>111</v>
      </c>
      <c r="K138" s="11">
        <v>136</v>
      </c>
      <c r="L138" s="11" t="s">
        <v>746</v>
      </c>
      <c r="M138" s="84">
        <v>206</v>
      </c>
      <c r="N138" s="84">
        <v>750</v>
      </c>
      <c r="O138" s="84">
        <v>0</v>
      </c>
      <c r="P138" s="135">
        <v>205.5</v>
      </c>
      <c r="Q138" s="135">
        <v>529.20000000000005</v>
      </c>
      <c r="R138" s="133">
        <v>0</v>
      </c>
      <c r="S138" s="133">
        <f t="shared" si="121"/>
        <v>734.7</v>
      </c>
      <c r="T138" s="134">
        <v>206</v>
      </c>
      <c r="U138" s="130">
        <v>1.53</v>
      </c>
      <c r="V138" s="131">
        <v>1.9800000000000002E-2</v>
      </c>
      <c r="W138" s="131">
        <v>1.9800000000000002E-2</v>
      </c>
      <c r="X138" s="132">
        <v>1.2199999999999999E-3</v>
      </c>
      <c r="Y138" s="131">
        <v>3.95E-2</v>
      </c>
      <c r="Z138" s="29">
        <v>2591.31</v>
      </c>
      <c r="AA138" s="34"/>
      <c r="AB138" s="9">
        <f t="shared" si="83"/>
        <v>2591.31</v>
      </c>
      <c r="AC138" s="9">
        <f t="shared" si="89"/>
        <v>16402.990000000002</v>
      </c>
      <c r="AD138" s="9">
        <v>0.39</v>
      </c>
      <c r="AE138" s="9">
        <v>3.99</v>
      </c>
      <c r="AF138" s="21">
        <f>2.42-AJ138</f>
        <v>2.14</v>
      </c>
      <c r="AG138" s="18">
        <f>0.54-AQ138</f>
        <v>0.43</v>
      </c>
      <c r="AH138" s="9">
        <v>2.78</v>
      </c>
      <c r="AI138" s="43">
        <v>720</v>
      </c>
      <c r="AJ138" s="21">
        <f t="shared" si="99"/>
        <v>0.28000000000000003</v>
      </c>
      <c r="AK138" s="9">
        <v>0</v>
      </c>
      <c r="AL138" s="9">
        <v>0</v>
      </c>
      <c r="AM138" s="9">
        <v>0</v>
      </c>
      <c r="AN138" s="13"/>
      <c r="AO138" s="13">
        <v>601.20000000000005</v>
      </c>
      <c r="AP138" s="13">
        <f t="shared" ref="AP138:AP201" si="123">5.58</f>
        <v>5.58</v>
      </c>
      <c r="AQ138" s="18">
        <f t="shared" si="98"/>
        <v>0.11</v>
      </c>
      <c r="AR138" s="9">
        <v>0.8</v>
      </c>
      <c r="AS138" s="9">
        <v>0.53</v>
      </c>
      <c r="AT138" s="9">
        <v>7.0000000000000007E-2</v>
      </c>
      <c r="AU138" s="9">
        <v>4.74</v>
      </c>
      <c r="AV138" s="9">
        <v>0.12</v>
      </c>
      <c r="AW138" s="9">
        <f>1.03+0.42+0.31</f>
        <v>1.76</v>
      </c>
      <c r="AX138" s="9">
        <f>1.42+0.56</f>
        <v>1.98</v>
      </c>
      <c r="AY138" s="144">
        <f t="shared" ref="AY138:AY201" si="124">SUM(AD138:AH138,AJ138:AM138,AQ138:AX138)</f>
        <v>20.12</v>
      </c>
      <c r="AZ138" s="145">
        <v>2593.8000000000002</v>
      </c>
      <c r="BA138" s="145">
        <v>0</v>
      </c>
      <c r="BB138" s="145">
        <f t="shared" si="84"/>
        <v>2593.8000000000002</v>
      </c>
      <c r="BC138" s="145">
        <v>20.12</v>
      </c>
      <c r="BD138" s="13">
        <f t="shared" si="122"/>
        <v>0</v>
      </c>
      <c r="BE138" s="9">
        <f t="shared" si="100"/>
        <v>52137.16</v>
      </c>
      <c r="BF138" s="9">
        <v>20.12</v>
      </c>
      <c r="BG138" s="10">
        <v>44378</v>
      </c>
      <c r="BH138" s="9">
        <f t="shared" si="101"/>
        <v>1010.61</v>
      </c>
      <c r="BI138" s="9">
        <f t="shared" si="102"/>
        <v>10339.33</v>
      </c>
      <c r="BJ138" s="9">
        <f t="shared" si="103"/>
        <v>5545.4</v>
      </c>
      <c r="BK138" s="9">
        <f t="shared" si="104"/>
        <v>1114.26</v>
      </c>
      <c r="BL138" s="9">
        <f t="shared" si="105"/>
        <v>7203.84</v>
      </c>
      <c r="BM138" s="9">
        <f t="shared" si="106"/>
        <v>725.57</v>
      </c>
      <c r="BN138" s="9">
        <f t="shared" si="107"/>
        <v>0</v>
      </c>
      <c r="BO138" s="9">
        <f t="shared" si="108"/>
        <v>0</v>
      </c>
      <c r="BP138" s="9">
        <f t="shared" si="109"/>
        <v>0</v>
      </c>
      <c r="BQ138" s="9">
        <f t="shared" si="110"/>
        <v>285.04000000000002</v>
      </c>
      <c r="BR138" s="9">
        <f t="shared" si="111"/>
        <v>2073.0500000000002</v>
      </c>
      <c r="BS138" s="9">
        <f t="shared" si="112"/>
        <v>1373.39</v>
      </c>
      <c r="BT138" s="9">
        <f t="shared" si="113"/>
        <v>181.39</v>
      </c>
      <c r="BU138" s="9">
        <f t="shared" si="114"/>
        <v>12282.81</v>
      </c>
      <c r="BV138" s="9">
        <f t="shared" si="115"/>
        <v>310.95999999999998</v>
      </c>
      <c r="BW138" s="9">
        <f t="shared" si="116"/>
        <v>4560.71</v>
      </c>
      <c r="BX138" s="9">
        <f t="shared" si="117"/>
        <v>5130.79</v>
      </c>
      <c r="BY138" s="17">
        <f t="shared" si="118"/>
        <v>52137.15</v>
      </c>
      <c r="BZ138" s="17">
        <v>2.16</v>
      </c>
      <c r="CA138" s="17">
        <v>0.04</v>
      </c>
      <c r="CB138" s="17">
        <v>0.25</v>
      </c>
      <c r="CC138" s="27">
        <v>0.04</v>
      </c>
      <c r="CD138" s="29">
        <v>6.33</v>
      </c>
      <c r="CE138" s="9">
        <v>1207.1400000000001</v>
      </c>
      <c r="CF138" s="9">
        <v>7810.77</v>
      </c>
      <c r="CG138" s="9">
        <v>110.23</v>
      </c>
      <c r="CH138" s="9">
        <v>115.12</v>
      </c>
      <c r="CI138" s="9">
        <f t="shared" ref="CI138:CI143" si="125">IF(CE138&gt;0,CE138/AB138,0)</f>
        <v>0.47</v>
      </c>
      <c r="CJ138" s="9">
        <f t="shared" ref="CJ138:CJ143" si="126">IF(CF138&gt;0,CF138/AB138,0)</f>
        <v>3.01</v>
      </c>
      <c r="CK138" s="13">
        <f t="shared" ref="CK138:CK143" si="127">IF(CG138&gt;0,CG138/AB138,0)</f>
        <v>0.04</v>
      </c>
      <c r="CL138" s="13">
        <f t="shared" ref="CL138:CL143" si="128">IF(CH138&gt;0,CH138/AB138,0)</f>
        <v>0.04</v>
      </c>
      <c r="CM138" s="13">
        <v>52137.120000000003</v>
      </c>
      <c r="CN138" s="13">
        <v>1217.83</v>
      </c>
      <c r="CO138" s="13">
        <v>596.03</v>
      </c>
      <c r="CP138" s="13">
        <v>103.68</v>
      </c>
      <c r="CQ138" s="13">
        <v>103.68</v>
      </c>
      <c r="CR138" s="13">
        <v>53556.46</v>
      </c>
      <c r="CS138" s="13">
        <v>1243.1099999999999</v>
      </c>
      <c r="CT138" s="13">
        <v>3113.04</v>
      </c>
      <c r="CU138" s="13">
        <v>106.5</v>
      </c>
      <c r="CV138" s="13">
        <v>106.49</v>
      </c>
      <c r="CW138" s="202">
        <v>2258</v>
      </c>
      <c r="CX138" s="200">
        <v>1295</v>
      </c>
      <c r="CY138" s="202"/>
      <c r="CZ138" s="202"/>
      <c r="DA138" s="202"/>
      <c r="DB138" s="202"/>
      <c r="DC138" s="202"/>
      <c r="DD138" s="461"/>
      <c r="DE138" s="256"/>
      <c r="DF138" s="202"/>
      <c r="DG138" s="202"/>
      <c r="DH138" s="202"/>
      <c r="DI138" s="204">
        <v>720</v>
      </c>
      <c r="DJ138" s="202"/>
      <c r="DK138" s="202"/>
      <c r="DL138" s="202"/>
      <c r="DM138" s="202">
        <v>11627</v>
      </c>
      <c r="DN138" s="202">
        <v>2125</v>
      </c>
      <c r="DO138" s="202">
        <v>1.25</v>
      </c>
      <c r="DP138" s="202"/>
      <c r="DQ138" s="202"/>
      <c r="DR138" s="202"/>
      <c r="DS138" s="202">
        <v>14310</v>
      </c>
      <c r="DT138" s="254">
        <v>474</v>
      </c>
      <c r="DU138" s="254">
        <v>246</v>
      </c>
      <c r="DV138" s="202"/>
      <c r="DW138" s="202"/>
      <c r="DX138" s="202">
        <v>11782</v>
      </c>
      <c r="DY138" s="107">
        <v>1365</v>
      </c>
      <c r="DZ138" s="107"/>
      <c r="EA138" s="202"/>
      <c r="EB138" s="202"/>
      <c r="EC138" s="202"/>
      <c r="ED138" s="202"/>
      <c r="EE138" s="202"/>
      <c r="EF138" s="229"/>
      <c r="EG138" s="202"/>
      <c r="EH138" s="202"/>
      <c r="EI138" s="202"/>
      <c r="EJ138" s="202"/>
      <c r="EK138" s="202">
        <v>1207.1400000000001</v>
      </c>
      <c r="EL138" s="202">
        <v>605.07000000000005</v>
      </c>
      <c r="EM138" s="202">
        <v>110.23</v>
      </c>
      <c r="EN138" s="202">
        <v>115.12</v>
      </c>
      <c r="EO138" s="202">
        <v>1207.1400000000001</v>
      </c>
      <c r="EP138" s="202"/>
      <c r="EQ138" s="202">
        <v>110.23</v>
      </c>
      <c r="ER138" s="202">
        <v>115.12</v>
      </c>
      <c r="ES138" s="202"/>
      <c r="ET138" s="202"/>
      <c r="EU138" s="202"/>
      <c r="EV138" s="214">
        <v>2.15</v>
      </c>
      <c r="EW138" s="240">
        <f t="shared" si="119"/>
        <v>5667.61</v>
      </c>
      <c r="EX138" s="209">
        <f t="shared" si="120"/>
        <v>3688.78</v>
      </c>
    </row>
    <row r="139" spans="1:154" ht="12.75" customHeight="1" x14ac:dyDescent="0.2">
      <c r="A139" s="45" t="s">
        <v>204</v>
      </c>
      <c r="B139" s="141" t="s">
        <v>184</v>
      </c>
      <c r="C139" s="142" t="s">
        <v>67</v>
      </c>
      <c r="D139" s="143" t="s">
        <v>564</v>
      </c>
      <c r="E139" s="142" t="s">
        <v>9</v>
      </c>
      <c r="F139" s="11">
        <v>5</v>
      </c>
      <c r="G139" s="11">
        <v>3</v>
      </c>
      <c r="H139" s="11">
        <v>60</v>
      </c>
      <c r="I139" s="11">
        <v>0</v>
      </c>
      <c r="J139" s="11">
        <v>140</v>
      </c>
      <c r="K139" s="11">
        <v>130</v>
      </c>
      <c r="L139" s="11" t="s">
        <v>746</v>
      </c>
      <c r="M139" s="84">
        <v>205</v>
      </c>
      <c r="N139" s="84">
        <v>750</v>
      </c>
      <c r="O139" s="84">
        <v>0</v>
      </c>
      <c r="P139" s="135">
        <v>204.5</v>
      </c>
      <c r="Q139" s="135">
        <v>646.20000000000005</v>
      </c>
      <c r="R139" s="135">
        <v>0</v>
      </c>
      <c r="S139" s="133">
        <f t="shared" si="121"/>
        <v>850.7</v>
      </c>
      <c r="T139" s="135">
        <v>205</v>
      </c>
      <c r="U139" s="130">
        <v>1.53</v>
      </c>
      <c r="V139" s="131">
        <v>1.9800000000000002E-2</v>
      </c>
      <c r="W139" s="131">
        <v>1.9800000000000002E-2</v>
      </c>
      <c r="X139" s="132">
        <v>1.2199999999999999E-3</v>
      </c>
      <c r="Y139" s="131">
        <v>3.95E-2</v>
      </c>
      <c r="Z139" s="29">
        <v>2525</v>
      </c>
      <c r="AA139" s="34">
        <v>58.4</v>
      </c>
      <c r="AB139" s="9">
        <f t="shared" si="83"/>
        <v>2583.4</v>
      </c>
      <c r="AC139" s="9">
        <f t="shared" si="89"/>
        <v>16352.92</v>
      </c>
      <c r="AD139" s="9">
        <v>0.39</v>
      </c>
      <c r="AE139" s="9">
        <v>3.77</v>
      </c>
      <c r="AF139" s="21">
        <f>2.42-AJ139</f>
        <v>2.14</v>
      </c>
      <c r="AG139" s="18">
        <f>0.54-AQ139</f>
        <v>0.43</v>
      </c>
      <c r="AH139" s="9">
        <v>2.78</v>
      </c>
      <c r="AI139" s="43">
        <v>720</v>
      </c>
      <c r="AJ139" s="21">
        <f t="shared" si="99"/>
        <v>0.28000000000000003</v>
      </c>
      <c r="AK139" s="9">
        <v>0</v>
      </c>
      <c r="AL139" s="9">
        <v>0</v>
      </c>
      <c r="AM139" s="9">
        <v>0.22</v>
      </c>
      <c r="AN139" s="13"/>
      <c r="AO139" s="13">
        <v>601.20000000000005</v>
      </c>
      <c r="AP139" s="13">
        <f t="shared" si="123"/>
        <v>5.58</v>
      </c>
      <c r="AQ139" s="18">
        <f t="shared" si="98"/>
        <v>0.11</v>
      </c>
      <c r="AR139" s="9">
        <v>0.79</v>
      </c>
      <c r="AS139" s="9">
        <v>0.53</v>
      </c>
      <c r="AT139" s="9">
        <v>7.0000000000000007E-2</v>
      </c>
      <c r="AU139" s="9">
        <v>4.74</v>
      </c>
      <c r="AV139" s="9">
        <v>0.12</v>
      </c>
      <c r="AW139" s="9">
        <f>1.03+0.42+0.33</f>
        <v>1.78</v>
      </c>
      <c r="AX139" s="9">
        <f>1.42+0.56</f>
        <v>1.98</v>
      </c>
      <c r="AY139" s="144">
        <f t="shared" si="124"/>
        <v>20.13</v>
      </c>
      <c r="AZ139" s="145">
        <v>2528</v>
      </c>
      <c r="BA139" s="145">
        <v>58.4</v>
      </c>
      <c r="BB139" s="145">
        <f t="shared" si="84"/>
        <v>2586.4</v>
      </c>
      <c r="BC139" s="145">
        <v>20.13</v>
      </c>
      <c r="BD139" s="13">
        <f t="shared" si="122"/>
        <v>0</v>
      </c>
      <c r="BE139" s="9">
        <f t="shared" si="100"/>
        <v>52003.839999999997</v>
      </c>
      <c r="BF139" s="9">
        <v>20.13</v>
      </c>
      <c r="BG139" s="10">
        <v>44409</v>
      </c>
      <c r="BH139" s="9">
        <f t="shared" si="101"/>
        <v>1007.53</v>
      </c>
      <c r="BI139" s="9">
        <f t="shared" si="102"/>
        <v>9739.42</v>
      </c>
      <c r="BJ139" s="9">
        <f t="shared" si="103"/>
        <v>5528.48</v>
      </c>
      <c r="BK139" s="9">
        <f t="shared" si="104"/>
        <v>1110.8599999999999</v>
      </c>
      <c r="BL139" s="9">
        <f t="shared" si="105"/>
        <v>7181.85</v>
      </c>
      <c r="BM139" s="9">
        <f t="shared" si="106"/>
        <v>723.35</v>
      </c>
      <c r="BN139" s="9">
        <f t="shared" si="107"/>
        <v>0</v>
      </c>
      <c r="BO139" s="9">
        <f t="shared" si="108"/>
        <v>0</v>
      </c>
      <c r="BP139" s="9">
        <f t="shared" si="109"/>
        <v>568.35</v>
      </c>
      <c r="BQ139" s="9">
        <f t="shared" si="110"/>
        <v>284.17</v>
      </c>
      <c r="BR139" s="9">
        <f t="shared" si="111"/>
        <v>2040.89</v>
      </c>
      <c r="BS139" s="9">
        <f t="shared" si="112"/>
        <v>1369.2</v>
      </c>
      <c r="BT139" s="9">
        <f t="shared" si="113"/>
        <v>180.84</v>
      </c>
      <c r="BU139" s="9">
        <f t="shared" si="114"/>
        <v>12245.32</v>
      </c>
      <c r="BV139" s="9">
        <f t="shared" si="115"/>
        <v>310.01</v>
      </c>
      <c r="BW139" s="9">
        <f t="shared" si="116"/>
        <v>4598.45</v>
      </c>
      <c r="BX139" s="9">
        <f t="shared" si="117"/>
        <v>5115.13</v>
      </c>
      <c r="BY139" s="17">
        <f t="shared" si="118"/>
        <v>52003.85</v>
      </c>
      <c r="BZ139" s="17">
        <v>2.17</v>
      </c>
      <c r="CA139" s="17">
        <v>0.04</v>
      </c>
      <c r="CB139" s="17">
        <v>0.25</v>
      </c>
      <c r="CC139" s="27">
        <v>0.04</v>
      </c>
      <c r="CD139" s="29">
        <v>6.33</v>
      </c>
      <c r="CE139" s="9">
        <v>1201.28</v>
      </c>
      <c r="CF139" s="9"/>
      <c r="CG139" s="9">
        <v>0</v>
      </c>
      <c r="CH139" s="9">
        <v>57.43</v>
      </c>
      <c r="CI139" s="9">
        <f t="shared" si="125"/>
        <v>0.46</v>
      </c>
      <c r="CJ139" s="9">
        <f t="shared" si="126"/>
        <v>0</v>
      </c>
      <c r="CK139" s="13">
        <f t="shared" si="127"/>
        <v>0</v>
      </c>
      <c r="CL139" s="13">
        <f t="shared" si="128"/>
        <v>0.02</v>
      </c>
      <c r="CM139" s="13">
        <v>50828.29</v>
      </c>
      <c r="CN139" s="13">
        <v>1161.48</v>
      </c>
      <c r="CO139" s="13">
        <v>0</v>
      </c>
      <c r="CP139" s="13">
        <v>0</v>
      </c>
      <c r="CQ139" s="13">
        <v>50.52</v>
      </c>
      <c r="CR139" s="13">
        <v>47768.58</v>
      </c>
      <c r="CS139" s="13">
        <v>1807.83</v>
      </c>
      <c r="CT139" s="13">
        <v>130.22</v>
      </c>
      <c r="CU139" s="13">
        <v>20.84</v>
      </c>
      <c r="CV139" s="13">
        <v>55.4</v>
      </c>
      <c r="CW139" s="202">
        <v>2251</v>
      </c>
      <c r="CX139" s="200">
        <v>1291</v>
      </c>
      <c r="CY139" s="202"/>
      <c r="CZ139" s="202"/>
      <c r="DA139" s="202"/>
      <c r="DB139" s="202"/>
      <c r="DC139" s="202"/>
      <c r="DD139" s="461"/>
      <c r="DE139" s="256"/>
      <c r="DF139" s="202"/>
      <c r="DG139" s="202"/>
      <c r="DH139" s="202"/>
      <c r="DI139" s="204">
        <v>720</v>
      </c>
      <c r="DJ139" s="202"/>
      <c r="DK139" s="202"/>
      <c r="DL139" s="202"/>
      <c r="DM139" s="202">
        <v>11012</v>
      </c>
      <c r="DN139" s="202">
        <v>1360</v>
      </c>
      <c r="DO139" s="202">
        <v>0.8</v>
      </c>
      <c r="DP139" s="202"/>
      <c r="DQ139" s="202"/>
      <c r="DR139" s="202"/>
      <c r="DS139" s="202">
        <v>14310</v>
      </c>
      <c r="DT139" s="254">
        <v>474</v>
      </c>
      <c r="DU139" s="254">
        <v>246</v>
      </c>
      <c r="DV139" s="202"/>
      <c r="DW139" s="202"/>
      <c r="DX139" s="202">
        <v>11741</v>
      </c>
      <c r="DY139" s="107">
        <v>1365</v>
      </c>
      <c r="DZ139" s="107">
        <v>577</v>
      </c>
      <c r="EA139" s="202"/>
      <c r="EB139" s="202"/>
      <c r="EC139" s="202"/>
      <c r="ED139" s="202"/>
      <c r="EE139" s="202"/>
      <c r="EF139" s="229"/>
      <c r="EG139" s="202"/>
      <c r="EH139" s="202"/>
      <c r="EI139" s="202"/>
      <c r="EJ139" s="202"/>
      <c r="EK139" s="202">
        <v>1201.28</v>
      </c>
      <c r="EL139" s="202">
        <v>0</v>
      </c>
      <c r="EM139" s="202">
        <v>0</v>
      </c>
      <c r="EN139" s="202">
        <v>57.43</v>
      </c>
      <c r="EO139" s="202">
        <v>1201.28</v>
      </c>
      <c r="EP139" s="202"/>
      <c r="EQ139" s="202">
        <v>0</v>
      </c>
      <c r="ER139" s="202">
        <v>57.43</v>
      </c>
      <c r="ES139" s="202"/>
      <c r="ET139" s="202"/>
      <c r="EU139" s="202"/>
      <c r="EV139" s="214">
        <v>-1.89</v>
      </c>
      <c r="EW139" s="240">
        <f t="shared" si="119"/>
        <v>5650.31</v>
      </c>
      <c r="EX139" s="209">
        <f t="shared" si="120"/>
        <v>3677.52</v>
      </c>
    </row>
    <row r="140" spans="1:154" ht="12.75" customHeight="1" x14ac:dyDescent="0.2">
      <c r="A140" s="45" t="s">
        <v>205</v>
      </c>
      <c r="B140" s="123" t="s">
        <v>184</v>
      </c>
      <c r="C140" s="124" t="s">
        <v>48</v>
      </c>
      <c r="D140" s="125" t="s">
        <v>456</v>
      </c>
      <c r="E140" s="124" t="s">
        <v>12</v>
      </c>
      <c r="F140" s="11">
        <v>9</v>
      </c>
      <c r="G140" s="11">
        <v>2</v>
      </c>
      <c r="H140" s="11">
        <v>72</v>
      </c>
      <c r="I140" s="11">
        <v>72</v>
      </c>
      <c r="J140" s="11">
        <v>177</v>
      </c>
      <c r="K140" s="11">
        <v>211</v>
      </c>
      <c r="L140" s="11">
        <v>2</v>
      </c>
      <c r="M140" s="84">
        <v>593</v>
      </c>
      <c r="N140" s="84">
        <v>610</v>
      </c>
      <c r="O140" s="84">
        <v>0</v>
      </c>
      <c r="P140" s="135">
        <v>592.9</v>
      </c>
      <c r="Q140" s="135">
        <f>473.7+10.4+4.6+30.4</f>
        <v>519.1</v>
      </c>
      <c r="R140" s="135">
        <v>0</v>
      </c>
      <c r="S140" s="133">
        <f t="shared" si="121"/>
        <v>1112</v>
      </c>
      <c r="T140" s="135">
        <v>592.9</v>
      </c>
      <c r="U140" s="130">
        <v>2.44</v>
      </c>
      <c r="V140" s="91">
        <v>1.9800000000000002E-2</v>
      </c>
      <c r="W140" s="91">
        <v>1.9800000000000002E-2</v>
      </c>
      <c r="X140" s="132">
        <v>1.32E-3</v>
      </c>
      <c r="Y140" s="91">
        <v>3.9699999999999999E-2</v>
      </c>
      <c r="Z140" s="29">
        <v>3789.4</v>
      </c>
      <c r="AA140" s="34"/>
      <c r="AB140" s="9">
        <f t="shared" si="83"/>
        <v>3789.4</v>
      </c>
      <c r="AC140" s="9">
        <f t="shared" si="89"/>
        <v>23986.9</v>
      </c>
      <c r="AD140" s="9">
        <v>2.15</v>
      </c>
      <c r="AE140" s="9">
        <v>3.88</v>
      </c>
      <c r="AF140" s="21">
        <f>2.49-AJ140</f>
        <v>2.34</v>
      </c>
      <c r="AG140" s="18">
        <f>0.62-AQ140</f>
        <v>0.56999999999999995</v>
      </c>
      <c r="AH140" s="9">
        <v>2.78</v>
      </c>
      <c r="AI140" s="43">
        <v>586</v>
      </c>
      <c r="AJ140" s="21">
        <f t="shared" si="99"/>
        <v>0.15</v>
      </c>
      <c r="AK140" s="9">
        <v>2.2799999999999998</v>
      </c>
      <c r="AL140" s="9">
        <v>0.2</v>
      </c>
      <c r="AM140" s="9">
        <v>0.25</v>
      </c>
      <c r="AN140" s="13"/>
      <c r="AO140" s="13">
        <v>422.4</v>
      </c>
      <c r="AP140" s="13">
        <f t="shared" si="123"/>
        <v>5.58</v>
      </c>
      <c r="AQ140" s="18">
        <f t="shared" si="98"/>
        <v>0.05</v>
      </c>
      <c r="AR140" s="9">
        <v>0.6</v>
      </c>
      <c r="AS140" s="9">
        <v>0.36</v>
      </c>
      <c r="AT140" s="9">
        <v>7.0000000000000007E-2</v>
      </c>
      <c r="AU140" s="9">
        <v>4.41</v>
      </c>
      <c r="AV140" s="9">
        <v>0.16</v>
      </c>
      <c r="AW140" s="9">
        <f>1.41+0.27+0.37</f>
        <v>2.0499999999999998</v>
      </c>
      <c r="AX140" s="9">
        <f>1.99+0.52</f>
        <v>2.5099999999999998</v>
      </c>
      <c r="AY140" s="126">
        <f t="shared" si="124"/>
        <v>24.81</v>
      </c>
      <c r="AZ140" s="127">
        <v>3777.9</v>
      </c>
      <c r="BA140" s="127">
        <v>0</v>
      </c>
      <c r="BB140" s="127">
        <f t="shared" si="84"/>
        <v>3777.9</v>
      </c>
      <c r="BC140" s="127">
        <v>24.81</v>
      </c>
      <c r="BD140" s="13">
        <f t="shared" si="122"/>
        <v>0</v>
      </c>
      <c r="BE140" s="9">
        <f t="shared" si="100"/>
        <v>94015.01</v>
      </c>
      <c r="BF140" s="9">
        <v>24.81</v>
      </c>
      <c r="BG140" s="10">
        <v>44378</v>
      </c>
      <c r="BH140" s="9">
        <f t="shared" si="101"/>
        <v>8147.21</v>
      </c>
      <c r="BI140" s="9">
        <f t="shared" si="102"/>
        <v>14702.87</v>
      </c>
      <c r="BJ140" s="9">
        <f t="shared" si="103"/>
        <v>8867.2000000000007</v>
      </c>
      <c r="BK140" s="9">
        <f t="shared" si="104"/>
        <v>2159.96</v>
      </c>
      <c r="BL140" s="9">
        <f t="shared" si="105"/>
        <v>10534.53</v>
      </c>
      <c r="BM140" s="9">
        <f t="shared" si="106"/>
        <v>568.41</v>
      </c>
      <c r="BN140" s="9">
        <f t="shared" si="107"/>
        <v>8639.83</v>
      </c>
      <c r="BO140" s="9">
        <f t="shared" si="108"/>
        <v>757.88</v>
      </c>
      <c r="BP140" s="9">
        <f t="shared" si="109"/>
        <v>947.35</v>
      </c>
      <c r="BQ140" s="9">
        <f t="shared" si="110"/>
        <v>189.47</v>
      </c>
      <c r="BR140" s="9">
        <f t="shared" si="111"/>
        <v>2273.64</v>
      </c>
      <c r="BS140" s="9">
        <f t="shared" si="112"/>
        <v>1364.18</v>
      </c>
      <c r="BT140" s="9">
        <f t="shared" si="113"/>
        <v>265.26</v>
      </c>
      <c r="BU140" s="9">
        <f t="shared" si="114"/>
        <v>16711.25</v>
      </c>
      <c r="BV140" s="9">
        <f t="shared" si="115"/>
        <v>606.29999999999995</v>
      </c>
      <c r="BW140" s="9">
        <f t="shared" si="116"/>
        <v>7768.27</v>
      </c>
      <c r="BX140" s="9">
        <f t="shared" si="117"/>
        <v>9511.39</v>
      </c>
      <c r="BY140" s="17">
        <f t="shared" si="118"/>
        <v>94015</v>
      </c>
      <c r="BZ140" s="17">
        <v>2.63</v>
      </c>
      <c r="CA140" s="17">
        <v>0.08</v>
      </c>
      <c r="CB140" s="17">
        <v>0.5</v>
      </c>
      <c r="CC140" s="27">
        <v>0.08</v>
      </c>
      <c r="CD140" s="29">
        <v>6.33</v>
      </c>
      <c r="CE140" s="9">
        <v>4821.97</v>
      </c>
      <c r="CF140" s="9"/>
      <c r="CG140" s="9">
        <v>0</v>
      </c>
      <c r="CH140" s="9">
        <v>166.09</v>
      </c>
      <c r="CI140" s="9">
        <f t="shared" si="125"/>
        <v>1.27</v>
      </c>
      <c r="CJ140" s="9">
        <f t="shared" si="126"/>
        <v>0</v>
      </c>
      <c r="CK140" s="13">
        <f t="shared" si="127"/>
        <v>0</v>
      </c>
      <c r="CL140" s="13">
        <f t="shared" si="128"/>
        <v>0.04</v>
      </c>
      <c r="CM140" s="13">
        <v>94015.06</v>
      </c>
      <c r="CN140" s="13">
        <v>4623.09</v>
      </c>
      <c r="CO140" s="13">
        <v>0</v>
      </c>
      <c r="CP140" s="13">
        <v>0</v>
      </c>
      <c r="CQ140" s="13">
        <v>151.61000000000001</v>
      </c>
      <c r="CR140" s="13">
        <v>100471.48</v>
      </c>
      <c r="CS140" s="13">
        <v>5415.06</v>
      </c>
      <c r="CT140" s="13">
        <v>356.43</v>
      </c>
      <c r="CU140" s="13">
        <v>415.08</v>
      </c>
      <c r="CV140" s="13">
        <v>384.8</v>
      </c>
      <c r="CW140" s="202">
        <v>3301</v>
      </c>
      <c r="CX140" s="200">
        <v>1894</v>
      </c>
      <c r="CY140" s="202"/>
      <c r="CZ140" s="202"/>
      <c r="DA140" s="202"/>
      <c r="DB140" s="202"/>
      <c r="DC140" s="202"/>
      <c r="DD140" s="461"/>
      <c r="DE140" s="256"/>
      <c r="DF140" s="202"/>
      <c r="DG140" s="202"/>
      <c r="DH140" s="202"/>
      <c r="DI140" s="204">
        <v>586</v>
      </c>
      <c r="DJ140" s="202">
        <v>8600</v>
      </c>
      <c r="DK140" s="202"/>
      <c r="DL140" s="202"/>
      <c r="DM140" s="202">
        <v>23184</v>
      </c>
      <c r="DN140" s="202">
        <v>3400</v>
      </c>
      <c r="DO140" s="202">
        <v>2</v>
      </c>
      <c r="DP140" s="202"/>
      <c r="DQ140" s="202"/>
      <c r="DR140" s="202"/>
      <c r="DS140" s="202"/>
      <c r="DT140" s="254"/>
      <c r="DU140" s="254"/>
      <c r="DV140" s="202"/>
      <c r="DW140" s="202"/>
      <c r="DX140" s="202">
        <v>17549</v>
      </c>
      <c r="DY140" s="107">
        <v>1365</v>
      </c>
      <c r="DZ140" s="107">
        <v>942</v>
      </c>
      <c r="EA140" s="202"/>
      <c r="EB140" s="202"/>
      <c r="EC140" s="202"/>
      <c r="ED140" s="202"/>
      <c r="EE140" s="202"/>
      <c r="EF140" s="229"/>
      <c r="EG140" s="202"/>
      <c r="EH140" s="202"/>
      <c r="EI140" s="202"/>
      <c r="EJ140" s="202"/>
      <c r="EK140" s="202">
        <v>4634.3</v>
      </c>
      <c r="EL140" s="202">
        <v>0</v>
      </c>
      <c r="EM140" s="202">
        <v>0</v>
      </c>
      <c r="EN140" s="202">
        <v>166.09</v>
      </c>
      <c r="EO140" s="202">
        <v>4634.3</v>
      </c>
      <c r="EP140" s="202"/>
      <c r="EQ140" s="202">
        <v>0</v>
      </c>
      <c r="ER140" s="202">
        <v>166.09</v>
      </c>
      <c r="ES140" s="202"/>
      <c r="ET140" s="202"/>
      <c r="EU140" s="202"/>
      <c r="EV140" s="214">
        <v>-9.65</v>
      </c>
      <c r="EW140" s="240">
        <f t="shared" si="119"/>
        <v>8288.02</v>
      </c>
      <c r="EX140" s="209">
        <f t="shared" si="120"/>
        <v>5394.29</v>
      </c>
    </row>
    <row r="141" spans="1:154" ht="12.75" customHeight="1" x14ac:dyDescent="0.2">
      <c r="A141" s="45" t="s">
        <v>207</v>
      </c>
      <c r="B141" s="141" t="s">
        <v>184</v>
      </c>
      <c r="C141" s="142" t="s">
        <v>15</v>
      </c>
      <c r="D141" s="143" t="s">
        <v>457</v>
      </c>
      <c r="E141" s="142" t="s">
        <v>12</v>
      </c>
      <c r="F141" s="11">
        <v>5</v>
      </c>
      <c r="G141" s="11">
        <v>3</v>
      </c>
      <c r="H141" s="11">
        <v>60</v>
      </c>
      <c r="I141" s="11">
        <v>60</v>
      </c>
      <c r="J141" s="11">
        <v>113</v>
      </c>
      <c r="K141" s="11">
        <v>139</v>
      </c>
      <c r="L141" s="11" t="s">
        <v>746</v>
      </c>
      <c r="M141" s="84">
        <v>207</v>
      </c>
      <c r="N141" s="84">
        <v>750</v>
      </c>
      <c r="O141" s="84">
        <v>0</v>
      </c>
      <c r="P141" s="135">
        <v>206.5</v>
      </c>
      <c r="Q141" s="135">
        <v>578.70000000000005</v>
      </c>
      <c r="R141" s="135">
        <v>0</v>
      </c>
      <c r="S141" s="133">
        <f t="shared" si="121"/>
        <v>785.2</v>
      </c>
      <c r="T141" s="135">
        <v>207</v>
      </c>
      <c r="U141" s="130">
        <v>1.53</v>
      </c>
      <c r="V141" s="131">
        <v>1.9800000000000002E-2</v>
      </c>
      <c r="W141" s="131">
        <v>1.9800000000000002E-2</v>
      </c>
      <c r="X141" s="132">
        <v>1.2199999999999999E-3</v>
      </c>
      <c r="Y141" s="131">
        <v>3.95E-2</v>
      </c>
      <c r="Z141" s="29">
        <v>2580.9</v>
      </c>
      <c r="AA141" s="34"/>
      <c r="AB141" s="9">
        <f t="shared" si="83"/>
        <v>2580.9</v>
      </c>
      <c r="AC141" s="9">
        <f t="shared" si="89"/>
        <v>16337.1</v>
      </c>
      <c r="AD141" s="9">
        <v>0.39</v>
      </c>
      <c r="AE141" s="9">
        <v>5.2</v>
      </c>
      <c r="AF141" s="21">
        <f>2.45-AJ141</f>
        <v>2.17</v>
      </c>
      <c r="AG141" s="18">
        <f>0.54-AQ141</f>
        <v>0.43</v>
      </c>
      <c r="AH141" s="9">
        <v>2.78</v>
      </c>
      <c r="AI141" s="43">
        <v>720</v>
      </c>
      <c r="AJ141" s="21">
        <f t="shared" si="99"/>
        <v>0.28000000000000003</v>
      </c>
      <c r="AK141" s="9">
        <v>0</v>
      </c>
      <c r="AL141" s="9">
        <v>0</v>
      </c>
      <c r="AM141" s="9">
        <v>0</v>
      </c>
      <c r="AN141" s="13"/>
      <c r="AO141" s="13">
        <v>601.20000000000005</v>
      </c>
      <c r="AP141" s="13">
        <f t="shared" si="123"/>
        <v>5.58</v>
      </c>
      <c r="AQ141" s="18">
        <f t="shared" si="98"/>
        <v>0.11</v>
      </c>
      <c r="AR141" s="9">
        <v>0.8</v>
      </c>
      <c r="AS141" s="9">
        <v>0.53</v>
      </c>
      <c r="AT141" s="9">
        <v>7.0000000000000007E-2</v>
      </c>
      <c r="AU141" s="9">
        <v>3.36</v>
      </c>
      <c r="AV141" s="9">
        <v>0.13</v>
      </c>
      <c r="AW141" s="9">
        <f>1.14+0.3+0.32</f>
        <v>1.76</v>
      </c>
      <c r="AX141" s="9">
        <f>1.57+0.4</f>
        <v>1.97</v>
      </c>
      <c r="AY141" s="144">
        <f t="shared" si="124"/>
        <v>19.98</v>
      </c>
      <c r="AZ141" s="145">
        <v>2582.8000000000002</v>
      </c>
      <c r="BA141" s="145">
        <v>0</v>
      </c>
      <c r="BB141" s="145">
        <f t="shared" si="84"/>
        <v>2582.8000000000002</v>
      </c>
      <c r="BC141" s="145">
        <v>19.98</v>
      </c>
      <c r="BD141" s="13">
        <f t="shared" si="122"/>
        <v>0</v>
      </c>
      <c r="BE141" s="9">
        <f t="shared" si="100"/>
        <v>51566.38</v>
      </c>
      <c r="BF141" s="9">
        <v>19.98</v>
      </c>
      <c r="BG141" s="10">
        <v>44409</v>
      </c>
      <c r="BH141" s="9">
        <f t="shared" si="101"/>
        <v>1006.55</v>
      </c>
      <c r="BI141" s="9">
        <f t="shared" si="102"/>
        <v>13420.68</v>
      </c>
      <c r="BJ141" s="9">
        <f t="shared" si="103"/>
        <v>5600.55</v>
      </c>
      <c r="BK141" s="9">
        <f t="shared" si="104"/>
        <v>1109.79</v>
      </c>
      <c r="BL141" s="9">
        <f t="shared" si="105"/>
        <v>7174.9</v>
      </c>
      <c r="BM141" s="9">
        <f t="shared" si="106"/>
        <v>722.65</v>
      </c>
      <c r="BN141" s="9">
        <f t="shared" si="107"/>
        <v>0</v>
      </c>
      <c r="BO141" s="9">
        <f t="shared" si="108"/>
        <v>0</v>
      </c>
      <c r="BP141" s="9">
        <f t="shared" si="109"/>
        <v>0</v>
      </c>
      <c r="BQ141" s="9">
        <f t="shared" si="110"/>
        <v>283.89999999999998</v>
      </c>
      <c r="BR141" s="9">
        <f t="shared" si="111"/>
        <v>2064.7199999999998</v>
      </c>
      <c r="BS141" s="9">
        <f t="shared" si="112"/>
        <v>1367.88</v>
      </c>
      <c r="BT141" s="9">
        <f t="shared" si="113"/>
        <v>180.66</v>
      </c>
      <c r="BU141" s="9">
        <f t="shared" si="114"/>
        <v>8671.82</v>
      </c>
      <c r="BV141" s="9">
        <f t="shared" si="115"/>
        <v>335.52</v>
      </c>
      <c r="BW141" s="9">
        <f t="shared" si="116"/>
        <v>4542.38</v>
      </c>
      <c r="BX141" s="9">
        <f t="shared" si="117"/>
        <v>5084.37</v>
      </c>
      <c r="BY141" s="17">
        <f t="shared" si="118"/>
        <v>51566.37</v>
      </c>
      <c r="BZ141" s="17">
        <v>2.17</v>
      </c>
      <c r="CA141" s="17">
        <v>0.04</v>
      </c>
      <c r="CB141" s="17">
        <v>0.25</v>
      </c>
      <c r="CC141" s="27">
        <v>0.04</v>
      </c>
      <c r="CD141" s="29">
        <v>6.33</v>
      </c>
      <c r="CE141" s="9">
        <v>2363.11</v>
      </c>
      <c r="CF141" s="9"/>
      <c r="CG141" s="9">
        <v>110.76</v>
      </c>
      <c r="CH141" s="9">
        <v>115.68</v>
      </c>
      <c r="CI141" s="9">
        <f t="shared" si="125"/>
        <v>0.92</v>
      </c>
      <c r="CJ141" s="9">
        <f t="shared" si="126"/>
        <v>0</v>
      </c>
      <c r="CK141" s="13">
        <f t="shared" si="127"/>
        <v>0.04</v>
      </c>
      <c r="CL141" s="13">
        <f t="shared" si="128"/>
        <v>0.04</v>
      </c>
      <c r="CM141" s="13">
        <v>51566.400000000001</v>
      </c>
      <c r="CN141" s="13">
        <v>2606.64</v>
      </c>
      <c r="CO141" s="13">
        <v>0</v>
      </c>
      <c r="CP141" s="13">
        <v>103.21</v>
      </c>
      <c r="CQ141" s="13">
        <v>103.21</v>
      </c>
      <c r="CR141" s="13">
        <v>53238.33</v>
      </c>
      <c r="CS141" s="13">
        <v>2880.81</v>
      </c>
      <c r="CT141" s="13">
        <v>83.02</v>
      </c>
      <c r="CU141" s="13">
        <v>106.62</v>
      </c>
      <c r="CV141" s="13">
        <v>106.62</v>
      </c>
      <c r="CW141" s="202">
        <v>2249</v>
      </c>
      <c r="CX141" s="200">
        <v>1290</v>
      </c>
      <c r="CY141" s="202"/>
      <c r="CZ141" s="202"/>
      <c r="DA141" s="202"/>
      <c r="DB141" s="202"/>
      <c r="DC141" s="202"/>
      <c r="DD141" s="461"/>
      <c r="DE141" s="256"/>
      <c r="DF141" s="202"/>
      <c r="DG141" s="202"/>
      <c r="DH141" s="202"/>
      <c r="DI141" s="204">
        <v>720</v>
      </c>
      <c r="DJ141" s="202"/>
      <c r="DK141" s="202"/>
      <c r="DL141" s="202"/>
      <c r="DM141" s="202">
        <v>14724</v>
      </c>
      <c r="DN141" s="202">
        <v>2125</v>
      </c>
      <c r="DO141" s="202">
        <v>1.25</v>
      </c>
      <c r="DP141" s="202"/>
      <c r="DQ141" s="202"/>
      <c r="DR141" s="202"/>
      <c r="DS141" s="202">
        <v>14310</v>
      </c>
      <c r="DT141" s="254">
        <v>474</v>
      </c>
      <c r="DU141" s="254">
        <v>246</v>
      </c>
      <c r="DV141" s="202"/>
      <c r="DW141" s="202"/>
      <c r="DX141" s="202">
        <v>11797</v>
      </c>
      <c r="DY141" s="107">
        <v>1365</v>
      </c>
      <c r="DZ141" s="107"/>
      <c r="EA141" s="202"/>
      <c r="EB141" s="202"/>
      <c r="EC141" s="202"/>
      <c r="ED141" s="202"/>
      <c r="EE141" s="202"/>
      <c r="EF141" s="229"/>
      <c r="EG141" s="202"/>
      <c r="EH141" s="202"/>
      <c r="EI141" s="202"/>
      <c r="EJ141" s="202"/>
      <c r="EK141" s="202">
        <v>2600.5700000000002</v>
      </c>
      <c r="EL141" s="202">
        <v>0</v>
      </c>
      <c r="EM141" s="202">
        <v>110.76</v>
      </c>
      <c r="EN141" s="202">
        <v>115.68</v>
      </c>
      <c r="EO141" s="202">
        <v>2600.5700000000002</v>
      </c>
      <c r="EP141" s="202"/>
      <c r="EQ141" s="202">
        <v>110.76</v>
      </c>
      <c r="ER141" s="202">
        <v>115.68</v>
      </c>
      <c r="ES141" s="202"/>
      <c r="ET141" s="202"/>
      <c r="EU141" s="202"/>
      <c r="EV141" s="214">
        <v>2.15</v>
      </c>
      <c r="EW141" s="240">
        <f t="shared" si="119"/>
        <v>5644.84</v>
      </c>
      <c r="EX141" s="209">
        <f t="shared" si="120"/>
        <v>3673.96</v>
      </c>
    </row>
    <row r="142" spans="1:154" ht="12.75" customHeight="1" x14ac:dyDescent="0.2">
      <c r="A142" s="45" t="s">
        <v>209</v>
      </c>
      <c r="B142" s="141" t="s">
        <v>184</v>
      </c>
      <c r="C142" s="142" t="s">
        <v>15</v>
      </c>
      <c r="D142" s="143" t="s">
        <v>565</v>
      </c>
      <c r="E142" s="142" t="s">
        <v>9</v>
      </c>
      <c r="F142" s="11">
        <v>5</v>
      </c>
      <c r="G142" s="11">
        <v>3</v>
      </c>
      <c r="H142" s="11">
        <v>60</v>
      </c>
      <c r="I142" s="11">
        <v>61</v>
      </c>
      <c r="J142" s="11">
        <v>88</v>
      </c>
      <c r="K142" s="11">
        <v>118</v>
      </c>
      <c r="L142" s="11" t="s">
        <v>746</v>
      </c>
      <c r="M142" s="84">
        <v>209</v>
      </c>
      <c r="N142" s="84">
        <v>750</v>
      </c>
      <c r="O142" s="84">
        <v>0</v>
      </c>
      <c r="P142" s="135">
        <v>209</v>
      </c>
      <c r="Q142" s="135">
        <v>516.70000000000005</v>
      </c>
      <c r="R142" s="133">
        <v>0</v>
      </c>
      <c r="S142" s="133">
        <f t="shared" si="121"/>
        <v>725.7</v>
      </c>
      <c r="T142" s="134">
        <v>209</v>
      </c>
      <c r="U142" s="130">
        <v>1.53</v>
      </c>
      <c r="V142" s="131">
        <v>1.9800000000000002E-2</v>
      </c>
      <c r="W142" s="131">
        <v>1.9800000000000002E-2</v>
      </c>
      <c r="X142" s="132">
        <v>1.2199999999999999E-3</v>
      </c>
      <c r="Y142" s="131">
        <v>3.95E-2</v>
      </c>
      <c r="Z142" s="29">
        <v>2586.1</v>
      </c>
      <c r="AA142" s="34"/>
      <c r="AB142" s="9">
        <f t="shared" si="83"/>
        <v>2586.1</v>
      </c>
      <c r="AC142" s="9">
        <f t="shared" si="89"/>
        <v>16370.01</v>
      </c>
      <c r="AD142" s="9">
        <v>0.4</v>
      </c>
      <c r="AE142" s="9">
        <v>4.6399999999999997</v>
      </c>
      <c r="AF142" s="21">
        <f>2.45-AJ142</f>
        <v>2.17</v>
      </c>
      <c r="AG142" s="18">
        <f>0.54-AQ142</f>
        <v>0.43</v>
      </c>
      <c r="AH142" s="9">
        <v>2.78</v>
      </c>
      <c r="AI142" s="43">
        <v>720</v>
      </c>
      <c r="AJ142" s="21">
        <f t="shared" si="99"/>
        <v>0.28000000000000003</v>
      </c>
      <c r="AK142" s="9">
        <v>0</v>
      </c>
      <c r="AL142" s="9">
        <v>0</v>
      </c>
      <c r="AM142" s="9">
        <v>0.22</v>
      </c>
      <c r="AN142" s="13"/>
      <c r="AO142" s="13">
        <v>601.20000000000005</v>
      </c>
      <c r="AP142" s="13">
        <f t="shared" si="123"/>
        <v>5.58</v>
      </c>
      <c r="AQ142" s="18">
        <f t="shared" si="98"/>
        <v>0.11</v>
      </c>
      <c r="AR142" s="9">
        <v>0.8</v>
      </c>
      <c r="AS142" s="9">
        <v>0.53</v>
      </c>
      <c r="AT142" s="9">
        <v>7.0000000000000007E-2</v>
      </c>
      <c r="AU142" s="9">
        <v>3.79</v>
      </c>
      <c r="AV142" s="9">
        <v>0.13</v>
      </c>
      <c r="AW142" s="9">
        <f>1.11+0.33+0.33</f>
        <v>1.77</v>
      </c>
      <c r="AX142" s="9">
        <f>1.53+0.45</f>
        <v>1.98</v>
      </c>
      <c r="AY142" s="144">
        <f t="shared" si="124"/>
        <v>20.100000000000001</v>
      </c>
      <c r="AZ142" s="145">
        <v>2587</v>
      </c>
      <c r="BA142" s="145">
        <v>0</v>
      </c>
      <c r="BB142" s="145">
        <f t="shared" si="84"/>
        <v>2587</v>
      </c>
      <c r="BC142" s="145">
        <v>20.100000000000001</v>
      </c>
      <c r="BD142" s="13">
        <f t="shared" si="122"/>
        <v>0</v>
      </c>
      <c r="BE142" s="9">
        <f t="shared" si="100"/>
        <v>51980.61</v>
      </c>
      <c r="BF142" s="9">
        <v>20.100000000000001</v>
      </c>
      <c r="BG142" s="10">
        <v>44409</v>
      </c>
      <c r="BH142" s="9">
        <f t="shared" si="101"/>
        <v>1034.44</v>
      </c>
      <c r="BI142" s="9">
        <f t="shared" si="102"/>
        <v>11999.5</v>
      </c>
      <c r="BJ142" s="9">
        <f t="shared" si="103"/>
        <v>5611.84</v>
      </c>
      <c r="BK142" s="9">
        <f t="shared" si="104"/>
        <v>1112.02</v>
      </c>
      <c r="BL142" s="9">
        <f t="shared" si="105"/>
        <v>7189.36</v>
      </c>
      <c r="BM142" s="9">
        <f t="shared" si="106"/>
        <v>724.11</v>
      </c>
      <c r="BN142" s="9">
        <f t="shared" si="107"/>
        <v>0</v>
      </c>
      <c r="BO142" s="9">
        <f t="shared" si="108"/>
        <v>0</v>
      </c>
      <c r="BP142" s="9">
        <f t="shared" si="109"/>
        <v>568.94000000000005</v>
      </c>
      <c r="BQ142" s="9">
        <f t="shared" si="110"/>
        <v>284.47000000000003</v>
      </c>
      <c r="BR142" s="9">
        <f t="shared" si="111"/>
        <v>2068.88</v>
      </c>
      <c r="BS142" s="9">
        <f t="shared" si="112"/>
        <v>1370.63</v>
      </c>
      <c r="BT142" s="9">
        <f t="shared" si="113"/>
        <v>181.03</v>
      </c>
      <c r="BU142" s="9">
        <f t="shared" si="114"/>
        <v>9801.32</v>
      </c>
      <c r="BV142" s="9">
        <f t="shared" si="115"/>
        <v>336.19</v>
      </c>
      <c r="BW142" s="9">
        <f t="shared" si="116"/>
        <v>4577.3999999999996</v>
      </c>
      <c r="BX142" s="9">
        <f t="shared" si="117"/>
        <v>5120.4799999999996</v>
      </c>
      <c r="BY142" s="17">
        <f t="shared" si="118"/>
        <v>51980.61</v>
      </c>
      <c r="BZ142" s="17">
        <v>2.17</v>
      </c>
      <c r="CA142" s="17">
        <v>0.04</v>
      </c>
      <c r="CB142" s="17">
        <v>0.25</v>
      </c>
      <c r="CC142" s="27">
        <v>0.05</v>
      </c>
      <c r="CD142" s="29">
        <v>6.33</v>
      </c>
      <c r="CE142" s="9">
        <v>1026.44</v>
      </c>
      <c r="CF142" s="9"/>
      <c r="CG142" s="9">
        <v>0</v>
      </c>
      <c r="CH142" s="9">
        <v>58.55</v>
      </c>
      <c r="CI142" s="9">
        <f t="shared" si="125"/>
        <v>0.4</v>
      </c>
      <c r="CJ142" s="9">
        <f t="shared" si="126"/>
        <v>0</v>
      </c>
      <c r="CK142" s="13">
        <f t="shared" si="127"/>
        <v>0</v>
      </c>
      <c r="CL142" s="13">
        <f t="shared" si="128"/>
        <v>0.02</v>
      </c>
      <c r="CM142" s="13">
        <v>51980.61</v>
      </c>
      <c r="CN142" s="13">
        <v>1474.09</v>
      </c>
      <c r="CO142" s="13">
        <v>0</v>
      </c>
      <c r="CP142" s="13">
        <v>0</v>
      </c>
      <c r="CQ142" s="13">
        <v>51.71</v>
      </c>
      <c r="CR142" s="13">
        <v>59602.74</v>
      </c>
      <c r="CS142" s="13">
        <v>3306.88</v>
      </c>
      <c r="CT142" s="13">
        <v>263.57</v>
      </c>
      <c r="CU142" s="13">
        <v>42.07</v>
      </c>
      <c r="CV142" s="13">
        <v>88.49</v>
      </c>
      <c r="CW142" s="202">
        <v>2253</v>
      </c>
      <c r="CX142" s="200">
        <v>1293</v>
      </c>
      <c r="CY142" s="202"/>
      <c r="CZ142" s="202"/>
      <c r="DA142" s="202"/>
      <c r="DB142" s="202"/>
      <c r="DC142" s="202"/>
      <c r="DD142" s="461"/>
      <c r="DE142" s="256"/>
      <c r="DF142" s="202"/>
      <c r="DG142" s="202"/>
      <c r="DH142" s="202"/>
      <c r="DI142" s="204">
        <v>720</v>
      </c>
      <c r="DJ142" s="202"/>
      <c r="DK142" s="202"/>
      <c r="DL142" s="202"/>
      <c r="DM142" s="202">
        <v>13302</v>
      </c>
      <c r="DN142" s="202">
        <v>1139</v>
      </c>
      <c r="DO142" s="202">
        <v>0.67</v>
      </c>
      <c r="DP142" s="202"/>
      <c r="DQ142" s="202"/>
      <c r="DR142" s="202"/>
      <c r="DS142" s="202">
        <v>7565</v>
      </c>
      <c r="DT142" s="254">
        <v>237</v>
      </c>
      <c r="DU142" s="254">
        <v>164</v>
      </c>
      <c r="DV142" s="202"/>
      <c r="DW142" s="202"/>
      <c r="DX142" s="202">
        <v>11810</v>
      </c>
      <c r="DY142" s="107">
        <v>1365</v>
      </c>
      <c r="DZ142" s="107"/>
      <c r="EA142" s="202">
        <f>1950.73+1519.57+12935</f>
        <v>16405.3</v>
      </c>
      <c r="EB142" s="202"/>
      <c r="EC142" s="202"/>
      <c r="ED142" s="202"/>
      <c r="EE142" s="202"/>
      <c r="EF142" s="229"/>
      <c r="EG142" s="202"/>
      <c r="EH142" s="202"/>
      <c r="EI142" s="202"/>
      <c r="EJ142" s="202"/>
      <c r="EK142" s="202">
        <v>1478.38</v>
      </c>
      <c r="EL142" s="202">
        <v>0</v>
      </c>
      <c r="EM142" s="202">
        <v>0</v>
      </c>
      <c r="EN142" s="202">
        <v>58.55</v>
      </c>
      <c r="EO142" s="202">
        <v>1478.38</v>
      </c>
      <c r="EP142" s="202"/>
      <c r="EQ142" s="202">
        <v>0</v>
      </c>
      <c r="ER142" s="202">
        <v>58.55</v>
      </c>
      <c r="ES142" s="202"/>
      <c r="ET142" s="202"/>
      <c r="EU142" s="202"/>
      <c r="EV142" s="214">
        <v>-1.97</v>
      </c>
      <c r="EW142" s="240">
        <f t="shared" si="119"/>
        <v>5656.21</v>
      </c>
      <c r="EX142" s="209">
        <f t="shared" si="120"/>
        <v>3681.37</v>
      </c>
    </row>
    <row r="143" spans="1:154" ht="12.75" customHeight="1" x14ac:dyDescent="0.2">
      <c r="A143" s="45" t="s">
        <v>210</v>
      </c>
      <c r="B143" s="123" t="s">
        <v>184</v>
      </c>
      <c r="C143" s="124" t="s">
        <v>17</v>
      </c>
      <c r="D143" s="125" t="s">
        <v>458</v>
      </c>
      <c r="E143" s="124" t="s">
        <v>12</v>
      </c>
      <c r="F143" s="11">
        <v>9</v>
      </c>
      <c r="G143" s="11">
        <v>2</v>
      </c>
      <c r="H143" s="11">
        <v>72</v>
      </c>
      <c r="I143" s="11">
        <v>71</v>
      </c>
      <c r="J143" s="11">
        <v>171</v>
      </c>
      <c r="K143" s="11">
        <v>221</v>
      </c>
      <c r="L143" s="11">
        <v>2</v>
      </c>
      <c r="M143" s="84">
        <v>601</v>
      </c>
      <c r="N143" s="84">
        <v>610</v>
      </c>
      <c r="O143" s="84">
        <v>0</v>
      </c>
      <c r="P143" s="135">
        <f>337.8+262.5</f>
        <v>600.29999999999995</v>
      </c>
      <c r="Q143" s="135">
        <f>473.7+10.4+4.6+30.4</f>
        <v>519.1</v>
      </c>
      <c r="R143" s="135">
        <v>0</v>
      </c>
      <c r="S143" s="133">
        <f t="shared" si="121"/>
        <v>1119.4000000000001</v>
      </c>
      <c r="T143" s="135">
        <v>601</v>
      </c>
      <c r="U143" s="130">
        <v>2.44</v>
      </c>
      <c r="V143" s="91">
        <v>1.9800000000000002E-2</v>
      </c>
      <c r="W143" s="91">
        <v>1.9800000000000002E-2</v>
      </c>
      <c r="X143" s="132">
        <v>1.32E-3</v>
      </c>
      <c r="Y143" s="91">
        <v>3.9699999999999999E-2</v>
      </c>
      <c r="Z143" s="29">
        <v>3736.52</v>
      </c>
      <c r="AA143" s="34">
        <v>401</v>
      </c>
      <c r="AB143" s="9">
        <f t="shared" si="83"/>
        <v>4137.5200000000004</v>
      </c>
      <c r="AC143" s="9">
        <f t="shared" si="89"/>
        <v>26190.5</v>
      </c>
      <c r="AD143" s="9">
        <v>2</v>
      </c>
      <c r="AE143" s="9">
        <v>5.27</v>
      </c>
      <c r="AF143" s="21">
        <f>2.49-AJ143</f>
        <v>2.35</v>
      </c>
      <c r="AG143" s="18">
        <f>0.6-AQ143</f>
        <v>0.55000000000000004</v>
      </c>
      <c r="AH143" s="9">
        <v>2.78</v>
      </c>
      <c r="AI143" s="43">
        <v>586</v>
      </c>
      <c r="AJ143" s="21">
        <f t="shared" si="99"/>
        <v>0.14000000000000001</v>
      </c>
      <c r="AK143" s="9">
        <v>2.09</v>
      </c>
      <c r="AL143" s="9">
        <v>0.18</v>
      </c>
      <c r="AM143" s="9">
        <v>0.14000000000000001</v>
      </c>
      <c r="AN143" s="13"/>
      <c r="AO143" s="13">
        <v>422.4</v>
      </c>
      <c r="AP143" s="13">
        <f t="shared" si="123"/>
        <v>5.58</v>
      </c>
      <c r="AQ143" s="18">
        <f t="shared" si="98"/>
        <v>0.05</v>
      </c>
      <c r="AR143" s="9">
        <v>0.54</v>
      </c>
      <c r="AS143" s="9">
        <v>0.33</v>
      </c>
      <c r="AT143" s="9">
        <v>7.0000000000000007E-2</v>
      </c>
      <c r="AU143" s="9">
        <v>3.4</v>
      </c>
      <c r="AV143" s="9">
        <v>0.17</v>
      </c>
      <c r="AW143" s="9">
        <f>1.48+0.27+0.3</f>
        <v>2.0499999999999998</v>
      </c>
      <c r="AX143" s="9">
        <f>2.07+0.4</f>
        <v>2.4700000000000002</v>
      </c>
      <c r="AY143" s="126">
        <f t="shared" si="124"/>
        <v>24.58</v>
      </c>
      <c r="AZ143" s="127">
        <v>3722.5</v>
      </c>
      <c r="BA143" s="127">
        <v>401</v>
      </c>
      <c r="BB143" s="127">
        <f t="shared" si="84"/>
        <v>4123.5</v>
      </c>
      <c r="BC143" s="127">
        <v>24.58</v>
      </c>
      <c r="BD143" s="13">
        <f t="shared" si="122"/>
        <v>0</v>
      </c>
      <c r="BE143" s="9">
        <f t="shared" si="100"/>
        <v>101700.24</v>
      </c>
      <c r="BF143" s="9">
        <v>24.58</v>
      </c>
      <c r="BG143" s="10">
        <v>44378</v>
      </c>
      <c r="BH143" s="9">
        <f t="shared" si="101"/>
        <v>8275.0400000000009</v>
      </c>
      <c r="BI143" s="9">
        <f t="shared" si="102"/>
        <v>21804.73</v>
      </c>
      <c r="BJ143" s="9">
        <f t="shared" si="103"/>
        <v>9723.17</v>
      </c>
      <c r="BK143" s="9">
        <f t="shared" si="104"/>
        <v>2275.64</v>
      </c>
      <c r="BL143" s="9">
        <f t="shared" si="105"/>
        <v>11502.31</v>
      </c>
      <c r="BM143" s="9">
        <f t="shared" si="106"/>
        <v>579.25</v>
      </c>
      <c r="BN143" s="9">
        <f t="shared" si="107"/>
        <v>8647.42</v>
      </c>
      <c r="BO143" s="9">
        <f t="shared" si="108"/>
        <v>744.75</v>
      </c>
      <c r="BP143" s="9">
        <f t="shared" si="109"/>
        <v>579.25</v>
      </c>
      <c r="BQ143" s="9">
        <f t="shared" si="110"/>
        <v>206.88</v>
      </c>
      <c r="BR143" s="9">
        <f t="shared" si="111"/>
        <v>2234.2600000000002</v>
      </c>
      <c r="BS143" s="9">
        <f t="shared" si="112"/>
        <v>1365.38</v>
      </c>
      <c r="BT143" s="9">
        <f t="shared" si="113"/>
        <v>289.63</v>
      </c>
      <c r="BU143" s="9">
        <f t="shared" si="114"/>
        <v>14067.57</v>
      </c>
      <c r="BV143" s="9">
        <f t="shared" si="115"/>
        <v>703.38</v>
      </c>
      <c r="BW143" s="9">
        <f t="shared" si="116"/>
        <v>8481.92</v>
      </c>
      <c r="BX143" s="9">
        <f t="shared" si="117"/>
        <v>10219.67</v>
      </c>
      <c r="BY143" s="17">
        <f t="shared" si="118"/>
        <v>101700.25</v>
      </c>
      <c r="BZ143" s="17">
        <v>2.74</v>
      </c>
      <c r="CA143" s="17">
        <v>0.08</v>
      </c>
      <c r="CB143" s="17">
        <v>0.49</v>
      </c>
      <c r="CC143" s="27">
        <v>0.08</v>
      </c>
      <c r="CD143" s="29">
        <v>6.33</v>
      </c>
      <c r="CE143" s="9">
        <v>4749.2</v>
      </c>
      <c r="CF143" s="9"/>
      <c r="CG143" s="9">
        <v>0</v>
      </c>
      <c r="CH143" s="9">
        <v>168.36</v>
      </c>
      <c r="CI143" s="9">
        <f t="shared" si="125"/>
        <v>1.1499999999999999</v>
      </c>
      <c r="CJ143" s="9">
        <f t="shared" si="126"/>
        <v>0</v>
      </c>
      <c r="CK143" s="13">
        <f t="shared" si="127"/>
        <v>0</v>
      </c>
      <c r="CL143" s="13">
        <f t="shared" si="128"/>
        <v>0.04</v>
      </c>
      <c r="CM143" s="13">
        <v>91843.67</v>
      </c>
      <c r="CN143" s="13">
        <v>4932.2</v>
      </c>
      <c r="CO143" s="13">
        <v>16515.41</v>
      </c>
      <c r="CP143" s="13">
        <v>0</v>
      </c>
      <c r="CQ143" s="13">
        <v>149.4</v>
      </c>
      <c r="CR143" s="13">
        <v>97995.03</v>
      </c>
      <c r="CS143" s="13">
        <v>5151.3999999999996</v>
      </c>
      <c r="CT143" s="13">
        <v>13030.99</v>
      </c>
      <c r="CU143" s="13">
        <v>300.47000000000003</v>
      </c>
      <c r="CV143" s="13">
        <v>312.05</v>
      </c>
      <c r="CW143" s="202">
        <v>3607</v>
      </c>
      <c r="CX143" s="200">
        <v>2069</v>
      </c>
      <c r="CY143" s="202"/>
      <c r="CZ143" s="202"/>
      <c r="DA143" s="202"/>
      <c r="DB143" s="202"/>
      <c r="DC143" s="202"/>
      <c r="DD143" s="461"/>
      <c r="DE143" s="256"/>
      <c r="DF143" s="202"/>
      <c r="DG143" s="202"/>
      <c r="DH143" s="202"/>
      <c r="DI143" s="204">
        <v>586</v>
      </c>
      <c r="DJ143" s="202">
        <v>8600</v>
      </c>
      <c r="DK143" s="202"/>
      <c r="DL143" s="202"/>
      <c r="DM143" s="202">
        <v>30434</v>
      </c>
      <c r="DN143" s="202">
        <v>3400</v>
      </c>
      <c r="DO143" s="202">
        <v>2</v>
      </c>
      <c r="DP143" s="202"/>
      <c r="DQ143" s="202"/>
      <c r="DR143" s="202"/>
      <c r="DS143" s="202"/>
      <c r="DT143" s="254"/>
      <c r="DU143" s="254"/>
      <c r="DV143" s="202"/>
      <c r="DW143" s="202"/>
      <c r="DX143" s="202">
        <v>19155</v>
      </c>
      <c r="DY143" s="107"/>
      <c r="DZ143" s="107">
        <v>577</v>
      </c>
      <c r="EA143" s="202"/>
      <c r="EB143" s="202"/>
      <c r="EC143" s="202"/>
      <c r="ED143" s="202"/>
      <c r="EE143" s="202"/>
      <c r="EF143" s="229"/>
      <c r="EG143" s="202"/>
      <c r="EH143" s="202"/>
      <c r="EI143" s="202"/>
      <c r="EJ143" s="202"/>
      <c r="EK143" s="202">
        <v>5465.41</v>
      </c>
      <c r="EL143" s="202">
        <v>274.39</v>
      </c>
      <c r="EM143" s="202">
        <v>0</v>
      </c>
      <c r="EN143" s="202">
        <v>168.36</v>
      </c>
      <c r="EO143" s="202">
        <v>5465.41</v>
      </c>
      <c r="EP143" s="202"/>
      <c r="EQ143" s="202">
        <v>0</v>
      </c>
      <c r="ER143" s="202">
        <v>168.36</v>
      </c>
      <c r="ES143" s="202"/>
      <c r="ET143" s="202"/>
      <c r="EU143" s="202"/>
      <c r="EV143" s="214">
        <v>-9.81</v>
      </c>
      <c r="EW143" s="240">
        <f t="shared" si="119"/>
        <v>9049.42</v>
      </c>
      <c r="EX143" s="209">
        <f t="shared" si="120"/>
        <v>5889.84</v>
      </c>
    </row>
    <row r="144" spans="1:154" ht="12.75" customHeight="1" x14ac:dyDescent="0.2">
      <c r="A144" s="45" t="s">
        <v>211</v>
      </c>
      <c r="B144" s="123" t="s">
        <v>184</v>
      </c>
      <c r="C144" s="124" t="s">
        <v>17</v>
      </c>
      <c r="D144" s="125" t="s">
        <v>644</v>
      </c>
      <c r="E144" s="124" t="s">
        <v>9</v>
      </c>
      <c r="F144" s="11">
        <v>9</v>
      </c>
      <c r="G144" s="11">
        <v>1</v>
      </c>
      <c r="H144" s="11">
        <v>171</v>
      </c>
      <c r="I144" s="11">
        <v>171</v>
      </c>
      <c r="J144" s="11">
        <v>172</v>
      </c>
      <c r="K144" s="11">
        <v>208</v>
      </c>
      <c r="L144" s="11">
        <v>1</v>
      </c>
      <c r="M144" s="84">
        <v>875</v>
      </c>
      <c r="N144" s="84">
        <v>887</v>
      </c>
      <c r="O144" s="84">
        <v>0</v>
      </c>
      <c r="P144" s="139">
        <v>875</v>
      </c>
      <c r="Q144" s="139">
        <v>887</v>
      </c>
      <c r="R144" s="139">
        <v>0</v>
      </c>
      <c r="S144" s="133">
        <f t="shared" si="121"/>
        <v>1762</v>
      </c>
      <c r="T144" s="139">
        <v>875</v>
      </c>
      <c r="U144" s="130">
        <v>2.44</v>
      </c>
      <c r="V144" s="131">
        <v>1.9800000000000002E-2</v>
      </c>
      <c r="W144" s="131">
        <v>1.9800000000000002E-2</v>
      </c>
      <c r="X144" s="132">
        <v>1.32E-3</v>
      </c>
      <c r="Y144" s="131">
        <v>3.9699999999999999E-2</v>
      </c>
      <c r="Z144" s="29">
        <v>4365.26</v>
      </c>
      <c r="AA144" s="34"/>
      <c r="AB144" s="9">
        <f t="shared" si="83"/>
        <v>4365.26</v>
      </c>
      <c r="AC144" s="9">
        <f t="shared" si="89"/>
        <v>27632.1</v>
      </c>
      <c r="AD144" s="9">
        <v>2.6</v>
      </c>
      <c r="AE144" s="9">
        <v>3.58</v>
      </c>
      <c r="AF144" s="21">
        <f>2.42-AJ144</f>
        <v>2.2200000000000002</v>
      </c>
      <c r="AG144" s="18">
        <f>0.66-AQ144</f>
        <v>0.55000000000000004</v>
      </c>
      <c r="AH144" s="9">
        <v>2.77</v>
      </c>
      <c r="AI144" s="43">
        <v>852</v>
      </c>
      <c r="AJ144" s="21">
        <f t="shared" si="99"/>
        <v>0.2</v>
      </c>
      <c r="AK144" s="9">
        <v>0.99</v>
      </c>
      <c r="AL144" s="9">
        <v>0.09</v>
      </c>
      <c r="AM144" s="9">
        <v>0.13</v>
      </c>
      <c r="AN144" s="13"/>
      <c r="AO144" s="13">
        <v>1014.6</v>
      </c>
      <c r="AP144" s="13">
        <f t="shared" si="123"/>
        <v>5.58</v>
      </c>
      <c r="AQ144" s="18">
        <f t="shared" si="98"/>
        <v>0.11</v>
      </c>
      <c r="AR144" s="9">
        <v>1.27</v>
      </c>
      <c r="AS144" s="9">
        <v>0.31</v>
      </c>
      <c r="AT144" s="9">
        <v>7.0000000000000007E-2</v>
      </c>
      <c r="AU144" s="9">
        <v>3.53</v>
      </c>
      <c r="AV144" s="9">
        <v>0.16</v>
      </c>
      <c r="AW144" s="9">
        <f>1.34+0.55+0.3</f>
        <v>2.19</v>
      </c>
      <c r="AX144" s="9">
        <f>1.86+0.42</f>
        <v>2.2799999999999998</v>
      </c>
      <c r="AY144" s="126">
        <f t="shared" si="124"/>
        <v>23.05</v>
      </c>
      <c r="AZ144" s="127"/>
      <c r="BA144" s="127"/>
      <c r="BB144" s="127"/>
      <c r="BC144" s="127">
        <v>23.05</v>
      </c>
      <c r="BD144" s="13">
        <f t="shared" si="122"/>
        <v>0</v>
      </c>
      <c r="BE144" s="9">
        <f t="shared" si="100"/>
        <v>100619.24</v>
      </c>
      <c r="BF144" s="9">
        <v>23.05</v>
      </c>
      <c r="BG144" s="10">
        <v>44440</v>
      </c>
      <c r="BH144" s="9">
        <f t="shared" si="101"/>
        <v>11349.68</v>
      </c>
      <c r="BI144" s="9">
        <f t="shared" si="102"/>
        <v>15627.63</v>
      </c>
      <c r="BJ144" s="9">
        <f t="shared" si="103"/>
        <v>9690.8799999999992</v>
      </c>
      <c r="BK144" s="9">
        <f t="shared" si="104"/>
        <v>2400.89</v>
      </c>
      <c r="BL144" s="9">
        <f t="shared" si="105"/>
        <v>12091.77</v>
      </c>
      <c r="BM144" s="9">
        <f t="shared" si="106"/>
        <v>873.05</v>
      </c>
      <c r="BN144" s="9">
        <f t="shared" si="107"/>
        <v>4321.6099999999997</v>
      </c>
      <c r="BO144" s="9">
        <f t="shared" si="108"/>
        <v>392.87</v>
      </c>
      <c r="BP144" s="9">
        <f t="shared" si="109"/>
        <v>567.48</v>
      </c>
      <c r="BQ144" s="9">
        <f t="shared" si="110"/>
        <v>480.18</v>
      </c>
      <c r="BR144" s="9">
        <f t="shared" si="111"/>
        <v>5543.88</v>
      </c>
      <c r="BS144" s="9">
        <f t="shared" si="112"/>
        <v>1353.23</v>
      </c>
      <c r="BT144" s="9">
        <f t="shared" si="113"/>
        <v>305.57</v>
      </c>
      <c r="BU144" s="9">
        <f t="shared" si="114"/>
        <v>15409.37</v>
      </c>
      <c r="BV144" s="9">
        <f t="shared" si="115"/>
        <v>698.44</v>
      </c>
      <c r="BW144" s="9">
        <f t="shared" si="116"/>
        <v>9559.92</v>
      </c>
      <c r="BX144" s="9">
        <f t="shared" si="117"/>
        <v>9952.7900000000009</v>
      </c>
      <c r="BY144" s="17">
        <f t="shared" si="118"/>
        <v>100619.24</v>
      </c>
      <c r="BZ144" s="17">
        <v>3.77</v>
      </c>
      <c r="CA144" s="17">
        <v>0.11</v>
      </c>
      <c r="CB144" s="17">
        <v>0.68</v>
      </c>
      <c r="CC144" s="27">
        <v>0.11</v>
      </c>
      <c r="CD144" s="29">
        <v>6.33</v>
      </c>
      <c r="CE144" s="9"/>
      <c r="CF144" s="9"/>
      <c r="CG144" s="9"/>
      <c r="CH144" s="9"/>
      <c r="CI144" s="9"/>
      <c r="CJ144" s="9"/>
      <c r="CK144" s="13"/>
      <c r="CL144" s="13"/>
      <c r="CM144" s="13">
        <v>100619.75</v>
      </c>
      <c r="CN144" s="13">
        <v>1920.72</v>
      </c>
      <c r="CO144" s="13">
        <v>0</v>
      </c>
      <c r="CP144" s="13">
        <v>0</v>
      </c>
      <c r="CQ144" s="13">
        <v>0</v>
      </c>
      <c r="CR144" s="13">
        <v>105361.95</v>
      </c>
      <c r="CS144" s="13">
        <v>6497.92</v>
      </c>
      <c r="CT144" s="13">
        <v>928.17</v>
      </c>
      <c r="CU144" s="13">
        <v>150.27000000000001</v>
      </c>
      <c r="CV144" s="13">
        <v>150.28</v>
      </c>
      <c r="CW144" s="202">
        <v>3805</v>
      </c>
      <c r="CX144" s="200">
        <v>2183</v>
      </c>
      <c r="CY144" s="202"/>
      <c r="CZ144" s="202"/>
      <c r="DA144" s="202"/>
      <c r="DB144" s="202"/>
      <c r="DC144" s="202"/>
      <c r="DD144" s="461"/>
      <c r="DE144" s="256"/>
      <c r="DF144" s="202"/>
      <c r="DG144" s="202"/>
      <c r="DH144" s="202"/>
      <c r="DI144" s="204">
        <v>852</v>
      </c>
      <c r="DJ144" s="202">
        <v>4300</v>
      </c>
      <c r="DK144" s="202"/>
      <c r="DL144" s="202"/>
      <c r="DM144" s="202">
        <v>27406</v>
      </c>
      <c r="DN144" s="202">
        <v>3400</v>
      </c>
      <c r="DO144" s="202">
        <v>2</v>
      </c>
      <c r="DP144" s="202"/>
      <c r="DQ144" s="202"/>
      <c r="DR144" s="202"/>
      <c r="DS144" s="202"/>
      <c r="DT144" s="254"/>
      <c r="DU144" s="254"/>
      <c r="DV144" s="202"/>
      <c r="DW144" s="202"/>
      <c r="DX144" s="202">
        <v>20140</v>
      </c>
      <c r="DY144" s="107"/>
      <c r="DZ144" s="107"/>
      <c r="EA144" s="202"/>
      <c r="EB144" s="202"/>
      <c r="EC144" s="202"/>
      <c r="ED144" s="202"/>
      <c r="EE144" s="202"/>
      <c r="EF144" s="229"/>
      <c r="EG144" s="202"/>
      <c r="EH144" s="202"/>
      <c r="EI144" s="202"/>
      <c r="EJ144" s="202"/>
      <c r="EK144" s="202">
        <v>1939.28</v>
      </c>
      <c r="EL144" s="202">
        <v>0</v>
      </c>
      <c r="EM144" s="202">
        <v>0</v>
      </c>
      <c r="EN144" s="202">
        <v>0</v>
      </c>
      <c r="EO144" s="202">
        <v>1939.28</v>
      </c>
      <c r="EP144" s="202"/>
      <c r="EQ144" s="202">
        <v>0</v>
      </c>
      <c r="ER144" s="202">
        <v>0</v>
      </c>
      <c r="ES144" s="202"/>
      <c r="ET144" s="202"/>
      <c r="EU144" s="202"/>
      <c r="EV144" s="214">
        <v>-32.590000000000003</v>
      </c>
      <c r="EW144" s="240">
        <f t="shared" si="119"/>
        <v>9547.52</v>
      </c>
      <c r="EX144" s="209">
        <f t="shared" si="120"/>
        <v>6214.03</v>
      </c>
    </row>
    <row r="145" spans="1:154" ht="12.75" customHeight="1" x14ac:dyDescent="0.2">
      <c r="A145" s="45" t="s">
        <v>212</v>
      </c>
      <c r="B145" s="123" t="s">
        <v>184</v>
      </c>
      <c r="C145" s="124" t="s">
        <v>17</v>
      </c>
      <c r="D145" s="125" t="s">
        <v>645</v>
      </c>
      <c r="E145" s="124" t="s">
        <v>734</v>
      </c>
      <c r="F145" s="11">
        <v>9</v>
      </c>
      <c r="G145" s="11">
        <v>1</v>
      </c>
      <c r="H145" s="11">
        <v>171</v>
      </c>
      <c r="I145" s="11">
        <v>171</v>
      </c>
      <c r="J145" s="11">
        <v>206</v>
      </c>
      <c r="K145" s="11">
        <v>224</v>
      </c>
      <c r="L145" s="11">
        <v>1</v>
      </c>
      <c r="M145" s="84">
        <v>875</v>
      </c>
      <c r="N145" s="84">
        <v>887</v>
      </c>
      <c r="O145" s="84">
        <v>0</v>
      </c>
      <c r="P145" s="135">
        <v>874.8</v>
      </c>
      <c r="Q145" s="135">
        <v>715.53</v>
      </c>
      <c r="R145" s="133">
        <v>0</v>
      </c>
      <c r="S145" s="133">
        <f t="shared" si="121"/>
        <v>1590.33</v>
      </c>
      <c r="T145" s="134">
        <v>875</v>
      </c>
      <c r="U145" s="130">
        <v>2.44</v>
      </c>
      <c r="V145" s="131">
        <v>1.9800000000000002E-2</v>
      </c>
      <c r="W145" s="131">
        <v>1.9800000000000002E-2</v>
      </c>
      <c r="X145" s="132">
        <v>1.32E-3</v>
      </c>
      <c r="Y145" s="131">
        <v>3.9699999999999999E-2</v>
      </c>
      <c r="Z145" s="29">
        <v>4364.38</v>
      </c>
      <c r="AA145" s="34"/>
      <c r="AB145" s="9">
        <f t="shared" si="83"/>
        <v>4364.38</v>
      </c>
      <c r="AC145" s="9">
        <f t="shared" si="89"/>
        <v>27626.53</v>
      </c>
      <c r="AD145" s="9">
        <v>2.71</v>
      </c>
      <c r="AE145" s="9">
        <v>3.32</v>
      </c>
      <c r="AF145" s="21">
        <f>2.41-AJ145</f>
        <v>2.21</v>
      </c>
      <c r="AG145" s="18">
        <f>0.66-AQ145</f>
        <v>0.55000000000000004</v>
      </c>
      <c r="AH145" s="9">
        <v>2.77</v>
      </c>
      <c r="AI145" s="43">
        <v>852</v>
      </c>
      <c r="AJ145" s="21">
        <f t="shared" si="99"/>
        <v>0.2</v>
      </c>
      <c r="AK145" s="9">
        <v>0.99</v>
      </c>
      <c r="AL145" s="9">
        <v>0.27</v>
      </c>
      <c r="AM145" s="9">
        <v>0.22</v>
      </c>
      <c r="AN145" s="13"/>
      <c r="AO145" s="13">
        <v>1014.6</v>
      </c>
      <c r="AP145" s="13">
        <f t="shared" si="123"/>
        <v>5.58</v>
      </c>
      <c r="AQ145" s="18">
        <f t="shared" si="98"/>
        <v>0.11</v>
      </c>
      <c r="AR145" s="9">
        <v>1.27</v>
      </c>
      <c r="AS145" s="9">
        <v>0.31</v>
      </c>
      <c r="AT145" s="9">
        <v>7.0000000000000007E-2</v>
      </c>
      <c r="AU145" s="9">
        <v>3.52</v>
      </c>
      <c r="AV145" s="9">
        <v>0.16</v>
      </c>
      <c r="AW145" s="9">
        <f>1.35+0.53+0.31</f>
        <v>2.19</v>
      </c>
      <c r="AX145" s="9">
        <f>1.89+0.42</f>
        <v>2.31</v>
      </c>
      <c r="AY145" s="126">
        <f t="shared" si="124"/>
        <v>23.18</v>
      </c>
      <c r="AZ145" s="127"/>
      <c r="BA145" s="127"/>
      <c r="BB145" s="127"/>
      <c r="BC145" s="127">
        <v>23.18</v>
      </c>
      <c r="BD145" s="13">
        <f t="shared" si="122"/>
        <v>0</v>
      </c>
      <c r="BE145" s="9">
        <f t="shared" si="100"/>
        <v>101166.33</v>
      </c>
      <c r="BF145" s="9">
        <v>23.18</v>
      </c>
      <c r="BG145" s="10">
        <v>44440</v>
      </c>
      <c r="BH145" s="9">
        <f t="shared" si="101"/>
        <v>11827.47</v>
      </c>
      <c r="BI145" s="9">
        <f t="shared" si="102"/>
        <v>14489.74</v>
      </c>
      <c r="BJ145" s="9">
        <f t="shared" si="103"/>
        <v>9645.2800000000007</v>
      </c>
      <c r="BK145" s="9">
        <f t="shared" si="104"/>
        <v>2400.41</v>
      </c>
      <c r="BL145" s="9">
        <f t="shared" si="105"/>
        <v>12089.33</v>
      </c>
      <c r="BM145" s="9">
        <f t="shared" si="106"/>
        <v>872.88</v>
      </c>
      <c r="BN145" s="9">
        <f t="shared" si="107"/>
        <v>4320.74</v>
      </c>
      <c r="BO145" s="9">
        <f t="shared" si="108"/>
        <v>1178.3800000000001</v>
      </c>
      <c r="BP145" s="9">
        <f t="shared" si="109"/>
        <v>960.16</v>
      </c>
      <c r="BQ145" s="9">
        <f t="shared" si="110"/>
        <v>480.08</v>
      </c>
      <c r="BR145" s="9">
        <f t="shared" si="111"/>
        <v>5542.76</v>
      </c>
      <c r="BS145" s="9">
        <f t="shared" si="112"/>
        <v>1352.96</v>
      </c>
      <c r="BT145" s="9">
        <f t="shared" si="113"/>
        <v>305.51</v>
      </c>
      <c r="BU145" s="9">
        <f t="shared" si="114"/>
        <v>15362.62</v>
      </c>
      <c r="BV145" s="9">
        <f t="shared" si="115"/>
        <v>698.3</v>
      </c>
      <c r="BW145" s="9">
        <f t="shared" si="116"/>
        <v>9557.99</v>
      </c>
      <c r="BX145" s="9">
        <f t="shared" si="117"/>
        <v>10081.719999999999</v>
      </c>
      <c r="BY145" s="17">
        <f t="shared" si="118"/>
        <v>101166.33</v>
      </c>
      <c r="BZ145" s="17">
        <v>3.78</v>
      </c>
      <c r="CA145" s="17">
        <v>0.11</v>
      </c>
      <c r="CB145" s="17">
        <v>0.68</v>
      </c>
      <c r="CC145" s="27">
        <v>0.11</v>
      </c>
      <c r="CD145" s="29">
        <v>6.33</v>
      </c>
      <c r="CE145" s="9"/>
      <c r="CF145" s="9"/>
      <c r="CG145" s="9"/>
      <c r="CH145" s="9"/>
      <c r="CI145" s="9"/>
      <c r="CJ145" s="9"/>
      <c r="CK145" s="13"/>
      <c r="CL145" s="13"/>
      <c r="CM145" s="13">
        <v>101166.2</v>
      </c>
      <c r="CN145" s="13">
        <v>2836.24</v>
      </c>
      <c r="CO145" s="13">
        <v>0</v>
      </c>
      <c r="CP145" s="13">
        <v>1615.19</v>
      </c>
      <c r="CQ145" s="13">
        <v>1091.71</v>
      </c>
      <c r="CR145" s="13">
        <v>81756.56</v>
      </c>
      <c r="CS145" s="13">
        <v>3886.27</v>
      </c>
      <c r="CT145" s="13">
        <v>504.16</v>
      </c>
      <c r="CU145" s="13">
        <v>615.67999999999995</v>
      </c>
      <c r="CV145" s="13">
        <v>505.06</v>
      </c>
      <c r="CW145" s="202">
        <v>3802</v>
      </c>
      <c r="CX145" s="200">
        <v>2181</v>
      </c>
      <c r="CY145" s="202"/>
      <c r="CZ145" s="202"/>
      <c r="DA145" s="202"/>
      <c r="DB145" s="202"/>
      <c r="DC145" s="202"/>
      <c r="DD145" s="461"/>
      <c r="DE145" s="256"/>
      <c r="DF145" s="202"/>
      <c r="DG145" s="202"/>
      <c r="DH145" s="202"/>
      <c r="DI145" s="204">
        <v>852</v>
      </c>
      <c r="DJ145" s="202">
        <v>4300</v>
      </c>
      <c r="DK145" s="202"/>
      <c r="DL145" s="202"/>
      <c r="DM145" s="202">
        <v>26705</v>
      </c>
      <c r="DN145" s="202">
        <v>3400</v>
      </c>
      <c r="DO145" s="202">
        <v>2</v>
      </c>
      <c r="DP145" s="202"/>
      <c r="DQ145" s="202"/>
      <c r="DR145" s="202"/>
      <c r="DS145" s="202"/>
      <c r="DT145" s="254"/>
      <c r="DU145" s="254"/>
      <c r="DV145" s="202"/>
      <c r="DW145" s="202"/>
      <c r="DX145" s="202">
        <v>20052</v>
      </c>
      <c r="DY145" s="107">
        <v>1365</v>
      </c>
      <c r="DZ145" s="107"/>
      <c r="EA145" s="202">
        <f>2302.46+2302.46</f>
        <v>4604.92</v>
      </c>
      <c r="EB145" s="202"/>
      <c r="EC145" s="202"/>
      <c r="ED145" s="202"/>
      <c r="EE145" s="202"/>
      <c r="EF145" s="229"/>
      <c r="EG145" s="202"/>
      <c r="EH145" s="202"/>
      <c r="EI145" s="202"/>
      <c r="EJ145" s="202"/>
      <c r="EK145" s="202">
        <v>2816.74</v>
      </c>
      <c r="EL145" s="202">
        <v>0</v>
      </c>
      <c r="EM145" s="202">
        <v>1621.44</v>
      </c>
      <c r="EN145" s="202">
        <v>1093.99</v>
      </c>
      <c r="EO145" s="202">
        <v>2816.74</v>
      </c>
      <c r="EP145" s="202"/>
      <c r="EQ145" s="202">
        <v>1621.44</v>
      </c>
      <c r="ER145" s="202">
        <v>1093.99</v>
      </c>
      <c r="ES145" s="202"/>
      <c r="ET145" s="202"/>
      <c r="EU145" s="202"/>
      <c r="EV145" s="214">
        <v>-15.26</v>
      </c>
      <c r="EW145" s="240">
        <f t="shared" si="119"/>
        <v>9545.6</v>
      </c>
      <c r="EX145" s="209">
        <f t="shared" si="120"/>
        <v>6212.78</v>
      </c>
    </row>
    <row r="146" spans="1:154" ht="12.75" customHeight="1" x14ac:dyDescent="0.2">
      <c r="A146" s="45" t="s">
        <v>213</v>
      </c>
      <c r="B146" s="123" t="s">
        <v>184</v>
      </c>
      <c r="C146" s="124" t="s">
        <v>21</v>
      </c>
      <c r="D146" s="125" t="s">
        <v>459</v>
      </c>
      <c r="E146" s="124" t="s">
        <v>12</v>
      </c>
      <c r="F146" s="11">
        <v>9</v>
      </c>
      <c r="G146" s="11">
        <v>2</v>
      </c>
      <c r="H146" s="11">
        <v>72</v>
      </c>
      <c r="I146" s="11">
        <v>72</v>
      </c>
      <c r="J146" s="11">
        <v>167</v>
      </c>
      <c r="K146" s="11">
        <v>211</v>
      </c>
      <c r="L146" s="11">
        <v>2</v>
      </c>
      <c r="M146" s="84">
        <v>601</v>
      </c>
      <c r="N146" s="84">
        <v>610</v>
      </c>
      <c r="O146" s="84">
        <v>0</v>
      </c>
      <c r="P146" s="135">
        <v>646.4</v>
      </c>
      <c r="Q146" s="135">
        <v>473.7</v>
      </c>
      <c r="R146" s="135">
        <v>0</v>
      </c>
      <c r="S146" s="133">
        <f t="shared" si="121"/>
        <v>1120.0999999999999</v>
      </c>
      <c r="T146" s="135">
        <v>646.4</v>
      </c>
      <c r="U146" s="130">
        <v>2.44</v>
      </c>
      <c r="V146" s="131">
        <v>1.9800000000000002E-2</v>
      </c>
      <c r="W146" s="131">
        <v>1.9800000000000002E-2</v>
      </c>
      <c r="X146" s="132">
        <v>1.32E-3</v>
      </c>
      <c r="Y146" s="131">
        <v>3.9699999999999999E-2</v>
      </c>
      <c r="Z146" s="29">
        <v>3794.62</v>
      </c>
      <c r="AA146" s="34">
        <v>180.5</v>
      </c>
      <c r="AB146" s="9">
        <f t="shared" si="83"/>
        <v>3975.12</v>
      </c>
      <c r="AC146" s="9">
        <f t="shared" si="89"/>
        <v>25162.51</v>
      </c>
      <c r="AD146" s="9">
        <v>2.08</v>
      </c>
      <c r="AE146" s="9">
        <v>3.73</v>
      </c>
      <c r="AF146" s="21">
        <f>2.44-AJ146</f>
        <v>2.29</v>
      </c>
      <c r="AG146" s="18">
        <f>0.61-AQ146</f>
        <v>0.56000000000000005</v>
      </c>
      <c r="AH146" s="9">
        <v>2.78</v>
      </c>
      <c r="AI146" s="43">
        <v>586</v>
      </c>
      <c r="AJ146" s="21">
        <f t="shared" si="99"/>
        <v>0.15</v>
      </c>
      <c r="AK146" s="9">
        <v>2.17</v>
      </c>
      <c r="AL146" s="9">
        <v>0.19</v>
      </c>
      <c r="AM146" s="9">
        <v>0.15</v>
      </c>
      <c r="AN146" s="13"/>
      <c r="AO146" s="13">
        <v>422.4</v>
      </c>
      <c r="AP146" s="13">
        <f t="shared" si="123"/>
        <v>5.58</v>
      </c>
      <c r="AQ146" s="18">
        <f t="shared" si="98"/>
        <v>0.05</v>
      </c>
      <c r="AR146" s="9">
        <v>0.56999999999999995</v>
      </c>
      <c r="AS146" s="9">
        <v>0.34</v>
      </c>
      <c r="AT146" s="9">
        <v>7.0000000000000007E-2</v>
      </c>
      <c r="AU146" s="9">
        <v>4.7699999999999996</v>
      </c>
      <c r="AV146" s="9">
        <v>0.16</v>
      </c>
      <c r="AW146" s="9">
        <f>1.36+0.27+0.42</f>
        <v>2.0499999999999998</v>
      </c>
      <c r="AX146" s="9">
        <f>1.91+0.56</f>
        <v>2.4700000000000002</v>
      </c>
      <c r="AY146" s="126">
        <f t="shared" si="124"/>
        <v>24.58</v>
      </c>
      <c r="AZ146" s="127">
        <v>3780.1</v>
      </c>
      <c r="BA146" s="127">
        <v>180.5</v>
      </c>
      <c r="BB146" s="127">
        <f t="shared" si="84"/>
        <v>3960.6</v>
      </c>
      <c r="BC146" s="127">
        <v>24.58</v>
      </c>
      <c r="BD146" s="13">
        <f t="shared" si="122"/>
        <v>0</v>
      </c>
      <c r="BE146" s="9">
        <f t="shared" si="100"/>
        <v>97708.45</v>
      </c>
      <c r="BF146" s="9">
        <v>24.58</v>
      </c>
      <c r="BG146" s="10">
        <v>44378</v>
      </c>
      <c r="BH146" s="9">
        <f t="shared" si="101"/>
        <v>8268.25</v>
      </c>
      <c r="BI146" s="9">
        <f t="shared" si="102"/>
        <v>14827.2</v>
      </c>
      <c r="BJ146" s="9">
        <f t="shared" si="103"/>
        <v>9103.02</v>
      </c>
      <c r="BK146" s="9">
        <f t="shared" si="104"/>
        <v>2226.0700000000002</v>
      </c>
      <c r="BL146" s="9">
        <f t="shared" si="105"/>
        <v>11050.83</v>
      </c>
      <c r="BM146" s="9">
        <f t="shared" si="106"/>
        <v>596.27</v>
      </c>
      <c r="BN146" s="9">
        <f t="shared" si="107"/>
        <v>8626.01</v>
      </c>
      <c r="BO146" s="9">
        <f t="shared" si="108"/>
        <v>755.27</v>
      </c>
      <c r="BP146" s="9">
        <f t="shared" si="109"/>
        <v>596.27</v>
      </c>
      <c r="BQ146" s="9">
        <f t="shared" si="110"/>
        <v>198.76</v>
      </c>
      <c r="BR146" s="9">
        <f t="shared" si="111"/>
        <v>2265.8200000000002</v>
      </c>
      <c r="BS146" s="9">
        <f t="shared" si="112"/>
        <v>1351.54</v>
      </c>
      <c r="BT146" s="9">
        <f t="shared" si="113"/>
        <v>278.26</v>
      </c>
      <c r="BU146" s="9">
        <f t="shared" si="114"/>
        <v>18961.32</v>
      </c>
      <c r="BV146" s="9">
        <f t="shared" si="115"/>
        <v>636.02</v>
      </c>
      <c r="BW146" s="9">
        <f t="shared" si="116"/>
        <v>8149</v>
      </c>
      <c r="BX146" s="9">
        <f t="shared" si="117"/>
        <v>9818.5499999999993</v>
      </c>
      <c r="BY146" s="17">
        <f t="shared" si="118"/>
        <v>97708.46</v>
      </c>
      <c r="BZ146" s="17">
        <v>2.54</v>
      </c>
      <c r="CA146" s="17">
        <v>0.08</v>
      </c>
      <c r="CB146" s="17">
        <v>0.49</v>
      </c>
      <c r="CC146" s="27">
        <v>0.08</v>
      </c>
      <c r="CD146" s="29">
        <v>6.33</v>
      </c>
      <c r="CE146" s="9">
        <v>27454.09</v>
      </c>
      <c r="CF146" s="9"/>
      <c r="CG146" s="9">
        <v>378.34</v>
      </c>
      <c r="CH146" s="9">
        <v>393.3</v>
      </c>
      <c r="CI146" s="9">
        <f>IF(CE146&gt;0,CE146/AB146,0)</f>
        <v>6.91</v>
      </c>
      <c r="CJ146" s="9">
        <f>IF(CF146&gt;0,CF146/AB146,0)</f>
        <v>0</v>
      </c>
      <c r="CK146" s="13">
        <f>IF(CG146&gt;0,CG146/AB146,0)</f>
        <v>0.1</v>
      </c>
      <c r="CL146" s="13">
        <f>IF(CH146&gt;0,CH146/AB146,0)</f>
        <v>0.1</v>
      </c>
      <c r="CM146" s="13">
        <v>93271.74</v>
      </c>
      <c r="CN146" s="13">
        <v>17341.580000000002</v>
      </c>
      <c r="CO146" s="13">
        <v>19163.04</v>
      </c>
      <c r="CP146" s="13">
        <v>0</v>
      </c>
      <c r="CQ146" s="13">
        <v>189.53</v>
      </c>
      <c r="CR146" s="13">
        <v>88136.25</v>
      </c>
      <c r="CS146" s="13">
        <v>17621.27</v>
      </c>
      <c r="CT146" s="13">
        <v>12741.35</v>
      </c>
      <c r="CU146" s="13">
        <v>677.84</v>
      </c>
      <c r="CV146" s="13">
        <v>527.73</v>
      </c>
      <c r="CW146" s="202">
        <v>3463</v>
      </c>
      <c r="CX146" s="200">
        <v>1987</v>
      </c>
      <c r="CY146" s="202"/>
      <c r="CZ146" s="202"/>
      <c r="DA146" s="202"/>
      <c r="DB146" s="202"/>
      <c r="DC146" s="202"/>
      <c r="DD146" s="461"/>
      <c r="DE146" s="256"/>
      <c r="DF146" s="202"/>
      <c r="DG146" s="202"/>
      <c r="DH146" s="202"/>
      <c r="DI146" s="204">
        <v>586</v>
      </c>
      <c r="DJ146" s="202">
        <v>8600</v>
      </c>
      <c r="DK146" s="202"/>
      <c r="DL146" s="202"/>
      <c r="DM146" s="202">
        <v>23401</v>
      </c>
      <c r="DN146" s="202">
        <v>3400</v>
      </c>
      <c r="DO146" s="202">
        <v>2</v>
      </c>
      <c r="DP146" s="202"/>
      <c r="DQ146" s="202"/>
      <c r="DR146" s="202"/>
      <c r="DS146" s="202"/>
      <c r="DT146" s="254"/>
      <c r="DU146" s="254"/>
      <c r="DV146" s="202"/>
      <c r="DW146" s="202"/>
      <c r="DX146" s="202">
        <v>18247</v>
      </c>
      <c r="DY146" s="107">
        <v>1365</v>
      </c>
      <c r="DZ146" s="107">
        <v>577</v>
      </c>
      <c r="EA146" s="202"/>
      <c r="EB146" s="202"/>
      <c r="EC146" s="202"/>
      <c r="ED146" s="202"/>
      <c r="EE146" s="202"/>
      <c r="EF146" s="229"/>
      <c r="EG146" s="202"/>
      <c r="EH146" s="202"/>
      <c r="EI146" s="202"/>
      <c r="EJ146" s="202"/>
      <c r="EK146" s="202">
        <v>18180.55</v>
      </c>
      <c r="EL146" s="202">
        <v>6097.49</v>
      </c>
      <c r="EM146" s="202">
        <v>0</v>
      </c>
      <c r="EN146" s="202">
        <v>181.08</v>
      </c>
      <c r="EO146" s="202">
        <v>18180.55</v>
      </c>
      <c r="EP146" s="202"/>
      <c r="EQ146" s="202">
        <v>0</v>
      </c>
      <c r="ER146" s="202">
        <v>181.08</v>
      </c>
      <c r="ES146" s="202"/>
      <c r="ET146" s="202"/>
      <c r="EU146" s="202"/>
      <c r="EV146" s="214">
        <v>-10.72</v>
      </c>
      <c r="EW146" s="240">
        <f t="shared" si="119"/>
        <v>8694.2199999999993</v>
      </c>
      <c r="EX146" s="209">
        <f t="shared" si="120"/>
        <v>5658.66</v>
      </c>
    </row>
    <row r="147" spans="1:154" ht="12.75" customHeight="1" x14ac:dyDescent="0.2">
      <c r="A147" s="45" t="s">
        <v>214</v>
      </c>
      <c r="B147" s="123" t="s">
        <v>184</v>
      </c>
      <c r="C147" s="124" t="s">
        <v>62</v>
      </c>
      <c r="D147" s="125" t="s">
        <v>460</v>
      </c>
      <c r="E147" s="124" t="s">
        <v>12</v>
      </c>
      <c r="F147" s="11">
        <v>9</v>
      </c>
      <c r="G147" s="11">
        <v>4</v>
      </c>
      <c r="H147" s="11">
        <v>216</v>
      </c>
      <c r="I147" s="11">
        <v>221</v>
      </c>
      <c r="J147" s="11">
        <v>471</v>
      </c>
      <c r="K147" s="11">
        <v>545</v>
      </c>
      <c r="L147" s="83">
        <v>4</v>
      </c>
      <c r="M147" s="84">
        <v>1461</v>
      </c>
      <c r="N147" s="84">
        <v>1687</v>
      </c>
      <c r="O147" s="84">
        <v>0</v>
      </c>
      <c r="P147" s="135">
        <v>1552.1</v>
      </c>
      <c r="Q147" s="135">
        <v>1325.1</v>
      </c>
      <c r="R147" s="135">
        <v>0</v>
      </c>
      <c r="S147" s="133">
        <f t="shared" si="121"/>
        <v>2877.2</v>
      </c>
      <c r="T147" s="135">
        <v>1552.1</v>
      </c>
      <c r="U147" s="130">
        <v>2.44</v>
      </c>
      <c r="V147" s="131">
        <v>1.9800000000000002E-2</v>
      </c>
      <c r="W147" s="131">
        <v>1.9800000000000002E-2</v>
      </c>
      <c r="X147" s="132">
        <v>1.32E-3</v>
      </c>
      <c r="Y147" s="131">
        <v>3.9699999999999999E-2</v>
      </c>
      <c r="Z147" s="29">
        <v>10690.21</v>
      </c>
      <c r="AA147" s="34">
        <v>45.3</v>
      </c>
      <c r="AB147" s="9">
        <f t="shared" si="83"/>
        <v>10735.51</v>
      </c>
      <c r="AC147" s="9">
        <f t="shared" si="89"/>
        <v>67955.78</v>
      </c>
      <c r="AD147" s="9">
        <v>1.86</v>
      </c>
      <c r="AE147" s="9">
        <v>4.2</v>
      </c>
      <c r="AF147" s="21">
        <f>2.49-AJ147</f>
        <v>2.34</v>
      </c>
      <c r="AG147" s="18">
        <f>0.6-AQ147</f>
        <v>0.56000000000000005</v>
      </c>
      <c r="AH147" s="9">
        <v>2.77</v>
      </c>
      <c r="AI147" s="43">
        <v>1620</v>
      </c>
      <c r="AJ147" s="21">
        <f t="shared" si="99"/>
        <v>0.15</v>
      </c>
      <c r="AK147" s="9">
        <v>1.61</v>
      </c>
      <c r="AL147" s="9">
        <v>0.14000000000000001</v>
      </c>
      <c r="AM147" s="9">
        <v>0.09</v>
      </c>
      <c r="AN147" s="13"/>
      <c r="AO147" s="13">
        <v>844.8</v>
      </c>
      <c r="AP147" s="13">
        <f t="shared" si="123"/>
        <v>5.58</v>
      </c>
      <c r="AQ147" s="18">
        <f t="shared" si="98"/>
        <v>0.04</v>
      </c>
      <c r="AR147" s="9">
        <v>0.64</v>
      </c>
      <c r="AS147" s="9">
        <v>0.13</v>
      </c>
      <c r="AT147" s="9">
        <v>7.0000000000000007E-2</v>
      </c>
      <c r="AU147" s="9">
        <v>4.1900000000000004</v>
      </c>
      <c r="AV147" s="9">
        <v>0.15</v>
      </c>
      <c r="AW147" s="9">
        <f>1.31+0.37+0.29</f>
        <v>1.97</v>
      </c>
      <c r="AX147" s="9">
        <f>1.83+0.49</f>
        <v>2.3199999999999998</v>
      </c>
      <c r="AY147" s="126">
        <f t="shared" si="124"/>
        <v>23.23</v>
      </c>
      <c r="AZ147" s="127">
        <v>10628.9</v>
      </c>
      <c r="BA147" s="127">
        <v>45.3</v>
      </c>
      <c r="BB147" s="127">
        <f t="shared" si="84"/>
        <v>10674.2</v>
      </c>
      <c r="BC147" s="127">
        <v>23.23</v>
      </c>
      <c r="BD147" s="13">
        <f t="shared" si="122"/>
        <v>0</v>
      </c>
      <c r="BE147" s="9">
        <f t="shared" si="100"/>
        <v>249385.9</v>
      </c>
      <c r="BF147" s="9">
        <v>23.23</v>
      </c>
      <c r="BG147" s="10">
        <v>44409</v>
      </c>
      <c r="BH147" s="9">
        <f t="shared" si="101"/>
        <v>19968.05</v>
      </c>
      <c r="BI147" s="9">
        <f t="shared" si="102"/>
        <v>45089.14</v>
      </c>
      <c r="BJ147" s="9">
        <f t="shared" si="103"/>
        <v>25121.09</v>
      </c>
      <c r="BK147" s="9">
        <f t="shared" si="104"/>
        <v>6011.89</v>
      </c>
      <c r="BL147" s="9">
        <f t="shared" si="105"/>
        <v>29737.360000000001</v>
      </c>
      <c r="BM147" s="9">
        <f t="shared" si="106"/>
        <v>1610.33</v>
      </c>
      <c r="BN147" s="9">
        <f t="shared" si="107"/>
        <v>17284.169999999998</v>
      </c>
      <c r="BO147" s="9">
        <f t="shared" si="108"/>
        <v>1502.97</v>
      </c>
      <c r="BP147" s="9">
        <f t="shared" si="109"/>
        <v>966.2</v>
      </c>
      <c r="BQ147" s="9">
        <f t="shared" si="110"/>
        <v>429.42</v>
      </c>
      <c r="BR147" s="9">
        <f t="shared" si="111"/>
        <v>6870.73</v>
      </c>
      <c r="BS147" s="9">
        <f t="shared" si="112"/>
        <v>1395.62</v>
      </c>
      <c r="BT147" s="9">
        <f t="shared" si="113"/>
        <v>751.49</v>
      </c>
      <c r="BU147" s="9">
        <f t="shared" si="114"/>
        <v>44981.79</v>
      </c>
      <c r="BV147" s="9">
        <f t="shared" si="115"/>
        <v>1610.33</v>
      </c>
      <c r="BW147" s="9">
        <f t="shared" si="116"/>
        <v>21148.95</v>
      </c>
      <c r="BX147" s="9">
        <f t="shared" si="117"/>
        <v>24906.38</v>
      </c>
      <c r="BY147" s="17">
        <f t="shared" si="118"/>
        <v>249385.91</v>
      </c>
      <c r="BZ147" s="17">
        <v>2.52</v>
      </c>
      <c r="CA147" s="17">
        <v>0.08</v>
      </c>
      <c r="CB147" s="17">
        <v>0.49</v>
      </c>
      <c r="CC147" s="27">
        <v>0.08</v>
      </c>
      <c r="CD147" s="29">
        <v>6.33</v>
      </c>
      <c r="CE147" s="9">
        <v>28580.799999999999</v>
      </c>
      <c r="CF147" s="9"/>
      <c r="CG147" s="9">
        <v>0</v>
      </c>
      <c r="CH147" s="9">
        <v>434.79</v>
      </c>
      <c r="CI147" s="9">
        <f>IF(CE147&gt;0,CE147/AB147,0)</f>
        <v>2.66</v>
      </c>
      <c r="CJ147" s="9">
        <f>IF(CF147&gt;0,CF147/AB147,0)</f>
        <v>0</v>
      </c>
      <c r="CK147" s="13">
        <f>IF(CG147&gt;0,CG147/AB147,0)</f>
        <v>0</v>
      </c>
      <c r="CL147" s="13">
        <f>IF(CH147&gt;0,CH147/AB147,0)</f>
        <v>0.04</v>
      </c>
      <c r="CM147" s="13">
        <v>247931.54</v>
      </c>
      <c r="CN147" s="13">
        <v>4703.66</v>
      </c>
      <c r="CO147" s="13">
        <v>0</v>
      </c>
      <c r="CP147" s="13">
        <v>0</v>
      </c>
      <c r="CQ147" s="13">
        <v>427.58</v>
      </c>
      <c r="CR147" s="13">
        <v>243471.04</v>
      </c>
      <c r="CS147" s="13">
        <v>17763.650000000001</v>
      </c>
      <c r="CT147" s="13">
        <v>1358.67</v>
      </c>
      <c r="CU147" s="13">
        <v>114.23</v>
      </c>
      <c r="CV147" s="13">
        <v>436.27</v>
      </c>
      <c r="CW147" s="202">
        <v>9352</v>
      </c>
      <c r="CX147" s="200">
        <v>5365</v>
      </c>
      <c r="CY147" s="202"/>
      <c r="CZ147" s="202"/>
      <c r="DA147" s="202"/>
      <c r="DB147" s="202"/>
      <c r="DC147" s="202"/>
      <c r="DD147" s="461"/>
      <c r="DE147" s="256"/>
      <c r="DF147" s="202"/>
      <c r="DG147" s="202"/>
      <c r="DH147" s="202"/>
      <c r="DI147" s="204">
        <v>1620</v>
      </c>
      <c r="DJ147" s="107">
        <f>17200</f>
        <v>17200</v>
      </c>
      <c r="DK147" s="202"/>
      <c r="DL147" s="202">
        <v>4500</v>
      </c>
      <c r="DM147" s="202">
        <v>65869</v>
      </c>
      <c r="DN147" s="202">
        <v>3400</v>
      </c>
      <c r="DO147" s="202">
        <v>2</v>
      </c>
      <c r="DP147" s="202"/>
      <c r="DQ147" s="202"/>
      <c r="DR147" s="202"/>
      <c r="DS147" s="202"/>
      <c r="DT147" s="254"/>
      <c r="DU147" s="254"/>
      <c r="DV147" s="202"/>
      <c r="DW147" s="202"/>
      <c r="DX147" s="202">
        <v>49431</v>
      </c>
      <c r="DY147" s="107">
        <v>1365</v>
      </c>
      <c r="DZ147" s="107">
        <v>942</v>
      </c>
      <c r="EA147" s="202"/>
      <c r="EB147" s="202"/>
      <c r="EC147" s="202"/>
      <c r="ED147" s="202"/>
      <c r="EE147" s="202"/>
      <c r="EF147" s="229"/>
      <c r="EG147" s="202"/>
      <c r="EH147" s="202"/>
      <c r="EI147" s="202"/>
      <c r="EJ147" s="202"/>
      <c r="EK147" s="202">
        <v>4723.3500000000004</v>
      </c>
      <c r="EL147" s="202">
        <v>0</v>
      </c>
      <c r="EM147" s="202">
        <v>0</v>
      </c>
      <c r="EN147" s="202">
        <v>434.79</v>
      </c>
      <c r="EO147" s="202">
        <v>4723.3500000000004</v>
      </c>
      <c r="EP147" s="202"/>
      <c r="EQ147" s="202">
        <v>0</v>
      </c>
      <c r="ER147" s="202">
        <v>434.79</v>
      </c>
      <c r="ES147" s="202"/>
      <c r="ET147" s="202"/>
      <c r="EU147" s="202"/>
      <c r="EV147" s="214">
        <f>-28.74+2694.38</f>
        <v>2665.64</v>
      </c>
      <c r="EW147" s="240">
        <f t="shared" si="119"/>
        <v>23480.28</v>
      </c>
      <c r="EX147" s="209">
        <f t="shared" si="120"/>
        <v>15282.21</v>
      </c>
    </row>
    <row r="148" spans="1:154" ht="12.75" customHeight="1" x14ac:dyDescent="0.2">
      <c r="A148" s="45" t="s">
        <v>216</v>
      </c>
      <c r="B148" s="123" t="s">
        <v>184</v>
      </c>
      <c r="C148" s="124" t="s">
        <v>62</v>
      </c>
      <c r="D148" s="125" t="s">
        <v>566</v>
      </c>
      <c r="E148" s="124" t="s">
        <v>9</v>
      </c>
      <c r="F148" s="11">
        <v>9</v>
      </c>
      <c r="G148" s="11">
        <v>4</v>
      </c>
      <c r="H148" s="11">
        <v>216</v>
      </c>
      <c r="I148" s="11">
        <v>216</v>
      </c>
      <c r="J148" s="11">
        <v>501</v>
      </c>
      <c r="K148" s="11">
        <v>542</v>
      </c>
      <c r="L148" s="83">
        <v>4</v>
      </c>
      <c r="M148" s="84">
        <v>1476</v>
      </c>
      <c r="N148" s="84">
        <v>1687</v>
      </c>
      <c r="O148" s="84">
        <v>0</v>
      </c>
      <c r="P148" s="135">
        <v>1313.5</v>
      </c>
      <c r="Q148" s="135">
        <v>1326</v>
      </c>
      <c r="R148" s="135">
        <v>0</v>
      </c>
      <c r="S148" s="133">
        <f t="shared" si="121"/>
        <v>2639.5</v>
      </c>
      <c r="T148" s="135">
        <v>1313.5</v>
      </c>
      <c r="U148" s="130">
        <v>2.44</v>
      </c>
      <c r="V148" s="131">
        <v>1.9800000000000002E-2</v>
      </c>
      <c r="W148" s="131">
        <v>1.9800000000000002E-2</v>
      </c>
      <c r="X148" s="132">
        <v>1.32E-3</v>
      </c>
      <c r="Y148" s="131">
        <v>3.9699999999999999E-2</v>
      </c>
      <c r="Z148" s="29">
        <v>10780.5</v>
      </c>
      <c r="AA148" s="34"/>
      <c r="AB148" s="9">
        <f t="shared" si="83"/>
        <v>10780.5</v>
      </c>
      <c r="AC148" s="9">
        <f t="shared" si="89"/>
        <v>68240.570000000007</v>
      </c>
      <c r="AD148" s="9">
        <v>1.56</v>
      </c>
      <c r="AE148" s="9">
        <v>4.28</v>
      </c>
      <c r="AF148" s="21">
        <f>2.47-AJ148</f>
        <v>2.3199999999999998</v>
      </c>
      <c r="AG148" s="18">
        <f>0.6-AQ148</f>
        <v>0.56000000000000005</v>
      </c>
      <c r="AH148" s="9">
        <v>2.77</v>
      </c>
      <c r="AI148" s="43">
        <v>1620</v>
      </c>
      <c r="AJ148" s="21">
        <f t="shared" si="99"/>
        <v>0.15</v>
      </c>
      <c r="AK148" s="9">
        <v>1.61</v>
      </c>
      <c r="AL148" s="9">
        <v>0.14000000000000001</v>
      </c>
      <c r="AM148" s="9">
        <v>0.05</v>
      </c>
      <c r="AN148" s="13"/>
      <c r="AO148" s="13">
        <v>844.8</v>
      </c>
      <c r="AP148" s="13">
        <f t="shared" si="123"/>
        <v>5.58</v>
      </c>
      <c r="AQ148" s="18">
        <f t="shared" si="98"/>
        <v>0.04</v>
      </c>
      <c r="AR148" s="9">
        <v>0.64</v>
      </c>
      <c r="AS148" s="9">
        <v>0.13</v>
      </c>
      <c r="AT148" s="9">
        <v>7.0000000000000007E-2</v>
      </c>
      <c r="AU148" s="9">
        <v>4.62</v>
      </c>
      <c r="AV148" s="9">
        <v>0.15</v>
      </c>
      <c r="AW148" s="9">
        <f>1.28+0.41+0.29</f>
        <v>1.98</v>
      </c>
      <c r="AX148" s="9">
        <f>1.79+0.54</f>
        <v>2.33</v>
      </c>
      <c r="AY148" s="126">
        <f t="shared" si="124"/>
        <v>23.4</v>
      </c>
      <c r="AZ148" s="127">
        <v>10706.2</v>
      </c>
      <c r="BA148" s="127">
        <v>0</v>
      </c>
      <c r="BB148" s="127">
        <f t="shared" si="84"/>
        <v>10706.2</v>
      </c>
      <c r="BC148" s="127">
        <v>23.4</v>
      </c>
      <c r="BD148" s="13">
        <f t="shared" si="122"/>
        <v>0</v>
      </c>
      <c r="BE148" s="9">
        <f t="shared" si="100"/>
        <v>252263.7</v>
      </c>
      <c r="BF148" s="9">
        <v>23.4</v>
      </c>
      <c r="BG148" s="10">
        <v>44409</v>
      </c>
      <c r="BH148" s="9">
        <f t="shared" si="101"/>
        <v>16817.580000000002</v>
      </c>
      <c r="BI148" s="9">
        <f t="shared" si="102"/>
        <v>46140.54</v>
      </c>
      <c r="BJ148" s="9">
        <f t="shared" si="103"/>
        <v>25010.76</v>
      </c>
      <c r="BK148" s="9">
        <f t="shared" si="104"/>
        <v>6037.08</v>
      </c>
      <c r="BL148" s="9">
        <f t="shared" si="105"/>
        <v>29861.99</v>
      </c>
      <c r="BM148" s="9">
        <f t="shared" si="106"/>
        <v>1617.08</v>
      </c>
      <c r="BN148" s="9">
        <f t="shared" si="107"/>
        <v>17356.61</v>
      </c>
      <c r="BO148" s="9">
        <f t="shared" si="108"/>
        <v>1509.27</v>
      </c>
      <c r="BP148" s="9">
        <f t="shared" si="109"/>
        <v>539.03</v>
      </c>
      <c r="BQ148" s="9">
        <f t="shared" si="110"/>
        <v>431.22</v>
      </c>
      <c r="BR148" s="9">
        <f t="shared" si="111"/>
        <v>6899.52</v>
      </c>
      <c r="BS148" s="9">
        <f t="shared" si="112"/>
        <v>1401.47</v>
      </c>
      <c r="BT148" s="9">
        <f t="shared" si="113"/>
        <v>754.64</v>
      </c>
      <c r="BU148" s="9">
        <f t="shared" si="114"/>
        <v>49805.91</v>
      </c>
      <c r="BV148" s="9">
        <f t="shared" si="115"/>
        <v>1617.08</v>
      </c>
      <c r="BW148" s="9">
        <f t="shared" si="116"/>
        <v>21345.39</v>
      </c>
      <c r="BX148" s="9">
        <f t="shared" si="117"/>
        <v>25118.57</v>
      </c>
      <c r="BY148" s="17">
        <f t="shared" si="118"/>
        <v>252263.74</v>
      </c>
      <c r="BZ148" s="17">
        <v>2.62</v>
      </c>
      <c r="CA148" s="17">
        <v>7.0000000000000007E-2</v>
      </c>
      <c r="CB148" s="17">
        <v>0.42</v>
      </c>
      <c r="CC148" s="27">
        <v>7.0000000000000007E-2</v>
      </c>
      <c r="CD148" s="29">
        <v>6.33</v>
      </c>
      <c r="CE148" s="9">
        <v>35716.89</v>
      </c>
      <c r="CF148" s="9"/>
      <c r="CG148" s="9">
        <v>19997.759999999998</v>
      </c>
      <c r="CH148" s="9">
        <v>10837.47</v>
      </c>
      <c r="CI148" s="9">
        <f>IF(CE148&gt;0,CE148/AB148,0)</f>
        <v>3.31</v>
      </c>
      <c r="CJ148" s="9">
        <f>IF(CF148&gt;0,CF148/AB148,0)</f>
        <v>0</v>
      </c>
      <c r="CK148" s="13">
        <f>IF(CG148&gt;0,CG148/AB148,0)</f>
        <v>1.85</v>
      </c>
      <c r="CL148" s="13">
        <f>IF(CH148&gt;0,CH148/AB148,0)</f>
        <v>1.01</v>
      </c>
      <c r="CM148" s="13">
        <v>251849.24</v>
      </c>
      <c r="CN148" s="13">
        <v>9917.92</v>
      </c>
      <c r="CO148" s="13">
        <v>0</v>
      </c>
      <c r="CP148" s="13">
        <v>0</v>
      </c>
      <c r="CQ148" s="13">
        <v>323.42</v>
      </c>
      <c r="CR148" s="13">
        <v>255405.83</v>
      </c>
      <c r="CS148" s="13">
        <v>23334.53</v>
      </c>
      <c r="CT148" s="13">
        <v>891.51</v>
      </c>
      <c r="CU148" s="13">
        <v>4902.4399999999996</v>
      </c>
      <c r="CV148" s="13">
        <v>2916.22</v>
      </c>
      <c r="CW148" s="202">
        <v>9393</v>
      </c>
      <c r="CX148" s="200">
        <v>5388</v>
      </c>
      <c r="CY148" s="202"/>
      <c r="CZ148" s="202"/>
      <c r="DA148" s="202"/>
      <c r="DB148" s="202"/>
      <c r="DC148" s="202"/>
      <c r="DD148" s="461"/>
      <c r="DE148" s="256"/>
      <c r="DF148" s="202"/>
      <c r="DG148" s="202"/>
      <c r="DH148" s="202"/>
      <c r="DI148" s="204">
        <v>1620</v>
      </c>
      <c r="DJ148" s="107">
        <f>17200</f>
        <v>17200</v>
      </c>
      <c r="DK148" s="202"/>
      <c r="DL148" s="202"/>
      <c r="DM148" s="202">
        <v>63615</v>
      </c>
      <c r="DN148" s="202">
        <v>3400</v>
      </c>
      <c r="DO148" s="202">
        <v>2</v>
      </c>
      <c r="DP148" s="202"/>
      <c r="DQ148" s="202"/>
      <c r="DR148" s="202"/>
      <c r="DS148" s="202"/>
      <c r="DT148" s="254"/>
      <c r="DU148" s="254"/>
      <c r="DV148" s="202"/>
      <c r="DW148" s="202"/>
      <c r="DX148" s="202">
        <v>49364</v>
      </c>
      <c r="DY148" s="107">
        <v>1365</v>
      </c>
      <c r="DZ148" s="107">
        <v>577</v>
      </c>
      <c r="EA148" s="202"/>
      <c r="EB148" s="202"/>
      <c r="EC148" s="202"/>
      <c r="ED148" s="202"/>
      <c r="EE148" s="202"/>
      <c r="EF148" s="229"/>
      <c r="EG148" s="202"/>
      <c r="EH148" s="202"/>
      <c r="EI148" s="202"/>
      <c r="EJ148" s="202"/>
      <c r="EK148" s="202">
        <v>9944.33</v>
      </c>
      <c r="EL148" s="202">
        <v>0</v>
      </c>
      <c r="EM148" s="202">
        <v>0</v>
      </c>
      <c r="EN148" s="202">
        <v>367.95</v>
      </c>
      <c r="EO148" s="202">
        <v>9944.33</v>
      </c>
      <c r="EP148" s="202"/>
      <c r="EQ148" s="202">
        <v>0</v>
      </c>
      <c r="ER148" s="202">
        <v>367.95</v>
      </c>
      <c r="ES148" s="202"/>
      <c r="ET148" s="202"/>
      <c r="EU148" s="202"/>
      <c r="EV148" s="214">
        <v>-23.99</v>
      </c>
      <c r="EW148" s="240">
        <f t="shared" si="119"/>
        <v>23578.68</v>
      </c>
      <c r="EX148" s="209">
        <f t="shared" si="120"/>
        <v>15346.26</v>
      </c>
    </row>
    <row r="149" spans="1:154" ht="12.75" customHeight="1" x14ac:dyDescent="0.2">
      <c r="A149" s="45" t="s">
        <v>217</v>
      </c>
      <c r="B149" s="141" t="s">
        <v>184</v>
      </c>
      <c r="C149" s="142" t="s">
        <v>25</v>
      </c>
      <c r="D149" s="143" t="s">
        <v>461</v>
      </c>
      <c r="E149" s="142" t="s">
        <v>12</v>
      </c>
      <c r="F149" s="11">
        <v>5</v>
      </c>
      <c r="G149" s="11">
        <v>6</v>
      </c>
      <c r="H149" s="11">
        <v>90</v>
      </c>
      <c r="I149" s="11">
        <v>92</v>
      </c>
      <c r="J149" s="11">
        <v>199</v>
      </c>
      <c r="K149" s="11">
        <v>205</v>
      </c>
      <c r="L149" s="11" t="s">
        <v>746</v>
      </c>
      <c r="M149" s="84">
        <v>416</v>
      </c>
      <c r="N149" s="84">
        <v>1287</v>
      </c>
      <c r="O149" s="84">
        <v>0</v>
      </c>
      <c r="P149" s="135">
        <v>411</v>
      </c>
      <c r="Q149" s="135">
        <v>1017.9</v>
      </c>
      <c r="R149" s="133">
        <v>0</v>
      </c>
      <c r="S149" s="133">
        <f t="shared" si="121"/>
        <v>1428.9</v>
      </c>
      <c r="T149" s="134">
        <v>416</v>
      </c>
      <c r="U149" s="130">
        <v>1.53</v>
      </c>
      <c r="V149" s="131">
        <v>1.9800000000000002E-2</v>
      </c>
      <c r="W149" s="131">
        <v>1.9800000000000002E-2</v>
      </c>
      <c r="X149" s="132">
        <v>1.2199999999999999E-3</v>
      </c>
      <c r="Y149" s="131">
        <v>3.95E-2</v>
      </c>
      <c r="Z149" s="29">
        <v>3972.11</v>
      </c>
      <c r="AA149" s="34"/>
      <c r="AB149" s="9">
        <f t="shared" si="83"/>
        <v>3972.11</v>
      </c>
      <c r="AC149" s="9">
        <f t="shared" si="89"/>
        <v>25143.46</v>
      </c>
      <c r="AD149" s="9">
        <v>0.52</v>
      </c>
      <c r="AE149" s="9">
        <v>4.49</v>
      </c>
      <c r="AF149" s="21">
        <f>2.5-AJ149</f>
        <v>2.19</v>
      </c>
      <c r="AG149" s="18">
        <f>0.56-AQ149</f>
        <v>0.45</v>
      </c>
      <c r="AH149" s="9">
        <v>2.78</v>
      </c>
      <c r="AI149" s="43">
        <v>1236</v>
      </c>
      <c r="AJ149" s="21">
        <f t="shared" si="99"/>
        <v>0.31</v>
      </c>
      <c r="AK149" s="9">
        <v>0</v>
      </c>
      <c r="AL149" s="9">
        <v>0</v>
      </c>
      <c r="AM149" s="9">
        <v>0.15</v>
      </c>
      <c r="AN149" s="13"/>
      <c r="AO149" s="13">
        <v>901.8</v>
      </c>
      <c r="AP149" s="13">
        <f t="shared" si="123"/>
        <v>5.58</v>
      </c>
      <c r="AQ149" s="18">
        <f t="shared" si="98"/>
        <v>0.11</v>
      </c>
      <c r="AR149" s="9">
        <v>0.79</v>
      </c>
      <c r="AS149" s="9">
        <v>0.34</v>
      </c>
      <c r="AT149" s="9">
        <v>7.0000000000000007E-2</v>
      </c>
      <c r="AU149" s="9">
        <v>4.04</v>
      </c>
      <c r="AV149" s="9">
        <v>0.13</v>
      </c>
      <c r="AW149" s="9">
        <f>1.09+0.36+0.32</f>
        <v>1.77</v>
      </c>
      <c r="AX149" s="9">
        <f>1.5+0.48</f>
        <v>1.98</v>
      </c>
      <c r="AY149" s="144">
        <f t="shared" si="124"/>
        <v>20.12</v>
      </c>
      <c r="AZ149" s="145">
        <v>3968.1</v>
      </c>
      <c r="BA149" s="145">
        <v>0</v>
      </c>
      <c r="BB149" s="145">
        <f t="shared" si="84"/>
        <v>3968.1</v>
      </c>
      <c r="BC149" s="145">
        <v>20.12</v>
      </c>
      <c r="BD149" s="13">
        <f t="shared" si="122"/>
        <v>0</v>
      </c>
      <c r="BE149" s="9">
        <f t="shared" si="100"/>
        <v>79918.850000000006</v>
      </c>
      <c r="BF149" s="9">
        <v>20.12</v>
      </c>
      <c r="BG149" s="10">
        <v>44409</v>
      </c>
      <c r="BH149" s="9">
        <f t="shared" si="101"/>
        <v>2065.5</v>
      </c>
      <c r="BI149" s="9">
        <f t="shared" si="102"/>
        <v>17834.77</v>
      </c>
      <c r="BJ149" s="9">
        <f t="shared" si="103"/>
        <v>8698.92</v>
      </c>
      <c r="BK149" s="9">
        <f t="shared" si="104"/>
        <v>1787.45</v>
      </c>
      <c r="BL149" s="9">
        <f t="shared" si="105"/>
        <v>11042.47</v>
      </c>
      <c r="BM149" s="9">
        <f t="shared" si="106"/>
        <v>1231.3499999999999</v>
      </c>
      <c r="BN149" s="9">
        <f t="shared" si="107"/>
        <v>0</v>
      </c>
      <c r="BO149" s="9">
        <f t="shared" si="108"/>
        <v>0</v>
      </c>
      <c r="BP149" s="9">
        <f t="shared" si="109"/>
        <v>595.82000000000005</v>
      </c>
      <c r="BQ149" s="9">
        <f t="shared" si="110"/>
        <v>436.93</v>
      </c>
      <c r="BR149" s="9">
        <f t="shared" si="111"/>
        <v>3137.97</v>
      </c>
      <c r="BS149" s="9">
        <f t="shared" si="112"/>
        <v>1350.52</v>
      </c>
      <c r="BT149" s="9">
        <f t="shared" si="113"/>
        <v>278.05</v>
      </c>
      <c r="BU149" s="9">
        <f t="shared" si="114"/>
        <v>16047.32</v>
      </c>
      <c r="BV149" s="9">
        <f t="shared" si="115"/>
        <v>516.37</v>
      </c>
      <c r="BW149" s="9">
        <f t="shared" si="116"/>
        <v>7030.63</v>
      </c>
      <c r="BX149" s="9">
        <f t="shared" si="117"/>
        <v>7864.78</v>
      </c>
      <c r="BY149" s="17">
        <f t="shared" si="118"/>
        <v>79918.850000000006</v>
      </c>
      <c r="BZ149" s="17">
        <v>2.5099999999999998</v>
      </c>
      <c r="CA149" s="17">
        <v>0.06</v>
      </c>
      <c r="CB149" s="17">
        <v>0.33</v>
      </c>
      <c r="CC149" s="27">
        <v>0.06</v>
      </c>
      <c r="CD149" s="29">
        <v>6.33</v>
      </c>
      <c r="CE149" s="9">
        <v>1194.96</v>
      </c>
      <c r="CF149" s="9"/>
      <c r="CG149" s="9">
        <v>0</v>
      </c>
      <c r="CH149" s="9">
        <v>116.53</v>
      </c>
      <c r="CI149" s="9">
        <f>IF(CE149&gt;0,CE149/AB149,0)</f>
        <v>0.3</v>
      </c>
      <c r="CJ149" s="9">
        <f>IF(CF149&gt;0,CF149/AB149,0)</f>
        <v>0</v>
      </c>
      <c r="CK149" s="13">
        <f>IF(CG149&gt;0,CG149/AB149,0)</f>
        <v>0</v>
      </c>
      <c r="CL149" s="13">
        <f>IF(CH149&gt;0,CH149/AB149,0)</f>
        <v>0.03</v>
      </c>
      <c r="CM149" s="13">
        <v>79918.789999999994</v>
      </c>
      <c r="CN149" s="13">
        <v>2343.52</v>
      </c>
      <c r="CO149" s="13">
        <v>0</v>
      </c>
      <c r="CP149" s="13">
        <v>715.04</v>
      </c>
      <c r="CQ149" s="13">
        <v>516.4</v>
      </c>
      <c r="CR149" s="13">
        <v>65921.86</v>
      </c>
      <c r="CS149" s="13">
        <v>2247.0100000000002</v>
      </c>
      <c r="CT149" s="13">
        <v>3092.64</v>
      </c>
      <c r="CU149" s="13">
        <v>774.04</v>
      </c>
      <c r="CV149" s="13">
        <v>504.87</v>
      </c>
      <c r="CW149" s="202">
        <v>3460</v>
      </c>
      <c r="CX149" s="200">
        <v>1985</v>
      </c>
      <c r="CY149" s="202"/>
      <c r="CZ149" s="202"/>
      <c r="DA149" s="202"/>
      <c r="DB149" s="202"/>
      <c r="DC149" s="202"/>
      <c r="DD149" s="461"/>
      <c r="DE149" s="256"/>
      <c r="DF149" s="202"/>
      <c r="DG149" s="202"/>
      <c r="DH149" s="202"/>
      <c r="DI149" s="204">
        <v>1236</v>
      </c>
      <c r="DJ149" s="202"/>
      <c r="DK149" s="202"/>
      <c r="DL149" s="202"/>
      <c r="DM149" s="202">
        <v>20286</v>
      </c>
      <c r="DN149" s="202">
        <v>1275</v>
      </c>
      <c r="DO149" s="202">
        <v>0.75</v>
      </c>
      <c r="DP149" s="202"/>
      <c r="DQ149" s="202"/>
      <c r="DR149" s="202"/>
      <c r="DS149" s="202">
        <v>11080</v>
      </c>
      <c r="DT149" s="254">
        <v>390</v>
      </c>
      <c r="DU149" s="254">
        <v>133</v>
      </c>
      <c r="DV149" s="202"/>
      <c r="DW149" s="202"/>
      <c r="DX149" s="202">
        <v>18360</v>
      </c>
      <c r="DY149" s="107">
        <v>1365</v>
      </c>
      <c r="DZ149" s="107">
        <v>577</v>
      </c>
      <c r="EA149" s="202"/>
      <c r="EB149" s="202"/>
      <c r="EC149" s="202"/>
      <c r="ED149" s="202"/>
      <c r="EE149" s="202"/>
      <c r="EF149" s="229"/>
      <c r="EG149" s="202"/>
      <c r="EH149" s="202"/>
      <c r="EI149" s="202"/>
      <c r="EJ149" s="202"/>
      <c r="EK149" s="202">
        <v>2343.96</v>
      </c>
      <c r="EL149" s="202">
        <v>0</v>
      </c>
      <c r="EM149" s="202">
        <v>729.65</v>
      </c>
      <c r="EN149" s="202">
        <v>498.53</v>
      </c>
      <c r="EO149" s="202">
        <v>2343.96</v>
      </c>
      <c r="EP149" s="202"/>
      <c r="EQ149" s="202">
        <v>729.65</v>
      </c>
      <c r="ER149" s="202">
        <v>498.53</v>
      </c>
      <c r="ES149" s="202"/>
      <c r="ET149" s="202"/>
      <c r="EU149" s="202"/>
      <c r="EV149" s="214">
        <f>-6.05+9792</f>
        <v>9785.9500000000007</v>
      </c>
      <c r="EW149" s="240">
        <f t="shared" si="119"/>
        <v>8687.64</v>
      </c>
      <c r="EX149" s="209">
        <f t="shared" si="120"/>
        <v>5654.38</v>
      </c>
    </row>
    <row r="150" spans="1:154" ht="12.75" customHeight="1" x14ac:dyDescent="0.2">
      <c r="A150" s="45" t="s">
        <v>218</v>
      </c>
      <c r="B150" s="141" t="s">
        <v>184</v>
      </c>
      <c r="C150" s="142" t="s">
        <v>27</v>
      </c>
      <c r="D150" s="141" t="s">
        <v>640</v>
      </c>
      <c r="E150" s="142"/>
      <c r="F150" s="11">
        <v>5</v>
      </c>
      <c r="G150" s="11">
        <v>6</v>
      </c>
      <c r="H150" s="11">
        <v>90</v>
      </c>
      <c r="I150" s="11">
        <v>93</v>
      </c>
      <c r="J150" s="11">
        <v>204</v>
      </c>
      <c r="K150" s="11">
        <v>221</v>
      </c>
      <c r="L150" s="11" t="s">
        <v>746</v>
      </c>
      <c r="M150" s="84">
        <v>413</v>
      </c>
      <c r="N150" s="84">
        <v>1287</v>
      </c>
      <c r="O150" s="84">
        <v>0</v>
      </c>
      <c r="P150" s="135">
        <v>412.5</v>
      </c>
      <c r="Q150" s="135">
        <v>647.70000000000005</v>
      </c>
      <c r="R150" s="133">
        <v>0</v>
      </c>
      <c r="S150" s="133">
        <f t="shared" si="121"/>
        <v>1060.2</v>
      </c>
      <c r="T150" s="134">
        <v>412.5</v>
      </c>
      <c r="U150" s="130">
        <v>1.53</v>
      </c>
      <c r="V150" s="131">
        <v>1.9800000000000002E-2</v>
      </c>
      <c r="W150" s="131">
        <v>1.9800000000000002E-2</v>
      </c>
      <c r="X150" s="132">
        <v>1.2199999999999999E-3</v>
      </c>
      <c r="Y150" s="131">
        <v>3.95E-2</v>
      </c>
      <c r="Z150" s="29">
        <v>3964.01</v>
      </c>
      <c r="AA150" s="34"/>
      <c r="AB150" s="9">
        <f t="shared" si="83"/>
        <v>3964.01</v>
      </c>
      <c r="AC150" s="9">
        <f t="shared" si="89"/>
        <v>25092.18</v>
      </c>
      <c r="AD150" s="9">
        <v>0.52</v>
      </c>
      <c r="AE150" s="9">
        <v>4.8099999999999996</v>
      </c>
      <c r="AF150" s="21">
        <f>2.5-AJ150</f>
        <v>2.19</v>
      </c>
      <c r="AG150" s="18">
        <f>0.56-AQ150</f>
        <v>0.45</v>
      </c>
      <c r="AH150" s="9">
        <v>2.78</v>
      </c>
      <c r="AI150" s="43">
        <v>1236</v>
      </c>
      <c r="AJ150" s="21">
        <f t="shared" si="99"/>
        <v>0.31</v>
      </c>
      <c r="AK150" s="9">
        <v>0</v>
      </c>
      <c r="AL150" s="9">
        <v>0</v>
      </c>
      <c r="AM150" s="9">
        <v>0.24</v>
      </c>
      <c r="AN150" s="13"/>
      <c r="AO150" s="13">
        <v>901.8</v>
      </c>
      <c r="AP150" s="13">
        <f t="shared" si="123"/>
        <v>5.58</v>
      </c>
      <c r="AQ150" s="18">
        <f t="shared" si="98"/>
        <v>0.11</v>
      </c>
      <c r="AR150" s="9">
        <v>0.79</v>
      </c>
      <c r="AS150" s="9">
        <v>0.35</v>
      </c>
      <c r="AT150" s="9">
        <v>7.0000000000000007E-2</v>
      </c>
      <c r="AU150" s="9">
        <v>3.59</v>
      </c>
      <c r="AV150" s="9">
        <v>0.13</v>
      </c>
      <c r="AW150" s="9">
        <f>1.13+0.32+0.33</f>
        <v>1.78</v>
      </c>
      <c r="AX150" s="9">
        <f>1.55+0.42</f>
        <v>1.97</v>
      </c>
      <c r="AY150" s="144">
        <f t="shared" si="124"/>
        <v>20.09</v>
      </c>
      <c r="AZ150" s="145"/>
      <c r="BA150" s="145"/>
      <c r="BB150" s="145"/>
      <c r="BC150" s="145">
        <v>20.09</v>
      </c>
      <c r="BD150" s="13">
        <f t="shared" si="122"/>
        <v>0</v>
      </c>
      <c r="BE150" s="9">
        <f t="shared" si="100"/>
        <v>79636.960000000006</v>
      </c>
      <c r="BF150" s="9">
        <v>20.09</v>
      </c>
      <c r="BG150" s="10">
        <v>44440</v>
      </c>
      <c r="BH150" s="9">
        <f t="shared" si="101"/>
        <v>2061.29</v>
      </c>
      <c r="BI150" s="9">
        <f t="shared" si="102"/>
        <v>19066.89</v>
      </c>
      <c r="BJ150" s="9">
        <f t="shared" si="103"/>
        <v>8681.18</v>
      </c>
      <c r="BK150" s="9">
        <f t="shared" si="104"/>
        <v>1783.8</v>
      </c>
      <c r="BL150" s="9">
        <f t="shared" si="105"/>
        <v>11019.95</v>
      </c>
      <c r="BM150" s="9">
        <f t="shared" si="106"/>
        <v>1228.8399999999999</v>
      </c>
      <c r="BN150" s="9">
        <f t="shared" si="107"/>
        <v>0</v>
      </c>
      <c r="BO150" s="9">
        <f t="shared" si="108"/>
        <v>0</v>
      </c>
      <c r="BP150" s="9">
        <f t="shared" si="109"/>
        <v>951.36</v>
      </c>
      <c r="BQ150" s="9">
        <f t="shared" si="110"/>
        <v>436.04</v>
      </c>
      <c r="BR150" s="9">
        <f t="shared" si="111"/>
        <v>3131.57</v>
      </c>
      <c r="BS150" s="9">
        <f t="shared" si="112"/>
        <v>1387.4</v>
      </c>
      <c r="BT150" s="9">
        <f t="shared" si="113"/>
        <v>277.48</v>
      </c>
      <c r="BU150" s="9">
        <f t="shared" si="114"/>
        <v>14230.8</v>
      </c>
      <c r="BV150" s="9">
        <f t="shared" si="115"/>
        <v>515.32000000000005</v>
      </c>
      <c r="BW150" s="9">
        <f t="shared" si="116"/>
        <v>7055.94</v>
      </c>
      <c r="BX150" s="9">
        <f t="shared" si="117"/>
        <v>7809.1</v>
      </c>
      <c r="BY150" s="17">
        <f t="shared" si="118"/>
        <v>79636.960000000006</v>
      </c>
      <c r="BZ150" s="17">
        <v>2.52</v>
      </c>
      <c r="CA150" s="17">
        <v>0.06</v>
      </c>
      <c r="CB150" s="17">
        <v>0.33</v>
      </c>
      <c r="CC150" s="27">
        <v>0.06</v>
      </c>
      <c r="CD150" s="29">
        <v>6.33</v>
      </c>
      <c r="CE150" s="9"/>
      <c r="CF150" s="9"/>
      <c r="CG150" s="9"/>
      <c r="CH150" s="9"/>
      <c r="CI150" s="9"/>
      <c r="CJ150" s="9"/>
      <c r="CK150" s="13"/>
      <c r="CL150" s="13"/>
      <c r="CM150" s="13">
        <v>79622.990000000005</v>
      </c>
      <c r="CN150" s="13">
        <v>2415.77</v>
      </c>
      <c r="CO150" s="13">
        <v>-0.23</v>
      </c>
      <c r="CP150" s="13">
        <v>2021.31</v>
      </c>
      <c r="CQ150" s="13">
        <v>1188.96</v>
      </c>
      <c r="CR150" s="13">
        <v>72885.91</v>
      </c>
      <c r="CS150" s="13">
        <v>3063.02</v>
      </c>
      <c r="CT150" s="13">
        <v>222.21</v>
      </c>
      <c r="CU150" s="13">
        <v>1163.32</v>
      </c>
      <c r="CV150" s="13">
        <v>717.25</v>
      </c>
      <c r="CW150" s="202">
        <v>3454</v>
      </c>
      <c r="CX150" s="200">
        <v>1981</v>
      </c>
      <c r="CY150" s="202"/>
      <c r="CZ150" s="202"/>
      <c r="DA150" s="202"/>
      <c r="DB150" s="202"/>
      <c r="DC150" s="202"/>
      <c r="DD150" s="461"/>
      <c r="DE150" s="256"/>
      <c r="DF150" s="202"/>
      <c r="DG150" s="202"/>
      <c r="DH150" s="202"/>
      <c r="DI150" s="204">
        <v>1236</v>
      </c>
      <c r="DJ150" s="202"/>
      <c r="DK150" s="202"/>
      <c r="DL150" s="202"/>
      <c r="DM150" s="202">
        <v>21508</v>
      </c>
      <c r="DN150" s="202">
        <v>1275</v>
      </c>
      <c r="DO150" s="202">
        <v>0.75</v>
      </c>
      <c r="DP150" s="202"/>
      <c r="DQ150" s="202"/>
      <c r="DR150" s="202"/>
      <c r="DS150" s="202">
        <v>11080</v>
      </c>
      <c r="DT150" s="254">
        <v>390</v>
      </c>
      <c r="DU150" s="254">
        <v>133</v>
      </c>
      <c r="DV150" s="202"/>
      <c r="DW150" s="202"/>
      <c r="DX150" s="202">
        <v>18299</v>
      </c>
      <c r="DY150" s="107">
        <v>1365</v>
      </c>
      <c r="DZ150" s="107"/>
      <c r="EA150" s="202">
        <v>3863.82</v>
      </c>
      <c r="EB150" s="202"/>
      <c r="EC150" s="202"/>
      <c r="ED150" s="202"/>
      <c r="EE150" s="202"/>
      <c r="EF150" s="229"/>
      <c r="EG150" s="202"/>
      <c r="EH150" s="202"/>
      <c r="EI150" s="202"/>
      <c r="EJ150" s="202"/>
      <c r="EK150" s="202">
        <v>2420.14</v>
      </c>
      <c r="EL150" s="202">
        <v>0</v>
      </c>
      <c r="EM150" s="202">
        <v>2026.8</v>
      </c>
      <c r="EN150" s="202">
        <v>1176.6500000000001</v>
      </c>
      <c r="EO150" s="202">
        <v>2420.14</v>
      </c>
      <c r="EP150" s="202"/>
      <c r="EQ150" s="202">
        <v>2026.8</v>
      </c>
      <c r="ER150" s="202">
        <v>1176.6500000000001</v>
      </c>
      <c r="ES150" s="202"/>
      <c r="ET150" s="202"/>
      <c r="EU150" s="202"/>
      <c r="EV150" s="214">
        <v>45.02</v>
      </c>
      <c r="EW150" s="240">
        <f t="shared" si="119"/>
        <v>8669.92</v>
      </c>
      <c r="EX150" s="209">
        <f t="shared" si="120"/>
        <v>5642.85</v>
      </c>
    </row>
    <row r="151" spans="1:154" ht="12.75" customHeight="1" x14ac:dyDescent="0.2">
      <c r="A151" s="45" t="s">
        <v>219</v>
      </c>
      <c r="B151" s="141" t="s">
        <v>184</v>
      </c>
      <c r="C151" s="142" t="s">
        <v>32</v>
      </c>
      <c r="D151" s="143" t="s">
        <v>462</v>
      </c>
      <c r="E151" s="142" t="s">
        <v>12</v>
      </c>
      <c r="F151" s="11">
        <v>5</v>
      </c>
      <c r="G151" s="11">
        <v>6</v>
      </c>
      <c r="H151" s="11">
        <v>90</v>
      </c>
      <c r="I151" s="11">
        <v>90</v>
      </c>
      <c r="J151" s="11">
        <v>192</v>
      </c>
      <c r="K151" s="11">
        <v>229</v>
      </c>
      <c r="L151" s="11" t="s">
        <v>746</v>
      </c>
      <c r="M151" s="84">
        <v>416</v>
      </c>
      <c r="N151" s="84">
        <v>1287</v>
      </c>
      <c r="O151" s="84">
        <v>0</v>
      </c>
      <c r="P151" s="135">
        <v>404.5</v>
      </c>
      <c r="Q151" s="135">
        <v>1005.3</v>
      </c>
      <c r="R151" s="133">
        <v>0</v>
      </c>
      <c r="S151" s="133">
        <f t="shared" si="121"/>
        <v>1409.8</v>
      </c>
      <c r="T151" s="134">
        <v>404.5</v>
      </c>
      <c r="U151" s="130">
        <v>1.53</v>
      </c>
      <c r="V151" s="131">
        <v>1.9800000000000002E-2</v>
      </c>
      <c r="W151" s="131">
        <v>1.9800000000000002E-2</v>
      </c>
      <c r="X151" s="132">
        <v>1.2199999999999999E-3</v>
      </c>
      <c r="Y151" s="131">
        <v>3.95E-2</v>
      </c>
      <c r="Z151" s="29">
        <v>3938.1</v>
      </c>
      <c r="AA151" s="34"/>
      <c r="AB151" s="9">
        <f t="shared" si="83"/>
        <v>3938.1</v>
      </c>
      <c r="AC151" s="9">
        <f t="shared" si="89"/>
        <v>24928.17</v>
      </c>
      <c r="AD151" s="9">
        <v>0.46</v>
      </c>
      <c r="AE151" s="9">
        <v>4.33</v>
      </c>
      <c r="AF151" s="21">
        <f>2.41-AJ151</f>
        <v>2.1</v>
      </c>
      <c r="AG151" s="18">
        <f>0.57-AQ151</f>
        <v>0.46</v>
      </c>
      <c r="AH151" s="9">
        <v>2.78</v>
      </c>
      <c r="AI151" s="43">
        <v>1236</v>
      </c>
      <c r="AJ151" s="21">
        <f t="shared" si="99"/>
        <v>0.31</v>
      </c>
      <c r="AK151" s="9">
        <v>0</v>
      </c>
      <c r="AL151" s="9">
        <v>0</v>
      </c>
      <c r="AM151" s="9">
        <v>0</v>
      </c>
      <c r="AN151" s="13"/>
      <c r="AO151" s="13">
        <v>901.8</v>
      </c>
      <c r="AP151" s="13">
        <f t="shared" si="123"/>
        <v>5.58</v>
      </c>
      <c r="AQ151" s="18">
        <f t="shared" si="98"/>
        <v>0.11</v>
      </c>
      <c r="AR151" s="9">
        <v>0.8</v>
      </c>
      <c r="AS151" s="9">
        <v>0.35</v>
      </c>
      <c r="AT151" s="9">
        <v>7.0000000000000007E-2</v>
      </c>
      <c r="AU151" s="9">
        <v>4.5</v>
      </c>
      <c r="AV151" s="9">
        <v>0.12</v>
      </c>
      <c r="AW151" s="9">
        <f>1.05+0.4+0.32</f>
        <v>1.77</v>
      </c>
      <c r="AX151" s="9">
        <f>1.44+0.53</f>
        <v>1.97</v>
      </c>
      <c r="AY151" s="144">
        <f t="shared" si="124"/>
        <v>20.13</v>
      </c>
      <c r="AZ151" s="145">
        <v>3926.1</v>
      </c>
      <c r="BA151" s="145">
        <v>0</v>
      </c>
      <c r="BB151" s="145">
        <f t="shared" si="84"/>
        <v>3926.1</v>
      </c>
      <c r="BC151" s="145">
        <v>20.13</v>
      </c>
      <c r="BD151" s="13">
        <f t="shared" si="122"/>
        <v>0</v>
      </c>
      <c r="BE151" s="9">
        <f t="shared" si="100"/>
        <v>79273.95</v>
      </c>
      <c r="BF151" s="9">
        <v>20.13</v>
      </c>
      <c r="BG151" s="10">
        <v>44409</v>
      </c>
      <c r="BH151" s="9">
        <f t="shared" si="101"/>
        <v>1811.53</v>
      </c>
      <c r="BI151" s="9">
        <f t="shared" si="102"/>
        <v>17051.97</v>
      </c>
      <c r="BJ151" s="9">
        <f t="shared" si="103"/>
        <v>8270.01</v>
      </c>
      <c r="BK151" s="9">
        <f t="shared" si="104"/>
        <v>1811.53</v>
      </c>
      <c r="BL151" s="9">
        <f t="shared" si="105"/>
        <v>10947.92</v>
      </c>
      <c r="BM151" s="9">
        <f t="shared" si="106"/>
        <v>1220.81</v>
      </c>
      <c r="BN151" s="9">
        <f t="shared" si="107"/>
        <v>0</v>
      </c>
      <c r="BO151" s="9">
        <f t="shared" si="108"/>
        <v>0</v>
      </c>
      <c r="BP151" s="9">
        <f t="shared" si="109"/>
        <v>0</v>
      </c>
      <c r="BQ151" s="9">
        <f t="shared" si="110"/>
        <v>433.19</v>
      </c>
      <c r="BR151" s="9">
        <f t="shared" si="111"/>
        <v>3150.48</v>
      </c>
      <c r="BS151" s="9">
        <f t="shared" si="112"/>
        <v>1378.34</v>
      </c>
      <c r="BT151" s="9">
        <f t="shared" si="113"/>
        <v>275.67</v>
      </c>
      <c r="BU151" s="9">
        <f t="shared" si="114"/>
        <v>17721.45</v>
      </c>
      <c r="BV151" s="9">
        <f t="shared" si="115"/>
        <v>472.57</v>
      </c>
      <c r="BW151" s="9">
        <f t="shared" si="116"/>
        <v>6970.44</v>
      </c>
      <c r="BX151" s="9">
        <f t="shared" si="117"/>
        <v>7758.06</v>
      </c>
      <c r="BY151" s="17">
        <f t="shared" si="118"/>
        <v>79273.97</v>
      </c>
      <c r="BZ151" s="17">
        <v>2.1</v>
      </c>
      <c r="CA151" s="17">
        <v>0.06</v>
      </c>
      <c r="CB151" s="17">
        <v>0.33</v>
      </c>
      <c r="CC151" s="27">
        <v>0.06</v>
      </c>
      <c r="CD151" s="29">
        <v>6.33</v>
      </c>
      <c r="CE151" s="9">
        <v>1386.46</v>
      </c>
      <c r="CF151" s="9"/>
      <c r="CG151" s="9">
        <v>216.44</v>
      </c>
      <c r="CH151" s="9">
        <v>226.05</v>
      </c>
      <c r="CI151" s="9">
        <f>IF(CE151&gt;0,CE151/AB151,0)</f>
        <v>0.35</v>
      </c>
      <c r="CJ151" s="9">
        <f>IF(CF151&gt;0,CF151/AB151,0)</f>
        <v>0</v>
      </c>
      <c r="CK151" s="13">
        <f>IF(CG151&gt;0,CG151/AB151,0)</f>
        <v>0.05</v>
      </c>
      <c r="CL151" s="13">
        <f>IF(CH151&gt;0,CH151/AB151,0)</f>
        <v>0.06</v>
      </c>
      <c r="CM151" s="13">
        <v>79273.990000000005</v>
      </c>
      <c r="CN151" s="13">
        <v>2362.86</v>
      </c>
      <c r="CO151" s="13">
        <v>0</v>
      </c>
      <c r="CP151" s="13">
        <v>196.7</v>
      </c>
      <c r="CQ151" s="13">
        <v>236.26</v>
      </c>
      <c r="CR151" s="13">
        <v>82520.800000000003</v>
      </c>
      <c r="CS151" s="13">
        <v>2582.9</v>
      </c>
      <c r="CT151" s="13">
        <v>160.63</v>
      </c>
      <c r="CU151" s="13">
        <v>206.73</v>
      </c>
      <c r="CV151" s="13">
        <v>246.72</v>
      </c>
      <c r="CW151" s="202">
        <v>3431</v>
      </c>
      <c r="CX151" s="200">
        <v>1968</v>
      </c>
      <c r="CY151" s="202"/>
      <c r="CZ151" s="202"/>
      <c r="DA151" s="202"/>
      <c r="DB151" s="202"/>
      <c r="DC151" s="202"/>
      <c r="DD151" s="461"/>
      <c r="DE151" s="256"/>
      <c r="DF151" s="202"/>
      <c r="DG151" s="202"/>
      <c r="DH151" s="202"/>
      <c r="DI151" s="204">
        <v>1236</v>
      </c>
      <c r="DJ151" s="202"/>
      <c r="DK151" s="202"/>
      <c r="DL151" s="202"/>
      <c r="DM151" s="202">
        <v>19203</v>
      </c>
      <c r="DN151" s="202">
        <v>3400</v>
      </c>
      <c r="DO151" s="202">
        <v>2</v>
      </c>
      <c r="DP151" s="202"/>
      <c r="DQ151" s="202"/>
      <c r="DR151" s="202"/>
      <c r="DS151" s="202">
        <v>11080</v>
      </c>
      <c r="DT151" s="254">
        <v>390</v>
      </c>
      <c r="DU151" s="254">
        <v>133</v>
      </c>
      <c r="DV151" s="202"/>
      <c r="DW151" s="202"/>
      <c r="DX151" s="202">
        <v>17891</v>
      </c>
      <c r="DY151" s="107">
        <v>1365</v>
      </c>
      <c r="DZ151" s="107"/>
      <c r="EA151" s="202"/>
      <c r="EB151" s="202"/>
      <c r="EC151" s="202"/>
      <c r="ED151" s="202"/>
      <c r="EE151" s="202"/>
      <c r="EF151" s="229"/>
      <c r="EG151" s="202"/>
      <c r="EH151" s="202"/>
      <c r="EI151" s="202"/>
      <c r="EJ151" s="202"/>
      <c r="EK151" s="202">
        <v>2382.2600000000002</v>
      </c>
      <c r="EL151" s="202">
        <v>0</v>
      </c>
      <c r="EM151" s="202">
        <v>216.44</v>
      </c>
      <c r="EN151" s="202">
        <v>226.05</v>
      </c>
      <c r="EO151" s="202">
        <v>2382.2600000000002</v>
      </c>
      <c r="EP151" s="202"/>
      <c r="EQ151" s="202">
        <v>216.44</v>
      </c>
      <c r="ER151" s="202">
        <v>226.05</v>
      </c>
      <c r="ES151" s="202"/>
      <c r="ET151" s="202"/>
      <c r="EU151" s="202"/>
      <c r="EV151" s="214">
        <v>2.15</v>
      </c>
      <c r="EW151" s="240">
        <f t="shared" si="119"/>
        <v>8613.25</v>
      </c>
      <c r="EX151" s="209">
        <f t="shared" si="120"/>
        <v>5605.96</v>
      </c>
    </row>
    <row r="152" spans="1:154" ht="12.75" customHeight="1" x14ac:dyDescent="0.2">
      <c r="A152" s="45" t="s">
        <v>220</v>
      </c>
      <c r="B152" s="123" t="s">
        <v>184</v>
      </c>
      <c r="C152" s="124" t="s">
        <v>34</v>
      </c>
      <c r="D152" s="123" t="s">
        <v>641</v>
      </c>
      <c r="E152" s="124"/>
      <c r="F152" s="11">
        <v>9</v>
      </c>
      <c r="G152" s="11">
        <v>1</v>
      </c>
      <c r="H152" s="11">
        <v>54</v>
      </c>
      <c r="I152" s="11">
        <v>55</v>
      </c>
      <c r="J152" s="11">
        <v>102</v>
      </c>
      <c r="K152" s="11">
        <v>101</v>
      </c>
      <c r="L152" s="83">
        <v>1</v>
      </c>
      <c r="M152" s="84">
        <v>242</v>
      </c>
      <c r="N152" s="84">
        <v>410</v>
      </c>
      <c r="O152" s="84">
        <v>410</v>
      </c>
      <c r="P152" s="135">
        <v>293.8</v>
      </c>
      <c r="Q152" s="135">
        <v>237.9</v>
      </c>
      <c r="R152" s="133">
        <v>399.4</v>
      </c>
      <c r="S152" s="133">
        <f t="shared" si="121"/>
        <v>931.1</v>
      </c>
      <c r="T152" s="134">
        <v>294.10000000000002</v>
      </c>
      <c r="U152" s="130">
        <v>2.44</v>
      </c>
      <c r="V152" s="131">
        <v>1.9800000000000002E-2</v>
      </c>
      <c r="W152" s="131">
        <v>1.9800000000000002E-2</v>
      </c>
      <c r="X152" s="132">
        <v>1.32E-3</v>
      </c>
      <c r="Y152" s="131">
        <v>3.9699999999999999E-2</v>
      </c>
      <c r="Z152" s="29">
        <v>2289.41</v>
      </c>
      <c r="AA152" s="34"/>
      <c r="AB152" s="9">
        <f t="shared" si="83"/>
        <v>2289.41</v>
      </c>
      <c r="AC152" s="9">
        <f t="shared" si="89"/>
        <v>14491.97</v>
      </c>
      <c r="AD152" s="9">
        <v>1.46</v>
      </c>
      <c r="AE152" s="9">
        <v>4.51</v>
      </c>
      <c r="AF152" s="21">
        <f>2.43-AJ152</f>
        <v>2.2599999999999998</v>
      </c>
      <c r="AG152" s="18">
        <f>0.6-AQ152</f>
        <v>0.54</v>
      </c>
      <c r="AH152" s="9">
        <v>2.77</v>
      </c>
      <c r="AI152" s="43">
        <v>394</v>
      </c>
      <c r="AJ152" s="21">
        <f t="shared" si="99"/>
        <v>0.17</v>
      </c>
      <c r="AK152" s="9">
        <v>1.88</v>
      </c>
      <c r="AL152" s="9">
        <v>0.51</v>
      </c>
      <c r="AM152" s="9">
        <v>0.25</v>
      </c>
      <c r="AN152" s="13"/>
      <c r="AO152" s="13">
        <v>305.89999999999998</v>
      </c>
      <c r="AP152" s="13">
        <f t="shared" si="123"/>
        <v>5.58</v>
      </c>
      <c r="AQ152" s="18">
        <f t="shared" si="98"/>
        <v>0.06</v>
      </c>
      <c r="AR152" s="9">
        <v>0.75</v>
      </c>
      <c r="AS152" s="9">
        <v>0.6</v>
      </c>
      <c r="AT152" s="9">
        <v>7.0000000000000007E-2</v>
      </c>
      <c r="AU152" s="9">
        <v>4.09</v>
      </c>
      <c r="AV152" s="9">
        <v>0.17</v>
      </c>
      <c r="AW152" s="9">
        <f>1.42+0.36+0.33</f>
        <v>2.11</v>
      </c>
      <c r="AX152" s="9">
        <f>2.02+0.49</f>
        <v>2.5099999999999998</v>
      </c>
      <c r="AY152" s="126">
        <f t="shared" si="124"/>
        <v>24.71</v>
      </c>
      <c r="AZ152" s="127"/>
      <c r="BA152" s="127"/>
      <c r="BB152" s="127"/>
      <c r="BC152" s="127">
        <v>24.71</v>
      </c>
      <c r="BD152" s="13">
        <f t="shared" si="122"/>
        <v>0</v>
      </c>
      <c r="BE152" s="9">
        <f t="shared" si="100"/>
        <v>56571.32</v>
      </c>
      <c r="BF152" s="9">
        <v>24.71</v>
      </c>
      <c r="BG152" s="10">
        <v>44440</v>
      </c>
      <c r="BH152" s="9">
        <f t="shared" si="101"/>
        <v>3342.54</v>
      </c>
      <c r="BI152" s="9">
        <f t="shared" si="102"/>
        <v>10325.24</v>
      </c>
      <c r="BJ152" s="9">
        <f t="shared" si="103"/>
        <v>5174.07</v>
      </c>
      <c r="BK152" s="9">
        <f t="shared" si="104"/>
        <v>1236.28</v>
      </c>
      <c r="BL152" s="9">
        <f t="shared" si="105"/>
        <v>6341.67</v>
      </c>
      <c r="BM152" s="9">
        <f t="shared" si="106"/>
        <v>389.2</v>
      </c>
      <c r="BN152" s="9">
        <f t="shared" si="107"/>
        <v>4304.09</v>
      </c>
      <c r="BO152" s="9">
        <f t="shared" si="108"/>
        <v>1167.5999999999999</v>
      </c>
      <c r="BP152" s="9">
        <f t="shared" si="109"/>
        <v>572.35</v>
      </c>
      <c r="BQ152" s="9">
        <f t="shared" si="110"/>
        <v>137.36000000000001</v>
      </c>
      <c r="BR152" s="9">
        <f t="shared" si="111"/>
        <v>1717.06</v>
      </c>
      <c r="BS152" s="9">
        <f t="shared" si="112"/>
        <v>1373.65</v>
      </c>
      <c r="BT152" s="9">
        <f t="shared" si="113"/>
        <v>160.26</v>
      </c>
      <c r="BU152" s="9">
        <f t="shared" si="114"/>
        <v>9363.69</v>
      </c>
      <c r="BV152" s="9">
        <f t="shared" si="115"/>
        <v>389.2</v>
      </c>
      <c r="BW152" s="9">
        <f t="shared" si="116"/>
        <v>4830.66</v>
      </c>
      <c r="BX152" s="9">
        <f t="shared" si="117"/>
        <v>5746.42</v>
      </c>
      <c r="BY152" s="17">
        <f t="shared" si="118"/>
        <v>56571.34</v>
      </c>
      <c r="BZ152" s="17">
        <v>4.34</v>
      </c>
      <c r="CA152" s="17">
        <v>0.06</v>
      </c>
      <c r="CB152" s="17">
        <v>0.36</v>
      </c>
      <c r="CC152" s="27">
        <v>0.06</v>
      </c>
      <c r="CD152" s="29">
        <v>6.33</v>
      </c>
      <c r="CE152" s="9"/>
      <c r="CF152" s="9"/>
      <c r="CG152" s="9"/>
      <c r="CH152" s="9"/>
      <c r="CI152" s="9"/>
      <c r="CJ152" s="9"/>
      <c r="CK152" s="13"/>
      <c r="CL152" s="13"/>
      <c r="CM152" s="13">
        <v>56571.35</v>
      </c>
      <c r="CN152" s="13">
        <v>1739.95</v>
      </c>
      <c r="CO152" s="13">
        <v>847.07</v>
      </c>
      <c r="CP152" s="13">
        <v>0</v>
      </c>
      <c r="CQ152" s="13">
        <v>91.58</v>
      </c>
      <c r="CR152" s="13">
        <v>59857.37</v>
      </c>
      <c r="CS152" s="13">
        <v>3995.34</v>
      </c>
      <c r="CT152" s="13">
        <v>1678.87</v>
      </c>
      <c r="CU152" s="13">
        <v>36.82</v>
      </c>
      <c r="CV152" s="13">
        <v>107.67</v>
      </c>
      <c r="CW152" s="202">
        <v>1995</v>
      </c>
      <c r="CX152" s="200">
        <v>1144</v>
      </c>
      <c r="CY152" s="202"/>
      <c r="CZ152" s="202"/>
      <c r="DA152" s="202"/>
      <c r="DB152" s="202"/>
      <c r="DC152" s="202"/>
      <c r="DD152" s="461"/>
      <c r="DE152" s="256"/>
      <c r="DF152" s="202"/>
      <c r="DG152" s="202"/>
      <c r="DH152" s="202"/>
      <c r="DI152" s="204">
        <v>394</v>
      </c>
      <c r="DJ152" s="202">
        <v>4300</v>
      </c>
      <c r="DK152" s="202"/>
      <c r="DL152" s="202">
        <v>4500</v>
      </c>
      <c r="DM152" s="202">
        <v>13897</v>
      </c>
      <c r="DN152" s="202">
        <v>3400</v>
      </c>
      <c r="DO152" s="202">
        <v>2</v>
      </c>
      <c r="DP152" s="202"/>
      <c r="DQ152" s="202"/>
      <c r="DR152" s="202"/>
      <c r="DS152" s="202"/>
      <c r="DT152" s="254"/>
      <c r="DU152" s="254"/>
      <c r="DV152" s="202"/>
      <c r="DW152" s="202"/>
      <c r="DX152" s="202">
        <v>10462</v>
      </c>
      <c r="DY152" s="107">
        <v>1365</v>
      </c>
      <c r="DZ152" s="107">
        <v>577</v>
      </c>
      <c r="EA152" s="202"/>
      <c r="EB152" s="202"/>
      <c r="EC152" s="202"/>
      <c r="ED152" s="202"/>
      <c r="EE152" s="202"/>
      <c r="EF152" s="229"/>
      <c r="EG152" s="202"/>
      <c r="EH152" s="202"/>
      <c r="EI152" s="202"/>
      <c r="EJ152" s="202"/>
      <c r="EK152" s="202">
        <v>1734.99</v>
      </c>
      <c r="EL152" s="202">
        <v>851.26</v>
      </c>
      <c r="EM152" s="202">
        <v>0</v>
      </c>
      <c r="EN152" s="202">
        <v>82.39</v>
      </c>
      <c r="EO152" s="202">
        <v>1734.99</v>
      </c>
      <c r="EP152" s="202"/>
      <c r="EQ152" s="202">
        <v>0</v>
      </c>
      <c r="ER152" s="202">
        <v>82.39</v>
      </c>
      <c r="ES152" s="202"/>
      <c r="ET152" s="202"/>
      <c r="EU152" s="202"/>
      <c r="EV152" s="214">
        <f>-3.7+6158.22</f>
        <v>6154.52</v>
      </c>
      <c r="EW152" s="240">
        <f t="shared" si="119"/>
        <v>5007.3100000000004</v>
      </c>
      <c r="EX152" s="209">
        <f t="shared" si="120"/>
        <v>3259.02</v>
      </c>
    </row>
    <row r="153" spans="1:154" ht="12.75" customHeight="1" x14ac:dyDescent="0.2">
      <c r="A153" s="45" t="s">
        <v>222</v>
      </c>
      <c r="B153" s="141" t="s">
        <v>184</v>
      </c>
      <c r="C153" s="142" t="s">
        <v>37</v>
      </c>
      <c r="D153" s="143" t="s">
        <v>463</v>
      </c>
      <c r="E153" s="142" t="s">
        <v>12</v>
      </c>
      <c r="F153" s="11">
        <v>5</v>
      </c>
      <c r="G153" s="11">
        <v>6</v>
      </c>
      <c r="H153" s="11">
        <v>90</v>
      </c>
      <c r="I153" s="11">
        <v>90</v>
      </c>
      <c r="J153" s="11">
        <v>196</v>
      </c>
      <c r="K153" s="11">
        <v>237</v>
      </c>
      <c r="L153" s="11" t="s">
        <v>746</v>
      </c>
      <c r="M153" s="84">
        <v>407</v>
      </c>
      <c r="N153" s="84">
        <v>1287</v>
      </c>
      <c r="O153" s="84">
        <v>0</v>
      </c>
      <c r="P153" s="135">
        <v>405</v>
      </c>
      <c r="Q153" s="135">
        <v>1005.3</v>
      </c>
      <c r="R153" s="133">
        <v>0</v>
      </c>
      <c r="S153" s="133">
        <f t="shared" si="121"/>
        <v>1410.3</v>
      </c>
      <c r="T153" s="134">
        <v>407</v>
      </c>
      <c r="U153" s="130">
        <v>1.53</v>
      </c>
      <c r="V153" s="131">
        <v>1.9800000000000002E-2</v>
      </c>
      <c r="W153" s="131">
        <v>1.9800000000000002E-2</v>
      </c>
      <c r="X153" s="132">
        <v>1.2199999999999999E-3</v>
      </c>
      <c r="Y153" s="131">
        <v>3.95E-2</v>
      </c>
      <c r="Z153" s="29">
        <v>3875.97</v>
      </c>
      <c r="AA153" s="34">
        <v>58.4</v>
      </c>
      <c r="AB153" s="9">
        <f t="shared" si="83"/>
        <v>3934.37</v>
      </c>
      <c r="AC153" s="9">
        <f t="shared" si="89"/>
        <v>24904.560000000001</v>
      </c>
      <c r="AD153" s="9">
        <v>0.52</v>
      </c>
      <c r="AE153" s="9">
        <v>4.18</v>
      </c>
      <c r="AF153" s="21">
        <f>2.5-AJ153</f>
        <v>2.19</v>
      </c>
      <c r="AG153" s="18">
        <f>0.57-AQ153</f>
        <v>0.46</v>
      </c>
      <c r="AH153" s="9">
        <v>2.78</v>
      </c>
      <c r="AI153" s="43">
        <v>1236</v>
      </c>
      <c r="AJ153" s="21">
        <f t="shared" si="99"/>
        <v>0.31</v>
      </c>
      <c r="AK153" s="9">
        <v>0</v>
      </c>
      <c r="AL153" s="9">
        <v>0</v>
      </c>
      <c r="AM153" s="9">
        <v>0</v>
      </c>
      <c r="AN153" s="13"/>
      <c r="AO153" s="13">
        <v>901.8</v>
      </c>
      <c r="AP153" s="13">
        <f t="shared" si="123"/>
        <v>5.58</v>
      </c>
      <c r="AQ153" s="18">
        <f t="shared" si="98"/>
        <v>0.11</v>
      </c>
      <c r="AR153" s="9">
        <v>0.8</v>
      </c>
      <c r="AS153" s="9">
        <v>0.35</v>
      </c>
      <c r="AT153" s="9">
        <v>7.0000000000000007E-2</v>
      </c>
      <c r="AU153" s="9">
        <v>4.55</v>
      </c>
      <c r="AV153" s="9">
        <v>0.12</v>
      </c>
      <c r="AW153" s="9">
        <f>1.05+0.4+0.32</f>
        <v>1.77</v>
      </c>
      <c r="AX153" s="9">
        <f>1.44+0.54</f>
        <v>1.98</v>
      </c>
      <c r="AY153" s="144">
        <f t="shared" si="124"/>
        <v>20.190000000000001</v>
      </c>
      <c r="AZ153" s="145">
        <v>3866.2</v>
      </c>
      <c r="BA153" s="145">
        <v>58.4</v>
      </c>
      <c r="BB153" s="145">
        <f t="shared" si="84"/>
        <v>3924.6</v>
      </c>
      <c r="BC153" s="145">
        <v>20.190000000000001</v>
      </c>
      <c r="BD153" s="13">
        <f t="shared" si="122"/>
        <v>0</v>
      </c>
      <c r="BE153" s="9">
        <f t="shared" si="100"/>
        <v>79434.929999999993</v>
      </c>
      <c r="BF153" s="9">
        <v>20.190000000000001</v>
      </c>
      <c r="BG153" s="10">
        <v>44409</v>
      </c>
      <c r="BH153" s="9">
        <f t="shared" si="101"/>
        <v>2045.87</v>
      </c>
      <c r="BI153" s="9">
        <f t="shared" si="102"/>
        <v>16445.669999999998</v>
      </c>
      <c r="BJ153" s="9">
        <f t="shared" si="103"/>
        <v>8616.27</v>
      </c>
      <c r="BK153" s="9">
        <f t="shared" si="104"/>
        <v>1809.81</v>
      </c>
      <c r="BL153" s="9">
        <f t="shared" si="105"/>
        <v>10937.55</v>
      </c>
      <c r="BM153" s="9">
        <f t="shared" si="106"/>
        <v>1219.6500000000001</v>
      </c>
      <c r="BN153" s="9">
        <f t="shared" si="107"/>
        <v>0</v>
      </c>
      <c r="BO153" s="9">
        <f t="shared" si="108"/>
        <v>0</v>
      </c>
      <c r="BP153" s="9">
        <f t="shared" si="109"/>
        <v>0</v>
      </c>
      <c r="BQ153" s="9">
        <f t="shared" si="110"/>
        <v>432.78</v>
      </c>
      <c r="BR153" s="9">
        <f t="shared" si="111"/>
        <v>3147.5</v>
      </c>
      <c r="BS153" s="9">
        <f t="shared" si="112"/>
        <v>1377.03</v>
      </c>
      <c r="BT153" s="9">
        <f t="shared" si="113"/>
        <v>275.41000000000003</v>
      </c>
      <c r="BU153" s="9">
        <f t="shared" si="114"/>
        <v>17901.38</v>
      </c>
      <c r="BV153" s="9">
        <f t="shared" si="115"/>
        <v>472.12</v>
      </c>
      <c r="BW153" s="9">
        <f t="shared" si="116"/>
        <v>6963.83</v>
      </c>
      <c r="BX153" s="9">
        <f t="shared" si="117"/>
        <v>7790.05</v>
      </c>
      <c r="BY153" s="17">
        <f t="shared" si="118"/>
        <v>79434.92</v>
      </c>
      <c r="BZ153" s="17">
        <v>2.52</v>
      </c>
      <c r="CA153" s="17">
        <v>0.06</v>
      </c>
      <c r="CB153" s="17">
        <v>0.33</v>
      </c>
      <c r="CC153" s="27">
        <v>0.06</v>
      </c>
      <c r="CD153" s="29">
        <v>6.33</v>
      </c>
      <c r="CE153" s="9">
        <v>1175.81</v>
      </c>
      <c r="CF153" s="9"/>
      <c r="CG153" s="9">
        <v>4188.72</v>
      </c>
      <c r="CH153" s="9">
        <v>2292.81</v>
      </c>
      <c r="CI153" s="9">
        <f>IF(CE153&gt;0,CE153/AB153,0)</f>
        <v>0.3</v>
      </c>
      <c r="CJ153" s="9">
        <f>IF(CF153&gt;0,CF153/AB153,0)</f>
        <v>0</v>
      </c>
      <c r="CK153" s="13">
        <f>IF(CG153&gt;0,CG153/AB153,0)</f>
        <v>1.06</v>
      </c>
      <c r="CL153" s="13">
        <f>IF(CH153&gt;0,CH153/AB153,0)</f>
        <v>0.57999999999999996</v>
      </c>
      <c r="CM153" s="13">
        <v>78255.839999999997</v>
      </c>
      <c r="CN153" s="13">
        <v>1899.2</v>
      </c>
      <c r="CO153" s="13">
        <v>0</v>
      </c>
      <c r="CP153" s="13">
        <v>6434.09</v>
      </c>
      <c r="CQ153" s="13">
        <v>3488.37</v>
      </c>
      <c r="CR153" s="13">
        <v>71151.320000000007</v>
      </c>
      <c r="CS153" s="13">
        <v>1880.83</v>
      </c>
      <c r="CT153" s="13">
        <v>128.47999999999999</v>
      </c>
      <c r="CU153" s="13">
        <v>3228.5</v>
      </c>
      <c r="CV153" s="13">
        <v>1794.67</v>
      </c>
      <c r="CW153" s="202">
        <v>3428</v>
      </c>
      <c r="CX153" s="200">
        <v>1966</v>
      </c>
      <c r="CY153" s="202"/>
      <c r="CZ153" s="202"/>
      <c r="DA153" s="202"/>
      <c r="DB153" s="202"/>
      <c r="DC153" s="202"/>
      <c r="DD153" s="461"/>
      <c r="DE153" s="256"/>
      <c r="DF153" s="202"/>
      <c r="DG153" s="202"/>
      <c r="DH153" s="202"/>
      <c r="DI153" s="204">
        <v>1236</v>
      </c>
      <c r="DJ153" s="202"/>
      <c r="DK153" s="202"/>
      <c r="DL153" s="202"/>
      <c r="DM153" s="202">
        <v>18843</v>
      </c>
      <c r="DN153" s="202">
        <v>3400</v>
      </c>
      <c r="DO153" s="202">
        <v>2</v>
      </c>
      <c r="DP153" s="202"/>
      <c r="DQ153" s="202"/>
      <c r="DR153" s="202"/>
      <c r="DS153" s="202">
        <v>11080</v>
      </c>
      <c r="DT153" s="254">
        <v>390</v>
      </c>
      <c r="DU153" s="254">
        <v>133</v>
      </c>
      <c r="DV153" s="202"/>
      <c r="DW153" s="202"/>
      <c r="DX153" s="202">
        <v>18155</v>
      </c>
      <c r="DY153" s="107">
        <v>1365</v>
      </c>
      <c r="DZ153" s="107"/>
      <c r="EA153" s="202"/>
      <c r="EB153" s="202"/>
      <c r="EC153" s="202"/>
      <c r="ED153" s="202"/>
      <c r="EE153" s="202"/>
      <c r="EF153" s="229"/>
      <c r="EG153" s="202"/>
      <c r="EH153" s="202"/>
      <c r="EI153" s="202"/>
      <c r="EJ153" s="202"/>
      <c r="EK153" s="202">
        <v>1926.49</v>
      </c>
      <c r="EL153" s="202">
        <v>0</v>
      </c>
      <c r="EM153" s="202">
        <v>6512.78</v>
      </c>
      <c r="EN153" s="202">
        <v>3537.83</v>
      </c>
      <c r="EO153" s="202">
        <v>1926.49</v>
      </c>
      <c r="EP153" s="202"/>
      <c r="EQ153" s="202">
        <v>6512.78</v>
      </c>
      <c r="ER153" s="202">
        <v>3537.83</v>
      </c>
      <c r="ES153" s="202"/>
      <c r="ET153" s="202"/>
      <c r="EU153" s="202"/>
      <c r="EV153" s="214">
        <v>-5.87</v>
      </c>
      <c r="EW153" s="240">
        <f t="shared" si="119"/>
        <v>8605.1</v>
      </c>
      <c r="EX153" s="209">
        <f t="shared" si="120"/>
        <v>5600.65</v>
      </c>
    </row>
    <row r="154" spans="1:154" ht="12.75" customHeight="1" x14ac:dyDescent="0.2">
      <c r="A154" s="45" t="s">
        <v>223</v>
      </c>
      <c r="B154" s="123" t="s">
        <v>184</v>
      </c>
      <c r="C154" s="124" t="s">
        <v>106</v>
      </c>
      <c r="D154" s="125" t="s">
        <v>464</v>
      </c>
      <c r="E154" s="124" t="s">
        <v>12</v>
      </c>
      <c r="F154" s="11">
        <v>9</v>
      </c>
      <c r="G154" s="11">
        <v>1</v>
      </c>
      <c r="H154" s="11">
        <v>54</v>
      </c>
      <c r="I154" s="11">
        <v>55</v>
      </c>
      <c r="J154" s="11">
        <v>88</v>
      </c>
      <c r="K154" s="11">
        <v>118</v>
      </c>
      <c r="L154" s="83">
        <v>1</v>
      </c>
      <c r="M154" s="84">
        <v>251</v>
      </c>
      <c r="N154" s="84">
        <v>385</v>
      </c>
      <c r="O154" s="84">
        <v>385</v>
      </c>
      <c r="P154" s="135">
        <v>298.89999999999998</v>
      </c>
      <c r="Q154" s="135">
        <v>239.5</v>
      </c>
      <c r="R154" s="133">
        <v>227.2</v>
      </c>
      <c r="S154" s="133">
        <f t="shared" si="121"/>
        <v>765.6</v>
      </c>
      <c r="T154" s="134">
        <v>298.89999999999998</v>
      </c>
      <c r="U154" s="130">
        <v>2.44</v>
      </c>
      <c r="V154" s="131">
        <v>1.9800000000000002E-2</v>
      </c>
      <c r="W154" s="131">
        <v>1.9800000000000002E-2</v>
      </c>
      <c r="X154" s="132">
        <v>1.32E-3</v>
      </c>
      <c r="Y154" s="131">
        <v>3.9699999999999999E-2</v>
      </c>
      <c r="Z154" s="29">
        <v>2286.6999999999998</v>
      </c>
      <c r="AA154" s="34"/>
      <c r="AB154" s="9">
        <f t="shared" si="83"/>
        <v>2286.6999999999998</v>
      </c>
      <c r="AC154" s="9">
        <f t="shared" si="89"/>
        <v>14474.81</v>
      </c>
      <c r="AD154" s="9">
        <v>1.52</v>
      </c>
      <c r="AE154" s="9">
        <v>3.89</v>
      </c>
      <c r="AF154" s="21">
        <f>2.48-AJ154</f>
        <v>2.3199999999999998</v>
      </c>
      <c r="AG154" s="18">
        <f>0.6-AQ154</f>
        <v>0.54</v>
      </c>
      <c r="AH154" s="9">
        <v>2.77</v>
      </c>
      <c r="AI154" s="43">
        <v>370</v>
      </c>
      <c r="AJ154" s="21">
        <f t="shared" si="99"/>
        <v>0.16</v>
      </c>
      <c r="AK154" s="9">
        <v>1.9</v>
      </c>
      <c r="AL154" s="9">
        <v>0.17</v>
      </c>
      <c r="AM154" s="9">
        <v>0.26</v>
      </c>
      <c r="AN154" s="13"/>
      <c r="AO154" s="13">
        <v>305.89999999999998</v>
      </c>
      <c r="AP154" s="13">
        <f t="shared" si="123"/>
        <v>5.58</v>
      </c>
      <c r="AQ154" s="18">
        <f t="shared" si="98"/>
        <v>0.06</v>
      </c>
      <c r="AR154" s="9">
        <v>0.75</v>
      </c>
      <c r="AS154" s="9">
        <v>0.6</v>
      </c>
      <c r="AT154" s="9">
        <v>7.0000000000000007E-2</v>
      </c>
      <c r="AU154" s="9">
        <v>4.6399999999999997</v>
      </c>
      <c r="AV154" s="9">
        <v>0.16</v>
      </c>
      <c r="AW154" s="9">
        <f>1.35+0.33+0.41</f>
        <v>2.09</v>
      </c>
      <c r="AX154" s="9">
        <f>1.91+0.57</f>
        <v>2.48</v>
      </c>
      <c r="AY154" s="126">
        <f t="shared" si="124"/>
        <v>24.38</v>
      </c>
      <c r="AZ154" s="127">
        <v>2261.6</v>
      </c>
      <c r="BA154" s="127">
        <v>0</v>
      </c>
      <c r="BB154" s="127">
        <f t="shared" si="84"/>
        <v>2261.6</v>
      </c>
      <c r="BC154" s="127">
        <v>24.38</v>
      </c>
      <c r="BD154" s="13">
        <f t="shared" si="122"/>
        <v>0</v>
      </c>
      <c r="BE154" s="9">
        <f t="shared" si="100"/>
        <v>55749.75</v>
      </c>
      <c r="BF154" s="9">
        <v>24.38</v>
      </c>
      <c r="BG154" s="10">
        <v>44409</v>
      </c>
      <c r="BH154" s="9">
        <f t="shared" si="101"/>
        <v>3475.78</v>
      </c>
      <c r="BI154" s="9">
        <f t="shared" si="102"/>
        <v>8895.26</v>
      </c>
      <c r="BJ154" s="9">
        <f t="shared" si="103"/>
        <v>5305.14</v>
      </c>
      <c r="BK154" s="9">
        <f t="shared" si="104"/>
        <v>1234.82</v>
      </c>
      <c r="BL154" s="9">
        <f t="shared" si="105"/>
        <v>6334.16</v>
      </c>
      <c r="BM154" s="9">
        <f t="shared" si="106"/>
        <v>365.87</v>
      </c>
      <c r="BN154" s="9">
        <f t="shared" si="107"/>
        <v>4344.7299999999996</v>
      </c>
      <c r="BO154" s="9">
        <f t="shared" si="108"/>
        <v>388.74</v>
      </c>
      <c r="BP154" s="9">
        <f t="shared" si="109"/>
        <v>594.54</v>
      </c>
      <c r="BQ154" s="9">
        <f t="shared" si="110"/>
        <v>137.19999999999999</v>
      </c>
      <c r="BR154" s="9">
        <f t="shared" si="111"/>
        <v>1715.03</v>
      </c>
      <c r="BS154" s="9">
        <f t="shared" si="112"/>
        <v>1372.02</v>
      </c>
      <c r="BT154" s="9">
        <f t="shared" si="113"/>
        <v>160.07</v>
      </c>
      <c r="BU154" s="9">
        <f t="shared" si="114"/>
        <v>10610.29</v>
      </c>
      <c r="BV154" s="9">
        <f t="shared" si="115"/>
        <v>365.87</v>
      </c>
      <c r="BW154" s="9">
        <f t="shared" si="116"/>
        <v>4779.2</v>
      </c>
      <c r="BX154" s="9">
        <f t="shared" si="117"/>
        <v>5671.02</v>
      </c>
      <c r="BY154" s="17">
        <f t="shared" si="118"/>
        <v>55749.74</v>
      </c>
      <c r="BZ154" s="17">
        <v>3.82</v>
      </c>
      <c r="CA154" s="17">
        <v>7.0000000000000007E-2</v>
      </c>
      <c r="CB154" s="17">
        <v>0.44</v>
      </c>
      <c r="CC154" s="27">
        <v>7.0000000000000007E-2</v>
      </c>
      <c r="CD154" s="29">
        <v>6.33</v>
      </c>
      <c r="CE154" s="9">
        <v>2546.9499999999998</v>
      </c>
      <c r="CF154" s="9"/>
      <c r="CG154" s="9">
        <v>108.1</v>
      </c>
      <c r="CH154" s="9">
        <v>140.32</v>
      </c>
      <c r="CI154" s="9">
        <f>IF(CE154&gt;0,CE154/AB154,0)</f>
        <v>1.1100000000000001</v>
      </c>
      <c r="CJ154" s="9">
        <f>IF(CF154&gt;0,CF154/AB154,0)</f>
        <v>0</v>
      </c>
      <c r="CK154" s="13">
        <f>IF(CG154&gt;0,CG154/AB154,0)</f>
        <v>0.05</v>
      </c>
      <c r="CL154" s="13">
        <f>IF(CH154&gt;0,CH154/AB154,0)</f>
        <v>0.06</v>
      </c>
      <c r="CM154" s="13">
        <v>55749.71</v>
      </c>
      <c r="CN154" s="13">
        <v>2606.83</v>
      </c>
      <c r="CO154" s="13">
        <v>9878.58</v>
      </c>
      <c r="CP154" s="13">
        <v>571.82000000000005</v>
      </c>
      <c r="CQ154" s="13">
        <v>388.79</v>
      </c>
      <c r="CR154" s="13">
        <v>48958.64</v>
      </c>
      <c r="CS154" s="13">
        <v>2881.96</v>
      </c>
      <c r="CT154" s="13">
        <v>5080.5200000000004</v>
      </c>
      <c r="CU154" s="13">
        <v>233.26</v>
      </c>
      <c r="CV154" s="13">
        <v>198.06</v>
      </c>
      <c r="CW154" s="202">
        <v>1989</v>
      </c>
      <c r="CX154" s="200">
        <v>1141</v>
      </c>
      <c r="CY154" s="202"/>
      <c r="CZ154" s="202"/>
      <c r="DA154" s="202"/>
      <c r="DB154" s="202"/>
      <c r="DC154" s="202"/>
      <c r="DD154" s="461"/>
      <c r="DE154" s="256"/>
      <c r="DF154" s="202"/>
      <c r="DG154" s="202"/>
      <c r="DH154" s="202"/>
      <c r="DI154" s="204">
        <v>370</v>
      </c>
      <c r="DJ154" s="202">
        <v>4300</v>
      </c>
      <c r="DK154" s="202"/>
      <c r="DL154" s="202"/>
      <c r="DM154" s="202">
        <v>12487</v>
      </c>
      <c r="DN154" s="202">
        <v>3400</v>
      </c>
      <c r="DO154" s="202">
        <v>2</v>
      </c>
      <c r="DP154" s="202"/>
      <c r="DQ154" s="202"/>
      <c r="DR154" s="202"/>
      <c r="DS154" s="202"/>
      <c r="DT154" s="254"/>
      <c r="DU154" s="254"/>
      <c r="DV154" s="202"/>
      <c r="DW154" s="202"/>
      <c r="DX154" s="202">
        <v>10441</v>
      </c>
      <c r="DY154" s="107">
        <v>1365</v>
      </c>
      <c r="DZ154" s="107">
        <v>577</v>
      </c>
      <c r="EA154" s="202"/>
      <c r="EB154" s="202"/>
      <c r="EC154" s="202"/>
      <c r="ED154" s="202"/>
      <c r="EE154" s="202"/>
      <c r="EF154" s="229"/>
      <c r="EG154" s="202"/>
      <c r="EH154" s="202"/>
      <c r="EI154" s="202"/>
      <c r="EJ154" s="202"/>
      <c r="EK154" s="202">
        <v>2608.23</v>
      </c>
      <c r="EL154" s="202">
        <v>23588.62</v>
      </c>
      <c r="EM154" s="202">
        <v>567.5</v>
      </c>
      <c r="EN154" s="202">
        <v>380.84</v>
      </c>
      <c r="EO154" s="202">
        <v>2608.23</v>
      </c>
      <c r="EP154" s="202"/>
      <c r="EQ154" s="202">
        <v>567.5</v>
      </c>
      <c r="ER154" s="202">
        <v>380.84</v>
      </c>
      <c r="ES154" s="202"/>
      <c r="ET154" s="202"/>
      <c r="EU154" s="202"/>
      <c r="EV154" s="214">
        <v>-3.8</v>
      </c>
      <c r="EW154" s="240">
        <f t="shared" si="119"/>
        <v>5001.38</v>
      </c>
      <c r="EX154" s="209">
        <f t="shared" si="120"/>
        <v>3255.16</v>
      </c>
    </row>
    <row r="155" spans="1:154" ht="12.75" customHeight="1" x14ac:dyDescent="0.2">
      <c r="A155" s="45" t="s">
        <v>224</v>
      </c>
      <c r="B155" s="99" t="s">
        <v>184</v>
      </c>
      <c r="C155" s="100" t="s">
        <v>39</v>
      </c>
      <c r="D155" s="101" t="s">
        <v>465</v>
      </c>
      <c r="E155" s="100" t="s">
        <v>12</v>
      </c>
      <c r="F155" s="11">
        <v>9</v>
      </c>
      <c r="G155" s="11">
        <v>4</v>
      </c>
      <c r="H155" s="11">
        <v>144</v>
      </c>
      <c r="I155" s="11">
        <v>149</v>
      </c>
      <c r="J155" s="11">
        <v>347</v>
      </c>
      <c r="K155" s="11">
        <v>402</v>
      </c>
      <c r="L155" s="11">
        <v>4</v>
      </c>
      <c r="M155" s="84">
        <v>1170</v>
      </c>
      <c r="N155" s="84">
        <v>1288</v>
      </c>
      <c r="O155" s="84">
        <v>1288</v>
      </c>
      <c r="P155" s="135">
        <v>1252.0999999999999</v>
      </c>
      <c r="Q155" s="135">
        <v>1138</v>
      </c>
      <c r="R155" s="133">
        <v>1138</v>
      </c>
      <c r="S155" s="133">
        <f t="shared" si="121"/>
        <v>3528.1</v>
      </c>
      <c r="T155" s="134">
        <v>1252.0999999999999</v>
      </c>
      <c r="U155" s="130">
        <v>2.72</v>
      </c>
      <c r="V155" s="131">
        <v>1.21E-2</v>
      </c>
      <c r="W155" s="131">
        <v>1.9800000000000002E-2</v>
      </c>
      <c r="X155" s="132">
        <v>1.2700000000000001E-3</v>
      </c>
      <c r="Y155" s="131">
        <v>1.21E-2</v>
      </c>
      <c r="Z155" s="29">
        <v>7395.71</v>
      </c>
      <c r="AA155" s="34"/>
      <c r="AB155" s="9">
        <f t="shared" si="83"/>
        <v>7395.71</v>
      </c>
      <c r="AC155" s="9">
        <f t="shared" si="89"/>
        <v>46814.84</v>
      </c>
      <c r="AD155" s="9">
        <v>2.16</v>
      </c>
      <c r="AE155" s="9">
        <v>3.7</v>
      </c>
      <c r="AF155" s="21">
        <f>2.46-AJ155</f>
        <v>2.29</v>
      </c>
      <c r="AG155" s="18">
        <f>0.65-AQ155</f>
        <v>0.6</v>
      </c>
      <c r="AH155" s="9">
        <v>2.78</v>
      </c>
      <c r="AI155" s="43">
        <v>1236</v>
      </c>
      <c r="AJ155" s="21">
        <f t="shared" si="99"/>
        <v>0.17</v>
      </c>
      <c r="AK155" s="9">
        <v>2.3199999999999998</v>
      </c>
      <c r="AL155" s="9">
        <v>0.2</v>
      </c>
      <c r="AM155" s="9">
        <v>0.08</v>
      </c>
      <c r="AN155" s="13"/>
      <c r="AO155" s="13">
        <v>844.8</v>
      </c>
      <c r="AP155" s="13">
        <f t="shared" si="123"/>
        <v>5.58</v>
      </c>
      <c r="AQ155" s="18">
        <f t="shared" si="98"/>
        <v>0.05</v>
      </c>
      <c r="AR155" s="9">
        <v>0.62</v>
      </c>
      <c r="AS155" s="9">
        <v>0.18</v>
      </c>
      <c r="AT155" s="9">
        <v>7.0000000000000007E-2</v>
      </c>
      <c r="AU155" s="9">
        <v>4.6900000000000004</v>
      </c>
      <c r="AV155" s="9">
        <v>0.16</v>
      </c>
      <c r="AW155" s="9">
        <f>1.37+0.41+0.28</f>
        <v>2.06</v>
      </c>
      <c r="AX155" s="9">
        <f>1.92+0.55</f>
        <v>2.4700000000000002</v>
      </c>
      <c r="AY155" s="102">
        <f t="shared" si="124"/>
        <v>24.6</v>
      </c>
      <c r="AZ155" s="103">
        <v>7425.4</v>
      </c>
      <c r="BA155" s="103">
        <v>0</v>
      </c>
      <c r="BB155" s="103">
        <f t="shared" si="84"/>
        <v>7425.4</v>
      </c>
      <c r="BC155" s="103">
        <v>24.6</v>
      </c>
      <c r="BD155" s="13">
        <f t="shared" si="122"/>
        <v>0</v>
      </c>
      <c r="BE155" s="9">
        <f t="shared" si="100"/>
        <v>181934.47</v>
      </c>
      <c r="BF155" s="9">
        <v>24.6</v>
      </c>
      <c r="BG155" s="10">
        <v>44409</v>
      </c>
      <c r="BH155" s="9">
        <f t="shared" si="101"/>
        <v>15974.73</v>
      </c>
      <c r="BI155" s="9">
        <f t="shared" si="102"/>
        <v>27364.13</v>
      </c>
      <c r="BJ155" s="9">
        <f t="shared" si="103"/>
        <v>16936.18</v>
      </c>
      <c r="BK155" s="9">
        <f t="shared" si="104"/>
        <v>4437.43</v>
      </c>
      <c r="BL155" s="9">
        <f t="shared" si="105"/>
        <v>20560.07</v>
      </c>
      <c r="BM155" s="9">
        <f t="shared" si="106"/>
        <v>1257.27</v>
      </c>
      <c r="BN155" s="9">
        <f t="shared" si="107"/>
        <v>17158.05</v>
      </c>
      <c r="BO155" s="9">
        <f t="shared" si="108"/>
        <v>1479.14</v>
      </c>
      <c r="BP155" s="9">
        <f t="shared" si="109"/>
        <v>591.66</v>
      </c>
      <c r="BQ155" s="9">
        <f t="shared" si="110"/>
        <v>369.79</v>
      </c>
      <c r="BR155" s="9">
        <f t="shared" si="111"/>
        <v>4585.34</v>
      </c>
      <c r="BS155" s="9">
        <f t="shared" si="112"/>
        <v>1331.23</v>
      </c>
      <c r="BT155" s="9">
        <f t="shared" si="113"/>
        <v>517.70000000000005</v>
      </c>
      <c r="BU155" s="9">
        <f t="shared" si="114"/>
        <v>34685.879999999997</v>
      </c>
      <c r="BV155" s="9">
        <f t="shared" si="115"/>
        <v>1183.31</v>
      </c>
      <c r="BW155" s="9">
        <f t="shared" si="116"/>
        <v>15235.16</v>
      </c>
      <c r="BX155" s="9">
        <f t="shared" si="117"/>
        <v>18267.400000000001</v>
      </c>
      <c r="BY155" s="17">
        <f t="shared" si="118"/>
        <v>181934.47</v>
      </c>
      <c r="BZ155" s="17">
        <v>4.8600000000000003</v>
      </c>
      <c r="CA155" s="17">
        <v>0.09</v>
      </c>
      <c r="CB155" s="17">
        <v>0.55000000000000004</v>
      </c>
      <c r="CC155" s="27">
        <v>0.09</v>
      </c>
      <c r="CD155" s="29">
        <v>6.33</v>
      </c>
      <c r="CE155" s="9">
        <v>0</v>
      </c>
      <c r="CF155" s="9"/>
      <c r="CG155" s="9">
        <v>607.87</v>
      </c>
      <c r="CH155" s="9">
        <v>212.13</v>
      </c>
      <c r="CI155" s="9">
        <f>IF(CE155&gt;0,CE155/AB155,0)</f>
        <v>0</v>
      </c>
      <c r="CJ155" s="9">
        <f>IF(CF155&gt;0,CF155/AB155,0)</f>
        <v>0</v>
      </c>
      <c r="CK155" s="13">
        <f>IF(CG155&gt;0,CG155/AB155,0)</f>
        <v>0.08</v>
      </c>
      <c r="CL155" s="13">
        <f>IF(CH155&gt;0,CH155/AB155,0)</f>
        <v>0.03</v>
      </c>
      <c r="CM155" s="13">
        <v>183011.95</v>
      </c>
      <c r="CN155" s="13">
        <v>0</v>
      </c>
      <c r="CO155" s="13">
        <v>0</v>
      </c>
      <c r="CP155" s="13">
        <v>13344.58</v>
      </c>
      <c r="CQ155" s="13">
        <v>7007.74</v>
      </c>
      <c r="CR155" s="13">
        <v>194656.02</v>
      </c>
      <c r="CS155" s="13">
        <v>16561.2</v>
      </c>
      <c r="CT155" s="13">
        <v>643.79999999999995</v>
      </c>
      <c r="CU155" s="13">
        <v>6722.42</v>
      </c>
      <c r="CV155" s="13">
        <v>3571.65</v>
      </c>
      <c r="CW155" s="202">
        <v>6495</v>
      </c>
      <c r="CX155" s="200">
        <v>3726</v>
      </c>
      <c r="CY155" s="202"/>
      <c r="CZ155" s="202"/>
      <c r="DA155" s="202"/>
      <c r="DB155" s="202"/>
      <c r="DC155" s="202"/>
      <c r="DD155" s="461"/>
      <c r="DE155" s="256"/>
      <c r="DF155" s="202"/>
      <c r="DG155" s="202"/>
      <c r="DH155" s="202"/>
      <c r="DI155" s="204">
        <v>1236</v>
      </c>
      <c r="DJ155" s="202">
        <v>17200</v>
      </c>
      <c r="DK155" s="202"/>
      <c r="DL155" s="202"/>
      <c r="DM155" s="202">
        <v>44304</v>
      </c>
      <c r="DN155" s="202">
        <v>1700</v>
      </c>
      <c r="DO155" s="202">
        <v>1</v>
      </c>
      <c r="DP155" s="202"/>
      <c r="DQ155" s="202"/>
      <c r="DR155" s="202"/>
      <c r="DS155" s="202"/>
      <c r="DT155" s="254"/>
      <c r="DU155" s="254"/>
      <c r="DV155" s="202"/>
      <c r="DW155" s="202"/>
      <c r="DX155" s="202">
        <v>34509</v>
      </c>
      <c r="DY155" s="107">
        <v>1365</v>
      </c>
      <c r="DZ155" s="107"/>
      <c r="EA155" s="202"/>
      <c r="EB155" s="202"/>
      <c r="EC155" s="202"/>
      <c r="ED155" s="202"/>
      <c r="EE155" s="202"/>
      <c r="EF155" s="229"/>
      <c r="EG155" s="202"/>
      <c r="EH155" s="202"/>
      <c r="EI155" s="202"/>
      <c r="EJ155" s="202"/>
      <c r="EK155" s="202">
        <v>0</v>
      </c>
      <c r="EL155" s="202">
        <v>0</v>
      </c>
      <c r="EM155" s="202">
        <v>13214.74</v>
      </c>
      <c r="EN155" s="202">
        <v>6918.37</v>
      </c>
      <c r="EO155" s="202">
        <v>0</v>
      </c>
      <c r="EP155" s="202"/>
      <c r="EQ155" s="202">
        <v>13214.74</v>
      </c>
      <c r="ER155" s="202">
        <v>6918.37</v>
      </c>
      <c r="ES155" s="202">
        <v>3986.21</v>
      </c>
      <c r="ET155" s="202">
        <v>2193.0300000000002</v>
      </c>
      <c r="EU155" s="202"/>
      <c r="EV155" s="214">
        <v>-13</v>
      </c>
      <c r="EW155" s="240">
        <f t="shared" si="119"/>
        <v>16175.6</v>
      </c>
      <c r="EX155" s="209">
        <f t="shared" si="120"/>
        <v>10527.94</v>
      </c>
    </row>
    <row r="156" spans="1:154" ht="12.75" customHeight="1" x14ac:dyDescent="0.2">
      <c r="A156" s="45" t="s">
        <v>225</v>
      </c>
      <c r="B156" s="99" t="s">
        <v>184</v>
      </c>
      <c r="C156" s="100" t="s">
        <v>39</v>
      </c>
      <c r="D156" s="101" t="s">
        <v>642</v>
      </c>
      <c r="E156" s="100" t="s">
        <v>9</v>
      </c>
      <c r="F156" s="11">
        <v>9</v>
      </c>
      <c r="G156" s="11">
        <v>1</v>
      </c>
      <c r="H156" s="11">
        <v>171</v>
      </c>
      <c r="I156" s="11">
        <v>170</v>
      </c>
      <c r="J156" s="11">
        <v>179</v>
      </c>
      <c r="K156" s="11">
        <v>220</v>
      </c>
      <c r="L156" s="83">
        <v>1</v>
      </c>
      <c r="M156" s="84">
        <v>885</v>
      </c>
      <c r="N156" s="84">
        <v>700</v>
      </c>
      <c r="O156" s="84">
        <v>0</v>
      </c>
      <c r="P156" s="135">
        <v>909.9</v>
      </c>
      <c r="Q156" s="135">
        <v>699</v>
      </c>
      <c r="R156" s="133">
        <v>0</v>
      </c>
      <c r="S156" s="133">
        <f t="shared" si="121"/>
        <v>1608.9</v>
      </c>
      <c r="T156" s="134">
        <v>909.9</v>
      </c>
      <c r="U156" s="130">
        <v>2.72</v>
      </c>
      <c r="V156" s="131">
        <v>1.21E-2</v>
      </c>
      <c r="W156" s="131">
        <v>1.9800000000000002E-2</v>
      </c>
      <c r="X156" s="132">
        <v>1.2700000000000001E-3</v>
      </c>
      <c r="Y156" s="131">
        <v>1.21E-2</v>
      </c>
      <c r="Z156" s="29">
        <v>4279</v>
      </c>
      <c r="AA156" s="34"/>
      <c r="AB156" s="9">
        <f t="shared" si="83"/>
        <v>4279</v>
      </c>
      <c r="AC156" s="9">
        <f t="shared" si="89"/>
        <v>27086.07</v>
      </c>
      <c r="AD156" s="9">
        <v>2.8</v>
      </c>
      <c r="AE156" s="9">
        <v>3.54</v>
      </c>
      <c r="AF156" s="21">
        <f>2.47-AJ156</f>
        <v>2.27</v>
      </c>
      <c r="AG156" s="18">
        <f>0.67-AQ156</f>
        <v>0.56000000000000005</v>
      </c>
      <c r="AH156" s="19">
        <f>2.77+0.12+0.16</f>
        <v>3.05</v>
      </c>
      <c r="AI156" s="43">
        <v>852</v>
      </c>
      <c r="AJ156" s="21">
        <f t="shared" si="99"/>
        <v>0.2</v>
      </c>
      <c r="AK156" s="9">
        <v>1.01</v>
      </c>
      <c r="AL156" s="9">
        <v>0.09</v>
      </c>
      <c r="AM156" s="9">
        <v>0.14000000000000001</v>
      </c>
      <c r="AN156" s="13"/>
      <c r="AO156" s="13">
        <v>1014.6</v>
      </c>
      <c r="AP156" s="13">
        <f t="shared" si="123"/>
        <v>5.58</v>
      </c>
      <c r="AQ156" s="18">
        <f t="shared" si="98"/>
        <v>0.11</v>
      </c>
      <c r="AR156" s="9">
        <v>1.25</v>
      </c>
      <c r="AS156" s="9">
        <v>0.32</v>
      </c>
      <c r="AT156" s="9">
        <v>7.0000000000000007E-2</v>
      </c>
      <c r="AU156" s="9">
        <v>3.41</v>
      </c>
      <c r="AV156" s="9">
        <v>0.16</v>
      </c>
      <c r="AW156" s="9">
        <f>1.38+0.3+0.56</f>
        <v>2.2400000000000002</v>
      </c>
      <c r="AX156" s="9">
        <f>1.93+0.4</f>
        <v>2.33</v>
      </c>
      <c r="AY156" s="102">
        <f t="shared" si="124"/>
        <v>23.55</v>
      </c>
      <c r="AZ156" s="103"/>
      <c r="BA156" s="103"/>
      <c r="BB156" s="103"/>
      <c r="BC156" s="103">
        <v>23.55</v>
      </c>
      <c r="BD156" s="13">
        <f t="shared" si="122"/>
        <v>0</v>
      </c>
      <c r="BE156" s="9">
        <f t="shared" si="100"/>
        <v>100770.45</v>
      </c>
      <c r="BF156" s="9">
        <v>23.55</v>
      </c>
      <c r="BG156" s="10">
        <v>44440</v>
      </c>
      <c r="BH156" s="9">
        <f t="shared" si="101"/>
        <v>11981.2</v>
      </c>
      <c r="BI156" s="9">
        <f t="shared" si="102"/>
        <v>15147.66</v>
      </c>
      <c r="BJ156" s="9">
        <f t="shared" si="103"/>
        <v>9713.33</v>
      </c>
      <c r="BK156" s="9">
        <f t="shared" si="104"/>
        <v>2396.2399999999998</v>
      </c>
      <c r="BL156" s="9">
        <f t="shared" si="105"/>
        <v>13050.95</v>
      </c>
      <c r="BM156" s="9">
        <f t="shared" si="106"/>
        <v>855.8</v>
      </c>
      <c r="BN156" s="9">
        <f t="shared" si="107"/>
        <v>4321.79</v>
      </c>
      <c r="BO156" s="9">
        <f t="shared" si="108"/>
        <v>385.11</v>
      </c>
      <c r="BP156" s="9">
        <f t="shared" si="109"/>
        <v>599.05999999999995</v>
      </c>
      <c r="BQ156" s="9">
        <f t="shared" si="110"/>
        <v>470.69</v>
      </c>
      <c r="BR156" s="9">
        <f t="shared" si="111"/>
        <v>5348.75</v>
      </c>
      <c r="BS156" s="9">
        <f t="shared" si="112"/>
        <v>1369.28</v>
      </c>
      <c r="BT156" s="9">
        <f t="shared" si="113"/>
        <v>299.52999999999997</v>
      </c>
      <c r="BU156" s="9">
        <f t="shared" si="114"/>
        <v>14591.39</v>
      </c>
      <c r="BV156" s="9">
        <f t="shared" si="115"/>
        <v>684.64</v>
      </c>
      <c r="BW156" s="9">
        <f t="shared" si="116"/>
        <v>9584.9599999999991</v>
      </c>
      <c r="BX156" s="9">
        <f t="shared" si="117"/>
        <v>9970.07</v>
      </c>
      <c r="BY156" s="17">
        <f t="shared" si="118"/>
        <v>100770.45</v>
      </c>
      <c r="BZ156" s="17">
        <v>3.94</v>
      </c>
      <c r="CA156" s="17">
        <v>0.11</v>
      </c>
      <c r="CB156" s="17">
        <v>0.69</v>
      </c>
      <c r="CC156" s="27">
        <v>0.12</v>
      </c>
      <c r="CD156" s="29">
        <v>6.33</v>
      </c>
      <c r="CE156" s="9"/>
      <c r="CF156" s="9"/>
      <c r="CG156" s="9"/>
      <c r="CH156" s="9"/>
      <c r="CI156" s="9"/>
      <c r="CJ156" s="9"/>
      <c r="CK156" s="13"/>
      <c r="CL156" s="13"/>
      <c r="CM156" s="13">
        <v>100770.77</v>
      </c>
      <c r="CN156" s="13">
        <v>28198.720000000001</v>
      </c>
      <c r="CO156" s="13">
        <v>2267.77</v>
      </c>
      <c r="CP156" s="13">
        <v>0</v>
      </c>
      <c r="CQ156" s="13">
        <v>0</v>
      </c>
      <c r="CR156" s="13">
        <v>103660.5</v>
      </c>
      <c r="CS156" s="13">
        <v>12208.92</v>
      </c>
      <c r="CT156" s="13">
        <v>2490.7600000000002</v>
      </c>
      <c r="CU156" s="13">
        <v>113.61</v>
      </c>
      <c r="CV156" s="13">
        <v>124</v>
      </c>
      <c r="CW156" s="202">
        <v>3726</v>
      </c>
      <c r="CX156" s="200">
        <v>2137</v>
      </c>
      <c r="CY156" s="202"/>
      <c r="CZ156" s="202"/>
      <c r="DA156" s="202"/>
      <c r="DB156" s="202"/>
      <c r="DC156" s="202"/>
      <c r="DD156" s="461"/>
      <c r="DE156" s="256"/>
      <c r="DF156" s="202"/>
      <c r="DG156" s="202"/>
      <c r="DH156" s="202"/>
      <c r="DI156" s="204">
        <v>852</v>
      </c>
      <c r="DJ156" s="202">
        <v>4300</v>
      </c>
      <c r="DK156" s="202"/>
      <c r="DL156" s="202"/>
      <c r="DM156" s="202">
        <v>27455</v>
      </c>
      <c r="DN156" s="202">
        <v>4250</v>
      </c>
      <c r="DO156" s="202">
        <v>2.5</v>
      </c>
      <c r="DP156" s="202"/>
      <c r="DQ156" s="202"/>
      <c r="DR156" s="202"/>
      <c r="DS156" s="202"/>
      <c r="DT156" s="254"/>
      <c r="DU156" s="254"/>
      <c r="DV156" s="202"/>
      <c r="DW156" s="202"/>
      <c r="DX156" s="202">
        <v>20225</v>
      </c>
      <c r="DY156" s="107">
        <v>1365</v>
      </c>
      <c r="DZ156" s="107">
        <v>577</v>
      </c>
      <c r="EA156" s="202"/>
      <c r="EB156" s="202"/>
      <c r="EC156" s="202"/>
      <c r="ED156" s="202"/>
      <c r="EE156" s="202"/>
      <c r="EF156" s="229"/>
      <c r="EG156" s="202"/>
      <c r="EH156" s="202"/>
      <c r="EI156" s="202"/>
      <c r="EJ156" s="202"/>
      <c r="EK156" s="202">
        <v>28215.61</v>
      </c>
      <c r="EL156" s="202">
        <v>2279.4</v>
      </c>
      <c r="EM156" s="202">
        <v>0</v>
      </c>
      <c r="EN156" s="202">
        <v>0</v>
      </c>
      <c r="EO156" s="202">
        <v>28215.61</v>
      </c>
      <c r="EP156" s="202"/>
      <c r="EQ156" s="202">
        <v>0</v>
      </c>
      <c r="ER156" s="202">
        <v>0</v>
      </c>
      <c r="ES156" s="202"/>
      <c r="ET156" s="202"/>
      <c r="EU156" s="202"/>
      <c r="EV156" s="214">
        <f>-8.86+2127.95</f>
        <v>2119.09</v>
      </c>
      <c r="EW156" s="240">
        <f t="shared" si="119"/>
        <v>9358.86</v>
      </c>
      <c r="EX156" s="209">
        <f t="shared" si="120"/>
        <v>6091.24</v>
      </c>
    </row>
    <row r="157" spans="1:154" ht="12.75" customHeight="1" x14ac:dyDescent="0.2">
      <c r="A157" s="45" t="s">
        <v>226</v>
      </c>
      <c r="B157" s="99" t="s">
        <v>184</v>
      </c>
      <c r="C157" s="100" t="s">
        <v>179</v>
      </c>
      <c r="D157" s="101" t="s">
        <v>466</v>
      </c>
      <c r="E157" s="100" t="s">
        <v>12</v>
      </c>
      <c r="F157" s="11">
        <v>9</v>
      </c>
      <c r="G157" s="11">
        <v>4</v>
      </c>
      <c r="H157" s="11">
        <v>144</v>
      </c>
      <c r="I157" s="11">
        <v>150</v>
      </c>
      <c r="J157" s="11">
        <v>378</v>
      </c>
      <c r="K157" s="11">
        <v>418</v>
      </c>
      <c r="L157" s="83">
        <v>4</v>
      </c>
      <c r="M157" s="84">
        <v>1187</v>
      </c>
      <c r="N157" s="84">
        <v>1288</v>
      </c>
      <c r="O157" s="84">
        <v>0</v>
      </c>
      <c r="P157" s="139">
        <v>1261.8</v>
      </c>
      <c r="Q157" s="135">
        <v>1221.0999999999999</v>
      </c>
      <c r="R157" s="133">
        <v>0</v>
      </c>
      <c r="S157" s="133">
        <f t="shared" si="121"/>
        <v>2482.9</v>
      </c>
      <c r="T157" s="139">
        <v>1187</v>
      </c>
      <c r="U157" s="130">
        <v>2.72</v>
      </c>
      <c r="V157" s="131">
        <v>1.21E-2</v>
      </c>
      <c r="W157" s="131">
        <v>1.9800000000000002E-2</v>
      </c>
      <c r="X157" s="132">
        <v>1.2700000000000001E-3</v>
      </c>
      <c r="Y157" s="131">
        <v>1.21E-2</v>
      </c>
      <c r="Z157" s="29">
        <v>7562.57</v>
      </c>
      <c r="AA157" s="34"/>
      <c r="AB157" s="9">
        <f t="shared" si="83"/>
        <v>7562.57</v>
      </c>
      <c r="AC157" s="9">
        <f t="shared" si="89"/>
        <v>47871.07</v>
      </c>
      <c r="AD157" s="9">
        <v>2.14</v>
      </c>
      <c r="AE157" s="9">
        <v>4.25</v>
      </c>
      <c r="AF157" s="21">
        <f>2.49-AJ157</f>
        <v>2.33</v>
      </c>
      <c r="AG157" s="18">
        <f>0.64-AQ157</f>
        <v>0.59</v>
      </c>
      <c r="AH157" s="19">
        <f>2.78+0.07+0.1</f>
        <v>2.95</v>
      </c>
      <c r="AI157" s="43">
        <v>1236</v>
      </c>
      <c r="AJ157" s="21">
        <f t="shared" si="99"/>
        <v>0.16</v>
      </c>
      <c r="AK157" s="9">
        <v>2.27</v>
      </c>
      <c r="AL157" s="9">
        <v>0.62</v>
      </c>
      <c r="AM157" s="9">
        <v>0.12</v>
      </c>
      <c r="AN157" s="13"/>
      <c r="AO157" s="13">
        <v>844.8</v>
      </c>
      <c r="AP157" s="13">
        <f t="shared" si="123"/>
        <v>5.58</v>
      </c>
      <c r="AQ157" s="18">
        <f t="shared" si="98"/>
        <v>0.05</v>
      </c>
      <c r="AR157" s="9">
        <v>0.59</v>
      </c>
      <c r="AS157" s="9">
        <v>0.18</v>
      </c>
      <c r="AT157" s="9">
        <v>7.0000000000000007E-2</v>
      </c>
      <c r="AU157" s="9">
        <v>3.85</v>
      </c>
      <c r="AV157" s="9">
        <v>0.17</v>
      </c>
      <c r="AW157" s="9">
        <f>1.47+0.27+0.34</f>
        <v>2.08</v>
      </c>
      <c r="AX157" s="9">
        <f>2.07+0.45</f>
        <v>2.52</v>
      </c>
      <c r="AY157" s="102">
        <f t="shared" si="124"/>
        <v>24.94</v>
      </c>
      <c r="AZ157" s="103">
        <v>7579.3</v>
      </c>
      <c r="BA157" s="103">
        <v>0</v>
      </c>
      <c r="BB157" s="103">
        <f t="shared" si="84"/>
        <v>7579.3</v>
      </c>
      <c r="BC157" s="103">
        <v>24.94</v>
      </c>
      <c r="BD157" s="13">
        <f t="shared" si="122"/>
        <v>0</v>
      </c>
      <c r="BE157" s="9">
        <f t="shared" si="100"/>
        <v>188610.5</v>
      </c>
      <c r="BF157" s="9">
        <v>24.94</v>
      </c>
      <c r="BG157" s="10">
        <v>44409</v>
      </c>
      <c r="BH157" s="9">
        <f t="shared" si="101"/>
        <v>16183.9</v>
      </c>
      <c r="BI157" s="9">
        <f t="shared" si="102"/>
        <v>32140.92</v>
      </c>
      <c r="BJ157" s="9">
        <f t="shared" si="103"/>
        <v>17620.79</v>
      </c>
      <c r="BK157" s="9">
        <f t="shared" si="104"/>
        <v>4461.92</v>
      </c>
      <c r="BL157" s="9">
        <f t="shared" si="105"/>
        <v>22309.58</v>
      </c>
      <c r="BM157" s="9">
        <f t="shared" si="106"/>
        <v>1210.01</v>
      </c>
      <c r="BN157" s="9">
        <f t="shared" si="107"/>
        <v>17167.03</v>
      </c>
      <c r="BO157" s="9">
        <f t="shared" si="108"/>
        <v>4688.79</v>
      </c>
      <c r="BP157" s="9">
        <f t="shared" si="109"/>
        <v>907.51</v>
      </c>
      <c r="BQ157" s="9">
        <f t="shared" si="110"/>
        <v>378.13</v>
      </c>
      <c r="BR157" s="9">
        <f t="shared" si="111"/>
        <v>4461.92</v>
      </c>
      <c r="BS157" s="9">
        <f t="shared" si="112"/>
        <v>1361.26</v>
      </c>
      <c r="BT157" s="9">
        <f t="shared" si="113"/>
        <v>529.38</v>
      </c>
      <c r="BU157" s="9">
        <f t="shared" si="114"/>
        <v>29115.89</v>
      </c>
      <c r="BV157" s="9">
        <f t="shared" si="115"/>
        <v>1285.6400000000001</v>
      </c>
      <c r="BW157" s="9">
        <f t="shared" si="116"/>
        <v>15730.15</v>
      </c>
      <c r="BX157" s="9">
        <f t="shared" si="117"/>
        <v>19057.68</v>
      </c>
      <c r="BY157" s="17">
        <f t="shared" si="118"/>
        <v>188610.5</v>
      </c>
      <c r="BZ157" s="17">
        <v>3.41</v>
      </c>
      <c r="CA157" s="17">
        <v>0.08</v>
      </c>
      <c r="CB157" s="17">
        <v>0.51</v>
      </c>
      <c r="CC157" s="27">
        <v>0.09</v>
      </c>
      <c r="CD157" s="29">
        <v>6.33</v>
      </c>
      <c r="CE157" s="9">
        <v>12789.86</v>
      </c>
      <c r="CF157" s="9"/>
      <c r="CG157" s="9">
        <v>0</v>
      </c>
      <c r="CH157" s="9">
        <v>0</v>
      </c>
      <c r="CI157" s="9">
        <f t="shared" ref="CI157:CI197" si="129">IF(CE157&gt;0,CE157/AB157,0)</f>
        <v>1.69</v>
      </c>
      <c r="CJ157" s="9">
        <f t="shared" ref="CJ157:CJ197" si="130">IF(CF157&gt;0,CF157/AB157,0)</f>
        <v>0</v>
      </c>
      <c r="CK157" s="13">
        <f t="shared" ref="CK157:CK197" si="131">IF(CG157&gt;0,CG157/AB157,0)</f>
        <v>0</v>
      </c>
      <c r="CL157" s="13">
        <f t="shared" ref="CL157:CL197" si="132">IF(CH157&gt;0,CH157/AB157,0)</f>
        <v>0</v>
      </c>
      <c r="CM157" s="13">
        <v>188610.48</v>
      </c>
      <c r="CN157" s="13">
        <v>19360.189999999999</v>
      </c>
      <c r="CO157" s="13">
        <v>0</v>
      </c>
      <c r="CP157" s="13">
        <v>0</v>
      </c>
      <c r="CQ157" s="13">
        <v>0</v>
      </c>
      <c r="CR157" s="13">
        <v>184406.29</v>
      </c>
      <c r="CS157" s="13">
        <v>16626.21</v>
      </c>
      <c r="CT157" s="13">
        <v>663.18</v>
      </c>
      <c r="CU157" s="13">
        <v>104.12</v>
      </c>
      <c r="CV157" s="13">
        <v>117.1</v>
      </c>
      <c r="CW157" s="202">
        <v>6587</v>
      </c>
      <c r="CX157" s="200">
        <v>3779</v>
      </c>
      <c r="CY157" s="202"/>
      <c r="CZ157" s="202"/>
      <c r="DA157" s="202"/>
      <c r="DB157" s="202"/>
      <c r="DC157" s="202"/>
      <c r="DD157" s="461"/>
      <c r="DE157" s="256"/>
      <c r="DF157" s="202"/>
      <c r="DG157" s="202"/>
      <c r="DH157" s="202"/>
      <c r="DI157" s="204">
        <v>1236</v>
      </c>
      <c r="DJ157" s="202">
        <v>17200</v>
      </c>
      <c r="DK157" s="202"/>
      <c r="DL157" s="202"/>
      <c r="DM157" s="202">
        <v>49297</v>
      </c>
      <c r="DN157" s="202">
        <v>1700</v>
      </c>
      <c r="DO157" s="202">
        <v>1</v>
      </c>
      <c r="DP157" s="202"/>
      <c r="DQ157" s="202"/>
      <c r="DR157" s="202"/>
      <c r="DS157" s="202"/>
      <c r="DT157" s="254"/>
      <c r="DU157" s="254"/>
      <c r="DV157" s="202"/>
      <c r="DW157" s="202"/>
      <c r="DX157" s="202">
        <v>35773</v>
      </c>
      <c r="DY157" s="107"/>
      <c r="DZ157" s="107">
        <v>942</v>
      </c>
      <c r="EA157" s="202">
        <v>2195.23</v>
      </c>
      <c r="EB157" s="202"/>
      <c r="EC157" s="202"/>
      <c r="ED157" s="202"/>
      <c r="EE157" s="202"/>
      <c r="EF157" s="229"/>
      <c r="EG157" s="202"/>
      <c r="EH157" s="202"/>
      <c r="EI157" s="202"/>
      <c r="EJ157" s="202"/>
      <c r="EK157" s="202">
        <v>19350.080000000002</v>
      </c>
      <c r="EL157" s="202">
        <v>0</v>
      </c>
      <c r="EM157" s="202">
        <v>0</v>
      </c>
      <c r="EN157" s="202">
        <v>0</v>
      </c>
      <c r="EO157" s="202">
        <v>19350.080000000002</v>
      </c>
      <c r="EP157" s="202"/>
      <c r="EQ157" s="202">
        <v>0</v>
      </c>
      <c r="ER157" s="202">
        <v>0</v>
      </c>
      <c r="ES157" s="202"/>
      <c r="ET157" s="202"/>
      <c r="EU157" s="202"/>
      <c r="EV157" s="214">
        <v>-12.21</v>
      </c>
      <c r="EW157" s="240">
        <f t="shared" si="119"/>
        <v>16540.55</v>
      </c>
      <c r="EX157" s="209">
        <f t="shared" si="120"/>
        <v>10765.47</v>
      </c>
    </row>
    <row r="158" spans="1:154" ht="12.75" customHeight="1" x14ac:dyDescent="0.2">
      <c r="A158" s="45" t="s">
        <v>227</v>
      </c>
      <c r="B158" s="99" t="s">
        <v>184</v>
      </c>
      <c r="C158" s="100" t="s">
        <v>179</v>
      </c>
      <c r="D158" s="101" t="s">
        <v>567</v>
      </c>
      <c r="E158" s="100" t="s">
        <v>9</v>
      </c>
      <c r="F158" s="11">
        <v>9</v>
      </c>
      <c r="G158" s="11">
        <v>2</v>
      </c>
      <c r="H158" s="11">
        <v>98</v>
      </c>
      <c r="I158" s="11">
        <v>97</v>
      </c>
      <c r="J158" s="11">
        <v>204</v>
      </c>
      <c r="K158" s="11">
        <v>226</v>
      </c>
      <c r="L158" s="83">
        <v>2</v>
      </c>
      <c r="M158" s="84">
        <v>536</v>
      </c>
      <c r="N158" s="84">
        <v>826</v>
      </c>
      <c r="O158" s="84">
        <v>826</v>
      </c>
      <c r="P158" s="135">
        <v>655.4</v>
      </c>
      <c r="Q158" s="135">
        <v>561.9</v>
      </c>
      <c r="R158" s="133">
        <v>768.3</v>
      </c>
      <c r="S158" s="133">
        <f t="shared" si="121"/>
        <v>1985.6</v>
      </c>
      <c r="T158" s="134">
        <v>655.4</v>
      </c>
      <c r="U158" s="130">
        <v>2.72</v>
      </c>
      <c r="V158" s="131">
        <v>1.21E-2</v>
      </c>
      <c r="W158" s="131">
        <v>1.9800000000000002E-2</v>
      </c>
      <c r="X158" s="132">
        <v>1.2700000000000001E-3</v>
      </c>
      <c r="Y158" s="131">
        <v>1.21E-2</v>
      </c>
      <c r="Z158" s="29">
        <v>4293.3100000000004</v>
      </c>
      <c r="AA158" s="34">
        <v>974.3</v>
      </c>
      <c r="AB158" s="9">
        <f t="shared" si="83"/>
        <v>5267.61</v>
      </c>
      <c r="AC158" s="9">
        <f t="shared" si="89"/>
        <v>33343.97</v>
      </c>
      <c r="AD158" s="9">
        <v>1.41</v>
      </c>
      <c r="AE158" s="9">
        <v>4.3600000000000003</v>
      </c>
      <c r="AF158" s="21">
        <f>2.49-AJ158</f>
        <v>2.34</v>
      </c>
      <c r="AG158" s="18">
        <f>0.6-AQ158</f>
        <v>0.55000000000000004</v>
      </c>
      <c r="AH158" s="19">
        <f>2.77+0.1+0.14</f>
        <v>3.01</v>
      </c>
      <c r="AI158" s="43">
        <v>793</v>
      </c>
      <c r="AJ158" s="21">
        <f t="shared" si="99"/>
        <v>0.15</v>
      </c>
      <c r="AK158" s="9">
        <v>1.63</v>
      </c>
      <c r="AL158" s="9">
        <v>0.14000000000000001</v>
      </c>
      <c r="AM158" s="9">
        <v>0.11</v>
      </c>
      <c r="AN158" s="13"/>
      <c r="AO158" s="13">
        <v>511</v>
      </c>
      <c r="AP158" s="13">
        <f t="shared" si="123"/>
        <v>5.58</v>
      </c>
      <c r="AQ158" s="18">
        <f t="shared" si="98"/>
        <v>0.05</v>
      </c>
      <c r="AR158" s="9">
        <v>0.59</v>
      </c>
      <c r="AS158" s="9">
        <v>0.26</v>
      </c>
      <c r="AT158" s="9">
        <v>7.0000000000000007E-2</v>
      </c>
      <c r="AU158" s="9">
        <v>5.03</v>
      </c>
      <c r="AV158" s="9">
        <v>0.15</v>
      </c>
      <c r="AW158" s="9">
        <f>1.32+0.32+0.44</f>
        <v>2.08</v>
      </c>
      <c r="AX158" s="9">
        <f>1.84+0.59</f>
        <v>2.4300000000000002</v>
      </c>
      <c r="AY158" s="102">
        <f t="shared" si="124"/>
        <v>24.36</v>
      </c>
      <c r="AZ158" s="103">
        <v>4286.6000000000004</v>
      </c>
      <c r="BA158" s="103">
        <v>974.3</v>
      </c>
      <c r="BB158" s="103">
        <f t="shared" si="84"/>
        <v>5260.9</v>
      </c>
      <c r="BC158" s="103">
        <v>24.36</v>
      </c>
      <c r="BD158" s="13">
        <f t="shared" si="122"/>
        <v>0</v>
      </c>
      <c r="BE158" s="9">
        <f t="shared" si="100"/>
        <v>128318.98</v>
      </c>
      <c r="BF158" s="9">
        <v>24.36</v>
      </c>
      <c r="BG158" s="10">
        <v>44378</v>
      </c>
      <c r="BH158" s="9">
        <f t="shared" si="101"/>
        <v>7427.33</v>
      </c>
      <c r="BI158" s="9">
        <f t="shared" si="102"/>
        <v>22966.78</v>
      </c>
      <c r="BJ158" s="9">
        <f t="shared" si="103"/>
        <v>12326.21</v>
      </c>
      <c r="BK158" s="9">
        <f t="shared" si="104"/>
        <v>2897.19</v>
      </c>
      <c r="BL158" s="9">
        <f t="shared" si="105"/>
        <v>15855.51</v>
      </c>
      <c r="BM158" s="9">
        <f t="shared" si="106"/>
        <v>790.14</v>
      </c>
      <c r="BN158" s="9">
        <f t="shared" si="107"/>
        <v>8586.2000000000007</v>
      </c>
      <c r="BO158" s="9">
        <f t="shared" si="108"/>
        <v>737.47</v>
      </c>
      <c r="BP158" s="9">
        <f t="shared" si="109"/>
        <v>579.44000000000005</v>
      </c>
      <c r="BQ158" s="9">
        <f t="shared" si="110"/>
        <v>263.38</v>
      </c>
      <c r="BR158" s="9">
        <f t="shared" si="111"/>
        <v>3107.89</v>
      </c>
      <c r="BS158" s="9">
        <f t="shared" si="112"/>
        <v>1369.58</v>
      </c>
      <c r="BT158" s="9">
        <f t="shared" si="113"/>
        <v>368.73</v>
      </c>
      <c r="BU158" s="9">
        <f t="shared" si="114"/>
        <v>26496.080000000002</v>
      </c>
      <c r="BV158" s="9">
        <f t="shared" si="115"/>
        <v>790.14</v>
      </c>
      <c r="BW158" s="9">
        <f t="shared" si="116"/>
        <v>10956.63</v>
      </c>
      <c r="BX158" s="9">
        <f t="shared" si="117"/>
        <v>12800.29</v>
      </c>
      <c r="BY158" s="17">
        <f t="shared" si="118"/>
        <v>128318.99</v>
      </c>
      <c r="BZ158" s="17">
        <v>3.91</v>
      </c>
      <c r="CA158" s="17">
        <v>7.0000000000000007E-2</v>
      </c>
      <c r="CB158" s="17">
        <v>0.41</v>
      </c>
      <c r="CC158" s="27">
        <v>7.0000000000000007E-2</v>
      </c>
      <c r="CD158" s="29">
        <v>6.33</v>
      </c>
      <c r="CE158" s="9">
        <v>10481.290000000001</v>
      </c>
      <c r="CF158" s="9">
        <v>1897.01</v>
      </c>
      <c r="CG158" s="9">
        <v>0</v>
      </c>
      <c r="CH158" s="9">
        <v>0</v>
      </c>
      <c r="CI158" s="9">
        <f t="shared" si="129"/>
        <v>1.99</v>
      </c>
      <c r="CJ158" s="9">
        <f t="shared" si="130"/>
        <v>0.36</v>
      </c>
      <c r="CK158" s="13">
        <f t="shared" si="131"/>
        <v>0</v>
      </c>
      <c r="CL158" s="13">
        <f t="shared" si="132"/>
        <v>0</v>
      </c>
      <c r="CM158" s="13">
        <v>104585.05</v>
      </c>
      <c r="CN158" s="13">
        <v>7599.16</v>
      </c>
      <c r="CO158" s="13">
        <v>0</v>
      </c>
      <c r="CP158" s="13">
        <v>0</v>
      </c>
      <c r="CQ158" s="13">
        <v>0</v>
      </c>
      <c r="CR158" s="13">
        <v>94680.58</v>
      </c>
      <c r="CS158" s="13">
        <v>4927.78</v>
      </c>
      <c r="CT158" s="13">
        <v>1412.74</v>
      </c>
      <c r="CU158" s="13">
        <v>-19.260000000000002</v>
      </c>
      <c r="CV158" s="13">
        <v>-19.260000000000002</v>
      </c>
      <c r="CW158" s="202">
        <v>4589</v>
      </c>
      <c r="CX158" s="200">
        <v>2633</v>
      </c>
      <c r="CY158" s="202"/>
      <c r="CZ158" s="202"/>
      <c r="DA158" s="202"/>
      <c r="DB158" s="202"/>
      <c r="DC158" s="202"/>
      <c r="DD158" s="461"/>
      <c r="DE158" s="256"/>
      <c r="DF158" s="202"/>
      <c r="DG158" s="202"/>
      <c r="DH158" s="202"/>
      <c r="DI158" s="204">
        <v>793</v>
      </c>
      <c r="DJ158" s="202">
        <v>8600</v>
      </c>
      <c r="DK158" s="202"/>
      <c r="DL158" s="202"/>
      <c r="DM158" s="202">
        <v>30945</v>
      </c>
      <c r="DN158" s="202">
        <v>1700</v>
      </c>
      <c r="DO158" s="202">
        <v>1</v>
      </c>
      <c r="DP158" s="202"/>
      <c r="DQ158" s="202"/>
      <c r="DR158" s="202"/>
      <c r="DS158" s="202"/>
      <c r="DT158" s="254"/>
      <c r="DU158" s="254"/>
      <c r="DV158" s="202"/>
      <c r="DW158" s="202"/>
      <c r="DX158" s="202">
        <v>24758</v>
      </c>
      <c r="DY158" s="107">
        <v>1365</v>
      </c>
      <c r="DZ158" s="107">
        <v>577</v>
      </c>
      <c r="EA158" s="202"/>
      <c r="EB158" s="202"/>
      <c r="EC158" s="202"/>
      <c r="ED158" s="202"/>
      <c r="EE158" s="202"/>
      <c r="EF158" s="229"/>
      <c r="EG158" s="202"/>
      <c r="EH158" s="202"/>
      <c r="EI158" s="202"/>
      <c r="EJ158" s="202"/>
      <c r="EK158" s="202">
        <v>9310.77</v>
      </c>
      <c r="EL158" s="202">
        <v>0</v>
      </c>
      <c r="EM158" s="202">
        <v>0</v>
      </c>
      <c r="EN158" s="202">
        <v>0</v>
      </c>
      <c r="EO158" s="202">
        <v>9310.77</v>
      </c>
      <c r="EP158" s="202"/>
      <c r="EQ158" s="202">
        <v>0</v>
      </c>
      <c r="ER158" s="202">
        <v>0</v>
      </c>
      <c r="ES158" s="202"/>
      <c r="ET158" s="202"/>
      <c r="EU158" s="202"/>
      <c r="EV158" s="214">
        <v>-5.78</v>
      </c>
      <c r="EW158" s="240">
        <f t="shared" si="119"/>
        <v>11521.11</v>
      </c>
      <c r="EX158" s="209">
        <f t="shared" si="120"/>
        <v>7498.55</v>
      </c>
    </row>
    <row r="159" spans="1:154" ht="12.75" customHeight="1" x14ac:dyDescent="0.2">
      <c r="A159" s="45" t="s">
        <v>228</v>
      </c>
      <c r="B159" s="99" t="s">
        <v>184</v>
      </c>
      <c r="C159" s="100" t="s">
        <v>203</v>
      </c>
      <c r="D159" s="101" t="s">
        <v>467</v>
      </c>
      <c r="E159" s="100" t="s">
        <v>12</v>
      </c>
      <c r="F159" s="11">
        <v>9</v>
      </c>
      <c r="G159" s="11">
        <v>2</v>
      </c>
      <c r="H159" s="11">
        <v>72</v>
      </c>
      <c r="I159" s="11">
        <v>72</v>
      </c>
      <c r="J159" s="11">
        <v>193</v>
      </c>
      <c r="K159" s="11">
        <v>209</v>
      </c>
      <c r="L159" s="83">
        <v>2</v>
      </c>
      <c r="M159" s="84">
        <v>608</v>
      </c>
      <c r="N159" s="84">
        <v>602</v>
      </c>
      <c r="O159" s="84">
        <v>0</v>
      </c>
      <c r="P159" s="135">
        <v>640.6</v>
      </c>
      <c r="Q159" s="135">
        <v>619.1</v>
      </c>
      <c r="R159" s="133">
        <v>0</v>
      </c>
      <c r="S159" s="133">
        <f t="shared" si="121"/>
        <v>1259.7</v>
      </c>
      <c r="T159" s="134">
        <v>640.6</v>
      </c>
      <c r="U159" s="130">
        <v>2.72</v>
      </c>
      <c r="V159" s="131">
        <v>1.21E-2</v>
      </c>
      <c r="W159" s="131">
        <v>1.9800000000000002E-2</v>
      </c>
      <c r="X159" s="132">
        <v>1.2700000000000001E-3</v>
      </c>
      <c r="Y159" s="131">
        <v>1.21E-2</v>
      </c>
      <c r="Z159" s="29">
        <v>3832.1</v>
      </c>
      <c r="AA159" s="34"/>
      <c r="AB159" s="9">
        <f t="shared" si="83"/>
        <v>3832.1</v>
      </c>
      <c r="AC159" s="9">
        <f t="shared" si="89"/>
        <v>24257.19</v>
      </c>
      <c r="AD159" s="9">
        <v>2.11</v>
      </c>
      <c r="AE159" s="9">
        <v>4.18</v>
      </c>
      <c r="AF159" s="21">
        <f>2.42-AJ159</f>
        <v>2.27</v>
      </c>
      <c r="AG159" s="18">
        <f>0.62-AQ159</f>
        <v>0.56999999999999995</v>
      </c>
      <c r="AH159" s="9">
        <v>2.78</v>
      </c>
      <c r="AI159" s="43">
        <v>578</v>
      </c>
      <c r="AJ159" s="21">
        <f t="shared" si="99"/>
        <v>0.15</v>
      </c>
      <c r="AK159" s="9">
        <v>2.2200000000000002</v>
      </c>
      <c r="AL159" s="9">
        <v>0.19</v>
      </c>
      <c r="AM159" s="9">
        <v>0.15</v>
      </c>
      <c r="AN159" s="13"/>
      <c r="AO159" s="13">
        <v>422.4</v>
      </c>
      <c r="AP159" s="13">
        <f t="shared" si="123"/>
        <v>5.58</v>
      </c>
      <c r="AQ159" s="18">
        <f t="shared" si="98"/>
        <v>0.05</v>
      </c>
      <c r="AR159" s="9">
        <v>0.57999999999999996</v>
      </c>
      <c r="AS159" s="9">
        <v>0.35</v>
      </c>
      <c r="AT159" s="9">
        <v>7.0000000000000007E-2</v>
      </c>
      <c r="AU159" s="9">
        <v>4.3600000000000003</v>
      </c>
      <c r="AV159" s="9">
        <v>0.17</v>
      </c>
      <c r="AW159" s="9">
        <f>1.41+0.26+0.39</f>
        <v>2.06</v>
      </c>
      <c r="AX159" s="9">
        <f>1.98+0.51</f>
        <v>2.4900000000000002</v>
      </c>
      <c r="AY159" s="102">
        <f t="shared" si="124"/>
        <v>24.75</v>
      </c>
      <c r="AZ159" s="103">
        <v>3866.7</v>
      </c>
      <c r="BA159" s="103">
        <v>0</v>
      </c>
      <c r="BB159" s="103">
        <f t="shared" si="84"/>
        <v>3866.7</v>
      </c>
      <c r="BC159" s="103">
        <v>24.75</v>
      </c>
      <c r="BD159" s="13">
        <f t="shared" si="122"/>
        <v>0</v>
      </c>
      <c r="BE159" s="9">
        <f t="shared" si="100"/>
        <v>94844.479999999996</v>
      </c>
      <c r="BF159" s="9">
        <v>24.75</v>
      </c>
      <c r="BG159" s="10">
        <v>44378</v>
      </c>
      <c r="BH159" s="9">
        <f t="shared" si="101"/>
        <v>8085.73</v>
      </c>
      <c r="BI159" s="9">
        <f t="shared" si="102"/>
        <v>16018.18</v>
      </c>
      <c r="BJ159" s="9">
        <f t="shared" si="103"/>
        <v>8698.8700000000008</v>
      </c>
      <c r="BK159" s="9">
        <f t="shared" si="104"/>
        <v>2184.3000000000002</v>
      </c>
      <c r="BL159" s="9">
        <f t="shared" si="105"/>
        <v>10653.24</v>
      </c>
      <c r="BM159" s="9">
        <f t="shared" si="106"/>
        <v>574.82000000000005</v>
      </c>
      <c r="BN159" s="9">
        <f t="shared" si="107"/>
        <v>8507.26</v>
      </c>
      <c r="BO159" s="9">
        <f t="shared" si="108"/>
        <v>728.1</v>
      </c>
      <c r="BP159" s="9">
        <f t="shared" si="109"/>
        <v>574.82000000000005</v>
      </c>
      <c r="BQ159" s="9">
        <f t="shared" si="110"/>
        <v>191.61</v>
      </c>
      <c r="BR159" s="9">
        <f t="shared" si="111"/>
        <v>2222.62</v>
      </c>
      <c r="BS159" s="9">
        <f t="shared" si="112"/>
        <v>1341.24</v>
      </c>
      <c r="BT159" s="9">
        <f t="shared" si="113"/>
        <v>268.25</v>
      </c>
      <c r="BU159" s="9">
        <f t="shared" si="114"/>
        <v>16707.96</v>
      </c>
      <c r="BV159" s="9">
        <f t="shared" si="115"/>
        <v>651.46</v>
      </c>
      <c r="BW159" s="9">
        <f t="shared" si="116"/>
        <v>7894.13</v>
      </c>
      <c r="BX159" s="9">
        <f t="shared" si="117"/>
        <v>9541.93</v>
      </c>
      <c r="BY159" s="17">
        <f t="shared" si="118"/>
        <v>94844.52</v>
      </c>
      <c r="BZ159" s="17">
        <v>3.43</v>
      </c>
      <c r="CA159" s="17">
        <v>0.09</v>
      </c>
      <c r="CB159" s="17">
        <v>0.54</v>
      </c>
      <c r="CC159" s="27">
        <v>0.09</v>
      </c>
      <c r="CD159" s="29">
        <v>6.33</v>
      </c>
      <c r="CE159" s="9">
        <v>4006.18</v>
      </c>
      <c r="CF159" s="9">
        <v>1854.19</v>
      </c>
      <c r="CG159" s="9">
        <v>0</v>
      </c>
      <c r="CH159" s="9">
        <v>0</v>
      </c>
      <c r="CI159" s="9">
        <f t="shared" si="129"/>
        <v>1.05</v>
      </c>
      <c r="CJ159" s="9">
        <f t="shared" si="130"/>
        <v>0.48</v>
      </c>
      <c r="CK159" s="13">
        <f t="shared" si="131"/>
        <v>0</v>
      </c>
      <c r="CL159" s="13">
        <f t="shared" si="132"/>
        <v>0</v>
      </c>
      <c r="CM159" s="13">
        <v>94484.26</v>
      </c>
      <c r="CN159" s="13">
        <v>5058.45</v>
      </c>
      <c r="CO159" s="13">
        <v>0</v>
      </c>
      <c r="CP159" s="13">
        <v>0</v>
      </c>
      <c r="CQ159" s="13">
        <v>0</v>
      </c>
      <c r="CR159" s="13">
        <v>103657.45</v>
      </c>
      <c r="CS159" s="13">
        <v>4890.09</v>
      </c>
      <c r="CT159" s="13">
        <v>685.28</v>
      </c>
      <c r="CU159" s="13">
        <v>34.94</v>
      </c>
      <c r="CV159" s="13">
        <v>34.950000000000003</v>
      </c>
      <c r="CW159" s="202">
        <v>3337</v>
      </c>
      <c r="CX159" s="200">
        <v>1914</v>
      </c>
      <c r="CY159" s="202"/>
      <c r="CZ159" s="202"/>
      <c r="DA159" s="202"/>
      <c r="DB159" s="202"/>
      <c r="DC159" s="202"/>
      <c r="DD159" s="461"/>
      <c r="DE159" s="256"/>
      <c r="DF159" s="202"/>
      <c r="DG159" s="202"/>
      <c r="DH159" s="202"/>
      <c r="DI159" s="204">
        <v>578</v>
      </c>
      <c r="DJ159" s="107">
        <f>8600</f>
        <v>8600</v>
      </c>
      <c r="DK159" s="202"/>
      <c r="DL159" s="202"/>
      <c r="DM159" s="202">
        <v>24749</v>
      </c>
      <c r="DN159" s="202">
        <v>3400</v>
      </c>
      <c r="DO159" s="202">
        <v>2</v>
      </c>
      <c r="DP159" s="202"/>
      <c r="DQ159" s="202"/>
      <c r="DR159" s="202"/>
      <c r="DS159" s="202"/>
      <c r="DT159" s="254"/>
      <c r="DU159" s="254"/>
      <c r="DV159" s="202"/>
      <c r="DW159" s="202"/>
      <c r="DX159" s="202">
        <v>17742</v>
      </c>
      <c r="DY159" s="107"/>
      <c r="DZ159" s="107">
        <v>577</v>
      </c>
      <c r="EA159" s="202"/>
      <c r="EB159" s="202"/>
      <c r="EC159" s="202"/>
      <c r="ED159" s="202"/>
      <c r="EE159" s="202"/>
      <c r="EF159" s="229"/>
      <c r="EG159" s="202"/>
      <c r="EH159" s="202"/>
      <c r="EI159" s="202"/>
      <c r="EJ159" s="202"/>
      <c r="EK159" s="202">
        <v>5070.92</v>
      </c>
      <c r="EL159" s="202">
        <v>8.16</v>
      </c>
      <c r="EM159" s="202">
        <v>0</v>
      </c>
      <c r="EN159" s="202">
        <v>0</v>
      </c>
      <c r="EO159" s="202">
        <v>5070.92</v>
      </c>
      <c r="EP159" s="202"/>
      <c r="EQ159" s="202">
        <v>0</v>
      </c>
      <c r="ER159" s="202">
        <v>0</v>
      </c>
      <c r="ES159" s="202"/>
      <c r="ET159" s="202"/>
      <c r="EU159" s="202"/>
      <c r="EV159" s="214">
        <v>-5.6</v>
      </c>
      <c r="EW159" s="240">
        <f t="shared" si="119"/>
        <v>8381.42</v>
      </c>
      <c r="EX159" s="209">
        <f t="shared" si="120"/>
        <v>5455.07</v>
      </c>
    </row>
    <row r="160" spans="1:154" ht="12.75" customHeight="1" x14ac:dyDescent="0.2">
      <c r="A160" s="45" t="s">
        <v>229</v>
      </c>
      <c r="B160" s="99" t="s">
        <v>184</v>
      </c>
      <c r="C160" s="100" t="s">
        <v>203</v>
      </c>
      <c r="D160" s="101" t="s">
        <v>568</v>
      </c>
      <c r="E160" s="100" t="s">
        <v>30</v>
      </c>
      <c r="F160" s="11">
        <v>9</v>
      </c>
      <c r="G160" s="11">
        <v>2</v>
      </c>
      <c r="H160" s="11">
        <v>72</v>
      </c>
      <c r="I160" s="11">
        <v>74</v>
      </c>
      <c r="J160" s="11">
        <v>196</v>
      </c>
      <c r="K160" s="11">
        <v>225</v>
      </c>
      <c r="L160" s="11">
        <v>2</v>
      </c>
      <c r="M160" s="84">
        <v>607</v>
      </c>
      <c r="N160" s="84">
        <v>602</v>
      </c>
      <c r="O160" s="84">
        <v>0</v>
      </c>
      <c r="P160" s="139">
        <v>640.6</v>
      </c>
      <c r="Q160" s="139">
        <v>584.4</v>
      </c>
      <c r="R160" s="139">
        <v>0</v>
      </c>
      <c r="S160" s="133">
        <f t="shared" si="121"/>
        <v>1225</v>
      </c>
      <c r="T160" s="139">
        <v>640.6</v>
      </c>
      <c r="U160" s="130">
        <v>2.72</v>
      </c>
      <c r="V160" s="131">
        <v>1.21E-2</v>
      </c>
      <c r="W160" s="131">
        <v>1.9800000000000002E-2</v>
      </c>
      <c r="X160" s="132">
        <v>1.2700000000000001E-3</v>
      </c>
      <c r="Y160" s="131">
        <v>1.21E-2</v>
      </c>
      <c r="Z160" s="29">
        <v>3835.5</v>
      </c>
      <c r="AA160" s="34"/>
      <c r="AB160" s="9">
        <f t="shared" ref="AB160:AB229" si="133">Z160+AA160</f>
        <v>3835.5</v>
      </c>
      <c r="AC160" s="9">
        <f t="shared" si="89"/>
        <v>24278.720000000001</v>
      </c>
      <c r="AD160" s="9">
        <v>2.13</v>
      </c>
      <c r="AE160" s="9">
        <v>4.2</v>
      </c>
      <c r="AF160" s="21">
        <f>2.42-AJ160</f>
        <v>2.27</v>
      </c>
      <c r="AG160" s="18">
        <f>0.62-AQ160</f>
        <v>0.56999999999999995</v>
      </c>
      <c r="AH160" s="9">
        <v>2.78</v>
      </c>
      <c r="AI160" s="43">
        <v>578</v>
      </c>
      <c r="AJ160" s="21">
        <f t="shared" si="99"/>
        <v>0.15</v>
      </c>
      <c r="AK160" s="9">
        <v>2.25</v>
      </c>
      <c r="AL160" s="9">
        <v>0.61</v>
      </c>
      <c r="AM160" s="9">
        <v>0.15</v>
      </c>
      <c r="AN160" s="13"/>
      <c r="AO160" s="13">
        <v>422.4</v>
      </c>
      <c r="AP160" s="13">
        <f t="shared" si="123"/>
        <v>5.58</v>
      </c>
      <c r="AQ160" s="18">
        <f t="shared" si="98"/>
        <v>0.05</v>
      </c>
      <c r="AR160" s="9">
        <v>0.59</v>
      </c>
      <c r="AS160" s="9">
        <v>0.36</v>
      </c>
      <c r="AT160" s="9">
        <v>7.0000000000000007E-2</v>
      </c>
      <c r="AU160" s="9">
        <v>3.84</v>
      </c>
      <c r="AV160" s="9">
        <v>0.17</v>
      </c>
      <c r="AW160" s="9">
        <f>1.45+0.27+0.34</f>
        <v>2.06</v>
      </c>
      <c r="AX160" s="9">
        <f>2.06+0.45</f>
        <v>2.5099999999999998</v>
      </c>
      <c r="AY160" s="102">
        <f t="shared" si="124"/>
        <v>24.76</v>
      </c>
      <c r="AZ160" s="103">
        <v>3825.7</v>
      </c>
      <c r="BA160" s="103">
        <v>0</v>
      </c>
      <c r="BB160" s="103">
        <f t="shared" ref="BB160:BB229" si="134">AZ160+BA160</f>
        <v>3825.7</v>
      </c>
      <c r="BC160" s="103">
        <v>24.76</v>
      </c>
      <c r="BD160" s="13">
        <f t="shared" si="122"/>
        <v>0</v>
      </c>
      <c r="BE160" s="9">
        <f t="shared" si="100"/>
        <v>94966.98</v>
      </c>
      <c r="BF160" s="9">
        <v>24.76</v>
      </c>
      <c r="BG160" s="10">
        <v>44378</v>
      </c>
      <c r="BH160" s="9">
        <f t="shared" si="101"/>
        <v>8169.62</v>
      </c>
      <c r="BI160" s="9">
        <f t="shared" si="102"/>
        <v>16109.1</v>
      </c>
      <c r="BJ160" s="9">
        <f t="shared" si="103"/>
        <v>8706.59</v>
      </c>
      <c r="BK160" s="9">
        <f t="shared" si="104"/>
        <v>2186.2399999999998</v>
      </c>
      <c r="BL160" s="9">
        <f t="shared" si="105"/>
        <v>10662.69</v>
      </c>
      <c r="BM160" s="9">
        <f t="shared" si="106"/>
        <v>575.33000000000004</v>
      </c>
      <c r="BN160" s="9">
        <f t="shared" si="107"/>
        <v>8629.8799999999992</v>
      </c>
      <c r="BO160" s="9">
        <f t="shared" si="108"/>
        <v>2339.66</v>
      </c>
      <c r="BP160" s="9">
        <f t="shared" si="109"/>
        <v>575.33000000000004</v>
      </c>
      <c r="BQ160" s="9">
        <f t="shared" si="110"/>
        <v>191.78</v>
      </c>
      <c r="BR160" s="9">
        <f t="shared" si="111"/>
        <v>2262.9499999999998</v>
      </c>
      <c r="BS160" s="9">
        <f t="shared" si="112"/>
        <v>1380.78</v>
      </c>
      <c r="BT160" s="9">
        <f t="shared" si="113"/>
        <v>268.49</v>
      </c>
      <c r="BU160" s="9">
        <f t="shared" si="114"/>
        <v>14728.32</v>
      </c>
      <c r="BV160" s="9">
        <f t="shared" si="115"/>
        <v>652.04</v>
      </c>
      <c r="BW160" s="9">
        <f t="shared" si="116"/>
        <v>7901.13</v>
      </c>
      <c r="BX160" s="9">
        <f t="shared" si="117"/>
        <v>9627.11</v>
      </c>
      <c r="BY160" s="17">
        <f t="shared" si="118"/>
        <v>94967.039999999994</v>
      </c>
      <c r="BZ160" s="17">
        <v>3.34</v>
      </c>
      <c r="CA160" s="17">
        <v>0.09</v>
      </c>
      <c r="CB160" s="17">
        <v>0.54</v>
      </c>
      <c r="CC160" s="27">
        <v>0.09</v>
      </c>
      <c r="CD160" s="29">
        <v>6.33</v>
      </c>
      <c r="CE160" s="9">
        <v>12098.43</v>
      </c>
      <c r="CF160" s="9"/>
      <c r="CG160" s="9">
        <v>8269.34</v>
      </c>
      <c r="CH160" s="9">
        <v>4329.29</v>
      </c>
      <c r="CI160" s="9">
        <f t="shared" si="129"/>
        <v>3.15</v>
      </c>
      <c r="CJ160" s="9">
        <f t="shared" si="130"/>
        <v>0</v>
      </c>
      <c r="CK160" s="13">
        <f t="shared" si="131"/>
        <v>2.16</v>
      </c>
      <c r="CL160" s="13">
        <f t="shared" si="132"/>
        <v>1.1299999999999999</v>
      </c>
      <c r="CM160" s="13">
        <v>94966.88</v>
      </c>
      <c r="CN160" s="13">
        <v>8054.55</v>
      </c>
      <c r="CO160" s="13">
        <v>0</v>
      </c>
      <c r="CP160" s="13">
        <v>2032.88</v>
      </c>
      <c r="CQ160" s="13">
        <v>1073.8900000000001</v>
      </c>
      <c r="CR160" s="13">
        <v>104455.57</v>
      </c>
      <c r="CS160" s="13">
        <v>9918.58</v>
      </c>
      <c r="CT160" s="13">
        <v>312.45</v>
      </c>
      <c r="CU160" s="13">
        <v>7588.06</v>
      </c>
      <c r="CV160" s="13">
        <v>3972.11</v>
      </c>
      <c r="CW160" s="202">
        <v>3341</v>
      </c>
      <c r="CX160" s="200">
        <v>1917</v>
      </c>
      <c r="CY160" s="202"/>
      <c r="CZ160" s="202"/>
      <c r="DA160" s="202"/>
      <c r="DB160" s="202"/>
      <c r="DC160" s="202"/>
      <c r="DD160" s="461"/>
      <c r="DE160" s="256"/>
      <c r="DF160" s="202"/>
      <c r="DG160" s="202"/>
      <c r="DH160" s="202"/>
      <c r="DI160" s="204">
        <v>578</v>
      </c>
      <c r="DJ160" s="202">
        <v>8600</v>
      </c>
      <c r="DK160" s="202"/>
      <c r="DL160" s="202"/>
      <c r="DM160" s="202">
        <v>24665</v>
      </c>
      <c r="DN160" s="202">
        <v>3400</v>
      </c>
      <c r="DO160" s="202">
        <v>2</v>
      </c>
      <c r="DP160" s="202"/>
      <c r="DQ160" s="202"/>
      <c r="DR160" s="202"/>
      <c r="DS160" s="202"/>
      <c r="DT160" s="254"/>
      <c r="DU160" s="254"/>
      <c r="DV160" s="202"/>
      <c r="DW160" s="202"/>
      <c r="DX160" s="202">
        <v>17565</v>
      </c>
      <c r="DY160" s="107">
        <v>1365</v>
      </c>
      <c r="DZ160" s="107">
        <v>577</v>
      </c>
      <c r="EA160" s="202"/>
      <c r="EB160" s="202"/>
      <c r="EC160" s="202"/>
      <c r="ED160" s="202"/>
      <c r="EE160" s="202"/>
      <c r="EF160" s="229"/>
      <c r="EG160" s="202"/>
      <c r="EH160" s="202"/>
      <c r="EI160" s="202"/>
      <c r="EJ160" s="202"/>
      <c r="EK160" s="202">
        <v>8064.22</v>
      </c>
      <c r="EL160" s="202">
        <v>0</v>
      </c>
      <c r="EM160" s="202">
        <v>2026.8</v>
      </c>
      <c r="EN160" s="202">
        <v>1061.0999999999999</v>
      </c>
      <c r="EO160" s="202">
        <v>8064.22</v>
      </c>
      <c r="EP160" s="202"/>
      <c r="EQ160" s="202">
        <v>2026.8</v>
      </c>
      <c r="ER160" s="202">
        <v>1061.0999999999999</v>
      </c>
      <c r="ES160" s="202"/>
      <c r="ET160" s="202"/>
      <c r="EU160" s="202"/>
      <c r="EV160" s="214">
        <v>269.39999999999998</v>
      </c>
      <c r="EW160" s="240">
        <f t="shared" si="119"/>
        <v>8388.85</v>
      </c>
      <c r="EX160" s="209">
        <f t="shared" si="120"/>
        <v>5459.91</v>
      </c>
    </row>
    <row r="161" spans="1:154" ht="12.75" customHeight="1" x14ac:dyDescent="0.2">
      <c r="A161" s="45" t="s">
        <v>230</v>
      </c>
      <c r="B161" s="99" t="s">
        <v>184</v>
      </c>
      <c r="C161" s="100" t="s">
        <v>203</v>
      </c>
      <c r="D161" s="101" t="s">
        <v>569</v>
      </c>
      <c r="E161" s="100" t="s">
        <v>206</v>
      </c>
      <c r="F161" s="11">
        <v>9</v>
      </c>
      <c r="G161" s="11">
        <v>2</v>
      </c>
      <c r="H161" s="11">
        <v>72</v>
      </c>
      <c r="I161" s="11">
        <v>73</v>
      </c>
      <c r="J161" s="11">
        <v>167</v>
      </c>
      <c r="K161" s="11">
        <v>202</v>
      </c>
      <c r="L161" s="83">
        <v>2</v>
      </c>
      <c r="M161" s="84">
        <v>609</v>
      </c>
      <c r="N161" s="84">
        <v>602</v>
      </c>
      <c r="O161" s="84">
        <v>0</v>
      </c>
      <c r="P161" s="135">
        <v>642.9</v>
      </c>
      <c r="Q161" s="135">
        <v>584.6</v>
      </c>
      <c r="R161" s="133">
        <v>0</v>
      </c>
      <c r="S161" s="133">
        <f t="shared" si="121"/>
        <v>1227.5</v>
      </c>
      <c r="T161" s="134">
        <v>642.9</v>
      </c>
      <c r="U161" s="130">
        <v>2.72</v>
      </c>
      <c r="V161" s="131">
        <v>1.21E-2</v>
      </c>
      <c r="W161" s="131">
        <v>1.9800000000000002E-2</v>
      </c>
      <c r="X161" s="132">
        <v>1.2700000000000001E-3</v>
      </c>
      <c r="Y161" s="131">
        <v>1.21E-2</v>
      </c>
      <c r="Z161" s="29">
        <v>3835.8</v>
      </c>
      <c r="AA161" s="34"/>
      <c r="AB161" s="9">
        <f t="shared" si="133"/>
        <v>3835.8</v>
      </c>
      <c r="AC161" s="9">
        <f t="shared" si="89"/>
        <v>24280.61</v>
      </c>
      <c r="AD161" s="9">
        <v>2.14</v>
      </c>
      <c r="AE161" s="9">
        <v>4.21</v>
      </c>
      <c r="AF161" s="21">
        <f>2.41-AJ161</f>
        <v>2.2599999999999998</v>
      </c>
      <c r="AG161" s="18">
        <f>0.62-AQ161</f>
        <v>0.56999999999999995</v>
      </c>
      <c r="AH161" s="9">
        <v>2.78</v>
      </c>
      <c r="AI161" s="43">
        <v>578</v>
      </c>
      <c r="AJ161" s="21">
        <f t="shared" si="99"/>
        <v>0.15</v>
      </c>
      <c r="AK161" s="9">
        <v>2.25</v>
      </c>
      <c r="AL161" s="9">
        <v>0.61</v>
      </c>
      <c r="AM161" s="9">
        <v>0.15</v>
      </c>
      <c r="AN161" s="13"/>
      <c r="AO161" s="13">
        <v>422.4</v>
      </c>
      <c r="AP161" s="13">
        <f t="shared" si="123"/>
        <v>5.58</v>
      </c>
      <c r="AQ161" s="18">
        <f t="shared" si="98"/>
        <v>0.05</v>
      </c>
      <c r="AR161" s="9">
        <v>0.59</v>
      </c>
      <c r="AS161" s="9">
        <v>0.36</v>
      </c>
      <c r="AT161" s="9">
        <v>7.0000000000000007E-2</v>
      </c>
      <c r="AU161" s="9">
        <v>3.75</v>
      </c>
      <c r="AV161" s="9">
        <v>0.17</v>
      </c>
      <c r="AW161" s="9">
        <f>1.45+0.33+0.27</f>
        <v>2.0499999999999998</v>
      </c>
      <c r="AX161" s="9">
        <f>2.06+0.44</f>
        <v>2.5</v>
      </c>
      <c r="AY161" s="102">
        <f t="shared" si="124"/>
        <v>24.66</v>
      </c>
      <c r="AZ161" s="103">
        <v>3826.3</v>
      </c>
      <c r="BA161" s="103">
        <v>0</v>
      </c>
      <c r="BB161" s="103">
        <f t="shared" si="134"/>
        <v>3826.3</v>
      </c>
      <c r="BC161" s="103">
        <v>24.66</v>
      </c>
      <c r="BD161" s="13">
        <f t="shared" si="122"/>
        <v>0</v>
      </c>
      <c r="BE161" s="9">
        <f t="shared" si="100"/>
        <v>94590.83</v>
      </c>
      <c r="BF161" s="9">
        <v>24.66</v>
      </c>
      <c r="BG161" s="10">
        <v>44378</v>
      </c>
      <c r="BH161" s="9">
        <f t="shared" si="101"/>
        <v>8208.61</v>
      </c>
      <c r="BI161" s="9">
        <f t="shared" si="102"/>
        <v>16148.72</v>
      </c>
      <c r="BJ161" s="9">
        <f t="shared" si="103"/>
        <v>8668.91</v>
      </c>
      <c r="BK161" s="9">
        <f t="shared" si="104"/>
        <v>2186.41</v>
      </c>
      <c r="BL161" s="9">
        <f t="shared" si="105"/>
        <v>10663.52</v>
      </c>
      <c r="BM161" s="9">
        <f t="shared" si="106"/>
        <v>575.37</v>
      </c>
      <c r="BN161" s="9">
        <f t="shared" si="107"/>
        <v>8630.5499999999993</v>
      </c>
      <c r="BO161" s="9">
        <f t="shared" si="108"/>
        <v>2339.84</v>
      </c>
      <c r="BP161" s="9">
        <f t="shared" si="109"/>
        <v>575.37</v>
      </c>
      <c r="BQ161" s="9">
        <f t="shared" si="110"/>
        <v>191.79</v>
      </c>
      <c r="BR161" s="9">
        <f t="shared" si="111"/>
        <v>2263.12</v>
      </c>
      <c r="BS161" s="9">
        <f t="shared" si="112"/>
        <v>1380.89</v>
      </c>
      <c r="BT161" s="9">
        <f t="shared" si="113"/>
        <v>268.51</v>
      </c>
      <c r="BU161" s="9">
        <f t="shared" si="114"/>
        <v>14384.25</v>
      </c>
      <c r="BV161" s="9">
        <f t="shared" si="115"/>
        <v>652.09</v>
      </c>
      <c r="BW161" s="9">
        <f t="shared" si="116"/>
        <v>7863.39</v>
      </c>
      <c r="BX161" s="9">
        <f t="shared" si="117"/>
        <v>9589.5</v>
      </c>
      <c r="BY161" s="17">
        <f t="shared" si="118"/>
        <v>94590.84</v>
      </c>
      <c r="BZ161" s="17">
        <v>3.34</v>
      </c>
      <c r="CA161" s="17">
        <v>0.09</v>
      </c>
      <c r="CB161" s="17">
        <v>0.55000000000000004</v>
      </c>
      <c r="CC161" s="27">
        <v>0.09</v>
      </c>
      <c r="CD161" s="29">
        <v>6.33</v>
      </c>
      <c r="CE161" s="9">
        <v>7521.35</v>
      </c>
      <c r="CF161" s="9">
        <v>1503.52</v>
      </c>
      <c r="CG161" s="9">
        <v>1702.51</v>
      </c>
      <c r="CH161" s="9">
        <v>891.32</v>
      </c>
      <c r="CI161" s="9">
        <f t="shared" si="129"/>
        <v>1.96</v>
      </c>
      <c r="CJ161" s="9">
        <f t="shared" si="130"/>
        <v>0.39</v>
      </c>
      <c r="CK161" s="13">
        <f t="shared" si="131"/>
        <v>0.44</v>
      </c>
      <c r="CL161" s="13">
        <f t="shared" si="132"/>
        <v>0.23</v>
      </c>
      <c r="CM161" s="13">
        <v>94590.85</v>
      </c>
      <c r="CN161" s="13">
        <v>11123.81</v>
      </c>
      <c r="CO161" s="13">
        <v>12619.85</v>
      </c>
      <c r="CP161" s="13">
        <v>4641.34</v>
      </c>
      <c r="CQ161" s="13">
        <v>2416.66</v>
      </c>
      <c r="CR161" s="13">
        <v>112963.93</v>
      </c>
      <c r="CS161" s="13">
        <v>8488.4</v>
      </c>
      <c r="CT161" s="13">
        <v>7449.64</v>
      </c>
      <c r="CU161" s="13">
        <v>1725.54</v>
      </c>
      <c r="CV161" s="13">
        <v>904.39</v>
      </c>
      <c r="CW161" s="202">
        <v>3340</v>
      </c>
      <c r="CX161" s="200">
        <v>1916</v>
      </c>
      <c r="CY161" s="202"/>
      <c r="CZ161" s="202"/>
      <c r="DA161" s="202"/>
      <c r="DB161" s="202"/>
      <c r="DC161" s="202"/>
      <c r="DD161" s="461"/>
      <c r="DE161" s="256"/>
      <c r="DF161" s="202"/>
      <c r="DG161" s="202"/>
      <c r="DH161" s="202"/>
      <c r="DI161" s="204">
        <v>578</v>
      </c>
      <c r="DJ161" s="202">
        <v>8600</v>
      </c>
      <c r="DK161" s="202"/>
      <c r="DL161" s="202">
        <v>9000</v>
      </c>
      <c r="DM161" s="202">
        <v>24717</v>
      </c>
      <c r="DN161" s="202">
        <v>3400</v>
      </c>
      <c r="DO161" s="202">
        <v>2</v>
      </c>
      <c r="DP161" s="202"/>
      <c r="DQ161" s="202"/>
      <c r="DR161" s="202"/>
      <c r="DS161" s="202"/>
      <c r="DT161" s="254"/>
      <c r="DU161" s="254"/>
      <c r="DV161" s="202"/>
      <c r="DW161" s="202"/>
      <c r="DX161" s="202">
        <v>17535</v>
      </c>
      <c r="DY161" s="107">
        <v>1365</v>
      </c>
      <c r="DZ161" s="107"/>
      <c r="EA161" s="202"/>
      <c r="EB161" s="202"/>
      <c r="EC161" s="202"/>
      <c r="ED161" s="202"/>
      <c r="EE161" s="202"/>
      <c r="EF161" s="229"/>
      <c r="EG161" s="202"/>
      <c r="EH161" s="202"/>
      <c r="EI161" s="202"/>
      <c r="EJ161" s="202"/>
      <c r="EK161" s="202">
        <v>11125.31</v>
      </c>
      <c r="EL161" s="202">
        <v>12629.48</v>
      </c>
      <c r="EM161" s="202">
        <v>4648.13</v>
      </c>
      <c r="EN161" s="202">
        <v>2433.46</v>
      </c>
      <c r="EO161" s="202">
        <v>11125.31</v>
      </c>
      <c r="EP161" s="202"/>
      <c r="EQ161" s="202">
        <v>4648.13</v>
      </c>
      <c r="ER161" s="202">
        <v>2433.46</v>
      </c>
      <c r="ES161" s="202"/>
      <c r="ET161" s="202"/>
      <c r="EU161" s="202"/>
      <c r="EV161" s="214">
        <v>-5.63</v>
      </c>
      <c r="EW161" s="240">
        <f t="shared" si="119"/>
        <v>8389.51</v>
      </c>
      <c r="EX161" s="209">
        <f t="shared" si="120"/>
        <v>5460.34</v>
      </c>
    </row>
    <row r="162" spans="1:154" ht="12.75" customHeight="1" x14ac:dyDescent="0.2">
      <c r="A162" s="45" t="s">
        <v>231</v>
      </c>
      <c r="B162" s="60" t="s">
        <v>208</v>
      </c>
      <c r="C162" s="61" t="s">
        <v>44</v>
      </c>
      <c r="D162" s="62" t="s">
        <v>646</v>
      </c>
      <c r="E162" s="61" t="s">
        <v>12</v>
      </c>
      <c r="F162" s="11">
        <v>9</v>
      </c>
      <c r="G162" s="11">
        <v>2</v>
      </c>
      <c r="H162" s="11">
        <v>72</v>
      </c>
      <c r="I162" s="11">
        <v>71</v>
      </c>
      <c r="J162" s="11">
        <v>195</v>
      </c>
      <c r="K162" s="11">
        <v>188</v>
      </c>
      <c r="L162" s="11">
        <v>2</v>
      </c>
      <c r="M162" s="84">
        <v>952.4</v>
      </c>
      <c r="N162" s="84">
        <v>628.79999999999995</v>
      </c>
      <c r="O162" s="84">
        <v>628.79999999999995</v>
      </c>
      <c r="P162" s="135">
        <v>674.8</v>
      </c>
      <c r="Q162" s="135">
        <f>46.9+707.6</f>
        <v>754.5</v>
      </c>
      <c r="R162" s="133">
        <v>0</v>
      </c>
      <c r="S162" s="133">
        <f t="shared" si="121"/>
        <v>1429.3</v>
      </c>
      <c r="T162" s="134">
        <v>674.8</v>
      </c>
      <c r="U162" s="130">
        <v>2.72</v>
      </c>
      <c r="V162" s="91">
        <v>1.21E-2</v>
      </c>
      <c r="W162" s="91">
        <v>1.9800000000000002E-2</v>
      </c>
      <c r="X162" s="132">
        <v>1.2700000000000001E-3</v>
      </c>
      <c r="Y162" s="91">
        <v>1.21E-2</v>
      </c>
      <c r="Z162" s="29">
        <v>3715.19</v>
      </c>
      <c r="AA162" s="34">
        <v>272.5</v>
      </c>
      <c r="AB162" s="9">
        <f t="shared" si="133"/>
        <v>3987.69</v>
      </c>
      <c r="AC162" s="9">
        <f t="shared" si="89"/>
        <v>25242.080000000002</v>
      </c>
      <c r="AD162" s="9">
        <v>2.13</v>
      </c>
      <c r="AE162" s="9">
        <v>3.65</v>
      </c>
      <c r="AF162" s="21">
        <f>2.46-AJ162</f>
        <v>2.31</v>
      </c>
      <c r="AG162" s="18">
        <f>0.61-AQ162</f>
        <v>0.56000000000000005</v>
      </c>
      <c r="AH162" s="9">
        <f>2.78</f>
        <v>2.78</v>
      </c>
      <c r="AI162" s="43">
        <v>604</v>
      </c>
      <c r="AJ162" s="21">
        <f t="shared" si="99"/>
        <v>0.15</v>
      </c>
      <c r="AK162" s="9">
        <v>2.19</v>
      </c>
      <c r="AL162" s="9">
        <v>0.19</v>
      </c>
      <c r="AM162" s="9">
        <v>0.24</v>
      </c>
      <c r="AN162" s="13"/>
      <c r="AO162" s="13">
        <v>446.4</v>
      </c>
      <c r="AP162" s="13">
        <f t="shared" si="123"/>
        <v>5.58</v>
      </c>
      <c r="AQ162" s="18">
        <f t="shared" si="98"/>
        <v>0.05</v>
      </c>
      <c r="AR162" s="9">
        <v>0.54</v>
      </c>
      <c r="AS162" s="9">
        <v>0.35</v>
      </c>
      <c r="AT162" s="9">
        <v>7.0000000000000007E-2</v>
      </c>
      <c r="AU162" s="9">
        <v>4.6900000000000004</v>
      </c>
      <c r="AV162" s="9">
        <v>0.15</v>
      </c>
      <c r="AW162" s="9">
        <f>1.37+0.26+0.41</f>
        <v>2.04</v>
      </c>
      <c r="AX162" s="9">
        <f>1.93+0.55</f>
        <v>2.48</v>
      </c>
      <c r="AY162" s="63">
        <f t="shared" si="124"/>
        <v>24.57</v>
      </c>
      <c r="AZ162" s="64">
        <v>3661.3</v>
      </c>
      <c r="BA162" s="64">
        <v>272.5</v>
      </c>
      <c r="BB162" s="64">
        <f t="shared" si="134"/>
        <v>3933.8</v>
      </c>
      <c r="BC162" s="64">
        <v>24.57</v>
      </c>
      <c r="BD162" s="13">
        <f t="shared" si="122"/>
        <v>0</v>
      </c>
      <c r="BE162" s="9">
        <f t="shared" si="100"/>
        <v>97977.54</v>
      </c>
      <c r="BF162" s="9">
        <v>24.57</v>
      </c>
      <c r="BG162" s="10">
        <v>44378</v>
      </c>
      <c r="BH162" s="9">
        <f t="shared" si="101"/>
        <v>8493.7800000000007</v>
      </c>
      <c r="BI162" s="9">
        <f t="shared" si="102"/>
        <v>14555.07</v>
      </c>
      <c r="BJ162" s="9">
        <f t="shared" si="103"/>
        <v>9211.56</v>
      </c>
      <c r="BK162" s="9">
        <f t="shared" si="104"/>
        <v>2233.11</v>
      </c>
      <c r="BL162" s="9">
        <f t="shared" si="105"/>
        <v>11085.78</v>
      </c>
      <c r="BM162" s="9">
        <f t="shared" si="106"/>
        <v>598.15</v>
      </c>
      <c r="BN162" s="9">
        <f t="shared" si="107"/>
        <v>8733.0400000000009</v>
      </c>
      <c r="BO162" s="9">
        <f t="shared" si="108"/>
        <v>757.66</v>
      </c>
      <c r="BP162" s="9">
        <f t="shared" si="109"/>
        <v>957.05</v>
      </c>
      <c r="BQ162" s="9">
        <f t="shared" si="110"/>
        <v>199.38</v>
      </c>
      <c r="BR162" s="9">
        <f t="shared" si="111"/>
        <v>2153.35</v>
      </c>
      <c r="BS162" s="9">
        <f t="shared" si="112"/>
        <v>1395.69</v>
      </c>
      <c r="BT162" s="9">
        <f t="shared" si="113"/>
        <v>279.14</v>
      </c>
      <c r="BU162" s="9">
        <f t="shared" si="114"/>
        <v>18702.27</v>
      </c>
      <c r="BV162" s="9">
        <f t="shared" si="115"/>
        <v>598.15</v>
      </c>
      <c r="BW162" s="9">
        <f t="shared" si="116"/>
        <v>8134.89</v>
      </c>
      <c r="BX162" s="9">
        <f t="shared" si="117"/>
        <v>9889.4699999999993</v>
      </c>
      <c r="BY162" s="17">
        <f t="shared" si="118"/>
        <v>97977.54</v>
      </c>
      <c r="BZ162" s="17">
        <v>3.74</v>
      </c>
      <c r="CA162" s="17">
        <v>0.09</v>
      </c>
      <c r="CB162" s="17">
        <v>0.55000000000000004</v>
      </c>
      <c r="CC162" s="27">
        <v>0.1</v>
      </c>
      <c r="CD162" s="29">
        <v>6.33</v>
      </c>
      <c r="CE162" s="9">
        <v>29316.93</v>
      </c>
      <c r="CF162" s="9">
        <v>1953.2</v>
      </c>
      <c r="CG162" s="9">
        <v>0</v>
      </c>
      <c r="CH162" s="9">
        <v>0</v>
      </c>
      <c r="CI162" s="9">
        <f t="shared" si="129"/>
        <v>7.35</v>
      </c>
      <c r="CJ162" s="9">
        <f t="shared" si="130"/>
        <v>0.49</v>
      </c>
      <c r="CK162" s="13">
        <f t="shared" si="131"/>
        <v>0</v>
      </c>
      <c r="CL162" s="13">
        <f t="shared" si="132"/>
        <v>0</v>
      </c>
      <c r="CM162" s="13">
        <v>90671.93</v>
      </c>
      <c r="CN162" s="13">
        <v>24085.24</v>
      </c>
      <c r="CO162" s="13">
        <v>-0.35</v>
      </c>
      <c r="CP162" s="13">
        <v>-0.05</v>
      </c>
      <c r="CQ162" s="13">
        <v>-7.0000000000000007E-2</v>
      </c>
      <c r="CR162" s="13">
        <v>78572.2</v>
      </c>
      <c r="CS162" s="13">
        <v>18679.490000000002</v>
      </c>
      <c r="CT162" s="13">
        <v>5015.59</v>
      </c>
      <c r="CU162" s="13">
        <v>31.28</v>
      </c>
      <c r="CV162" s="13">
        <v>34.700000000000003</v>
      </c>
      <c r="CW162" s="202">
        <v>3474</v>
      </c>
      <c r="CX162" s="200">
        <v>1993</v>
      </c>
      <c r="CY162" s="202"/>
      <c r="CZ162" s="202"/>
      <c r="DA162" s="202"/>
      <c r="DB162" s="202"/>
      <c r="DC162" s="202"/>
      <c r="DD162" s="461"/>
      <c r="DE162" s="256"/>
      <c r="DF162" s="202"/>
      <c r="DG162" s="202"/>
      <c r="DH162" s="202"/>
      <c r="DI162" s="204">
        <v>604</v>
      </c>
      <c r="DJ162" s="107">
        <f>8600</f>
        <v>8600</v>
      </c>
      <c r="DK162" s="202"/>
      <c r="DL162" s="202"/>
      <c r="DM162" s="202"/>
      <c r="DN162" s="202"/>
      <c r="DO162" s="202"/>
      <c r="DP162" s="202">
        <v>22245</v>
      </c>
      <c r="DQ162" s="202">
        <v>2244</v>
      </c>
      <c r="DR162" s="202">
        <v>1.32</v>
      </c>
      <c r="DS162" s="202"/>
      <c r="DT162" s="254"/>
      <c r="DU162" s="254"/>
      <c r="DV162" s="202"/>
      <c r="DW162" s="202">
        <v>18409</v>
      </c>
      <c r="DX162" s="202"/>
      <c r="DY162" s="107">
        <v>1365</v>
      </c>
      <c r="DZ162" s="107">
        <v>577</v>
      </c>
      <c r="EA162" s="202"/>
      <c r="EB162" s="202"/>
      <c r="EC162" s="202"/>
      <c r="ED162" s="202"/>
      <c r="EE162" s="202"/>
      <c r="EF162" s="229"/>
      <c r="EG162" s="202"/>
      <c r="EH162" s="202"/>
      <c r="EI162" s="202"/>
      <c r="EJ162" s="202"/>
      <c r="EK162" s="202">
        <v>24146.73</v>
      </c>
      <c r="EL162" s="202">
        <v>0</v>
      </c>
      <c r="EM162" s="202">
        <v>0</v>
      </c>
      <c r="EN162" s="202">
        <v>0</v>
      </c>
      <c r="EO162" s="202">
        <v>24146.73</v>
      </c>
      <c r="EP162" s="202"/>
      <c r="EQ162" s="202">
        <v>0</v>
      </c>
      <c r="ER162" s="202">
        <v>0</v>
      </c>
      <c r="ES162" s="202"/>
      <c r="ET162" s="202"/>
      <c r="EU162" s="202"/>
      <c r="EV162" s="214">
        <v>-6.02</v>
      </c>
      <c r="EW162" s="240">
        <f t="shared" si="119"/>
        <v>8721.7199999999993</v>
      </c>
      <c r="EX162" s="209">
        <f t="shared" si="120"/>
        <v>5676.56</v>
      </c>
    </row>
    <row r="163" spans="1:154" ht="12.75" customHeight="1" x14ac:dyDescent="0.2">
      <c r="A163" s="45" t="s">
        <v>232</v>
      </c>
      <c r="B163" s="60" t="s">
        <v>208</v>
      </c>
      <c r="C163" s="61" t="s">
        <v>11</v>
      </c>
      <c r="D163" s="62" t="s">
        <v>647</v>
      </c>
      <c r="E163" s="61" t="s">
        <v>12</v>
      </c>
      <c r="F163" s="11">
        <v>10</v>
      </c>
      <c r="G163" s="11">
        <v>2</v>
      </c>
      <c r="H163" s="11">
        <v>117</v>
      </c>
      <c r="I163" s="11">
        <v>117</v>
      </c>
      <c r="J163" s="11">
        <v>167</v>
      </c>
      <c r="K163" s="11">
        <v>199</v>
      </c>
      <c r="L163" s="83">
        <v>2</v>
      </c>
      <c r="M163" s="84">
        <v>238.4</v>
      </c>
      <c r="N163" s="84">
        <v>1303.3</v>
      </c>
      <c r="O163" s="84">
        <v>1303.3</v>
      </c>
      <c r="P163" s="135">
        <v>774.8</v>
      </c>
      <c r="Q163" s="135">
        <v>433.7</v>
      </c>
      <c r="R163" s="133">
        <v>433.3</v>
      </c>
      <c r="S163" s="133">
        <f t="shared" si="121"/>
        <v>1641.8</v>
      </c>
      <c r="T163" s="134">
        <v>709.4</v>
      </c>
      <c r="U163" s="130">
        <v>3.03</v>
      </c>
      <c r="V163" s="131">
        <v>7.4000000000000003E-3</v>
      </c>
      <c r="W163" s="131">
        <v>1.1299999999999999E-2</v>
      </c>
      <c r="X163" s="132">
        <v>7.2000000000000005E-4</v>
      </c>
      <c r="Y163" s="131">
        <v>7.4000000000000003E-3</v>
      </c>
      <c r="Z163" s="29">
        <v>3956.86</v>
      </c>
      <c r="AA163" s="34">
        <v>113.3</v>
      </c>
      <c r="AB163" s="9">
        <f t="shared" si="133"/>
        <v>4070.16</v>
      </c>
      <c r="AC163" s="9">
        <f t="shared" si="89"/>
        <v>25764.11</v>
      </c>
      <c r="AD163" s="9">
        <v>1.63</v>
      </c>
      <c r="AE163" s="9">
        <v>3.73</v>
      </c>
      <c r="AF163" s="21">
        <f>2.39-AJ163</f>
        <v>2.08</v>
      </c>
      <c r="AG163" s="18">
        <f>0.6-AQ163</f>
        <v>0.52</v>
      </c>
      <c r="AH163" s="9">
        <v>2.4500000000000002</v>
      </c>
      <c r="AI163" s="43">
        <v>1251</v>
      </c>
      <c r="AJ163" s="21">
        <f t="shared" si="99"/>
        <v>0.31</v>
      </c>
      <c r="AK163" s="9">
        <v>2.12</v>
      </c>
      <c r="AL163" s="9">
        <v>0.19</v>
      </c>
      <c r="AM163" s="9">
        <v>0.14000000000000001</v>
      </c>
      <c r="AN163" s="13"/>
      <c r="AO163" s="13">
        <v>736.8</v>
      </c>
      <c r="AP163" s="13">
        <f t="shared" si="123"/>
        <v>5.58</v>
      </c>
      <c r="AQ163" s="18">
        <f t="shared" si="98"/>
        <v>0.08</v>
      </c>
      <c r="AR163" s="9">
        <v>0.87</v>
      </c>
      <c r="AS163" s="9">
        <v>0.34</v>
      </c>
      <c r="AT163" s="9">
        <v>7.0000000000000007E-2</v>
      </c>
      <c r="AU163" s="9">
        <v>4.38</v>
      </c>
      <c r="AV163" s="9">
        <v>0.14000000000000001</v>
      </c>
      <c r="AW163" s="9">
        <f>1.31+0.42+0.39</f>
        <v>2.12</v>
      </c>
      <c r="AX163" s="9">
        <f>1.85+0.52</f>
        <v>2.37</v>
      </c>
      <c r="AY163" s="63">
        <f t="shared" si="124"/>
        <v>23.54</v>
      </c>
      <c r="AZ163" s="64">
        <v>3934.2</v>
      </c>
      <c r="BA163" s="64">
        <v>113.3</v>
      </c>
      <c r="BB163" s="64">
        <f t="shared" si="134"/>
        <v>4047.5</v>
      </c>
      <c r="BC163" s="64">
        <v>23.54</v>
      </c>
      <c r="BD163" s="13">
        <f t="shared" si="122"/>
        <v>0</v>
      </c>
      <c r="BE163" s="9">
        <f t="shared" si="100"/>
        <v>95811.57</v>
      </c>
      <c r="BF163" s="9">
        <v>23.54</v>
      </c>
      <c r="BG163" s="10">
        <v>44378</v>
      </c>
      <c r="BH163" s="9">
        <f t="shared" si="101"/>
        <v>6634.36</v>
      </c>
      <c r="BI163" s="9">
        <f t="shared" si="102"/>
        <v>15181.7</v>
      </c>
      <c r="BJ163" s="9">
        <f t="shared" si="103"/>
        <v>8465.93</v>
      </c>
      <c r="BK163" s="9">
        <f t="shared" si="104"/>
        <v>2116.48</v>
      </c>
      <c r="BL163" s="9">
        <f t="shared" si="105"/>
        <v>9971.89</v>
      </c>
      <c r="BM163" s="9">
        <f t="shared" si="106"/>
        <v>1261.75</v>
      </c>
      <c r="BN163" s="9">
        <f t="shared" si="107"/>
        <v>8628.74</v>
      </c>
      <c r="BO163" s="9">
        <f t="shared" si="108"/>
        <v>773.33</v>
      </c>
      <c r="BP163" s="9">
        <f t="shared" si="109"/>
        <v>569.82000000000005</v>
      </c>
      <c r="BQ163" s="9">
        <f t="shared" si="110"/>
        <v>325.61</v>
      </c>
      <c r="BR163" s="9">
        <f t="shared" si="111"/>
        <v>3541.04</v>
      </c>
      <c r="BS163" s="9">
        <f t="shared" si="112"/>
        <v>1383.85</v>
      </c>
      <c r="BT163" s="9">
        <f t="shared" si="113"/>
        <v>284.91000000000003</v>
      </c>
      <c r="BU163" s="9">
        <f t="shared" si="114"/>
        <v>17827.3</v>
      </c>
      <c r="BV163" s="9">
        <f t="shared" si="115"/>
        <v>569.82000000000005</v>
      </c>
      <c r="BW163" s="9">
        <f t="shared" si="116"/>
        <v>8628.74</v>
      </c>
      <c r="BX163" s="9">
        <f t="shared" si="117"/>
        <v>9646.2800000000007</v>
      </c>
      <c r="BY163" s="17">
        <f t="shared" si="118"/>
        <v>95811.55</v>
      </c>
      <c r="BZ163" s="17">
        <v>4.68</v>
      </c>
      <c r="CA163" s="17">
        <v>0.06</v>
      </c>
      <c r="CB163" s="17">
        <v>0.34</v>
      </c>
      <c r="CC163" s="27">
        <v>0.06</v>
      </c>
      <c r="CD163" s="29">
        <v>6.33</v>
      </c>
      <c r="CE163" s="9">
        <v>46795.51</v>
      </c>
      <c r="CF163" s="9"/>
      <c r="CG163" s="9">
        <v>232.44</v>
      </c>
      <c r="CH163" s="9">
        <v>81.09</v>
      </c>
      <c r="CI163" s="9">
        <f t="shared" si="129"/>
        <v>11.5</v>
      </c>
      <c r="CJ163" s="9">
        <f t="shared" si="130"/>
        <v>0</v>
      </c>
      <c r="CK163" s="13">
        <f t="shared" si="131"/>
        <v>0.06</v>
      </c>
      <c r="CL163" s="13">
        <f t="shared" si="132"/>
        <v>0.02</v>
      </c>
      <c r="CM163" s="13">
        <v>93144.5</v>
      </c>
      <c r="CN163" s="13">
        <v>31219.71</v>
      </c>
      <c r="CO163" s="13">
        <v>17489.3</v>
      </c>
      <c r="CP163" s="13">
        <v>0</v>
      </c>
      <c r="CQ163" s="13">
        <v>0</v>
      </c>
      <c r="CR163" s="13">
        <v>81596.759999999995</v>
      </c>
      <c r="CS163" s="13">
        <v>15840.51</v>
      </c>
      <c r="CT163" s="13">
        <v>9209.0400000000009</v>
      </c>
      <c r="CU163" s="13">
        <v>29.21</v>
      </c>
      <c r="CV163" s="13">
        <v>23.1</v>
      </c>
      <c r="CW163" s="202">
        <v>3544</v>
      </c>
      <c r="CX163" s="200">
        <v>2033</v>
      </c>
      <c r="CY163" s="202"/>
      <c r="CZ163" s="202"/>
      <c r="DA163" s="202"/>
      <c r="DB163" s="202"/>
      <c r="DC163" s="202"/>
      <c r="DD163" s="461"/>
      <c r="DE163" s="256"/>
      <c r="DF163" s="202"/>
      <c r="DG163" s="202"/>
      <c r="DH163" s="202"/>
      <c r="DI163" s="204">
        <v>1251</v>
      </c>
      <c r="DJ163" s="202">
        <v>8600</v>
      </c>
      <c r="DK163" s="202"/>
      <c r="DL163" s="202"/>
      <c r="DM163" s="202"/>
      <c r="DN163" s="202"/>
      <c r="DO163" s="202"/>
      <c r="DP163" s="202">
        <v>21272</v>
      </c>
      <c r="DQ163" s="202">
        <v>2244</v>
      </c>
      <c r="DR163" s="202">
        <v>1.32</v>
      </c>
      <c r="DS163" s="202"/>
      <c r="DT163" s="254"/>
      <c r="DU163" s="254"/>
      <c r="DV163" s="202"/>
      <c r="DW163" s="202">
        <v>16951</v>
      </c>
      <c r="DX163" s="202"/>
      <c r="DY163" s="107">
        <v>1365</v>
      </c>
      <c r="DZ163" s="107">
        <v>577</v>
      </c>
      <c r="EA163" s="202"/>
      <c r="EB163" s="202"/>
      <c r="EC163" s="202"/>
      <c r="ED163" s="202"/>
      <c r="EE163" s="202"/>
      <c r="EF163" s="229"/>
      <c r="EG163" s="202"/>
      <c r="EH163" s="202"/>
      <c r="EI163" s="202"/>
      <c r="EJ163" s="202"/>
      <c r="EK163" s="202">
        <v>40234.07</v>
      </c>
      <c r="EL163" s="202">
        <v>30218.42</v>
      </c>
      <c r="EM163" s="202">
        <v>0</v>
      </c>
      <c r="EN163" s="202">
        <v>0</v>
      </c>
      <c r="EO163" s="202">
        <v>40234.07</v>
      </c>
      <c r="EP163" s="202"/>
      <c r="EQ163" s="202">
        <v>0</v>
      </c>
      <c r="ER163" s="202">
        <v>0</v>
      </c>
      <c r="ES163" s="202">
        <v>-232.44</v>
      </c>
      <c r="ET163" s="202">
        <v>-81.08</v>
      </c>
      <c r="EU163" s="202"/>
      <c r="EV163" s="214">
        <v>-6.44</v>
      </c>
      <c r="EW163" s="240">
        <f t="shared" si="119"/>
        <v>8902.09</v>
      </c>
      <c r="EX163" s="209">
        <f t="shared" si="120"/>
        <v>5793.95</v>
      </c>
    </row>
    <row r="164" spans="1:154" ht="12.75" customHeight="1" x14ac:dyDescent="0.2">
      <c r="A164" s="45" t="s">
        <v>233</v>
      </c>
      <c r="B164" s="60" t="s">
        <v>208</v>
      </c>
      <c r="C164" s="61" t="s">
        <v>46</v>
      </c>
      <c r="D164" s="62" t="s">
        <v>468</v>
      </c>
      <c r="E164" s="61" t="s">
        <v>12</v>
      </c>
      <c r="F164" s="11">
        <v>9</v>
      </c>
      <c r="G164" s="11">
        <v>2</v>
      </c>
      <c r="H164" s="11">
        <v>72</v>
      </c>
      <c r="I164" s="11">
        <v>72</v>
      </c>
      <c r="J164" s="11">
        <v>171</v>
      </c>
      <c r="K164" s="11">
        <v>175</v>
      </c>
      <c r="L164" s="83">
        <v>2</v>
      </c>
      <c r="M164" s="84">
        <v>940.6</v>
      </c>
      <c r="N164" s="84">
        <v>584</v>
      </c>
      <c r="O164" s="84">
        <v>584</v>
      </c>
      <c r="P164" s="139">
        <v>599.5</v>
      </c>
      <c r="Q164" s="135">
        <v>619.9</v>
      </c>
      <c r="R164" s="133">
        <v>0</v>
      </c>
      <c r="S164" s="133">
        <f t="shared" si="121"/>
        <v>1219.4000000000001</v>
      </c>
      <c r="T164" s="139">
        <v>645.70000000000005</v>
      </c>
      <c r="U164" s="130">
        <v>2.72</v>
      </c>
      <c r="V164" s="131">
        <v>1.21E-2</v>
      </c>
      <c r="W164" s="131">
        <v>1.9800000000000002E-2</v>
      </c>
      <c r="X164" s="132">
        <v>1.2700000000000001E-3</v>
      </c>
      <c r="Y164" s="131">
        <v>1.21E-2</v>
      </c>
      <c r="Z164" s="29">
        <v>3829.53</v>
      </c>
      <c r="AA164" s="34"/>
      <c r="AB164" s="9">
        <f t="shared" si="133"/>
        <v>3829.53</v>
      </c>
      <c r="AC164" s="9">
        <f t="shared" si="89"/>
        <v>24240.92</v>
      </c>
      <c r="AD164" s="9">
        <v>2.15</v>
      </c>
      <c r="AE164" s="9">
        <v>3.8</v>
      </c>
      <c r="AF164" s="21">
        <f>2.46-AJ164</f>
        <v>2.31</v>
      </c>
      <c r="AG164" s="18">
        <f>0.62-AQ164</f>
        <v>0.56999999999999995</v>
      </c>
      <c r="AH164" s="9">
        <v>2.78</v>
      </c>
      <c r="AI164" s="43">
        <v>561</v>
      </c>
      <c r="AJ164" s="21">
        <f t="shared" si="99"/>
        <v>0.15</v>
      </c>
      <c r="AK164" s="9">
        <v>2.25</v>
      </c>
      <c r="AL164" s="9">
        <v>0.2</v>
      </c>
      <c r="AM164" s="9">
        <v>0.25</v>
      </c>
      <c r="AN164" s="13"/>
      <c r="AO164" s="13">
        <v>446.4</v>
      </c>
      <c r="AP164" s="13">
        <f t="shared" si="123"/>
        <v>5.58</v>
      </c>
      <c r="AQ164" s="18">
        <f t="shared" si="98"/>
        <v>0.05</v>
      </c>
      <c r="AR164" s="9">
        <v>0.59</v>
      </c>
      <c r="AS164" s="9">
        <v>0.36</v>
      </c>
      <c r="AT164" s="9">
        <v>7.0000000000000007E-2</v>
      </c>
      <c r="AU164" s="9">
        <v>3.85</v>
      </c>
      <c r="AV164" s="9">
        <v>0.17</v>
      </c>
      <c r="AW164" s="9">
        <f>1.39+0.26+0.34</f>
        <v>1.99</v>
      </c>
      <c r="AX164" s="9">
        <f>1.97+0.45</f>
        <v>2.42</v>
      </c>
      <c r="AY164" s="63">
        <f t="shared" si="124"/>
        <v>23.96</v>
      </c>
      <c r="AZ164" s="64">
        <v>3818.4</v>
      </c>
      <c r="BA164" s="64">
        <v>0</v>
      </c>
      <c r="BB164" s="64">
        <f t="shared" si="134"/>
        <v>3818.4</v>
      </c>
      <c r="BC164" s="64">
        <v>23.96</v>
      </c>
      <c r="BD164" s="13">
        <f t="shared" si="122"/>
        <v>0</v>
      </c>
      <c r="BE164" s="9">
        <f t="shared" si="100"/>
        <v>91755.54</v>
      </c>
      <c r="BF164" s="9">
        <v>23.96</v>
      </c>
      <c r="BG164" s="10">
        <v>44378</v>
      </c>
      <c r="BH164" s="9">
        <f t="shared" si="101"/>
        <v>8233.49</v>
      </c>
      <c r="BI164" s="9">
        <f t="shared" si="102"/>
        <v>14552.21</v>
      </c>
      <c r="BJ164" s="9">
        <f t="shared" si="103"/>
        <v>8846.2099999999991</v>
      </c>
      <c r="BK164" s="9">
        <f t="shared" si="104"/>
        <v>2182.83</v>
      </c>
      <c r="BL164" s="9">
        <f t="shared" si="105"/>
        <v>10646.09</v>
      </c>
      <c r="BM164" s="9">
        <f t="shared" si="106"/>
        <v>574.42999999999995</v>
      </c>
      <c r="BN164" s="9">
        <f t="shared" si="107"/>
        <v>8616.44</v>
      </c>
      <c r="BO164" s="9">
        <f t="shared" si="108"/>
        <v>765.91</v>
      </c>
      <c r="BP164" s="9">
        <f t="shared" si="109"/>
        <v>957.38</v>
      </c>
      <c r="BQ164" s="9">
        <f t="shared" si="110"/>
        <v>191.48</v>
      </c>
      <c r="BR164" s="9">
        <f t="shared" si="111"/>
        <v>2259.42</v>
      </c>
      <c r="BS164" s="9">
        <f t="shared" si="112"/>
        <v>1378.63</v>
      </c>
      <c r="BT164" s="9">
        <f t="shared" si="113"/>
        <v>268.07</v>
      </c>
      <c r="BU164" s="9">
        <f t="shared" si="114"/>
        <v>14743.69</v>
      </c>
      <c r="BV164" s="9">
        <f t="shared" si="115"/>
        <v>651.02</v>
      </c>
      <c r="BW164" s="9">
        <f t="shared" si="116"/>
        <v>7620.76</v>
      </c>
      <c r="BX164" s="9">
        <f t="shared" si="117"/>
        <v>9267.4599999999991</v>
      </c>
      <c r="BY164" s="17">
        <f t="shared" si="118"/>
        <v>91755.520000000004</v>
      </c>
      <c r="BZ164" s="17">
        <v>4.58</v>
      </c>
      <c r="CA164" s="17">
        <v>0.09</v>
      </c>
      <c r="CB164" s="17">
        <v>0.55000000000000004</v>
      </c>
      <c r="CC164" s="27">
        <v>0.09</v>
      </c>
      <c r="CD164" s="29">
        <v>6.33</v>
      </c>
      <c r="CE164" s="9">
        <v>22986.59</v>
      </c>
      <c r="CF164" s="9">
        <v>1868.95</v>
      </c>
      <c r="CG164" s="9">
        <v>0</v>
      </c>
      <c r="CH164" s="9">
        <v>0</v>
      </c>
      <c r="CI164" s="9">
        <f t="shared" si="129"/>
        <v>6</v>
      </c>
      <c r="CJ164" s="9">
        <f t="shared" si="130"/>
        <v>0.49</v>
      </c>
      <c r="CK164" s="13">
        <f t="shared" si="131"/>
        <v>0</v>
      </c>
      <c r="CL164" s="13">
        <f t="shared" si="132"/>
        <v>0</v>
      </c>
      <c r="CM164" s="13">
        <v>91784.31</v>
      </c>
      <c r="CN164" s="13">
        <v>8006.23</v>
      </c>
      <c r="CO164" s="13">
        <v>1877.05</v>
      </c>
      <c r="CP164" s="13">
        <v>0</v>
      </c>
      <c r="CQ164" s="13">
        <v>0</v>
      </c>
      <c r="CR164" s="13">
        <v>97014.18</v>
      </c>
      <c r="CS164" s="13">
        <v>10871.57</v>
      </c>
      <c r="CT164" s="13">
        <v>1045.6400000000001</v>
      </c>
      <c r="CU164" s="13">
        <v>42.28</v>
      </c>
      <c r="CV164" s="13">
        <v>42.27</v>
      </c>
      <c r="CW164" s="202">
        <v>3336</v>
      </c>
      <c r="CX164" s="200">
        <v>1914</v>
      </c>
      <c r="CY164" s="202"/>
      <c r="CZ164" s="202"/>
      <c r="DA164" s="202"/>
      <c r="DB164" s="202"/>
      <c r="DC164" s="202"/>
      <c r="DD164" s="461"/>
      <c r="DE164" s="256"/>
      <c r="DF164" s="202"/>
      <c r="DG164" s="202"/>
      <c r="DH164" s="202"/>
      <c r="DI164" s="204">
        <v>561</v>
      </c>
      <c r="DJ164" s="202">
        <v>8600</v>
      </c>
      <c r="DK164" s="202"/>
      <c r="DL164" s="202"/>
      <c r="DM164" s="202"/>
      <c r="DN164" s="202"/>
      <c r="DO164" s="202"/>
      <c r="DP164" s="202">
        <v>22226</v>
      </c>
      <c r="DQ164" s="202">
        <v>2244</v>
      </c>
      <c r="DR164" s="202">
        <v>1.32</v>
      </c>
      <c r="DS164" s="202"/>
      <c r="DT164" s="254"/>
      <c r="DU164" s="254"/>
      <c r="DV164" s="202"/>
      <c r="DW164" s="202">
        <v>17910</v>
      </c>
      <c r="DX164" s="202"/>
      <c r="DY164" s="107">
        <v>1365</v>
      </c>
      <c r="DZ164" s="107">
        <v>942</v>
      </c>
      <c r="EA164" s="202"/>
      <c r="EB164" s="202"/>
      <c r="EC164" s="202"/>
      <c r="ED164" s="202"/>
      <c r="EE164" s="202"/>
      <c r="EF164" s="229"/>
      <c r="EG164" s="202"/>
      <c r="EH164" s="202"/>
      <c r="EI164" s="202"/>
      <c r="EJ164" s="202"/>
      <c r="EK164" s="202">
        <v>8008.22</v>
      </c>
      <c r="EL164" s="202">
        <v>1868.94</v>
      </c>
      <c r="EM164" s="202">
        <v>0</v>
      </c>
      <c r="EN164" s="202">
        <v>0</v>
      </c>
      <c r="EO164" s="202">
        <v>8008.22</v>
      </c>
      <c r="EP164" s="202"/>
      <c r="EQ164" s="202">
        <v>0</v>
      </c>
      <c r="ER164" s="202">
        <v>0</v>
      </c>
      <c r="ES164" s="202"/>
      <c r="ET164" s="202"/>
      <c r="EU164" s="202"/>
      <c r="EV164" s="214">
        <f>-5.66+31272.72</f>
        <v>31267.06</v>
      </c>
      <c r="EW164" s="240">
        <f t="shared" si="119"/>
        <v>8375.7900000000009</v>
      </c>
      <c r="EX164" s="209">
        <f t="shared" si="120"/>
        <v>5451.41</v>
      </c>
    </row>
    <row r="165" spans="1:154" ht="12.75" customHeight="1" x14ac:dyDescent="0.2">
      <c r="A165" s="45" t="s">
        <v>234</v>
      </c>
      <c r="B165" s="66" t="s">
        <v>208</v>
      </c>
      <c r="C165" s="67" t="s">
        <v>17</v>
      </c>
      <c r="D165" s="68" t="s">
        <v>469</v>
      </c>
      <c r="E165" s="67" t="s">
        <v>12</v>
      </c>
      <c r="F165" s="11">
        <v>5</v>
      </c>
      <c r="G165" s="11">
        <v>4</v>
      </c>
      <c r="H165" s="11">
        <v>70</v>
      </c>
      <c r="I165" s="11">
        <v>70</v>
      </c>
      <c r="J165" s="11">
        <v>159</v>
      </c>
      <c r="K165" s="11">
        <v>169</v>
      </c>
      <c r="L165" s="11" t="s">
        <v>746</v>
      </c>
      <c r="M165" s="84">
        <v>276.5</v>
      </c>
      <c r="N165" s="84">
        <v>925.6</v>
      </c>
      <c r="O165" s="84">
        <v>925.6</v>
      </c>
      <c r="P165" s="139">
        <v>296.60000000000002</v>
      </c>
      <c r="Q165" s="135">
        <v>750.8</v>
      </c>
      <c r="R165" s="133">
        <v>925.6</v>
      </c>
      <c r="S165" s="133">
        <f t="shared" si="121"/>
        <v>1973</v>
      </c>
      <c r="T165" s="139">
        <v>276.5</v>
      </c>
      <c r="U165" s="130">
        <v>1.53</v>
      </c>
      <c r="V165" s="131">
        <v>1.9800000000000002E-2</v>
      </c>
      <c r="W165" s="131">
        <v>1.9800000000000002E-2</v>
      </c>
      <c r="X165" s="132">
        <v>1.2199999999999999E-3</v>
      </c>
      <c r="Y165" s="131">
        <v>3.95E-2</v>
      </c>
      <c r="Z165" s="29">
        <v>3415.33</v>
      </c>
      <c r="AA165" s="34"/>
      <c r="AB165" s="9">
        <f t="shared" si="133"/>
        <v>3415.33</v>
      </c>
      <c r="AC165" s="9">
        <f t="shared" si="89"/>
        <v>21619.040000000001</v>
      </c>
      <c r="AD165" s="9">
        <v>0.41</v>
      </c>
      <c r="AE165" s="9">
        <v>4.3499999999999996</v>
      </c>
      <c r="AF165" s="21">
        <f>2.44-AJ165</f>
        <v>2.1800000000000002</v>
      </c>
      <c r="AG165" s="18">
        <f>0.53-AQ165</f>
        <v>0.45</v>
      </c>
      <c r="AH165" s="9">
        <v>2.78</v>
      </c>
      <c r="AI165" s="43">
        <v>889</v>
      </c>
      <c r="AJ165" s="21">
        <f t="shared" si="99"/>
        <v>0.26</v>
      </c>
      <c r="AK165" s="9">
        <v>0</v>
      </c>
      <c r="AL165" s="9">
        <v>0</v>
      </c>
      <c r="AM165" s="9">
        <v>0.17</v>
      </c>
      <c r="AN165" s="13"/>
      <c r="AO165" s="13">
        <v>598.4</v>
      </c>
      <c r="AP165" s="13">
        <f t="shared" si="123"/>
        <v>5.58</v>
      </c>
      <c r="AQ165" s="18">
        <f t="shared" si="98"/>
        <v>0.08</v>
      </c>
      <c r="AR165" s="9">
        <v>0.74</v>
      </c>
      <c r="AS165" s="9">
        <v>0.4</v>
      </c>
      <c r="AT165" s="9">
        <v>7.0000000000000007E-2</v>
      </c>
      <c r="AU165" s="9">
        <v>4.01</v>
      </c>
      <c r="AV165" s="9">
        <v>0.12</v>
      </c>
      <c r="AW165" s="9">
        <f>1.06+0.29+0.35</f>
        <v>1.7</v>
      </c>
      <c r="AX165" s="9">
        <f>1.46+0.48</f>
        <v>1.94</v>
      </c>
      <c r="AY165" s="69">
        <f t="shared" si="124"/>
        <v>19.66</v>
      </c>
      <c r="AZ165" s="70">
        <v>3415.6</v>
      </c>
      <c r="BA165" s="70">
        <v>0</v>
      </c>
      <c r="BB165" s="70">
        <f t="shared" si="134"/>
        <v>3415.6</v>
      </c>
      <c r="BC165" s="70">
        <v>19.66</v>
      </c>
      <c r="BD165" s="13">
        <f t="shared" si="122"/>
        <v>0</v>
      </c>
      <c r="BE165" s="9">
        <f t="shared" si="100"/>
        <v>67145.39</v>
      </c>
      <c r="BF165" s="9">
        <v>19.66</v>
      </c>
      <c r="BG165" s="10">
        <v>44409</v>
      </c>
      <c r="BH165" s="9">
        <f t="shared" si="101"/>
        <v>1400.29</v>
      </c>
      <c r="BI165" s="9">
        <f t="shared" si="102"/>
        <v>14856.69</v>
      </c>
      <c r="BJ165" s="9">
        <f t="shared" si="103"/>
        <v>7445.42</v>
      </c>
      <c r="BK165" s="9">
        <f t="shared" si="104"/>
        <v>1536.9</v>
      </c>
      <c r="BL165" s="9">
        <f t="shared" si="105"/>
        <v>9494.6200000000008</v>
      </c>
      <c r="BM165" s="9">
        <f t="shared" si="106"/>
        <v>887.99</v>
      </c>
      <c r="BN165" s="9">
        <f t="shared" si="107"/>
        <v>0</v>
      </c>
      <c r="BO165" s="9">
        <f t="shared" si="108"/>
        <v>0</v>
      </c>
      <c r="BP165" s="9">
        <f t="shared" si="109"/>
        <v>580.61</v>
      </c>
      <c r="BQ165" s="9">
        <f t="shared" si="110"/>
        <v>273.23</v>
      </c>
      <c r="BR165" s="9">
        <f t="shared" si="111"/>
        <v>2527.34</v>
      </c>
      <c r="BS165" s="9">
        <f t="shared" si="112"/>
        <v>1366.13</v>
      </c>
      <c r="BT165" s="9">
        <f t="shared" si="113"/>
        <v>239.07</v>
      </c>
      <c r="BU165" s="9">
        <f t="shared" si="114"/>
        <v>13695.47</v>
      </c>
      <c r="BV165" s="9">
        <f t="shared" si="115"/>
        <v>409.84</v>
      </c>
      <c r="BW165" s="9">
        <f t="shared" si="116"/>
        <v>5806.06</v>
      </c>
      <c r="BX165" s="9">
        <f t="shared" si="117"/>
        <v>6625.74</v>
      </c>
      <c r="BY165" s="17">
        <f t="shared" si="118"/>
        <v>67145.399999999994</v>
      </c>
      <c r="BZ165" s="17">
        <v>3.51</v>
      </c>
      <c r="CA165" s="17">
        <v>0.04</v>
      </c>
      <c r="CB165" s="17">
        <v>0.26</v>
      </c>
      <c r="CC165" s="27">
        <v>0.05</v>
      </c>
      <c r="CD165" s="29">
        <v>6.33</v>
      </c>
      <c r="CE165" s="9">
        <v>17191.68</v>
      </c>
      <c r="CF165" s="9"/>
      <c r="CG165" s="9">
        <v>221.99</v>
      </c>
      <c r="CH165" s="9">
        <v>154.52000000000001</v>
      </c>
      <c r="CI165" s="9">
        <f t="shared" si="129"/>
        <v>5.03</v>
      </c>
      <c r="CJ165" s="9">
        <f t="shared" si="130"/>
        <v>0</v>
      </c>
      <c r="CK165" s="13">
        <f t="shared" si="131"/>
        <v>0.06</v>
      </c>
      <c r="CL165" s="13">
        <f t="shared" si="132"/>
        <v>0.05</v>
      </c>
      <c r="CM165" s="13">
        <v>67145.350000000006</v>
      </c>
      <c r="CN165" s="13">
        <v>21004.43</v>
      </c>
      <c r="CO165" s="13">
        <v>0</v>
      </c>
      <c r="CP165" s="13">
        <v>1400.29</v>
      </c>
      <c r="CQ165" s="13">
        <v>785.55</v>
      </c>
      <c r="CR165" s="13">
        <v>70362.48</v>
      </c>
      <c r="CS165" s="13">
        <v>23957.02</v>
      </c>
      <c r="CT165" s="13">
        <v>140.35</v>
      </c>
      <c r="CU165" s="13">
        <v>681.3</v>
      </c>
      <c r="CV165" s="13">
        <v>399.71</v>
      </c>
      <c r="CW165" s="202">
        <v>2976</v>
      </c>
      <c r="CX165" s="200">
        <v>1707</v>
      </c>
      <c r="CY165" s="202"/>
      <c r="CZ165" s="202"/>
      <c r="DA165" s="202"/>
      <c r="DB165" s="202"/>
      <c r="DC165" s="202"/>
      <c r="DD165" s="461"/>
      <c r="DE165" s="256"/>
      <c r="DF165" s="202"/>
      <c r="DG165" s="202"/>
      <c r="DH165" s="202"/>
      <c r="DI165" s="204">
        <v>889</v>
      </c>
      <c r="DJ165" s="202"/>
      <c r="DK165" s="202"/>
      <c r="DL165" s="202"/>
      <c r="DM165" s="202"/>
      <c r="DN165" s="202"/>
      <c r="DO165" s="202"/>
      <c r="DP165" s="202">
        <v>15960</v>
      </c>
      <c r="DQ165" s="202">
        <v>2125</v>
      </c>
      <c r="DR165" s="202">
        <v>1.25</v>
      </c>
      <c r="DS165" s="202">
        <v>18310</v>
      </c>
      <c r="DT165" s="254">
        <f>574+40</f>
        <v>614</v>
      </c>
      <c r="DU165" s="254">
        <v>296</v>
      </c>
      <c r="DV165" s="202"/>
      <c r="DW165" s="202">
        <v>15335</v>
      </c>
      <c r="DX165" s="202"/>
      <c r="DY165" s="107">
        <v>1365</v>
      </c>
      <c r="DZ165" s="107"/>
      <c r="EA165" s="202"/>
      <c r="EB165" s="202"/>
      <c r="EC165" s="202"/>
      <c r="ED165" s="202"/>
      <c r="EE165" s="202"/>
      <c r="EF165" s="229"/>
      <c r="EG165" s="202"/>
      <c r="EH165" s="202"/>
      <c r="EI165" s="202"/>
      <c r="EJ165" s="202"/>
      <c r="EK165" s="202">
        <v>17583.84</v>
      </c>
      <c r="EL165" s="202">
        <v>0</v>
      </c>
      <c r="EM165" s="202">
        <v>1405.25</v>
      </c>
      <c r="EN165" s="202">
        <v>799</v>
      </c>
      <c r="EO165" s="202">
        <v>17583.84</v>
      </c>
      <c r="EP165" s="202"/>
      <c r="EQ165" s="202">
        <v>1405.25</v>
      </c>
      <c r="ER165" s="202">
        <v>799</v>
      </c>
      <c r="ES165" s="202">
        <v>-221.99</v>
      </c>
      <c r="ET165" s="202">
        <v>-77.069999999999993</v>
      </c>
      <c r="EU165" s="202"/>
      <c r="EV165" s="214">
        <v>-3.3</v>
      </c>
      <c r="EW165" s="240">
        <f t="shared" si="119"/>
        <v>7469.87</v>
      </c>
      <c r="EX165" s="209">
        <f t="shared" si="120"/>
        <v>4861.79</v>
      </c>
    </row>
    <row r="166" spans="1:154" ht="12.75" customHeight="1" x14ac:dyDescent="0.2">
      <c r="A166" s="45" t="s">
        <v>236</v>
      </c>
      <c r="B166" s="66" t="s">
        <v>208</v>
      </c>
      <c r="C166" s="67" t="s">
        <v>21</v>
      </c>
      <c r="D166" s="68" t="s">
        <v>470</v>
      </c>
      <c r="E166" s="67" t="s">
        <v>12</v>
      </c>
      <c r="F166" s="11">
        <v>5</v>
      </c>
      <c r="G166" s="11">
        <v>4</v>
      </c>
      <c r="H166" s="11">
        <v>70</v>
      </c>
      <c r="I166" s="11">
        <v>70</v>
      </c>
      <c r="J166" s="11">
        <v>135</v>
      </c>
      <c r="K166" s="11">
        <v>168</v>
      </c>
      <c r="L166" s="11" t="s">
        <v>746</v>
      </c>
      <c r="M166" s="84">
        <v>276.5</v>
      </c>
      <c r="N166" s="84">
        <v>925.6</v>
      </c>
      <c r="O166" s="84">
        <v>925.6</v>
      </c>
      <c r="P166" s="135">
        <v>281.8</v>
      </c>
      <c r="Q166" s="135">
        <v>672.7</v>
      </c>
      <c r="R166" s="133">
        <v>690</v>
      </c>
      <c r="S166" s="133">
        <f t="shared" si="121"/>
        <v>1644.5</v>
      </c>
      <c r="T166" s="134">
        <v>281.8</v>
      </c>
      <c r="U166" s="130">
        <v>1.53</v>
      </c>
      <c r="V166" s="131">
        <v>1.9800000000000002E-2</v>
      </c>
      <c r="W166" s="131">
        <v>1.9800000000000002E-2</v>
      </c>
      <c r="X166" s="132">
        <v>1.2199999999999999E-3</v>
      </c>
      <c r="Y166" s="131">
        <v>3.95E-2</v>
      </c>
      <c r="Z166" s="29">
        <v>3388.5</v>
      </c>
      <c r="AA166" s="34"/>
      <c r="AB166" s="9">
        <f t="shared" si="133"/>
        <v>3388.5</v>
      </c>
      <c r="AC166" s="9">
        <f t="shared" ref="AC166:AC223" si="135">SUM(AB166*6.33)</f>
        <v>21449.21</v>
      </c>
      <c r="AD166" s="9">
        <v>0.39</v>
      </c>
      <c r="AE166" s="9">
        <v>4.51</v>
      </c>
      <c r="AF166" s="21">
        <f>2.43-AJ166</f>
        <v>2.17</v>
      </c>
      <c r="AG166" s="18">
        <f>0.53-AQ166</f>
        <v>0.45</v>
      </c>
      <c r="AH166" s="9">
        <v>2.78</v>
      </c>
      <c r="AI166" s="43">
        <v>889</v>
      </c>
      <c r="AJ166" s="21">
        <f t="shared" si="99"/>
        <v>0.26</v>
      </c>
      <c r="AK166" s="9">
        <v>0</v>
      </c>
      <c r="AL166" s="9">
        <v>0</v>
      </c>
      <c r="AM166" s="9">
        <v>0.17</v>
      </c>
      <c r="AN166" s="13"/>
      <c r="AO166" s="13">
        <v>598.4</v>
      </c>
      <c r="AP166" s="13">
        <f t="shared" si="123"/>
        <v>5.58</v>
      </c>
      <c r="AQ166" s="18">
        <f t="shared" si="98"/>
        <v>0.08</v>
      </c>
      <c r="AR166" s="9">
        <v>0.74</v>
      </c>
      <c r="AS166" s="9">
        <v>0.4</v>
      </c>
      <c r="AT166" s="9">
        <v>7.0000000000000007E-2</v>
      </c>
      <c r="AU166" s="9">
        <v>4.0199999999999996</v>
      </c>
      <c r="AV166" s="9">
        <v>0.12</v>
      </c>
      <c r="AW166" s="9">
        <f>1.08+0.29+0.35</f>
        <v>1.72</v>
      </c>
      <c r="AX166" s="9">
        <f>1.48+0.47</f>
        <v>1.95</v>
      </c>
      <c r="AY166" s="69">
        <f t="shared" si="124"/>
        <v>19.829999999999998</v>
      </c>
      <c r="AZ166" s="70">
        <v>3404.6</v>
      </c>
      <c r="BA166" s="70">
        <v>0</v>
      </c>
      <c r="BB166" s="70">
        <f t="shared" si="134"/>
        <v>3404.6</v>
      </c>
      <c r="BC166" s="70">
        <v>19.829999999999998</v>
      </c>
      <c r="BD166" s="13">
        <f t="shared" si="122"/>
        <v>0</v>
      </c>
      <c r="BE166" s="9">
        <f t="shared" si="100"/>
        <v>67193.960000000006</v>
      </c>
      <c r="BF166" s="9">
        <v>19.829999999999998</v>
      </c>
      <c r="BG166" s="10">
        <v>44409</v>
      </c>
      <c r="BH166" s="9">
        <f t="shared" si="101"/>
        <v>1321.52</v>
      </c>
      <c r="BI166" s="9">
        <f t="shared" si="102"/>
        <v>15282.14</v>
      </c>
      <c r="BJ166" s="9">
        <f t="shared" si="103"/>
        <v>7353.05</v>
      </c>
      <c r="BK166" s="9">
        <f t="shared" si="104"/>
        <v>1524.83</v>
      </c>
      <c r="BL166" s="9">
        <f t="shared" si="105"/>
        <v>9420.0300000000007</v>
      </c>
      <c r="BM166" s="9">
        <f t="shared" si="106"/>
        <v>881.01</v>
      </c>
      <c r="BN166" s="9">
        <f t="shared" si="107"/>
        <v>0</v>
      </c>
      <c r="BO166" s="9">
        <f t="shared" si="108"/>
        <v>0</v>
      </c>
      <c r="BP166" s="9">
        <f t="shared" si="109"/>
        <v>576.04999999999995</v>
      </c>
      <c r="BQ166" s="9">
        <f t="shared" si="110"/>
        <v>271.08</v>
      </c>
      <c r="BR166" s="9">
        <f t="shared" si="111"/>
        <v>2507.4899999999998</v>
      </c>
      <c r="BS166" s="9">
        <f t="shared" si="112"/>
        <v>1355.4</v>
      </c>
      <c r="BT166" s="9">
        <f t="shared" si="113"/>
        <v>237.2</v>
      </c>
      <c r="BU166" s="9">
        <f t="shared" si="114"/>
        <v>13621.77</v>
      </c>
      <c r="BV166" s="9">
        <f t="shared" si="115"/>
        <v>406.62</v>
      </c>
      <c r="BW166" s="9">
        <f t="shared" si="116"/>
        <v>5828.22</v>
      </c>
      <c r="BX166" s="9">
        <f t="shared" si="117"/>
        <v>6607.58</v>
      </c>
      <c r="BY166" s="17">
        <f t="shared" si="118"/>
        <v>67193.990000000005</v>
      </c>
      <c r="BZ166" s="17">
        <v>3.24</v>
      </c>
      <c r="CA166" s="17">
        <v>0.04</v>
      </c>
      <c r="CB166" s="17">
        <v>0.27</v>
      </c>
      <c r="CC166" s="27">
        <v>0.05</v>
      </c>
      <c r="CD166" s="29">
        <v>6.33</v>
      </c>
      <c r="CE166" s="9">
        <v>1620.28</v>
      </c>
      <c r="CF166" s="9"/>
      <c r="CG166" s="9">
        <v>226.18</v>
      </c>
      <c r="CH166" s="9">
        <v>157.47999999999999</v>
      </c>
      <c r="CI166" s="9">
        <f t="shared" si="129"/>
        <v>0.48</v>
      </c>
      <c r="CJ166" s="9">
        <f t="shared" si="130"/>
        <v>0</v>
      </c>
      <c r="CK166" s="13">
        <f t="shared" si="131"/>
        <v>7.0000000000000007E-2</v>
      </c>
      <c r="CL166" s="13">
        <f t="shared" si="132"/>
        <v>0.05</v>
      </c>
      <c r="CM166" s="13">
        <v>67194</v>
      </c>
      <c r="CN166" s="13">
        <v>1626.52</v>
      </c>
      <c r="CO166" s="13">
        <v>0</v>
      </c>
      <c r="CP166" s="13">
        <v>2744.68</v>
      </c>
      <c r="CQ166" s="13">
        <v>1525</v>
      </c>
      <c r="CR166" s="13">
        <v>61251.79</v>
      </c>
      <c r="CS166" s="13">
        <v>2007.11</v>
      </c>
      <c r="CT166" s="13">
        <v>433.54</v>
      </c>
      <c r="CU166" s="13">
        <v>2110.85</v>
      </c>
      <c r="CV166" s="13">
        <v>1193.97</v>
      </c>
      <c r="CW166" s="202">
        <v>2952</v>
      </c>
      <c r="CX166" s="200">
        <v>1693</v>
      </c>
      <c r="CY166" s="202"/>
      <c r="CZ166" s="202"/>
      <c r="DA166" s="202"/>
      <c r="DB166" s="202"/>
      <c r="DC166" s="202"/>
      <c r="DD166" s="461"/>
      <c r="DE166" s="256"/>
      <c r="DF166" s="202"/>
      <c r="DG166" s="202"/>
      <c r="DH166" s="202"/>
      <c r="DI166" s="204">
        <v>889</v>
      </c>
      <c r="DJ166" s="202"/>
      <c r="DK166" s="202"/>
      <c r="DL166" s="202"/>
      <c r="DM166" s="202"/>
      <c r="DN166" s="202"/>
      <c r="DO166" s="202"/>
      <c r="DP166" s="202">
        <v>16362</v>
      </c>
      <c r="DQ166" s="202">
        <v>2125</v>
      </c>
      <c r="DR166" s="202">
        <v>1.25</v>
      </c>
      <c r="DS166" s="202">
        <v>17310</v>
      </c>
      <c r="DT166" s="254">
        <v>574</v>
      </c>
      <c r="DU166" s="254">
        <v>296</v>
      </c>
      <c r="DV166" s="202"/>
      <c r="DW166" s="202">
        <v>15276</v>
      </c>
      <c r="DX166" s="202"/>
      <c r="DY166" s="107">
        <v>1365</v>
      </c>
      <c r="DZ166" s="107">
        <v>577</v>
      </c>
      <c r="EA166" s="202"/>
      <c r="EB166" s="202"/>
      <c r="EC166" s="202"/>
      <c r="ED166" s="202"/>
      <c r="EE166" s="202"/>
      <c r="EF166" s="229"/>
      <c r="EG166" s="202"/>
      <c r="EH166" s="202"/>
      <c r="EI166" s="202"/>
      <c r="EJ166" s="202"/>
      <c r="EK166" s="202">
        <v>1620.28</v>
      </c>
      <c r="EL166" s="202">
        <v>0</v>
      </c>
      <c r="EM166" s="202">
        <v>2729.42</v>
      </c>
      <c r="EN166" s="202">
        <v>1507.89</v>
      </c>
      <c r="EO166" s="202">
        <v>1620.28</v>
      </c>
      <c r="EP166" s="202"/>
      <c r="EQ166" s="202">
        <v>2729.42</v>
      </c>
      <c r="ER166" s="202">
        <v>1507.89</v>
      </c>
      <c r="ES166" s="202">
        <v>449.42</v>
      </c>
      <c r="ET166" s="202">
        <v>275.16000000000003</v>
      </c>
      <c r="EU166" s="202"/>
      <c r="EV166" s="214">
        <f>21.6+1298.2</f>
        <v>1319.8</v>
      </c>
      <c r="EW166" s="240">
        <f t="shared" si="119"/>
        <v>7411.19</v>
      </c>
      <c r="EX166" s="209">
        <f t="shared" si="120"/>
        <v>4823.6000000000004</v>
      </c>
    </row>
    <row r="167" spans="1:154" ht="12.75" customHeight="1" x14ac:dyDescent="0.2">
      <c r="A167" s="45" t="s">
        <v>237</v>
      </c>
      <c r="B167" s="66" t="s">
        <v>208</v>
      </c>
      <c r="C167" s="67" t="s">
        <v>62</v>
      </c>
      <c r="D167" s="68" t="s">
        <v>471</v>
      </c>
      <c r="E167" s="67" t="s">
        <v>12</v>
      </c>
      <c r="F167" s="11">
        <v>5</v>
      </c>
      <c r="G167" s="11">
        <v>4</v>
      </c>
      <c r="H167" s="11">
        <v>70</v>
      </c>
      <c r="I167" s="11">
        <v>71</v>
      </c>
      <c r="J167" s="11">
        <v>142</v>
      </c>
      <c r="K167" s="11">
        <v>183</v>
      </c>
      <c r="L167" s="11" t="s">
        <v>746</v>
      </c>
      <c r="M167" s="84">
        <v>276.5</v>
      </c>
      <c r="N167" s="84">
        <v>349.8</v>
      </c>
      <c r="O167" s="84">
        <v>922.5</v>
      </c>
      <c r="P167" s="135">
        <v>626.29999999999995</v>
      </c>
      <c r="Q167" s="135">
        <v>0</v>
      </c>
      <c r="R167" s="133">
        <v>0</v>
      </c>
      <c r="S167" s="133">
        <f t="shared" si="121"/>
        <v>626.29999999999995</v>
      </c>
      <c r="T167" s="134">
        <v>626.29999999999995</v>
      </c>
      <c r="U167" s="130">
        <v>1.53</v>
      </c>
      <c r="V167" s="131">
        <v>1.9800000000000002E-2</v>
      </c>
      <c r="W167" s="131">
        <v>1.9800000000000002E-2</v>
      </c>
      <c r="X167" s="132">
        <v>1.2199999999999999E-3</v>
      </c>
      <c r="Y167" s="131">
        <v>3.95E-2</v>
      </c>
      <c r="Z167" s="29">
        <v>3351.8</v>
      </c>
      <c r="AA167" s="34">
        <v>319.8</v>
      </c>
      <c r="AB167" s="9">
        <f t="shared" si="133"/>
        <v>3671.6</v>
      </c>
      <c r="AC167" s="9">
        <f t="shared" si="135"/>
        <v>23241.23</v>
      </c>
      <c r="AD167" s="9">
        <v>0.36</v>
      </c>
      <c r="AE167" s="9">
        <v>4.18</v>
      </c>
      <c r="AF167" s="21">
        <f>2.42-AJ167</f>
        <v>2.1800000000000002</v>
      </c>
      <c r="AG167" s="18">
        <f>0.53-AQ167</f>
        <v>0.45</v>
      </c>
      <c r="AH167" s="9">
        <v>2.78</v>
      </c>
      <c r="AI167" s="43">
        <v>886</v>
      </c>
      <c r="AJ167" s="21">
        <f t="shared" si="99"/>
        <v>0.24</v>
      </c>
      <c r="AK167" s="9">
        <v>0</v>
      </c>
      <c r="AL167" s="9">
        <v>0</v>
      </c>
      <c r="AM167" s="9">
        <v>0.16</v>
      </c>
      <c r="AN167" s="13"/>
      <c r="AO167" s="13">
        <v>598.4</v>
      </c>
      <c r="AP167" s="13">
        <f t="shared" si="123"/>
        <v>5.58</v>
      </c>
      <c r="AQ167" s="18">
        <f t="shared" si="98"/>
        <v>0.08</v>
      </c>
      <c r="AR167" s="9">
        <v>0.68</v>
      </c>
      <c r="AS167" s="9">
        <v>0.37</v>
      </c>
      <c r="AT167" s="9">
        <v>7.0000000000000007E-2</v>
      </c>
      <c r="AU167" s="9">
        <v>4.5199999999999996</v>
      </c>
      <c r="AV167" s="9">
        <v>0.11</v>
      </c>
      <c r="AW167" s="9">
        <f>1.03+0.4+0.29</f>
        <v>1.72</v>
      </c>
      <c r="AX167" s="9">
        <f>1.42+0.53</f>
        <v>1.95</v>
      </c>
      <c r="AY167" s="69">
        <f t="shared" si="124"/>
        <v>19.850000000000001</v>
      </c>
      <c r="AZ167" s="70">
        <v>3372.9</v>
      </c>
      <c r="BA167" s="70">
        <v>319.8</v>
      </c>
      <c r="BB167" s="70">
        <f t="shared" si="134"/>
        <v>3692.7</v>
      </c>
      <c r="BC167" s="70">
        <v>19.850000000000001</v>
      </c>
      <c r="BD167" s="13">
        <f t="shared" si="122"/>
        <v>0</v>
      </c>
      <c r="BE167" s="9">
        <f t="shared" si="100"/>
        <v>72881.259999999995</v>
      </c>
      <c r="BF167" s="9">
        <v>19.850000000000001</v>
      </c>
      <c r="BG167" s="10">
        <v>44409</v>
      </c>
      <c r="BH167" s="9">
        <f t="shared" si="101"/>
        <v>1321.78</v>
      </c>
      <c r="BI167" s="9">
        <f t="shared" si="102"/>
        <v>15347.29</v>
      </c>
      <c r="BJ167" s="9">
        <f t="shared" si="103"/>
        <v>8004.09</v>
      </c>
      <c r="BK167" s="9">
        <f t="shared" si="104"/>
        <v>1652.22</v>
      </c>
      <c r="BL167" s="9">
        <f t="shared" si="105"/>
        <v>10207.049999999999</v>
      </c>
      <c r="BM167" s="9">
        <f t="shared" si="106"/>
        <v>881.18</v>
      </c>
      <c r="BN167" s="9">
        <f t="shared" si="107"/>
        <v>0</v>
      </c>
      <c r="BO167" s="9">
        <f t="shared" si="108"/>
        <v>0</v>
      </c>
      <c r="BP167" s="9">
        <f t="shared" si="109"/>
        <v>587.46</v>
      </c>
      <c r="BQ167" s="9">
        <f t="shared" si="110"/>
        <v>293.73</v>
      </c>
      <c r="BR167" s="9">
        <f t="shared" si="111"/>
        <v>2496.69</v>
      </c>
      <c r="BS167" s="9">
        <f t="shared" si="112"/>
        <v>1358.49</v>
      </c>
      <c r="BT167" s="9">
        <f t="shared" si="113"/>
        <v>257.01</v>
      </c>
      <c r="BU167" s="9">
        <f t="shared" si="114"/>
        <v>16595.63</v>
      </c>
      <c r="BV167" s="9">
        <f t="shared" si="115"/>
        <v>403.88</v>
      </c>
      <c r="BW167" s="9">
        <f t="shared" si="116"/>
        <v>6315.15</v>
      </c>
      <c r="BX167" s="9">
        <f t="shared" si="117"/>
        <v>7159.62</v>
      </c>
      <c r="BY167" s="17">
        <f t="shared" si="118"/>
        <v>72881.27</v>
      </c>
      <c r="BZ167" s="17">
        <v>1.53</v>
      </c>
      <c r="CA167" s="17">
        <v>0.09</v>
      </c>
      <c r="CB167" s="17">
        <v>0.53</v>
      </c>
      <c r="CC167" s="27">
        <v>0.09</v>
      </c>
      <c r="CD167" s="29">
        <v>6.33</v>
      </c>
      <c r="CE167" s="9">
        <v>1620.28</v>
      </c>
      <c r="CF167" s="9"/>
      <c r="CG167" s="9">
        <v>0</v>
      </c>
      <c r="CH167" s="9">
        <v>175.45</v>
      </c>
      <c r="CI167" s="9">
        <f t="shared" si="129"/>
        <v>0.44</v>
      </c>
      <c r="CJ167" s="9">
        <f t="shared" si="130"/>
        <v>0</v>
      </c>
      <c r="CK167" s="13">
        <f t="shared" si="131"/>
        <v>0</v>
      </c>
      <c r="CL167" s="13">
        <f t="shared" si="132"/>
        <v>0.05</v>
      </c>
      <c r="CM167" s="13">
        <v>66789.47</v>
      </c>
      <c r="CN167" s="13">
        <v>1480.44</v>
      </c>
      <c r="CO167" s="13">
        <v>0</v>
      </c>
      <c r="CP167" s="13">
        <v>0</v>
      </c>
      <c r="CQ167" s="13">
        <v>168.06</v>
      </c>
      <c r="CR167" s="13">
        <v>49215.35</v>
      </c>
      <c r="CS167" s="13">
        <v>778.23</v>
      </c>
      <c r="CT167" s="13">
        <v>-40.67</v>
      </c>
      <c r="CU167" s="13">
        <v>-6.93</v>
      </c>
      <c r="CV167" s="13">
        <v>109.83</v>
      </c>
      <c r="CW167" s="202">
        <v>3199</v>
      </c>
      <c r="CX167" s="200">
        <v>1835</v>
      </c>
      <c r="CY167" s="202"/>
      <c r="CZ167" s="202"/>
      <c r="DA167" s="202"/>
      <c r="DB167" s="202"/>
      <c r="DC167" s="202"/>
      <c r="DD167" s="461"/>
      <c r="DE167" s="256"/>
      <c r="DF167" s="202"/>
      <c r="DG167" s="202"/>
      <c r="DH167" s="202"/>
      <c r="DI167" s="204">
        <v>886</v>
      </c>
      <c r="DJ167" s="202"/>
      <c r="DK167" s="202"/>
      <c r="DL167" s="202"/>
      <c r="DM167" s="202"/>
      <c r="DN167" s="202"/>
      <c r="DO167" s="202"/>
      <c r="DP167" s="202">
        <v>16464</v>
      </c>
      <c r="DQ167" s="202">
        <v>2125</v>
      </c>
      <c r="DR167" s="202">
        <v>1.25</v>
      </c>
      <c r="DS167" s="202">
        <v>17260</v>
      </c>
      <c r="DT167" s="254">
        <v>572</v>
      </c>
      <c r="DU167" s="254">
        <v>296</v>
      </c>
      <c r="DV167" s="202"/>
      <c r="DW167" s="202">
        <v>16567</v>
      </c>
      <c r="DX167" s="202"/>
      <c r="DY167" s="107">
        <v>1365</v>
      </c>
      <c r="DZ167" s="107">
        <v>577</v>
      </c>
      <c r="EA167" s="202"/>
      <c r="EB167" s="202"/>
      <c r="EC167" s="202"/>
      <c r="ED167" s="202"/>
      <c r="EE167" s="202"/>
      <c r="EF167" s="229"/>
      <c r="EG167" s="202"/>
      <c r="EH167" s="202"/>
      <c r="EI167" s="202"/>
      <c r="EJ167" s="202"/>
      <c r="EK167" s="202">
        <v>1620.28</v>
      </c>
      <c r="EL167" s="202">
        <v>0</v>
      </c>
      <c r="EM167" s="202">
        <v>0</v>
      </c>
      <c r="EN167" s="202">
        <v>175.45</v>
      </c>
      <c r="EO167" s="202">
        <v>1620.28</v>
      </c>
      <c r="EP167" s="202"/>
      <c r="EQ167" s="202">
        <v>0</v>
      </c>
      <c r="ER167" s="202">
        <v>175.45</v>
      </c>
      <c r="ES167" s="202"/>
      <c r="ET167" s="202"/>
      <c r="EU167" s="202"/>
      <c r="EV167" s="214">
        <v>-10.19</v>
      </c>
      <c r="EW167" s="240">
        <f t="shared" si="119"/>
        <v>8030.38</v>
      </c>
      <c r="EX167" s="209">
        <f t="shared" si="120"/>
        <v>5226.6000000000004</v>
      </c>
    </row>
    <row r="168" spans="1:154" ht="12.75" customHeight="1" x14ac:dyDescent="0.2">
      <c r="A168" s="45" t="s">
        <v>238</v>
      </c>
      <c r="B168" s="117" t="s">
        <v>215</v>
      </c>
      <c r="C168" s="118" t="s">
        <v>46</v>
      </c>
      <c r="D168" s="119" t="s">
        <v>648</v>
      </c>
      <c r="E168" s="118" t="s">
        <v>12</v>
      </c>
      <c r="F168" s="11">
        <v>5</v>
      </c>
      <c r="G168" s="11">
        <v>5</v>
      </c>
      <c r="H168" s="11">
        <v>100</v>
      </c>
      <c r="I168" s="11">
        <v>0</v>
      </c>
      <c r="J168" s="11">
        <v>151</v>
      </c>
      <c r="K168" s="11">
        <v>161</v>
      </c>
      <c r="L168" s="11" t="s">
        <v>746</v>
      </c>
      <c r="M168" s="84">
        <v>345</v>
      </c>
      <c r="N168" s="84">
        <v>860</v>
      </c>
      <c r="O168" s="84">
        <v>0</v>
      </c>
      <c r="P168" s="135">
        <v>345</v>
      </c>
      <c r="Q168" s="135">
        <v>690.6</v>
      </c>
      <c r="R168" s="133">
        <v>0</v>
      </c>
      <c r="S168" s="133">
        <f t="shared" si="121"/>
        <v>1035.5999999999999</v>
      </c>
      <c r="T168" s="134">
        <v>345</v>
      </c>
      <c r="U168" s="130">
        <v>1.53</v>
      </c>
      <c r="V168" s="131">
        <v>1.9800000000000002E-2</v>
      </c>
      <c r="W168" s="131">
        <v>1.9800000000000002E-2</v>
      </c>
      <c r="X168" s="132">
        <v>1.32E-3</v>
      </c>
      <c r="Y168" s="131">
        <v>3.95E-2</v>
      </c>
      <c r="Z168" s="29">
        <v>3412.74</v>
      </c>
      <c r="AA168" s="34"/>
      <c r="AB168" s="9">
        <f t="shared" si="133"/>
        <v>3412.74</v>
      </c>
      <c r="AC168" s="9">
        <f t="shared" si="135"/>
        <v>21602.639999999999</v>
      </c>
      <c r="AD168" s="9">
        <v>0.5</v>
      </c>
      <c r="AE168" s="9">
        <v>3.99</v>
      </c>
      <c r="AF168" s="21">
        <f>2.47-AJ168</f>
        <v>2.23</v>
      </c>
      <c r="AG168" s="18">
        <f>0.56-AQ168</f>
        <v>0.42</v>
      </c>
      <c r="AH168" s="9">
        <v>2.78</v>
      </c>
      <c r="AI168" s="43">
        <v>826</v>
      </c>
      <c r="AJ168" s="21">
        <f t="shared" si="99"/>
        <v>0.24</v>
      </c>
      <c r="AK168" s="9">
        <v>0</v>
      </c>
      <c r="AL168" s="9">
        <v>0</v>
      </c>
      <c r="AM168" s="9">
        <v>0.17</v>
      </c>
      <c r="AN168" s="13"/>
      <c r="AO168" s="13">
        <v>1002</v>
      </c>
      <c r="AP168" s="13">
        <f t="shared" si="123"/>
        <v>5.58</v>
      </c>
      <c r="AQ168" s="18">
        <f t="shared" si="98"/>
        <v>0.14000000000000001</v>
      </c>
      <c r="AR168" s="9">
        <v>1.02</v>
      </c>
      <c r="AS168" s="9">
        <v>0.4</v>
      </c>
      <c r="AT168" s="9">
        <v>7.0000000000000007E-2</v>
      </c>
      <c r="AU168" s="9">
        <v>3.97</v>
      </c>
      <c r="AV168" s="9">
        <v>0.12</v>
      </c>
      <c r="AW168" s="9">
        <f>1.07+0.35+0.41</f>
        <v>1.83</v>
      </c>
      <c r="AX168" s="9">
        <f>1.48+0.48</f>
        <v>1.96</v>
      </c>
      <c r="AY168" s="120">
        <f t="shared" si="124"/>
        <v>19.84</v>
      </c>
      <c r="AZ168" s="121">
        <v>3394</v>
      </c>
      <c r="BA168" s="121">
        <v>0</v>
      </c>
      <c r="BB168" s="121">
        <f t="shared" si="134"/>
        <v>3394</v>
      </c>
      <c r="BC168" s="121">
        <v>19.84</v>
      </c>
      <c r="BD168" s="13">
        <f t="shared" si="122"/>
        <v>0</v>
      </c>
      <c r="BE168" s="9">
        <f t="shared" si="100"/>
        <v>67708.759999999995</v>
      </c>
      <c r="BF168" s="9">
        <v>19.84</v>
      </c>
      <c r="BG168" s="10">
        <v>44409</v>
      </c>
      <c r="BH168" s="9">
        <f t="shared" si="101"/>
        <v>1706.37</v>
      </c>
      <c r="BI168" s="9">
        <f t="shared" si="102"/>
        <v>13616.83</v>
      </c>
      <c r="BJ168" s="9">
        <f t="shared" si="103"/>
        <v>7610.41</v>
      </c>
      <c r="BK168" s="9">
        <f t="shared" si="104"/>
        <v>1433.35</v>
      </c>
      <c r="BL168" s="9">
        <f t="shared" si="105"/>
        <v>9487.42</v>
      </c>
      <c r="BM168" s="9">
        <f t="shared" si="106"/>
        <v>819.06</v>
      </c>
      <c r="BN168" s="9">
        <f t="shared" si="107"/>
        <v>0</v>
      </c>
      <c r="BO168" s="9">
        <f t="shared" si="108"/>
        <v>0</v>
      </c>
      <c r="BP168" s="9">
        <f t="shared" si="109"/>
        <v>580.16999999999996</v>
      </c>
      <c r="BQ168" s="9">
        <f t="shared" si="110"/>
        <v>477.78</v>
      </c>
      <c r="BR168" s="9">
        <f t="shared" si="111"/>
        <v>3480.99</v>
      </c>
      <c r="BS168" s="9">
        <f t="shared" si="112"/>
        <v>1365.1</v>
      </c>
      <c r="BT168" s="9">
        <f t="shared" si="113"/>
        <v>238.89</v>
      </c>
      <c r="BU168" s="9">
        <f t="shared" si="114"/>
        <v>13548.58</v>
      </c>
      <c r="BV168" s="9">
        <f t="shared" si="115"/>
        <v>409.53</v>
      </c>
      <c r="BW168" s="9">
        <f t="shared" si="116"/>
        <v>6245.31</v>
      </c>
      <c r="BX168" s="9">
        <f t="shared" si="117"/>
        <v>6688.97</v>
      </c>
      <c r="BY168" s="17">
        <f t="shared" si="118"/>
        <v>67708.759999999995</v>
      </c>
      <c r="BZ168" s="17">
        <v>2.0699999999999998</v>
      </c>
      <c r="CA168" s="17">
        <v>0.05</v>
      </c>
      <c r="CB168" s="17">
        <v>0.35</v>
      </c>
      <c r="CC168" s="27">
        <v>0.06</v>
      </c>
      <c r="CD168" s="29">
        <v>6.33</v>
      </c>
      <c r="CE168" s="9">
        <v>2021.67</v>
      </c>
      <c r="CF168" s="9"/>
      <c r="CG168" s="9">
        <v>0</v>
      </c>
      <c r="CH168" s="9">
        <v>96.64</v>
      </c>
      <c r="CI168" s="9">
        <f t="shared" si="129"/>
        <v>0.59</v>
      </c>
      <c r="CJ168" s="9">
        <f t="shared" si="130"/>
        <v>0</v>
      </c>
      <c r="CK168" s="13">
        <f t="shared" si="131"/>
        <v>0</v>
      </c>
      <c r="CL168" s="13">
        <f t="shared" si="132"/>
        <v>0.03</v>
      </c>
      <c r="CM168" s="13">
        <v>67708.710000000006</v>
      </c>
      <c r="CN168" s="13">
        <v>2013.43</v>
      </c>
      <c r="CO168" s="13">
        <v>0</v>
      </c>
      <c r="CP168" s="13">
        <v>0</v>
      </c>
      <c r="CQ168" s="13">
        <v>102.36</v>
      </c>
      <c r="CR168" s="13">
        <v>71184.929999999993</v>
      </c>
      <c r="CS168" s="13">
        <v>2713.66</v>
      </c>
      <c r="CT168" s="13">
        <v>209.77</v>
      </c>
      <c r="CU168" s="13">
        <v>30.02</v>
      </c>
      <c r="CV168" s="13">
        <v>117.66</v>
      </c>
      <c r="CW168" s="202">
        <v>2974</v>
      </c>
      <c r="CX168" s="200">
        <v>1706</v>
      </c>
      <c r="CY168" s="202"/>
      <c r="CZ168" s="202"/>
      <c r="DA168" s="202"/>
      <c r="DB168" s="202"/>
      <c r="DC168" s="202"/>
      <c r="DD168" s="461"/>
      <c r="DE168" s="256"/>
      <c r="DF168" s="202"/>
      <c r="DG168" s="202"/>
      <c r="DH168" s="202"/>
      <c r="DI168" s="204">
        <v>826</v>
      </c>
      <c r="DJ168" s="202"/>
      <c r="DK168" s="202"/>
      <c r="DL168" s="202"/>
      <c r="DM168" s="202">
        <v>15575</v>
      </c>
      <c r="DN168" s="202">
        <v>1700</v>
      </c>
      <c r="DO168" s="202">
        <v>1</v>
      </c>
      <c r="DP168" s="202"/>
      <c r="DQ168" s="202"/>
      <c r="DR168" s="202"/>
      <c r="DS168" s="202">
        <v>16180</v>
      </c>
      <c r="DT168" s="254">
        <v>536</v>
      </c>
      <c r="DU168" s="254">
        <v>278</v>
      </c>
      <c r="DV168" s="202"/>
      <c r="DW168" s="202">
        <v>15589</v>
      </c>
      <c r="DX168" s="202"/>
      <c r="DY168" s="107">
        <v>1365</v>
      </c>
      <c r="DZ168" s="107"/>
      <c r="EA168" s="202"/>
      <c r="EB168" s="202"/>
      <c r="EC168" s="202"/>
      <c r="ED168" s="202"/>
      <c r="EE168" s="202"/>
      <c r="EF168" s="229"/>
      <c r="EG168" s="202"/>
      <c r="EH168" s="202"/>
      <c r="EI168" s="202"/>
      <c r="EJ168" s="202"/>
      <c r="EK168" s="202">
        <v>2021.67</v>
      </c>
      <c r="EL168" s="202">
        <v>0</v>
      </c>
      <c r="EM168" s="202">
        <v>0</v>
      </c>
      <c r="EN168" s="202">
        <v>96.64</v>
      </c>
      <c r="EO168" s="202">
        <v>2021.67</v>
      </c>
      <c r="EP168" s="202"/>
      <c r="EQ168" s="202">
        <v>0</v>
      </c>
      <c r="ER168" s="202">
        <v>96.64</v>
      </c>
      <c r="ES168" s="202"/>
      <c r="ET168" s="202"/>
      <c r="EU168" s="202"/>
      <c r="EV168" s="214">
        <v>-4.6500000000000004</v>
      </c>
      <c r="EW168" s="240">
        <f t="shared" si="119"/>
        <v>7464.21</v>
      </c>
      <c r="EX168" s="209">
        <f t="shared" si="120"/>
        <v>4858.1000000000004</v>
      </c>
    </row>
    <row r="169" spans="1:154" ht="12.75" customHeight="1" x14ac:dyDescent="0.2">
      <c r="A169" s="45" t="s">
        <v>239</v>
      </c>
      <c r="B169" s="117" t="s">
        <v>215</v>
      </c>
      <c r="C169" s="118" t="s">
        <v>67</v>
      </c>
      <c r="D169" s="119" t="s">
        <v>649</v>
      </c>
      <c r="E169" s="118" t="s">
        <v>12</v>
      </c>
      <c r="F169" s="11">
        <v>5</v>
      </c>
      <c r="G169" s="11">
        <v>5</v>
      </c>
      <c r="H169" s="11">
        <v>80</v>
      </c>
      <c r="I169" s="11">
        <v>0</v>
      </c>
      <c r="J169" s="11">
        <v>162</v>
      </c>
      <c r="K169" s="11">
        <v>185</v>
      </c>
      <c r="L169" s="11" t="s">
        <v>746</v>
      </c>
      <c r="M169" s="84">
        <v>281</v>
      </c>
      <c r="N169" s="84">
        <v>860</v>
      </c>
      <c r="O169" s="84">
        <v>0</v>
      </c>
      <c r="P169" s="139">
        <v>220.4</v>
      </c>
      <c r="Q169" s="135">
        <v>713.3</v>
      </c>
      <c r="R169" s="133">
        <v>0</v>
      </c>
      <c r="S169" s="133">
        <f t="shared" si="121"/>
        <v>933.7</v>
      </c>
      <c r="T169" s="139">
        <v>281</v>
      </c>
      <c r="U169" s="130">
        <v>1.53</v>
      </c>
      <c r="V169" s="131">
        <v>1.9800000000000002E-2</v>
      </c>
      <c r="W169" s="131">
        <v>1.9800000000000002E-2</v>
      </c>
      <c r="X169" s="132">
        <v>1.32E-3</v>
      </c>
      <c r="Y169" s="131">
        <v>3.95E-2</v>
      </c>
      <c r="Z169" s="29">
        <v>3559.58</v>
      </c>
      <c r="AA169" s="34"/>
      <c r="AB169" s="9">
        <f t="shared" si="133"/>
        <v>3559.58</v>
      </c>
      <c r="AC169" s="9">
        <f t="shared" si="135"/>
        <v>22532.14</v>
      </c>
      <c r="AD169" s="9">
        <v>0.39</v>
      </c>
      <c r="AE169" s="9">
        <v>5</v>
      </c>
      <c r="AF169" s="21">
        <f>2.38-AJ169</f>
        <v>2.15</v>
      </c>
      <c r="AG169" s="18">
        <f>0.53-AQ169</f>
        <v>0.43</v>
      </c>
      <c r="AH169" s="9">
        <v>2.78</v>
      </c>
      <c r="AI169" s="43">
        <v>826</v>
      </c>
      <c r="AJ169" s="21">
        <f t="shared" si="99"/>
        <v>0.23</v>
      </c>
      <c r="AK169" s="9">
        <v>0</v>
      </c>
      <c r="AL169" s="9">
        <v>0</v>
      </c>
      <c r="AM169" s="9">
        <v>0</v>
      </c>
      <c r="AN169" s="13"/>
      <c r="AO169" s="13">
        <v>751.5</v>
      </c>
      <c r="AP169" s="13">
        <f t="shared" si="123"/>
        <v>5.58</v>
      </c>
      <c r="AQ169" s="18">
        <f t="shared" si="98"/>
        <v>0.1</v>
      </c>
      <c r="AR169" s="9">
        <v>0.77</v>
      </c>
      <c r="AS169" s="9">
        <v>0.38</v>
      </c>
      <c r="AT169" s="9">
        <v>7.0000000000000007E-2</v>
      </c>
      <c r="AU169" s="9">
        <v>3.71</v>
      </c>
      <c r="AV169" s="9">
        <v>0.13</v>
      </c>
      <c r="AW169" s="9">
        <f>1.1+0.33+0.32</f>
        <v>1.75</v>
      </c>
      <c r="AX169" s="9">
        <f>1.51+0.44</f>
        <v>1.95</v>
      </c>
      <c r="AY169" s="120">
        <f t="shared" si="124"/>
        <v>19.84</v>
      </c>
      <c r="AZ169" s="121">
        <v>3573.3</v>
      </c>
      <c r="BA169" s="121">
        <v>0</v>
      </c>
      <c r="BB169" s="121">
        <f t="shared" si="134"/>
        <v>3573.3</v>
      </c>
      <c r="BC169" s="121">
        <v>19.84</v>
      </c>
      <c r="BD169" s="13">
        <f t="shared" si="122"/>
        <v>0</v>
      </c>
      <c r="BE169" s="9">
        <f t="shared" si="100"/>
        <v>70622.070000000007</v>
      </c>
      <c r="BF169" s="9">
        <v>19.84</v>
      </c>
      <c r="BG169" s="10">
        <v>44409</v>
      </c>
      <c r="BH169" s="9">
        <f t="shared" si="101"/>
        <v>1388.24</v>
      </c>
      <c r="BI169" s="9">
        <f t="shared" si="102"/>
        <v>17797.900000000001</v>
      </c>
      <c r="BJ169" s="9">
        <f t="shared" si="103"/>
        <v>7653.1</v>
      </c>
      <c r="BK169" s="9">
        <f t="shared" si="104"/>
        <v>1530.62</v>
      </c>
      <c r="BL169" s="9">
        <f t="shared" si="105"/>
        <v>9895.6299999999992</v>
      </c>
      <c r="BM169" s="9">
        <f t="shared" si="106"/>
        <v>818.7</v>
      </c>
      <c r="BN169" s="9">
        <f t="shared" si="107"/>
        <v>0</v>
      </c>
      <c r="BO169" s="9">
        <f t="shared" si="108"/>
        <v>0</v>
      </c>
      <c r="BP169" s="9">
        <f t="shared" si="109"/>
        <v>0</v>
      </c>
      <c r="BQ169" s="9">
        <f t="shared" si="110"/>
        <v>355.96</v>
      </c>
      <c r="BR169" s="9">
        <f t="shared" si="111"/>
        <v>2740.88</v>
      </c>
      <c r="BS169" s="9">
        <f t="shared" si="112"/>
        <v>1352.64</v>
      </c>
      <c r="BT169" s="9">
        <f t="shared" si="113"/>
        <v>249.17</v>
      </c>
      <c r="BU169" s="9">
        <f t="shared" si="114"/>
        <v>13206.04</v>
      </c>
      <c r="BV169" s="9">
        <f t="shared" si="115"/>
        <v>462.75</v>
      </c>
      <c r="BW169" s="9">
        <f t="shared" si="116"/>
        <v>6229.27</v>
      </c>
      <c r="BX169" s="9">
        <f t="shared" si="117"/>
        <v>6941.18</v>
      </c>
      <c r="BY169" s="17">
        <f t="shared" si="118"/>
        <v>70622.080000000002</v>
      </c>
      <c r="BZ169" s="17">
        <v>1.88</v>
      </c>
      <c r="CA169" s="17">
        <v>0.04</v>
      </c>
      <c r="CB169" s="17">
        <v>0.26</v>
      </c>
      <c r="CC169" s="27">
        <v>0.04</v>
      </c>
      <c r="CD169" s="29">
        <v>6.33</v>
      </c>
      <c r="CE169" s="9">
        <v>2689.81</v>
      </c>
      <c r="CF169" s="9"/>
      <c r="CG169" s="9">
        <v>150.36000000000001</v>
      </c>
      <c r="CH169" s="9">
        <v>157.04</v>
      </c>
      <c r="CI169" s="9">
        <f t="shared" si="129"/>
        <v>0.76</v>
      </c>
      <c r="CJ169" s="9">
        <f t="shared" si="130"/>
        <v>0</v>
      </c>
      <c r="CK169" s="13">
        <f t="shared" si="131"/>
        <v>0.04</v>
      </c>
      <c r="CL169" s="13">
        <f t="shared" si="132"/>
        <v>0.04</v>
      </c>
      <c r="CM169" s="13">
        <v>70621.990000000005</v>
      </c>
      <c r="CN169" s="13">
        <v>71.239999999999995</v>
      </c>
      <c r="CO169" s="13">
        <v>0</v>
      </c>
      <c r="CP169" s="13">
        <v>142.4</v>
      </c>
      <c r="CQ169" s="13">
        <v>142.4</v>
      </c>
      <c r="CR169" s="13">
        <v>60532.14</v>
      </c>
      <c r="CS169" s="13">
        <v>2967.27</v>
      </c>
      <c r="CT169" s="13">
        <v>151.61000000000001</v>
      </c>
      <c r="CU169" s="13">
        <v>122.08</v>
      </c>
      <c r="CV169" s="13">
        <v>122.09</v>
      </c>
      <c r="CW169" s="202">
        <v>3101</v>
      </c>
      <c r="CX169" s="200">
        <v>1779</v>
      </c>
      <c r="CY169" s="202"/>
      <c r="CZ169" s="202"/>
      <c r="DA169" s="202"/>
      <c r="DB169" s="202"/>
      <c r="DC169" s="202"/>
      <c r="DD169" s="461"/>
      <c r="DE169" s="256"/>
      <c r="DF169" s="202"/>
      <c r="DG169" s="202"/>
      <c r="DH169" s="202"/>
      <c r="DI169" s="204">
        <v>826</v>
      </c>
      <c r="DJ169" s="202"/>
      <c r="DK169" s="202"/>
      <c r="DL169" s="202"/>
      <c r="DM169" s="202">
        <v>19659</v>
      </c>
      <c r="DN169" s="202">
        <v>4250</v>
      </c>
      <c r="DO169" s="202">
        <v>2.5</v>
      </c>
      <c r="DP169" s="202"/>
      <c r="DQ169" s="202"/>
      <c r="DR169" s="202"/>
      <c r="DS169" s="202">
        <v>16180</v>
      </c>
      <c r="DT169" s="254">
        <v>536</v>
      </c>
      <c r="DU169" s="254">
        <v>278</v>
      </c>
      <c r="DV169" s="202"/>
      <c r="DW169" s="202">
        <v>16087</v>
      </c>
      <c r="DX169" s="202"/>
      <c r="DY169" s="107">
        <v>1365</v>
      </c>
      <c r="DZ169" s="107"/>
      <c r="EA169" s="202"/>
      <c r="EB169" s="202"/>
      <c r="EC169" s="202"/>
      <c r="ED169" s="202"/>
      <c r="EE169" s="202"/>
      <c r="EF169" s="229"/>
      <c r="EG169" s="202"/>
      <c r="EH169" s="202"/>
      <c r="EI169" s="202"/>
      <c r="EJ169" s="202"/>
      <c r="EK169" s="202">
        <v>79.010000000000005</v>
      </c>
      <c r="EL169" s="202">
        <v>0</v>
      </c>
      <c r="EM169" s="202">
        <v>150.36000000000001</v>
      </c>
      <c r="EN169" s="202">
        <v>157.04</v>
      </c>
      <c r="EO169" s="202">
        <v>79.010000000000005</v>
      </c>
      <c r="EP169" s="202"/>
      <c r="EQ169" s="202">
        <v>150.36000000000001</v>
      </c>
      <c r="ER169" s="202">
        <v>157.04</v>
      </c>
      <c r="ES169" s="202"/>
      <c r="ET169" s="202"/>
      <c r="EU169" s="202"/>
      <c r="EV169" s="214">
        <v>2.15</v>
      </c>
      <c r="EW169" s="240">
        <f t="shared" si="119"/>
        <v>7785.37</v>
      </c>
      <c r="EX169" s="209">
        <f t="shared" si="120"/>
        <v>5067.13</v>
      </c>
    </row>
    <row r="170" spans="1:154" ht="12.75" customHeight="1" x14ac:dyDescent="0.2">
      <c r="A170" s="45" t="s">
        <v>241</v>
      </c>
      <c r="B170" s="117" t="s">
        <v>215</v>
      </c>
      <c r="C170" s="118" t="s">
        <v>17</v>
      </c>
      <c r="D170" s="119" t="s">
        <v>472</v>
      </c>
      <c r="E170" s="118" t="s">
        <v>12</v>
      </c>
      <c r="F170" s="11">
        <v>5</v>
      </c>
      <c r="G170" s="11">
        <v>4</v>
      </c>
      <c r="H170" s="11">
        <v>80</v>
      </c>
      <c r="I170" s="11">
        <v>0</v>
      </c>
      <c r="J170" s="11">
        <v>152</v>
      </c>
      <c r="K170" s="11">
        <v>173</v>
      </c>
      <c r="L170" s="11" t="s">
        <v>746</v>
      </c>
      <c r="M170" s="84">
        <v>281</v>
      </c>
      <c r="N170" s="84">
        <v>886</v>
      </c>
      <c r="O170" s="84">
        <v>0</v>
      </c>
      <c r="P170" s="135">
        <v>218.8</v>
      </c>
      <c r="Q170" s="135">
        <v>773.9</v>
      </c>
      <c r="R170" s="133">
        <v>0</v>
      </c>
      <c r="S170" s="133">
        <f t="shared" si="121"/>
        <v>992.7</v>
      </c>
      <c r="T170" s="134">
        <v>281</v>
      </c>
      <c r="U170" s="130">
        <v>1.53</v>
      </c>
      <c r="V170" s="131">
        <v>1.9800000000000002E-2</v>
      </c>
      <c r="W170" s="131">
        <v>1.9800000000000002E-2</v>
      </c>
      <c r="X170" s="132">
        <v>1.32E-3</v>
      </c>
      <c r="Y170" s="131">
        <v>3.95E-2</v>
      </c>
      <c r="Z170" s="29">
        <v>3476.65</v>
      </c>
      <c r="AA170" s="34">
        <v>58.5</v>
      </c>
      <c r="AB170" s="9">
        <f t="shared" si="133"/>
        <v>3535.15</v>
      </c>
      <c r="AC170" s="9">
        <f t="shared" si="135"/>
        <v>22377.5</v>
      </c>
      <c r="AD170" s="9">
        <v>0.4</v>
      </c>
      <c r="AE170" s="9">
        <v>3.98</v>
      </c>
      <c r="AF170" s="21">
        <f>2.36-AJ170</f>
        <v>2.12</v>
      </c>
      <c r="AG170" s="18">
        <f>0.54-AQ170</f>
        <v>0.43</v>
      </c>
      <c r="AH170" s="9">
        <v>2.78</v>
      </c>
      <c r="AI170" s="43">
        <v>851</v>
      </c>
      <c r="AJ170" s="21">
        <f t="shared" si="99"/>
        <v>0.24</v>
      </c>
      <c r="AK170" s="9">
        <v>0</v>
      </c>
      <c r="AL170" s="9">
        <v>0</v>
      </c>
      <c r="AM170" s="9">
        <v>0.16</v>
      </c>
      <c r="AN170" s="13"/>
      <c r="AO170" s="13">
        <v>801.6</v>
      </c>
      <c r="AP170" s="13">
        <f t="shared" si="123"/>
        <v>5.58</v>
      </c>
      <c r="AQ170" s="18">
        <f t="shared" si="98"/>
        <v>0.11</v>
      </c>
      <c r="AR170" s="9">
        <v>0.78</v>
      </c>
      <c r="AS170" s="9">
        <v>0.39</v>
      </c>
      <c r="AT170" s="9">
        <v>7.0000000000000007E-2</v>
      </c>
      <c r="AU170" s="9">
        <v>4.57</v>
      </c>
      <c r="AV170" s="9">
        <v>0.12</v>
      </c>
      <c r="AW170" s="9">
        <f>1.03+0.31+0.4</f>
        <v>1.74</v>
      </c>
      <c r="AX170" s="9">
        <f>1.41+0.54</f>
        <v>1.95</v>
      </c>
      <c r="AY170" s="120">
        <f t="shared" si="124"/>
        <v>19.84</v>
      </c>
      <c r="AZ170" s="121">
        <v>3473.2</v>
      </c>
      <c r="BA170" s="121">
        <v>58.5</v>
      </c>
      <c r="BB170" s="121">
        <f t="shared" si="134"/>
        <v>3531.7</v>
      </c>
      <c r="BC170" s="121">
        <v>19.84</v>
      </c>
      <c r="BD170" s="13">
        <f t="shared" si="122"/>
        <v>0</v>
      </c>
      <c r="BE170" s="9">
        <f t="shared" si="100"/>
        <v>70137.38</v>
      </c>
      <c r="BF170" s="9">
        <v>19.84</v>
      </c>
      <c r="BG170" s="10">
        <v>44409</v>
      </c>
      <c r="BH170" s="9">
        <f t="shared" si="101"/>
        <v>1414.06</v>
      </c>
      <c r="BI170" s="9">
        <f t="shared" si="102"/>
        <v>14069.9</v>
      </c>
      <c r="BJ170" s="9">
        <f t="shared" si="103"/>
        <v>7494.52</v>
      </c>
      <c r="BK170" s="9">
        <f t="shared" si="104"/>
        <v>1520.11</v>
      </c>
      <c r="BL170" s="9">
        <f t="shared" si="105"/>
        <v>9827.7199999999993</v>
      </c>
      <c r="BM170" s="9">
        <f t="shared" si="106"/>
        <v>848.44</v>
      </c>
      <c r="BN170" s="9">
        <f t="shared" si="107"/>
        <v>0</v>
      </c>
      <c r="BO170" s="9">
        <f t="shared" si="108"/>
        <v>0</v>
      </c>
      <c r="BP170" s="9">
        <f t="shared" si="109"/>
        <v>565.62</v>
      </c>
      <c r="BQ170" s="9">
        <f t="shared" si="110"/>
        <v>388.87</v>
      </c>
      <c r="BR170" s="9">
        <f t="shared" si="111"/>
        <v>2757.42</v>
      </c>
      <c r="BS170" s="9">
        <f t="shared" si="112"/>
        <v>1378.71</v>
      </c>
      <c r="BT170" s="9">
        <f t="shared" si="113"/>
        <v>247.46</v>
      </c>
      <c r="BU170" s="9">
        <f t="shared" si="114"/>
        <v>16155.64</v>
      </c>
      <c r="BV170" s="9">
        <f t="shared" si="115"/>
        <v>424.22</v>
      </c>
      <c r="BW170" s="9">
        <f t="shared" si="116"/>
        <v>6151.16</v>
      </c>
      <c r="BX170" s="9">
        <f t="shared" si="117"/>
        <v>6893.54</v>
      </c>
      <c r="BY170" s="17">
        <f t="shared" si="118"/>
        <v>70137.39</v>
      </c>
      <c r="BZ170" s="17">
        <v>1.93</v>
      </c>
      <c r="CA170" s="17">
        <v>0.04</v>
      </c>
      <c r="CB170" s="17">
        <v>0.26</v>
      </c>
      <c r="CC170" s="27">
        <v>0.04</v>
      </c>
      <c r="CD170" s="29">
        <v>6.33</v>
      </c>
      <c r="CE170" s="9">
        <v>0</v>
      </c>
      <c r="CF170" s="9"/>
      <c r="CG170" s="9">
        <v>4026.58</v>
      </c>
      <c r="CH170" s="9">
        <v>2200.92</v>
      </c>
      <c r="CI170" s="9">
        <f t="shared" si="129"/>
        <v>0</v>
      </c>
      <c r="CJ170" s="9">
        <f t="shared" si="130"/>
        <v>0</v>
      </c>
      <c r="CK170" s="13">
        <f t="shared" si="131"/>
        <v>1.1399999999999999</v>
      </c>
      <c r="CL170" s="13">
        <f t="shared" si="132"/>
        <v>0.62</v>
      </c>
      <c r="CM170" s="13">
        <v>68972.759999999995</v>
      </c>
      <c r="CN170" s="13">
        <v>9421.2000000000007</v>
      </c>
      <c r="CO170" s="13">
        <v>4276.08</v>
      </c>
      <c r="CP170" s="13">
        <v>10464.129999999999</v>
      </c>
      <c r="CQ170" s="13">
        <v>5562.32</v>
      </c>
      <c r="CR170" s="13">
        <v>70394.62</v>
      </c>
      <c r="CS170" s="13">
        <v>6459.66</v>
      </c>
      <c r="CT170" s="13">
        <v>1389.85</v>
      </c>
      <c r="CU170" s="13">
        <v>4228.6099999999997</v>
      </c>
      <c r="CV170" s="13">
        <v>2291.81</v>
      </c>
      <c r="CW170" s="202">
        <v>3080</v>
      </c>
      <c r="CX170" s="200">
        <v>1767</v>
      </c>
      <c r="CY170" s="202"/>
      <c r="CZ170" s="202"/>
      <c r="DA170" s="202"/>
      <c r="DB170" s="202"/>
      <c r="DC170" s="202"/>
      <c r="DD170" s="461"/>
      <c r="DE170" s="256"/>
      <c r="DF170" s="202"/>
      <c r="DG170" s="202"/>
      <c r="DH170" s="202"/>
      <c r="DI170" s="204">
        <v>851</v>
      </c>
      <c r="DJ170" s="202"/>
      <c r="DK170" s="202"/>
      <c r="DL170" s="202"/>
      <c r="DM170" s="202">
        <v>15819</v>
      </c>
      <c r="DN170" s="202">
        <v>3400</v>
      </c>
      <c r="DO170" s="202">
        <v>2</v>
      </c>
      <c r="DP170" s="202"/>
      <c r="DQ170" s="202"/>
      <c r="DR170" s="202"/>
      <c r="DS170" s="202">
        <v>25450</v>
      </c>
      <c r="DT170" s="254">
        <v>828</v>
      </c>
      <c r="DU170" s="254">
        <v>475</v>
      </c>
      <c r="DV170" s="202"/>
      <c r="DW170" s="202">
        <v>15862</v>
      </c>
      <c r="DX170" s="202"/>
      <c r="DY170" s="107">
        <v>1365</v>
      </c>
      <c r="DZ170" s="107"/>
      <c r="EA170" s="202">
        <v>2549.52</v>
      </c>
      <c r="EB170" s="202"/>
      <c r="EC170" s="202"/>
      <c r="ED170" s="202"/>
      <c r="EE170" s="202"/>
      <c r="EF170" s="229"/>
      <c r="EG170" s="202"/>
      <c r="EH170" s="202"/>
      <c r="EI170" s="202"/>
      <c r="EJ170" s="202"/>
      <c r="EK170" s="202">
        <v>9572.1299999999992</v>
      </c>
      <c r="EL170" s="202">
        <v>4359.6000000000004</v>
      </c>
      <c r="EM170" s="202">
        <v>10647.46</v>
      </c>
      <c r="EN170" s="202">
        <v>5653.03</v>
      </c>
      <c r="EO170" s="202">
        <v>9572.1299999999992</v>
      </c>
      <c r="EP170" s="202"/>
      <c r="EQ170" s="202">
        <v>10647.46</v>
      </c>
      <c r="ER170" s="202">
        <v>5653.03</v>
      </c>
      <c r="ES170" s="202"/>
      <c r="ET170" s="202"/>
      <c r="EU170" s="202"/>
      <c r="EV170" s="214">
        <v>-3.39</v>
      </c>
      <c r="EW170" s="240">
        <f t="shared" si="119"/>
        <v>7731.94</v>
      </c>
      <c r="EX170" s="209">
        <f t="shared" si="120"/>
        <v>5032.3599999999997</v>
      </c>
    </row>
    <row r="171" spans="1:154" ht="12.75" customHeight="1" x14ac:dyDescent="0.2">
      <c r="A171" s="45" t="s">
        <v>242</v>
      </c>
      <c r="B171" s="117" t="s">
        <v>215</v>
      </c>
      <c r="C171" s="118" t="s">
        <v>17</v>
      </c>
      <c r="D171" s="119" t="s">
        <v>570</v>
      </c>
      <c r="E171" s="118" t="s">
        <v>9</v>
      </c>
      <c r="F171" s="11">
        <v>5</v>
      </c>
      <c r="G171" s="11">
        <v>5</v>
      </c>
      <c r="H171" s="11">
        <v>80</v>
      </c>
      <c r="I171" s="11">
        <v>0</v>
      </c>
      <c r="J171" s="11">
        <v>170</v>
      </c>
      <c r="K171" s="11">
        <v>190</v>
      </c>
      <c r="L171" s="11" t="s">
        <v>746</v>
      </c>
      <c r="M171" s="84">
        <v>281</v>
      </c>
      <c r="N171" s="84">
        <v>886</v>
      </c>
      <c r="O171" s="84">
        <v>0</v>
      </c>
      <c r="P171" s="139">
        <v>277.8</v>
      </c>
      <c r="Q171" s="135">
        <v>773.9</v>
      </c>
      <c r="R171" s="133">
        <v>0</v>
      </c>
      <c r="S171" s="133">
        <f t="shared" si="121"/>
        <v>1051.7</v>
      </c>
      <c r="T171" s="139">
        <v>281</v>
      </c>
      <c r="U171" s="130">
        <v>1.53</v>
      </c>
      <c r="V171" s="131">
        <v>1.9800000000000002E-2</v>
      </c>
      <c r="W171" s="131">
        <v>1.9800000000000002E-2</v>
      </c>
      <c r="X171" s="132">
        <v>1.32E-3</v>
      </c>
      <c r="Y171" s="131">
        <v>3.95E-2</v>
      </c>
      <c r="Z171" s="29">
        <v>3576.99</v>
      </c>
      <c r="AA171" s="34"/>
      <c r="AB171" s="9">
        <f t="shared" si="133"/>
        <v>3576.99</v>
      </c>
      <c r="AC171" s="9">
        <f t="shared" si="135"/>
        <v>22642.35</v>
      </c>
      <c r="AD171" s="9">
        <v>0.39</v>
      </c>
      <c r="AE171" s="9">
        <v>4.03</v>
      </c>
      <c r="AF171" s="21">
        <f>2.42-AJ171</f>
        <v>2.1800000000000002</v>
      </c>
      <c r="AG171" s="18">
        <f>0.53-AQ171</f>
        <v>0.43</v>
      </c>
      <c r="AH171" s="9">
        <v>2.78</v>
      </c>
      <c r="AI171" s="43">
        <v>851</v>
      </c>
      <c r="AJ171" s="21">
        <f t="shared" si="99"/>
        <v>0.24</v>
      </c>
      <c r="AK171" s="9">
        <v>0</v>
      </c>
      <c r="AL171" s="9">
        <v>0</v>
      </c>
      <c r="AM171" s="9">
        <v>0.16</v>
      </c>
      <c r="AN171" s="13"/>
      <c r="AO171" s="13">
        <v>751.5</v>
      </c>
      <c r="AP171" s="13">
        <f t="shared" si="123"/>
        <v>5.58</v>
      </c>
      <c r="AQ171" s="18">
        <f t="shared" si="98"/>
        <v>0.1</v>
      </c>
      <c r="AR171" s="9">
        <v>0.77</v>
      </c>
      <c r="AS171" s="9">
        <v>0.38</v>
      </c>
      <c r="AT171" s="9">
        <v>7.0000000000000007E-2</v>
      </c>
      <c r="AU171" s="9">
        <v>4.4400000000000004</v>
      </c>
      <c r="AV171" s="9">
        <v>0.12</v>
      </c>
      <c r="AW171" s="9">
        <f>1.03+0.42+0.32</f>
        <v>1.77</v>
      </c>
      <c r="AX171" s="9">
        <f>1.42+0.56</f>
        <v>1.98</v>
      </c>
      <c r="AY171" s="120">
        <f t="shared" si="124"/>
        <v>19.84</v>
      </c>
      <c r="AZ171" s="121">
        <v>3591</v>
      </c>
      <c r="BA171" s="121">
        <v>0</v>
      </c>
      <c r="BB171" s="121">
        <f t="shared" si="134"/>
        <v>3591</v>
      </c>
      <c r="BC171" s="121">
        <v>19.84</v>
      </c>
      <c r="BD171" s="13">
        <f t="shared" si="122"/>
        <v>0</v>
      </c>
      <c r="BE171" s="9">
        <f t="shared" si="100"/>
        <v>70967.48</v>
      </c>
      <c r="BF171" s="9">
        <v>19.84</v>
      </c>
      <c r="BG171" s="10">
        <v>44409</v>
      </c>
      <c r="BH171" s="9">
        <f t="shared" si="101"/>
        <v>1395.03</v>
      </c>
      <c r="BI171" s="9">
        <f t="shared" si="102"/>
        <v>14415.27</v>
      </c>
      <c r="BJ171" s="9">
        <f t="shared" si="103"/>
        <v>7797.84</v>
      </c>
      <c r="BK171" s="9">
        <f t="shared" si="104"/>
        <v>1538.11</v>
      </c>
      <c r="BL171" s="9">
        <f t="shared" si="105"/>
        <v>9944.0300000000007</v>
      </c>
      <c r="BM171" s="9">
        <f t="shared" si="106"/>
        <v>858.48</v>
      </c>
      <c r="BN171" s="9">
        <f t="shared" si="107"/>
        <v>0</v>
      </c>
      <c r="BO171" s="9">
        <f t="shared" si="108"/>
        <v>0</v>
      </c>
      <c r="BP171" s="9">
        <f t="shared" si="109"/>
        <v>572.32000000000005</v>
      </c>
      <c r="BQ171" s="9">
        <f t="shared" si="110"/>
        <v>357.7</v>
      </c>
      <c r="BR171" s="9">
        <f t="shared" si="111"/>
        <v>2754.28</v>
      </c>
      <c r="BS171" s="9">
        <f t="shared" si="112"/>
        <v>1359.26</v>
      </c>
      <c r="BT171" s="9">
        <f t="shared" si="113"/>
        <v>250.39</v>
      </c>
      <c r="BU171" s="9">
        <f t="shared" si="114"/>
        <v>15881.84</v>
      </c>
      <c r="BV171" s="9">
        <f t="shared" si="115"/>
        <v>429.24</v>
      </c>
      <c r="BW171" s="9">
        <f t="shared" si="116"/>
        <v>6331.27</v>
      </c>
      <c r="BX171" s="9">
        <f t="shared" si="117"/>
        <v>7082.44</v>
      </c>
      <c r="BY171" s="17">
        <f t="shared" si="118"/>
        <v>70967.5</v>
      </c>
      <c r="BZ171" s="17">
        <v>1.91</v>
      </c>
      <c r="CA171" s="17">
        <v>0.04</v>
      </c>
      <c r="CB171" s="17">
        <v>0.26</v>
      </c>
      <c r="CC171" s="27">
        <v>0.04</v>
      </c>
      <c r="CD171" s="29">
        <v>6.33</v>
      </c>
      <c r="CE171" s="9">
        <v>0</v>
      </c>
      <c r="CF171" s="9"/>
      <c r="CG171" s="9">
        <v>5891.23</v>
      </c>
      <c r="CH171" s="9">
        <v>3162.98</v>
      </c>
      <c r="CI171" s="9">
        <f t="shared" si="129"/>
        <v>0</v>
      </c>
      <c r="CJ171" s="9">
        <f t="shared" si="130"/>
        <v>0</v>
      </c>
      <c r="CK171" s="13">
        <f t="shared" si="131"/>
        <v>1.65</v>
      </c>
      <c r="CL171" s="13">
        <f t="shared" si="132"/>
        <v>0.88</v>
      </c>
      <c r="CM171" s="13">
        <v>70967.490000000005</v>
      </c>
      <c r="CN171" s="13">
        <v>0</v>
      </c>
      <c r="CO171" s="13">
        <v>0</v>
      </c>
      <c r="CP171" s="13">
        <v>0</v>
      </c>
      <c r="CQ171" s="13">
        <v>71.55</v>
      </c>
      <c r="CR171" s="13">
        <v>70714.05</v>
      </c>
      <c r="CS171" s="13">
        <v>1197.6300000000001</v>
      </c>
      <c r="CT171" s="13">
        <v>163.02000000000001</v>
      </c>
      <c r="CU171" s="13">
        <v>224.98</v>
      </c>
      <c r="CV171" s="13">
        <v>191.16</v>
      </c>
      <c r="CW171" s="202">
        <v>3116</v>
      </c>
      <c r="CX171" s="200">
        <v>1788</v>
      </c>
      <c r="CY171" s="202"/>
      <c r="CZ171" s="202"/>
      <c r="DA171" s="202"/>
      <c r="DB171" s="202"/>
      <c r="DC171" s="202"/>
      <c r="DD171" s="461"/>
      <c r="DE171" s="256"/>
      <c r="DF171" s="202"/>
      <c r="DG171" s="202"/>
      <c r="DH171" s="202"/>
      <c r="DI171" s="204">
        <v>851</v>
      </c>
      <c r="DJ171" s="202"/>
      <c r="DK171" s="202"/>
      <c r="DL171" s="202"/>
      <c r="DM171" s="202">
        <v>16229</v>
      </c>
      <c r="DN171" s="202">
        <v>3400</v>
      </c>
      <c r="DO171" s="202">
        <v>2</v>
      </c>
      <c r="DP171" s="202"/>
      <c r="DQ171" s="202"/>
      <c r="DR171" s="202"/>
      <c r="DS171" s="202">
        <v>16650</v>
      </c>
      <c r="DT171" s="254">
        <v>552</v>
      </c>
      <c r="DU171" s="254">
        <v>285</v>
      </c>
      <c r="DV171" s="202"/>
      <c r="DW171" s="202">
        <v>16302</v>
      </c>
      <c r="DX171" s="202"/>
      <c r="DY171" s="107">
        <v>1365</v>
      </c>
      <c r="DZ171" s="107">
        <v>577</v>
      </c>
      <c r="EA171" s="202"/>
      <c r="EB171" s="202"/>
      <c r="EC171" s="202"/>
      <c r="ED171" s="202"/>
      <c r="EE171" s="202"/>
      <c r="EF171" s="229"/>
      <c r="EG171" s="202"/>
      <c r="EH171" s="202"/>
      <c r="EI171" s="202"/>
      <c r="EJ171" s="202"/>
      <c r="EK171" s="202">
        <v>0</v>
      </c>
      <c r="EL171" s="202">
        <v>0</v>
      </c>
      <c r="EM171" s="202">
        <v>0</v>
      </c>
      <c r="EN171" s="202">
        <v>78.72</v>
      </c>
      <c r="EO171" s="202">
        <v>0</v>
      </c>
      <c r="EP171" s="202"/>
      <c r="EQ171" s="202">
        <v>0</v>
      </c>
      <c r="ER171" s="202">
        <v>78.72</v>
      </c>
      <c r="ES171" s="202"/>
      <c r="ET171" s="202"/>
      <c r="EU171" s="202"/>
      <c r="EV171" s="214">
        <v>-3.39</v>
      </c>
      <c r="EW171" s="240">
        <f t="shared" si="119"/>
        <v>7823.45</v>
      </c>
      <c r="EX171" s="209">
        <f t="shared" si="120"/>
        <v>5091.92</v>
      </c>
    </row>
    <row r="172" spans="1:154" ht="12.75" customHeight="1" x14ac:dyDescent="0.2">
      <c r="A172" s="45" t="s">
        <v>244</v>
      </c>
      <c r="B172" s="117" t="s">
        <v>215</v>
      </c>
      <c r="C172" s="118" t="s">
        <v>21</v>
      </c>
      <c r="D172" s="119" t="s">
        <v>473</v>
      </c>
      <c r="E172" s="118" t="s">
        <v>12</v>
      </c>
      <c r="F172" s="11">
        <v>5</v>
      </c>
      <c r="G172" s="11">
        <v>5</v>
      </c>
      <c r="H172" s="11">
        <v>80</v>
      </c>
      <c r="I172" s="11">
        <v>0</v>
      </c>
      <c r="J172" s="11">
        <v>159</v>
      </c>
      <c r="K172" s="11">
        <v>187</v>
      </c>
      <c r="L172" s="11" t="s">
        <v>746</v>
      </c>
      <c r="M172" s="84">
        <v>281</v>
      </c>
      <c r="N172" s="84">
        <v>886</v>
      </c>
      <c r="O172" s="84">
        <v>0</v>
      </c>
      <c r="P172" s="135">
        <v>280.5</v>
      </c>
      <c r="Q172" s="135">
        <v>690.5</v>
      </c>
      <c r="R172" s="133">
        <v>0</v>
      </c>
      <c r="S172" s="133">
        <f t="shared" si="121"/>
        <v>971</v>
      </c>
      <c r="T172" s="134">
        <v>281</v>
      </c>
      <c r="U172" s="130">
        <v>1.53</v>
      </c>
      <c r="V172" s="131">
        <v>1.9800000000000002E-2</v>
      </c>
      <c r="W172" s="131">
        <v>1.9800000000000002E-2</v>
      </c>
      <c r="X172" s="132">
        <v>1.32E-3</v>
      </c>
      <c r="Y172" s="131">
        <v>3.95E-2</v>
      </c>
      <c r="Z172" s="29">
        <v>3588.67</v>
      </c>
      <c r="AA172" s="34"/>
      <c r="AB172" s="9">
        <f t="shared" si="133"/>
        <v>3588.67</v>
      </c>
      <c r="AC172" s="9">
        <f t="shared" si="135"/>
        <v>22716.28</v>
      </c>
      <c r="AD172" s="9">
        <v>0.39</v>
      </c>
      <c r="AE172" s="9">
        <v>3.79</v>
      </c>
      <c r="AF172" s="21">
        <f>2.43-AJ172</f>
        <v>2.19</v>
      </c>
      <c r="AG172" s="18">
        <f>0.53-AQ172</f>
        <v>0.43</v>
      </c>
      <c r="AH172" s="9">
        <v>2.78</v>
      </c>
      <c r="AI172" s="43">
        <v>851</v>
      </c>
      <c r="AJ172" s="21">
        <f t="shared" si="99"/>
        <v>0.24</v>
      </c>
      <c r="AK172" s="9">
        <v>0</v>
      </c>
      <c r="AL172" s="9">
        <v>0</v>
      </c>
      <c r="AM172" s="9">
        <v>0.26</v>
      </c>
      <c r="AN172" s="13"/>
      <c r="AO172" s="13">
        <v>751.5</v>
      </c>
      <c r="AP172" s="13">
        <f t="shared" si="123"/>
        <v>5.58</v>
      </c>
      <c r="AQ172" s="18">
        <f t="shared" si="98"/>
        <v>0.1</v>
      </c>
      <c r="AR172" s="9">
        <v>0.77</v>
      </c>
      <c r="AS172" s="9">
        <v>0.38</v>
      </c>
      <c r="AT172" s="9">
        <v>7.0000000000000007E-2</v>
      </c>
      <c r="AU172" s="9">
        <v>4.57</v>
      </c>
      <c r="AV172" s="9">
        <v>0.12</v>
      </c>
      <c r="AW172" s="9">
        <f>1.02+0.31+0.4</f>
        <v>1.73</v>
      </c>
      <c r="AX172" s="9">
        <f>1.4+0.54</f>
        <v>1.94</v>
      </c>
      <c r="AY172" s="120">
        <f t="shared" si="124"/>
        <v>19.760000000000002</v>
      </c>
      <c r="AZ172" s="121">
        <v>3607.3</v>
      </c>
      <c r="BA172" s="121">
        <v>0</v>
      </c>
      <c r="BB172" s="121">
        <f t="shared" si="134"/>
        <v>3607.3</v>
      </c>
      <c r="BC172" s="121">
        <v>19.760000000000002</v>
      </c>
      <c r="BD172" s="13">
        <f t="shared" si="122"/>
        <v>0</v>
      </c>
      <c r="BE172" s="9">
        <f t="shared" si="100"/>
        <v>70912.12</v>
      </c>
      <c r="BF172" s="9">
        <v>19.760000000000002</v>
      </c>
      <c r="BG172" s="10">
        <v>44409</v>
      </c>
      <c r="BH172" s="9">
        <f t="shared" si="101"/>
        <v>1399.58</v>
      </c>
      <c r="BI172" s="9">
        <f t="shared" si="102"/>
        <v>13601.06</v>
      </c>
      <c r="BJ172" s="9">
        <f t="shared" si="103"/>
        <v>7859.19</v>
      </c>
      <c r="BK172" s="9">
        <f t="shared" si="104"/>
        <v>1543.13</v>
      </c>
      <c r="BL172" s="9">
        <f t="shared" si="105"/>
        <v>9976.5</v>
      </c>
      <c r="BM172" s="9">
        <f t="shared" si="106"/>
        <v>861.28</v>
      </c>
      <c r="BN172" s="9">
        <f t="shared" si="107"/>
        <v>0</v>
      </c>
      <c r="BO172" s="9">
        <f t="shared" si="108"/>
        <v>0</v>
      </c>
      <c r="BP172" s="9">
        <f t="shared" si="109"/>
        <v>933.05</v>
      </c>
      <c r="BQ172" s="9">
        <f t="shared" si="110"/>
        <v>358.87</v>
      </c>
      <c r="BR172" s="9">
        <f t="shared" si="111"/>
        <v>2763.28</v>
      </c>
      <c r="BS172" s="9">
        <f t="shared" si="112"/>
        <v>1363.69</v>
      </c>
      <c r="BT172" s="9">
        <f t="shared" si="113"/>
        <v>251.21</v>
      </c>
      <c r="BU172" s="9">
        <f t="shared" si="114"/>
        <v>16400.22</v>
      </c>
      <c r="BV172" s="9">
        <f t="shared" si="115"/>
        <v>430.64</v>
      </c>
      <c r="BW172" s="9">
        <f t="shared" si="116"/>
        <v>6208.4</v>
      </c>
      <c r="BX172" s="9">
        <f t="shared" si="117"/>
        <v>6962.02</v>
      </c>
      <c r="BY172" s="17">
        <f t="shared" si="118"/>
        <v>70912.12</v>
      </c>
      <c r="BZ172" s="17">
        <v>1.9</v>
      </c>
      <c r="CA172" s="17">
        <v>0.04</v>
      </c>
      <c r="CB172" s="17">
        <v>0.26</v>
      </c>
      <c r="CC172" s="27">
        <v>0.04</v>
      </c>
      <c r="CD172" s="29">
        <v>6.33</v>
      </c>
      <c r="CE172" s="9">
        <v>0</v>
      </c>
      <c r="CF172" s="9"/>
      <c r="CG172" s="9">
        <v>10971.74</v>
      </c>
      <c r="CH172" s="9">
        <v>5822.8</v>
      </c>
      <c r="CI172" s="9">
        <f t="shared" si="129"/>
        <v>0</v>
      </c>
      <c r="CJ172" s="9">
        <f t="shared" si="130"/>
        <v>0</v>
      </c>
      <c r="CK172" s="13">
        <f t="shared" si="131"/>
        <v>3.06</v>
      </c>
      <c r="CL172" s="13">
        <f t="shared" si="132"/>
        <v>1.62</v>
      </c>
      <c r="CM172" s="13">
        <v>70912.14</v>
      </c>
      <c r="CN172" s="13">
        <v>0</v>
      </c>
      <c r="CO172" s="13">
        <v>0</v>
      </c>
      <c r="CP172" s="13">
        <v>1399.66</v>
      </c>
      <c r="CQ172" s="13">
        <v>825.44</v>
      </c>
      <c r="CR172" s="13">
        <v>69628.600000000006</v>
      </c>
      <c r="CS172" s="13">
        <v>5898.83</v>
      </c>
      <c r="CT172" s="13">
        <v>146.36000000000001</v>
      </c>
      <c r="CU172" s="13">
        <v>3280.74</v>
      </c>
      <c r="CV172" s="13">
        <v>1797.57</v>
      </c>
      <c r="CW172" s="202">
        <v>3127</v>
      </c>
      <c r="CX172" s="200">
        <v>1794</v>
      </c>
      <c r="CY172" s="202"/>
      <c r="CZ172" s="202"/>
      <c r="DA172" s="202"/>
      <c r="DB172" s="202"/>
      <c r="DC172" s="202"/>
      <c r="DD172" s="461"/>
      <c r="DE172" s="256"/>
      <c r="DF172" s="202"/>
      <c r="DG172" s="202"/>
      <c r="DH172" s="202"/>
      <c r="DI172" s="204">
        <v>851</v>
      </c>
      <c r="DJ172" s="202"/>
      <c r="DK172" s="202"/>
      <c r="DL172" s="202"/>
      <c r="DM172" s="202">
        <v>15433</v>
      </c>
      <c r="DN172" s="202">
        <v>4250</v>
      </c>
      <c r="DO172" s="202">
        <v>2.5</v>
      </c>
      <c r="DP172" s="202"/>
      <c r="DQ172" s="202"/>
      <c r="DR172" s="202"/>
      <c r="DS172" s="202">
        <v>16650</v>
      </c>
      <c r="DT172" s="254">
        <v>552</v>
      </c>
      <c r="DU172" s="254">
        <v>285</v>
      </c>
      <c r="DV172" s="202"/>
      <c r="DW172" s="202">
        <v>16385</v>
      </c>
      <c r="DX172" s="202"/>
      <c r="DY172" s="107">
        <v>1365</v>
      </c>
      <c r="DZ172" s="107">
        <v>942</v>
      </c>
      <c r="EA172" s="202">
        <v>3802.85</v>
      </c>
      <c r="EB172" s="202"/>
      <c r="EC172" s="202"/>
      <c r="ED172" s="202"/>
      <c r="EE172" s="202"/>
      <c r="EF172" s="229"/>
      <c r="EG172" s="202"/>
      <c r="EH172" s="202"/>
      <c r="EI172" s="202"/>
      <c r="EJ172" s="202"/>
      <c r="EK172" s="202">
        <v>0</v>
      </c>
      <c r="EL172" s="202">
        <v>0</v>
      </c>
      <c r="EM172" s="202">
        <v>1405.25</v>
      </c>
      <c r="EN172" s="202">
        <v>814.41</v>
      </c>
      <c r="EO172" s="202">
        <v>0</v>
      </c>
      <c r="EP172" s="202"/>
      <c r="EQ172" s="202">
        <v>1405.25</v>
      </c>
      <c r="ER172" s="202">
        <v>814.41</v>
      </c>
      <c r="ES172" s="202"/>
      <c r="ET172" s="202"/>
      <c r="EU172" s="202"/>
      <c r="EV172" s="214">
        <v>169.61</v>
      </c>
      <c r="EW172" s="240">
        <f t="shared" si="119"/>
        <v>7849</v>
      </c>
      <c r="EX172" s="209">
        <f t="shared" si="120"/>
        <v>5108.54</v>
      </c>
    </row>
    <row r="173" spans="1:154" ht="12.75" customHeight="1" x14ac:dyDescent="0.2">
      <c r="A173" s="45" t="s">
        <v>246</v>
      </c>
      <c r="B173" s="60" t="s">
        <v>221</v>
      </c>
      <c r="C173" s="61" t="s">
        <v>44</v>
      </c>
      <c r="D173" s="62" t="s">
        <v>655</v>
      </c>
      <c r="E173" s="61" t="s">
        <v>12</v>
      </c>
      <c r="F173" s="11">
        <v>9</v>
      </c>
      <c r="G173" s="11">
        <v>2</v>
      </c>
      <c r="H173" s="11">
        <v>72</v>
      </c>
      <c r="I173" s="11">
        <v>72</v>
      </c>
      <c r="J173" s="11">
        <v>135</v>
      </c>
      <c r="K173" s="11">
        <v>193</v>
      </c>
      <c r="L173" s="11">
        <v>2</v>
      </c>
      <c r="M173" s="84">
        <v>660.6</v>
      </c>
      <c r="N173" s="84">
        <v>584.9</v>
      </c>
      <c r="O173" s="84">
        <v>0</v>
      </c>
      <c r="P173" s="135">
        <v>660.6</v>
      </c>
      <c r="Q173" s="135">
        <v>693</v>
      </c>
      <c r="R173" s="133">
        <v>0</v>
      </c>
      <c r="S173" s="133">
        <f t="shared" si="121"/>
        <v>1353.6</v>
      </c>
      <c r="T173" s="134">
        <v>660.6</v>
      </c>
      <c r="U173" s="130">
        <v>2.44</v>
      </c>
      <c r="V173" s="131">
        <v>1.9800000000000002E-2</v>
      </c>
      <c r="W173" s="131">
        <v>1.9800000000000002E-2</v>
      </c>
      <c r="X173" s="132">
        <v>1.32E-3</v>
      </c>
      <c r="Y173" s="131">
        <v>3.9699999999999999E-2</v>
      </c>
      <c r="Z173" s="29">
        <v>3690.04</v>
      </c>
      <c r="AA173" s="34">
        <v>163.1</v>
      </c>
      <c r="AB173" s="9">
        <f t="shared" si="133"/>
        <v>3853.14</v>
      </c>
      <c r="AC173" s="9">
        <f t="shared" si="135"/>
        <v>24390.38</v>
      </c>
      <c r="AD173" s="9">
        <v>2.35</v>
      </c>
      <c r="AE173" s="9">
        <v>4.2300000000000004</v>
      </c>
      <c r="AF173" s="21">
        <f>2.42-AJ173</f>
        <v>2.27</v>
      </c>
      <c r="AG173" s="18">
        <f>0.62-AQ173</f>
        <v>0.56999999999999995</v>
      </c>
      <c r="AH173" s="9">
        <v>2.78</v>
      </c>
      <c r="AI173" s="43">
        <v>562</v>
      </c>
      <c r="AJ173" s="21">
        <f t="shared" si="99"/>
        <v>0.15</v>
      </c>
      <c r="AK173" s="9">
        <v>2.2400000000000002</v>
      </c>
      <c r="AL173" s="9">
        <v>0.2</v>
      </c>
      <c r="AM173" s="9">
        <v>0.15</v>
      </c>
      <c r="AN173" s="13"/>
      <c r="AO173" s="13">
        <v>422.4</v>
      </c>
      <c r="AP173" s="13">
        <f t="shared" si="123"/>
        <v>5.58</v>
      </c>
      <c r="AQ173" s="18">
        <f t="shared" si="98"/>
        <v>0.05</v>
      </c>
      <c r="AR173" s="9">
        <v>0.56000000000000005</v>
      </c>
      <c r="AS173" s="9">
        <v>0.36</v>
      </c>
      <c r="AT173" s="9">
        <v>7.0000000000000007E-2</v>
      </c>
      <c r="AU173" s="9">
        <v>3.35</v>
      </c>
      <c r="AV173" s="9">
        <v>0.17</v>
      </c>
      <c r="AW173" s="9">
        <f>0.26+1.4+0.3</f>
        <v>1.96</v>
      </c>
      <c r="AX173" s="9">
        <f>2.01+0.4</f>
        <v>2.41</v>
      </c>
      <c r="AY173" s="63">
        <f t="shared" si="124"/>
        <v>23.87</v>
      </c>
      <c r="AZ173" s="64">
        <v>3677.4</v>
      </c>
      <c r="BA173" s="64">
        <v>163.1</v>
      </c>
      <c r="BB173" s="64">
        <f t="shared" si="134"/>
        <v>3840.5</v>
      </c>
      <c r="BC173" s="64">
        <v>23.87</v>
      </c>
      <c r="BD173" s="13">
        <f t="shared" si="122"/>
        <v>0</v>
      </c>
      <c r="BE173" s="9">
        <f t="shared" si="100"/>
        <v>91974.45</v>
      </c>
      <c r="BF173" s="9">
        <v>23.87</v>
      </c>
      <c r="BG173" s="10">
        <v>44378</v>
      </c>
      <c r="BH173" s="9">
        <f t="shared" si="101"/>
        <v>9054.8799999999992</v>
      </c>
      <c r="BI173" s="9">
        <f t="shared" si="102"/>
        <v>16298.78</v>
      </c>
      <c r="BJ173" s="9">
        <f t="shared" si="103"/>
        <v>8746.6299999999992</v>
      </c>
      <c r="BK173" s="9">
        <f t="shared" si="104"/>
        <v>2196.29</v>
      </c>
      <c r="BL173" s="9">
        <f t="shared" si="105"/>
        <v>10711.73</v>
      </c>
      <c r="BM173" s="9">
        <f t="shared" si="106"/>
        <v>577.97</v>
      </c>
      <c r="BN173" s="9">
        <f t="shared" si="107"/>
        <v>8631.0300000000007</v>
      </c>
      <c r="BO173" s="9">
        <f t="shared" si="108"/>
        <v>770.63</v>
      </c>
      <c r="BP173" s="9">
        <f t="shared" si="109"/>
        <v>577.97</v>
      </c>
      <c r="BQ173" s="9">
        <f t="shared" si="110"/>
        <v>192.66</v>
      </c>
      <c r="BR173" s="9">
        <f t="shared" si="111"/>
        <v>2157.7600000000002</v>
      </c>
      <c r="BS173" s="9">
        <f t="shared" si="112"/>
        <v>1387.13</v>
      </c>
      <c r="BT173" s="9">
        <f t="shared" si="113"/>
        <v>269.72000000000003</v>
      </c>
      <c r="BU173" s="9">
        <f t="shared" si="114"/>
        <v>12908.02</v>
      </c>
      <c r="BV173" s="9">
        <f t="shared" si="115"/>
        <v>655.03</v>
      </c>
      <c r="BW173" s="9">
        <f t="shared" si="116"/>
        <v>7552.15</v>
      </c>
      <c r="BX173" s="9">
        <f t="shared" si="117"/>
        <v>9286.07</v>
      </c>
      <c r="BY173" s="17">
        <f t="shared" si="118"/>
        <v>91974.45</v>
      </c>
      <c r="BZ173" s="17">
        <v>3.03</v>
      </c>
      <c r="CA173" s="17">
        <v>0.09</v>
      </c>
      <c r="CB173" s="17">
        <v>0.57999999999999996</v>
      </c>
      <c r="CC173" s="27">
        <v>0.1</v>
      </c>
      <c r="CD173" s="29">
        <v>6.33</v>
      </c>
      <c r="CE173" s="9">
        <v>7544.49</v>
      </c>
      <c r="CF173" s="9"/>
      <c r="CG173" s="9">
        <v>2188.94</v>
      </c>
      <c r="CH173" s="9">
        <v>1316.89</v>
      </c>
      <c r="CI173" s="9">
        <f t="shared" si="129"/>
        <v>1.96</v>
      </c>
      <c r="CJ173" s="9">
        <f t="shared" si="130"/>
        <v>0</v>
      </c>
      <c r="CK173" s="13">
        <f t="shared" si="131"/>
        <v>0.56999999999999995</v>
      </c>
      <c r="CL173" s="13">
        <f t="shared" si="132"/>
        <v>0.34</v>
      </c>
      <c r="CM173" s="13">
        <v>88081.27</v>
      </c>
      <c r="CN173" s="13">
        <v>0</v>
      </c>
      <c r="CO173" s="13">
        <v>1808.02</v>
      </c>
      <c r="CP173" s="13">
        <v>258.25</v>
      </c>
      <c r="CQ173" s="13">
        <v>295.26</v>
      </c>
      <c r="CR173" s="13">
        <v>84567.78</v>
      </c>
      <c r="CS173" s="13">
        <v>9919.8700000000008</v>
      </c>
      <c r="CT173" s="13">
        <v>1648.25</v>
      </c>
      <c r="CU173" s="13">
        <v>686.87</v>
      </c>
      <c r="CV173" s="13">
        <v>528.5</v>
      </c>
      <c r="CW173" s="202">
        <v>3357</v>
      </c>
      <c r="CX173" s="200">
        <v>1926</v>
      </c>
      <c r="CY173" s="202"/>
      <c r="CZ173" s="202"/>
      <c r="DA173" s="202"/>
      <c r="DB173" s="202"/>
      <c r="DC173" s="202"/>
      <c r="DD173" s="461"/>
      <c r="DE173" s="256"/>
      <c r="DF173" s="202"/>
      <c r="DG173" s="202"/>
      <c r="DH173" s="202"/>
      <c r="DI173" s="204">
        <v>562</v>
      </c>
      <c r="DJ173" s="202">
        <v>8600</v>
      </c>
      <c r="DK173" s="202"/>
      <c r="DL173" s="202"/>
      <c r="DM173" s="202"/>
      <c r="DN173" s="202"/>
      <c r="DO173" s="202"/>
      <c r="DP173" s="202">
        <v>24689</v>
      </c>
      <c r="DQ173" s="202">
        <v>3400</v>
      </c>
      <c r="DR173" s="202">
        <v>2</v>
      </c>
      <c r="DS173" s="202"/>
      <c r="DT173" s="254"/>
      <c r="DU173" s="254"/>
      <c r="DV173" s="202"/>
      <c r="DW173" s="202">
        <v>17875</v>
      </c>
      <c r="DX173" s="202"/>
      <c r="DY173" s="107">
        <v>1365</v>
      </c>
      <c r="DZ173" s="107">
        <v>577</v>
      </c>
      <c r="EA173" s="202"/>
      <c r="EB173" s="202"/>
      <c r="EC173" s="202"/>
      <c r="ED173" s="202"/>
      <c r="EE173" s="202"/>
      <c r="EF173" s="229"/>
      <c r="EG173" s="202"/>
      <c r="EH173" s="202"/>
      <c r="EI173" s="202"/>
      <c r="EJ173" s="202"/>
      <c r="EK173" s="202">
        <v>8297.08</v>
      </c>
      <c r="EL173" s="202">
        <v>1898.32</v>
      </c>
      <c r="EM173" s="202">
        <v>270.24</v>
      </c>
      <c r="EN173" s="202">
        <v>326.52999999999997</v>
      </c>
      <c r="EO173" s="202">
        <v>8297.08</v>
      </c>
      <c r="EP173" s="202"/>
      <c r="EQ173" s="202">
        <v>270.24</v>
      </c>
      <c r="ER173" s="202">
        <v>326.52999999999997</v>
      </c>
      <c r="ES173" s="202"/>
      <c r="ET173" s="202"/>
      <c r="EU173" s="202"/>
      <c r="EV173" s="214">
        <f>5+1898.32+176.71</f>
        <v>2080.0300000000002</v>
      </c>
      <c r="EW173" s="240">
        <f t="shared" si="119"/>
        <v>8427.43</v>
      </c>
      <c r="EX173" s="209">
        <f t="shared" si="120"/>
        <v>5485.02</v>
      </c>
    </row>
    <row r="174" spans="1:154" ht="12.75" customHeight="1" x14ac:dyDescent="0.2">
      <c r="A174" s="45" t="s">
        <v>248</v>
      </c>
      <c r="B174" s="60" t="s">
        <v>221</v>
      </c>
      <c r="C174" s="61" t="s">
        <v>44</v>
      </c>
      <c r="D174" s="62" t="s">
        <v>571</v>
      </c>
      <c r="E174" s="61" t="s">
        <v>9</v>
      </c>
      <c r="F174" s="11">
        <v>10</v>
      </c>
      <c r="G174" s="11">
        <v>5</v>
      </c>
      <c r="H174" s="11">
        <v>200</v>
      </c>
      <c r="I174" s="11">
        <v>201</v>
      </c>
      <c r="J174" s="11">
        <v>422</v>
      </c>
      <c r="K174" s="11">
        <v>542</v>
      </c>
      <c r="L174" s="11">
        <v>5</v>
      </c>
      <c r="M174" s="84">
        <v>1209.5</v>
      </c>
      <c r="N174" s="84">
        <v>1178</v>
      </c>
      <c r="O174" s="84">
        <v>0</v>
      </c>
      <c r="P174" s="135">
        <v>1209.5</v>
      </c>
      <c r="Q174" s="135">
        <v>1178</v>
      </c>
      <c r="R174" s="133">
        <v>0</v>
      </c>
      <c r="S174" s="133">
        <f t="shared" si="121"/>
        <v>2387.5</v>
      </c>
      <c r="T174" s="134">
        <v>1209.5</v>
      </c>
      <c r="U174" s="130">
        <v>2.74</v>
      </c>
      <c r="V174" s="131">
        <v>1.1299999999999999E-2</v>
      </c>
      <c r="W174" s="131">
        <v>1.1299999999999999E-2</v>
      </c>
      <c r="X174" s="132">
        <v>7.5000000000000002E-4</v>
      </c>
      <c r="Y174" s="131">
        <v>2.2499999999999999E-2</v>
      </c>
      <c r="Z174" s="29">
        <v>10871.43</v>
      </c>
      <c r="AA174" s="34">
        <v>394.4</v>
      </c>
      <c r="AB174" s="9">
        <f t="shared" si="133"/>
        <v>11265.83</v>
      </c>
      <c r="AC174" s="9">
        <f t="shared" si="135"/>
        <v>71312.7</v>
      </c>
      <c r="AD174" s="9">
        <v>1.47</v>
      </c>
      <c r="AE174" s="9">
        <v>4.7</v>
      </c>
      <c r="AF174" s="21">
        <f>2.44-AJ174</f>
        <v>2.34</v>
      </c>
      <c r="AG174" s="18">
        <f>0.61-AQ174</f>
        <v>0.56000000000000005</v>
      </c>
      <c r="AH174" s="9">
        <v>2.4700000000000002</v>
      </c>
      <c r="AI174" s="43">
        <v>1117</v>
      </c>
      <c r="AJ174" s="21">
        <f t="shared" si="99"/>
        <v>0.1</v>
      </c>
      <c r="AK174" s="9">
        <v>1.91</v>
      </c>
      <c r="AL174" s="9">
        <v>0.52</v>
      </c>
      <c r="AM174" s="9">
        <v>0.05</v>
      </c>
      <c r="AN174" s="13"/>
      <c r="AO174" s="13">
        <v>1168</v>
      </c>
      <c r="AP174" s="13">
        <f t="shared" si="123"/>
        <v>5.58</v>
      </c>
      <c r="AQ174" s="18">
        <f t="shared" si="98"/>
        <v>0.05</v>
      </c>
      <c r="AR174" s="9">
        <v>0.53</v>
      </c>
      <c r="AS174" s="9">
        <v>0.12</v>
      </c>
      <c r="AT174" s="9">
        <v>7.0000000000000007E-2</v>
      </c>
      <c r="AU174" s="9">
        <v>3.76</v>
      </c>
      <c r="AV174" s="9">
        <v>0.16</v>
      </c>
      <c r="AW174" s="9">
        <f>0.26+0.33+1.34</f>
        <v>1.93</v>
      </c>
      <c r="AX174" s="9">
        <f>1.88+0.44</f>
        <v>2.3199999999999998</v>
      </c>
      <c r="AY174" s="63">
        <f t="shared" si="124"/>
        <v>23.06</v>
      </c>
      <c r="AZ174" s="64">
        <v>10872.7</v>
      </c>
      <c r="BA174" s="64">
        <v>394.4</v>
      </c>
      <c r="BB174" s="64">
        <f t="shared" si="134"/>
        <v>11267.1</v>
      </c>
      <c r="BC174" s="64">
        <v>23.06</v>
      </c>
      <c r="BD174" s="13">
        <f t="shared" si="122"/>
        <v>0</v>
      </c>
      <c r="BE174" s="9">
        <f t="shared" si="100"/>
        <v>259790.04</v>
      </c>
      <c r="BF174" s="9">
        <v>23.06</v>
      </c>
      <c r="BG174" s="10">
        <v>44409</v>
      </c>
      <c r="BH174" s="9">
        <f t="shared" si="101"/>
        <v>16560.77</v>
      </c>
      <c r="BI174" s="9">
        <f t="shared" si="102"/>
        <v>52949.4</v>
      </c>
      <c r="BJ174" s="9">
        <f t="shared" si="103"/>
        <v>26362.04</v>
      </c>
      <c r="BK174" s="9">
        <f t="shared" si="104"/>
        <v>6308.86</v>
      </c>
      <c r="BL174" s="9">
        <f t="shared" si="105"/>
        <v>27826.6</v>
      </c>
      <c r="BM174" s="9">
        <f t="shared" si="106"/>
        <v>1126.58</v>
      </c>
      <c r="BN174" s="9">
        <f t="shared" si="107"/>
        <v>21517.74</v>
      </c>
      <c r="BO174" s="9">
        <f t="shared" si="108"/>
        <v>5858.23</v>
      </c>
      <c r="BP174" s="9">
        <f t="shared" si="109"/>
        <v>563.29</v>
      </c>
      <c r="BQ174" s="9">
        <f t="shared" si="110"/>
        <v>563.29</v>
      </c>
      <c r="BR174" s="9">
        <f t="shared" si="111"/>
        <v>5970.89</v>
      </c>
      <c r="BS174" s="9">
        <f t="shared" si="112"/>
        <v>1351.9</v>
      </c>
      <c r="BT174" s="9">
        <f t="shared" si="113"/>
        <v>788.61</v>
      </c>
      <c r="BU174" s="9">
        <f t="shared" si="114"/>
        <v>42359.519999999997</v>
      </c>
      <c r="BV174" s="9">
        <f t="shared" si="115"/>
        <v>1802.53</v>
      </c>
      <c r="BW174" s="9">
        <f t="shared" si="116"/>
        <v>21743.05</v>
      </c>
      <c r="BX174" s="9">
        <f t="shared" si="117"/>
        <v>26136.73</v>
      </c>
      <c r="BY174" s="17">
        <f t="shared" si="118"/>
        <v>259790.03</v>
      </c>
      <c r="BZ174" s="17">
        <v>2.23</v>
      </c>
      <c r="CA174" s="17">
        <v>0.03</v>
      </c>
      <c r="CB174" s="17">
        <v>0.2</v>
      </c>
      <c r="CC174" s="27">
        <v>0.03</v>
      </c>
      <c r="CD174" s="29">
        <v>6.33</v>
      </c>
      <c r="CE174" s="9">
        <v>6243.63</v>
      </c>
      <c r="CF174" s="9"/>
      <c r="CG174" s="9">
        <v>13241.76</v>
      </c>
      <c r="CH174" s="9">
        <v>7125.89</v>
      </c>
      <c r="CI174" s="9">
        <f t="shared" si="129"/>
        <v>0.55000000000000004</v>
      </c>
      <c r="CJ174" s="9">
        <f t="shared" si="130"/>
        <v>0</v>
      </c>
      <c r="CK174" s="13">
        <f t="shared" si="131"/>
        <v>1.18</v>
      </c>
      <c r="CL174" s="13">
        <f t="shared" si="132"/>
        <v>0.63</v>
      </c>
      <c r="CM174" s="13">
        <v>250694.94</v>
      </c>
      <c r="CN174" s="13">
        <v>0</v>
      </c>
      <c r="CO174" s="13">
        <v>0</v>
      </c>
      <c r="CP174" s="13">
        <v>6631.63</v>
      </c>
      <c r="CQ174" s="13">
        <v>3696.4</v>
      </c>
      <c r="CR174" s="13">
        <v>264137.93</v>
      </c>
      <c r="CS174" s="13">
        <v>18541.650000000001</v>
      </c>
      <c r="CT174" s="13">
        <v>14736.36</v>
      </c>
      <c r="CU174" s="13">
        <v>6101.35</v>
      </c>
      <c r="CV174" s="13">
        <v>3392.44</v>
      </c>
      <c r="CW174" s="202">
        <v>9815</v>
      </c>
      <c r="CX174" s="200">
        <v>5631</v>
      </c>
      <c r="CY174" s="202"/>
      <c r="CZ174" s="202"/>
      <c r="DA174" s="202"/>
      <c r="DB174" s="202"/>
      <c r="DC174" s="202"/>
      <c r="DD174" s="461"/>
      <c r="DE174" s="256"/>
      <c r="DF174" s="202"/>
      <c r="DG174" s="202"/>
      <c r="DH174" s="202"/>
      <c r="DI174" s="204">
        <v>1117</v>
      </c>
      <c r="DJ174" s="107">
        <f>21500</f>
        <v>21500</v>
      </c>
      <c r="DK174" s="202"/>
      <c r="DL174" s="202"/>
      <c r="DM174" s="202"/>
      <c r="DN174" s="202"/>
      <c r="DO174" s="202"/>
      <c r="DP174" s="202">
        <v>68017</v>
      </c>
      <c r="DQ174" s="202">
        <v>1870</v>
      </c>
      <c r="DR174" s="202">
        <v>1.1000000000000001</v>
      </c>
      <c r="DS174" s="202"/>
      <c r="DT174" s="254"/>
      <c r="DU174" s="254"/>
      <c r="DV174" s="202"/>
      <c r="DW174" s="202">
        <v>50207</v>
      </c>
      <c r="DX174" s="202"/>
      <c r="DY174" s="107">
        <v>1365</v>
      </c>
      <c r="DZ174" s="107">
        <v>577</v>
      </c>
      <c r="EA174" s="202"/>
      <c r="EB174" s="202"/>
      <c r="EC174" s="202"/>
      <c r="ED174" s="202"/>
      <c r="EE174" s="202"/>
      <c r="EF174" s="229"/>
      <c r="EG174" s="202"/>
      <c r="EH174" s="202"/>
      <c r="EI174" s="202"/>
      <c r="EJ174" s="202"/>
      <c r="EK174" s="202">
        <v>14992.73</v>
      </c>
      <c r="EL174" s="202">
        <v>0</v>
      </c>
      <c r="EM174" s="202">
        <v>6918.14</v>
      </c>
      <c r="EN174" s="202">
        <v>3815.25</v>
      </c>
      <c r="EO174" s="202">
        <v>14992.73</v>
      </c>
      <c r="EP174" s="202"/>
      <c r="EQ174" s="202">
        <v>6918.14</v>
      </c>
      <c r="ER174" s="202">
        <v>3815.25</v>
      </c>
      <c r="ES174" s="202"/>
      <c r="ET174" s="202"/>
      <c r="EU174" s="202"/>
      <c r="EV174" s="214">
        <f>96.6+33276.04</f>
        <v>33372.639999999999</v>
      </c>
      <c r="EW174" s="240">
        <f t="shared" si="119"/>
        <v>24640.17</v>
      </c>
      <c r="EX174" s="209">
        <f t="shared" si="120"/>
        <v>16037.13</v>
      </c>
    </row>
    <row r="175" spans="1:154" ht="12.75" customHeight="1" x14ac:dyDescent="0.2">
      <c r="A175" s="45" t="s">
        <v>250</v>
      </c>
      <c r="B175" s="60" t="s">
        <v>221</v>
      </c>
      <c r="C175" s="61" t="s">
        <v>46</v>
      </c>
      <c r="D175" s="62" t="s">
        <v>474</v>
      </c>
      <c r="E175" s="61" t="s">
        <v>12</v>
      </c>
      <c r="F175" s="11">
        <v>9</v>
      </c>
      <c r="G175" s="11">
        <v>2</v>
      </c>
      <c r="H175" s="11">
        <v>72</v>
      </c>
      <c r="I175" s="11">
        <v>72</v>
      </c>
      <c r="J175" s="11">
        <v>146</v>
      </c>
      <c r="K175" s="11">
        <v>196</v>
      </c>
      <c r="L175" s="11">
        <v>2</v>
      </c>
      <c r="M175" s="84">
        <v>600.29999999999995</v>
      </c>
      <c r="N175" s="84">
        <v>621.20000000000005</v>
      </c>
      <c r="O175" s="84">
        <v>0</v>
      </c>
      <c r="P175" s="135">
        <v>600.29999999999995</v>
      </c>
      <c r="Q175" s="135">
        <v>621.20000000000005</v>
      </c>
      <c r="R175" s="133">
        <v>0</v>
      </c>
      <c r="S175" s="133">
        <f t="shared" si="121"/>
        <v>1221.5</v>
      </c>
      <c r="T175" s="134">
        <v>600.29999999999995</v>
      </c>
      <c r="U175" s="130">
        <v>2.44</v>
      </c>
      <c r="V175" s="131">
        <v>1.9800000000000002E-2</v>
      </c>
      <c r="W175" s="131">
        <v>1.9800000000000002E-2</v>
      </c>
      <c r="X175" s="132">
        <v>1.32E-3</v>
      </c>
      <c r="Y175" s="131">
        <v>3.9699999999999999E-2</v>
      </c>
      <c r="Z175" s="29">
        <v>3453.07</v>
      </c>
      <c r="AA175" s="34">
        <v>382</v>
      </c>
      <c r="AB175" s="9">
        <f t="shared" si="133"/>
        <v>3835.07</v>
      </c>
      <c r="AC175" s="9">
        <f t="shared" si="135"/>
        <v>24275.99</v>
      </c>
      <c r="AD175" s="9">
        <v>2.15</v>
      </c>
      <c r="AE175" s="9">
        <v>4.2</v>
      </c>
      <c r="AF175" s="21">
        <f>2.49-AJ175</f>
        <v>2.34</v>
      </c>
      <c r="AG175" s="18">
        <f>0.62-AQ175</f>
        <v>0.56999999999999995</v>
      </c>
      <c r="AH175" s="9">
        <v>2.78</v>
      </c>
      <c r="AI175" s="43">
        <v>559</v>
      </c>
      <c r="AJ175" s="21">
        <f t="shared" si="99"/>
        <v>0.15</v>
      </c>
      <c r="AK175" s="9">
        <v>2.25</v>
      </c>
      <c r="AL175" s="9">
        <v>0.2</v>
      </c>
      <c r="AM175" s="9">
        <v>0.15</v>
      </c>
      <c r="AN175" s="13"/>
      <c r="AO175" s="13">
        <v>422.4</v>
      </c>
      <c r="AP175" s="13">
        <f t="shared" si="123"/>
        <v>5.58</v>
      </c>
      <c r="AQ175" s="18">
        <f t="shared" si="98"/>
        <v>0.05</v>
      </c>
      <c r="AR175" s="9">
        <v>0.54</v>
      </c>
      <c r="AS175" s="9">
        <v>0.36</v>
      </c>
      <c r="AT175" s="9">
        <v>7.0000000000000007E-2</v>
      </c>
      <c r="AU175" s="9">
        <v>3.87</v>
      </c>
      <c r="AV175" s="9">
        <v>0.17</v>
      </c>
      <c r="AW175" s="9">
        <f>1.42+0.27+0.32</f>
        <v>2.0099999999999998</v>
      </c>
      <c r="AX175" s="9">
        <f>2+0.46</f>
        <v>2.46</v>
      </c>
      <c r="AY175" s="63">
        <f t="shared" si="124"/>
        <v>24.32</v>
      </c>
      <c r="AZ175" s="64">
        <v>3497.8</v>
      </c>
      <c r="BA175" s="64">
        <v>326</v>
      </c>
      <c r="BB175" s="64">
        <f t="shared" si="134"/>
        <v>3823.8</v>
      </c>
      <c r="BC175" s="64">
        <v>24.32</v>
      </c>
      <c r="BD175" s="13">
        <f t="shared" si="122"/>
        <v>0</v>
      </c>
      <c r="BE175" s="9">
        <f t="shared" si="100"/>
        <v>93268.9</v>
      </c>
      <c r="BF175" s="9">
        <v>24.32</v>
      </c>
      <c r="BG175" s="10">
        <v>44378</v>
      </c>
      <c r="BH175" s="9">
        <f t="shared" si="101"/>
        <v>8245.4</v>
      </c>
      <c r="BI175" s="9">
        <f t="shared" si="102"/>
        <v>16107.29</v>
      </c>
      <c r="BJ175" s="9">
        <f t="shared" si="103"/>
        <v>8974.06</v>
      </c>
      <c r="BK175" s="9">
        <f t="shared" si="104"/>
        <v>2185.9899999999998</v>
      </c>
      <c r="BL175" s="9">
        <f t="shared" si="105"/>
        <v>10661.49</v>
      </c>
      <c r="BM175" s="9">
        <f t="shared" si="106"/>
        <v>575.26</v>
      </c>
      <c r="BN175" s="9">
        <f t="shared" si="107"/>
        <v>8628.91</v>
      </c>
      <c r="BO175" s="9">
        <f t="shared" si="108"/>
        <v>767.01</v>
      </c>
      <c r="BP175" s="9">
        <f t="shared" si="109"/>
        <v>575.26</v>
      </c>
      <c r="BQ175" s="9">
        <f t="shared" si="110"/>
        <v>191.75</v>
      </c>
      <c r="BR175" s="9">
        <f t="shared" si="111"/>
        <v>2070.94</v>
      </c>
      <c r="BS175" s="9">
        <f t="shared" si="112"/>
        <v>1380.63</v>
      </c>
      <c r="BT175" s="9">
        <f t="shared" si="113"/>
        <v>268.45</v>
      </c>
      <c r="BU175" s="9">
        <f t="shared" si="114"/>
        <v>14841.72</v>
      </c>
      <c r="BV175" s="9">
        <f t="shared" si="115"/>
        <v>651.96</v>
      </c>
      <c r="BW175" s="9">
        <f t="shared" si="116"/>
        <v>7708.49</v>
      </c>
      <c r="BX175" s="9">
        <f t="shared" si="117"/>
        <v>9434.27</v>
      </c>
      <c r="BY175" s="17">
        <f t="shared" si="118"/>
        <v>93268.88</v>
      </c>
      <c r="BZ175" s="17">
        <v>2.98</v>
      </c>
      <c r="CA175" s="17">
        <v>0.08</v>
      </c>
      <c r="CB175" s="17">
        <v>0.53</v>
      </c>
      <c r="CC175" s="27">
        <v>0.09</v>
      </c>
      <c r="CD175" s="29">
        <v>6.33</v>
      </c>
      <c r="CE175" s="9">
        <v>12751.64</v>
      </c>
      <c r="CF175" s="9"/>
      <c r="CG175" s="9">
        <v>2756.45</v>
      </c>
      <c r="CH175" s="9">
        <v>1611.26</v>
      </c>
      <c r="CI175" s="9">
        <f t="shared" si="129"/>
        <v>3.33</v>
      </c>
      <c r="CJ175" s="9">
        <f t="shared" si="130"/>
        <v>0</v>
      </c>
      <c r="CK175" s="13">
        <f t="shared" si="131"/>
        <v>0.72</v>
      </c>
      <c r="CL175" s="13">
        <f t="shared" si="132"/>
        <v>0.42</v>
      </c>
      <c r="CM175" s="13">
        <v>83978.66</v>
      </c>
      <c r="CN175" s="13">
        <v>517.84</v>
      </c>
      <c r="CO175" s="13">
        <v>0</v>
      </c>
      <c r="CP175" s="13">
        <v>3763.82</v>
      </c>
      <c r="CQ175" s="13">
        <v>2140.91</v>
      </c>
      <c r="CR175" s="13">
        <v>86560.97</v>
      </c>
      <c r="CS175" s="13">
        <v>3488.61</v>
      </c>
      <c r="CT175" s="13">
        <v>201.02</v>
      </c>
      <c r="CU175" s="13">
        <v>2541.42</v>
      </c>
      <c r="CV175" s="13">
        <v>1496.6</v>
      </c>
      <c r="CW175" s="202">
        <v>3341</v>
      </c>
      <c r="CX175" s="200">
        <v>1917</v>
      </c>
      <c r="CY175" s="202"/>
      <c r="CZ175" s="202"/>
      <c r="DA175" s="202"/>
      <c r="DB175" s="202"/>
      <c r="DC175" s="202"/>
      <c r="DD175" s="461"/>
      <c r="DE175" s="256"/>
      <c r="DF175" s="202"/>
      <c r="DG175" s="202"/>
      <c r="DH175" s="202"/>
      <c r="DI175" s="204">
        <v>559</v>
      </c>
      <c r="DJ175" s="202">
        <v>8600</v>
      </c>
      <c r="DK175" s="202"/>
      <c r="DL175" s="202"/>
      <c r="DM175" s="202"/>
      <c r="DN175" s="202"/>
      <c r="DO175" s="202"/>
      <c r="DP175" s="202">
        <v>23760</v>
      </c>
      <c r="DQ175" s="202">
        <v>1870</v>
      </c>
      <c r="DR175" s="202">
        <v>1.1000000000000001</v>
      </c>
      <c r="DS175" s="202"/>
      <c r="DT175" s="254"/>
      <c r="DU175" s="254"/>
      <c r="DV175" s="202"/>
      <c r="DW175" s="202">
        <v>18041</v>
      </c>
      <c r="DX175" s="202"/>
      <c r="DY175" s="107">
        <v>1365</v>
      </c>
      <c r="DZ175" s="107">
        <v>577</v>
      </c>
      <c r="EA175" s="202">
        <v>11320.58</v>
      </c>
      <c r="EB175" s="202"/>
      <c r="EC175" s="202"/>
      <c r="ED175" s="202"/>
      <c r="EE175" s="202"/>
      <c r="EF175" s="229"/>
      <c r="EG175" s="202"/>
      <c r="EH175" s="202"/>
      <c r="EI175" s="202"/>
      <c r="EJ175" s="202"/>
      <c r="EK175" s="202">
        <v>571.04999999999995</v>
      </c>
      <c r="EL175" s="202">
        <v>0</v>
      </c>
      <c r="EM175" s="202">
        <v>4188.72</v>
      </c>
      <c r="EN175" s="202">
        <v>2361.1</v>
      </c>
      <c r="EO175" s="202">
        <v>571.04999999999995</v>
      </c>
      <c r="EP175" s="202"/>
      <c r="EQ175" s="202">
        <v>4188.72</v>
      </c>
      <c r="ER175" s="202">
        <v>2361.1</v>
      </c>
      <c r="ES175" s="202"/>
      <c r="ET175" s="202"/>
      <c r="EU175" s="202"/>
      <c r="EV175" s="214">
        <v>34.200000000000003</v>
      </c>
      <c r="EW175" s="240">
        <f t="shared" si="119"/>
        <v>8387.91</v>
      </c>
      <c r="EX175" s="209">
        <f t="shared" si="120"/>
        <v>5459.3</v>
      </c>
    </row>
    <row r="176" spans="1:154" ht="12.75" customHeight="1" x14ac:dyDescent="0.2">
      <c r="A176" s="45" t="s">
        <v>252</v>
      </c>
      <c r="B176" s="60" t="s">
        <v>221</v>
      </c>
      <c r="C176" s="61" t="s">
        <v>46</v>
      </c>
      <c r="D176" s="62" t="s">
        <v>572</v>
      </c>
      <c r="E176" s="61" t="s">
        <v>9</v>
      </c>
      <c r="F176" s="11">
        <v>9</v>
      </c>
      <c r="G176" s="11">
        <v>2</v>
      </c>
      <c r="H176" s="11">
        <v>72</v>
      </c>
      <c r="I176" s="11">
        <v>72</v>
      </c>
      <c r="J176" s="11">
        <v>166</v>
      </c>
      <c r="K176" s="11">
        <v>198</v>
      </c>
      <c r="L176" s="83">
        <v>2</v>
      </c>
      <c r="M176" s="84">
        <v>600.29999999999995</v>
      </c>
      <c r="N176" s="84">
        <v>582.9</v>
      </c>
      <c r="O176" s="84">
        <v>0</v>
      </c>
      <c r="P176" s="135">
        <v>666.8</v>
      </c>
      <c r="Q176" s="135">
        <v>587.70000000000005</v>
      </c>
      <c r="R176" s="133">
        <v>0</v>
      </c>
      <c r="S176" s="133">
        <f t="shared" si="121"/>
        <v>1254.5</v>
      </c>
      <c r="T176" s="134">
        <v>666.8</v>
      </c>
      <c r="U176" s="130">
        <v>2.44</v>
      </c>
      <c r="V176" s="131">
        <v>1.9800000000000002E-2</v>
      </c>
      <c r="W176" s="131">
        <v>1.9800000000000002E-2</v>
      </c>
      <c r="X176" s="132">
        <v>1.32E-3</v>
      </c>
      <c r="Y176" s="131">
        <v>3.9699999999999999E-2</v>
      </c>
      <c r="Z176" s="29">
        <v>3812.43</v>
      </c>
      <c r="AA176" s="34">
        <v>55.7</v>
      </c>
      <c r="AB176" s="9">
        <f t="shared" si="133"/>
        <v>3868.13</v>
      </c>
      <c r="AC176" s="9">
        <f t="shared" si="135"/>
        <v>24485.26</v>
      </c>
      <c r="AD176" s="9">
        <v>2.2000000000000002</v>
      </c>
      <c r="AE176" s="9">
        <v>4.4400000000000004</v>
      </c>
      <c r="AF176" s="21">
        <f>2.47-AJ176</f>
        <v>2.33</v>
      </c>
      <c r="AG176" s="18">
        <f>0.62-AQ176</f>
        <v>0.56999999999999995</v>
      </c>
      <c r="AH176" s="9">
        <v>2.78</v>
      </c>
      <c r="AI176" s="43">
        <v>559</v>
      </c>
      <c r="AJ176" s="21">
        <f t="shared" si="99"/>
        <v>0.14000000000000001</v>
      </c>
      <c r="AK176" s="9">
        <v>2.23</v>
      </c>
      <c r="AL176" s="9">
        <v>0.19</v>
      </c>
      <c r="AM176" s="9">
        <v>0.15</v>
      </c>
      <c r="AN176" s="13"/>
      <c r="AO176" s="13">
        <v>422.4</v>
      </c>
      <c r="AP176" s="13">
        <f t="shared" si="123"/>
        <v>5.58</v>
      </c>
      <c r="AQ176" s="18">
        <f t="shared" si="98"/>
        <v>0.05</v>
      </c>
      <c r="AR176" s="9">
        <v>0.56999999999999995</v>
      </c>
      <c r="AS176" s="9">
        <v>0.35</v>
      </c>
      <c r="AT176" s="9">
        <v>7.0000000000000007E-2</v>
      </c>
      <c r="AU176" s="9">
        <v>3.86</v>
      </c>
      <c r="AV176" s="9">
        <v>0.17</v>
      </c>
      <c r="AW176" s="9">
        <f>0.26+1.44+0.33</f>
        <v>2.0299999999999998</v>
      </c>
      <c r="AX176" s="9">
        <f>2.03+0.46</f>
        <v>2.4900000000000002</v>
      </c>
      <c r="AY176" s="63">
        <f t="shared" si="124"/>
        <v>24.62</v>
      </c>
      <c r="AZ176" s="64">
        <v>3807.5</v>
      </c>
      <c r="BA176" s="64">
        <v>55.7</v>
      </c>
      <c r="BB176" s="64">
        <f t="shared" si="134"/>
        <v>3863.2</v>
      </c>
      <c r="BC176" s="64">
        <v>24.62</v>
      </c>
      <c r="BD176" s="13">
        <f t="shared" si="122"/>
        <v>0</v>
      </c>
      <c r="BE176" s="9">
        <f t="shared" si="100"/>
        <v>95233.36</v>
      </c>
      <c r="BF176" s="9">
        <v>24.62</v>
      </c>
      <c r="BG176" s="10">
        <v>44378</v>
      </c>
      <c r="BH176" s="9">
        <f t="shared" si="101"/>
        <v>8509.89</v>
      </c>
      <c r="BI176" s="9">
        <f t="shared" si="102"/>
        <v>17174.5</v>
      </c>
      <c r="BJ176" s="9">
        <f t="shared" si="103"/>
        <v>9012.74</v>
      </c>
      <c r="BK176" s="9">
        <f t="shared" si="104"/>
        <v>2204.83</v>
      </c>
      <c r="BL176" s="9">
        <f t="shared" si="105"/>
        <v>10753.4</v>
      </c>
      <c r="BM176" s="9">
        <f t="shared" si="106"/>
        <v>541.54</v>
      </c>
      <c r="BN176" s="9">
        <f t="shared" si="107"/>
        <v>8625.93</v>
      </c>
      <c r="BO176" s="9">
        <f t="shared" si="108"/>
        <v>734.94</v>
      </c>
      <c r="BP176" s="9">
        <f t="shared" si="109"/>
        <v>580.22</v>
      </c>
      <c r="BQ176" s="9">
        <f t="shared" si="110"/>
        <v>193.41</v>
      </c>
      <c r="BR176" s="9">
        <f t="shared" si="111"/>
        <v>2204.83</v>
      </c>
      <c r="BS176" s="9">
        <f t="shared" si="112"/>
        <v>1353.85</v>
      </c>
      <c r="BT176" s="9">
        <f t="shared" si="113"/>
        <v>270.77</v>
      </c>
      <c r="BU176" s="9">
        <f t="shared" si="114"/>
        <v>14930.98</v>
      </c>
      <c r="BV176" s="9">
        <f t="shared" si="115"/>
        <v>657.58</v>
      </c>
      <c r="BW176" s="9">
        <f t="shared" si="116"/>
        <v>7852.3</v>
      </c>
      <c r="BX176" s="9">
        <f t="shared" si="117"/>
        <v>9631.64</v>
      </c>
      <c r="BY176" s="17">
        <f t="shared" si="118"/>
        <v>95233.35</v>
      </c>
      <c r="BZ176" s="17">
        <v>3.07</v>
      </c>
      <c r="CA176" s="17">
        <v>0.09</v>
      </c>
      <c r="CB176" s="17">
        <v>0.59</v>
      </c>
      <c r="CC176" s="27">
        <v>0.1</v>
      </c>
      <c r="CD176" s="29">
        <v>6.33</v>
      </c>
      <c r="CE176" s="9">
        <v>24764.97</v>
      </c>
      <c r="CF176" s="9"/>
      <c r="CG176" s="9">
        <v>0</v>
      </c>
      <c r="CH176" s="9">
        <v>168.16</v>
      </c>
      <c r="CI176" s="9">
        <f t="shared" si="129"/>
        <v>6.4</v>
      </c>
      <c r="CJ176" s="9">
        <f t="shared" si="130"/>
        <v>0</v>
      </c>
      <c r="CK176" s="13">
        <f t="shared" si="131"/>
        <v>0</v>
      </c>
      <c r="CL176" s="13">
        <f t="shared" si="132"/>
        <v>0.04</v>
      </c>
      <c r="CM176" s="13">
        <v>93861.98</v>
      </c>
      <c r="CN176" s="13">
        <v>13381.62</v>
      </c>
      <c r="CO176" s="13">
        <v>10751.01</v>
      </c>
      <c r="CP176" s="13">
        <v>0</v>
      </c>
      <c r="CQ176" s="13">
        <v>190.48</v>
      </c>
      <c r="CR176" s="13">
        <v>100247.16</v>
      </c>
      <c r="CS176" s="13">
        <v>12764.42</v>
      </c>
      <c r="CT176" s="13">
        <v>11435.57</v>
      </c>
      <c r="CU176" s="13">
        <v>27.02</v>
      </c>
      <c r="CV176" s="13">
        <v>204.98</v>
      </c>
      <c r="CW176" s="202">
        <v>3370</v>
      </c>
      <c r="CX176" s="200">
        <v>1933</v>
      </c>
      <c r="CY176" s="202"/>
      <c r="CZ176" s="202"/>
      <c r="DA176" s="202"/>
      <c r="DB176" s="202"/>
      <c r="DC176" s="202"/>
      <c r="DD176" s="461"/>
      <c r="DE176" s="256"/>
      <c r="DF176" s="202"/>
      <c r="DG176" s="202"/>
      <c r="DH176" s="202"/>
      <c r="DI176" s="204">
        <v>559</v>
      </c>
      <c r="DJ176" s="202">
        <v>8600</v>
      </c>
      <c r="DK176" s="202"/>
      <c r="DL176" s="202"/>
      <c r="DM176" s="202"/>
      <c r="DN176" s="202"/>
      <c r="DO176" s="202"/>
      <c r="DP176" s="202">
        <v>25050</v>
      </c>
      <c r="DQ176" s="202">
        <v>1870</v>
      </c>
      <c r="DR176" s="202">
        <v>1.1000000000000001</v>
      </c>
      <c r="DS176" s="202"/>
      <c r="DT176" s="254"/>
      <c r="DU176" s="254"/>
      <c r="DV176" s="202"/>
      <c r="DW176" s="202">
        <v>18174</v>
      </c>
      <c r="DX176" s="202"/>
      <c r="DY176" s="107">
        <v>1365</v>
      </c>
      <c r="DZ176" s="107">
        <v>577</v>
      </c>
      <c r="EA176" s="202"/>
      <c r="EB176" s="202"/>
      <c r="EC176" s="202"/>
      <c r="ED176" s="202"/>
      <c r="EE176" s="202"/>
      <c r="EF176" s="229"/>
      <c r="EG176" s="202"/>
      <c r="EH176" s="202"/>
      <c r="EI176" s="202"/>
      <c r="EJ176" s="202"/>
      <c r="EK176" s="202">
        <v>13585.35</v>
      </c>
      <c r="EL176" s="202">
        <v>7036.5</v>
      </c>
      <c r="EM176" s="202">
        <v>0</v>
      </c>
      <c r="EN176" s="202">
        <v>186.79</v>
      </c>
      <c r="EO176" s="202">
        <v>13585.35</v>
      </c>
      <c r="EP176" s="202"/>
      <c r="EQ176" s="202">
        <v>0</v>
      </c>
      <c r="ER176" s="202">
        <v>186.79</v>
      </c>
      <c r="ES176" s="202"/>
      <c r="ET176" s="202">
        <v>37.24</v>
      </c>
      <c r="EU176" s="202"/>
      <c r="EV176" s="214">
        <f>-11.12+5455.96</f>
        <v>5444.84</v>
      </c>
      <c r="EW176" s="240">
        <f t="shared" si="119"/>
        <v>8460.2199999999993</v>
      </c>
      <c r="EX176" s="209">
        <f t="shared" si="120"/>
        <v>5506.36</v>
      </c>
    </row>
    <row r="177" spans="1:154" ht="12.75" customHeight="1" x14ac:dyDescent="0.2">
      <c r="A177" s="45" t="s">
        <v>254</v>
      </c>
      <c r="B177" s="66" t="s">
        <v>221</v>
      </c>
      <c r="C177" s="67" t="s">
        <v>48</v>
      </c>
      <c r="D177" s="68" t="s">
        <v>475</v>
      </c>
      <c r="E177" s="67" t="s">
        <v>12</v>
      </c>
      <c r="F177" s="11">
        <v>5</v>
      </c>
      <c r="G177" s="11">
        <v>5</v>
      </c>
      <c r="H177" s="11">
        <v>85</v>
      </c>
      <c r="I177" s="11">
        <v>85</v>
      </c>
      <c r="J177" s="11">
        <v>159</v>
      </c>
      <c r="K177" s="11">
        <v>207</v>
      </c>
      <c r="L177" s="11" t="s">
        <v>746</v>
      </c>
      <c r="M177" s="84">
        <v>412.5</v>
      </c>
      <c r="N177" s="84">
        <v>928.3</v>
      </c>
      <c r="O177" s="84">
        <v>0</v>
      </c>
      <c r="P177" s="135">
        <v>412.5</v>
      </c>
      <c r="Q177" s="135">
        <v>928.3</v>
      </c>
      <c r="R177" s="133">
        <v>0</v>
      </c>
      <c r="S177" s="133">
        <f t="shared" si="121"/>
        <v>1340.8</v>
      </c>
      <c r="T177" s="134">
        <v>412.5</v>
      </c>
      <c r="U177" s="130">
        <v>1.53</v>
      </c>
      <c r="V177" s="131">
        <v>1.9800000000000002E-2</v>
      </c>
      <c r="W177" s="131">
        <v>1.9800000000000002E-2</v>
      </c>
      <c r="X177" s="132">
        <v>1.2199999999999999E-3</v>
      </c>
      <c r="Y177" s="131">
        <v>3.95E-2</v>
      </c>
      <c r="Z177" s="29">
        <v>3558.46</v>
      </c>
      <c r="AA177" s="34">
        <v>901.8</v>
      </c>
      <c r="AB177" s="9">
        <f t="shared" si="133"/>
        <v>4460.26</v>
      </c>
      <c r="AC177" s="9">
        <f t="shared" si="135"/>
        <v>28233.45</v>
      </c>
      <c r="AD177" s="9">
        <v>0.46</v>
      </c>
      <c r="AE177" s="9">
        <v>4.66</v>
      </c>
      <c r="AF177" s="21">
        <f>2.43-AJ177</f>
        <v>2.19</v>
      </c>
      <c r="AG177" s="18">
        <f>0.56-AQ177</f>
        <v>0.5</v>
      </c>
      <c r="AH177" s="9">
        <v>2.78</v>
      </c>
      <c r="AI177" s="43">
        <v>1064</v>
      </c>
      <c r="AJ177" s="21">
        <f t="shared" si="99"/>
        <v>0.24</v>
      </c>
      <c r="AK177" s="9">
        <v>0</v>
      </c>
      <c r="AL177" s="9">
        <v>0</v>
      </c>
      <c r="AM177" s="9">
        <v>0.13</v>
      </c>
      <c r="AN177" s="13"/>
      <c r="AO177" s="13">
        <v>531</v>
      </c>
      <c r="AP177" s="13">
        <f t="shared" si="123"/>
        <v>5.58</v>
      </c>
      <c r="AQ177" s="18">
        <f t="shared" si="98"/>
        <v>0.06</v>
      </c>
      <c r="AR177" s="9">
        <v>0.54</v>
      </c>
      <c r="AS177" s="9">
        <v>0.31</v>
      </c>
      <c r="AT177" s="9">
        <v>7.0000000000000007E-2</v>
      </c>
      <c r="AU177" s="9">
        <v>4.0999999999999996</v>
      </c>
      <c r="AV177" s="9">
        <v>0.12</v>
      </c>
      <c r="AW177" s="9">
        <f>1.07+0.32+0.36</f>
        <v>1.75</v>
      </c>
      <c r="AX177" s="9">
        <f>1.46+0.48</f>
        <v>1.94</v>
      </c>
      <c r="AY177" s="69">
        <f t="shared" si="124"/>
        <v>19.850000000000001</v>
      </c>
      <c r="AZ177" s="70">
        <v>3546.2</v>
      </c>
      <c r="BA177" s="70">
        <v>901.8</v>
      </c>
      <c r="BB177" s="70">
        <f t="shared" si="134"/>
        <v>4448</v>
      </c>
      <c r="BC177" s="70">
        <v>19.850000000000001</v>
      </c>
      <c r="BD177" s="13">
        <f t="shared" si="122"/>
        <v>0</v>
      </c>
      <c r="BE177" s="9">
        <f t="shared" si="100"/>
        <v>88536.16</v>
      </c>
      <c r="BF177" s="9">
        <v>19.850000000000001</v>
      </c>
      <c r="BG177" s="10">
        <v>44409</v>
      </c>
      <c r="BH177" s="9">
        <f t="shared" si="101"/>
        <v>2051.7199999999998</v>
      </c>
      <c r="BI177" s="9">
        <f t="shared" si="102"/>
        <v>20784.810000000001</v>
      </c>
      <c r="BJ177" s="9">
        <f t="shared" si="103"/>
        <v>9767.9699999999993</v>
      </c>
      <c r="BK177" s="9">
        <f t="shared" si="104"/>
        <v>2230.13</v>
      </c>
      <c r="BL177" s="9">
        <f t="shared" si="105"/>
        <v>12399.52</v>
      </c>
      <c r="BM177" s="9">
        <f t="shared" si="106"/>
        <v>1070.46</v>
      </c>
      <c r="BN177" s="9">
        <f t="shared" si="107"/>
        <v>0</v>
      </c>
      <c r="BO177" s="9">
        <f t="shared" si="108"/>
        <v>0</v>
      </c>
      <c r="BP177" s="9">
        <f t="shared" si="109"/>
        <v>579.83000000000004</v>
      </c>
      <c r="BQ177" s="9">
        <f t="shared" si="110"/>
        <v>267.62</v>
      </c>
      <c r="BR177" s="9">
        <f t="shared" si="111"/>
        <v>2408.54</v>
      </c>
      <c r="BS177" s="9">
        <f t="shared" si="112"/>
        <v>1382.68</v>
      </c>
      <c r="BT177" s="9">
        <f t="shared" si="113"/>
        <v>312.22000000000003</v>
      </c>
      <c r="BU177" s="9">
        <f t="shared" si="114"/>
        <v>18287.07</v>
      </c>
      <c r="BV177" s="9">
        <f t="shared" si="115"/>
        <v>535.23</v>
      </c>
      <c r="BW177" s="9">
        <f t="shared" si="116"/>
        <v>7805.46</v>
      </c>
      <c r="BX177" s="9">
        <f t="shared" si="117"/>
        <v>8652.9</v>
      </c>
      <c r="BY177" s="17">
        <f t="shared" si="118"/>
        <v>88536.16</v>
      </c>
      <c r="BZ177" s="17">
        <v>1.78</v>
      </c>
      <c r="CA177" s="17">
        <v>0.05</v>
      </c>
      <c r="CB177" s="17">
        <v>0.28999999999999998</v>
      </c>
      <c r="CC177" s="27">
        <v>0.05</v>
      </c>
      <c r="CD177" s="29">
        <v>6.33</v>
      </c>
      <c r="CE177" s="9">
        <v>8040.28</v>
      </c>
      <c r="CF177" s="9"/>
      <c r="CG177" s="9">
        <v>1297.1500000000001</v>
      </c>
      <c r="CH177" s="9">
        <v>964.43</v>
      </c>
      <c r="CI177" s="9">
        <f t="shared" si="129"/>
        <v>1.8</v>
      </c>
      <c r="CJ177" s="9">
        <f t="shared" si="130"/>
        <v>0</v>
      </c>
      <c r="CK177" s="13">
        <f t="shared" si="131"/>
        <v>0.28999999999999998</v>
      </c>
      <c r="CL177" s="13">
        <f t="shared" si="132"/>
        <v>0.22</v>
      </c>
      <c r="CM177" s="13">
        <v>70635.539999999994</v>
      </c>
      <c r="CN177" s="13">
        <v>3344.92</v>
      </c>
      <c r="CO177" s="13">
        <v>2882.39</v>
      </c>
      <c r="CP177" s="13">
        <v>284.64</v>
      </c>
      <c r="CQ177" s="13">
        <v>355.86</v>
      </c>
      <c r="CR177" s="13">
        <v>84319.11</v>
      </c>
      <c r="CS177" s="13">
        <v>5587.02</v>
      </c>
      <c r="CT177" s="13">
        <v>1210.28</v>
      </c>
      <c r="CU177" s="13">
        <v>323.97000000000003</v>
      </c>
      <c r="CV177" s="13">
        <v>344.47</v>
      </c>
      <c r="CW177" s="202">
        <v>3886</v>
      </c>
      <c r="CX177" s="200">
        <v>2229</v>
      </c>
      <c r="CY177" s="202"/>
      <c r="CZ177" s="202"/>
      <c r="DA177" s="202"/>
      <c r="DB177" s="202"/>
      <c r="DC177" s="202"/>
      <c r="DD177" s="461"/>
      <c r="DE177" s="256"/>
      <c r="DF177" s="202"/>
      <c r="DG177" s="202"/>
      <c r="DH177" s="202"/>
      <c r="DI177" s="204">
        <v>1064</v>
      </c>
      <c r="DJ177" s="202"/>
      <c r="DK177" s="202"/>
      <c r="DL177" s="202"/>
      <c r="DM177" s="202"/>
      <c r="DN177" s="202"/>
      <c r="DO177" s="202"/>
      <c r="DP177" s="202">
        <v>22338</v>
      </c>
      <c r="DQ177" s="202">
        <v>1870</v>
      </c>
      <c r="DR177" s="202">
        <v>1.1000000000000001</v>
      </c>
      <c r="DS177" s="202">
        <v>20430</v>
      </c>
      <c r="DT177" s="254">
        <v>678</v>
      </c>
      <c r="DU177" s="254">
        <v>348</v>
      </c>
      <c r="DV177" s="202"/>
      <c r="DW177" s="202">
        <v>20200</v>
      </c>
      <c r="DX177" s="202"/>
      <c r="DY177" s="107">
        <v>1365</v>
      </c>
      <c r="DZ177" s="107">
        <v>577</v>
      </c>
      <c r="EA177" s="202">
        <v>5113.47</v>
      </c>
      <c r="EB177" s="202"/>
      <c r="EC177" s="202"/>
      <c r="ED177" s="202"/>
      <c r="EE177" s="202"/>
      <c r="EF177" s="229"/>
      <c r="EG177" s="202"/>
      <c r="EH177" s="202"/>
      <c r="EI177" s="202"/>
      <c r="EJ177" s="202"/>
      <c r="EK177" s="202">
        <v>4204.04</v>
      </c>
      <c r="EL177" s="202">
        <v>3629.23</v>
      </c>
      <c r="EM177" s="202">
        <v>378.34</v>
      </c>
      <c r="EN177" s="202">
        <v>426.81</v>
      </c>
      <c r="EO177" s="202">
        <v>4204.04</v>
      </c>
      <c r="EP177" s="202"/>
      <c r="EQ177" s="202">
        <v>378.34</v>
      </c>
      <c r="ER177" s="202">
        <v>426.81</v>
      </c>
      <c r="ES177" s="202"/>
      <c r="ET177" s="202"/>
      <c r="EU177" s="202"/>
      <c r="EV177" s="214">
        <v>-5.98</v>
      </c>
      <c r="EW177" s="240">
        <f t="shared" si="119"/>
        <v>9755.2999999999993</v>
      </c>
      <c r="EX177" s="209">
        <f t="shared" si="120"/>
        <v>6349.27</v>
      </c>
    </row>
    <row r="178" spans="1:154" ht="12.75" customHeight="1" x14ac:dyDescent="0.2">
      <c r="A178" s="45" t="s">
        <v>256</v>
      </c>
      <c r="B178" s="60" t="s">
        <v>221</v>
      </c>
      <c r="C178" s="61" t="s">
        <v>48</v>
      </c>
      <c r="D178" s="62" t="s">
        <v>573</v>
      </c>
      <c r="E178" s="61" t="s">
        <v>9</v>
      </c>
      <c r="F178" s="11">
        <v>9</v>
      </c>
      <c r="G178" s="11">
        <v>2</v>
      </c>
      <c r="H178" s="11">
        <v>72</v>
      </c>
      <c r="I178" s="11">
        <v>72</v>
      </c>
      <c r="J178" s="11">
        <v>140</v>
      </c>
      <c r="K178" s="11">
        <v>188</v>
      </c>
      <c r="L178" s="11">
        <v>2</v>
      </c>
      <c r="M178" s="84">
        <v>604.4</v>
      </c>
      <c r="N178" s="84">
        <v>466.3</v>
      </c>
      <c r="O178" s="84">
        <v>0</v>
      </c>
      <c r="P178" s="135">
        <v>604.4</v>
      </c>
      <c r="Q178" s="135">
        <v>466.3</v>
      </c>
      <c r="R178" s="133">
        <v>0</v>
      </c>
      <c r="S178" s="133">
        <f t="shared" si="121"/>
        <v>1070.7</v>
      </c>
      <c r="T178" s="134">
        <v>604.4</v>
      </c>
      <c r="U178" s="130">
        <v>2.44</v>
      </c>
      <c r="V178" s="131">
        <v>1.9800000000000002E-2</v>
      </c>
      <c r="W178" s="131">
        <v>1.9800000000000002E-2</v>
      </c>
      <c r="X178" s="132">
        <v>1.32E-3</v>
      </c>
      <c r="Y178" s="131">
        <v>3.9699999999999999E-2</v>
      </c>
      <c r="Z178" s="29">
        <v>3850.76</v>
      </c>
      <c r="AA178" s="34"/>
      <c r="AB178" s="9">
        <f t="shared" si="133"/>
        <v>3850.76</v>
      </c>
      <c r="AC178" s="9">
        <f t="shared" si="135"/>
        <v>24375.31</v>
      </c>
      <c r="AD178" s="9">
        <v>2.14</v>
      </c>
      <c r="AE178" s="9">
        <v>4.0999999999999996</v>
      </c>
      <c r="AF178" s="21">
        <f>2.42-AJ178</f>
        <v>2.27</v>
      </c>
      <c r="AG178" s="18">
        <f>0.61-AQ178</f>
        <v>0.56000000000000005</v>
      </c>
      <c r="AH178" s="9">
        <v>2.78</v>
      </c>
      <c r="AI178" s="43">
        <v>559</v>
      </c>
      <c r="AJ178" s="21">
        <f t="shared" si="99"/>
        <v>0.15</v>
      </c>
      <c r="AK178" s="9">
        <v>2.23</v>
      </c>
      <c r="AL178" s="9">
        <v>0.19</v>
      </c>
      <c r="AM178" s="9">
        <v>0.15</v>
      </c>
      <c r="AN178" s="13"/>
      <c r="AO178" s="13">
        <v>422.4</v>
      </c>
      <c r="AP178" s="13">
        <f t="shared" si="123"/>
        <v>5.58</v>
      </c>
      <c r="AQ178" s="18">
        <f t="shared" si="98"/>
        <v>0.05</v>
      </c>
      <c r="AR178" s="9">
        <v>0.74</v>
      </c>
      <c r="AS178" s="9">
        <v>0.35</v>
      </c>
      <c r="AT178" s="9">
        <v>7.0000000000000007E-2</v>
      </c>
      <c r="AU178" s="9">
        <v>3.8</v>
      </c>
      <c r="AV178" s="9">
        <v>0.17</v>
      </c>
      <c r="AW178" s="9">
        <f>0.26+1.42+0.34</f>
        <v>2.02</v>
      </c>
      <c r="AX178" s="9">
        <f>2+0.45</f>
        <v>2.4500000000000002</v>
      </c>
      <c r="AY178" s="63">
        <f t="shared" si="124"/>
        <v>24.22</v>
      </c>
      <c r="AZ178" s="64">
        <v>3864.4</v>
      </c>
      <c r="BA178" s="64">
        <v>0</v>
      </c>
      <c r="BB178" s="64">
        <f t="shared" si="134"/>
        <v>3864.4</v>
      </c>
      <c r="BC178" s="64">
        <v>24.22</v>
      </c>
      <c r="BD178" s="13">
        <f t="shared" si="122"/>
        <v>0</v>
      </c>
      <c r="BE178" s="9">
        <f t="shared" si="100"/>
        <v>93265.41</v>
      </c>
      <c r="BF178" s="9">
        <v>24.22</v>
      </c>
      <c r="BG178" s="10">
        <v>44378</v>
      </c>
      <c r="BH178" s="9">
        <f t="shared" si="101"/>
        <v>8240.6299999999992</v>
      </c>
      <c r="BI178" s="9">
        <f t="shared" si="102"/>
        <v>15788.12</v>
      </c>
      <c r="BJ178" s="9">
        <f t="shared" si="103"/>
        <v>8741.23</v>
      </c>
      <c r="BK178" s="9">
        <f t="shared" si="104"/>
        <v>2156.4299999999998</v>
      </c>
      <c r="BL178" s="9">
        <f t="shared" si="105"/>
        <v>10705.11</v>
      </c>
      <c r="BM178" s="9">
        <f t="shared" si="106"/>
        <v>577.61</v>
      </c>
      <c r="BN178" s="9">
        <f t="shared" si="107"/>
        <v>8587.19</v>
      </c>
      <c r="BO178" s="9">
        <f t="shared" si="108"/>
        <v>731.64</v>
      </c>
      <c r="BP178" s="9">
        <f t="shared" si="109"/>
        <v>577.61</v>
      </c>
      <c r="BQ178" s="9">
        <f t="shared" si="110"/>
        <v>192.54</v>
      </c>
      <c r="BR178" s="9">
        <f t="shared" si="111"/>
        <v>2849.56</v>
      </c>
      <c r="BS178" s="9">
        <f t="shared" si="112"/>
        <v>1347.77</v>
      </c>
      <c r="BT178" s="9">
        <f t="shared" si="113"/>
        <v>269.55</v>
      </c>
      <c r="BU178" s="9">
        <f t="shared" si="114"/>
        <v>14632.89</v>
      </c>
      <c r="BV178" s="9">
        <f t="shared" si="115"/>
        <v>654.63</v>
      </c>
      <c r="BW178" s="9">
        <f t="shared" si="116"/>
        <v>7778.54</v>
      </c>
      <c r="BX178" s="9">
        <f t="shared" si="117"/>
        <v>9434.36</v>
      </c>
      <c r="BY178" s="17">
        <f t="shared" si="118"/>
        <v>93265.41</v>
      </c>
      <c r="BZ178" s="17">
        <v>2.6</v>
      </c>
      <c r="CA178" s="17">
        <v>0.08</v>
      </c>
      <c r="CB178" s="17">
        <v>0.53</v>
      </c>
      <c r="CC178" s="27">
        <v>0.09</v>
      </c>
      <c r="CD178" s="29">
        <v>6.33</v>
      </c>
      <c r="CE178" s="9">
        <v>17053.650000000001</v>
      </c>
      <c r="CF178" s="9"/>
      <c r="CG178" s="9">
        <v>0</v>
      </c>
      <c r="CH178" s="9">
        <v>169.31</v>
      </c>
      <c r="CI178" s="9">
        <f t="shared" si="129"/>
        <v>4.43</v>
      </c>
      <c r="CJ178" s="9">
        <f t="shared" si="130"/>
        <v>0</v>
      </c>
      <c r="CK178" s="13">
        <f t="shared" si="131"/>
        <v>0</v>
      </c>
      <c r="CL178" s="13">
        <f t="shared" si="132"/>
        <v>0.04</v>
      </c>
      <c r="CM178" s="13">
        <v>93265.47</v>
      </c>
      <c r="CN178" s="13">
        <v>269.60000000000002</v>
      </c>
      <c r="CO178" s="13">
        <v>0</v>
      </c>
      <c r="CP178" s="13">
        <v>2618.4499999999998</v>
      </c>
      <c r="CQ178" s="13">
        <v>1540.3</v>
      </c>
      <c r="CR178" s="13">
        <v>92443.21</v>
      </c>
      <c r="CS178" s="13">
        <v>3190.11</v>
      </c>
      <c r="CT178" s="13">
        <v>193.49</v>
      </c>
      <c r="CU178" s="13">
        <v>2516.6999999999998</v>
      </c>
      <c r="CV178" s="13">
        <v>1489.89</v>
      </c>
      <c r="CW178" s="202">
        <v>3355</v>
      </c>
      <c r="CX178" s="200">
        <v>1925</v>
      </c>
      <c r="CY178" s="202"/>
      <c r="CZ178" s="202"/>
      <c r="DA178" s="202"/>
      <c r="DB178" s="202"/>
      <c r="DC178" s="202"/>
      <c r="DD178" s="461"/>
      <c r="DE178" s="256"/>
      <c r="DF178" s="202"/>
      <c r="DG178" s="202"/>
      <c r="DH178" s="202"/>
      <c r="DI178" s="204">
        <v>559</v>
      </c>
      <c r="DJ178" s="202">
        <v>8600</v>
      </c>
      <c r="DK178" s="202"/>
      <c r="DL178" s="202"/>
      <c r="DM178" s="202"/>
      <c r="DN178" s="202"/>
      <c r="DO178" s="202"/>
      <c r="DP178" s="202">
        <v>23567</v>
      </c>
      <c r="DQ178" s="202">
        <v>1870</v>
      </c>
      <c r="DR178" s="202">
        <v>1.1000000000000001</v>
      </c>
      <c r="DS178" s="202"/>
      <c r="DT178" s="254"/>
      <c r="DU178" s="254"/>
      <c r="DV178" s="202"/>
      <c r="DW178" s="202">
        <v>18005</v>
      </c>
      <c r="DX178" s="202"/>
      <c r="DY178" s="107">
        <v>1365</v>
      </c>
      <c r="DZ178" s="107"/>
      <c r="EA178" s="202"/>
      <c r="EB178" s="202"/>
      <c r="EC178" s="202"/>
      <c r="ED178" s="202"/>
      <c r="EE178" s="202"/>
      <c r="EF178" s="229"/>
      <c r="EG178" s="202"/>
      <c r="EH178" s="202"/>
      <c r="EI178" s="202"/>
      <c r="EJ178" s="202"/>
      <c r="EK178" s="202">
        <v>267.56</v>
      </c>
      <c r="EL178" s="202">
        <v>0</v>
      </c>
      <c r="EM178" s="202">
        <v>2621.33</v>
      </c>
      <c r="EN178" s="202">
        <v>1541.67</v>
      </c>
      <c r="EO178" s="202">
        <v>267.56</v>
      </c>
      <c r="EP178" s="202"/>
      <c r="EQ178" s="202">
        <v>2621.33</v>
      </c>
      <c r="ER178" s="202">
        <v>1541.67</v>
      </c>
      <c r="ES178" s="202"/>
      <c r="ET178" s="202"/>
      <c r="EU178" s="202"/>
      <c r="EV178" s="214">
        <v>163.12</v>
      </c>
      <c r="EW178" s="240">
        <f t="shared" si="119"/>
        <v>8422.23</v>
      </c>
      <c r="EX178" s="209">
        <f t="shared" si="120"/>
        <v>5481.63</v>
      </c>
    </row>
    <row r="179" spans="1:154" ht="12.75" customHeight="1" x14ac:dyDescent="0.2">
      <c r="A179" s="45" t="s">
        <v>258</v>
      </c>
      <c r="B179" s="60" t="s">
        <v>221</v>
      </c>
      <c r="C179" s="61" t="s">
        <v>17</v>
      </c>
      <c r="D179" s="62" t="s">
        <v>574</v>
      </c>
      <c r="E179" s="61" t="s">
        <v>9</v>
      </c>
      <c r="F179" s="11">
        <v>9</v>
      </c>
      <c r="G179" s="11">
        <v>2</v>
      </c>
      <c r="H179" s="11">
        <v>72</v>
      </c>
      <c r="I179" s="11">
        <v>73</v>
      </c>
      <c r="J179" s="11">
        <v>163</v>
      </c>
      <c r="K179" s="11">
        <v>188</v>
      </c>
      <c r="L179" s="11">
        <v>2</v>
      </c>
      <c r="M179" s="84">
        <v>604.4</v>
      </c>
      <c r="N179" s="84">
        <v>466.3</v>
      </c>
      <c r="O179" s="84">
        <v>466.3</v>
      </c>
      <c r="P179" s="139">
        <f>280.5+359.2</f>
        <v>639.70000000000005</v>
      </c>
      <c r="Q179" s="135">
        <v>607.20000000000005</v>
      </c>
      <c r="R179" s="133">
        <v>0</v>
      </c>
      <c r="S179" s="133">
        <f t="shared" si="121"/>
        <v>1246.9000000000001</v>
      </c>
      <c r="T179" s="139">
        <v>604.4</v>
      </c>
      <c r="U179" s="130">
        <v>2.44</v>
      </c>
      <c r="V179" s="91">
        <v>1.9800000000000002E-2</v>
      </c>
      <c r="W179" s="91">
        <v>1.9800000000000002E-2</v>
      </c>
      <c r="X179" s="132">
        <v>1.32E-3</v>
      </c>
      <c r="Y179" s="91">
        <v>3.9699999999999999E-2</v>
      </c>
      <c r="Z179" s="29">
        <v>3831.82</v>
      </c>
      <c r="AA179" s="34"/>
      <c r="AB179" s="9">
        <f t="shared" si="133"/>
        <v>3831.82</v>
      </c>
      <c r="AC179" s="9">
        <f t="shared" si="135"/>
        <v>24255.42</v>
      </c>
      <c r="AD179" s="9">
        <v>2.11</v>
      </c>
      <c r="AE179" s="9">
        <v>3.69</v>
      </c>
      <c r="AF179" s="21">
        <f>2.48-AJ179</f>
        <v>2.35</v>
      </c>
      <c r="AG179" s="18">
        <f>0.62-AQ179</f>
        <v>0.56999999999999995</v>
      </c>
      <c r="AH179" s="9">
        <v>2.78</v>
      </c>
      <c r="AI179" s="43">
        <v>507</v>
      </c>
      <c r="AJ179" s="21">
        <f t="shared" si="99"/>
        <v>0.13</v>
      </c>
      <c r="AK179" s="9">
        <v>2.2400000000000002</v>
      </c>
      <c r="AL179" s="9">
        <v>0.61</v>
      </c>
      <c r="AM179" s="9">
        <v>0.25</v>
      </c>
      <c r="AN179" s="13"/>
      <c r="AO179" s="13">
        <v>446.4</v>
      </c>
      <c r="AP179" s="13">
        <f t="shared" si="123"/>
        <v>5.58</v>
      </c>
      <c r="AQ179" s="18">
        <f t="shared" si="98"/>
        <v>0.05</v>
      </c>
      <c r="AR179" s="9">
        <v>0.59</v>
      </c>
      <c r="AS179" s="9">
        <v>0.36</v>
      </c>
      <c r="AT179" s="9">
        <v>7.0000000000000007E-2</v>
      </c>
      <c r="AU179" s="9">
        <v>3.86</v>
      </c>
      <c r="AV179" s="9">
        <v>0.15</v>
      </c>
      <c r="AW179" s="9">
        <f>1.42+0.27+0.34</f>
        <v>2.0299999999999998</v>
      </c>
      <c r="AX179" s="9">
        <f>2.01+0.45</f>
        <v>2.46</v>
      </c>
      <c r="AY179" s="63">
        <f t="shared" si="124"/>
        <v>24.3</v>
      </c>
      <c r="AZ179" s="64">
        <v>3835.7</v>
      </c>
      <c r="BA179" s="64">
        <v>0</v>
      </c>
      <c r="BB179" s="64">
        <f t="shared" si="134"/>
        <v>3835.7</v>
      </c>
      <c r="BC179" s="64">
        <v>24.3</v>
      </c>
      <c r="BD179" s="13">
        <f t="shared" si="122"/>
        <v>0</v>
      </c>
      <c r="BE179" s="9">
        <f t="shared" si="100"/>
        <v>93113.23</v>
      </c>
      <c r="BF179" s="9">
        <v>24.3</v>
      </c>
      <c r="BG179" s="10">
        <v>44378</v>
      </c>
      <c r="BH179" s="9">
        <f t="shared" si="101"/>
        <v>8085.14</v>
      </c>
      <c r="BI179" s="9">
        <f t="shared" si="102"/>
        <v>14139.42</v>
      </c>
      <c r="BJ179" s="9">
        <f t="shared" si="103"/>
        <v>9004.7800000000007</v>
      </c>
      <c r="BK179" s="9">
        <f t="shared" si="104"/>
        <v>2184.14</v>
      </c>
      <c r="BL179" s="9">
        <f t="shared" si="105"/>
        <v>10652.46</v>
      </c>
      <c r="BM179" s="9">
        <f t="shared" si="106"/>
        <v>498.14</v>
      </c>
      <c r="BN179" s="9">
        <f t="shared" si="107"/>
        <v>8583.2800000000007</v>
      </c>
      <c r="BO179" s="9">
        <f t="shared" si="108"/>
        <v>2337.41</v>
      </c>
      <c r="BP179" s="9">
        <f t="shared" si="109"/>
        <v>957.96</v>
      </c>
      <c r="BQ179" s="9">
        <f t="shared" si="110"/>
        <v>191.59</v>
      </c>
      <c r="BR179" s="9">
        <f t="shared" si="111"/>
        <v>2260.77</v>
      </c>
      <c r="BS179" s="9">
        <f t="shared" si="112"/>
        <v>1379.46</v>
      </c>
      <c r="BT179" s="9">
        <f t="shared" si="113"/>
        <v>268.23</v>
      </c>
      <c r="BU179" s="9">
        <f t="shared" si="114"/>
        <v>14790.83</v>
      </c>
      <c r="BV179" s="9">
        <f t="shared" si="115"/>
        <v>574.77</v>
      </c>
      <c r="BW179" s="9">
        <f t="shared" si="116"/>
        <v>7778.59</v>
      </c>
      <c r="BX179" s="9">
        <f t="shared" si="117"/>
        <v>9426.2800000000007</v>
      </c>
      <c r="BY179" s="17">
        <f t="shared" si="118"/>
        <v>93113.25</v>
      </c>
      <c r="BZ179" s="17">
        <v>3.75</v>
      </c>
      <c r="CA179" s="17">
        <v>0.08</v>
      </c>
      <c r="CB179" s="17">
        <v>0.54</v>
      </c>
      <c r="CC179" s="27">
        <v>0.09</v>
      </c>
      <c r="CD179" s="29">
        <v>6.33</v>
      </c>
      <c r="CE179" s="9">
        <v>28788.54</v>
      </c>
      <c r="CF179" s="9"/>
      <c r="CG179" s="9">
        <v>0</v>
      </c>
      <c r="CH179" s="9">
        <v>169.31</v>
      </c>
      <c r="CI179" s="9">
        <f t="shared" si="129"/>
        <v>7.51</v>
      </c>
      <c r="CJ179" s="9">
        <f t="shared" si="130"/>
        <v>0</v>
      </c>
      <c r="CK179" s="13">
        <f t="shared" si="131"/>
        <v>0</v>
      </c>
      <c r="CL179" s="13">
        <f t="shared" si="132"/>
        <v>0.04</v>
      </c>
      <c r="CM179" s="13">
        <v>93113.24</v>
      </c>
      <c r="CN179" s="13">
        <v>18890.89</v>
      </c>
      <c r="CO179" s="13">
        <v>0</v>
      </c>
      <c r="CP179" s="13">
        <v>0</v>
      </c>
      <c r="CQ179" s="13">
        <v>153.28</v>
      </c>
      <c r="CR179" s="13">
        <v>84775.7</v>
      </c>
      <c r="CS179" s="13">
        <v>10844.5</v>
      </c>
      <c r="CT179" s="13">
        <v>254.94</v>
      </c>
      <c r="CU179" s="13">
        <v>37.76</v>
      </c>
      <c r="CV179" s="13">
        <v>157.09</v>
      </c>
      <c r="CW179" s="202">
        <v>3335</v>
      </c>
      <c r="CX179" s="200">
        <v>1913</v>
      </c>
      <c r="CY179" s="202"/>
      <c r="CZ179" s="202"/>
      <c r="DA179" s="202"/>
      <c r="DB179" s="202"/>
      <c r="DC179" s="202"/>
      <c r="DD179" s="461"/>
      <c r="DE179" s="256"/>
      <c r="DF179" s="202"/>
      <c r="DG179" s="202"/>
      <c r="DH179" s="202"/>
      <c r="DI179" s="204">
        <v>507</v>
      </c>
      <c r="DJ179" s="202">
        <v>8600</v>
      </c>
      <c r="DK179" s="202"/>
      <c r="DL179" s="202"/>
      <c r="DM179" s="202"/>
      <c r="DN179" s="202"/>
      <c r="DO179" s="202"/>
      <c r="DP179" s="202">
        <v>21770</v>
      </c>
      <c r="DQ179" s="202">
        <v>1870</v>
      </c>
      <c r="DR179" s="202">
        <v>1.1000000000000001</v>
      </c>
      <c r="DS179" s="202"/>
      <c r="DT179" s="254"/>
      <c r="DU179" s="254"/>
      <c r="DV179" s="202"/>
      <c r="DW179" s="202">
        <v>18095</v>
      </c>
      <c r="DX179" s="202"/>
      <c r="DY179" s="107">
        <v>1365</v>
      </c>
      <c r="DZ179" s="107">
        <v>942</v>
      </c>
      <c r="EA179" s="202"/>
      <c r="EB179" s="202"/>
      <c r="EC179" s="202"/>
      <c r="ED179" s="202"/>
      <c r="EE179" s="202"/>
      <c r="EF179" s="229"/>
      <c r="EG179" s="202"/>
      <c r="EH179" s="202"/>
      <c r="EI179" s="202"/>
      <c r="EJ179" s="202"/>
      <c r="EK179" s="202">
        <v>18905.259999999998</v>
      </c>
      <c r="EL179" s="202">
        <v>0</v>
      </c>
      <c r="EM179" s="202">
        <v>0</v>
      </c>
      <c r="EN179" s="202">
        <v>169.31</v>
      </c>
      <c r="EO179" s="202">
        <v>18905.259999999998</v>
      </c>
      <c r="EP179" s="202"/>
      <c r="EQ179" s="202">
        <v>0</v>
      </c>
      <c r="ER179" s="202">
        <v>169.31</v>
      </c>
      <c r="ES179" s="202"/>
      <c r="ET179" s="202"/>
      <c r="EU179" s="202"/>
      <c r="EV179" s="214">
        <v>-9.8800000000000008</v>
      </c>
      <c r="EW179" s="240">
        <f t="shared" si="119"/>
        <v>8380.7999999999993</v>
      </c>
      <c r="EX179" s="209">
        <f t="shared" si="120"/>
        <v>5454.67</v>
      </c>
    </row>
    <row r="180" spans="1:154" ht="12.75" customHeight="1" x14ac:dyDescent="0.2">
      <c r="A180" s="45" t="s">
        <v>259</v>
      </c>
      <c r="B180" s="66" t="s">
        <v>221</v>
      </c>
      <c r="C180" s="67" t="s">
        <v>62</v>
      </c>
      <c r="D180" s="68" t="s">
        <v>476</v>
      </c>
      <c r="E180" s="67" t="s">
        <v>12</v>
      </c>
      <c r="F180" s="11">
        <v>5</v>
      </c>
      <c r="G180" s="11">
        <v>3</v>
      </c>
      <c r="H180" s="11">
        <v>52</v>
      </c>
      <c r="I180" s="11">
        <v>0</v>
      </c>
      <c r="J180" s="11">
        <v>95</v>
      </c>
      <c r="K180" s="11">
        <v>181</v>
      </c>
      <c r="L180" s="11" t="s">
        <v>746</v>
      </c>
      <c r="M180" s="84">
        <v>183</v>
      </c>
      <c r="N180" s="84">
        <v>542.9</v>
      </c>
      <c r="O180" s="84">
        <v>542.9</v>
      </c>
      <c r="P180" s="135">
        <v>183</v>
      </c>
      <c r="Q180" s="135">
        <v>542.9</v>
      </c>
      <c r="R180" s="135">
        <v>542.9</v>
      </c>
      <c r="S180" s="133">
        <f t="shared" si="121"/>
        <v>1268.8</v>
      </c>
      <c r="T180" s="134">
        <v>183</v>
      </c>
      <c r="U180" s="130">
        <v>1.53</v>
      </c>
      <c r="V180" s="91">
        <v>1.1299999999999999E-2</v>
      </c>
      <c r="W180" s="91" t="s">
        <v>823</v>
      </c>
      <c r="X180" s="132" t="s">
        <v>823</v>
      </c>
      <c r="Y180" s="91">
        <v>1.1299999999999999E-2</v>
      </c>
      <c r="Z180" s="29">
        <v>2028.18</v>
      </c>
      <c r="AA180" s="34">
        <v>512</v>
      </c>
      <c r="AB180" s="9">
        <f t="shared" si="133"/>
        <v>2540.1799999999998</v>
      </c>
      <c r="AC180" s="9">
        <f t="shared" si="135"/>
        <v>16079.34</v>
      </c>
      <c r="AD180" s="9">
        <v>0.38</v>
      </c>
      <c r="AE180" s="9">
        <v>3.55</v>
      </c>
      <c r="AF180" s="21">
        <f>2.41-AJ180</f>
        <v>2.15</v>
      </c>
      <c r="AG180" s="18">
        <f>0.54-AQ180</f>
        <v>0.42</v>
      </c>
      <c r="AH180" s="9">
        <v>2.16</v>
      </c>
      <c r="AI180" s="43">
        <v>665</v>
      </c>
      <c r="AJ180" s="21">
        <f t="shared" si="99"/>
        <v>0.26</v>
      </c>
      <c r="AK180" s="9">
        <v>0</v>
      </c>
      <c r="AL180" s="9">
        <v>0</v>
      </c>
      <c r="AM180" s="9">
        <v>0.23</v>
      </c>
      <c r="AN180" s="13">
        <v>210</v>
      </c>
      <c r="AO180" s="13">
        <v>420</v>
      </c>
      <c r="AP180" s="13">
        <f t="shared" si="123"/>
        <v>5.58</v>
      </c>
      <c r="AQ180" s="18">
        <f t="shared" si="98"/>
        <v>0.12</v>
      </c>
      <c r="AR180" s="9">
        <v>0.74</v>
      </c>
      <c r="AS180" s="9">
        <v>0.54</v>
      </c>
      <c r="AT180" s="9">
        <v>7.0000000000000007E-2</v>
      </c>
      <c r="AU180" s="9">
        <v>4.58</v>
      </c>
      <c r="AV180" s="9">
        <v>0.11</v>
      </c>
      <c r="AW180" s="9">
        <f>0.95+0.4+0.33</f>
        <v>1.68</v>
      </c>
      <c r="AX180" s="9">
        <f>1.31+0.54</f>
        <v>1.85</v>
      </c>
      <c r="AY180" s="69">
        <f t="shared" si="124"/>
        <v>18.84</v>
      </c>
      <c r="AZ180" s="70">
        <v>2026.4</v>
      </c>
      <c r="BA180" s="70">
        <v>512</v>
      </c>
      <c r="BB180" s="70">
        <f t="shared" si="134"/>
        <v>2538.4</v>
      </c>
      <c r="BC180" s="70">
        <v>18.84</v>
      </c>
      <c r="BD180" s="13">
        <f t="shared" si="122"/>
        <v>0</v>
      </c>
      <c r="BE180" s="9">
        <f t="shared" si="100"/>
        <v>47856.99</v>
      </c>
      <c r="BF180" s="9">
        <v>18.84</v>
      </c>
      <c r="BG180" s="10">
        <v>44409</v>
      </c>
      <c r="BH180" s="9">
        <f t="shared" si="101"/>
        <v>965.27</v>
      </c>
      <c r="BI180" s="9">
        <f t="shared" si="102"/>
        <v>9017.64</v>
      </c>
      <c r="BJ180" s="9">
        <f t="shared" si="103"/>
        <v>5461.39</v>
      </c>
      <c r="BK180" s="9">
        <f t="shared" si="104"/>
        <v>1066.8800000000001</v>
      </c>
      <c r="BL180" s="9">
        <f t="shared" si="105"/>
        <v>5486.79</v>
      </c>
      <c r="BM180" s="9">
        <f t="shared" si="106"/>
        <v>660.45</v>
      </c>
      <c r="BN180" s="9">
        <f t="shared" si="107"/>
        <v>0</v>
      </c>
      <c r="BO180" s="9">
        <f t="shared" si="108"/>
        <v>0</v>
      </c>
      <c r="BP180" s="9">
        <f t="shared" si="109"/>
        <v>584.24</v>
      </c>
      <c r="BQ180" s="9">
        <f t="shared" si="110"/>
        <v>304.82</v>
      </c>
      <c r="BR180" s="9">
        <f t="shared" si="111"/>
        <v>1879.73</v>
      </c>
      <c r="BS180" s="9">
        <f t="shared" si="112"/>
        <v>1371.7</v>
      </c>
      <c r="BT180" s="9">
        <f t="shared" si="113"/>
        <v>177.81</v>
      </c>
      <c r="BU180" s="9">
        <f t="shared" si="114"/>
        <v>11634.02</v>
      </c>
      <c r="BV180" s="9">
        <f t="shared" si="115"/>
        <v>279.42</v>
      </c>
      <c r="BW180" s="9">
        <f t="shared" si="116"/>
        <v>4267.5</v>
      </c>
      <c r="BX180" s="9">
        <f t="shared" si="117"/>
        <v>4699.33</v>
      </c>
      <c r="BY180" s="17">
        <f t="shared" si="118"/>
        <v>47856.99</v>
      </c>
      <c r="BZ180" s="17">
        <v>2.93</v>
      </c>
      <c r="CA180" s="17">
        <v>0.02</v>
      </c>
      <c r="CB180" s="173">
        <v>0</v>
      </c>
      <c r="CC180" s="27">
        <v>0.01</v>
      </c>
      <c r="CD180" s="29">
        <v>6.33</v>
      </c>
      <c r="CE180" s="9">
        <v>12066.72</v>
      </c>
      <c r="CF180" s="9"/>
      <c r="CG180" s="9">
        <v>7377.55</v>
      </c>
      <c r="CH180" s="9">
        <v>3862.4</v>
      </c>
      <c r="CI180" s="9">
        <f t="shared" si="129"/>
        <v>4.75</v>
      </c>
      <c r="CJ180" s="9">
        <f t="shared" si="130"/>
        <v>0</v>
      </c>
      <c r="CK180" s="13">
        <f t="shared" si="131"/>
        <v>2.9</v>
      </c>
      <c r="CL180" s="13">
        <f t="shared" si="132"/>
        <v>1.52</v>
      </c>
      <c r="CM180" s="13">
        <v>38210.92</v>
      </c>
      <c r="CN180" s="13">
        <v>1379.17</v>
      </c>
      <c r="CO180" s="13">
        <v>0</v>
      </c>
      <c r="CP180" s="13">
        <v>4928.5200000000004</v>
      </c>
      <c r="CQ180" s="13">
        <v>2575.81</v>
      </c>
      <c r="CR180" s="13">
        <v>39628.25</v>
      </c>
      <c r="CS180" s="13">
        <v>2147.06</v>
      </c>
      <c r="CT180" s="13">
        <v>0</v>
      </c>
      <c r="CU180" s="13">
        <v>5285.72</v>
      </c>
      <c r="CV180" s="13">
        <v>2768.77</v>
      </c>
      <c r="CW180" s="202">
        <v>2213</v>
      </c>
      <c r="CX180" s="200">
        <v>1270</v>
      </c>
      <c r="CY180" s="202"/>
      <c r="CZ180" s="202"/>
      <c r="DA180" s="202"/>
      <c r="DB180" s="202"/>
      <c r="DC180" s="202"/>
      <c r="DD180" s="461"/>
      <c r="DE180" s="256"/>
      <c r="DF180" s="202"/>
      <c r="DG180" s="202"/>
      <c r="DH180" s="202"/>
      <c r="DI180" s="204">
        <v>665</v>
      </c>
      <c r="DJ180" s="202"/>
      <c r="DK180" s="202"/>
      <c r="DL180" s="202"/>
      <c r="DM180" s="202"/>
      <c r="DN180" s="202"/>
      <c r="DO180" s="202"/>
      <c r="DP180" s="202">
        <v>9792</v>
      </c>
      <c r="DQ180" s="202">
        <v>2822</v>
      </c>
      <c r="DR180" s="202">
        <v>1.66</v>
      </c>
      <c r="DS180" s="202">
        <v>4680</v>
      </c>
      <c r="DT180" s="254">
        <v>126</v>
      </c>
      <c r="DU180" s="254">
        <v>153</v>
      </c>
      <c r="DV180" s="202"/>
      <c r="DW180" s="202">
        <v>9963</v>
      </c>
      <c r="DX180" s="202"/>
      <c r="DY180" s="107">
        <v>1365</v>
      </c>
      <c r="DZ180" s="107">
        <v>577</v>
      </c>
      <c r="EA180" s="202"/>
      <c r="EB180" s="202"/>
      <c r="EC180" s="202"/>
      <c r="ED180" s="202"/>
      <c r="EE180" s="202"/>
      <c r="EF180" s="229"/>
      <c r="EG180" s="202"/>
      <c r="EH180" s="202"/>
      <c r="EI180" s="202"/>
      <c r="EJ180" s="202"/>
      <c r="EK180" s="202">
        <v>1717.33</v>
      </c>
      <c r="EL180" s="202">
        <v>0</v>
      </c>
      <c r="EM180" s="202">
        <v>6161.47</v>
      </c>
      <c r="EN180" s="202">
        <v>3225.74</v>
      </c>
      <c r="EO180" s="202">
        <v>1717.33</v>
      </c>
      <c r="EP180" s="202"/>
      <c r="EQ180" s="202">
        <v>6161.47</v>
      </c>
      <c r="ER180" s="202">
        <v>3225.74</v>
      </c>
      <c r="ES180" s="202"/>
      <c r="ET180" s="202"/>
      <c r="EU180" s="202"/>
      <c r="EV180" s="214">
        <v>226.08</v>
      </c>
      <c r="EW180" s="240">
        <f t="shared" si="119"/>
        <v>5555.78</v>
      </c>
      <c r="EX180" s="209">
        <f t="shared" si="120"/>
        <v>3616</v>
      </c>
    </row>
    <row r="181" spans="1:154" ht="12.75" customHeight="1" x14ac:dyDescent="0.2">
      <c r="A181" s="45" t="s">
        <v>260</v>
      </c>
      <c r="B181" s="66" t="s">
        <v>221</v>
      </c>
      <c r="C181" s="67" t="s">
        <v>64</v>
      </c>
      <c r="D181" s="68" t="s">
        <v>477</v>
      </c>
      <c r="E181" s="67" t="s">
        <v>12</v>
      </c>
      <c r="F181" s="11">
        <v>5</v>
      </c>
      <c r="G181" s="11">
        <v>3</v>
      </c>
      <c r="H181" s="11">
        <v>56</v>
      </c>
      <c r="I181" s="11">
        <v>0</v>
      </c>
      <c r="J181" s="11">
        <v>100</v>
      </c>
      <c r="K181" s="11">
        <v>122</v>
      </c>
      <c r="L181" s="11" t="s">
        <v>746</v>
      </c>
      <c r="M181" s="84">
        <v>183</v>
      </c>
      <c r="N181" s="84">
        <v>542.9</v>
      </c>
      <c r="O181" s="84">
        <v>542.9</v>
      </c>
      <c r="P181" s="135">
        <v>183</v>
      </c>
      <c r="Q181" s="135">
        <v>588.5</v>
      </c>
      <c r="R181" s="133">
        <v>0</v>
      </c>
      <c r="S181" s="133">
        <f t="shared" si="121"/>
        <v>771.5</v>
      </c>
      <c r="T181" s="134">
        <v>183</v>
      </c>
      <c r="U181" s="130">
        <v>1.53</v>
      </c>
      <c r="V181" s="131">
        <v>1.1299999999999999E-2</v>
      </c>
      <c r="W181" s="131" t="s">
        <v>823</v>
      </c>
      <c r="X181" s="132" t="s">
        <v>823</v>
      </c>
      <c r="Y181" s="131">
        <v>1.1299999999999999E-2</v>
      </c>
      <c r="Z181" s="29">
        <v>2119.71</v>
      </c>
      <c r="AA181" s="34">
        <v>446.6</v>
      </c>
      <c r="AB181" s="9">
        <f t="shared" si="133"/>
        <v>2566.31</v>
      </c>
      <c r="AC181" s="9">
        <f t="shared" si="135"/>
        <v>16244.74</v>
      </c>
      <c r="AD181" s="9">
        <v>0.37</v>
      </c>
      <c r="AE181" s="9">
        <v>3.61</v>
      </c>
      <c r="AF181" s="21">
        <f>2.43-AJ181</f>
        <v>2.19</v>
      </c>
      <c r="AG181" s="18">
        <f>0.54-AQ181</f>
        <v>0.39</v>
      </c>
      <c r="AH181" s="9">
        <v>2.16</v>
      </c>
      <c r="AI181" s="43">
        <v>626</v>
      </c>
      <c r="AJ181" s="21">
        <f t="shared" si="99"/>
        <v>0.24</v>
      </c>
      <c r="AK181" s="9">
        <v>0</v>
      </c>
      <c r="AL181" s="9">
        <v>0</v>
      </c>
      <c r="AM181" s="9">
        <v>0.23</v>
      </c>
      <c r="AN181" s="13">
        <v>280</v>
      </c>
      <c r="AO181" s="13">
        <v>560</v>
      </c>
      <c r="AP181" s="13">
        <f t="shared" si="123"/>
        <v>5.58</v>
      </c>
      <c r="AQ181" s="18">
        <f t="shared" si="98"/>
        <v>0.15</v>
      </c>
      <c r="AR181" s="9">
        <v>0.75</v>
      </c>
      <c r="AS181" s="9">
        <v>0.53</v>
      </c>
      <c r="AT181" s="9">
        <v>7.0000000000000007E-2</v>
      </c>
      <c r="AU181" s="9">
        <v>4.3499999999999996</v>
      </c>
      <c r="AV181" s="9">
        <v>0.11</v>
      </c>
      <c r="AW181" s="9">
        <f>0.96+0.33+0.38</f>
        <v>1.67</v>
      </c>
      <c r="AX181" s="9">
        <f>1.32+0.52</f>
        <v>1.84</v>
      </c>
      <c r="AY181" s="69">
        <f t="shared" si="124"/>
        <v>18.66</v>
      </c>
      <c r="AZ181" s="70">
        <v>2114.9</v>
      </c>
      <c r="BA181" s="70">
        <v>446.6</v>
      </c>
      <c r="BB181" s="70">
        <f t="shared" si="134"/>
        <v>2561.5</v>
      </c>
      <c r="BC181" s="70">
        <v>18.66</v>
      </c>
      <c r="BD181" s="13">
        <f t="shared" si="122"/>
        <v>0</v>
      </c>
      <c r="BE181" s="9">
        <f t="shared" si="100"/>
        <v>47887.34</v>
      </c>
      <c r="BF181" s="9">
        <v>18.66</v>
      </c>
      <c r="BG181" s="10">
        <v>44409</v>
      </c>
      <c r="BH181" s="9">
        <f t="shared" si="101"/>
        <v>949.53</v>
      </c>
      <c r="BI181" s="9">
        <f t="shared" si="102"/>
        <v>9264.3799999999992</v>
      </c>
      <c r="BJ181" s="9">
        <f t="shared" si="103"/>
        <v>5620.22</v>
      </c>
      <c r="BK181" s="9">
        <f t="shared" si="104"/>
        <v>1000.86</v>
      </c>
      <c r="BL181" s="9">
        <f t="shared" si="105"/>
        <v>5543.23</v>
      </c>
      <c r="BM181" s="9">
        <f t="shared" si="106"/>
        <v>615.91</v>
      </c>
      <c r="BN181" s="9">
        <f t="shared" si="107"/>
        <v>0</v>
      </c>
      <c r="BO181" s="9">
        <f t="shared" si="108"/>
        <v>0</v>
      </c>
      <c r="BP181" s="9">
        <f t="shared" si="109"/>
        <v>590.25</v>
      </c>
      <c r="BQ181" s="9">
        <f t="shared" si="110"/>
        <v>384.95</v>
      </c>
      <c r="BR181" s="9">
        <f t="shared" si="111"/>
        <v>1924.73</v>
      </c>
      <c r="BS181" s="9">
        <f t="shared" si="112"/>
        <v>1360.14</v>
      </c>
      <c r="BT181" s="9">
        <f t="shared" si="113"/>
        <v>179.64</v>
      </c>
      <c r="BU181" s="9">
        <f t="shared" si="114"/>
        <v>11163.45</v>
      </c>
      <c r="BV181" s="9">
        <f t="shared" si="115"/>
        <v>282.29000000000002</v>
      </c>
      <c r="BW181" s="9">
        <f t="shared" si="116"/>
        <v>4285.74</v>
      </c>
      <c r="BX181" s="9">
        <f t="shared" si="117"/>
        <v>4722.01</v>
      </c>
      <c r="BY181" s="17">
        <f t="shared" si="118"/>
        <v>47887.33</v>
      </c>
      <c r="BZ181" s="17">
        <v>2.9</v>
      </c>
      <c r="CA181" s="17">
        <v>0.02</v>
      </c>
      <c r="CB181" s="173">
        <v>0</v>
      </c>
      <c r="CC181" s="27">
        <v>0.01</v>
      </c>
      <c r="CD181" s="29">
        <v>6.33</v>
      </c>
      <c r="CE181" s="9">
        <v>1072.3599999999999</v>
      </c>
      <c r="CF181" s="9"/>
      <c r="CG181" s="9">
        <v>5756.11</v>
      </c>
      <c r="CH181" s="9">
        <v>3013.52</v>
      </c>
      <c r="CI181" s="9">
        <f t="shared" si="129"/>
        <v>0.42</v>
      </c>
      <c r="CJ181" s="9">
        <f t="shared" si="130"/>
        <v>0</v>
      </c>
      <c r="CK181" s="13">
        <f t="shared" si="131"/>
        <v>2.2400000000000002</v>
      </c>
      <c r="CL181" s="13">
        <f t="shared" si="132"/>
        <v>1.17</v>
      </c>
      <c r="CM181" s="13">
        <v>39553.81</v>
      </c>
      <c r="CN181" s="13">
        <v>890.26</v>
      </c>
      <c r="CO181" s="13">
        <v>0</v>
      </c>
      <c r="CP181" s="13">
        <v>2374.06</v>
      </c>
      <c r="CQ181" s="13">
        <v>1229.45</v>
      </c>
      <c r="CR181" s="13">
        <v>35519.67</v>
      </c>
      <c r="CS181" s="13">
        <v>1125.3499999999999</v>
      </c>
      <c r="CT181" s="13">
        <v>0</v>
      </c>
      <c r="CU181" s="13">
        <v>2697.04</v>
      </c>
      <c r="CV181" s="13">
        <v>1402.36</v>
      </c>
      <c r="CW181" s="202">
        <v>2236</v>
      </c>
      <c r="CX181" s="200">
        <v>1283</v>
      </c>
      <c r="CY181" s="202"/>
      <c r="CZ181" s="202"/>
      <c r="DA181" s="202"/>
      <c r="DB181" s="202"/>
      <c r="DC181" s="202"/>
      <c r="DD181" s="461"/>
      <c r="DE181" s="256"/>
      <c r="DF181" s="202"/>
      <c r="DG181" s="202"/>
      <c r="DH181" s="202"/>
      <c r="DI181" s="204">
        <v>626</v>
      </c>
      <c r="DJ181" s="202"/>
      <c r="DK181" s="202"/>
      <c r="DL181" s="202"/>
      <c r="DM181" s="202"/>
      <c r="DN181" s="202"/>
      <c r="DO181" s="202"/>
      <c r="DP181" s="202">
        <v>10026</v>
      </c>
      <c r="DQ181" s="202">
        <v>2822</v>
      </c>
      <c r="DR181" s="202">
        <v>1.66</v>
      </c>
      <c r="DS181" s="202">
        <v>6675</v>
      </c>
      <c r="DT181" s="254">
        <v>209</v>
      </c>
      <c r="DU181" s="254">
        <v>145</v>
      </c>
      <c r="DV181" s="202"/>
      <c r="DW181" s="202">
        <v>10057</v>
      </c>
      <c r="DX181" s="202"/>
      <c r="DY181" s="107">
        <v>1365</v>
      </c>
      <c r="DZ181" s="107">
        <v>577</v>
      </c>
      <c r="EA181" s="202"/>
      <c r="EB181" s="202"/>
      <c r="EC181" s="202"/>
      <c r="ED181" s="202"/>
      <c r="EE181" s="202"/>
      <c r="EF181" s="229"/>
      <c r="EG181" s="202"/>
      <c r="EH181" s="202"/>
      <c r="EI181" s="202"/>
      <c r="EJ181" s="202"/>
      <c r="EK181" s="202">
        <v>1072.3599999999999</v>
      </c>
      <c r="EL181" s="202">
        <v>0</v>
      </c>
      <c r="EM181" s="202">
        <v>2864.54</v>
      </c>
      <c r="EN181" s="202">
        <v>1499.69</v>
      </c>
      <c r="EO181" s="202">
        <v>1072.3599999999999</v>
      </c>
      <c r="EP181" s="202"/>
      <c r="EQ181" s="202">
        <v>2864.54</v>
      </c>
      <c r="ER181" s="202">
        <v>1499.69</v>
      </c>
      <c r="ES181" s="202"/>
      <c r="ET181" s="202"/>
      <c r="EU181" s="202"/>
      <c r="EV181" s="214">
        <v>144.08000000000001</v>
      </c>
      <c r="EW181" s="240">
        <f t="shared" si="119"/>
        <v>5612.93</v>
      </c>
      <c r="EX181" s="209">
        <f t="shared" si="120"/>
        <v>3653.19</v>
      </c>
    </row>
    <row r="182" spans="1:154" ht="12.75" customHeight="1" x14ac:dyDescent="0.2">
      <c r="A182" s="45" t="s">
        <v>261</v>
      </c>
      <c r="B182" s="51" t="s">
        <v>221</v>
      </c>
      <c r="C182" s="52" t="s">
        <v>27</v>
      </c>
      <c r="D182" s="53" t="s">
        <v>478</v>
      </c>
      <c r="E182" s="52" t="s">
        <v>12</v>
      </c>
      <c r="F182" s="11">
        <v>5</v>
      </c>
      <c r="G182" s="11">
        <v>3</v>
      </c>
      <c r="H182" s="11">
        <v>45</v>
      </c>
      <c r="I182" s="11">
        <v>54</v>
      </c>
      <c r="J182" s="11">
        <v>75</v>
      </c>
      <c r="K182" s="11">
        <v>128</v>
      </c>
      <c r="L182" s="11" t="s">
        <v>746</v>
      </c>
      <c r="M182" s="84">
        <v>583</v>
      </c>
      <c r="N182" s="84">
        <v>626</v>
      </c>
      <c r="O182" s="84">
        <v>626</v>
      </c>
      <c r="P182" s="135">
        <f>179.5+7.3</f>
        <v>186.8</v>
      </c>
      <c r="Q182" s="135">
        <v>395.7</v>
      </c>
      <c r="R182" s="133">
        <v>460.1</v>
      </c>
      <c r="S182" s="133">
        <f t="shared" si="121"/>
        <v>1042.5999999999999</v>
      </c>
      <c r="T182" s="134">
        <v>216</v>
      </c>
      <c r="U182" s="130">
        <v>1.53</v>
      </c>
      <c r="V182" s="91">
        <v>1.1299999999999999E-2</v>
      </c>
      <c r="W182" s="91" t="s">
        <v>823</v>
      </c>
      <c r="X182" s="132" t="s">
        <v>823</v>
      </c>
      <c r="Y182" s="91">
        <v>1.1299999999999999E-2</v>
      </c>
      <c r="Z182" s="29">
        <v>1819.6</v>
      </c>
      <c r="AA182" s="34">
        <v>463.4</v>
      </c>
      <c r="AB182" s="9">
        <f t="shared" si="133"/>
        <v>2283</v>
      </c>
      <c r="AC182" s="9">
        <f t="shared" si="135"/>
        <v>14451.39</v>
      </c>
      <c r="AD182" s="9">
        <v>0.41</v>
      </c>
      <c r="AE182" s="9">
        <v>3.54</v>
      </c>
      <c r="AF182" s="21">
        <f>2.42-AJ182</f>
        <v>2.06</v>
      </c>
      <c r="AG182" s="18">
        <f>0.54-AQ182</f>
        <v>0.39</v>
      </c>
      <c r="AH182" s="9">
        <v>2.16</v>
      </c>
      <c r="AI182" s="13">
        <v>811</v>
      </c>
      <c r="AJ182" s="21">
        <f t="shared" si="99"/>
        <v>0.36</v>
      </c>
      <c r="AK182" s="9">
        <v>0</v>
      </c>
      <c r="AL182" s="9">
        <v>0</v>
      </c>
      <c r="AM182" s="9">
        <v>0.25</v>
      </c>
      <c r="AN182" s="13">
        <v>246</v>
      </c>
      <c r="AO182" s="13">
        <v>492</v>
      </c>
      <c r="AP182" s="13">
        <f t="shared" si="123"/>
        <v>5.58</v>
      </c>
      <c r="AQ182" s="18">
        <f t="shared" si="98"/>
        <v>0.15</v>
      </c>
      <c r="AR182" s="9">
        <v>0.64</v>
      </c>
      <c r="AS182" s="9">
        <v>0.6</v>
      </c>
      <c r="AT182" s="9">
        <v>7.0000000000000007E-2</v>
      </c>
      <c r="AU182" s="9">
        <v>4.58</v>
      </c>
      <c r="AV182" s="9">
        <v>0.11</v>
      </c>
      <c r="AW182" s="9">
        <f>0.34+0.95+0.4</f>
        <v>1.69</v>
      </c>
      <c r="AX182" s="9">
        <f>1.32+0.54</f>
        <v>1.86</v>
      </c>
      <c r="AY182" s="54">
        <f t="shared" si="124"/>
        <v>18.87</v>
      </c>
      <c r="AZ182" s="43">
        <v>1809.9</v>
      </c>
      <c r="BA182" s="43">
        <v>463.4</v>
      </c>
      <c r="BB182" s="43">
        <f t="shared" si="134"/>
        <v>2273.3000000000002</v>
      </c>
      <c r="BC182" s="43">
        <v>18.87</v>
      </c>
      <c r="BD182" s="13">
        <f t="shared" si="122"/>
        <v>0</v>
      </c>
      <c r="BE182" s="9">
        <f t="shared" si="100"/>
        <v>43080.21</v>
      </c>
      <c r="BF182" s="9">
        <v>18.87</v>
      </c>
      <c r="BG182" s="10">
        <v>44409</v>
      </c>
      <c r="BH182" s="9">
        <f t="shared" si="101"/>
        <v>936.03</v>
      </c>
      <c r="BI182" s="9">
        <f t="shared" si="102"/>
        <v>8081.82</v>
      </c>
      <c r="BJ182" s="9">
        <f t="shared" si="103"/>
        <v>4702.9799999999996</v>
      </c>
      <c r="BK182" s="9">
        <f t="shared" si="104"/>
        <v>890.37</v>
      </c>
      <c r="BL182" s="9">
        <f t="shared" si="105"/>
        <v>4931.28</v>
      </c>
      <c r="BM182" s="9">
        <f t="shared" si="106"/>
        <v>821.88</v>
      </c>
      <c r="BN182" s="9">
        <f t="shared" si="107"/>
        <v>0</v>
      </c>
      <c r="BO182" s="9">
        <f t="shared" si="108"/>
        <v>0</v>
      </c>
      <c r="BP182" s="9">
        <f t="shared" si="109"/>
        <v>570.75</v>
      </c>
      <c r="BQ182" s="9">
        <f t="shared" si="110"/>
        <v>342.45</v>
      </c>
      <c r="BR182" s="9">
        <f t="shared" si="111"/>
        <v>1461.12</v>
      </c>
      <c r="BS182" s="9">
        <f t="shared" si="112"/>
        <v>1369.8</v>
      </c>
      <c r="BT182" s="9">
        <f t="shared" si="113"/>
        <v>159.81</v>
      </c>
      <c r="BU182" s="9">
        <f t="shared" si="114"/>
        <v>10456.14</v>
      </c>
      <c r="BV182" s="9">
        <f t="shared" si="115"/>
        <v>251.13</v>
      </c>
      <c r="BW182" s="9">
        <f t="shared" si="116"/>
        <v>3858.27</v>
      </c>
      <c r="BX182" s="9">
        <f t="shared" si="117"/>
        <v>4246.38</v>
      </c>
      <c r="BY182" s="17">
        <f t="shared" si="118"/>
        <v>43080.21</v>
      </c>
      <c r="BZ182" s="17">
        <v>3.63</v>
      </c>
      <c r="CA182" s="17">
        <v>0.03</v>
      </c>
      <c r="CB182" s="173">
        <v>0</v>
      </c>
      <c r="CC182" s="27">
        <v>0.02</v>
      </c>
      <c r="CD182" s="29">
        <v>6.33</v>
      </c>
      <c r="CE182" s="9">
        <v>3416.32</v>
      </c>
      <c r="CF182" s="9"/>
      <c r="CG182" s="9">
        <v>0</v>
      </c>
      <c r="CH182" s="9">
        <v>0</v>
      </c>
      <c r="CI182" s="9">
        <f t="shared" si="129"/>
        <v>1.5</v>
      </c>
      <c r="CJ182" s="9">
        <f t="shared" si="130"/>
        <v>0</v>
      </c>
      <c r="CK182" s="13">
        <f t="shared" si="131"/>
        <v>0</v>
      </c>
      <c r="CL182" s="13">
        <f t="shared" si="132"/>
        <v>0</v>
      </c>
      <c r="CM182" s="13">
        <v>34335.879999999997</v>
      </c>
      <c r="CN182" s="13">
        <v>2729.38</v>
      </c>
      <c r="CO182" s="13">
        <v>0</v>
      </c>
      <c r="CP182" s="13">
        <v>0</v>
      </c>
      <c r="CQ182" s="13">
        <v>0</v>
      </c>
      <c r="CR182" s="13">
        <v>31367.37</v>
      </c>
      <c r="CS182" s="13">
        <v>2649.59</v>
      </c>
      <c r="CT182" s="13">
        <v>0</v>
      </c>
      <c r="CU182" s="13">
        <v>7.73</v>
      </c>
      <c r="CV182" s="13">
        <v>5.21</v>
      </c>
      <c r="CW182" s="202">
        <v>1989</v>
      </c>
      <c r="CX182" s="200">
        <v>1141</v>
      </c>
      <c r="CY182" s="202"/>
      <c r="CZ182" s="202"/>
      <c r="DA182" s="202"/>
      <c r="DB182" s="202"/>
      <c r="DC182" s="202"/>
      <c r="DD182" s="461"/>
      <c r="DE182" s="256"/>
      <c r="DF182" s="204">
        <v>811</v>
      </c>
      <c r="DG182" s="204"/>
      <c r="DH182" s="204"/>
      <c r="DI182" s="204"/>
      <c r="DJ182" s="202"/>
      <c r="DK182" s="202"/>
      <c r="DL182" s="202"/>
      <c r="DM182" s="202"/>
      <c r="DN182" s="202"/>
      <c r="DO182" s="202"/>
      <c r="DP182" s="202">
        <v>8829</v>
      </c>
      <c r="DQ182" s="202">
        <v>2074</v>
      </c>
      <c r="DR182" s="202">
        <v>1.22</v>
      </c>
      <c r="DS182" s="202"/>
      <c r="DT182" s="254"/>
      <c r="DU182" s="254"/>
      <c r="DV182" s="202"/>
      <c r="DW182" s="202">
        <v>8698</v>
      </c>
      <c r="DX182" s="202"/>
      <c r="DY182" s="107">
        <v>1365</v>
      </c>
      <c r="DZ182" s="107">
        <v>577</v>
      </c>
      <c r="EA182" s="202"/>
      <c r="EB182" s="202"/>
      <c r="EC182" s="202"/>
      <c r="ED182" s="202"/>
      <c r="EE182" s="202"/>
      <c r="EF182" s="229"/>
      <c r="EG182" s="202"/>
      <c r="EH182" s="202"/>
      <c r="EI182" s="202"/>
      <c r="EJ182" s="202"/>
      <c r="EK182" s="202">
        <v>3416.32</v>
      </c>
      <c r="EL182" s="202">
        <v>0</v>
      </c>
      <c r="EM182" s="202">
        <v>0</v>
      </c>
      <c r="EN182" s="202">
        <v>0</v>
      </c>
      <c r="EO182" s="202">
        <v>3416.32</v>
      </c>
      <c r="EP182" s="202"/>
      <c r="EQ182" s="202">
        <v>0</v>
      </c>
      <c r="ER182" s="202">
        <v>0</v>
      </c>
      <c r="ES182" s="202"/>
      <c r="ET182" s="202"/>
      <c r="EU182" s="202"/>
      <c r="EV182" s="214">
        <v>-0.28999999999999998</v>
      </c>
      <c r="EW182" s="240">
        <f t="shared" si="119"/>
        <v>4993.29</v>
      </c>
      <c r="EX182" s="209">
        <f t="shared" si="120"/>
        <v>3249.9</v>
      </c>
    </row>
    <row r="183" spans="1:154" ht="12.75" customHeight="1" x14ac:dyDescent="0.2">
      <c r="A183" s="45" t="s">
        <v>263</v>
      </c>
      <c r="B183" s="60" t="s">
        <v>221</v>
      </c>
      <c r="C183" s="61" t="s">
        <v>79</v>
      </c>
      <c r="D183" s="62" t="s">
        <v>575</v>
      </c>
      <c r="E183" s="61" t="s">
        <v>9</v>
      </c>
      <c r="F183" s="11">
        <v>10</v>
      </c>
      <c r="G183" s="11">
        <v>4</v>
      </c>
      <c r="H183" s="11">
        <v>160</v>
      </c>
      <c r="I183" s="11">
        <v>160</v>
      </c>
      <c r="J183" s="11">
        <v>363</v>
      </c>
      <c r="K183" s="11">
        <v>418</v>
      </c>
      <c r="L183" s="11">
        <v>4</v>
      </c>
      <c r="M183" s="84">
        <v>937</v>
      </c>
      <c r="N183" s="84">
        <v>1164</v>
      </c>
      <c r="O183" s="84">
        <v>1164</v>
      </c>
      <c r="P183" s="139">
        <f>492+547.3</f>
        <v>1039.3</v>
      </c>
      <c r="Q183" s="135">
        <v>1164</v>
      </c>
      <c r="R183" s="133">
        <v>1187</v>
      </c>
      <c r="S183" s="133">
        <f t="shared" si="121"/>
        <v>3390.3</v>
      </c>
      <c r="T183" s="139">
        <v>937</v>
      </c>
      <c r="U183" s="130">
        <v>2.74</v>
      </c>
      <c r="V183" s="91">
        <v>1.1299999999999999E-2</v>
      </c>
      <c r="W183" s="91">
        <v>1.1299999999999999E-2</v>
      </c>
      <c r="X183" s="132">
        <v>7.5000000000000002E-4</v>
      </c>
      <c r="Y183" s="91">
        <v>2.2499999999999999E-2</v>
      </c>
      <c r="Z183" s="29">
        <v>8588.4699999999993</v>
      </c>
      <c r="AA183" s="34"/>
      <c r="AB183" s="9">
        <f t="shared" si="133"/>
        <v>8588.4699999999993</v>
      </c>
      <c r="AC183" s="9">
        <f t="shared" si="135"/>
        <v>54365.02</v>
      </c>
      <c r="AD183" s="9">
        <v>1.54</v>
      </c>
      <c r="AE183" s="9">
        <v>4.5599999999999996</v>
      </c>
      <c r="AF183" s="21">
        <f>2.49-AJ183</f>
        <v>2.36</v>
      </c>
      <c r="AG183" s="18">
        <f>0.62-AQ183</f>
        <v>0.56999999999999995</v>
      </c>
      <c r="AH183" s="9">
        <v>2.4700000000000002</v>
      </c>
      <c r="AI183" s="43">
        <v>1117</v>
      </c>
      <c r="AJ183" s="21">
        <f t="shared" si="99"/>
        <v>0.13</v>
      </c>
      <c r="AK183" s="9">
        <v>2</v>
      </c>
      <c r="AL183" s="9">
        <v>0.17</v>
      </c>
      <c r="AM183" s="9">
        <v>0.11</v>
      </c>
      <c r="AN183" s="13"/>
      <c r="AO183" s="13">
        <v>982.4</v>
      </c>
      <c r="AP183" s="13">
        <f t="shared" si="123"/>
        <v>5.58</v>
      </c>
      <c r="AQ183" s="18">
        <f t="shared" si="98"/>
        <v>0.05</v>
      </c>
      <c r="AR183" s="9">
        <v>0.56000000000000005</v>
      </c>
      <c r="AS183" s="9">
        <v>0.16</v>
      </c>
      <c r="AT183" s="9">
        <v>7.0000000000000007E-2</v>
      </c>
      <c r="AU183" s="9">
        <v>4.37</v>
      </c>
      <c r="AV183" s="9">
        <v>0.16</v>
      </c>
      <c r="AW183" s="9">
        <f>0.26+0.39+1.32</f>
        <v>1.97</v>
      </c>
      <c r="AX183" s="9">
        <f>1.86+0.51</f>
        <v>2.37</v>
      </c>
      <c r="AY183" s="63">
        <f t="shared" si="124"/>
        <v>23.62</v>
      </c>
      <c r="AZ183" s="64">
        <v>8614.1</v>
      </c>
      <c r="BA183" s="64">
        <v>0</v>
      </c>
      <c r="BB183" s="64">
        <f t="shared" si="134"/>
        <v>8614.1</v>
      </c>
      <c r="BC183" s="64">
        <v>23.62</v>
      </c>
      <c r="BD183" s="13">
        <f t="shared" si="122"/>
        <v>0</v>
      </c>
      <c r="BE183" s="9">
        <f t="shared" si="100"/>
        <v>202859.66</v>
      </c>
      <c r="BF183" s="9">
        <v>23.62</v>
      </c>
      <c r="BG183" s="10">
        <v>44409</v>
      </c>
      <c r="BH183" s="9">
        <f t="shared" si="101"/>
        <v>13226.24</v>
      </c>
      <c r="BI183" s="9">
        <f t="shared" si="102"/>
        <v>39163.42</v>
      </c>
      <c r="BJ183" s="9">
        <f t="shared" si="103"/>
        <v>20268.79</v>
      </c>
      <c r="BK183" s="9">
        <f t="shared" si="104"/>
        <v>4895.43</v>
      </c>
      <c r="BL183" s="9">
        <f t="shared" si="105"/>
        <v>21213.52</v>
      </c>
      <c r="BM183" s="9">
        <f t="shared" si="106"/>
        <v>1116.5</v>
      </c>
      <c r="BN183" s="9">
        <f t="shared" si="107"/>
        <v>17176.939999999999</v>
      </c>
      <c r="BO183" s="9">
        <f t="shared" si="108"/>
        <v>1460.04</v>
      </c>
      <c r="BP183" s="9">
        <f t="shared" si="109"/>
        <v>944.73</v>
      </c>
      <c r="BQ183" s="9">
        <f t="shared" si="110"/>
        <v>429.42</v>
      </c>
      <c r="BR183" s="9">
        <f t="shared" si="111"/>
        <v>4809.54</v>
      </c>
      <c r="BS183" s="9">
        <f t="shared" si="112"/>
        <v>1374.16</v>
      </c>
      <c r="BT183" s="9">
        <f t="shared" si="113"/>
        <v>601.19000000000005</v>
      </c>
      <c r="BU183" s="9">
        <f t="shared" si="114"/>
        <v>37531.61</v>
      </c>
      <c r="BV183" s="9">
        <f t="shared" si="115"/>
        <v>1374.16</v>
      </c>
      <c r="BW183" s="9">
        <f t="shared" si="116"/>
        <v>16919.29</v>
      </c>
      <c r="BX183" s="9">
        <f t="shared" si="117"/>
        <v>20354.669999999998</v>
      </c>
      <c r="BY183" s="17">
        <f t="shared" si="118"/>
        <v>202859.65</v>
      </c>
      <c r="BZ183" s="17">
        <v>3.88</v>
      </c>
      <c r="CA183" s="17">
        <v>0.03</v>
      </c>
      <c r="CB183" s="17">
        <v>0.22</v>
      </c>
      <c r="CC183" s="27">
        <v>0.04</v>
      </c>
      <c r="CD183" s="29">
        <v>6.33</v>
      </c>
      <c r="CE183" s="9">
        <v>54500.44</v>
      </c>
      <c r="CF183" s="9"/>
      <c r="CG183" s="9">
        <v>0</v>
      </c>
      <c r="CH183" s="9">
        <v>149.80000000000001</v>
      </c>
      <c r="CI183" s="9">
        <f t="shared" si="129"/>
        <v>6.35</v>
      </c>
      <c r="CJ183" s="9">
        <f t="shared" si="130"/>
        <v>0</v>
      </c>
      <c r="CK183" s="13">
        <f t="shared" si="131"/>
        <v>0</v>
      </c>
      <c r="CL183" s="13">
        <f t="shared" si="132"/>
        <v>0.02</v>
      </c>
      <c r="CM183" s="13">
        <v>202911.65</v>
      </c>
      <c r="CN183" s="13">
        <v>20798</v>
      </c>
      <c r="CO183" s="13">
        <v>11340.18</v>
      </c>
      <c r="CP183" s="13">
        <v>7.0000000000000007E-2</v>
      </c>
      <c r="CQ183" s="13">
        <v>171.9</v>
      </c>
      <c r="CR183" s="13">
        <v>229356.92</v>
      </c>
      <c r="CS183" s="13">
        <v>33946.629999999997</v>
      </c>
      <c r="CT183" s="13">
        <v>16714.13</v>
      </c>
      <c r="CU183" s="13">
        <v>53.97</v>
      </c>
      <c r="CV183" s="13">
        <v>218.51</v>
      </c>
      <c r="CW183" s="202">
        <v>7483</v>
      </c>
      <c r="CX183" s="200">
        <v>4293</v>
      </c>
      <c r="CY183" s="202"/>
      <c r="CZ183" s="202"/>
      <c r="DA183" s="202"/>
      <c r="DB183" s="202"/>
      <c r="DC183" s="202"/>
      <c r="DD183" s="461"/>
      <c r="DE183" s="256"/>
      <c r="DF183" s="202"/>
      <c r="DG183" s="202"/>
      <c r="DH183" s="202"/>
      <c r="DI183" s="204">
        <v>1117</v>
      </c>
      <c r="DJ183" s="202">
        <v>17200</v>
      </c>
      <c r="DK183" s="202"/>
      <c r="DL183" s="202"/>
      <c r="DM183" s="202"/>
      <c r="DN183" s="202"/>
      <c r="DO183" s="202"/>
      <c r="DP183" s="202">
        <v>51456</v>
      </c>
      <c r="DQ183" s="202">
        <v>2822</v>
      </c>
      <c r="DR183" s="202">
        <v>1.66</v>
      </c>
      <c r="DS183" s="202"/>
      <c r="DT183" s="254"/>
      <c r="DU183" s="254"/>
      <c r="DV183" s="202"/>
      <c r="DW183" s="202">
        <v>38589</v>
      </c>
      <c r="DX183" s="202"/>
      <c r="DY183" s="107">
        <v>1365</v>
      </c>
      <c r="DZ183" s="107"/>
      <c r="EA183" s="202"/>
      <c r="EB183" s="202"/>
      <c r="EC183" s="202"/>
      <c r="ED183" s="202"/>
      <c r="EE183" s="202"/>
      <c r="EF183" s="229"/>
      <c r="EG183" s="202"/>
      <c r="EH183" s="202"/>
      <c r="EI183" s="202"/>
      <c r="EJ183" s="202"/>
      <c r="EK183" s="202">
        <v>46774.6</v>
      </c>
      <c r="EL183" s="202">
        <v>11367.27</v>
      </c>
      <c r="EM183" s="202">
        <v>0</v>
      </c>
      <c r="EN183" s="202">
        <v>149.80000000000001</v>
      </c>
      <c r="EO183" s="202">
        <v>46774.6</v>
      </c>
      <c r="EP183" s="202"/>
      <c r="EQ183" s="202">
        <v>0</v>
      </c>
      <c r="ER183" s="202">
        <v>149.80000000000001</v>
      </c>
      <c r="ES183" s="202"/>
      <c r="ET183" s="202"/>
      <c r="EU183" s="202"/>
      <c r="EV183" s="214">
        <f>-8.35+32590.7</f>
        <v>32582.35</v>
      </c>
      <c r="EW183" s="240">
        <f t="shared" si="119"/>
        <v>18784.36</v>
      </c>
      <c r="EX183" s="209">
        <f t="shared" si="120"/>
        <v>12225.86</v>
      </c>
    </row>
    <row r="184" spans="1:154" ht="12.75" customHeight="1" x14ac:dyDescent="0.2">
      <c r="A184" s="45" t="s">
        <v>264</v>
      </c>
      <c r="B184" s="51" t="s">
        <v>221</v>
      </c>
      <c r="C184" s="52" t="s">
        <v>32</v>
      </c>
      <c r="D184" s="53" t="s">
        <v>479</v>
      </c>
      <c r="E184" s="52" t="s">
        <v>12</v>
      </c>
      <c r="F184" s="11">
        <v>5</v>
      </c>
      <c r="G184" s="11">
        <v>4</v>
      </c>
      <c r="H184" s="11">
        <v>52</v>
      </c>
      <c r="I184" s="11">
        <v>73</v>
      </c>
      <c r="J184" s="11">
        <v>137</v>
      </c>
      <c r="K184" s="11">
        <v>162</v>
      </c>
      <c r="L184" s="11" t="s">
        <v>746</v>
      </c>
      <c r="M184" s="84">
        <v>315</v>
      </c>
      <c r="N184" s="84">
        <v>720</v>
      </c>
      <c r="O184" s="84">
        <v>720</v>
      </c>
      <c r="P184" s="139">
        <v>327</v>
      </c>
      <c r="Q184" s="135">
        <v>753.1</v>
      </c>
      <c r="R184" s="135">
        <v>753.1</v>
      </c>
      <c r="S184" s="133">
        <f t="shared" si="121"/>
        <v>1833.2</v>
      </c>
      <c r="T184" s="139">
        <v>315</v>
      </c>
      <c r="U184" s="130">
        <v>1.53</v>
      </c>
      <c r="V184" s="91">
        <v>1.1299999999999999E-2</v>
      </c>
      <c r="W184" s="91" t="s">
        <v>823</v>
      </c>
      <c r="X184" s="132" t="s">
        <v>823</v>
      </c>
      <c r="Y184" s="91">
        <v>1.1299999999999999E-2</v>
      </c>
      <c r="Z184" s="29">
        <v>3170.27</v>
      </c>
      <c r="AA184" s="34">
        <v>529.9</v>
      </c>
      <c r="AB184" s="9">
        <f t="shared" si="133"/>
        <v>3700.17</v>
      </c>
      <c r="AC184" s="9">
        <f t="shared" si="135"/>
        <v>23422.080000000002</v>
      </c>
      <c r="AD184" s="9">
        <v>0.38</v>
      </c>
      <c r="AE184" s="9">
        <v>4.43</v>
      </c>
      <c r="AF184" s="21">
        <f>2.42-AJ184</f>
        <v>2.08</v>
      </c>
      <c r="AG184" s="18">
        <f>0.52-AQ184</f>
        <v>0.4</v>
      </c>
      <c r="AH184" s="9">
        <v>2.16</v>
      </c>
      <c r="AI184" s="13">
        <v>1258</v>
      </c>
      <c r="AJ184" s="21">
        <f t="shared" si="99"/>
        <v>0.34</v>
      </c>
      <c r="AK184" s="9">
        <v>0</v>
      </c>
      <c r="AL184" s="9">
        <v>0</v>
      </c>
      <c r="AM184" s="9">
        <v>0.16</v>
      </c>
      <c r="AN184" s="13">
        <v>328</v>
      </c>
      <c r="AO184" s="13">
        <v>656</v>
      </c>
      <c r="AP184" s="13">
        <f t="shared" si="123"/>
        <v>5.58</v>
      </c>
      <c r="AQ184" s="18">
        <f t="shared" si="98"/>
        <v>0.12</v>
      </c>
      <c r="AR184" s="9">
        <v>0.56000000000000005</v>
      </c>
      <c r="AS184" s="9">
        <v>0.37</v>
      </c>
      <c r="AT184" s="9">
        <v>7.0000000000000007E-2</v>
      </c>
      <c r="AU184" s="9">
        <v>3.91</v>
      </c>
      <c r="AV184" s="9">
        <v>0.11</v>
      </c>
      <c r="AW184" s="9">
        <f>0.27+0.99+0.35</f>
        <v>1.61</v>
      </c>
      <c r="AX184" s="9">
        <f>1.35+0.46</f>
        <v>1.81</v>
      </c>
      <c r="AY184" s="54">
        <f t="shared" si="124"/>
        <v>18.510000000000002</v>
      </c>
      <c r="AZ184" s="43">
        <v>3169.92</v>
      </c>
      <c r="BA184" s="43">
        <v>529.9</v>
      </c>
      <c r="BB184" s="43">
        <f t="shared" si="134"/>
        <v>3699.82</v>
      </c>
      <c r="BC184" s="43">
        <v>18.510000000000002</v>
      </c>
      <c r="BD184" s="13">
        <f t="shared" si="122"/>
        <v>0</v>
      </c>
      <c r="BE184" s="9">
        <f t="shared" si="100"/>
        <v>68490.149999999994</v>
      </c>
      <c r="BF184" s="9">
        <v>18.510000000000002</v>
      </c>
      <c r="BG184" s="10">
        <v>44378</v>
      </c>
      <c r="BH184" s="9">
        <f t="shared" si="101"/>
        <v>1406.06</v>
      </c>
      <c r="BI184" s="9">
        <f t="shared" si="102"/>
        <v>16391.75</v>
      </c>
      <c r="BJ184" s="9">
        <f t="shared" si="103"/>
        <v>7696.35</v>
      </c>
      <c r="BK184" s="9">
        <f t="shared" si="104"/>
        <v>1480.07</v>
      </c>
      <c r="BL184" s="9">
        <f t="shared" si="105"/>
        <v>7992.37</v>
      </c>
      <c r="BM184" s="9">
        <f t="shared" si="106"/>
        <v>1258.06</v>
      </c>
      <c r="BN184" s="9">
        <f t="shared" si="107"/>
        <v>0</v>
      </c>
      <c r="BO184" s="9">
        <f t="shared" si="108"/>
        <v>0</v>
      </c>
      <c r="BP184" s="9">
        <f t="shared" si="109"/>
        <v>592.03</v>
      </c>
      <c r="BQ184" s="9">
        <f t="shared" si="110"/>
        <v>444.02</v>
      </c>
      <c r="BR184" s="9">
        <f t="shared" si="111"/>
        <v>2072.1</v>
      </c>
      <c r="BS184" s="9">
        <f t="shared" si="112"/>
        <v>1369.06</v>
      </c>
      <c r="BT184" s="9">
        <f t="shared" si="113"/>
        <v>259.01</v>
      </c>
      <c r="BU184" s="9">
        <f t="shared" si="114"/>
        <v>14467.66</v>
      </c>
      <c r="BV184" s="9">
        <f t="shared" si="115"/>
        <v>407.02</v>
      </c>
      <c r="BW184" s="9">
        <f t="shared" si="116"/>
        <v>5957.27</v>
      </c>
      <c r="BX184" s="9">
        <f t="shared" si="117"/>
        <v>6697.31</v>
      </c>
      <c r="BY184" s="17">
        <f t="shared" si="118"/>
        <v>68490.14</v>
      </c>
      <c r="BZ184" s="17">
        <v>2.67</v>
      </c>
      <c r="CA184" s="17">
        <v>0.03</v>
      </c>
      <c r="CB184" s="173">
        <v>0</v>
      </c>
      <c r="CC184" s="27">
        <v>0.01</v>
      </c>
      <c r="CD184" s="29">
        <v>6.33</v>
      </c>
      <c r="CE184" s="9">
        <v>1845.87</v>
      </c>
      <c r="CF184" s="9"/>
      <c r="CG184" s="9">
        <v>0</v>
      </c>
      <c r="CH184" s="9">
        <v>0</v>
      </c>
      <c r="CI184" s="9">
        <f t="shared" si="129"/>
        <v>0.5</v>
      </c>
      <c r="CJ184" s="9">
        <f t="shared" si="130"/>
        <v>0</v>
      </c>
      <c r="CK184" s="13">
        <f t="shared" si="131"/>
        <v>0</v>
      </c>
      <c r="CL184" s="13">
        <f t="shared" si="132"/>
        <v>0</v>
      </c>
      <c r="CM184" s="13">
        <v>58681.73</v>
      </c>
      <c r="CN184" s="13">
        <v>1585.09</v>
      </c>
      <c r="CO184" s="13">
        <v>0</v>
      </c>
      <c r="CP184" s="13">
        <v>0</v>
      </c>
      <c r="CQ184" s="13">
        <v>0</v>
      </c>
      <c r="CR184" s="13">
        <v>68821.710000000006</v>
      </c>
      <c r="CS184" s="13">
        <v>2336.2399999999998</v>
      </c>
      <c r="CT184" s="13">
        <v>0</v>
      </c>
      <c r="CU184" s="13">
        <v>15.21</v>
      </c>
      <c r="CV184" s="13">
        <v>5.08</v>
      </c>
      <c r="CW184" s="202">
        <v>3224</v>
      </c>
      <c r="CX184" s="200">
        <v>1849</v>
      </c>
      <c r="CY184" s="202"/>
      <c r="CZ184" s="202"/>
      <c r="DA184" s="202"/>
      <c r="DB184" s="202"/>
      <c r="DC184" s="202"/>
      <c r="DD184" s="461"/>
      <c r="DE184" s="256"/>
      <c r="DF184" s="204">
        <v>1258</v>
      </c>
      <c r="DG184" s="204"/>
      <c r="DH184" s="204"/>
      <c r="DI184" s="204"/>
      <c r="DJ184" s="202"/>
      <c r="DK184" s="202"/>
      <c r="DL184" s="202"/>
      <c r="DM184" s="202"/>
      <c r="DN184" s="202"/>
      <c r="DO184" s="202"/>
      <c r="DP184" s="202">
        <v>17438</v>
      </c>
      <c r="DQ184" s="202">
        <v>2074</v>
      </c>
      <c r="DR184" s="202">
        <v>1.22</v>
      </c>
      <c r="DS184" s="202"/>
      <c r="DT184" s="254"/>
      <c r="DU184" s="254"/>
      <c r="DV184" s="202"/>
      <c r="DW184" s="202">
        <v>14244</v>
      </c>
      <c r="DX184" s="202"/>
      <c r="DY184" s="107">
        <v>1365</v>
      </c>
      <c r="DZ184" s="107">
        <v>577</v>
      </c>
      <c r="EA184" s="202"/>
      <c r="EB184" s="202"/>
      <c r="EC184" s="202"/>
      <c r="ED184" s="202"/>
      <c r="EE184" s="202"/>
      <c r="EF184" s="229"/>
      <c r="EG184" s="202"/>
      <c r="EH184" s="202"/>
      <c r="EI184" s="202"/>
      <c r="EJ184" s="202"/>
      <c r="EK184" s="202">
        <v>1845.87</v>
      </c>
      <c r="EL184" s="202">
        <v>0</v>
      </c>
      <c r="EM184" s="202">
        <v>0</v>
      </c>
      <c r="EN184" s="202">
        <v>0</v>
      </c>
      <c r="EO184" s="202">
        <v>1845.87</v>
      </c>
      <c r="EP184" s="202"/>
      <c r="EQ184" s="202">
        <v>0</v>
      </c>
      <c r="ER184" s="202">
        <v>0</v>
      </c>
      <c r="ES184" s="202"/>
      <c r="ET184" s="202"/>
      <c r="EU184" s="202"/>
      <c r="EV184" s="214">
        <v>-1.41</v>
      </c>
      <c r="EW184" s="240">
        <f t="shared" si="119"/>
        <v>8092.86</v>
      </c>
      <c r="EX184" s="209">
        <f t="shared" si="120"/>
        <v>5267.27</v>
      </c>
    </row>
    <row r="185" spans="1:154" ht="12.75" customHeight="1" x14ac:dyDescent="0.2">
      <c r="A185" s="45" t="s">
        <v>265</v>
      </c>
      <c r="B185" s="51" t="s">
        <v>221</v>
      </c>
      <c r="C185" s="52" t="s">
        <v>34</v>
      </c>
      <c r="D185" s="53" t="s">
        <v>480</v>
      </c>
      <c r="E185" s="52" t="s">
        <v>12</v>
      </c>
      <c r="F185" s="11">
        <v>5</v>
      </c>
      <c r="G185" s="11">
        <v>3</v>
      </c>
      <c r="H185" s="11">
        <v>48</v>
      </c>
      <c r="I185" s="11">
        <v>49</v>
      </c>
      <c r="J185" s="11">
        <v>98</v>
      </c>
      <c r="K185" s="11">
        <v>112</v>
      </c>
      <c r="L185" s="11" t="s">
        <v>746</v>
      </c>
      <c r="M185" s="84">
        <v>315</v>
      </c>
      <c r="N185" s="84">
        <v>687.2</v>
      </c>
      <c r="O185" s="84">
        <v>687.2</v>
      </c>
      <c r="P185" s="135">
        <f>7.6+182.5</f>
        <v>190.1</v>
      </c>
      <c r="Q185" s="135">
        <v>0</v>
      </c>
      <c r="R185" s="133">
        <v>342.2</v>
      </c>
      <c r="S185" s="133">
        <f t="shared" si="121"/>
        <v>532.29999999999995</v>
      </c>
      <c r="T185" s="134">
        <v>315</v>
      </c>
      <c r="U185" s="130">
        <v>1.53</v>
      </c>
      <c r="V185" s="91">
        <v>1.1299999999999999E-2</v>
      </c>
      <c r="W185" s="91" t="s">
        <v>823</v>
      </c>
      <c r="X185" s="132" t="s">
        <v>823</v>
      </c>
      <c r="Y185" s="91">
        <v>1.1299999999999999E-2</v>
      </c>
      <c r="Z185" s="29">
        <v>1996.4</v>
      </c>
      <c r="AA185" s="34">
        <v>499.2</v>
      </c>
      <c r="AB185" s="9">
        <f t="shared" si="133"/>
        <v>2495.6</v>
      </c>
      <c r="AC185" s="9">
        <f t="shared" si="135"/>
        <v>15797.15</v>
      </c>
      <c r="AD185" s="9">
        <v>0.36</v>
      </c>
      <c r="AE185" s="9">
        <v>3.71</v>
      </c>
      <c r="AF185" s="21">
        <f>2.45-AJ185</f>
        <v>2.0099999999999998</v>
      </c>
      <c r="AG185" s="18">
        <f>0.53-AQ185</f>
        <v>0.39</v>
      </c>
      <c r="AH185" s="9">
        <v>2.16</v>
      </c>
      <c r="AI185" s="13">
        <v>1092</v>
      </c>
      <c r="AJ185" s="21">
        <f t="shared" si="99"/>
        <v>0.44</v>
      </c>
      <c r="AK185" s="9">
        <v>0</v>
      </c>
      <c r="AL185" s="9">
        <v>0</v>
      </c>
      <c r="AM185" s="9">
        <v>0.23</v>
      </c>
      <c r="AN185" s="13">
        <v>246</v>
      </c>
      <c r="AO185" s="13">
        <v>492</v>
      </c>
      <c r="AP185" s="13">
        <f t="shared" si="123"/>
        <v>5.58</v>
      </c>
      <c r="AQ185" s="18">
        <f t="shared" si="98"/>
        <v>0.14000000000000001</v>
      </c>
      <c r="AR185" s="9">
        <v>0.76</v>
      </c>
      <c r="AS185" s="9">
        <v>0.55000000000000004</v>
      </c>
      <c r="AT185" s="9">
        <v>7.0000000000000007E-2</v>
      </c>
      <c r="AU185" s="9">
        <v>4.4000000000000004</v>
      </c>
      <c r="AV185" s="9">
        <v>0.11</v>
      </c>
      <c r="AW185" s="9">
        <f>0.34+0.97+0.38</f>
        <v>1.69</v>
      </c>
      <c r="AX185" s="9">
        <f>1.34+0.52</f>
        <v>1.86</v>
      </c>
      <c r="AY185" s="54">
        <f t="shared" si="124"/>
        <v>18.88</v>
      </c>
      <c r="AZ185" s="43">
        <v>2002.8</v>
      </c>
      <c r="BA185" s="43">
        <v>499.2</v>
      </c>
      <c r="BB185" s="43">
        <f t="shared" si="134"/>
        <v>2502</v>
      </c>
      <c r="BC185" s="43">
        <v>18.88</v>
      </c>
      <c r="BD185" s="13">
        <f t="shared" si="122"/>
        <v>0</v>
      </c>
      <c r="BE185" s="9">
        <f t="shared" si="100"/>
        <v>47116.93</v>
      </c>
      <c r="BF185" s="9">
        <v>18.88</v>
      </c>
      <c r="BG185" s="10">
        <v>44409</v>
      </c>
      <c r="BH185" s="9">
        <f t="shared" si="101"/>
        <v>898.42</v>
      </c>
      <c r="BI185" s="9">
        <f t="shared" si="102"/>
        <v>9258.68</v>
      </c>
      <c r="BJ185" s="9">
        <f t="shared" si="103"/>
        <v>5016.16</v>
      </c>
      <c r="BK185" s="9">
        <f t="shared" si="104"/>
        <v>973.28</v>
      </c>
      <c r="BL185" s="9">
        <f t="shared" si="105"/>
        <v>5390.5</v>
      </c>
      <c r="BM185" s="9">
        <f t="shared" si="106"/>
        <v>1098.06</v>
      </c>
      <c r="BN185" s="9">
        <f t="shared" si="107"/>
        <v>0</v>
      </c>
      <c r="BO185" s="9">
        <f t="shared" si="108"/>
        <v>0</v>
      </c>
      <c r="BP185" s="9">
        <f t="shared" si="109"/>
        <v>573.99</v>
      </c>
      <c r="BQ185" s="9">
        <f t="shared" si="110"/>
        <v>349.38</v>
      </c>
      <c r="BR185" s="9">
        <f t="shared" si="111"/>
        <v>1896.66</v>
      </c>
      <c r="BS185" s="9">
        <f t="shared" si="112"/>
        <v>1372.58</v>
      </c>
      <c r="BT185" s="9">
        <f t="shared" si="113"/>
        <v>174.69</v>
      </c>
      <c r="BU185" s="9">
        <f t="shared" si="114"/>
        <v>10980.64</v>
      </c>
      <c r="BV185" s="9">
        <f t="shared" si="115"/>
        <v>274.52</v>
      </c>
      <c r="BW185" s="9">
        <f t="shared" si="116"/>
        <v>4217.5600000000004</v>
      </c>
      <c r="BX185" s="9">
        <f t="shared" si="117"/>
        <v>4641.82</v>
      </c>
      <c r="BY185" s="17">
        <f t="shared" si="118"/>
        <v>47116.94</v>
      </c>
      <c r="BZ185" s="17">
        <v>3.82</v>
      </c>
      <c r="CA185" s="17">
        <v>0.04</v>
      </c>
      <c r="CB185" s="173">
        <v>0</v>
      </c>
      <c r="CC185" s="27">
        <v>0.02</v>
      </c>
      <c r="CD185" s="29">
        <v>6.33</v>
      </c>
      <c r="CE185" s="9">
        <v>0</v>
      </c>
      <c r="CF185" s="9"/>
      <c r="CG185" s="9">
        <v>0</v>
      </c>
      <c r="CH185" s="9">
        <v>0</v>
      </c>
      <c r="CI185" s="9">
        <f t="shared" si="129"/>
        <v>0</v>
      </c>
      <c r="CJ185" s="9">
        <f t="shared" si="130"/>
        <v>0</v>
      </c>
      <c r="CK185" s="13">
        <f t="shared" si="131"/>
        <v>0</v>
      </c>
      <c r="CL185" s="13">
        <f t="shared" si="132"/>
        <v>0</v>
      </c>
      <c r="CM185" s="13">
        <v>37690.19</v>
      </c>
      <c r="CN185" s="13">
        <v>0</v>
      </c>
      <c r="CO185" s="13">
        <v>0</v>
      </c>
      <c r="CP185" s="13">
        <v>0</v>
      </c>
      <c r="CQ185" s="13">
        <v>0</v>
      </c>
      <c r="CR185" s="13">
        <v>34113.379999999997</v>
      </c>
      <c r="CS185" s="13">
        <v>1184.22</v>
      </c>
      <c r="CT185" s="13">
        <v>0</v>
      </c>
      <c r="CU185" s="13">
        <v>12.43</v>
      </c>
      <c r="CV185" s="13">
        <v>6.22</v>
      </c>
      <c r="CW185" s="202">
        <v>2174</v>
      </c>
      <c r="CX185" s="200">
        <v>1247</v>
      </c>
      <c r="CY185" s="202"/>
      <c r="CZ185" s="202"/>
      <c r="DA185" s="202"/>
      <c r="DB185" s="202"/>
      <c r="DC185" s="202"/>
      <c r="DD185" s="461"/>
      <c r="DE185" s="256"/>
      <c r="DF185" s="204">
        <v>1092</v>
      </c>
      <c r="DG185" s="204"/>
      <c r="DH185" s="204"/>
      <c r="DI185" s="204"/>
      <c r="DJ185" s="202"/>
      <c r="DK185" s="202"/>
      <c r="DL185" s="202"/>
      <c r="DM185" s="202"/>
      <c r="DN185" s="202"/>
      <c r="DO185" s="202"/>
      <c r="DP185" s="202">
        <v>10007</v>
      </c>
      <c r="DQ185" s="202">
        <v>2074</v>
      </c>
      <c r="DR185" s="202">
        <v>1.22</v>
      </c>
      <c r="DS185" s="202"/>
      <c r="DT185" s="254"/>
      <c r="DU185" s="254"/>
      <c r="DV185" s="202"/>
      <c r="DW185" s="202">
        <v>9477</v>
      </c>
      <c r="DX185" s="202"/>
      <c r="DY185" s="107">
        <v>1365</v>
      </c>
      <c r="DZ185" s="107">
        <v>577</v>
      </c>
      <c r="EA185" s="202"/>
      <c r="EB185" s="202"/>
      <c r="EC185" s="202"/>
      <c r="ED185" s="202"/>
      <c r="EE185" s="202"/>
      <c r="EF185" s="229"/>
      <c r="EG185" s="202"/>
      <c r="EH185" s="202"/>
      <c r="EI185" s="202"/>
      <c r="EJ185" s="202"/>
      <c r="EK185" s="202">
        <v>0</v>
      </c>
      <c r="EL185" s="202">
        <v>0</v>
      </c>
      <c r="EM185" s="202">
        <v>0</v>
      </c>
      <c r="EN185" s="202">
        <v>0</v>
      </c>
      <c r="EO185" s="202">
        <v>0</v>
      </c>
      <c r="EP185" s="202"/>
      <c r="EQ185" s="202">
        <v>0</v>
      </c>
      <c r="ER185" s="202">
        <v>0</v>
      </c>
      <c r="ES185" s="202"/>
      <c r="ET185" s="202"/>
      <c r="EU185" s="202"/>
      <c r="EV185" s="214">
        <v>-1.41</v>
      </c>
      <c r="EW185" s="240">
        <f t="shared" si="119"/>
        <v>5458.28</v>
      </c>
      <c r="EX185" s="209">
        <f t="shared" si="120"/>
        <v>3552.54</v>
      </c>
    </row>
    <row r="186" spans="1:154" ht="12.75" customHeight="1" x14ac:dyDescent="0.2">
      <c r="A186" s="45" t="s">
        <v>266</v>
      </c>
      <c r="B186" s="60" t="s">
        <v>221</v>
      </c>
      <c r="C186" s="61" t="s">
        <v>235</v>
      </c>
      <c r="D186" s="62" t="s">
        <v>481</v>
      </c>
      <c r="E186" s="61" t="s">
        <v>12</v>
      </c>
      <c r="F186" s="11">
        <v>9</v>
      </c>
      <c r="G186" s="11">
        <v>4</v>
      </c>
      <c r="H186" s="11">
        <v>143</v>
      </c>
      <c r="I186" s="11">
        <v>142</v>
      </c>
      <c r="J186" s="11">
        <v>354</v>
      </c>
      <c r="K186" s="11">
        <v>392</v>
      </c>
      <c r="L186" s="83">
        <v>4</v>
      </c>
      <c r="M186" s="84">
        <v>924.8</v>
      </c>
      <c r="N186" s="84">
        <v>910</v>
      </c>
      <c r="O186" s="84">
        <v>0</v>
      </c>
      <c r="P186" s="135">
        <f>682.9+500.3</f>
        <v>1183.2</v>
      </c>
      <c r="Q186" s="135">
        <v>910</v>
      </c>
      <c r="R186" s="133">
        <v>0</v>
      </c>
      <c r="S186" s="133">
        <f t="shared" si="121"/>
        <v>2093.1999999999998</v>
      </c>
      <c r="T186" s="134">
        <v>1186.2</v>
      </c>
      <c r="U186" s="130">
        <v>2.44</v>
      </c>
      <c r="V186" s="131">
        <v>1.9800000000000002E-2</v>
      </c>
      <c r="W186" s="131">
        <v>1.9800000000000002E-2</v>
      </c>
      <c r="X186" s="132">
        <v>1.32E-3</v>
      </c>
      <c r="Y186" s="131">
        <v>3.9699999999999999E-2</v>
      </c>
      <c r="Z186" s="29">
        <v>7469.9</v>
      </c>
      <c r="AA186" s="34">
        <v>331.3</v>
      </c>
      <c r="AB186" s="9">
        <f t="shared" si="133"/>
        <v>7801.2</v>
      </c>
      <c r="AC186" s="9">
        <f t="shared" si="135"/>
        <v>49381.599999999999</v>
      </c>
      <c r="AD186" s="9">
        <v>2.11</v>
      </c>
      <c r="AE186" s="9">
        <v>3.73</v>
      </c>
      <c r="AF186" s="21">
        <f>2.47-AJ186</f>
        <v>2.33</v>
      </c>
      <c r="AG186" s="18">
        <f>0.64-AQ186</f>
        <v>0.59</v>
      </c>
      <c r="AH186" s="9">
        <v>2.78</v>
      </c>
      <c r="AI186" s="43">
        <v>1096</v>
      </c>
      <c r="AJ186" s="21">
        <f t="shared" si="99"/>
        <v>0.14000000000000001</v>
      </c>
      <c r="AK186" s="9">
        <v>2.23</v>
      </c>
      <c r="AL186" s="9">
        <v>0.19</v>
      </c>
      <c r="AM186" s="9">
        <v>0</v>
      </c>
      <c r="AN186" s="13"/>
      <c r="AO186" s="13">
        <v>844.8</v>
      </c>
      <c r="AP186" s="13">
        <f t="shared" si="123"/>
        <v>5.58</v>
      </c>
      <c r="AQ186" s="18">
        <f t="shared" si="98"/>
        <v>0.05</v>
      </c>
      <c r="AR186" s="9">
        <v>0.57999999999999996</v>
      </c>
      <c r="AS186" s="9">
        <v>0.18</v>
      </c>
      <c r="AT186" s="9">
        <v>7.0000000000000007E-2</v>
      </c>
      <c r="AU186" s="9">
        <v>4.9800000000000004</v>
      </c>
      <c r="AV186" s="9">
        <v>0.15</v>
      </c>
      <c r="AW186" s="9">
        <f>0.27+0.39+1.34</f>
        <v>2</v>
      </c>
      <c r="AX186" s="9">
        <f>1.89+0.51</f>
        <v>2.4</v>
      </c>
      <c r="AY186" s="63">
        <f t="shared" si="124"/>
        <v>24.51</v>
      </c>
      <c r="AZ186" s="64">
        <v>7393.2</v>
      </c>
      <c r="BA186" s="64">
        <v>331.3</v>
      </c>
      <c r="BB186" s="64">
        <f t="shared" si="134"/>
        <v>7724.5</v>
      </c>
      <c r="BC186" s="64">
        <v>24.51</v>
      </c>
      <c r="BD186" s="13">
        <f t="shared" si="122"/>
        <v>0</v>
      </c>
      <c r="BE186" s="9">
        <f t="shared" si="100"/>
        <v>191207.41</v>
      </c>
      <c r="BF186" s="9">
        <v>24.51</v>
      </c>
      <c r="BG186" s="10">
        <v>44409</v>
      </c>
      <c r="BH186" s="9">
        <f t="shared" si="101"/>
        <v>16460.53</v>
      </c>
      <c r="BI186" s="9">
        <f t="shared" si="102"/>
        <v>29098.48</v>
      </c>
      <c r="BJ186" s="9">
        <f t="shared" si="103"/>
        <v>18176.8</v>
      </c>
      <c r="BK186" s="9">
        <f t="shared" si="104"/>
        <v>4602.71</v>
      </c>
      <c r="BL186" s="9">
        <f t="shared" si="105"/>
        <v>21687.34</v>
      </c>
      <c r="BM186" s="9">
        <f t="shared" si="106"/>
        <v>1092.17</v>
      </c>
      <c r="BN186" s="9">
        <f t="shared" si="107"/>
        <v>17396.68</v>
      </c>
      <c r="BO186" s="9">
        <f t="shared" si="108"/>
        <v>1482.23</v>
      </c>
      <c r="BP186" s="9">
        <f t="shared" si="109"/>
        <v>0</v>
      </c>
      <c r="BQ186" s="9">
        <f t="shared" si="110"/>
        <v>390.06</v>
      </c>
      <c r="BR186" s="9">
        <f t="shared" si="111"/>
        <v>4524.7</v>
      </c>
      <c r="BS186" s="9">
        <f t="shared" si="112"/>
        <v>1404.22</v>
      </c>
      <c r="BT186" s="9">
        <f t="shared" si="113"/>
        <v>546.08000000000004</v>
      </c>
      <c r="BU186" s="9">
        <f t="shared" si="114"/>
        <v>38849.980000000003</v>
      </c>
      <c r="BV186" s="9">
        <f t="shared" si="115"/>
        <v>1170.18</v>
      </c>
      <c r="BW186" s="9">
        <f t="shared" si="116"/>
        <v>15602.4</v>
      </c>
      <c r="BX186" s="9">
        <f t="shared" si="117"/>
        <v>18722.88</v>
      </c>
      <c r="BY186" s="17">
        <f t="shared" si="118"/>
        <v>191207.44</v>
      </c>
      <c r="BZ186" s="17">
        <v>2.52</v>
      </c>
      <c r="CA186" s="17">
        <v>0.08</v>
      </c>
      <c r="CB186" s="17">
        <v>0.51</v>
      </c>
      <c r="CC186" s="27">
        <v>0.09</v>
      </c>
      <c r="CD186" s="29">
        <v>6.33</v>
      </c>
      <c r="CE186" s="9">
        <v>38191.5</v>
      </c>
      <c r="CF186" s="9"/>
      <c r="CG186" s="9">
        <v>634.71</v>
      </c>
      <c r="CH186" s="9">
        <v>666.26</v>
      </c>
      <c r="CI186" s="9">
        <f t="shared" si="129"/>
        <v>4.9000000000000004</v>
      </c>
      <c r="CJ186" s="9">
        <f t="shared" si="130"/>
        <v>0</v>
      </c>
      <c r="CK186" s="13">
        <f t="shared" si="131"/>
        <v>0.08</v>
      </c>
      <c r="CL186" s="13">
        <f t="shared" si="132"/>
        <v>0.09</v>
      </c>
      <c r="CM186" s="13">
        <v>183087.31</v>
      </c>
      <c r="CN186" s="13">
        <v>12474.76</v>
      </c>
      <c r="CO186" s="13">
        <v>0</v>
      </c>
      <c r="CP186" s="13">
        <v>597.46</v>
      </c>
      <c r="CQ186" s="13">
        <v>672.23</v>
      </c>
      <c r="CR186" s="13">
        <v>184401.87</v>
      </c>
      <c r="CS186" s="13">
        <v>10426.08</v>
      </c>
      <c r="CT186" s="13">
        <v>513.36</v>
      </c>
      <c r="CU186" s="13">
        <v>602.35</v>
      </c>
      <c r="CV186" s="13">
        <v>677.95</v>
      </c>
      <c r="CW186" s="202">
        <v>6797</v>
      </c>
      <c r="CX186" s="200">
        <v>3899</v>
      </c>
      <c r="CY186" s="202"/>
      <c r="CZ186" s="202"/>
      <c r="DA186" s="202"/>
      <c r="DB186" s="202"/>
      <c r="DC186" s="202"/>
      <c r="DD186" s="461"/>
      <c r="DE186" s="256"/>
      <c r="DF186" s="202"/>
      <c r="DG186" s="202"/>
      <c r="DH186" s="202"/>
      <c r="DI186" s="204">
        <v>1096</v>
      </c>
      <c r="DJ186" s="202">
        <v>17200</v>
      </c>
      <c r="DK186" s="202"/>
      <c r="DL186" s="202"/>
      <c r="DM186" s="202"/>
      <c r="DN186" s="202"/>
      <c r="DO186" s="202"/>
      <c r="DP186" s="202">
        <v>44075</v>
      </c>
      <c r="DQ186" s="202">
        <v>3400</v>
      </c>
      <c r="DR186" s="202">
        <v>2</v>
      </c>
      <c r="DS186" s="202"/>
      <c r="DT186" s="254"/>
      <c r="DU186" s="254"/>
      <c r="DV186" s="202"/>
      <c r="DW186" s="202">
        <v>36490</v>
      </c>
      <c r="DX186" s="202"/>
      <c r="DY186" s="107">
        <v>1365</v>
      </c>
      <c r="DZ186" s="107"/>
      <c r="EA186" s="202"/>
      <c r="EB186" s="202"/>
      <c r="EC186" s="202"/>
      <c r="ED186" s="202"/>
      <c r="EE186" s="202"/>
      <c r="EF186" s="229"/>
      <c r="EG186" s="202"/>
      <c r="EH186" s="202"/>
      <c r="EI186" s="202"/>
      <c r="EJ186" s="202"/>
      <c r="EK186" s="202">
        <v>13021</v>
      </c>
      <c r="EL186" s="202">
        <v>0</v>
      </c>
      <c r="EM186" s="202">
        <v>634.71</v>
      </c>
      <c r="EN186" s="202">
        <v>666.26</v>
      </c>
      <c r="EO186" s="202">
        <v>13021</v>
      </c>
      <c r="EP186" s="202"/>
      <c r="EQ186" s="202">
        <v>634.71</v>
      </c>
      <c r="ER186" s="202">
        <v>666.26</v>
      </c>
      <c r="ES186" s="202"/>
      <c r="ET186" s="202"/>
      <c r="EU186" s="202"/>
      <c r="EV186" s="214">
        <v>2.15</v>
      </c>
      <c r="EW186" s="240">
        <f t="shared" si="119"/>
        <v>17062.47</v>
      </c>
      <c r="EX186" s="209">
        <f t="shared" si="120"/>
        <v>11105.16</v>
      </c>
    </row>
    <row r="187" spans="1:154" ht="12.75" customHeight="1" x14ac:dyDescent="0.2">
      <c r="A187" s="45" t="s">
        <v>268</v>
      </c>
      <c r="B187" s="51" t="s">
        <v>221</v>
      </c>
      <c r="C187" s="52" t="s">
        <v>106</v>
      </c>
      <c r="D187" s="53" t="s">
        <v>482</v>
      </c>
      <c r="E187" s="52" t="s">
        <v>12</v>
      </c>
      <c r="F187" s="11">
        <v>5</v>
      </c>
      <c r="G187" s="11">
        <v>4</v>
      </c>
      <c r="H187" s="11">
        <v>76</v>
      </c>
      <c r="I187" s="11">
        <v>76</v>
      </c>
      <c r="J187" s="11">
        <v>129</v>
      </c>
      <c r="K187" s="11">
        <v>153</v>
      </c>
      <c r="L187" s="11" t="s">
        <v>746</v>
      </c>
      <c r="M187" s="84">
        <v>243.5</v>
      </c>
      <c r="N187" s="84">
        <v>644.1</v>
      </c>
      <c r="O187" s="84">
        <v>0</v>
      </c>
      <c r="P187" s="135">
        <v>243.5</v>
      </c>
      <c r="Q187" s="135">
        <v>513.6</v>
      </c>
      <c r="R187" s="133">
        <v>0</v>
      </c>
      <c r="S187" s="133">
        <f t="shared" si="121"/>
        <v>757.1</v>
      </c>
      <c r="T187" s="134">
        <v>243.5</v>
      </c>
      <c r="U187" s="130">
        <v>1.53</v>
      </c>
      <c r="V187" s="91">
        <v>1.9800000000000002E-2</v>
      </c>
      <c r="W187" s="91">
        <v>1.9800000000000002E-2</v>
      </c>
      <c r="X187" s="132">
        <v>1.2199999999999999E-3</v>
      </c>
      <c r="Y187" s="91">
        <v>3.95E-2</v>
      </c>
      <c r="Z187" s="29">
        <v>2820.7</v>
      </c>
      <c r="AA187" s="34">
        <v>478.3</v>
      </c>
      <c r="AB187" s="9">
        <f t="shared" si="133"/>
        <v>3299</v>
      </c>
      <c r="AC187" s="9">
        <f t="shared" si="135"/>
        <v>20882.669999999998</v>
      </c>
      <c r="AD187" s="9">
        <v>0.37</v>
      </c>
      <c r="AE187" s="9">
        <v>4.05</v>
      </c>
      <c r="AF187" s="21">
        <f>2.4-AJ187</f>
        <v>2.16</v>
      </c>
      <c r="AG187" s="18">
        <f>0.54-AQ187</f>
        <v>0.46</v>
      </c>
      <c r="AH187" s="9">
        <v>2.78</v>
      </c>
      <c r="AI187" s="13">
        <v>797</v>
      </c>
      <c r="AJ187" s="21">
        <f t="shared" si="99"/>
        <v>0.24</v>
      </c>
      <c r="AK187" s="9">
        <v>0</v>
      </c>
      <c r="AL187" s="9">
        <v>0</v>
      </c>
      <c r="AM187" s="9">
        <v>0.18</v>
      </c>
      <c r="AN187" s="13"/>
      <c r="AO187" s="13">
        <v>566.4</v>
      </c>
      <c r="AP187" s="13">
        <f t="shared" si="123"/>
        <v>5.58</v>
      </c>
      <c r="AQ187" s="18">
        <f t="shared" si="98"/>
        <v>0.08</v>
      </c>
      <c r="AR187" s="9">
        <v>0.77</v>
      </c>
      <c r="AS187" s="9">
        <v>0.41</v>
      </c>
      <c r="AT187" s="9">
        <v>7.0000000000000007E-2</v>
      </c>
      <c r="AU187" s="9">
        <v>4.93</v>
      </c>
      <c r="AV187" s="9">
        <v>0.12</v>
      </c>
      <c r="AW187" s="9">
        <f>0.35+1.04+0.41</f>
        <v>1.8</v>
      </c>
      <c r="AX187" s="9">
        <f>1.42+0.58</f>
        <v>2</v>
      </c>
      <c r="AY187" s="54">
        <f t="shared" si="124"/>
        <v>20.420000000000002</v>
      </c>
      <c r="AZ187" s="43">
        <v>2817</v>
      </c>
      <c r="BA187" s="43">
        <v>478.3</v>
      </c>
      <c r="BB187" s="43">
        <f t="shared" si="134"/>
        <v>3295.3</v>
      </c>
      <c r="BC187" s="43">
        <v>20.420000000000002</v>
      </c>
      <c r="BD187" s="13">
        <f t="shared" si="122"/>
        <v>0</v>
      </c>
      <c r="BE187" s="9">
        <f t="shared" si="100"/>
        <v>67365.58</v>
      </c>
      <c r="BF187" s="9">
        <v>20.420000000000002</v>
      </c>
      <c r="BG187" s="10">
        <v>44409</v>
      </c>
      <c r="BH187" s="9">
        <f t="shared" si="101"/>
        <v>1220.6300000000001</v>
      </c>
      <c r="BI187" s="9">
        <f t="shared" si="102"/>
        <v>13360.95</v>
      </c>
      <c r="BJ187" s="9">
        <f t="shared" si="103"/>
        <v>7125.84</v>
      </c>
      <c r="BK187" s="9">
        <f t="shared" si="104"/>
        <v>1517.54</v>
      </c>
      <c r="BL187" s="9">
        <f t="shared" si="105"/>
        <v>9171.2199999999993</v>
      </c>
      <c r="BM187" s="9">
        <f t="shared" si="106"/>
        <v>791.76</v>
      </c>
      <c r="BN187" s="9">
        <f t="shared" si="107"/>
        <v>0</v>
      </c>
      <c r="BO187" s="9">
        <f t="shared" si="108"/>
        <v>0</v>
      </c>
      <c r="BP187" s="9">
        <f t="shared" si="109"/>
        <v>593.82000000000005</v>
      </c>
      <c r="BQ187" s="9">
        <f t="shared" si="110"/>
        <v>263.92</v>
      </c>
      <c r="BR187" s="9">
        <f t="shared" si="111"/>
        <v>2540.23</v>
      </c>
      <c r="BS187" s="9">
        <f t="shared" si="112"/>
        <v>1352.59</v>
      </c>
      <c r="BT187" s="9">
        <f t="shared" si="113"/>
        <v>230.93</v>
      </c>
      <c r="BU187" s="9">
        <f t="shared" si="114"/>
        <v>16264.07</v>
      </c>
      <c r="BV187" s="9">
        <f t="shared" si="115"/>
        <v>395.88</v>
      </c>
      <c r="BW187" s="9">
        <f t="shared" si="116"/>
        <v>5938.2</v>
      </c>
      <c r="BX187" s="9">
        <f t="shared" si="117"/>
        <v>6598</v>
      </c>
      <c r="BY187" s="17">
        <f t="shared" si="118"/>
        <v>67365.58</v>
      </c>
      <c r="BZ187" s="17">
        <v>1.61</v>
      </c>
      <c r="CA187" s="17">
        <v>0.04</v>
      </c>
      <c r="CB187" s="17">
        <v>0.24</v>
      </c>
      <c r="CC187" s="27">
        <v>0.04</v>
      </c>
      <c r="CD187" s="29">
        <v>6.33</v>
      </c>
      <c r="CE187" s="9">
        <v>2267.9</v>
      </c>
      <c r="CF187" s="9"/>
      <c r="CG187" s="9">
        <v>8323.39</v>
      </c>
      <c r="CH187" s="9">
        <v>4425.8</v>
      </c>
      <c r="CI187" s="9">
        <f t="shared" si="129"/>
        <v>0.69</v>
      </c>
      <c r="CJ187" s="9">
        <f t="shared" si="130"/>
        <v>0</v>
      </c>
      <c r="CK187" s="13">
        <f t="shared" si="131"/>
        <v>2.52</v>
      </c>
      <c r="CL187" s="13">
        <f t="shared" si="132"/>
        <v>1.34</v>
      </c>
      <c r="CM187" s="13">
        <v>57598.69</v>
      </c>
      <c r="CN187" s="13">
        <v>0</v>
      </c>
      <c r="CO187" s="13">
        <v>0</v>
      </c>
      <c r="CP187" s="13">
        <v>2707.82</v>
      </c>
      <c r="CQ187" s="13">
        <v>1466.76</v>
      </c>
      <c r="CR187" s="13">
        <v>53611.08</v>
      </c>
      <c r="CS187" s="13">
        <v>822.46</v>
      </c>
      <c r="CT187" s="13">
        <v>113</v>
      </c>
      <c r="CU187" s="13">
        <v>3300.66</v>
      </c>
      <c r="CV187" s="13">
        <v>1776.05</v>
      </c>
      <c r="CW187" s="202">
        <v>2874</v>
      </c>
      <c r="CX187" s="200">
        <v>1649</v>
      </c>
      <c r="CY187" s="202"/>
      <c r="CZ187" s="202"/>
      <c r="DA187" s="202"/>
      <c r="DB187" s="202"/>
      <c r="DC187" s="202"/>
      <c r="DD187" s="461"/>
      <c r="DE187" s="256"/>
      <c r="DF187" s="204">
        <v>797</v>
      </c>
      <c r="DG187" s="204"/>
      <c r="DH187" s="204"/>
      <c r="DI187" s="204"/>
      <c r="DJ187" s="202"/>
      <c r="DK187" s="202"/>
      <c r="DL187" s="202"/>
      <c r="DM187" s="202"/>
      <c r="DN187" s="202"/>
      <c r="DO187" s="202"/>
      <c r="DP187" s="202">
        <v>14289</v>
      </c>
      <c r="DQ187" s="202">
        <v>1700</v>
      </c>
      <c r="DR187" s="202">
        <v>1</v>
      </c>
      <c r="DS187" s="202"/>
      <c r="DT187" s="254"/>
      <c r="DU187" s="254"/>
      <c r="DV187" s="202"/>
      <c r="DW187" s="202">
        <v>14761</v>
      </c>
      <c r="DX187" s="202"/>
      <c r="DY187" s="107">
        <v>1365</v>
      </c>
      <c r="DZ187" s="107"/>
      <c r="EA187" s="202"/>
      <c r="EB187" s="202"/>
      <c r="EC187" s="202"/>
      <c r="ED187" s="202"/>
      <c r="EE187" s="202"/>
      <c r="EF187" s="229"/>
      <c r="EG187" s="202"/>
      <c r="EH187" s="202"/>
      <c r="EI187" s="202"/>
      <c r="EJ187" s="202"/>
      <c r="EK187" s="202">
        <v>0</v>
      </c>
      <c r="EL187" s="202">
        <v>0</v>
      </c>
      <c r="EM187" s="202">
        <v>3161.81</v>
      </c>
      <c r="EN187" s="202">
        <v>1723.53</v>
      </c>
      <c r="EO187" s="202">
        <v>0</v>
      </c>
      <c r="EP187" s="202"/>
      <c r="EQ187" s="202">
        <v>3161.81</v>
      </c>
      <c r="ER187" s="202">
        <v>1723.53</v>
      </c>
      <c r="ES187" s="202"/>
      <c r="ET187" s="202"/>
      <c r="EU187" s="202"/>
      <c r="EV187" s="214">
        <v>161.35</v>
      </c>
      <c r="EW187" s="240">
        <f t="shared" si="119"/>
        <v>7215.44</v>
      </c>
      <c r="EX187" s="209">
        <f t="shared" si="120"/>
        <v>4696.1899999999996</v>
      </c>
    </row>
    <row r="188" spans="1:154" ht="12.75" customHeight="1" x14ac:dyDescent="0.2">
      <c r="A188" s="45" t="s">
        <v>270</v>
      </c>
      <c r="B188" s="48" t="s">
        <v>221</v>
      </c>
      <c r="C188" s="49" t="s">
        <v>41</v>
      </c>
      <c r="D188" s="50" t="s">
        <v>483</v>
      </c>
      <c r="E188" s="49" t="s">
        <v>12</v>
      </c>
      <c r="F188" s="11">
        <v>9</v>
      </c>
      <c r="G188" s="11">
        <v>2</v>
      </c>
      <c r="H188" s="11">
        <v>71</v>
      </c>
      <c r="I188" s="11">
        <v>71</v>
      </c>
      <c r="J188" s="11">
        <v>171</v>
      </c>
      <c r="K188" s="11">
        <v>208</v>
      </c>
      <c r="L188" s="83">
        <v>2</v>
      </c>
      <c r="M188" s="84">
        <v>254.5</v>
      </c>
      <c r="N188" s="84">
        <v>619.29999999999995</v>
      </c>
      <c r="O188" s="84">
        <v>619.29999999999995</v>
      </c>
      <c r="P188" s="135">
        <v>635.4</v>
      </c>
      <c r="Q188" s="135">
        <v>583.70000000000005</v>
      </c>
      <c r="R188" s="133">
        <v>619</v>
      </c>
      <c r="S188" s="133">
        <f t="shared" si="121"/>
        <v>1838.1</v>
      </c>
      <c r="T188" s="134">
        <v>635.4</v>
      </c>
      <c r="U188" s="130">
        <v>2.72</v>
      </c>
      <c r="V188" s="91">
        <v>1.21E-2</v>
      </c>
      <c r="W188" s="91">
        <v>1.9800000000000002E-2</v>
      </c>
      <c r="X188" s="132">
        <v>1.2700000000000001E-3</v>
      </c>
      <c r="Y188" s="91">
        <v>1.21E-2</v>
      </c>
      <c r="Z188" s="29">
        <v>3679.67</v>
      </c>
      <c r="AA188" s="34">
        <v>370.3</v>
      </c>
      <c r="AB188" s="9">
        <f t="shared" si="133"/>
        <v>4049.97</v>
      </c>
      <c r="AC188" s="9">
        <f t="shared" si="135"/>
        <v>25636.31</v>
      </c>
      <c r="AD188" s="9">
        <v>1.99</v>
      </c>
      <c r="AE188" s="9">
        <v>4.26</v>
      </c>
      <c r="AF188" s="21">
        <f>2.46-AJ188</f>
        <v>2.27</v>
      </c>
      <c r="AG188" s="18">
        <f>0.61-AQ188</f>
        <v>0.56000000000000005</v>
      </c>
      <c r="AH188" s="19">
        <f>2.78+0.06+0.17</f>
        <v>3.01</v>
      </c>
      <c r="AI188" s="13">
        <v>754</v>
      </c>
      <c r="AJ188" s="21">
        <f t="shared" si="99"/>
        <v>0.19</v>
      </c>
      <c r="AK188" s="9">
        <v>2.13</v>
      </c>
      <c r="AL188" s="9">
        <v>0.19</v>
      </c>
      <c r="AM188" s="9">
        <v>0.17</v>
      </c>
      <c r="AN188" s="13"/>
      <c r="AO188" s="13">
        <v>410.2</v>
      </c>
      <c r="AP188" s="13">
        <f t="shared" si="123"/>
        <v>5.58</v>
      </c>
      <c r="AQ188" s="18">
        <f t="shared" si="98"/>
        <v>0.05</v>
      </c>
      <c r="AR188" s="9">
        <v>0.54</v>
      </c>
      <c r="AS188" s="9">
        <v>0.34</v>
      </c>
      <c r="AT188" s="9">
        <v>7.0000000000000007E-2</v>
      </c>
      <c r="AU188" s="9">
        <v>3.7</v>
      </c>
      <c r="AV188" s="9">
        <v>0.16</v>
      </c>
      <c r="AW188" s="9">
        <f>0.26+1.41+0.22</f>
        <v>1.89</v>
      </c>
      <c r="AX188" s="9">
        <f>1.98+0.53</f>
        <v>2.5099999999999998</v>
      </c>
      <c r="AY188" s="46">
        <f t="shared" si="124"/>
        <v>24.03</v>
      </c>
      <c r="AZ188" s="47">
        <v>3670.6</v>
      </c>
      <c r="BA188" s="47">
        <v>370.3</v>
      </c>
      <c r="BB188" s="47">
        <f t="shared" si="134"/>
        <v>4040.9</v>
      </c>
      <c r="BC188" s="47">
        <v>24.03</v>
      </c>
      <c r="BD188" s="13">
        <f t="shared" si="122"/>
        <v>0</v>
      </c>
      <c r="BE188" s="9">
        <f t="shared" si="100"/>
        <v>97320.78</v>
      </c>
      <c r="BF188" s="9">
        <v>24.03</v>
      </c>
      <c r="BG188" s="10">
        <v>44378</v>
      </c>
      <c r="BH188" s="9">
        <f t="shared" si="101"/>
        <v>8059.44</v>
      </c>
      <c r="BI188" s="9">
        <f t="shared" si="102"/>
        <v>17252.87</v>
      </c>
      <c r="BJ188" s="9">
        <f t="shared" si="103"/>
        <v>9193.43</v>
      </c>
      <c r="BK188" s="9">
        <f t="shared" si="104"/>
        <v>2267.98</v>
      </c>
      <c r="BL188" s="9">
        <f t="shared" si="105"/>
        <v>12190.41</v>
      </c>
      <c r="BM188" s="9">
        <f t="shared" si="106"/>
        <v>769.49</v>
      </c>
      <c r="BN188" s="9">
        <f t="shared" si="107"/>
        <v>8626.44</v>
      </c>
      <c r="BO188" s="9">
        <f t="shared" si="108"/>
        <v>769.49</v>
      </c>
      <c r="BP188" s="9">
        <f t="shared" si="109"/>
        <v>688.49</v>
      </c>
      <c r="BQ188" s="9">
        <f t="shared" si="110"/>
        <v>202.5</v>
      </c>
      <c r="BR188" s="9">
        <f t="shared" si="111"/>
        <v>2186.98</v>
      </c>
      <c r="BS188" s="9">
        <f t="shared" si="112"/>
        <v>1376.99</v>
      </c>
      <c r="BT188" s="9">
        <f t="shared" si="113"/>
        <v>283.5</v>
      </c>
      <c r="BU188" s="9">
        <f t="shared" si="114"/>
        <v>14984.89</v>
      </c>
      <c r="BV188" s="9">
        <f t="shared" si="115"/>
        <v>648</v>
      </c>
      <c r="BW188" s="9">
        <f t="shared" si="116"/>
        <v>7654.44</v>
      </c>
      <c r="BX188" s="9">
        <f t="shared" si="117"/>
        <v>10165.42</v>
      </c>
      <c r="BY188" s="17">
        <f t="shared" si="118"/>
        <v>97320.76</v>
      </c>
      <c r="BZ188" s="17">
        <v>4.74</v>
      </c>
      <c r="CA188" s="17">
        <v>0.08</v>
      </c>
      <c r="CB188" s="17">
        <v>0.51</v>
      </c>
      <c r="CC188" s="27">
        <v>0.09</v>
      </c>
      <c r="CD188" s="29">
        <v>6.33</v>
      </c>
      <c r="CE188" s="9">
        <v>2603.37</v>
      </c>
      <c r="CF188" s="9"/>
      <c r="CG188" s="9">
        <v>0</v>
      </c>
      <c r="CH188" s="9">
        <v>0</v>
      </c>
      <c r="CI188" s="9">
        <f t="shared" si="129"/>
        <v>0.64</v>
      </c>
      <c r="CJ188" s="9">
        <f t="shared" si="130"/>
        <v>0</v>
      </c>
      <c r="CK188" s="13">
        <f t="shared" si="131"/>
        <v>0</v>
      </c>
      <c r="CL188" s="13">
        <f t="shared" si="132"/>
        <v>0</v>
      </c>
      <c r="CM188" s="13">
        <v>88422.54</v>
      </c>
      <c r="CN188" s="13">
        <v>5777.01</v>
      </c>
      <c r="CO188" s="13">
        <v>0</v>
      </c>
      <c r="CP188" s="13">
        <v>478.43</v>
      </c>
      <c r="CQ188" s="13">
        <v>147.19</v>
      </c>
      <c r="CR188" s="13">
        <v>106322.82</v>
      </c>
      <c r="CS188" s="13">
        <v>15061.9</v>
      </c>
      <c r="CT188" s="13">
        <v>235.77</v>
      </c>
      <c r="CU188" s="13">
        <v>6094.82</v>
      </c>
      <c r="CV188" s="13">
        <v>3146.53</v>
      </c>
      <c r="CW188" s="202">
        <v>3526</v>
      </c>
      <c r="CX188" s="200">
        <v>2023</v>
      </c>
      <c r="CY188" s="202"/>
      <c r="CZ188" s="202"/>
      <c r="DA188" s="202"/>
      <c r="DB188" s="202"/>
      <c r="DC188" s="202"/>
      <c r="DD188" s="461"/>
      <c r="DE188" s="256"/>
      <c r="DF188" s="204">
        <v>754</v>
      </c>
      <c r="DG188" s="204"/>
      <c r="DH188" s="204"/>
      <c r="DI188" s="204"/>
      <c r="DJ188" s="202"/>
      <c r="DK188" s="202">
        <v>8600</v>
      </c>
      <c r="DL188" s="202"/>
      <c r="DM188" s="202"/>
      <c r="DN188" s="202"/>
      <c r="DO188" s="202"/>
      <c r="DP188" s="202">
        <v>24724</v>
      </c>
      <c r="DQ188" s="202">
        <v>3400</v>
      </c>
      <c r="DR188" s="202">
        <v>2</v>
      </c>
      <c r="DS188" s="202"/>
      <c r="DT188" s="254"/>
      <c r="DU188" s="254"/>
      <c r="DV188" s="202"/>
      <c r="DW188" s="202">
        <v>19034</v>
      </c>
      <c r="DX188" s="202"/>
      <c r="DY188" s="107">
        <v>1365</v>
      </c>
      <c r="DZ188" s="107"/>
      <c r="EA188" s="202"/>
      <c r="EB188" s="202"/>
      <c r="EC188" s="202"/>
      <c r="ED188" s="202"/>
      <c r="EE188" s="202"/>
      <c r="EF188" s="229"/>
      <c r="EG188" s="202"/>
      <c r="EH188" s="202"/>
      <c r="EI188" s="202"/>
      <c r="EJ188" s="202"/>
      <c r="EK188" s="202">
        <v>6371.86</v>
      </c>
      <c r="EL188" s="202">
        <v>0</v>
      </c>
      <c r="EM188" s="202">
        <v>509.97</v>
      </c>
      <c r="EN188" s="202">
        <v>177.99</v>
      </c>
      <c r="EO188" s="202">
        <v>6371.86</v>
      </c>
      <c r="EP188" s="202"/>
      <c r="EQ188" s="202">
        <v>509.97</v>
      </c>
      <c r="ER188" s="202">
        <v>177.99</v>
      </c>
      <c r="ES188" s="202"/>
      <c r="ET188" s="202"/>
      <c r="EU188" s="202"/>
      <c r="EV188" s="214">
        <f>376.46+1188.45</f>
        <v>1564.91</v>
      </c>
      <c r="EW188" s="240">
        <f t="shared" si="119"/>
        <v>8857.93</v>
      </c>
      <c r="EX188" s="209">
        <f t="shared" si="120"/>
        <v>5765.21</v>
      </c>
    </row>
    <row r="189" spans="1:154" ht="12.75" customHeight="1" x14ac:dyDescent="0.2">
      <c r="A189" s="45" t="s">
        <v>272</v>
      </c>
      <c r="B189" s="51" t="s">
        <v>221</v>
      </c>
      <c r="C189" s="52" t="s">
        <v>41</v>
      </c>
      <c r="D189" s="53" t="s">
        <v>576</v>
      </c>
      <c r="E189" s="52" t="s">
        <v>9</v>
      </c>
      <c r="F189" s="11">
        <v>5</v>
      </c>
      <c r="G189" s="11">
        <v>4</v>
      </c>
      <c r="H189" s="11">
        <v>68</v>
      </c>
      <c r="I189" s="11">
        <v>68</v>
      </c>
      <c r="J189" s="11">
        <v>166</v>
      </c>
      <c r="K189" s="11">
        <v>178</v>
      </c>
      <c r="L189" s="11" t="s">
        <v>746</v>
      </c>
      <c r="M189" s="84">
        <v>264</v>
      </c>
      <c r="N189" s="84">
        <v>910</v>
      </c>
      <c r="O189" s="84">
        <v>0</v>
      </c>
      <c r="P189" s="135">
        <f>264+24.7</f>
        <v>288.7</v>
      </c>
      <c r="Q189" s="135">
        <v>697.8</v>
      </c>
      <c r="R189" s="133">
        <v>0</v>
      </c>
      <c r="S189" s="133">
        <f t="shared" si="121"/>
        <v>986.5</v>
      </c>
      <c r="T189" s="134">
        <v>288.7</v>
      </c>
      <c r="U189" s="130">
        <v>1.53</v>
      </c>
      <c r="V189" s="91">
        <v>1.1299999999999999E-2</v>
      </c>
      <c r="W189" s="171" t="s">
        <v>824</v>
      </c>
      <c r="X189" s="172" t="s">
        <v>824</v>
      </c>
      <c r="Y189" s="91">
        <v>1.1299999999999999E-2</v>
      </c>
      <c r="Z189" s="29">
        <v>3336.72</v>
      </c>
      <c r="AA189" s="34"/>
      <c r="AB189" s="9">
        <f t="shared" si="133"/>
        <v>3336.72</v>
      </c>
      <c r="AC189" s="9">
        <f t="shared" si="135"/>
        <v>21121.439999999999</v>
      </c>
      <c r="AD189" s="9">
        <v>0.43</v>
      </c>
      <c r="AE189" s="9">
        <v>3.59</v>
      </c>
      <c r="AF189" s="21">
        <f>2.43-AJ189</f>
        <v>2.17</v>
      </c>
      <c r="AG189" s="18">
        <f>0.53-AQ189</f>
        <v>0.41</v>
      </c>
      <c r="AH189" s="9">
        <v>2.16</v>
      </c>
      <c r="AI189" s="13">
        <v>874</v>
      </c>
      <c r="AJ189" s="21">
        <f t="shared" si="99"/>
        <v>0.26</v>
      </c>
      <c r="AK189" s="9">
        <v>0</v>
      </c>
      <c r="AL189" s="9">
        <v>0</v>
      </c>
      <c r="AM189" s="9">
        <v>0.17</v>
      </c>
      <c r="AN189" s="13">
        <v>280</v>
      </c>
      <c r="AO189" s="13">
        <v>560</v>
      </c>
      <c r="AP189" s="13">
        <f t="shared" si="123"/>
        <v>5.58</v>
      </c>
      <c r="AQ189" s="18">
        <f t="shared" si="98"/>
        <v>0.12</v>
      </c>
      <c r="AR189" s="9">
        <v>0.77</v>
      </c>
      <c r="AS189" s="9">
        <v>0.41</v>
      </c>
      <c r="AT189" s="9">
        <v>7.0000000000000007E-2</v>
      </c>
      <c r="AU189" s="9">
        <v>4.6900000000000004</v>
      </c>
      <c r="AV189" s="9">
        <v>0.11</v>
      </c>
      <c r="AW189" s="9">
        <f>0.29+0.41+0.95</f>
        <v>1.65</v>
      </c>
      <c r="AX189" s="9">
        <f>1.3+0.55</f>
        <v>1.85</v>
      </c>
      <c r="AY189" s="54">
        <f t="shared" si="124"/>
        <v>18.86</v>
      </c>
      <c r="AZ189" s="43">
        <v>3337.8</v>
      </c>
      <c r="BA189" s="43">
        <v>0</v>
      </c>
      <c r="BB189" s="43">
        <f t="shared" si="134"/>
        <v>3337.8</v>
      </c>
      <c r="BC189" s="43">
        <v>18.86</v>
      </c>
      <c r="BD189" s="13">
        <f t="shared" si="122"/>
        <v>0</v>
      </c>
      <c r="BE189" s="9">
        <f t="shared" si="100"/>
        <v>62930.54</v>
      </c>
      <c r="BF189" s="9">
        <v>18.86</v>
      </c>
      <c r="BG189" s="10">
        <v>44409</v>
      </c>
      <c r="BH189" s="9">
        <f t="shared" si="101"/>
        <v>1434.79</v>
      </c>
      <c r="BI189" s="9">
        <f t="shared" si="102"/>
        <v>11978.82</v>
      </c>
      <c r="BJ189" s="9">
        <f t="shared" si="103"/>
        <v>7240.68</v>
      </c>
      <c r="BK189" s="9">
        <f t="shared" si="104"/>
        <v>1368.06</v>
      </c>
      <c r="BL189" s="9">
        <f t="shared" si="105"/>
        <v>7207.32</v>
      </c>
      <c r="BM189" s="9">
        <f t="shared" si="106"/>
        <v>867.55</v>
      </c>
      <c r="BN189" s="9">
        <f t="shared" si="107"/>
        <v>0</v>
      </c>
      <c r="BO189" s="9">
        <f t="shared" si="108"/>
        <v>0</v>
      </c>
      <c r="BP189" s="9">
        <f t="shared" si="109"/>
        <v>567.24</v>
      </c>
      <c r="BQ189" s="9">
        <f t="shared" si="110"/>
        <v>400.41</v>
      </c>
      <c r="BR189" s="9">
        <f t="shared" si="111"/>
        <v>2569.27</v>
      </c>
      <c r="BS189" s="9">
        <f t="shared" si="112"/>
        <v>1368.06</v>
      </c>
      <c r="BT189" s="9">
        <f t="shared" si="113"/>
        <v>233.57</v>
      </c>
      <c r="BU189" s="9">
        <f t="shared" si="114"/>
        <v>15649.22</v>
      </c>
      <c r="BV189" s="9">
        <f t="shared" si="115"/>
        <v>367.04</v>
      </c>
      <c r="BW189" s="9">
        <f t="shared" si="116"/>
        <v>5505.59</v>
      </c>
      <c r="BX189" s="9">
        <f t="shared" si="117"/>
        <v>6172.93</v>
      </c>
      <c r="BY189" s="17">
        <f t="shared" si="118"/>
        <v>62930.55</v>
      </c>
      <c r="BZ189" s="17">
        <v>1.73</v>
      </c>
      <c r="CA189" s="17">
        <v>0.03</v>
      </c>
      <c r="CB189" s="173">
        <v>0</v>
      </c>
      <c r="CC189" s="27">
        <v>0.01</v>
      </c>
      <c r="CD189" s="29">
        <v>6.33</v>
      </c>
      <c r="CE189" s="9">
        <v>8779.7800000000007</v>
      </c>
      <c r="CF189" s="9"/>
      <c r="CG189" s="9">
        <v>216.19</v>
      </c>
      <c r="CH189" s="9">
        <v>113.18</v>
      </c>
      <c r="CI189" s="9">
        <f t="shared" si="129"/>
        <v>2.63</v>
      </c>
      <c r="CJ189" s="9">
        <f t="shared" si="130"/>
        <v>0</v>
      </c>
      <c r="CK189" s="13">
        <f t="shared" si="131"/>
        <v>0.06</v>
      </c>
      <c r="CL189" s="13">
        <f t="shared" si="132"/>
        <v>0.03</v>
      </c>
      <c r="CM189" s="13">
        <v>62930.59</v>
      </c>
      <c r="CN189" s="13">
        <v>0</v>
      </c>
      <c r="CO189" s="13">
        <v>0</v>
      </c>
      <c r="CP189" s="13">
        <v>0</v>
      </c>
      <c r="CQ189" s="13">
        <v>0</v>
      </c>
      <c r="CR189" s="13">
        <v>62738.1</v>
      </c>
      <c r="CS189" s="13">
        <v>8477.02</v>
      </c>
      <c r="CT189" s="13">
        <v>0</v>
      </c>
      <c r="CU189" s="13">
        <v>421.55</v>
      </c>
      <c r="CV189" s="13">
        <v>215.52</v>
      </c>
      <c r="CW189" s="202">
        <v>2907</v>
      </c>
      <c r="CX189" s="200">
        <v>1668</v>
      </c>
      <c r="CY189" s="202"/>
      <c r="CZ189" s="202"/>
      <c r="DA189" s="202"/>
      <c r="DB189" s="202"/>
      <c r="DC189" s="202"/>
      <c r="DD189" s="461"/>
      <c r="DE189" s="256"/>
      <c r="DF189" s="204">
        <v>874</v>
      </c>
      <c r="DG189" s="204"/>
      <c r="DH189" s="204"/>
      <c r="DI189" s="204"/>
      <c r="DJ189" s="202"/>
      <c r="DK189" s="202"/>
      <c r="DL189" s="202"/>
      <c r="DM189" s="202"/>
      <c r="DN189" s="202"/>
      <c r="DO189" s="202"/>
      <c r="DP189" s="202">
        <v>13190</v>
      </c>
      <c r="DQ189" s="202">
        <v>3400</v>
      </c>
      <c r="DR189" s="202">
        <v>2</v>
      </c>
      <c r="DS189" s="202"/>
      <c r="DT189" s="254"/>
      <c r="DU189" s="254"/>
      <c r="DV189" s="202"/>
      <c r="DW189" s="202">
        <v>13129</v>
      </c>
      <c r="DX189" s="202"/>
      <c r="DY189" s="107">
        <v>1365</v>
      </c>
      <c r="DZ189" s="107">
        <v>577</v>
      </c>
      <c r="EA189" s="202">
        <v>3988.8</v>
      </c>
      <c r="EB189" s="202"/>
      <c r="EC189" s="202"/>
      <c r="ED189" s="202"/>
      <c r="EE189" s="202"/>
      <c r="EF189" s="229"/>
      <c r="EG189" s="202"/>
      <c r="EH189" s="202"/>
      <c r="EI189" s="202"/>
      <c r="EJ189" s="202"/>
      <c r="EK189" s="202">
        <v>0</v>
      </c>
      <c r="EL189" s="202">
        <v>0</v>
      </c>
      <c r="EM189" s="202">
        <v>0</v>
      </c>
      <c r="EN189" s="202">
        <v>0</v>
      </c>
      <c r="EO189" s="202">
        <v>0</v>
      </c>
      <c r="EP189" s="202"/>
      <c r="EQ189" s="202">
        <v>0</v>
      </c>
      <c r="ER189" s="202">
        <v>0</v>
      </c>
      <c r="ES189" s="202"/>
      <c r="ET189" s="202"/>
      <c r="EU189" s="202"/>
      <c r="EV189" s="214">
        <v>-1.1100000000000001</v>
      </c>
      <c r="EW189" s="240">
        <f t="shared" si="119"/>
        <v>7297.94</v>
      </c>
      <c r="EX189" s="209">
        <f t="shared" si="120"/>
        <v>4749.8900000000003</v>
      </c>
    </row>
    <row r="190" spans="1:154" ht="12.75" customHeight="1" x14ac:dyDescent="0.2">
      <c r="A190" s="45" t="s">
        <v>273</v>
      </c>
      <c r="B190" s="66" t="s">
        <v>221</v>
      </c>
      <c r="C190" s="67" t="s">
        <v>240</v>
      </c>
      <c r="D190" s="68" t="s">
        <v>484</v>
      </c>
      <c r="E190" s="67" t="s">
        <v>12</v>
      </c>
      <c r="F190" s="11">
        <v>5</v>
      </c>
      <c r="G190" s="11">
        <v>4</v>
      </c>
      <c r="H190" s="11">
        <v>64</v>
      </c>
      <c r="I190" s="11">
        <v>0</v>
      </c>
      <c r="J190" s="11">
        <v>118</v>
      </c>
      <c r="K190" s="11">
        <v>131</v>
      </c>
      <c r="L190" s="11" t="s">
        <v>746</v>
      </c>
      <c r="M190" s="84">
        <v>193.2</v>
      </c>
      <c r="N190" s="84">
        <v>872.3</v>
      </c>
      <c r="O190" s="84">
        <v>872.3</v>
      </c>
      <c r="P190" s="135">
        <v>241.5</v>
      </c>
      <c r="Q190" s="135">
        <v>645.79999999999995</v>
      </c>
      <c r="R190" s="133">
        <v>0</v>
      </c>
      <c r="S190" s="133">
        <f t="shared" si="121"/>
        <v>887.3</v>
      </c>
      <c r="T190" s="134">
        <v>241.5</v>
      </c>
      <c r="U190" s="130">
        <v>1.53</v>
      </c>
      <c r="V190" s="131">
        <v>1.9800000000000002E-2</v>
      </c>
      <c r="W190" s="131">
        <v>1.9800000000000002E-2</v>
      </c>
      <c r="X190" s="132">
        <v>1.2199999999999999E-3</v>
      </c>
      <c r="Y190" s="131">
        <v>3.95E-2</v>
      </c>
      <c r="Z190" s="29">
        <v>2603.34</v>
      </c>
      <c r="AA190" s="34">
        <v>688</v>
      </c>
      <c r="AB190" s="9">
        <f t="shared" si="133"/>
        <v>3291.34</v>
      </c>
      <c r="AC190" s="9">
        <f t="shared" si="135"/>
        <v>20834.18</v>
      </c>
      <c r="AD190" s="9">
        <v>0.37</v>
      </c>
      <c r="AE190" s="9">
        <v>4.08</v>
      </c>
      <c r="AF190" s="21">
        <f>2.42-AJ190</f>
        <v>2.17</v>
      </c>
      <c r="AG190" s="18">
        <f>0.54-AQ190</f>
        <v>0.48</v>
      </c>
      <c r="AH190" s="9">
        <v>2.78</v>
      </c>
      <c r="AI190" s="43">
        <v>837</v>
      </c>
      <c r="AJ190" s="21">
        <f t="shared" si="99"/>
        <v>0.25</v>
      </c>
      <c r="AK190" s="9">
        <v>0</v>
      </c>
      <c r="AL190" s="9">
        <v>0</v>
      </c>
      <c r="AM190" s="9">
        <v>0.28999999999999998</v>
      </c>
      <c r="AN190" s="13"/>
      <c r="AO190" s="13">
        <v>448.8</v>
      </c>
      <c r="AP190" s="13">
        <f t="shared" si="123"/>
        <v>5.58</v>
      </c>
      <c r="AQ190" s="18">
        <f t="shared" si="98"/>
        <v>0.06</v>
      </c>
      <c r="AR190" s="9">
        <v>0.72</v>
      </c>
      <c r="AS190" s="9">
        <v>0.41</v>
      </c>
      <c r="AT190" s="9">
        <v>7.0000000000000007E-2</v>
      </c>
      <c r="AU190" s="9">
        <v>4.6100000000000003</v>
      </c>
      <c r="AV190" s="9">
        <v>0.12</v>
      </c>
      <c r="AW190" s="9">
        <f>1.05+0.41+0.34</f>
        <v>1.8</v>
      </c>
      <c r="AX190" s="9">
        <f>1.44+0.56</f>
        <v>2</v>
      </c>
      <c r="AY190" s="69">
        <f t="shared" si="124"/>
        <v>20.21</v>
      </c>
      <c r="AZ190" s="70">
        <v>2608.1</v>
      </c>
      <c r="BA190" s="70">
        <v>688</v>
      </c>
      <c r="BB190" s="70">
        <f t="shared" si="134"/>
        <v>3296.1</v>
      </c>
      <c r="BC190" s="70">
        <v>20.21</v>
      </c>
      <c r="BD190" s="13">
        <f t="shared" si="122"/>
        <v>0</v>
      </c>
      <c r="BE190" s="9">
        <f t="shared" si="100"/>
        <v>66517.98</v>
      </c>
      <c r="BF190" s="9">
        <v>20.21</v>
      </c>
      <c r="BG190" s="10">
        <v>44409</v>
      </c>
      <c r="BH190" s="9">
        <f t="shared" si="101"/>
        <v>1217.8</v>
      </c>
      <c r="BI190" s="9">
        <f t="shared" si="102"/>
        <v>13428.67</v>
      </c>
      <c r="BJ190" s="9">
        <f t="shared" si="103"/>
        <v>7142.21</v>
      </c>
      <c r="BK190" s="9">
        <f t="shared" si="104"/>
        <v>1579.84</v>
      </c>
      <c r="BL190" s="9">
        <f t="shared" si="105"/>
        <v>9149.93</v>
      </c>
      <c r="BM190" s="9">
        <f t="shared" si="106"/>
        <v>822.84</v>
      </c>
      <c r="BN190" s="9">
        <f t="shared" si="107"/>
        <v>0</v>
      </c>
      <c r="BO190" s="9">
        <f t="shared" si="108"/>
        <v>0</v>
      </c>
      <c r="BP190" s="9">
        <f t="shared" si="109"/>
        <v>954.49</v>
      </c>
      <c r="BQ190" s="9">
        <f t="shared" si="110"/>
        <v>197.48</v>
      </c>
      <c r="BR190" s="9">
        <f t="shared" si="111"/>
        <v>2369.7600000000002</v>
      </c>
      <c r="BS190" s="9">
        <f t="shared" si="112"/>
        <v>1349.45</v>
      </c>
      <c r="BT190" s="9">
        <f t="shared" si="113"/>
        <v>230.39</v>
      </c>
      <c r="BU190" s="9">
        <f t="shared" si="114"/>
        <v>15173.08</v>
      </c>
      <c r="BV190" s="9">
        <f t="shared" si="115"/>
        <v>394.96</v>
      </c>
      <c r="BW190" s="9">
        <f t="shared" si="116"/>
        <v>5924.41</v>
      </c>
      <c r="BX190" s="9">
        <f t="shared" si="117"/>
        <v>6582.68</v>
      </c>
      <c r="BY190" s="17">
        <f t="shared" si="118"/>
        <v>66517.990000000005</v>
      </c>
      <c r="BZ190" s="17">
        <v>3.54</v>
      </c>
      <c r="CA190" s="17">
        <v>0.04</v>
      </c>
      <c r="CB190" s="17">
        <v>0.23</v>
      </c>
      <c r="CC190" s="27">
        <v>0.04</v>
      </c>
      <c r="CD190" s="29">
        <v>6.33</v>
      </c>
      <c r="CE190" s="9">
        <v>1132.1500000000001</v>
      </c>
      <c r="CF190" s="9">
        <v>7064.51</v>
      </c>
      <c r="CG190" s="9">
        <v>0</v>
      </c>
      <c r="CH190" s="9">
        <v>67.650000000000006</v>
      </c>
      <c r="CI190" s="9">
        <f t="shared" si="129"/>
        <v>0.34</v>
      </c>
      <c r="CJ190" s="9">
        <f t="shared" si="130"/>
        <v>2.15</v>
      </c>
      <c r="CK190" s="13">
        <f t="shared" si="131"/>
        <v>0</v>
      </c>
      <c r="CL190" s="13">
        <f t="shared" si="132"/>
        <v>0.02</v>
      </c>
      <c r="CM190" s="13">
        <v>52613.55</v>
      </c>
      <c r="CN190" s="13">
        <v>885.11</v>
      </c>
      <c r="CO190" s="13">
        <v>12313.82</v>
      </c>
      <c r="CP190" s="13">
        <v>0</v>
      </c>
      <c r="CQ190" s="13">
        <v>52.05</v>
      </c>
      <c r="CR190" s="13">
        <v>49669.95</v>
      </c>
      <c r="CS190" s="13">
        <v>1712.61</v>
      </c>
      <c r="CT190" s="13">
        <v>8525.83</v>
      </c>
      <c r="CU190" s="13">
        <v>14.03</v>
      </c>
      <c r="CV190" s="13">
        <v>50.74</v>
      </c>
      <c r="CW190" s="202">
        <v>2868</v>
      </c>
      <c r="CX190" s="200">
        <v>1645</v>
      </c>
      <c r="CY190" s="202"/>
      <c r="CZ190" s="202"/>
      <c r="DA190" s="202"/>
      <c r="DB190" s="202"/>
      <c r="DC190" s="202"/>
      <c r="DD190" s="461"/>
      <c r="DE190" s="256"/>
      <c r="DF190" s="202"/>
      <c r="DG190" s="202"/>
      <c r="DH190" s="202"/>
      <c r="DI190" s="204">
        <v>837</v>
      </c>
      <c r="DJ190" s="202"/>
      <c r="DK190" s="202"/>
      <c r="DL190" s="202"/>
      <c r="DM190" s="202"/>
      <c r="DN190" s="202"/>
      <c r="DO190" s="202"/>
      <c r="DP190" s="202">
        <v>14416</v>
      </c>
      <c r="DQ190" s="202">
        <v>3400</v>
      </c>
      <c r="DR190" s="202">
        <v>2</v>
      </c>
      <c r="DS190" s="202">
        <v>5670</v>
      </c>
      <c r="DT190" s="254">
        <v>152</v>
      </c>
      <c r="DU190" s="254">
        <v>187</v>
      </c>
      <c r="DV190" s="202"/>
      <c r="DW190" s="202">
        <v>14848</v>
      </c>
      <c r="DX190" s="202"/>
      <c r="DY190" s="107">
        <v>1365</v>
      </c>
      <c r="DZ190" s="107"/>
      <c r="EA190" s="202"/>
      <c r="EB190" s="202"/>
      <c r="EC190" s="202"/>
      <c r="ED190" s="202"/>
      <c r="EE190" s="202"/>
      <c r="EF190" s="229"/>
      <c r="EG190" s="202"/>
      <c r="EH190" s="202"/>
      <c r="EI190" s="202"/>
      <c r="EJ190" s="202"/>
      <c r="EK190" s="202">
        <v>1132.1500000000001</v>
      </c>
      <c r="EL190" s="202">
        <v>20483.47</v>
      </c>
      <c r="EM190" s="202">
        <v>0</v>
      </c>
      <c r="EN190" s="202">
        <v>67.650000000000006</v>
      </c>
      <c r="EO190" s="202">
        <v>1132.1500000000001</v>
      </c>
      <c r="EP190" s="202"/>
      <c r="EQ190" s="202">
        <v>0</v>
      </c>
      <c r="ER190" s="202">
        <v>67.650000000000006</v>
      </c>
      <c r="ES190" s="202"/>
      <c r="ET190" s="202"/>
      <c r="EU190" s="202"/>
      <c r="EV190" s="214">
        <v>-2.61</v>
      </c>
      <c r="EW190" s="240">
        <f t="shared" si="119"/>
        <v>7198.69</v>
      </c>
      <c r="EX190" s="209">
        <f t="shared" si="120"/>
        <v>4685.29</v>
      </c>
    </row>
    <row r="191" spans="1:154" ht="12.75" customHeight="1" x14ac:dyDescent="0.2">
      <c r="A191" s="45" t="s">
        <v>274</v>
      </c>
      <c r="B191" s="66" t="s">
        <v>221</v>
      </c>
      <c r="C191" s="67" t="s">
        <v>52</v>
      </c>
      <c r="D191" s="68" t="s">
        <v>485</v>
      </c>
      <c r="E191" s="67" t="s">
        <v>12</v>
      </c>
      <c r="F191" s="11">
        <v>5</v>
      </c>
      <c r="G191" s="11">
        <v>4</v>
      </c>
      <c r="H191" s="11">
        <v>64</v>
      </c>
      <c r="I191" s="11">
        <v>0</v>
      </c>
      <c r="J191" s="11">
        <v>119</v>
      </c>
      <c r="K191" s="11">
        <v>130</v>
      </c>
      <c r="L191" s="11" t="s">
        <v>746</v>
      </c>
      <c r="M191" s="84">
        <v>246</v>
      </c>
      <c r="N191" s="84">
        <v>863.6</v>
      </c>
      <c r="O191" s="84">
        <v>863.6</v>
      </c>
      <c r="P191" s="135">
        <v>246</v>
      </c>
      <c r="Q191" s="135">
        <v>653.9</v>
      </c>
      <c r="R191" s="133">
        <v>0</v>
      </c>
      <c r="S191" s="133">
        <f t="shared" si="121"/>
        <v>899.9</v>
      </c>
      <c r="T191" s="134">
        <v>246</v>
      </c>
      <c r="U191" s="130">
        <v>1.53</v>
      </c>
      <c r="V191" s="131">
        <v>1.9800000000000002E-2</v>
      </c>
      <c r="W191" s="131">
        <v>1.9800000000000002E-2</v>
      </c>
      <c r="X191" s="132">
        <v>1.2199999999999999E-3</v>
      </c>
      <c r="Y191" s="131">
        <v>3.95E-2</v>
      </c>
      <c r="Z191" s="29">
        <v>2565</v>
      </c>
      <c r="AA191" s="34">
        <v>661.4</v>
      </c>
      <c r="AB191" s="9">
        <f t="shared" si="133"/>
        <v>3226.4</v>
      </c>
      <c r="AC191" s="9">
        <f t="shared" si="135"/>
        <v>20423.11</v>
      </c>
      <c r="AD191" s="9">
        <v>0.39</v>
      </c>
      <c r="AE191" s="9">
        <v>3.62</v>
      </c>
      <c r="AF191" s="21">
        <f>2.41-AJ191</f>
        <v>2.15</v>
      </c>
      <c r="AG191" s="18">
        <f>0.54-AQ191</f>
        <v>0.48</v>
      </c>
      <c r="AH191" s="9">
        <v>2.78</v>
      </c>
      <c r="AI191" s="43">
        <v>829</v>
      </c>
      <c r="AJ191" s="21">
        <f t="shared" si="99"/>
        <v>0.26</v>
      </c>
      <c r="AK191" s="9">
        <v>0</v>
      </c>
      <c r="AL191" s="9">
        <v>0</v>
      </c>
      <c r="AM191" s="9">
        <v>0.28999999999999998</v>
      </c>
      <c r="AN191" s="13"/>
      <c r="AO191" s="13">
        <v>448.8</v>
      </c>
      <c r="AP191" s="13">
        <f t="shared" si="123"/>
        <v>5.58</v>
      </c>
      <c r="AQ191" s="18">
        <f t="shared" si="98"/>
        <v>0.06</v>
      </c>
      <c r="AR191" s="9">
        <v>0.74</v>
      </c>
      <c r="AS191" s="9">
        <v>0.42</v>
      </c>
      <c r="AT191" s="9">
        <v>7.0000000000000007E-2</v>
      </c>
      <c r="AU191" s="9">
        <v>5</v>
      </c>
      <c r="AV191" s="9">
        <v>0.12</v>
      </c>
      <c r="AW191" s="9">
        <f>1.01+0.44+0.35</f>
        <v>1.8</v>
      </c>
      <c r="AX191" s="9">
        <f>1.39+0.61</f>
        <v>2</v>
      </c>
      <c r="AY191" s="69">
        <f t="shared" si="124"/>
        <v>20.18</v>
      </c>
      <c r="AZ191" s="70">
        <v>2562.6999999999998</v>
      </c>
      <c r="BA191" s="70">
        <v>661.4</v>
      </c>
      <c r="BB191" s="70">
        <f t="shared" si="134"/>
        <v>3224.1</v>
      </c>
      <c r="BC191" s="70">
        <v>20.18</v>
      </c>
      <c r="BD191" s="13">
        <f t="shared" si="122"/>
        <v>0</v>
      </c>
      <c r="BE191" s="9">
        <f t="shared" si="100"/>
        <v>65108.75</v>
      </c>
      <c r="BF191" s="9">
        <v>20.18</v>
      </c>
      <c r="BG191" s="10">
        <v>44409</v>
      </c>
      <c r="BH191" s="9">
        <f t="shared" si="101"/>
        <v>1258.3</v>
      </c>
      <c r="BI191" s="9">
        <f t="shared" si="102"/>
        <v>11679.57</v>
      </c>
      <c r="BJ191" s="9">
        <f t="shared" si="103"/>
        <v>6936.76</v>
      </c>
      <c r="BK191" s="9">
        <f t="shared" si="104"/>
        <v>1548.67</v>
      </c>
      <c r="BL191" s="9">
        <f t="shared" si="105"/>
        <v>8969.39</v>
      </c>
      <c r="BM191" s="9">
        <f t="shared" si="106"/>
        <v>838.86</v>
      </c>
      <c r="BN191" s="9">
        <f t="shared" si="107"/>
        <v>0</v>
      </c>
      <c r="BO191" s="9">
        <f t="shared" si="108"/>
        <v>0</v>
      </c>
      <c r="BP191" s="9">
        <f t="shared" si="109"/>
        <v>935.66</v>
      </c>
      <c r="BQ191" s="9">
        <f t="shared" si="110"/>
        <v>193.58</v>
      </c>
      <c r="BR191" s="9">
        <f t="shared" si="111"/>
        <v>2387.54</v>
      </c>
      <c r="BS191" s="9">
        <f t="shared" si="112"/>
        <v>1355.09</v>
      </c>
      <c r="BT191" s="9">
        <f t="shared" si="113"/>
        <v>225.85</v>
      </c>
      <c r="BU191" s="9">
        <f t="shared" si="114"/>
        <v>16132</v>
      </c>
      <c r="BV191" s="9">
        <f t="shared" si="115"/>
        <v>387.17</v>
      </c>
      <c r="BW191" s="9">
        <f t="shared" si="116"/>
        <v>5807.52</v>
      </c>
      <c r="BX191" s="9">
        <f t="shared" si="117"/>
        <v>6452.8</v>
      </c>
      <c r="BY191" s="17">
        <f t="shared" si="118"/>
        <v>65108.76</v>
      </c>
      <c r="BZ191" s="17">
        <v>3.58</v>
      </c>
      <c r="CA191" s="17">
        <v>0.04</v>
      </c>
      <c r="CB191" s="17">
        <v>0.24</v>
      </c>
      <c r="CC191" s="27">
        <v>0.04</v>
      </c>
      <c r="CD191" s="29">
        <v>6.33</v>
      </c>
      <c r="CE191" s="9">
        <v>1441.54</v>
      </c>
      <c r="CF191" s="9"/>
      <c r="CG191" s="9">
        <v>0</v>
      </c>
      <c r="CH191" s="9">
        <v>68.91</v>
      </c>
      <c r="CI191" s="9">
        <f t="shared" si="129"/>
        <v>0.45</v>
      </c>
      <c r="CJ191" s="9">
        <f t="shared" si="130"/>
        <v>0</v>
      </c>
      <c r="CK191" s="13">
        <f t="shared" si="131"/>
        <v>0</v>
      </c>
      <c r="CL191" s="13">
        <f t="shared" si="132"/>
        <v>0.02</v>
      </c>
      <c r="CM191" s="13">
        <v>51761.68</v>
      </c>
      <c r="CN191" s="13">
        <v>1151.28</v>
      </c>
      <c r="CO191" s="13">
        <v>12183.66</v>
      </c>
      <c r="CP191" s="13">
        <v>-0.03</v>
      </c>
      <c r="CQ191" s="13">
        <v>51.29</v>
      </c>
      <c r="CR191" s="13">
        <v>44635.13</v>
      </c>
      <c r="CS191" s="13">
        <v>1610.98</v>
      </c>
      <c r="CT191" s="13">
        <v>8160.45</v>
      </c>
      <c r="CU191" s="13">
        <v>11.22</v>
      </c>
      <c r="CV191" s="13">
        <v>46.51</v>
      </c>
      <c r="CW191" s="202">
        <v>2811</v>
      </c>
      <c r="CX191" s="200">
        <v>1613</v>
      </c>
      <c r="CY191" s="202"/>
      <c r="CZ191" s="202"/>
      <c r="DA191" s="202"/>
      <c r="DB191" s="202"/>
      <c r="DC191" s="202"/>
      <c r="DD191" s="461"/>
      <c r="DE191" s="256"/>
      <c r="DF191" s="202"/>
      <c r="DG191" s="202"/>
      <c r="DH191" s="202"/>
      <c r="DI191" s="204">
        <v>829</v>
      </c>
      <c r="DJ191" s="202"/>
      <c r="DK191" s="202"/>
      <c r="DL191" s="202"/>
      <c r="DM191" s="202"/>
      <c r="DN191" s="202"/>
      <c r="DO191" s="202"/>
      <c r="DP191" s="202">
        <v>12711</v>
      </c>
      <c r="DQ191" s="202">
        <v>2822</v>
      </c>
      <c r="DR191" s="202">
        <v>1.66</v>
      </c>
      <c r="DS191" s="202">
        <v>5600</v>
      </c>
      <c r="DT191" s="254">
        <v>150</v>
      </c>
      <c r="DU191" s="254">
        <v>185</v>
      </c>
      <c r="DV191" s="202"/>
      <c r="DW191" s="202">
        <v>14491</v>
      </c>
      <c r="DX191" s="202"/>
      <c r="DY191" s="107">
        <v>1365</v>
      </c>
      <c r="DZ191" s="107">
        <v>942</v>
      </c>
      <c r="EA191" s="202"/>
      <c r="EB191" s="202"/>
      <c r="EC191" s="202"/>
      <c r="ED191" s="202"/>
      <c r="EE191" s="202"/>
      <c r="EF191" s="229"/>
      <c r="EG191" s="202"/>
      <c r="EH191" s="202"/>
      <c r="EI191" s="202"/>
      <c r="EJ191" s="202"/>
      <c r="EK191" s="202">
        <v>1441.54</v>
      </c>
      <c r="EL191" s="202">
        <v>37940.14</v>
      </c>
      <c r="EM191" s="202">
        <v>0</v>
      </c>
      <c r="EN191" s="202">
        <v>68.91</v>
      </c>
      <c r="EO191" s="202">
        <v>1441.54</v>
      </c>
      <c r="EP191" s="202"/>
      <c r="EQ191" s="202">
        <v>0</v>
      </c>
      <c r="ER191" s="202">
        <v>68.91</v>
      </c>
      <c r="ES191" s="202"/>
      <c r="ET191" s="202"/>
      <c r="EU191" s="202"/>
      <c r="EV191" s="214">
        <f>-2.7+5924.24</f>
        <v>5921.54</v>
      </c>
      <c r="EW191" s="240">
        <f t="shared" si="119"/>
        <v>7056.65</v>
      </c>
      <c r="EX191" s="209">
        <f t="shared" si="120"/>
        <v>4592.84</v>
      </c>
    </row>
    <row r="192" spans="1:154" ht="12.75" customHeight="1" x14ac:dyDescent="0.2">
      <c r="A192" s="45" t="s">
        <v>275</v>
      </c>
      <c r="B192" s="66" t="s">
        <v>221</v>
      </c>
      <c r="C192" s="67" t="s">
        <v>243</v>
      </c>
      <c r="D192" s="68" t="s">
        <v>486</v>
      </c>
      <c r="E192" s="67" t="s">
        <v>12</v>
      </c>
      <c r="F192" s="11">
        <v>5</v>
      </c>
      <c r="G192" s="11">
        <v>4</v>
      </c>
      <c r="H192" s="11">
        <v>64</v>
      </c>
      <c r="I192" s="11">
        <v>0</v>
      </c>
      <c r="J192" s="11">
        <v>108</v>
      </c>
      <c r="K192" s="11">
        <v>127</v>
      </c>
      <c r="L192" s="11" t="s">
        <v>746</v>
      </c>
      <c r="M192" s="84">
        <v>247</v>
      </c>
      <c r="N192" s="84">
        <v>672.1</v>
      </c>
      <c r="O192" s="84">
        <v>672.1</v>
      </c>
      <c r="P192" s="139">
        <v>242</v>
      </c>
      <c r="Q192" s="135">
        <v>874.7</v>
      </c>
      <c r="R192" s="133">
        <v>0</v>
      </c>
      <c r="S192" s="133">
        <f t="shared" si="121"/>
        <v>1116.7</v>
      </c>
      <c r="T192" s="139">
        <v>247</v>
      </c>
      <c r="U192" s="130">
        <v>1.53</v>
      </c>
      <c r="V192" s="131">
        <v>1.9800000000000002E-2</v>
      </c>
      <c r="W192" s="131">
        <v>1.9800000000000002E-2</v>
      </c>
      <c r="X192" s="132">
        <v>1.2199999999999999E-3</v>
      </c>
      <c r="Y192" s="131">
        <v>3.95E-2</v>
      </c>
      <c r="Z192" s="29">
        <v>2602.3200000000002</v>
      </c>
      <c r="AA192" s="34">
        <v>1076.7</v>
      </c>
      <c r="AB192" s="9">
        <f t="shared" si="133"/>
        <v>3679.02</v>
      </c>
      <c r="AC192" s="9">
        <f t="shared" si="135"/>
        <v>23288.2</v>
      </c>
      <c r="AD192" s="9">
        <v>0.34</v>
      </c>
      <c r="AE192" s="9">
        <v>3.81</v>
      </c>
      <c r="AF192" s="21">
        <f>2.33-AJ192</f>
        <v>2.15</v>
      </c>
      <c r="AG192" s="18">
        <f>0.53-AQ192</f>
        <v>0.47</v>
      </c>
      <c r="AH192" s="9">
        <v>2.78</v>
      </c>
      <c r="AI192" s="43">
        <v>645</v>
      </c>
      <c r="AJ192" s="21">
        <f t="shared" si="99"/>
        <v>0.18</v>
      </c>
      <c r="AK192" s="9">
        <v>0</v>
      </c>
      <c r="AL192" s="9">
        <v>0</v>
      </c>
      <c r="AM192" s="9">
        <v>0.26</v>
      </c>
      <c r="AN192" s="13"/>
      <c r="AO192" s="13">
        <v>448.8</v>
      </c>
      <c r="AP192" s="13">
        <f t="shared" si="123"/>
        <v>5.58</v>
      </c>
      <c r="AQ192" s="18">
        <f t="shared" si="98"/>
        <v>0.06</v>
      </c>
      <c r="AR192" s="9">
        <v>0.54</v>
      </c>
      <c r="AS192" s="9">
        <v>0.37</v>
      </c>
      <c r="AT192" s="9">
        <v>7.0000000000000007E-2</v>
      </c>
      <c r="AU192" s="9">
        <v>4.9800000000000004</v>
      </c>
      <c r="AV192" s="9">
        <v>0.11</v>
      </c>
      <c r="AW192" s="9">
        <f>0.99+0.35+0.44</f>
        <v>1.78</v>
      </c>
      <c r="AX192" s="9">
        <f>1.35+0.6</f>
        <v>1.95</v>
      </c>
      <c r="AY192" s="69">
        <f t="shared" si="124"/>
        <v>19.850000000000001</v>
      </c>
      <c r="AZ192" s="70">
        <v>2602.4</v>
      </c>
      <c r="BA192" s="70">
        <v>1076.7</v>
      </c>
      <c r="BB192" s="70">
        <f t="shared" si="134"/>
        <v>3679.1</v>
      </c>
      <c r="BC192" s="70">
        <v>19.850000000000001</v>
      </c>
      <c r="BD192" s="13">
        <f t="shared" si="122"/>
        <v>0</v>
      </c>
      <c r="BE192" s="9">
        <f t="shared" si="100"/>
        <v>73028.55</v>
      </c>
      <c r="BF192" s="9">
        <v>19.850000000000001</v>
      </c>
      <c r="BG192" s="10">
        <v>44409</v>
      </c>
      <c r="BH192" s="9">
        <f t="shared" si="101"/>
        <v>1250.8699999999999</v>
      </c>
      <c r="BI192" s="9">
        <f t="shared" si="102"/>
        <v>14017.07</v>
      </c>
      <c r="BJ192" s="9">
        <f t="shared" si="103"/>
        <v>7909.89</v>
      </c>
      <c r="BK192" s="9">
        <f t="shared" si="104"/>
        <v>1729.14</v>
      </c>
      <c r="BL192" s="9">
        <f t="shared" si="105"/>
        <v>10227.68</v>
      </c>
      <c r="BM192" s="9">
        <f t="shared" si="106"/>
        <v>662.22</v>
      </c>
      <c r="BN192" s="9">
        <f t="shared" si="107"/>
        <v>0</v>
      </c>
      <c r="BO192" s="9">
        <f t="shared" si="108"/>
        <v>0</v>
      </c>
      <c r="BP192" s="9">
        <f t="shared" si="109"/>
        <v>956.55</v>
      </c>
      <c r="BQ192" s="9">
        <f t="shared" si="110"/>
        <v>220.74</v>
      </c>
      <c r="BR192" s="9">
        <f t="shared" si="111"/>
        <v>1986.67</v>
      </c>
      <c r="BS192" s="9">
        <f t="shared" si="112"/>
        <v>1361.24</v>
      </c>
      <c r="BT192" s="9">
        <f t="shared" si="113"/>
        <v>257.52999999999997</v>
      </c>
      <c r="BU192" s="9">
        <f t="shared" si="114"/>
        <v>18321.52</v>
      </c>
      <c r="BV192" s="9">
        <f t="shared" si="115"/>
        <v>404.69</v>
      </c>
      <c r="BW192" s="9">
        <f t="shared" si="116"/>
        <v>6548.66</v>
      </c>
      <c r="BX192" s="9">
        <f t="shared" si="117"/>
        <v>7174.09</v>
      </c>
      <c r="BY192" s="17">
        <f t="shared" si="118"/>
        <v>73028.56</v>
      </c>
      <c r="BZ192" s="17">
        <v>2.82</v>
      </c>
      <c r="CA192" s="17">
        <v>0.04</v>
      </c>
      <c r="CB192" s="17">
        <v>0.23</v>
      </c>
      <c r="CC192" s="27">
        <v>0.04</v>
      </c>
      <c r="CD192" s="29">
        <v>6.33</v>
      </c>
      <c r="CE192" s="9">
        <v>13702.21</v>
      </c>
      <c r="CF192" s="9"/>
      <c r="CG192" s="9">
        <v>132.16</v>
      </c>
      <c r="CH192" s="9">
        <v>138.03</v>
      </c>
      <c r="CI192" s="9">
        <f t="shared" si="129"/>
        <v>3.72</v>
      </c>
      <c r="CJ192" s="9">
        <f t="shared" si="130"/>
        <v>0</v>
      </c>
      <c r="CK192" s="13">
        <f t="shared" si="131"/>
        <v>0.04</v>
      </c>
      <c r="CL192" s="13">
        <f t="shared" si="132"/>
        <v>0.04</v>
      </c>
      <c r="CM192" s="13">
        <v>51656.21</v>
      </c>
      <c r="CN192" s="13">
        <v>7624.85</v>
      </c>
      <c r="CO192" s="13">
        <v>494.4</v>
      </c>
      <c r="CP192" s="13">
        <v>104.07</v>
      </c>
      <c r="CQ192" s="13">
        <v>104.07</v>
      </c>
      <c r="CR192" s="13">
        <v>52961.27</v>
      </c>
      <c r="CS192" s="13">
        <v>9315.99</v>
      </c>
      <c r="CT192" s="13">
        <v>178.43</v>
      </c>
      <c r="CU192" s="13">
        <v>106.69</v>
      </c>
      <c r="CV192" s="13">
        <v>106.67</v>
      </c>
      <c r="CW192" s="202">
        <v>3205</v>
      </c>
      <c r="CX192" s="200">
        <v>1839</v>
      </c>
      <c r="CY192" s="202"/>
      <c r="CZ192" s="202"/>
      <c r="DA192" s="202"/>
      <c r="DB192" s="202"/>
      <c r="DC192" s="202"/>
      <c r="DD192" s="461"/>
      <c r="DE192" s="256"/>
      <c r="DF192" s="202"/>
      <c r="DG192" s="202"/>
      <c r="DH192" s="202"/>
      <c r="DI192" s="204">
        <v>645</v>
      </c>
      <c r="DJ192" s="202"/>
      <c r="DK192" s="202"/>
      <c r="DL192" s="202"/>
      <c r="DM192" s="202"/>
      <c r="DN192" s="202"/>
      <c r="DO192" s="202"/>
      <c r="DP192" s="202">
        <v>15031</v>
      </c>
      <c r="DQ192" s="202">
        <v>2822</v>
      </c>
      <c r="DR192" s="202">
        <v>1.66</v>
      </c>
      <c r="DS192" s="202">
        <v>4565</v>
      </c>
      <c r="DT192" s="254">
        <v>123</v>
      </c>
      <c r="DU192" s="254">
        <v>149</v>
      </c>
      <c r="DV192" s="202"/>
      <c r="DW192" s="202">
        <v>16524</v>
      </c>
      <c r="DX192" s="202"/>
      <c r="DY192" s="107">
        <v>1365</v>
      </c>
      <c r="DZ192" s="107"/>
      <c r="EA192" s="202"/>
      <c r="EB192" s="202"/>
      <c r="EC192" s="202"/>
      <c r="ED192" s="202"/>
      <c r="EE192" s="202"/>
      <c r="EF192" s="229"/>
      <c r="EG192" s="202"/>
      <c r="EH192" s="202"/>
      <c r="EI192" s="202"/>
      <c r="EJ192" s="202"/>
      <c r="EK192" s="202">
        <v>10775.67</v>
      </c>
      <c r="EL192" s="202">
        <v>714.93</v>
      </c>
      <c r="EM192" s="202">
        <v>132.16</v>
      </c>
      <c r="EN192" s="202">
        <v>138.03</v>
      </c>
      <c r="EO192" s="202">
        <v>10775.67</v>
      </c>
      <c r="EP192" s="202"/>
      <c r="EQ192" s="202">
        <v>132.16</v>
      </c>
      <c r="ER192" s="202">
        <v>138.03</v>
      </c>
      <c r="ES192" s="202"/>
      <c r="ET192" s="202"/>
      <c r="EU192" s="202"/>
      <c r="EV192" s="214">
        <v>2.15</v>
      </c>
      <c r="EW192" s="240">
        <f t="shared" si="119"/>
        <v>8046.61</v>
      </c>
      <c r="EX192" s="209">
        <f t="shared" si="120"/>
        <v>5237.16</v>
      </c>
    </row>
    <row r="193" spans="1:154" ht="12.75" customHeight="1" x14ac:dyDescent="0.2">
      <c r="A193" s="45" t="s">
        <v>276</v>
      </c>
      <c r="B193" s="66" t="s">
        <v>221</v>
      </c>
      <c r="C193" s="67" t="s">
        <v>245</v>
      </c>
      <c r="D193" s="68" t="s">
        <v>487</v>
      </c>
      <c r="E193" s="67" t="s">
        <v>12</v>
      </c>
      <c r="F193" s="11">
        <v>5</v>
      </c>
      <c r="G193" s="11">
        <v>4</v>
      </c>
      <c r="H193" s="11">
        <v>64</v>
      </c>
      <c r="I193" s="11">
        <v>0</v>
      </c>
      <c r="J193" s="11">
        <v>110</v>
      </c>
      <c r="K193" s="11">
        <v>123</v>
      </c>
      <c r="L193" s="11" t="s">
        <v>746</v>
      </c>
      <c r="M193" s="84">
        <v>246.8</v>
      </c>
      <c r="N193" s="84">
        <v>672.1</v>
      </c>
      <c r="O193" s="84">
        <v>672.1</v>
      </c>
      <c r="P193" s="139">
        <v>246.8</v>
      </c>
      <c r="Q193" s="139">
        <v>672.1</v>
      </c>
      <c r="R193" s="139">
        <v>672.1</v>
      </c>
      <c r="S193" s="133">
        <f t="shared" si="121"/>
        <v>1591</v>
      </c>
      <c r="T193" s="139">
        <v>246.8</v>
      </c>
      <c r="U193" s="130">
        <v>1.53</v>
      </c>
      <c r="V193" s="131">
        <v>1.9800000000000002E-2</v>
      </c>
      <c r="W193" s="131">
        <v>1.9800000000000002E-2</v>
      </c>
      <c r="X193" s="132">
        <v>1.2199999999999999E-3</v>
      </c>
      <c r="Y193" s="131">
        <v>3.95E-2</v>
      </c>
      <c r="Z193" s="29">
        <v>2566.94</v>
      </c>
      <c r="AA193" s="34">
        <v>886.8</v>
      </c>
      <c r="AB193" s="9">
        <f t="shared" si="133"/>
        <v>3453.74</v>
      </c>
      <c r="AC193" s="9">
        <f t="shared" si="135"/>
        <v>21862.17</v>
      </c>
      <c r="AD193" s="9">
        <v>0.35</v>
      </c>
      <c r="AE193" s="9">
        <v>4.75</v>
      </c>
      <c r="AF193" s="21">
        <f>2.39-AJ193</f>
        <v>2.2000000000000002</v>
      </c>
      <c r="AG193" s="18">
        <f>0.54-AQ193</f>
        <v>0.48</v>
      </c>
      <c r="AH193" s="9">
        <v>2.78</v>
      </c>
      <c r="AI193" s="43">
        <v>645</v>
      </c>
      <c r="AJ193" s="21">
        <f t="shared" si="99"/>
        <v>0.19</v>
      </c>
      <c r="AK193" s="9">
        <v>0</v>
      </c>
      <c r="AL193" s="9">
        <v>0</v>
      </c>
      <c r="AM193" s="9">
        <v>0.17</v>
      </c>
      <c r="AN193" s="13"/>
      <c r="AO193" s="13">
        <v>448.8</v>
      </c>
      <c r="AP193" s="13">
        <f t="shared" si="123"/>
        <v>5.58</v>
      </c>
      <c r="AQ193" s="18">
        <f t="shared" si="98"/>
        <v>0.06</v>
      </c>
      <c r="AR193" s="9">
        <v>0.69</v>
      </c>
      <c r="AS193" s="9">
        <v>0.4</v>
      </c>
      <c r="AT193" s="9">
        <v>7.0000000000000007E-2</v>
      </c>
      <c r="AU193" s="9">
        <v>4.04</v>
      </c>
      <c r="AV193" s="9">
        <v>0.11</v>
      </c>
      <c r="AW193" s="9">
        <f>1.09+0.35+0.35</f>
        <v>1.79</v>
      </c>
      <c r="AX193" s="9">
        <f>1.49+0.48</f>
        <v>1.97</v>
      </c>
      <c r="AY193" s="69">
        <f t="shared" si="124"/>
        <v>20.05</v>
      </c>
      <c r="AZ193" s="70">
        <v>2564.44</v>
      </c>
      <c r="BA193" s="70">
        <v>886.8</v>
      </c>
      <c r="BB193" s="70">
        <f t="shared" si="134"/>
        <v>3451.24</v>
      </c>
      <c r="BC193" s="70">
        <v>20.05</v>
      </c>
      <c r="BD193" s="13">
        <f t="shared" si="122"/>
        <v>0</v>
      </c>
      <c r="BE193" s="9">
        <f t="shared" si="100"/>
        <v>69247.490000000005</v>
      </c>
      <c r="BF193" s="9">
        <v>20.05</v>
      </c>
      <c r="BG193" s="10">
        <v>44409</v>
      </c>
      <c r="BH193" s="9">
        <f t="shared" si="101"/>
        <v>1208.81</v>
      </c>
      <c r="BI193" s="9">
        <f t="shared" si="102"/>
        <v>16405.27</v>
      </c>
      <c r="BJ193" s="9">
        <f t="shared" si="103"/>
        <v>7598.23</v>
      </c>
      <c r="BK193" s="9">
        <f t="shared" si="104"/>
        <v>1657.8</v>
      </c>
      <c r="BL193" s="9">
        <f t="shared" si="105"/>
        <v>9601.4</v>
      </c>
      <c r="BM193" s="9">
        <f t="shared" si="106"/>
        <v>656.21</v>
      </c>
      <c r="BN193" s="9">
        <f t="shared" si="107"/>
        <v>0</v>
      </c>
      <c r="BO193" s="9">
        <f t="shared" si="108"/>
        <v>0</v>
      </c>
      <c r="BP193" s="9">
        <f t="shared" si="109"/>
        <v>587.14</v>
      </c>
      <c r="BQ193" s="9">
        <f t="shared" si="110"/>
        <v>207.22</v>
      </c>
      <c r="BR193" s="9">
        <f t="shared" si="111"/>
        <v>2383.08</v>
      </c>
      <c r="BS193" s="9">
        <f t="shared" si="112"/>
        <v>1381.5</v>
      </c>
      <c r="BT193" s="9">
        <f t="shared" si="113"/>
        <v>241.76</v>
      </c>
      <c r="BU193" s="9">
        <f t="shared" si="114"/>
        <v>13953.11</v>
      </c>
      <c r="BV193" s="9">
        <f t="shared" si="115"/>
        <v>379.91</v>
      </c>
      <c r="BW193" s="9">
        <f t="shared" si="116"/>
        <v>6182.19</v>
      </c>
      <c r="BX193" s="9">
        <f t="shared" si="117"/>
        <v>6803.87</v>
      </c>
      <c r="BY193" s="17">
        <f t="shared" si="118"/>
        <v>69247.5</v>
      </c>
      <c r="BZ193" s="17">
        <v>2.7</v>
      </c>
      <c r="CA193" s="17">
        <v>0.04</v>
      </c>
      <c r="CB193" s="17">
        <v>0.23</v>
      </c>
      <c r="CC193" s="27">
        <v>0.04</v>
      </c>
      <c r="CD193" s="29">
        <v>6.33</v>
      </c>
      <c r="CE193" s="9">
        <v>8622.52</v>
      </c>
      <c r="CF193" s="9">
        <v>8587.44</v>
      </c>
      <c r="CG193" s="9">
        <v>0</v>
      </c>
      <c r="CH193" s="9">
        <v>69.14</v>
      </c>
      <c r="CI193" s="9">
        <f t="shared" si="129"/>
        <v>2.5</v>
      </c>
      <c r="CJ193" s="9">
        <f t="shared" si="130"/>
        <v>2.4900000000000002</v>
      </c>
      <c r="CK193" s="13">
        <f t="shared" si="131"/>
        <v>0</v>
      </c>
      <c r="CL193" s="13">
        <f t="shared" si="132"/>
        <v>0.02</v>
      </c>
      <c r="CM193" s="13">
        <v>51467.29</v>
      </c>
      <c r="CN193" s="13">
        <v>10011.07</v>
      </c>
      <c r="CO193" s="13">
        <v>7777.92</v>
      </c>
      <c r="CP193" s="13">
        <v>154.04</v>
      </c>
      <c r="CQ193" s="13">
        <v>102.65</v>
      </c>
      <c r="CR193" s="13">
        <v>63088.18</v>
      </c>
      <c r="CS193" s="13">
        <v>8588.6</v>
      </c>
      <c r="CT193" s="13">
        <v>9190.8700000000008</v>
      </c>
      <c r="CU193" s="13">
        <v>145.81</v>
      </c>
      <c r="CV193" s="13">
        <v>112.24</v>
      </c>
      <c r="CW193" s="202">
        <v>3009</v>
      </c>
      <c r="CX193" s="200">
        <v>1726</v>
      </c>
      <c r="CY193" s="202"/>
      <c r="CZ193" s="202"/>
      <c r="DA193" s="202"/>
      <c r="DB193" s="202"/>
      <c r="DC193" s="202"/>
      <c r="DD193" s="461"/>
      <c r="DE193" s="256"/>
      <c r="DF193" s="202"/>
      <c r="DG193" s="202"/>
      <c r="DH193" s="202"/>
      <c r="DI193" s="204">
        <v>645</v>
      </c>
      <c r="DJ193" s="202"/>
      <c r="DK193" s="202"/>
      <c r="DL193" s="202"/>
      <c r="DM193" s="202"/>
      <c r="DN193" s="202"/>
      <c r="DO193" s="202"/>
      <c r="DP193" s="202">
        <v>17255</v>
      </c>
      <c r="DQ193" s="202">
        <v>2822</v>
      </c>
      <c r="DR193" s="202">
        <v>1.66</v>
      </c>
      <c r="DS193" s="202">
        <v>4565</v>
      </c>
      <c r="DT193" s="254">
        <v>123</v>
      </c>
      <c r="DU193" s="254">
        <v>149</v>
      </c>
      <c r="DV193" s="202"/>
      <c r="DW193" s="202">
        <v>15643</v>
      </c>
      <c r="DX193" s="202"/>
      <c r="DY193" s="107">
        <v>1365</v>
      </c>
      <c r="DZ193" s="107"/>
      <c r="EA193" s="202"/>
      <c r="EB193" s="202"/>
      <c r="EC193" s="202"/>
      <c r="ED193" s="202"/>
      <c r="EE193" s="202"/>
      <c r="EF193" s="229"/>
      <c r="EG193" s="202"/>
      <c r="EH193" s="202"/>
      <c r="EI193" s="202"/>
      <c r="EJ193" s="202"/>
      <c r="EK193" s="202">
        <v>13479.23</v>
      </c>
      <c r="EL193" s="202">
        <v>7079.45</v>
      </c>
      <c r="EM193" s="202">
        <v>198.08</v>
      </c>
      <c r="EN193" s="202">
        <v>137.91999999999999</v>
      </c>
      <c r="EO193" s="202">
        <v>13479.23</v>
      </c>
      <c r="EP193" s="202"/>
      <c r="EQ193" s="202">
        <v>198.08</v>
      </c>
      <c r="ER193" s="202">
        <v>137.91999999999999</v>
      </c>
      <c r="ES193" s="202"/>
      <c r="ET193" s="202"/>
      <c r="EU193" s="202"/>
      <c r="EV193" s="214">
        <v>2.15</v>
      </c>
      <c r="EW193" s="240">
        <f t="shared" si="119"/>
        <v>7553.88</v>
      </c>
      <c r="EX193" s="209">
        <f t="shared" si="120"/>
        <v>4916.47</v>
      </c>
    </row>
    <row r="194" spans="1:154" ht="12.75" customHeight="1" x14ac:dyDescent="0.2">
      <c r="A194" s="45" t="s">
        <v>278</v>
      </c>
      <c r="B194" s="66" t="s">
        <v>221</v>
      </c>
      <c r="C194" s="67" t="s">
        <v>247</v>
      </c>
      <c r="D194" s="68" t="s">
        <v>656</v>
      </c>
      <c r="E194" s="67" t="s">
        <v>44</v>
      </c>
      <c r="F194" s="11">
        <v>5</v>
      </c>
      <c r="G194" s="11">
        <v>4</v>
      </c>
      <c r="H194" s="11">
        <v>64</v>
      </c>
      <c r="I194" s="11">
        <v>0</v>
      </c>
      <c r="J194" s="11">
        <v>116</v>
      </c>
      <c r="K194" s="11">
        <v>135</v>
      </c>
      <c r="L194" s="11" t="s">
        <v>746</v>
      </c>
      <c r="M194" s="84">
        <v>937</v>
      </c>
      <c r="N194" s="84">
        <v>872.1</v>
      </c>
      <c r="O194" s="84">
        <v>872.1</v>
      </c>
      <c r="P194" s="139">
        <v>937</v>
      </c>
      <c r="Q194" s="139">
        <v>872.1</v>
      </c>
      <c r="R194" s="139">
        <v>872.1</v>
      </c>
      <c r="S194" s="133">
        <f t="shared" si="121"/>
        <v>2681.2</v>
      </c>
      <c r="T194" s="139">
        <v>246.8</v>
      </c>
      <c r="U194" s="130">
        <v>1.53</v>
      </c>
      <c r="V194" s="131">
        <v>1.9800000000000002E-2</v>
      </c>
      <c r="W194" s="131">
        <v>1.9800000000000002E-2</v>
      </c>
      <c r="X194" s="132">
        <v>1.2199999999999999E-3</v>
      </c>
      <c r="Y194" s="131">
        <v>3.95E-2</v>
      </c>
      <c r="Z194" s="29">
        <v>2607.1999999999998</v>
      </c>
      <c r="AA194" s="34">
        <v>605.4</v>
      </c>
      <c r="AB194" s="9">
        <f t="shared" si="133"/>
        <v>3212.6</v>
      </c>
      <c r="AC194" s="9">
        <f t="shared" si="135"/>
        <v>20335.759999999998</v>
      </c>
      <c r="AD194" s="9">
        <v>0.39</v>
      </c>
      <c r="AE194" s="9">
        <v>4.55</v>
      </c>
      <c r="AF194" s="21">
        <f>2.44-AJ194</f>
        <v>2.1800000000000002</v>
      </c>
      <c r="AG194" s="18">
        <f>0.54-AQ194</f>
        <v>0.48</v>
      </c>
      <c r="AH194" s="9">
        <v>2.78</v>
      </c>
      <c r="AI194" s="43">
        <v>837</v>
      </c>
      <c r="AJ194" s="21">
        <f t="shared" si="99"/>
        <v>0.26</v>
      </c>
      <c r="AK194" s="9">
        <v>0</v>
      </c>
      <c r="AL194" s="9">
        <v>0</v>
      </c>
      <c r="AM194" s="9">
        <v>0.18</v>
      </c>
      <c r="AN194" s="13"/>
      <c r="AO194" s="13">
        <v>448.8</v>
      </c>
      <c r="AP194" s="13">
        <f t="shared" si="123"/>
        <v>5.58</v>
      </c>
      <c r="AQ194" s="18">
        <f t="shared" si="98"/>
        <v>0.06</v>
      </c>
      <c r="AR194" s="9">
        <v>0.74</v>
      </c>
      <c r="AS194" s="9">
        <v>0.42</v>
      </c>
      <c r="AT194" s="9">
        <v>7.0000000000000007E-2</v>
      </c>
      <c r="AU194" s="9">
        <v>4.07</v>
      </c>
      <c r="AV194" s="9">
        <v>0.12</v>
      </c>
      <c r="AW194" s="9">
        <f>1.08+0.34+0.36</f>
        <v>1.78</v>
      </c>
      <c r="AX194" s="9">
        <f>1.49+0.49</f>
        <v>1.98</v>
      </c>
      <c r="AY194" s="69">
        <f t="shared" si="124"/>
        <v>20.059999999999999</v>
      </c>
      <c r="AZ194" s="70">
        <v>2622.7</v>
      </c>
      <c r="BA194" s="70">
        <v>605.4</v>
      </c>
      <c r="BB194" s="70">
        <f t="shared" si="134"/>
        <v>3228.1</v>
      </c>
      <c r="BC194" s="70">
        <v>20.059999999999999</v>
      </c>
      <c r="BD194" s="13">
        <f t="shared" si="122"/>
        <v>0</v>
      </c>
      <c r="BE194" s="9">
        <f t="shared" si="100"/>
        <v>64444.76</v>
      </c>
      <c r="BF194" s="9">
        <v>20.059999999999999</v>
      </c>
      <c r="BG194" s="10">
        <v>44409</v>
      </c>
      <c r="BH194" s="9">
        <f t="shared" si="101"/>
        <v>1252.9100000000001</v>
      </c>
      <c r="BI194" s="9">
        <f t="shared" si="102"/>
        <v>14617.33</v>
      </c>
      <c r="BJ194" s="9">
        <f t="shared" si="103"/>
        <v>7003.47</v>
      </c>
      <c r="BK194" s="9">
        <f t="shared" si="104"/>
        <v>1542.05</v>
      </c>
      <c r="BL194" s="9">
        <f t="shared" si="105"/>
        <v>8931.0300000000007</v>
      </c>
      <c r="BM194" s="9">
        <f t="shared" si="106"/>
        <v>835.28</v>
      </c>
      <c r="BN194" s="9">
        <f t="shared" si="107"/>
        <v>0</v>
      </c>
      <c r="BO194" s="9">
        <f t="shared" si="108"/>
        <v>0</v>
      </c>
      <c r="BP194" s="9">
        <f t="shared" si="109"/>
        <v>578.27</v>
      </c>
      <c r="BQ194" s="9">
        <f t="shared" si="110"/>
        <v>192.76</v>
      </c>
      <c r="BR194" s="9">
        <f t="shared" si="111"/>
        <v>2377.3200000000002</v>
      </c>
      <c r="BS194" s="9">
        <f t="shared" si="112"/>
        <v>1349.29</v>
      </c>
      <c r="BT194" s="9">
        <f t="shared" si="113"/>
        <v>224.88</v>
      </c>
      <c r="BU194" s="9">
        <f t="shared" si="114"/>
        <v>13075.28</v>
      </c>
      <c r="BV194" s="9">
        <f t="shared" si="115"/>
        <v>385.51</v>
      </c>
      <c r="BW194" s="9">
        <f t="shared" si="116"/>
        <v>5718.43</v>
      </c>
      <c r="BX194" s="9">
        <f t="shared" si="117"/>
        <v>6360.95</v>
      </c>
      <c r="BY194" s="17">
        <f t="shared" si="118"/>
        <v>64444.76</v>
      </c>
      <c r="BZ194" s="17">
        <v>2.78</v>
      </c>
      <c r="CA194" s="17">
        <v>0.04</v>
      </c>
      <c r="CB194" s="17">
        <v>0.25</v>
      </c>
      <c r="CC194" s="27">
        <v>0.04</v>
      </c>
      <c r="CD194" s="29">
        <v>6.33</v>
      </c>
      <c r="CE194" s="9">
        <v>7137.78</v>
      </c>
      <c r="CF194" s="9">
        <v>3629.34</v>
      </c>
      <c r="CG194" s="9">
        <v>10944.72</v>
      </c>
      <c r="CH194" s="9">
        <v>5799.08</v>
      </c>
      <c r="CI194" s="9">
        <f t="shared" si="129"/>
        <v>2.2200000000000002</v>
      </c>
      <c r="CJ194" s="9">
        <f t="shared" si="130"/>
        <v>1.1299999999999999</v>
      </c>
      <c r="CK194" s="13">
        <f t="shared" si="131"/>
        <v>3.41</v>
      </c>
      <c r="CL194" s="13">
        <f t="shared" si="132"/>
        <v>1.81</v>
      </c>
      <c r="CM194" s="13">
        <v>52300.43</v>
      </c>
      <c r="CN194" s="13">
        <v>6752.62</v>
      </c>
      <c r="CO194" s="13">
        <v>10559.3</v>
      </c>
      <c r="CP194" s="13">
        <v>7639.16</v>
      </c>
      <c r="CQ194" s="13">
        <v>4041.3</v>
      </c>
      <c r="CR194" s="13">
        <v>54305.760000000002</v>
      </c>
      <c r="CS194" s="13">
        <v>5687.91</v>
      </c>
      <c r="CT194" s="13">
        <v>7952.58</v>
      </c>
      <c r="CU194" s="13">
        <v>6722.98</v>
      </c>
      <c r="CV194" s="13">
        <v>3569.39</v>
      </c>
      <c r="CW194" s="202">
        <v>2799</v>
      </c>
      <c r="CX194" s="200">
        <v>1606</v>
      </c>
      <c r="CY194" s="202"/>
      <c r="CZ194" s="202"/>
      <c r="DA194" s="202"/>
      <c r="DB194" s="202"/>
      <c r="DC194" s="202"/>
      <c r="DD194" s="461"/>
      <c r="DE194" s="256"/>
      <c r="DF194" s="202"/>
      <c r="DG194" s="202"/>
      <c r="DH194" s="202"/>
      <c r="DI194" s="204">
        <v>837</v>
      </c>
      <c r="DJ194" s="202"/>
      <c r="DK194" s="202"/>
      <c r="DL194" s="202"/>
      <c r="DM194" s="202"/>
      <c r="DN194" s="202"/>
      <c r="DO194" s="202"/>
      <c r="DP194" s="202">
        <v>15653</v>
      </c>
      <c r="DQ194" s="202">
        <v>3400</v>
      </c>
      <c r="DR194" s="202">
        <v>2</v>
      </c>
      <c r="DS194" s="202">
        <v>10615</v>
      </c>
      <c r="DT194" s="254">
        <v>275</v>
      </c>
      <c r="DU194" s="254">
        <v>374</v>
      </c>
      <c r="DV194" s="202"/>
      <c r="DW194" s="202">
        <v>14570</v>
      </c>
      <c r="DX194" s="202"/>
      <c r="DY194" s="107">
        <v>1365</v>
      </c>
      <c r="DZ194" s="107">
        <v>577</v>
      </c>
      <c r="EA194" s="202"/>
      <c r="EB194" s="202"/>
      <c r="EC194" s="202"/>
      <c r="ED194" s="202"/>
      <c r="EE194" s="202"/>
      <c r="EF194" s="229"/>
      <c r="EG194" s="202"/>
      <c r="EH194" s="202"/>
      <c r="EI194" s="202"/>
      <c r="EJ194" s="202"/>
      <c r="EK194" s="202">
        <v>8316.39</v>
      </c>
      <c r="EL194" s="202">
        <v>20614.98</v>
      </c>
      <c r="EM194" s="202">
        <v>9404.35</v>
      </c>
      <c r="EN194" s="202">
        <v>4992.6400000000003</v>
      </c>
      <c r="EO194" s="202">
        <v>8316.39</v>
      </c>
      <c r="EP194" s="202"/>
      <c r="EQ194" s="202">
        <v>9404.35</v>
      </c>
      <c r="ER194" s="202">
        <v>4992.6400000000003</v>
      </c>
      <c r="ES194" s="202"/>
      <c r="ET194" s="202"/>
      <c r="EU194" s="202"/>
      <c r="EV194" s="214">
        <v>269.29000000000002</v>
      </c>
      <c r="EW194" s="240">
        <f t="shared" si="119"/>
        <v>7026.47</v>
      </c>
      <c r="EX194" s="209">
        <f t="shared" si="120"/>
        <v>4573.2</v>
      </c>
    </row>
    <row r="195" spans="1:154" ht="12.75" customHeight="1" x14ac:dyDescent="0.2">
      <c r="A195" s="45" t="s">
        <v>279</v>
      </c>
      <c r="B195" s="113" t="s">
        <v>221</v>
      </c>
      <c r="C195" s="114" t="s">
        <v>249</v>
      </c>
      <c r="D195" s="115" t="s">
        <v>650</v>
      </c>
      <c r="E195" s="114" t="s">
        <v>8</v>
      </c>
      <c r="F195" s="11">
        <v>5</v>
      </c>
      <c r="G195" s="11">
        <v>4</v>
      </c>
      <c r="H195" s="11">
        <v>80</v>
      </c>
      <c r="I195" s="11">
        <v>0</v>
      </c>
      <c r="J195" s="11">
        <v>175</v>
      </c>
      <c r="K195" s="11">
        <v>205</v>
      </c>
      <c r="L195" s="11" t="s">
        <v>746</v>
      </c>
      <c r="M195" s="84">
        <v>280</v>
      </c>
      <c r="N195" s="84">
        <v>893</v>
      </c>
      <c r="O195" s="84">
        <v>0</v>
      </c>
      <c r="P195" s="139">
        <v>282.5</v>
      </c>
      <c r="Q195" s="135">
        <v>893</v>
      </c>
      <c r="R195" s="133">
        <v>0</v>
      </c>
      <c r="S195" s="133">
        <f t="shared" si="121"/>
        <v>1175.5</v>
      </c>
      <c r="T195" s="139">
        <v>280</v>
      </c>
      <c r="U195" s="130">
        <v>1.53</v>
      </c>
      <c r="V195" s="131">
        <v>1.9800000000000002E-2</v>
      </c>
      <c r="W195" s="131">
        <v>1.9800000000000002E-2</v>
      </c>
      <c r="X195" s="132">
        <v>1.32E-3</v>
      </c>
      <c r="Y195" s="131">
        <v>3.95E-2</v>
      </c>
      <c r="Z195" s="29">
        <v>3424.8</v>
      </c>
      <c r="AA195" s="34">
        <v>125.3</v>
      </c>
      <c r="AB195" s="9">
        <f t="shared" si="133"/>
        <v>3550.1</v>
      </c>
      <c r="AC195" s="9">
        <f t="shared" si="135"/>
        <v>22472.13</v>
      </c>
      <c r="AD195" s="9">
        <v>0.4</v>
      </c>
      <c r="AE195" s="9">
        <v>4.6500000000000004</v>
      </c>
      <c r="AF195" s="21">
        <f>2.42-AJ195</f>
        <v>2.1800000000000002</v>
      </c>
      <c r="AG195" s="18">
        <f>0.53-AQ195</f>
        <v>0.43</v>
      </c>
      <c r="AH195" s="9">
        <v>2.78</v>
      </c>
      <c r="AI195" s="43">
        <v>857</v>
      </c>
      <c r="AJ195" s="21">
        <f t="shared" si="99"/>
        <v>0.24</v>
      </c>
      <c r="AK195" s="9">
        <v>0</v>
      </c>
      <c r="AL195" s="9">
        <v>0</v>
      </c>
      <c r="AM195" s="9">
        <v>0</v>
      </c>
      <c r="AN195" s="13"/>
      <c r="AO195" s="13">
        <v>801.6</v>
      </c>
      <c r="AP195" s="13">
        <f t="shared" si="123"/>
        <v>5.58</v>
      </c>
      <c r="AQ195" s="18">
        <f t="shared" si="98"/>
        <v>0.1</v>
      </c>
      <c r="AR195" s="9">
        <v>0.77</v>
      </c>
      <c r="AS195" s="9">
        <v>0.39</v>
      </c>
      <c r="AT195" s="9">
        <v>7.0000000000000007E-2</v>
      </c>
      <c r="AU195" s="9">
        <v>4.26</v>
      </c>
      <c r="AV195" s="9">
        <v>0.12</v>
      </c>
      <c r="AW195" s="9">
        <f>1.07+0.32+0.38</f>
        <v>1.77</v>
      </c>
      <c r="AX195" s="9">
        <f>1.47+0.51</f>
        <v>1.98</v>
      </c>
      <c r="AY195" s="110">
        <f t="shared" si="124"/>
        <v>20.14</v>
      </c>
      <c r="AZ195" s="111">
        <v>3423.2</v>
      </c>
      <c r="BA195" s="111">
        <v>117.3</v>
      </c>
      <c r="BB195" s="111">
        <f t="shared" si="134"/>
        <v>3540.5</v>
      </c>
      <c r="BC195" s="111">
        <v>20.14</v>
      </c>
      <c r="BD195" s="13">
        <f t="shared" si="122"/>
        <v>0</v>
      </c>
      <c r="BE195" s="9">
        <f t="shared" si="100"/>
        <v>71499.009999999995</v>
      </c>
      <c r="BF195" s="9">
        <v>20.14</v>
      </c>
      <c r="BG195" s="10">
        <v>44409</v>
      </c>
      <c r="BH195" s="9">
        <f t="shared" si="101"/>
        <v>1420.04</v>
      </c>
      <c r="BI195" s="9">
        <f t="shared" si="102"/>
        <v>16507.97</v>
      </c>
      <c r="BJ195" s="9">
        <f t="shared" si="103"/>
        <v>7739.22</v>
      </c>
      <c r="BK195" s="9">
        <f t="shared" si="104"/>
        <v>1526.54</v>
      </c>
      <c r="BL195" s="9">
        <f t="shared" si="105"/>
        <v>9869.2800000000007</v>
      </c>
      <c r="BM195" s="9">
        <f t="shared" si="106"/>
        <v>852.02</v>
      </c>
      <c r="BN195" s="9">
        <f t="shared" si="107"/>
        <v>0</v>
      </c>
      <c r="BO195" s="9">
        <f t="shared" si="108"/>
        <v>0</v>
      </c>
      <c r="BP195" s="9">
        <f t="shared" si="109"/>
        <v>0</v>
      </c>
      <c r="BQ195" s="9">
        <f t="shared" si="110"/>
        <v>355.01</v>
      </c>
      <c r="BR195" s="9">
        <f t="shared" si="111"/>
        <v>2733.58</v>
      </c>
      <c r="BS195" s="9">
        <f t="shared" si="112"/>
        <v>1384.54</v>
      </c>
      <c r="BT195" s="9">
        <f t="shared" si="113"/>
        <v>248.51</v>
      </c>
      <c r="BU195" s="9">
        <f t="shared" si="114"/>
        <v>15123.43</v>
      </c>
      <c r="BV195" s="9">
        <f t="shared" si="115"/>
        <v>426.01</v>
      </c>
      <c r="BW195" s="9">
        <f t="shared" si="116"/>
        <v>6283.68</v>
      </c>
      <c r="BX195" s="9">
        <f t="shared" si="117"/>
        <v>7029.2</v>
      </c>
      <c r="BY195" s="17">
        <f t="shared" si="118"/>
        <v>71499.03</v>
      </c>
      <c r="BZ195" s="17">
        <v>1.94</v>
      </c>
      <c r="CA195" s="17">
        <v>0.04</v>
      </c>
      <c r="CB195" s="17">
        <v>0.26</v>
      </c>
      <c r="CC195" s="27">
        <v>0.04</v>
      </c>
      <c r="CD195" s="29">
        <v>6.33</v>
      </c>
      <c r="CE195" s="9">
        <v>1640.77</v>
      </c>
      <c r="CF195" s="9"/>
      <c r="CG195" s="9">
        <v>149.82</v>
      </c>
      <c r="CH195" s="9">
        <v>156.47999999999999</v>
      </c>
      <c r="CI195" s="9">
        <f t="shared" si="129"/>
        <v>0.46</v>
      </c>
      <c r="CJ195" s="9">
        <f t="shared" si="130"/>
        <v>0</v>
      </c>
      <c r="CK195" s="13">
        <f t="shared" si="131"/>
        <v>0.04</v>
      </c>
      <c r="CL195" s="13">
        <f t="shared" si="132"/>
        <v>0.04</v>
      </c>
      <c r="CM195" s="13">
        <v>68975.47</v>
      </c>
      <c r="CN195" s="13">
        <v>1575.4</v>
      </c>
      <c r="CO195" s="13">
        <v>0</v>
      </c>
      <c r="CP195" s="13">
        <v>137.01</v>
      </c>
      <c r="CQ195" s="13">
        <v>137.01</v>
      </c>
      <c r="CR195" s="13">
        <v>75488.42</v>
      </c>
      <c r="CS195" s="13">
        <v>2205.88</v>
      </c>
      <c r="CT195" s="13">
        <v>150.62</v>
      </c>
      <c r="CU195" s="13">
        <v>149.87</v>
      </c>
      <c r="CV195" s="13">
        <v>149.87</v>
      </c>
      <c r="CW195" s="202">
        <v>3092</v>
      </c>
      <c r="CX195" s="200">
        <v>1774</v>
      </c>
      <c r="CY195" s="202"/>
      <c r="CZ195" s="202"/>
      <c r="DA195" s="202"/>
      <c r="DB195" s="202"/>
      <c r="DC195" s="202"/>
      <c r="DD195" s="461"/>
      <c r="DE195" s="256"/>
      <c r="DF195" s="202"/>
      <c r="DG195" s="202"/>
      <c r="DH195" s="202"/>
      <c r="DI195" s="204">
        <v>857</v>
      </c>
      <c r="DJ195" s="202"/>
      <c r="DK195" s="202"/>
      <c r="DL195" s="202"/>
      <c r="DM195" s="202">
        <v>18237</v>
      </c>
      <c r="DN195" s="202">
        <v>3400</v>
      </c>
      <c r="DO195" s="202">
        <v>2</v>
      </c>
      <c r="DP195" s="202"/>
      <c r="DQ195" s="202"/>
      <c r="DR195" s="202"/>
      <c r="DS195" s="202">
        <v>14860</v>
      </c>
      <c r="DT195" s="254">
        <v>556</v>
      </c>
      <c r="DU195" s="254">
        <v>96</v>
      </c>
      <c r="DV195" s="202"/>
      <c r="DW195" s="202">
        <v>16083</v>
      </c>
      <c r="DX195" s="202"/>
      <c r="DY195" s="107">
        <v>1365</v>
      </c>
      <c r="DZ195" s="107"/>
      <c r="EA195" s="202"/>
      <c r="EB195" s="202"/>
      <c r="EC195" s="202"/>
      <c r="ED195" s="202"/>
      <c r="EE195" s="202"/>
      <c r="EF195" s="229"/>
      <c r="EG195" s="202"/>
      <c r="EH195" s="202"/>
      <c r="EI195" s="202"/>
      <c r="EJ195" s="202"/>
      <c r="EK195" s="202">
        <v>1640.77</v>
      </c>
      <c r="EL195" s="202">
        <v>0</v>
      </c>
      <c r="EM195" s="202">
        <v>149.82</v>
      </c>
      <c r="EN195" s="202">
        <v>156.47999999999999</v>
      </c>
      <c r="EO195" s="202">
        <v>1640.77</v>
      </c>
      <c r="EP195" s="202"/>
      <c r="EQ195" s="202">
        <v>149.82</v>
      </c>
      <c r="ER195" s="202">
        <v>156.47999999999999</v>
      </c>
      <c r="ES195" s="202"/>
      <c r="ET195" s="202"/>
      <c r="EU195" s="202"/>
      <c r="EV195" s="214">
        <v>2.15</v>
      </c>
      <c r="EW195" s="240">
        <f t="shared" si="119"/>
        <v>7764.64</v>
      </c>
      <c r="EX195" s="209">
        <f t="shared" si="120"/>
        <v>5053.6400000000003</v>
      </c>
    </row>
    <row r="196" spans="1:154" ht="12.75" customHeight="1" x14ac:dyDescent="0.2">
      <c r="A196" s="45" t="s">
        <v>280</v>
      </c>
      <c r="B196" s="113" t="s">
        <v>221</v>
      </c>
      <c r="C196" s="114" t="s">
        <v>251</v>
      </c>
      <c r="D196" s="115" t="s">
        <v>488</v>
      </c>
      <c r="E196" s="114" t="s">
        <v>12</v>
      </c>
      <c r="F196" s="11">
        <v>5</v>
      </c>
      <c r="G196" s="11">
        <v>5</v>
      </c>
      <c r="H196" s="11">
        <v>100</v>
      </c>
      <c r="I196" s="11">
        <v>0</v>
      </c>
      <c r="J196" s="11">
        <v>179</v>
      </c>
      <c r="K196" s="11">
        <v>186</v>
      </c>
      <c r="L196" s="11" t="s">
        <v>746</v>
      </c>
      <c r="M196" s="84">
        <v>280</v>
      </c>
      <c r="N196" s="84">
        <v>887</v>
      </c>
      <c r="O196" s="84">
        <v>0</v>
      </c>
      <c r="P196" s="139">
        <v>350</v>
      </c>
      <c r="Q196" s="135">
        <v>887.4</v>
      </c>
      <c r="R196" s="133">
        <v>0</v>
      </c>
      <c r="S196" s="133">
        <f t="shared" si="121"/>
        <v>1237.4000000000001</v>
      </c>
      <c r="T196" s="139">
        <v>280</v>
      </c>
      <c r="U196" s="130">
        <v>1.53</v>
      </c>
      <c r="V196" s="131">
        <v>1.9800000000000002E-2</v>
      </c>
      <c r="W196" s="131">
        <v>1.9800000000000002E-2</v>
      </c>
      <c r="X196" s="132">
        <v>1.32E-3</v>
      </c>
      <c r="Y196" s="131">
        <v>3.95E-2</v>
      </c>
      <c r="Z196" s="29">
        <v>3393.87</v>
      </c>
      <c r="AA196" s="34">
        <v>31</v>
      </c>
      <c r="AB196" s="9">
        <f t="shared" si="133"/>
        <v>3424.87</v>
      </c>
      <c r="AC196" s="9">
        <f t="shared" si="135"/>
        <v>21679.43</v>
      </c>
      <c r="AD196" s="9">
        <v>0.5</v>
      </c>
      <c r="AE196" s="9">
        <v>3.66</v>
      </c>
      <c r="AF196" s="21">
        <f>2.41-AJ196</f>
        <v>2.16</v>
      </c>
      <c r="AG196" s="18">
        <f>0.56-AQ196</f>
        <v>0.42</v>
      </c>
      <c r="AH196" s="9">
        <v>2.78</v>
      </c>
      <c r="AI196" s="43">
        <v>852</v>
      </c>
      <c r="AJ196" s="21">
        <f t="shared" si="99"/>
        <v>0.25</v>
      </c>
      <c r="AK196" s="9">
        <v>0</v>
      </c>
      <c r="AL196" s="9">
        <v>0</v>
      </c>
      <c r="AM196" s="9">
        <v>0.17</v>
      </c>
      <c r="AN196" s="13"/>
      <c r="AO196" s="13">
        <v>1002</v>
      </c>
      <c r="AP196" s="13">
        <f t="shared" si="123"/>
        <v>5.58</v>
      </c>
      <c r="AQ196" s="18">
        <f t="shared" si="98"/>
        <v>0.14000000000000001</v>
      </c>
      <c r="AR196" s="9">
        <v>0.94</v>
      </c>
      <c r="AS196" s="9">
        <v>0.4</v>
      </c>
      <c r="AT196" s="9">
        <v>7.0000000000000007E-2</v>
      </c>
      <c r="AU196" s="9">
        <v>4.74</v>
      </c>
      <c r="AV196" s="9">
        <v>0.12</v>
      </c>
      <c r="AW196" s="9">
        <f>1.03+0.41+0.42</f>
        <v>1.86</v>
      </c>
      <c r="AX196" s="9">
        <f>1.42+0.56</f>
        <v>1.98</v>
      </c>
      <c r="AY196" s="110">
        <f t="shared" si="124"/>
        <v>20.190000000000001</v>
      </c>
      <c r="AZ196" s="111">
        <v>3403.7</v>
      </c>
      <c r="BA196" s="111">
        <v>31</v>
      </c>
      <c r="BB196" s="111">
        <f t="shared" si="134"/>
        <v>3434.7</v>
      </c>
      <c r="BC196" s="111">
        <v>20.190000000000001</v>
      </c>
      <c r="BD196" s="13">
        <f t="shared" si="122"/>
        <v>0</v>
      </c>
      <c r="BE196" s="9">
        <f t="shared" si="100"/>
        <v>69148.13</v>
      </c>
      <c r="BF196" s="9">
        <v>20.190000000000001</v>
      </c>
      <c r="BG196" s="10">
        <v>44409</v>
      </c>
      <c r="BH196" s="9">
        <f t="shared" si="101"/>
        <v>1712.44</v>
      </c>
      <c r="BI196" s="9">
        <f t="shared" si="102"/>
        <v>12535.02</v>
      </c>
      <c r="BJ196" s="9">
        <f t="shared" si="103"/>
        <v>7397.72</v>
      </c>
      <c r="BK196" s="9">
        <f t="shared" si="104"/>
        <v>1438.45</v>
      </c>
      <c r="BL196" s="9">
        <f t="shared" si="105"/>
        <v>9521.14</v>
      </c>
      <c r="BM196" s="9">
        <f t="shared" si="106"/>
        <v>856.22</v>
      </c>
      <c r="BN196" s="9">
        <f t="shared" si="107"/>
        <v>0</v>
      </c>
      <c r="BO196" s="9">
        <f t="shared" si="108"/>
        <v>0</v>
      </c>
      <c r="BP196" s="9">
        <f t="shared" si="109"/>
        <v>582.23</v>
      </c>
      <c r="BQ196" s="9">
        <f t="shared" si="110"/>
        <v>479.48</v>
      </c>
      <c r="BR196" s="9">
        <f t="shared" si="111"/>
        <v>3219.38</v>
      </c>
      <c r="BS196" s="9">
        <f t="shared" si="112"/>
        <v>1369.95</v>
      </c>
      <c r="BT196" s="9">
        <f t="shared" si="113"/>
        <v>239.74</v>
      </c>
      <c r="BU196" s="9">
        <f t="shared" si="114"/>
        <v>16233.88</v>
      </c>
      <c r="BV196" s="9">
        <f t="shared" si="115"/>
        <v>410.98</v>
      </c>
      <c r="BW196" s="9">
        <f t="shared" si="116"/>
        <v>6370.26</v>
      </c>
      <c r="BX196" s="9">
        <f t="shared" si="117"/>
        <v>6781.24</v>
      </c>
      <c r="BY196" s="17">
        <f t="shared" si="118"/>
        <v>69148.13</v>
      </c>
      <c r="BZ196" s="17">
        <v>2</v>
      </c>
      <c r="CA196" s="17">
        <v>0.04</v>
      </c>
      <c r="CB196" s="17">
        <v>0.28000000000000003</v>
      </c>
      <c r="CC196" s="27">
        <v>0.05</v>
      </c>
      <c r="CD196" s="29">
        <v>6.33</v>
      </c>
      <c r="CE196" s="9">
        <v>0</v>
      </c>
      <c r="CF196" s="9"/>
      <c r="CG196" s="9">
        <v>0</v>
      </c>
      <c r="CH196" s="9">
        <v>78.44</v>
      </c>
      <c r="CI196" s="9">
        <f t="shared" si="129"/>
        <v>0</v>
      </c>
      <c r="CJ196" s="9">
        <f t="shared" si="130"/>
        <v>0</v>
      </c>
      <c r="CK196" s="13">
        <f t="shared" si="131"/>
        <v>0</v>
      </c>
      <c r="CL196" s="13">
        <f t="shared" si="132"/>
        <v>0.02</v>
      </c>
      <c r="CM196" s="13">
        <v>68522.23</v>
      </c>
      <c r="CN196" s="13">
        <v>0</v>
      </c>
      <c r="CO196" s="13">
        <v>0</v>
      </c>
      <c r="CP196" s="13">
        <v>0</v>
      </c>
      <c r="CQ196" s="13">
        <v>67.849999999999994</v>
      </c>
      <c r="CR196" s="13">
        <v>56243.3</v>
      </c>
      <c r="CS196" s="13">
        <v>877.16</v>
      </c>
      <c r="CT196" s="13">
        <v>122.78</v>
      </c>
      <c r="CU196" s="13">
        <v>17.579999999999998</v>
      </c>
      <c r="CV196" s="13">
        <v>62.73</v>
      </c>
      <c r="CW196" s="202">
        <v>2984</v>
      </c>
      <c r="CX196" s="200">
        <v>1712</v>
      </c>
      <c r="CY196" s="202"/>
      <c r="CZ196" s="202"/>
      <c r="DA196" s="202"/>
      <c r="DB196" s="202"/>
      <c r="DC196" s="202"/>
      <c r="DD196" s="461"/>
      <c r="DE196" s="256"/>
      <c r="DF196" s="202"/>
      <c r="DG196" s="202"/>
      <c r="DH196" s="202"/>
      <c r="DI196" s="204">
        <v>852</v>
      </c>
      <c r="DJ196" s="202"/>
      <c r="DK196" s="202"/>
      <c r="DL196" s="202"/>
      <c r="DM196" s="202">
        <v>14646</v>
      </c>
      <c r="DN196" s="202">
        <v>3400</v>
      </c>
      <c r="DO196" s="202">
        <v>2</v>
      </c>
      <c r="DP196" s="202"/>
      <c r="DQ196" s="202"/>
      <c r="DR196" s="202"/>
      <c r="DS196" s="202">
        <v>16650</v>
      </c>
      <c r="DT196" s="254">
        <v>552</v>
      </c>
      <c r="DU196" s="254">
        <v>285</v>
      </c>
      <c r="DV196" s="202"/>
      <c r="DW196" s="202">
        <v>15597</v>
      </c>
      <c r="DX196" s="202"/>
      <c r="DY196" s="107">
        <v>1365</v>
      </c>
      <c r="DZ196" s="107">
        <v>577</v>
      </c>
      <c r="EA196" s="202"/>
      <c r="EB196" s="202"/>
      <c r="EC196" s="202"/>
      <c r="ED196" s="202"/>
      <c r="EE196" s="202"/>
      <c r="EF196" s="229"/>
      <c r="EG196" s="202"/>
      <c r="EH196" s="202"/>
      <c r="EI196" s="202"/>
      <c r="EJ196" s="202"/>
      <c r="EK196" s="202">
        <v>0</v>
      </c>
      <c r="EL196" s="202">
        <v>0</v>
      </c>
      <c r="EM196" s="202">
        <v>0</v>
      </c>
      <c r="EN196" s="202">
        <v>78.44</v>
      </c>
      <c r="EO196" s="202">
        <v>0</v>
      </c>
      <c r="EP196" s="202"/>
      <c r="EQ196" s="202">
        <v>0</v>
      </c>
      <c r="ER196" s="202">
        <v>78.44</v>
      </c>
      <c r="ES196" s="202"/>
      <c r="ET196" s="202"/>
      <c r="EU196" s="202"/>
      <c r="EV196" s="214">
        <v>-3.37</v>
      </c>
      <c r="EW196" s="240">
        <f t="shared" si="119"/>
        <v>7490.74</v>
      </c>
      <c r="EX196" s="209">
        <f t="shared" si="120"/>
        <v>4875.37</v>
      </c>
    </row>
    <row r="197" spans="1:154" ht="12.75" customHeight="1" x14ac:dyDescent="0.2">
      <c r="A197" s="45" t="s">
        <v>281</v>
      </c>
      <c r="B197" s="113" t="s">
        <v>221</v>
      </c>
      <c r="C197" s="114" t="s">
        <v>253</v>
      </c>
      <c r="D197" s="115" t="s">
        <v>489</v>
      </c>
      <c r="E197" s="114" t="s">
        <v>12</v>
      </c>
      <c r="F197" s="11">
        <v>5</v>
      </c>
      <c r="G197" s="11">
        <v>5</v>
      </c>
      <c r="H197" s="11">
        <v>64</v>
      </c>
      <c r="I197" s="11">
        <v>0</v>
      </c>
      <c r="J197" s="11">
        <v>123</v>
      </c>
      <c r="K197" s="11">
        <v>139</v>
      </c>
      <c r="L197" s="11" t="s">
        <v>746</v>
      </c>
      <c r="M197" s="84">
        <v>244</v>
      </c>
      <c r="N197" s="84">
        <v>868</v>
      </c>
      <c r="O197" s="84">
        <v>0</v>
      </c>
      <c r="P197" s="135">
        <v>244</v>
      </c>
      <c r="Q197" s="135">
        <v>649.70000000000005</v>
      </c>
      <c r="R197" s="133">
        <v>0</v>
      </c>
      <c r="S197" s="133">
        <f t="shared" si="121"/>
        <v>893.7</v>
      </c>
      <c r="T197" s="134">
        <v>244</v>
      </c>
      <c r="U197" s="130">
        <v>1.53</v>
      </c>
      <c r="V197" s="131">
        <v>1.9800000000000002E-2</v>
      </c>
      <c r="W197" s="131">
        <v>1.9800000000000002E-2</v>
      </c>
      <c r="X197" s="132">
        <v>1.2199999999999999E-3</v>
      </c>
      <c r="Y197" s="131">
        <v>3.95E-2</v>
      </c>
      <c r="Z197" s="29">
        <v>2583.3200000000002</v>
      </c>
      <c r="AA197" s="34">
        <v>707.1</v>
      </c>
      <c r="AB197" s="9">
        <f t="shared" si="133"/>
        <v>3290.42</v>
      </c>
      <c r="AC197" s="9">
        <f t="shared" si="135"/>
        <v>20828.36</v>
      </c>
      <c r="AD197" s="9">
        <v>0.38</v>
      </c>
      <c r="AE197" s="9">
        <v>5.0999999999999996</v>
      </c>
      <c r="AF197" s="21">
        <f>2.38-AJ197</f>
        <v>2.13</v>
      </c>
      <c r="AG197" s="18">
        <f>0.54-AQ197</f>
        <v>0.43</v>
      </c>
      <c r="AH197" s="9">
        <v>2.78</v>
      </c>
      <c r="AI197" s="43">
        <v>833</v>
      </c>
      <c r="AJ197" s="21">
        <f t="shared" si="99"/>
        <v>0.25</v>
      </c>
      <c r="AK197" s="9">
        <v>0</v>
      </c>
      <c r="AL197" s="9">
        <v>0</v>
      </c>
      <c r="AM197" s="9">
        <v>0</v>
      </c>
      <c r="AN197" s="13"/>
      <c r="AO197" s="13">
        <v>787.5</v>
      </c>
      <c r="AP197" s="13">
        <f t="shared" si="123"/>
        <v>5.58</v>
      </c>
      <c r="AQ197" s="18">
        <f t="shared" si="98"/>
        <v>0.11</v>
      </c>
      <c r="AR197" s="9">
        <v>0.72</v>
      </c>
      <c r="AS197" s="9">
        <v>0.41</v>
      </c>
      <c r="AT197" s="9">
        <v>7.0000000000000007E-2</v>
      </c>
      <c r="AU197" s="9">
        <v>3.63</v>
      </c>
      <c r="AV197" s="9">
        <v>0.12</v>
      </c>
      <c r="AW197" s="9">
        <f>1.11+0.35+0.32</f>
        <v>1.78</v>
      </c>
      <c r="AX197" s="9">
        <f>1.51+0.44</f>
        <v>1.95</v>
      </c>
      <c r="AY197" s="110">
        <f t="shared" si="124"/>
        <v>19.86</v>
      </c>
      <c r="AZ197" s="111">
        <v>2583.8000000000002</v>
      </c>
      <c r="BA197" s="111">
        <v>707.1</v>
      </c>
      <c r="BB197" s="111">
        <f t="shared" si="134"/>
        <v>3290.9</v>
      </c>
      <c r="BC197" s="111">
        <v>19.86</v>
      </c>
      <c r="BD197" s="13">
        <f t="shared" si="122"/>
        <v>0</v>
      </c>
      <c r="BE197" s="9">
        <f t="shared" si="100"/>
        <v>65347.74</v>
      </c>
      <c r="BF197" s="9">
        <v>19.86</v>
      </c>
      <c r="BG197" s="10">
        <v>44409</v>
      </c>
      <c r="BH197" s="9">
        <f t="shared" si="101"/>
        <v>1250.3599999999999</v>
      </c>
      <c r="BI197" s="9">
        <f t="shared" si="102"/>
        <v>16781.14</v>
      </c>
      <c r="BJ197" s="9">
        <f t="shared" si="103"/>
        <v>7008.59</v>
      </c>
      <c r="BK197" s="9">
        <f t="shared" si="104"/>
        <v>1414.88</v>
      </c>
      <c r="BL197" s="9">
        <f t="shared" si="105"/>
        <v>9147.3700000000008</v>
      </c>
      <c r="BM197" s="9">
        <f t="shared" si="106"/>
        <v>822.61</v>
      </c>
      <c r="BN197" s="9">
        <f t="shared" si="107"/>
        <v>0</v>
      </c>
      <c r="BO197" s="9">
        <f t="shared" si="108"/>
        <v>0</v>
      </c>
      <c r="BP197" s="9">
        <f t="shared" si="109"/>
        <v>0</v>
      </c>
      <c r="BQ197" s="9">
        <f t="shared" si="110"/>
        <v>361.95</v>
      </c>
      <c r="BR197" s="9">
        <f t="shared" si="111"/>
        <v>2369.1</v>
      </c>
      <c r="BS197" s="9">
        <f t="shared" si="112"/>
        <v>1349.07</v>
      </c>
      <c r="BT197" s="9">
        <f t="shared" si="113"/>
        <v>230.33</v>
      </c>
      <c r="BU197" s="9">
        <f t="shared" si="114"/>
        <v>11944.22</v>
      </c>
      <c r="BV197" s="9">
        <f t="shared" si="115"/>
        <v>394.85</v>
      </c>
      <c r="BW197" s="9">
        <f t="shared" si="116"/>
        <v>5856.95</v>
      </c>
      <c r="BX197" s="9">
        <f t="shared" si="117"/>
        <v>6416.32</v>
      </c>
      <c r="BY197" s="17">
        <f t="shared" si="118"/>
        <v>65347.74</v>
      </c>
      <c r="BZ197" s="17">
        <v>1.98</v>
      </c>
      <c r="CA197" s="17">
        <v>0.04</v>
      </c>
      <c r="CB197" s="17">
        <v>0.23</v>
      </c>
      <c r="CC197" s="27">
        <v>0.04</v>
      </c>
      <c r="CD197" s="29">
        <v>6.33</v>
      </c>
      <c r="CE197" s="9">
        <v>1632.58</v>
      </c>
      <c r="CF197" s="9"/>
      <c r="CG197" s="9">
        <v>130.56</v>
      </c>
      <c r="CH197" s="9">
        <v>136.36000000000001</v>
      </c>
      <c r="CI197" s="9">
        <f t="shared" si="129"/>
        <v>0.5</v>
      </c>
      <c r="CJ197" s="9">
        <f t="shared" si="130"/>
        <v>0</v>
      </c>
      <c r="CK197" s="13">
        <f t="shared" si="131"/>
        <v>0.04</v>
      </c>
      <c r="CL197" s="13">
        <f t="shared" si="132"/>
        <v>0.04</v>
      </c>
      <c r="CM197" s="13">
        <v>51304.72</v>
      </c>
      <c r="CN197" s="13">
        <v>3125.81</v>
      </c>
      <c r="CO197" s="13">
        <v>0</v>
      </c>
      <c r="CP197" s="13">
        <v>103.34</v>
      </c>
      <c r="CQ197" s="13">
        <v>103.34</v>
      </c>
      <c r="CR197" s="13">
        <v>57756.39</v>
      </c>
      <c r="CS197" s="13">
        <v>1713.24</v>
      </c>
      <c r="CT197" s="13">
        <v>121.75</v>
      </c>
      <c r="CU197" s="13">
        <v>116.33</v>
      </c>
      <c r="CV197" s="13">
        <v>116.32</v>
      </c>
      <c r="CW197" s="202">
        <v>2865</v>
      </c>
      <c r="CX197" s="200">
        <v>1644</v>
      </c>
      <c r="CY197" s="202"/>
      <c r="CZ197" s="202"/>
      <c r="DA197" s="202"/>
      <c r="DB197" s="202"/>
      <c r="DC197" s="202"/>
      <c r="DD197" s="461"/>
      <c r="DE197" s="256"/>
      <c r="DF197" s="202"/>
      <c r="DG197" s="202"/>
      <c r="DH197" s="202"/>
      <c r="DI197" s="204">
        <v>833</v>
      </c>
      <c r="DJ197" s="202"/>
      <c r="DK197" s="202"/>
      <c r="DL197" s="202"/>
      <c r="DM197" s="202">
        <v>18381</v>
      </c>
      <c r="DN197" s="202">
        <v>3400</v>
      </c>
      <c r="DO197" s="202">
        <v>2</v>
      </c>
      <c r="DP197" s="202"/>
      <c r="DQ197" s="202"/>
      <c r="DR197" s="202"/>
      <c r="DS197" s="202">
        <v>16340</v>
      </c>
      <c r="DT197" s="254">
        <v>542</v>
      </c>
      <c r="DU197" s="254">
        <v>279</v>
      </c>
      <c r="DV197" s="202"/>
      <c r="DW197" s="202">
        <v>14876</v>
      </c>
      <c r="DX197" s="202"/>
      <c r="DY197" s="107">
        <v>1365</v>
      </c>
      <c r="DZ197" s="107"/>
      <c r="EA197" s="202"/>
      <c r="EB197" s="202"/>
      <c r="EC197" s="202"/>
      <c r="ED197" s="202"/>
      <c r="EE197" s="202"/>
      <c r="EF197" s="229"/>
      <c r="EG197" s="202"/>
      <c r="EH197" s="202"/>
      <c r="EI197" s="202"/>
      <c r="EJ197" s="202"/>
      <c r="EK197" s="202">
        <v>3968.03</v>
      </c>
      <c r="EL197" s="202">
        <v>0</v>
      </c>
      <c r="EM197" s="202">
        <v>130.56</v>
      </c>
      <c r="EN197" s="202">
        <v>136.36000000000001</v>
      </c>
      <c r="EO197" s="202">
        <v>3968.03</v>
      </c>
      <c r="EP197" s="202"/>
      <c r="EQ197" s="202">
        <v>130.56</v>
      </c>
      <c r="ER197" s="202">
        <v>136.36000000000001</v>
      </c>
      <c r="ES197" s="202"/>
      <c r="ET197" s="202"/>
      <c r="EU197" s="202"/>
      <c r="EV197" s="214">
        <v>2.15</v>
      </c>
      <c r="EW197" s="240">
        <f t="shared" si="119"/>
        <v>7196.68</v>
      </c>
      <c r="EX197" s="209">
        <f t="shared" si="120"/>
        <v>4683.9799999999996</v>
      </c>
    </row>
    <row r="198" spans="1:154" ht="12.75" customHeight="1" x14ac:dyDescent="0.2">
      <c r="A198" s="45" t="s">
        <v>282</v>
      </c>
      <c r="B198" s="78" t="s">
        <v>221</v>
      </c>
      <c r="C198" s="79" t="s">
        <v>255</v>
      </c>
      <c r="D198" s="80" t="s">
        <v>490</v>
      </c>
      <c r="E198" s="79"/>
      <c r="F198" s="11">
        <v>9</v>
      </c>
      <c r="G198" s="11">
        <v>1</v>
      </c>
      <c r="H198" s="11">
        <v>54</v>
      </c>
      <c r="I198" s="11">
        <v>54</v>
      </c>
      <c r="J198" s="11">
        <v>89</v>
      </c>
      <c r="K198" s="11">
        <v>120</v>
      </c>
      <c r="L198" s="11">
        <v>1</v>
      </c>
      <c r="M198" s="84">
        <v>279</v>
      </c>
      <c r="N198" s="84">
        <v>385</v>
      </c>
      <c r="O198" s="84">
        <v>385</v>
      </c>
      <c r="P198" s="139">
        <v>250.7</v>
      </c>
      <c r="Q198" s="135">
        <v>102</v>
      </c>
      <c r="R198" s="133">
        <v>6.3</v>
      </c>
      <c r="S198" s="133">
        <f t="shared" si="121"/>
        <v>359</v>
      </c>
      <c r="T198" s="139">
        <v>279</v>
      </c>
      <c r="U198" s="130">
        <v>2.44</v>
      </c>
      <c r="V198" s="131">
        <v>1.9800000000000002E-2</v>
      </c>
      <c r="W198" s="131">
        <v>1.9800000000000002E-2</v>
      </c>
      <c r="X198" s="132">
        <v>1.2199999999999999E-3</v>
      </c>
      <c r="Y198" s="131">
        <v>3.9699999999999999E-2</v>
      </c>
      <c r="Z198" s="29">
        <v>2204.6999999999998</v>
      </c>
      <c r="AA198" s="34"/>
      <c r="AB198" s="9">
        <f t="shared" si="133"/>
        <v>2204.6999999999998</v>
      </c>
      <c r="AC198" s="9">
        <f t="shared" si="135"/>
        <v>13955.75</v>
      </c>
      <c r="AD198" s="9">
        <v>1.59</v>
      </c>
      <c r="AE198" s="9">
        <f>4.46</f>
        <v>4.46</v>
      </c>
      <c r="AF198" s="21">
        <f>2.42-AJ198</f>
        <v>2.17</v>
      </c>
      <c r="AG198" s="18">
        <f>0.61-AQ198</f>
        <v>0.55000000000000004</v>
      </c>
      <c r="AH198" s="9">
        <v>2.77</v>
      </c>
      <c r="AI198" s="43">
        <v>562</v>
      </c>
      <c r="AJ198" s="21">
        <f t="shared" si="99"/>
        <v>0.25</v>
      </c>
      <c r="AK198" s="9">
        <v>1.96</v>
      </c>
      <c r="AL198" s="9">
        <v>0.17</v>
      </c>
      <c r="AM198" s="9">
        <v>0.43</v>
      </c>
      <c r="AN198" s="13"/>
      <c r="AO198" s="13">
        <v>305.89999999999998</v>
      </c>
      <c r="AP198" s="13">
        <f t="shared" si="123"/>
        <v>5.58</v>
      </c>
      <c r="AQ198" s="18">
        <f t="shared" ref="AQ198:AQ238" si="136">SUM(AN198:AO198)*AP198/AB198/12</f>
        <v>0.06</v>
      </c>
      <c r="AR198" s="9">
        <v>0.79</v>
      </c>
      <c r="AS198" s="9">
        <v>0.62</v>
      </c>
      <c r="AT198" s="9">
        <v>7.0000000000000007E-2</v>
      </c>
      <c r="AU198" s="9">
        <v>3.68</v>
      </c>
      <c r="AV198" s="9">
        <v>0.17</v>
      </c>
      <c r="AW198" s="9">
        <f>1.43+0.34+0.33</f>
        <v>2.1</v>
      </c>
      <c r="AX198" s="9">
        <f>2.02+0.44</f>
        <v>2.46</v>
      </c>
      <c r="AY198" s="81">
        <f t="shared" si="124"/>
        <v>24.3</v>
      </c>
      <c r="AZ198" s="82"/>
      <c r="BA198" s="82"/>
      <c r="BB198" s="82"/>
      <c r="BC198" s="82">
        <v>24.3</v>
      </c>
      <c r="BD198" s="13">
        <f t="shared" si="122"/>
        <v>0</v>
      </c>
      <c r="BE198" s="9">
        <f t="shared" si="100"/>
        <v>53574.21</v>
      </c>
      <c r="BF198" s="9">
        <v>24.3</v>
      </c>
      <c r="BG198" s="10">
        <v>44440</v>
      </c>
      <c r="BH198" s="9">
        <f t="shared" si="101"/>
        <v>3505.47</v>
      </c>
      <c r="BI198" s="9">
        <f t="shared" si="102"/>
        <v>9832.9599999999991</v>
      </c>
      <c r="BJ198" s="9">
        <f t="shared" si="103"/>
        <v>4784.2</v>
      </c>
      <c r="BK198" s="9">
        <f t="shared" si="104"/>
        <v>1212.5899999999999</v>
      </c>
      <c r="BL198" s="9">
        <f t="shared" si="105"/>
        <v>6107.02</v>
      </c>
      <c r="BM198" s="9">
        <f t="shared" si="106"/>
        <v>551.17999999999995</v>
      </c>
      <c r="BN198" s="9">
        <f t="shared" si="107"/>
        <v>4321.21</v>
      </c>
      <c r="BO198" s="9">
        <f t="shared" si="108"/>
        <v>374.8</v>
      </c>
      <c r="BP198" s="9">
        <f t="shared" si="109"/>
        <v>948.02</v>
      </c>
      <c r="BQ198" s="9">
        <f t="shared" si="110"/>
        <v>132.28</v>
      </c>
      <c r="BR198" s="9">
        <f t="shared" si="111"/>
        <v>1741.71</v>
      </c>
      <c r="BS198" s="9">
        <f t="shared" si="112"/>
        <v>1366.91</v>
      </c>
      <c r="BT198" s="9">
        <f t="shared" si="113"/>
        <v>154.33000000000001</v>
      </c>
      <c r="BU198" s="9">
        <f t="shared" si="114"/>
        <v>8113.3</v>
      </c>
      <c r="BV198" s="9">
        <f t="shared" si="115"/>
        <v>374.8</v>
      </c>
      <c r="BW198" s="9">
        <f t="shared" si="116"/>
        <v>4629.87</v>
      </c>
      <c r="BX198" s="9">
        <f t="shared" si="117"/>
        <v>5423.56</v>
      </c>
      <c r="BY198" s="17">
        <f t="shared" si="118"/>
        <v>53574.21</v>
      </c>
      <c r="BZ198" s="17">
        <v>4.28</v>
      </c>
      <c r="CA198" s="17">
        <v>7.0000000000000007E-2</v>
      </c>
      <c r="CB198" s="17">
        <v>0.4</v>
      </c>
      <c r="CC198" s="27">
        <v>7.0000000000000007E-2</v>
      </c>
      <c r="CD198" s="29">
        <v>6.33</v>
      </c>
      <c r="CE198" s="9"/>
      <c r="CF198" s="9"/>
      <c r="CG198" s="9"/>
      <c r="CH198" s="9"/>
      <c r="CI198" s="9"/>
      <c r="CJ198" s="9"/>
      <c r="CK198" s="13"/>
      <c r="CL198" s="13"/>
      <c r="CM198" s="13">
        <v>53574.21</v>
      </c>
      <c r="CN198" s="13">
        <v>8091.2</v>
      </c>
      <c r="CO198" s="13">
        <v>0</v>
      </c>
      <c r="CP198" s="13">
        <v>0</v>
      </c>
      <c r="CQ198" s="13">
        <v>88.17</v>
      </c>
      <c r="CR198" s="13">
        <v>62822.06</v>
      </c>
      <c r="CS198" s="13">
        <v>12777.06</v>
      </c>
      <c r="CT198" s="13">
        <v>209.48</v>
      </c>
      <c r="CU198" s="13">
        <v>36.67</v>
      </c>
      <c r="CV198" s="13">
        <v>110.39</v>
      </c>
      <c r="CW198" s="202">
        <v>1921</v>
      </c>
      <c r="CX198" s="200">
        <v>1102</v>
      </c>
      <c r="CY198" s="202"/>
      <c r="CZ198" s="202"/>
      <c r="DA198" s="202"/>
      <c r="DB198" s="202"/>
      <c r="DC198" s="202"/>
      <c r="DD198" s="461"/>
      <c r="DE198" s="256"/>
      <c r="DF198" s="202"/>
      <c r="DG198" s="202"/>
      <c r="DH198" s="202"/>
      <c r="DI198" s="204">
        <v>562</v>
      </c>
      <c r="DJ198" s="202">
        <v>4300</v>
      </c>
      <c r="DK198" s="202"/>
      <c r="DL198" s="202"/>
      <c r="DM198" s="202">
        <v>13498</v>
      </c>
      <c r="DN198" s="202">
        <v>2839</v>
      </c>
      <c r="DO198" s="202">
        <v>1.67</v>
      </c>
      <c r="DP198" s="202"/>
      <c r="DQ198" s="202"/>
      <c r="DR198" s="202"/>
      <c r="DS198" s="202"/>
      <c r="DT198" s="254"/>
      <c r="DU198" s="254"/>
      <c r="DV198" s="202"/>
      <c r="DW198" s="202">
        <v>10020</v>
      </c>
      <c r="DX198" s="202"/>
      <c r="DY198" s="107">
        <v>1365</v>
      </c>
      <c r="DZ198" s="107">
        <v>942</v>
      </c>
      <c r="EA198" s="202"/>
      <c r="EB198" s="202"/>
      <c r="EC198" s="202"/>
      <c r="ED198" s="202"/>
      <c r="EE198" s="202"/>
      <c r="EF198" s="229"/>
      <c r="EG198" s="202"/>
      <c r="EH198" s="202"/>
      <c r="EI198" s="202"/>
      <c r="EJ198" s="202"/>
      <c r="EK198" s="202">
        <v>7170.72</v>
      </c>
      <c r="EL198" s="202">
        <v>0</v>
      </c>
      <c r="EM198" s="202">
        <v>0</v>
      </c>
      <c r="EN198" s="202">
        <v>78.16</v>
      </c>
      <c r="EO198" s="202">
        <v>7170.72</v>
      </c>
      <c r="EP198" s="202"/>
      <c r="EQ198" s="202">
        <v>0</v>
      </c>
      <c r="ER198" s="202">
        <v>78.16</v>
      </c>
      <c r="ES198" s="202"/>
      <c r="ET198" s="202"/>
      <c r="EU198" s="202"/>
      <c r="EV198" s="214">
        <v>-3.4</v>
      </c>
      <c r="EW198" s="240">
        <f t="shared" si="119"/>
        <v>4822.03</v>
      </c>
      <c r="EX198" s="209">
        <f t="shared" si="120"/>
        <v>3138.43</v>
      </c>
    </row>
    <row r="199" spans="1:154" ht="12.75" customHeight="1" x14ac:dyDescent="0.2">
      <c r="A199" s="45" t="s">
        <v>283</v>
      </c>
      <c r="B199" s="78" t="s">
        <v>221</v>
      </c>
      <c r="C199" s="79" t="s">
        <v>255</v>
      </c>
      <c r="D199" s="80" t="s">
        <v>577</v>
      </c>
      <c r="E199" s="79" t="s">
        <v>9</v>
      </c>
      <c r="F199" s="11">
        <v>9</v>
      </c>
      <c r="G199" s="11">
        <v>1</v>
      </c>
      <c r="H199" s="11">
        <v>52</v>
      </c>
      <c r="I199" s="11">
        <v>53</v>
      </c>
      <c r="J199" s="11">
        <v>98</v>
      </c>
      <c r="K199" s="11">
        <v>101</v>
      </c>
      <c r="L199" s="11">
        <v>1</v>
      </c>
      <c r="M199" s="84">
        <v>279</v>
      </c>
      <c r="N199" s="84">
        <v>384</v>
      </c>
      <c r="O199" s="84">
        <v>384</v>
      </c>
      <c r="P199" s="139">
        <v>279</v>
      </c>
      <c r="Q199" s="139">
        <v>384</v>
      </c>
      <c r="R199" s="139">
        <v>384</v>
      </c>
      <c r="S199" s="133">
        <f t="shared" si="121"/>
        <v>1047</v>
      </c>
      <c r="T199" s="139">
        <v>279</v>
      </c>
      <c r="U199" s="130">
        <v>2.44</v>
      </c>
      <c r="V199" s="131">
        <v>1.9800000000000002E-2</v>
      </c>
      <c r="W199" s="131">
        <v>1.9800000000000002E-2</v>
      </c>
      <c r="X199" s="132">
        <v>1.32E-3</v>
      </c>
      <c r="Y199" s="131">
        <v>3.9699999999999999E-2</v>
      </c>
      <c r="Z199" s="29">
        <v>2205.42</v>
      </c>
      <c r="AA199" s="34">
        <v>323</v>
      </c>
      <c r="AB199" s="9">
        <f t="shared" si="133"/>
        <v>2528.42</v>
      </c>
      <c r="AC199" s="9">
        <f t="shared" si="135"/>
        <v>16004.9</v>
      </c>
      <c r="AD199" s="9">
        <v>1.54</v>
      </c>
      <c r="AE199" s="9">
        <v>4.54</v>
      </c>
      <c r="AF199" s="21">
        <f>2.43-AJ199</f>
        <v>2.2799999999999998</v>
      </c>
      <c r="AG199" s="18">
        <f>0.61-AQ199</f>
        <v>0.55000000000000004</v>
      </c>
      <c r="AH199" s="9">
        <v>2.77</v>
      </c>
      <c r="AI199" s="43">
        <v>369</v>
      </c>
      <c r="AJ199" s="21">
        <f t="shared" ref="AJ199:AJ238" si="137">SUM(AI199/AB199)</f>
        <v>0.15</v>
      </c>
      <c r="AK199" s="9">
        <v>1.95</v>
      </c>
      <c r="AL199" s="9">
        <v>0.17</v>
      </c>
      <c r="AM199" s="9">
        <v>0.43</v>
      </c>
      <c r="AN199" s="13"/>
      <c r="AO199" s="13">
        <v>305.89999999999998</v>
      </c>
      <c r="AP199" s="13">
        <f t="shared" si="123"/>
        <v>5.58</v>
      </c>
      <c r="AQ199" s="18">
        <f t="shared" si="136"/>
        <v>0.06</v>
      </c>
      <c r="AR199" s="9">
        <v>0.76</v>
      </c>
      <c r="AS199" s="9">
        <v>0.62</v>
      </c>
      <c r="AT199" s="9">
        <v>7.0000000000000007E-2</v>
      </c>
      <c r="AU199" s="9">
        <v>3.67</v>
      </c>
      <c r="AV199" s="9">
        <v>0.17</v>
      </c>
      <c r="AW199" s="9">
        <f>1.43+0.33+0.32</f>
        <v>2.08</v>
      </c>
      <c r="AX199" s="9">
        <f>2.02+0.44</f>
        <v>2.46</v>
      </c>
      <c r="AY199" s="81">
        <f t="shared" si="124"/>
        <v>24.27</v>
      </c>
      <c r="AZ199" s="82">
        <v>2202.1999999999998</v>
      </c>
      <c r="BA199" s="82">
        <v>0</v>
      </c>
      <c r="BB199" s="82">
        <f t="shared" si="134"/>
        <v>2202.1999999999998</v>
      </c>
      <c r="BC199" s="82">
        <v>24.27</v>
      </c>
      <c r="BD199" s="13">
        <f t="shared" si="122"/>
        <v>0</v>
      </c>
      <c r="BE199" s="9">
        <f t="shared" ref="BE199:BE262" si="138">SUM(AB199*BC199)</f>
        <v>61364.75</v>
      </c>
      <c r="BF199" s="9">
        <v>24.27</v>
      </c>
      <c r="BG199" s="10">
        <v>44409</v>
      </c>
      <c r="BH199" s="9">
        <f t="shared" ref="BH199:BH262" si="139">SUM(AB199*AD199)</f>
        <v>3893.77</v>
      </c>
      <c r="BI199" s="9">
        <f t="shared" ref="BI199:BI262" si="140">SUM(AB199*AE199)</f>
        <v>11479.03</v>
      </c>
      <c r="BJ199" s="9">
        <f t="shared" ref="BJ199:BJ262" si="141">SUM(AB199*AF199)</f>
        <v>5764.8</v>
      </c>
      <c r="BK199" s="9">
        <f t="shared" ref="BK199:BK262" si="142">SUM(AB199*AG199)</f>
        <v>1390.63</v>
      </c>
      <c r="BL199" s="9">
        <f t="shared" ref="BL199:BL262" si="143">SUM(AB199*AH199)</f>
        <v>7003.72</v>
      </c>
      <c r="BM199" s="9">
        <f t="shared" ref="BM199:BM262" si="144">SUM(AB199*AJ199)</f>
        <v>379.26</v>
      </c>
      <c r="BN199" s="9">
        <f t="shared" ref="BN199:BN262" si="145">SUM(AB199*AK199)</f>
        <v>4930.42</v>
      </c>
      <c r="BO199" s="9">
        <f t="shared" ref="BO199:BO262" si="146">SUM(AB199*AL199)</f>
        <v>429.83</v>
      </c>
      <c r="BP199" s="9">
        <f t="shared" ref="BP199:BP262" si="147">SUM(AB199*AM199)</f>
        <v>1087.22</v>
      </c>
      <c r="BQ199" s="9">
        <f t="shared" ref="BQ199:BQ262" si="148">SUM(AB199*AQ199)</f>
        <v>151.71</v>
      </c>
      <c r="BR199" s="9">
        <f t="shared" ref="BR199:BR262" si="149">SUM(AB199*AR199)</f>
        <v>1921.6</v>
      </c>
      <c r="BS199" s="9">
        <f t="shared" ref="BS199:BS262" si="150">SUM(AB199*AS199)</f>
        <v>1567.62</v>
      </c>
      <c r="BT199" s="9">
        <f t="shared" ref="BT199:BT262" si="151">SUM(AB199*AT199)</f>
        <v>176.99</v>
      </c>
      <c r="BU199" s="9">
        <f t="shared" ref="BU199:BU262" si="152">SUM(AB199*AU199)</f>
        <v>9279.2999999999993</v>
      </c>
      <c r="BV199" s="9">
        <f t="shared" ref="BV199:BV262" si="153">SUM(AB199*AV199)</f>
        <v>429.83</v>
      </c>
      <c r="BW199" s="9">
        <f t="shared" ref="BW199:BW262" si="154">SUM(AB199*AW199)</f>
        <v>5259.11</v>
      </c>
      <c r="BX199" s="9">
        <f t="shared" ref="BX199:BX262" si="155">SUM(AB199*AX199)</f>
        <v>6219.91</v>
      </c>
      <c r="BY199" s="17">
        <f t="shared" ref="BY199:BY262" si="156">SUM(BH199:BX199)</f>
        <v>61364.75</v>
      </c>
      <c r="BZ199" s="17">
        <v>3.72</v>
      </c>
      <c r="CA199" s="17">
        <v>0.06</v>
      </c>
      <c r="CB199" s="17">
        <v>0.37</v>
      </c>
      <c r="CC199" s="27">
        <v>0.06</v>
      </c>
      <c r="CD199" s="29">
        <v>6.33</v>
      </c>
      <c r="CE199" s="9">
        <v>5578.17</v>
      </c>
      <c r="CF199" s="9">
        <v>7910.89</v>
      </c>
      <c r="CG199" s="9">
        <v>621.54999999999995</v>
      </c>
      <c r="CH199" s="9">
        <v>403.56</v>
      </c>
      <c r="CI199" s="9">
        <f>IF(CE199&gt;0,CE199/AB199,0)</f>
        <v>2.21</v>
      </c>
      <c r="CJ199" s="9">
        <f>IF(CF199&gt;0,CF199/AB199,0)</f>
        <v>3.13</v>
      </c>
      <c r="CK199" s="13">
        <f>IF(CG199&gt;0,CG199/AB199,0)</f>
        <v>0.25</v>
      </c>
      <c r="CL199" s="13">
        <f>IF(CH199&gt;0,CH199/AB199,0)</f>
        <v>0.16</v>
      </c>
      <c r="CM199" s="13">
        <v>53525.57</v>
      </c>
      <c r="CN199" s="13">
        <v>3175.8</v>
      </c>
      <c r="CO199" s="13">
        <v>9880.26</v>
      </c>
      <c r="CP199" s="13">
        <v>0</v>
      </c>
      <c r="CQ199" s="13">
        <v>66.14</v>
      </c>
      <c r="CR199" s="13">
        <v>61302.58</v>
      </c>
      <c r="CS199" s="13">
        <v>7988.93</v>
      </c>
      <c r="CT199" s="13">
        <v>8954.42</v>
      </c>
      <c r="CU199" s="13">
        <v>54</v>
      </c>
      <c r="CV199" s="13">
        <v>100.74</v>
      </c>
      <c r="CW199" s="202">
        <v>2203</v>
      </c>
      <c r="CX199" s="200">
        <v>1264</v>
      </c>
      <c r="CY199" s="202"/>
      <c r="CZ199" s="202"/>
      <c r="DA199" s="202"/>
      <c r="DB199" s="202"/>
      <c r="DC199" s="202"/>
      <c r="DD199" s="461"/>
      <c r="DE199" s="256"/>
      <c r="DF199" s="202"/>
      <c r="DG199" s="202"/>
      <c r="DH199" s="202"/>
      <c r="DI199" s="204">
        <v>369</v>
      </c>
      <c r="DJ199" s="202">
        <v>4300</v>
      </c>
      <c r="DK199" s="202"/>
      <c r="DL199" s="202"/>
      <c r="DM199" s="202">
        <v>13626</v>
      </c>
      <c r="DN199" s="202">
        <v>2839</v>
      </c>
      <c r="DO199" s="202">
        <v>1.67</v>
      </c>
      <c r="DP199" s="202"/>
      <c r="DQ199" s="202"/>
      <c r="DR199" s="202"/>
      <c r="DS199" s="202"/>
      <c r="DT199" s="254"/>
      <c r="DU199" s="254"/>
      <c r="DV199" s="202"/>
      <c r="DW199" s="202">
        <v>10092</v>
      </c>
      <c r="DX199" s="202"/>
      <c r="DY199" s="107">
        <v>1365</v>
      </c>
      <c r="DZ199" s="107">
        <v>942</v>
      </c>
      <c r="EA199" s="202">
        <v>11158</v>
      </c>
      <c r="EB199" s="202"/>
      <c r="EC199" s="202"/>
      <c r="ED199" s="202"/>
      <c r="EE199" s="202"/>
      <c r="EF199" s="229"/>
      <c r="EG199" s="202"/>
      <c r="EH199" s="202"/>
      <c r="EI199" s="202"/>
      <c r="EJ199" s="202"/>
      <c r="EK199" s="202">
        <v>3643.98</v>
      </c>
      <c r="EL199" s="202">
        <v>22133.15</v>
      </c>
      <c r="EM199" s="202">
        <v>0</v>
      </c>
      <c r="EN199" s="202">
        <v>78.16</v>
      </c>
      <c r="EO199" s="202">
        <v>3643.98</v>
      </c>
      <c r="EP199" s="202"/>
      <c r="EQ199" s="202">
        <v>0</v>
      </c>
      <c r="ER199" s="202">
        <v>78.16</v>
      </c>
      <c r="ES199" s="202"/>
      <c r="ET199" s="202"/>
      <c r="EU199" s="202"/>
      <c r="EV199" s="214">
        <v>-3.4</v>
      </c>
      <c r="EW199" s="240">
        <f t="shared" ref="EW199:EW262" si="157">SUM(AB199*2.18716)</f>
        <v>5530.06</v>
      </c>
      <c r="EX199" s="209">
        <f t="shared" ref="EX199:EX262" si="158">SUM(AB199*1.42352)</f>
        <v>3599.26</v>
      </c>
    </row>
    <row r="200" spans="1:154" ht="12.75" customHeight="1" x14ac:dyDescent="0.2">
      <c r="A200" s="45" t="s">
        <v>284</v>
      </c>
      <c r="B200" s="113" t="s">
        <v>221</v>
      </c>
      <c r="C200" s="114" t="s">
        <v>257</v>
      </c>
      <c r="D200" s="115" t="s">
        <v>491</v>
      </c>
      <c r="E200" s="114" t="s">
        <v>12</v>
      </c>
      <c r="F200" s="11">
        <v>5</v>
      </c>
      <c r="G200" s="11">
        <v>6</v>
      </c>
      <c r="H200" s="11">
        <v>90</v>
      </c>
      <c r="I200" s="11">
        <v>91</v>
      </c>
      <c r="J200" s="11">
        <v>192</v>
      </c>
      <c r="K200" s="11">
        <v>247</v>
      </c>
      <c r="L200" s="11" t="s">
        <v>746</v>
      </c>
      <c r="M200" s="84">
        <v>422</v>
      </c>
      <c r="N200" s="84">
        <v>863</v>
      </c>
      <c r="O200" s="84">
        <v>0</v>
      </c>
      <c r="P200" s="135">
        <v>422</v>
      </c>
      <c r="Q200" s="135">
        <v>940.5</v>
      </c>
      <c r="R200" s="133">
        <v>0</v>
      </c>
      <c r="S200" s="133">
        <f t="shared" ref="S200:S263" si="159">SUM(P200:R200)</f>
        <v>1362.5</v>
      </c>
      <c r="T200" s="134">
        <v>422</v>
      </c>
      <c r="U200" s="130">
        <v>1.53</v>
      </c>
      <c r="V200" s="131">
        <v>1.9800000000000002E-2</v>
      </c>
      <c r="W200" s="131">
        <v>1.9800000000000002E-2</v>
      </c>
      <c r="X200" s="132">
        <v>1.2199999999999999E-3</v>
      </c>
      <c r="Y200" s="131">
        <v>3.95E-2</v>
      </c>
      <c r="Z200" s="29">
        <v>4058.32</v>
      </c>
      <c r="AA200" s="34"/>
      <c r="AB200" s="9">
        <f t="shared" si="133"/>
        <v>4058.32</v>
      </c>
      <c r="AC200" s="9">
        <f t="shared" si="135"/>
        <v>25689.17</v>
      </c>
      <c r="AD200" s="9">
        <v>0.52</v>
      </c>
      <c r="AE200" s="9">
        <v>5.01</v>
      </c>
      <c r="AF200" s="21">
        <f>2.49-AJ200</f>
        <v>2.25</v>
      </c>
      <c r="AG200" s="18">
        <f>0.56-AQ200</f>
        <v>0.46</v>
      </c>
      <c r="AH200" s="9">
        <v>2.78</v>
      </c>
      <c r="AI200" s="43">
        <v>968</v>
      </c>
      <c r="AJ200" s="21">
        <f t="shared" si="137"/>
        <v>0.24</v>
      </c>
      <c r="AK200" s="9">
        <v>0</v>
      </c>
      <c r="AL200" s="9">
        <v>0</v>
      </c>
      <c r="AM200" s="9">
        <v>0.14000000000000001</v>
      </c>
      <c r="AN200" s="13"/>
      <c r="AO200" s="13">
        <v>901.8</v>
      </c>
      <c r="AP200" s="13">
        <f t="shared" si="123"/>
        <v>5.58</v>
      </c>
      <c r="AQ200" s="18">
        <f t="shared" si="136"/>
        <v>0.1</v>
      </c>
      <c r="AR200" s="9">
        <v>0.78</v>
      </c>
      <c r="AS200" s="9">
        <v>0.34</v>
      </c>
      <c r="AT200" s="9">
        <v>7.0000000000000007E-2</v>
      </c>
      <c r="AU200" s="9">
        <v>3.57</v>
      </c>
      <c r="AV200" s="9">
        <v>0.13</v>
      </c>
      <c r="AW200" s="9">
        <f>1.14+0.32+0.31</f>
        <v>1.77</v>
      </c>
      <c r="AX200" s="9">
        <f>1.56+0.42</f>
        <v>1.98</v>
      </c>
      <c r="AY200" s="110">
        <f t="shared" si="124"/>
        <v>20.14</v>
      </c>
      <c r="AZ200" s="111">
        <v>4021.2</v>
      </c>
      <c r="BA200" s="111">
        <v>0</v>
      </c>
      <c r="BB200" s="111">
        <f t="shared" si="134"/>
        <v>4021.2</v>
      </c>
      <c r="BC200" s="111">
        <v>20.14</v>
      </c>
      <c r="BD200" s="13">
        <f t="shared" ref="BD200:BD263" si="160">SUM(AY200-BC200)</f>
        <v>0</v>
      </c>
      <c r="BE200" s="9">
        <f t="shared" si="138"/>
        <v>81734.559999999998</v>
      </c>
      <c r="BF200" s="9">
        <v>20.14</v>
      </c>
      <c r="BG200" s="10">
        <v>44409</v>
      </c>
      <c r="BH200" s="9">
        <f t="shared" si="139"/>
        <v>2110.33</v>
      </c>
      <c r="BI200" s="9">
        <f t="shared" si="140"/>
        <v>20332.18</v>
      </c>
      <c r="BJ200" s="9">
        <f t="shared" si="141"/>
        <v>9131.2199999999993</v>
      </c>
      <c r="BK200" s="9">
        <f t="shared" si="142"/>
        <v>1866.83</v>
      </c>
      <c r="BL200" s="9">
        <f t="shared" si="143"/>
        <v>11282.13</v>
      </c>
      <c r="BM200" s="9">
        <f t="shared" si="144"/>
        <v>974</v>
      </c>
      <c r="BN200" s="9">
        <f t="shared" si="145"/>
        <v>0</v>
      </c>
      <c r="BO200" s="9">
        <f t="shared" si="146"/>
        <v>0</v>
      </c>
      <c r="BP200" s="9">
        <f t="shared" si="147"/>
        <v>568.16</v>
      </c>
      <c r="BQ200" s="9">
        <f t="shared" si="148"/>
        <v>405.83</v>
      </c>
      <c r="BR200" s="9">
        <f t="shared" si="149"/>
        <v>3165.49</v>
      </c>
      <c r="BS200" s="9">
        <f t="shared" si="150"/>
        <v>1379.83</v>
      </c>
      <c r="BT200" s="9">
        <f t="shared" si="151"/>
        <v>284.08</v>
      </c>
      <c r="BU200" s="9">
        <f t="shared" si="152"/>
        <v>14488.2</v>
      </c>
      <c r="BV200" s="9">
        <f t="shared" si="153"/>
        <v>527.58000000000004</v>
      </c>
      <c r="BW200" s="9">
        <f t="shared" si="154"/>
        <v>7183.23</v>
      </c>
      <c r="BX200" s="9">
        <f t="shared" si="155"/>
        <v>8035.47</v>
      </c>
      <c r="BY200" s="17">
        <f t="shared" si="156"/>
        <v>81734.559999999998</v>
      </c>
      <c r="BZ200" s="17">
        <v>1.88</v>
      </c>
      <c r="CA200" s="17">
        <v>0.06</v>
      </c>
      <c r="CB200" s="17">
        <v>0.33</v>
      </c>
      <c r="CC200" s="27">
        <v>0.06</v>
      </c>
      <c r="CD200" s="29">
        <v>6.33</v>
      </c>
      <c r="CE200" s="9">
        <v>2367.9699999999998</v>
      </c>
      <c r="CF200" s="9"/>
      <c r="CG200" s="9">
        <v>3972.53</v>
      </c>
      <c r="CH200" s="9">
        <v>2197.9699999999998</v>
      </c>
      <c r="CI200" s="9">
        <f>IF(CE200&gt;0,CE200/AB200,0)</f>
        <v>0.57999999999999996</v>
      </c>
      <c r="CJ200" s="9">
        <f>IF(CF200&gt;0,CF200/AB200,0)</f>
        <v>0</v>
      </c>
      <c r="CK200" s="13">
        <f>IF(CG200&gt;0,CG200/AB200,0)</f>
        <v>0.98</v>
      </c>
      <c r="CL200" s="13">
        <f>IF(CH200&gt;0,CH200/AB200,0)</f>
        <v>0.54</v>
      </c>
      <c r="CM200" s="13">
        <v>80824.23</v>
      </c>
      <c r="CN200" s="13">
        <v>10715.04</v>
      </c>
      <c r="CO200" s="13">
        <v>18299.84</v>
      </c>
      <c r="CP200" s="13">
        <v>0</v>
      </c>
      <c r="CQ200" s="13">
        <v>120.39</v>
      </c>
      <c r="CR200" s="13">
        <v>95670.97</v>
      </c>
      <c r="CS200" s="13">
        <v>11994.51</v>
      </c>
      <c r="CT200" s="13">
        <v>13781.9</v>
      </c>
      <c r="CU200" s="13">
        <v>176.44</v>
      </c>
      <c r="CV200" s="13">
        <v>221.33</v>
      </c>
      <c r="CW200" s="202">
        <v>3496</v>
      </c>
      <c r="CX200" s="200">
        <v>2006</v>
      </c>
      <c r="CY200" s="202"/>
      <c r="CZ200" s="202"/>
      <c r="DA200" s="202"/>
      <c r="DB200" s="202"/>
      <c r="DC200" s="202"/>
      <c r="DD200" s="461"/>
      <c r="DE200" s="256"/>
      <c r="DF200" s="202"/>
      <c r="DG200" s="202"/>
      <c r="DH200" s="202"/>
      <c r="DI200" s="204">
        <v>968</v>
      </c>
      <c r="DJ200" s="202"/>
      <c r="DK200" s="202"/>
      <c r="DL200" s="202"/>
      <c r="DM200" s="202">
        <v>22691</v>
      </c>
      <c r="DN200" s="202">
        <v>2839</v>
      </c>
      <c r="DO200" s="202">
        <v>1.67</v>
      </c>
      <c r="DP200" s="202"/>
      <c r="DQ200" s="202"/>
      <c r="DR200" s="202"/>
      <c r="DS200" s="202">
        <v>5345</v>
      </c>
      <c r="DT200" s="254">
        <v>171</v>
      </c>
      <c r="DU200" s="254">
        <v>107</v>
      </c>
      <c r="DV200" s="202"/>
      <c r="DW200" s="202">
        <v>18576</v>
      </c>
      <c r="DX200" s="202"/>
      <c r="DY200" s="107">
        <v>1365</v>
      </c>
      <c r="DZ200" s="107">
        <v>577</v>
      </c>
      <c r="EA200" s="202"/>
      <c r="EB200" s="202"/>
      <c r="EC200" s="202"/>
      <c r="ED200" s="202"/>
      <c r="EE200" s="202"/>
      <c r="EF200" s="229"/>
      <c r="EG200" s="202"/>
      <c r="EH200" s="202"/>
      <c r="EI200" s="202"/>
      <c r="EJ200" s="202"/>
      <c r="EK200" s="202">
        <v>10695.73</v>
      </c>
      <c r="EL200" s="202">
        <v>26336.21</v>
      </c>
      <c r="EM200" s="202">
        <v>0</v>
      </c>
      <c r="EN200" s="202">
        <v>118.22</v>
      </c>
      <c r="EO200" s="202">
        <v>10695.73</v>
      </c>
      <c r="EP200" s="202"/>
      <c r="EQ200" s="202">
        <v>0</v>
      </c>
      <c r="ER200" s="202">
        <v>118.22</v>
      </c>
      <c r="ES200" s="202"/>
      <c r="ET200" s="202"/>
      <c r="EU200" s="202"/>
      <c r="EV200" s="214">
        <v>-6.17</v>
      </c>
      <c r="EW200" s="240">
        <f t="shared" si="157"/>
        <v>8876.2000000000007</v>
      </c>
      <c r="EX200" s="209">
        <f t="shared" si="158"/>
        <v>5777.1</v>
      </c>
    </row>
    <row r="201" spans="1:154" ht="12.75" customHeight="1" x14ac:dyDescent="0.2">
      <c r="A201" s="45" t="s">
        <v>285</v>
      </c>
      <c r="B201" s="78" t="s">
        <v>221</v>
      </c>
      <c r="C201" s="79" t="s">
        <v>119</v>
      </c>
      <c r="D201" s="80" t="s">
        <v>651</v>
      </c>
      <c r="E201" s="79"/>
      <c r="F201" s="11">
        <v>9</v>
      </c>
      <c r="G201" s="11">
        <v>1</v>
      </c>
      <c r="H201" s="11">
        <v>54</v>
      </c>
      <c r="I201" s="11">
        <v>54</v>
      </c>
      <c r="J201" s="11">
        <v>96</v>
      </c>
      <c r="K201" s="11">
        <v>131</v>
      </c>
      <c r="L201" s="83">
        <v>1</v>
      </c>
      <c r="M201" s="84">
        <v>250</v>
      </c>
      <c r="N201" s="84">
        <v>384</v>
      </c>
      <c r="O201" s="84">
        <v>384</v>
      </c>
      <c r="P201" s="135">
        <v>250.3</v>
      </c>
      <c r="Q201" s="133">
        <v>275.60000000000002</v>
      </c>
      <c r="R201" s="133">
        <v>275.60000000000002</v>
      </c>
      <c r="S201" s="133">
        <f t="shared" si="159"/>
        <v>801.5</v>
      </c>
      <c r="T201" s="134">
        <v>250</v>
      </c>
      <c r="U201" s="130">
        <v>2.44</v>
      </c>
      <c r="V201" s="131">
        <v>1.9800000000000002E-2</v>
      </c>
      <c r="W201" s="131">
        <v>1.9800000000000002E-2</v>
      </c>
      <c r="X201" s="132">
        <v>1.32E-3</v>
      </c>
      <c r="Y201" s="131">
        <v>3.9699999999999999E-2</v>
      </c>
      <c r="Z201" s="29">
        <v>2331.14</v>
      </c>
      <c r="AA201" s="34"/>
      <c r="AB201" s="9">
        <f t="shared" si="133"/>
        <v>2331.14</v>
      </c>
      <c r="AC201" s="9">
        <f t="shared" si="135"/>
        <v>14756.12</v>
      </c>
      <c r="AD201" s="9">
        <v>1.48</v>
      </c>
      <c r="AE201" s="9">
        <v>5.07</v>
      </c>
      <c r="AF201" s="21">
        <f>2.46-AJ201</f>
        <v>2.2999999999999998</v>
      </c>
      <c r="AG201" s="18">
        <f>0.6-AQ201</f>
        <v>0.54</v>
      </c>
      <c r="AH201" s="9">
        <v>2.77</v>
      </c>
      <c r="AI201" s="43">
        <v>369</v>
      </c>
      <c r="AJ201" s="21">
        <f t="shared" si="137"/>
        <v>0.16</v>
      </c>
      <c r="AK201" s="9">
        <v>1.84</v>
      </c>
      <c r="AL201" s="9">
        <v>0.16</v>
      </c>
      <c r="AM201" s="9">
        <v>0.25</v>
      </c>
      <c r="AN201" s="13"/>
      <c r="AO201" s="13">
        <v>305.89999999999998</v>
      </c>
      <c r="AP201" s="13">
        <f t="shared" si="123"/>
        <v>5.58</v>
      </c>
      <c r="AQ201" s="18">
        <f t="shared" si="136"/>
        <v>0.06</v>
      </c>
      <c r="AR201" s="9">
        <v>0.72</v>
      </c>
      <c r="AS201" s="9">
        <v>0.57999999999999996</v>
      </c>
      <c r="AT201" s="9">
        <v>7.0000000000000007E-2</v>
      </c>
      <c r="AU201" s="9">
        <v>3.66</v>
      </c>
      <c r="AV201" s="9">
        <v>0.17</v>
      </c>
      <c r="AW201" s="9">
        <f>1.44+0.32+0.32</f>
        <v>2.08</v>
      </c>
      <c r="AX201" s="9">
        <f>2.02+0.43</f>
        <v>2.4500000000000002</v>
      </c>
      <c r="AY201" s="81">
        <f t="shared" si="124"/>
        <v>24.36</v>
      </c>
      <c r="AZ201" s="82"/>
      <c r="BA201" s="82"/>
      <c r="BB201" s="82"/>
      <c r="BC201" s="82">
        <v>24.36</v>
      </c>
      <c r="BD201" s="13">
        <f t="shared" si="160"/>
        <v>0</v>
      </c>
      <c r="BE201" s="9">
        <f t="shared" si="138"/>
        <v>56786.57</v>
      </c>
      <c r="BF201" s="9">
        <v>24.36</v>
      </c>
      <c r="BG201" s="10">
        <v>44440</v>
      </c>
      <c r="BH201" s="9">
        <f t="shared" si="139"/>
        <v>3450.09</v>
      </c>
      <c r="BI201" s="9">
        <f t="shared" si="140"/>
        <v>11818.88</v>
      </c>
      <c r="BJ201" s="9">
        <f t="shared" si="141"/>
        <v>5361.62</v>
      </c>
      <c r="BK201" s="9">
        <f t="shared" si="142"/>
        <v>1258.82</v>
      </c>
      <c r="BL201" s="9">
        <f t="shared" si="143"/>
        <v>6457.26</v>
      </c>
      <c r="BM201" s="9">
        <f t="shared" si="144"/>
        <v>372.98</v>
      </c>
      <c r="BN201" s="9">
        <f t="shared" si="145"/>
        <v>4289.3</v>
      </c>
      <c r="BO201" s="9">
        <f t="shared" si="146"/>
        <v>372.98</v>
      </c>
      <c r="BP201" s="9">
        <f t="shared" si="147"/>
        <v>582.79</v>
      </c>
      <c r="BQ201" s="9">
        <f t="shared" si="148"/>
        <v>139.87</v>
      </c>
      <c r="BR201" s="9">
        <f t="shared" si="149"/>
        <v>1678.42</v>
      </c>
      <c r="BS201" s="9">
        <f t="shared" si="150"/>
        <v>1352.06</v>
      </c>
      <c r="BT201" s="9">
        <f t="shared" si="151"/>
        <v>163.18</v>
      </c>
      <c r="BU201" s="9">
        <f t="shared" si="152"/>
        <v>8531.9699999999993</v>
      </c>
      <c r="BV201" s="9">
        <f t="shared" si="153"/>
        <v>396.29</v>
      </c>
      <c r="BW201" s="9">
        <f t="shared" si="154"/>
        <v>4848.7700000000004</v>
      </c>
      <c r="BX201" s="9">
        <f t="shared" si="155"/>
        <v>5711.29</v>
      </c>
      <c r="BY201" s="17">
        <f t="shared" si="156"/>
        <v>56786.57</v>
      </c>
      <c r="BZ201" s="17">
        <v>3.94</v>
      </c>
      <c r="CA201" s="17">
        <v>0.06</v>
      </c>
      <c r="CB201" s="17">
        <v>0.36</v>
      </c>
      <c r="CC201" s="27">
        <v>0.06</v>
      </c>
      <c r="CD201" s="29">
        <v>6.33</v>
      </c>
      <c r="CE201" s="9"/>
      <c r="CF201" s="9"/>
      <c r="CG201" s="9"/>
      <c r="CH201" s="9"/>
      <c r="CI201" s="9"/>
      <c r="CJ201" s="9"/>
      <c r="CK201" s="13"/>
      <c r="CL201" s="13"/>
      <c r="CM201" s="13">
        <v>56786.59</v>
      </c>
      <c r="CN201" s="13">
        <v>0</v>
      </c>
      <c r="CO201" s="13">
        <v>0</v>
      </c>
      <c r="CP201" s="13">
        <v>0</v>
      </c>
      <c r="CQ201" s="13">
        <v>69.930000000000007</v>
      </c>
      <c r="CR201" s="13">
        <v>56464.32</v>
      </c>
      <c r="CS201" s="13">
        <v>1836.41</v>
      </c>
      <c r="CT201" s="13">
        <v>167.81</v>
      </c>
      <c r="CU201" s="13">
        <v>59.26</v>
      </c>
      <c r="CV201" s="13">
        <v>91.8</v>
      </c>
      <c r="CW201" s="202">
        <v>2031</v>
      </c>
      <c r="CX201" s="200">
        <v>1165</v>
      </c>
      <c r="CY201" s="202"/>
      <c r="CZ201" s="202"/>
      <c r="DA201" s="202"/>
      <c r="DB201" s="202"/>
      <c r="DC201" s="202"/>
      <c r="DD201" s="461"/>
      <c r="DE201" s="256"/>
      <c r="DF201" s="202"/>
      <c r="DG201" s="202"/>
      <c r="DH201" s="202"/>
      <c r="DI201" s="204">
        <v>369</v>
      </c>
      <c r="DJ201" s="202">
        <v>4300</v>
      </c>
      <c r="DK201" s="202"/>
      <c r="DL201" s="202"/>
      <c r="DM201" s="202">
        <v>15548</v>
      </c>
      <c r="DN201" s="202">
        <v>2346</v>
      </c>
      <c r="DO201" s="202">
        <v>1.38</v>
      </c>
      <c r="DP201" s="202"/>
      <c r="DQ201" s="202"/>
      <c r="DR201" s="202"/>
      <c r="DS201" s="202"/>
      <c r="DT201" s="254"/>
      <c r="DU201" s="254"/>
      <c r="DV201" s="202"/>
      <c r="DW201" s="202">
        <v>10737</v>
      </c>
      <c r="DX201" s="202"/>
      <c r="DY201" s="107">
        <v>1365</v>
      </c>
      <c r="DZ201" s="107"/>
      <c r="EA201" s="202">
        <v>4943.2</v>
      </c>
      <c r="EB201" s="202"/>
      <c r="EC201" s="202"/>
      <c r="ED201" s="202"/>
      <c r="EE201" s="202"/>
      <c r="EF201" s="229"/>
      <c r="EG201" s="202"/>
      <c r="EH201" s="202"/>
      <c r="EI201" s="202"/>
      <c r="EJ201" s="202"/>
      <c r="EK201" s="202">
        <v>0</v>
      </c>
      <c r="EL201" s="202">
        <v>0</v>
      </c>
      <c r="EM201" s="202">
        <v>0</v>
      </c>
      <c r="EN201" s="202">
        <v>70.03</v>
      </c>
      <c r="EO201" s="202">
        <v>0</v>
      </c>
      <c r="EP201" s="202"/>
      <c r="EQ201" s="202">
        <v>0</v>
      </c>
      <c r="ER201" s="202">
        <v>70.03</v>
      </c>
      <c r="ES201" s="202"/>
      <c r="ET201" s="202"/>
      <c r="EU201" s="202"/>
      <c r="EV201" s="214">
        <v>-2.83</v>
      </c>
      <c r="EW201" s="240">
        <f t="shared" si="157"/>
        <v>5098.58</v>
      </c>
      <c r="EX201" s="209">
        <f t="shared" si="158"/>
        <v>3318.42</v>
      </c>
    </row>
    <row r="202" spans="1:154" ht="12.75" customHeight="1" x14ac:dyDescent="0.2">
      <c r="A202" s="45" t="s">
        <v>287</v>
      </c>
      <c r="B202" s="113" t="s">
        <v>221</v>
      </c>
      <c r="C202" s="114" t="s">
        <v>129</v>
      </c>
      <c r="D202" s="115" t="s">
        <v>492</v>
      </c>
      <c r="E202" s="114" t="s">
        <v>12</v>
      </c>
      <c r="F202" s="11">
        <v>5</v>
      </c>
      <c r="G202" s="11">
        <v>4</v>
      </c>
      <c r="H202" s="11">
        <v>64</v>
      </c>
      <c r="I202" s="11">
        <v>0</v>
      </c>
      <c r="J202" s="11">
        <v>124</v>
      </c>
      <c r="K202" s="11">
        <v>144</v>
      </c>
      <c r="L202" s="11" t="s">
        <v>746</v>
      </c>
      <c r="M202" s="84">
        <v>253</v>
      </c>
      <c r="N202" s="84">
        <v>873</v>
      </c>
      <c r="O202" s="84">
        <v>0</v>
      </c>
      <c r="P202" s="135">
        <v>253</v>
      </c>
      <c r="Q202" s="135">
        <v>623.9</v>
      </c>
      <c r="R202" s="133">
        <v>0</v>
      </c>
      <c r="S202" s="133">
        <f t="shared" si="159"/>
        <v>876.9</v>
      </c>
      <c r="T202" s="134">
        <v>253</v>
      </c>
      <c r="U202" s="130">
        <v>1.53</v>
      </c>
      <c r="V202" s="131">
        <v>1.9800000000000002E-2</v>
      </c>
      <c r="W202" s="131">
        <v>1.9800000000000002E-2</v>
      </c>
      <c r="X202" s="132">
        <v>1.2199999999999999E-3</v>
      </c>
      <c r="Y202" s="131">
        <v>3.95E-2</v>
      </c>
      <c r="Z202" s="29">
        <v>2552.86</v>
      </c>
      <c r="AA202" s="34">
        <v>844.3</v>
      </c>
      <c r="AB202" s="9">
        <f t="shared" si="133"/>
        <v>3397.16</v>
      </c>
      <c r="AC202" s="9">
        <f t="shared" si="135"/>
        <v>21504.02</v>
      </c>
      <c r="AD202" s="9">
        <v>0.39</v>
      </c>
      <c r="AE202" s="9">
        <v>4.7</v>
      </c>
      <c r="AF202" s="21">
        <f>2.42-AJ202</f>
        <v>2.17</v>
      </c>
      <c r="AG202" s="18">
        <f>0.54-AQ202</f>
        <v>0.45</v>
      </c>
      <c r="AH202" s="9">
        <v>2.78</v>
      </c>
      <c r="AI202" s="43">
        <v>838</v>
      </c>
      <c r="AJ202" s="21">
        <f t="shared" si="137"/>
        <v>0.25</v>
      </c>
      <c r="AK202" s="9">
        <v>0</v>
      </c>
      <c r="AL202" s="9">
        <v>0</v>
      </c>
      <c r="AM202" s="9">
        <v>0.17</v>
      </c>
      <c r="AN202" s="13"/>
      <c r="AO202" s="13">
        <v>630</v>
      </c>
      <c r="AP202" s="13">
        <f t="shared" ref="AP202:AP265" si="161">5.58</f>
        <v>5.58</v>
      </c>
      <c r="AQ202" s="18">
        <f t="shared" si="136"/>
        <v>0.09</v>
      </c>
      <c r="AR202" s="9">
        <v>0.7</v>
      </c>
      <c r="AS202" s="9">
        <v>0.4</v>
      </c>
      <c r="AT202" s="9">
        <v>7.0000000000000007E-2</v>
      </c>
      <c r="AU202" s="9">
        <v>4.07</v>
      </c>
      <c r="AV202" s="9">
        <v>0.13</v>
      </c>
      <c r="AW202" s="9">
        <f>1.09+0.36+0.36</f>
        <v>1.81</v>
      </c>
      <c r="AX202" s="9">
        <f>1.49+0.48</f>
        <v>1.97</v>
      </c>
      <c r="AY202" s="110">
        <f t="shared" ref="AY202:AY265" si="162">SUM(AD202:AH202,AJ202:AM202,AQ202:AX202)</f>
        <v>20.149999999999999</v>
      </c>
      <c r="AZ202" s="111">
        <v>2548.6999999999998</v>
      </c>
      <c r="BA202" s="111">
        <v>844.3</v>
      </c>
      <c r="BB202" s="111">
        <f t="shared" si="134"/>
        <v>3393</v>
      </c>
      <c r="BC202" s="111">
        <v>20.149999999999999</v>
      </c>
      <c r="BD202" s="13">
        <f t="shared" si="160"/>
        <v>0</v>
      </c>
      <c r="BE202" s="9">
        <f t="shared" si="138"/>
        <v>68452.77</v>
      </c>
      <c r="BF202" s="9">
        <v>20.149999999999999</v>
      </c>
      <c r="BG202" s="10">
        <v>44409</v>
      </c>
      <c r="BH202" s="9">
        <f t="shared" si="139"/>
        <v>1324.89</v>
      </c>
      <c r="BI202" s="9">
        <f t="shared" si="140"/>
        <v>15966.65</v>
      </c>
      <c r="BJ202" s="9">
        <f t="shared" si="141"/>
        <v>7371.84</v>
      </c>
      <c r="BK202" s="9">
        <f t="shared" si="142"/>
        <v>1528.72</v>
      </c>
      <c r="BL202" s="9">
        <f t="shared" si="143"/>
        <v>9444.1</v>
      </c>
      <c r="BM202" s="9">
        <f t="shared" si="144"/>
        <v>849.29</v>
      </c>
      <c r="BN202" s="9">
        <f t="shared" si="145"/>
        <v>0</v>
      </c>
      <c r="BO202" s="9">
        <f t="shared" si="146"/>
        <v>0</v>
      </c>
      <c r="BP202" s="9">
        <f t="shared" si="147"/>
        <v>577.52</v>
      </c>
      <c r="BQ202" s="9">
        <f t="shared" si="148"/>
        <v>305.74</v>
      </c>
      <c r="BR202" s="9">
        <f t="shared" si="149"/>
        <v>2378.0100000000002</v>
      </c>
      <c r="BS202" s="9">
        <f t="shared" si="150"/>
        <v>1358.86</v>
      </c>
      <c r="BT202" s="9">
        <f t="shared" si="151"/>
        <v>237.8</v>
      </c>
      <c r="BU202" s="9">
        <f t="shared" si="152"/>
        <v>13826.44</v>
      </c>
      <c r="BV202" s="9">
        <f t="shared" si="153"/>
        <v>441.63</v>
      </c>
      <c r="BW202" s="9">
        <f t="shared" si="154"/>
        <v>6148.86</v>
      </c>
      <c r="BX202" s="9">
        <f t="shared" si="155"/>
        <v>6692.41</v>
      </c>
      <c r="BY202" s="17">
        <f t="shared" si="156"/>
        <v>68452.759999999995</v>
      </c>
      <c r="BZ202" s="17">
        <v>2.0299999999999998</v>
      </c>
      <c r="CA202" s="17">
        <v>0.04</v>
      </c>
      <c r="CB202" s="17">
        <v>0.24</v>
      </c>
      <c r="CC202" s="27">
        <v>0.04</v>
      </c>
      <c r="CD202" s="29">
        <v>6.33</v>
      </c>
      <c r="CE202" s="9">
        <v>8027.07</v>
      </c>
      <c r="CF202" s="9"/>
      <c r="CG202" s="9">
        <v>0</v>
      </c>
      <c r="CH202" s="9">
        <v>70.87</v>
      </c>
      <c r="CI202" s="9">
        <f t="shared" ref="CI202:CI207" si="163">IF(CE202&gt;0,CE202/AB202,0)</f>
        <v>2.36</v>
      </c>
      <c r="CJ202" s="9">
        <f t="shared" ref="CJ202:CJ207" si="164">IF(CF202&gt;0,CF202/AB202,0)</f>
        <v>0</v>
      </c>
      <c r="CK202" s="13">
        <f t="shared" ref="CK202:CK207" si="165">IF(CG202&gt;0,CG202/AB202,0)</f>
        <v>0</v>
      </c>
      <c r="CL202" s="13">
        <f t="shared" ref="CL202:CL207" si="166">IF(CH202&gt;0,CH202/AB202,0)</f>
        <v>0.02</v>
      </c>
      <c r="CM202" s="13">
        <v>51440.29</v>
      </c>
      <c r="CN202" s="13">
        <v>867.94</v>
      </c>
      <c r="CO202" s="13">
        <v>0</v>
      </c>
      <c r="CP202" s="13">
        <v>0</v>
      </c>
      <c r="CQ202" s="13">
        <v>51.05</v>
      </c>
      <c r="CR202" s="13">
        <v>52126.37</v>
      </c>
      <c r="CS202" s="13">
        <v>4931.3</v>
      </c>
      <c r="CT202" s="13">
        <v>72.599999999999994</v>
      </c>
      <c r="CU202" s="13">
        <v>12.1</v>
      </c>
      <c r="CV202" s="13">
        <v>52.27</v>
      </c>
      <c r="CW202" s="202">
        <v>2958</v>
      </c>
      <c r="CX202" s="200">
        <v>1697</v>
      </c>
      <c r="CY202" s="202"/>
      <c r="CZ202" s="202"/>
      <c r="DA202" s="202"/>
      <c r="DB202" s="202"/>
      <c r="DC202" s="202"/>
      <c r="DD202" s="461"/>
      <c r="DE202" s="256"/>
      <c r="DF202" s="202"/>
      <c r="DG202" s="202"/>
      <c r="DH202" s="202"/>
      <c r="DI202" s="204">
        <v>838</v>
      </c>
      <c r="DJ202" s="202"/>
      <c r="DK202" s="202"/>
      <c r="DL202" s="202"/>
      <c r="DM202" s="202">
        <v>17620</v>
      </c>
      <c r="DN202" s="202">
        <v>2431</v>
      </c>
      <c r="DO202" s="202">
        <v>1.43</v>
      </c>
      <c r="DP202" s="202"/>
      <c r="DQ202" s="202"/>
      <c r="DR202" s="202"/>
      <c r="DS202" s="202">
        <v>8670</v>
      </c>
      <c r="DT202" s="254">
        <v>272</v>
      </c>
      <c r="DU202" s="254">
        <v>187</v>
      </c>
      <c r="DV202" s="202"/>
      <c r="DW202" s="202">
        <v>15449</v>
      </c>
      <c r="DX202" s="202"/>
      <c r="DY202" s="107">
        <v>1365</v>
      </c>
      <c r="DZ202" s="107">
        <v>577</v>
      </c>
      <c r="EA202" s="202">
        <v>1904.83</v>
      </c>
      <c r="EB202" s="202"/>
      <c r="EC202" s="202"/>
      <c r="ED202" s="202"/>
      <c r="EE202" s="202"/>
      <c r="EF202" s="229"/>
      <c r="EG202" s="202"/>
      <c r="EH202" s="202"/>
      <c r="EI202" s="202"/>
      <c r="EJ202" s="202"/>
      <c r="EK202" s="202">
        <v>1139.1199999999999</v>
      </c>
      <c r="EL202" s="202">
        <v>0</v>
      </c>
      <c r="EM202" s="202">
        <v>0</v>
      </c>
      <c r="EN202" s="202">
        <v>70.87</v>
      </c>
      <c r="EO202" s="202">
        <v>1139.1199999999999</v>
      </c>
      <c r="EP202" s="202"/>
      <c r="EQ202" s="202">
        <v>0</v>
      </c>
      <c r="ER202" s="202">
        <v>70.87</v>
      </c>
      <c r="ES202" s="202"/>
      <c r="ET202" s="202"/>
      <c r="EU202" s="202"/>
      <c r="EV202" s="214">
        <v>-2.84</v>
      </c>
      <c r="EW202" s="240">
        <f t="shared" si="157"/>
        <v>7430.13</v>
      </c>
      <c r="EX202" s="209">
        <f t="shared" si="158"/>
        <v>4835.93</v>
      </c>
    </row>
    <row r="203" spans="1:154" ht="12.75" customHeight="1" x14ac:dyDescent="0.2">
      <c r="A203" s="45" t="s">
        <v>289</v>
      </c>
      <c r="B203" s="113" t="s">
        <v>221</v>
      </c>
      <c r="C203" s="114" t="s">
        <v>129</v>
      </c>
      <c r="D203" s="115" t="s">
        <v>578</v>
      </c>
      <c r="E203" s="114" t="s">
        <v>9</v>
      </c>
      <c r="F203" s="11">
        <v>5</v>
      </c>
      <c r="G203" s="11">
        <v>4</v>
      </c>
      <c r="H203" s="11">
        <v>80</v>
      </c>
      <c r="I203" s="11">
        <v>0</v>
      </c>
      <c r="J203" s="11">
        <v>162</v>
      </c>
      <c r="K203" s="11">
        <v>211</v>
      </c>
      <c r="L203" s="11" t="s">
        <v>746</v>
      </c>
      <c r="M203" s="84">
        <v>280</v>
      </c>
      <c r="N203" s="84">
        <v>900</v>
      </c>
      <c r="O203" s="84">
        <v>0</v>
      </c>
      <c r="P203" s="139">
        <v>278</v>
      </c>
      <c r="Q203" s="135">
        <v>762.6</v>
      </c>
      <c r="R203" s="133">
        <v>0</v>
      </c>
      <c r="S203" s="133">
        <f t="shared" si="159"/>
        <v>1040.5999999999999</v>
      </c>
      <c r="T203" s="139">
        <v>280</v>
      </c>
      <c r="U203" s="130">
        <v>1.53</v>
      </c>
      <c r="V203" s="131">
        <v>1.9800000000000002E-2</v>
      </c>
      <c r="W203" s="131">
        <v>1.9800000000000002E-2</v>
      </c>
      <c r="X203" s="132">
        <v>1.2199999999999999E-3</v>
      </c>
      <c r="Y203" s="131">
        <v>3.95E-2</v>
      </c>
      <c r="Z203" s="29">
        <v>3552.65</v>
      </c>
      <c r="AA203" s="34"/>
      <c r="AB203" s="9">
        <f t="shared" si="133"/>
        <v>3552.65</v>
      </c>
      <c r="AC203" s="9">
        <f t="shared" si="135"/>
        <v>22488.27</v>
      </c>
      <c r="AD203" s="9">
        <v>0.39</v>
      </c>
      <c r="AE203" s="9">
        <v>4.88</v>
      </c>
      <c r="AF203" s="21">
        <f>2.45-AJ203</f>
        <v>2.21</v>
      </c>
      <c r="AG203" s="18">
        <f>0.53-AQ203</f>
        <v>0.43</v>
      </c>
      <c r="AH203" s="9">
        <v>2.78</v>
      </c>
      <c r="AI203" s="43">
        <v>864</v>
      </c>
      <c r="AJ203" s="21">
        <f t="shared" si="137"/>
        <v>0.24</v>
      </c>
      <c r="AK203" s="9">
        <v>0</v>
      </c>
      <c r="AL203" s="9">
        <v>0</v>
      </c>
      <c r="AM203" s="9">
        <v>0.16</v>
      </c>
      <c r="AN203" s="13"/>
      <c r="AO203" s="13">
        <v>801.6</v>
      </c>
      <c r="AP203" s="13">
        <f t="shared" si="161"/>
        <v>5.58</v>
      </c>
      <c r="AQ203" s="18">
        <f t="shared" si="136"/>
        <v>0.1</v>
      </c>
      <c r="AR203" s="9">
        <v>0.78</v>
      </c>
      <c r="AS203" s="9">
        <v>0.38</v>
      </c>
      <c r="AT203" s="9">
        <v>7.0000000000000007E-2</v>
      </c>
      <c r="AU203" s="9">
        <v>3.76</v>
      </c>
      <c r="AV203" s="9">
        <v>0.13</v>
      </c>
      <c r="AW203" s="9">
        <f>1.11+0.32+0.33</f>
        <v>1.76</v>
      </c>
      <c r="AX203" s="9">
        <f>1.52+0.44</f>
        <v>1.96</v>
      </c>
      <c r="AY203" s="110">
        <f t="shared" si="162"/>
        <v>20.03</v>
      </c>
      <c r="AZ203" s="111">
        <v>3564.1</v>
      </c>
      <c r="BA203" s="111">
        <v>0</v>
      </c>
      <c r="BB203" s="111">
        <f t="shared" si="134"/>
        <v>3564.1</v>
      </c>
      <c r="BC203" s="111">
        <v>20.03</v>
      </c>
      <c r="BD203" s="13">
        <f t="shared" si="160"/>
        <v>0</v>
      </c>
      <c r="BE203" s="9">
        <f t="shared" si="138"/>
        <v>71159.58</v>
      </c>
      <c r="BF203" s="9">
        <v>20.03</v>
      </c>
      <c r="BG203" s="10">
        <v>44409</v>
      </c>
      <c r="BH203" s="9">
        <f t="shared" si="139"/>
        <v>1385.53</v>
      </c>
      <c r="BI203" s="9">
        <f t="shared" si="140"/>
        <v>17336.93</v>
      </c>
      <c r="BJ203" s="9">
        <f t="shared" si="141"/>
        <v>7851.36</v>
      </c>
      <c r="BK203" s="9">
        <f t="shared" si="142"/>
        <v>1527.64</v>
      </c>
      <c r="BL203" s="9">
        <f t="shared" si="143"/>
        <v>9876.3700000000008</v>
      </c>
      <c r="BM203" s="9">
        <f t="shared" si="144"/>
        <v>852.64</v>
      </c>
      <c r="BN203" s="9">
        <f t="shared" si="145"/>
        <v>0</v>
      </c>
      <c r="BO203" s="9">
        <f t="shared" si="146"/>
        <v>0</v>
      </c>
      <c r="BP203" s="9">
        <f t="shared" si="147"/>
        <v>568.41999999999996</v>
      </c>
      <c r="BQ203" s="9">
        <f t="shared" si="148"/>
        <v>355.27</v>
      </c>
      <c r="BR203" s="9">
        <f t="shared" si="149"/>
        <v>2771.07</v>
      </c>
      <c r="BS203" s="9">
        <f t="shared" si="150"/>
        <v>1350.01</v>
      </c>
      <c r="BT203" s="9">
        <f t="shared" si="151"/>
        <v>248.69</v>
      </c>
      <c r="BU203" s="9">
        <f t="shared" si="152"/>
        <v>13357.96</v>
      </c>
      <c r="BV203" s="9">
        <f t="shared" si="153"/>
        <v>461.84</v>
      </c>
      <c r="BW203" s="9">
        <f t="shared" si="154"/>
        <v>6252.66</v>
      </c>
      <c r="BX203" s="9">
        <f t="shared" si="155"/>
        <v>6963.19</v>
      </c>
      <c r="BY203" s="17">
        <f t="shared" si="156"/>
        <v>71159.58</v>
      </c>
      <c r="BZ203" s="17">
        <v>1.95</v>
      </c>
      <c r="CA203" s="17">
        <v>0.04</v>
      </c>
      <c r="CB203" s="17">
        <v>0.25</v>
      </c>
      <c r="CC203" s="27">
        <v>0.04</v>
      </c>
      <c r="CD203" s="29">
        <v>6.33</v>
      </c>
      <c r="CE203" s="9">
        <v>0</v>
      </c>
      <c r="CF203" s="9"/>
      <c r="CG203" s="9">
        <v>1864.66</v>
      </c>
      <c r="CH203" s="9">
        <v>1054.6500000000001</v>
      </c>
      <c r="CI203" s="9">
        <f t="shared" si="163"/>
        <v>0</v>
      </c>
      <c r="CJ203" s="9">
        <f t="shared" si="164"/>
        <v>0</v>
      </c>
      <c r="CK203" s="13">
        <f t="shared" si="165"/>
        <v>0.52</v>
      </c>
      <c r="CL203" s="13">
        <f t="shared" si="166"/>
        <v>0.3</v>
      </c>
      <c r="CM203" s="13">
        <v>71159.59</v>
      </c>
      <c r="CN203" s="13">
        <v>0</v>
      </c>
      <c r="CO203" s="13">
        <v>0</v>
      </c>
      <c r="CP203" s="13">
        <v>2877.66</v>
      </c>
      <c r="CQ203" s="13">
        <v>1563.17</v>
      </c>
      <c r="CR203" s="13">
        <v>68274.7</v>
      </c>
      <c r="CS203" s="13">
        <v>3084.54</v>
      </c>
      <c r="CT203" s="13">
        <v>141.29</v>
      </c>
      <c r="CU203" s="13">
        <v>1643.71</v>
      </c>
      <c r="CV203" s="13">
        <v>926.98</v>
      </c>
      <c r="CW203" s="202">
        <v>3095</v>
      </c>
      <c r="CX203" s="200">
        <v>1776</v>
      </c>
      <c r="CY203" s="202"/>
      <c r="CZ203" s="202"/>
      <c r="DA203" s="202"/>
      <c r="DB203" s="202"/>
      <c r="DC203" s="202"/>
      <c r="DD203" s="461"/>
      <c r="DE203" s="256"/>
      <c r="DF203" s="202"/>
      <c r="DG203" s="202"/>
      <c r="DH203" s="202"/>
      <c r="DI203" s="204">
        <v>864</v>
      </c>
      <c r="DJ203" s="202"/>
      <c r="DK203" s="202"/>
      <c r="DL203" s="202"/>
      <c r="DM203" s="202">
        <v>19156</v>
      </c>
      <c r="DN203" s="202">
        <v>2431</v>
      </c>
      <c r="DO203" s="202">
        <v>1.43</v>
      </c>
      <c r="DP203" s="202"/>
      <c r="DQ203" s="202"/>
      <c r="DR203" s="202"/>
      <c r="DS203" s="202">
        <v>16880</v>
      </c>
      <c r="DT203" s="254">
        <v>560</v>
      </c>
      <c r="DU203" s="254">
        <v>288</v>
      </c>
      <c r="DV203" s="202"/>
      <c r="DW203" s="202">
        <v>16251</v>
      </c>
      <c r="DX203" s="202"/>
      <c r="DY203" s="107">
        <v>1365</v>
      </c>
      <c r="DZ203" s="107">
        <v>577</v>
      </c>
      <c r="EA203" s="202"/>
      <c r="EB203" s="202"/>
      <c r="EC203" s="202"/>
      <c r="ED203" s="202"/>
      <c r="EE203" s="202"/>
      <c r="EF203" s="229"/>
      <c r="EG203" s="202"/>
      <c r="EH203" s="202"/>
      <c r="EI203" s="202"/>
      <c r="EJ203" s="202"/>
      <c r="EK203" s="202">
        <v>0</v>
      </c>
      <c r="EL203" s="202">
        <v>0</v>
      </c>
      <c r="EM203" s="202">
        <v>2864.54</v>
      </c>
      <c r="EN203" s="202">
        <v>1578.12</v>
      </c>
      <c r="EO203" s="202">
        <v>0</v>
      </c>
      <c r="EP203" s="202"/>
      <c r="EQ203" s="202">
        <v>2864.54</v>
      </c>
      <c r="ER203" s="202">
        <v>1578.12</v>
      </c>
      <c r="ES203" s="202"/>
      <c r="ET203" s="202"/>
      <c r="EU203" s="202"/>
      <c r="EV203" s="214">
        <v>-3.37</v>
      </c>
      <c r="EW203" s="240">
        <f t="shared" si="157"/>
        <v>7770.21</v>
      </c>
      <c r="EX203" s="209">
        <f t="shared" si="158"/>
        <v>5057.2700000000004</v>
      </c>
    </row>
    <row r="204" spans="1:154" ht="12.75" customHeight="1" x14ac:dyDescent="0.2">
      <c r="A204" s="45" t="s">
        <v>290</v>
      </c>
      <c r="B204" s="113" t="s">
        <v>221</v>
      </c>
      <c r="C204" s="114" t="s">
        <v>129</v>
      </c>
      <c r="D204" s="115" t="s">
        <v>579</v>
      </c>
      <c r="E204" s="114" t="s">
        <v>30</v>
      </c>
      <c r="F204" s="11">
        <v>5</v>
      </c>
      <c r="G204" s="11">
        <v>4</v>
      </c>
      <c r="H204" s="11">
        <v>80</v>
      </c>
      <c r="I204" s="11">
        <v>0</v>
      </c>
      <c r="J204" s="11">
        <v>148</v>
      </c>
      <c r="K204" s="11">
        <v>186</v>
      </c>
      <c r="L204" s="11" t="s">
        <v>746</v>
      </c>
      <c r="M204" s="84">
        <v>278</v>
      </c>
      <c r="N204" s="84">
        <v>883</v>
      </c>
      <c r="O204" s="84">
        <v>0</v>
      </c>
      <c r="P204" s="135">
        <v>278</v>
      </c>
      <c r="Q204" s="135">
        <v>774.8</v>
      </c>
      <c r="R204" s="133">
        <v>0</v>
      </c>
      <c r="S204" s="133">
        <f t="shared" si="159"/>
        <v>1052.8</v>
      </c>
      <c r="T204" s="134">
        <v>278</v>
      </c>
      <c r="U204" s="130">
        <v>1.53</v>
      </c>
      <c r="V204" s="131">
        <v>1.9800000000000002E-2</v>
      </c>
      <c r="W204" s="131">
        <v>1.9800000000000002E-2</v>
      </c>
      <c r="X204" s="132">
        <v>1.2199999999999999E-3</v>
      </c>
      <c r="Y204" s="131">
        <v>3.95E-2</v>
      </c>
      <c r="Z204" s="29">
        <v>3556.83</v>
      </c>
      <c r="AA204" s="34"/>
      <c r="AB204" s="9">
        <f t="shared" si="133"/>
        <v>3556.83</v>
      </c>
      <c r="AC204" s="9">
        <f t="shared" si="135"/>
        <v>22514.73</v>
      </c>
      <c r="AD204" s="9">
        <v>0.39</v>
      </c>
      <c r="AE204" s="9">
        <v>4.7</v>
      </c>
      <c r="AF204" s="21">
        <f>2.44-AJ204</f>
        <v>2.2000000000000002</v>
      </c>
      <c r="AG204" s="18">
        <f>0.53-AQ204</f>
        <v>0.43</v>
      </c>
      <c r="AH204" s="9">
        <v>2.78</v>
      </c>
      <c r="AI204" s="43">
        <v>848</v>
      </c>
      <c r="AJ204" s="21">
        <f t="shared" si="137"/>
        <v>0.24</v>
      </c>
      <c r="AK204" s="9">
        <v>0</v>
      </c>
      <c r="AL204" s="9">
        <v>0</v>
      </c>
      <c r="AM204" s="9">
        <v>0.26</v>
      </c>
      <c r="AN204" s="13"/>
      <c r="AO204" s="13">
        <v>801.6</v>
      </c>
      <c r="AP204" s="13">
        <f t="shared" si="161"/>
        <v>5.58</v>
      </c>
      <c r="AQ204" s="18">
        <f t="shared" si="136"/>
        <v>0.1</v>
      </c>
      <c r="AR204" s="9">
        <v>0.78</v>
      </c>
      <c r="AS204" s="9">
        <v>0.38</v>
      </c>
      <c r="AT204" s="9">
        <v>7.0000000000000007E-2</v>
      </c>
      <c r="AU204" s="9">
        <v>3.75</v>
      </c>
      <c r="AV204" s="9">
        <v>0.13</v>
      </c>
      <c r="AW204" s="9">
        <f>1.1+0.33+0.32</f>
        <v>1.75</v>
      </c>
      <c r="AX204" s="9">
        <f>1.52+0.46</f>
        <v>1.98</v>
      </c>
      <c r="AY204" s="110">
        <f t="shared" si="162"/>
        <v>19.940000000000001</v>
      </c>
      <c r="AZ204" s="111">
        <v>3560</v>
      </c>
      <c r="BA204" s="111">
        <v>0</v>
      </c>
      <c r="BB204" s="111">
        <f t="shared" si="134"/>
        <v>3560</v>
      </c>
      <c r="BC204" s="111">
        <v>19.940000000000001</v>
      </c>
      <c r="BD204" s="13">
        <f t="shared" si="160"/>
        <v>0</v>
      </c>
      <c r="BE204" s="9">
        <f t="shared" si="138"/>
        <v>70923.19</v>
      </c>
      <c r="BF204" s="9">
        <v>19.940000000000001</v>
      </c>
      <c r="BG204" s="10">
        <v>44409</v>
      </c>
      <c r="BH204" s="9">
        <f t="shared" si="139"/>
        <v>1387.16</v>
      </c>
      <c r="BI204" s="9">
        <f t="shared" si="140"/>
        <v>16717.099999999999</v>
      </c>
      <c r="BJ204" s="9">
        <f t="shared" si="141"/>
        <v>7825.03</v>
      </c>
      <c r="BK204" s="9">
        <f t="shared" si="142"/>
        <v>1529.44</v>
      </c>
      <c r="BL204" s="9">
        <f t="shared" si="143"/>
        <v>9887.99</v>
      </c>
      <c r="BM204" s="9">
        <f t="shared" si="144"/>
        <v>853.64</v>
      </c>
      <c r="BN204" s="9">
        <f t="shared" si="145"/>
        <v>0</v>
      </c>
      <c r="BO204" s="9">
        <f t="shared" si="146"/>
        <v>0</v>
      </c>
      <c r="BP204" s="9">
        <f t="shared" si="147"/>
        <v>924.78</v>
      </c>
      <c r="BQ204" s="9">
        <f t="shared" si="148"/>
        <v>355.68</v>
      </c>
      <c r="BR204" s="9">
        <f t="shared" si="149"/>
        <v>2774.33</v>
      </c>
      <c r="BS204" s="9">
        <f t="shared" si="150"/>
        <v>1351.6</v>
      </c>
      <c r="BT204" s="9">
        <f t="shared" si="151"/>
        <v>248.98</v>
      </c>
      <c r="BU204" s="9">
        <f t="shared" si="152"/>
        <v>13338.11</v>
      </c>
      <c r="BV204" s="9">
        <f t="shared" si="153"/>
        <v>462.39</v>
      </c>
      <c r="BW204" s="9">
        <f t="shared" si="154"/>
        <v>6224.45</v>
      </c>
      <c r="BX204" s="9">
        <f t="shared" si="155"/>
        <v>7042.52</v>
      </c>
      <c r="BY204" s="17">
        <f t="shared" si="156"/>
        <v>70923.199999999997</v>
      </c>
      <c r="BZ204" s="17">
        <v>1.91</v>
      </c>
      <c r="CA204" s="17">
        <v>0.04</v>
      </c>
      <c r="CB204" s="17">
        <v>0.24</v>
      </c>
      <c r="CC204" s="27">
        <v>0.04</v>
      </c>
      <c r="CD204" s="29">
        <v>6.33</v>
      </c>
      <c r="CE204" s="9">
        <v>1606.19</v>
      </c>
      <c r="CF204" s="9"/>
      <c r="CG204" s="9">
        <v>3080.74</v>
      </c>
      <c r="CH204" s="9">
        <v>1704.9</v>
      </c>
      <c r="CI204" s="9">
        <f t="shared" si="163"/>
        <v>0.45</v>
      </c>
      <c r="CJ204" s="9">
        <f t="shared" si="164"/>
        <v>0</v>
      </c>
      <c r="CK204" s="13">
        <f t="shared" si="165"/>
        <v>0.87</v>
      </c>
      <c r="CL204" s="13">
        <f t="shared" si="166"/>
        <v>0.48</v>
      </c>
      <c r="CM204" s="13">
        <v>70923.13</v>
      </c>
      <c r="CN204" s="13">
        <v>1885.05</v>
      </c>
      <c r="CO204" s="13">
        <v>0</v>
      </c>
      <c r="CP204" s="13">
        <v>1387.11</v>
      </c>
      <c r="CQ204" s="13">
        <v>782.47</v>
      </c>
      <c r="CR204" s="13">
        <v>68757.509999999995</v>
      </c>
      <c r="CS204" s="13">
        <v>5488.58</v>
      </c>
      <c r="CT204" s="13">
        <v>152.88</v>
      </c>
      <c r="CU204" s="13">
        <v>885.6</v>
      </c>
      <c r="CV204" s="13">
        <v>531.77</v>
      </c>
      <c r="CW204" s="202">
        <v>3099</v>
      </c>
      <c r="CX204" s="200">
        <v>1778</v>
      </c>
      <c r="CY204" s="202"/>
      <c r="CZ204" s="202"/>
      <c r="DA204" s="202"/>
      <c r="DB204" s="202"/>
      <c r="DC204" s="202"/>
      <c r="DD204" s="461"/>
      <c r="DE204" s="256"/>
      <c r="DF204" s="202"/>
      <c r="DG204" s="202"/>
      <c r="DH204" s="202"/>
      <c r="DI204" s="204">
        <v>848</v>
      </c>
      <c r="DJ204" s="202"/>
      <c r="DK204" s="202"/>
      <c r="DL204" s="202"/>
      <c r="DM204" s="202">
        <v>18496</v>
      </c>
      <c r="DN204" s="202">
        <v>2431</v>
      </c>
      <c r="DO204" s="202">
        <v>1.43</v>
      </c>
      <c r="DP204" s="202"/>
      <c r="DQ204" s="202"/>
      <c r="DR204" s="202"/>
      <c r="DS204" s="202">
        <v>8765</v>
      </c>
      <c r="DT204" s="254">
        <v>275</v>
      </c>
      <c r="DU204" s="254">
        <v>189</v>
      </c>
      <c r="DV204" s="202"/>
      <c r="DW204" s="202">
        <v>16215</v>
      </c>
      <c r="DX204" s="202"/>
      <c r="DY204" s="107">
        <v>1365</v>
      </c>
      <c r="DZ204" s="107">
        <v>942</v>
      </c>
      <c r="EA204" s="202"/>
      <c r="EB204" s="202"/>
      <c r="EC204" s="202"/>
      <c r="ED204" s="202"/>
      <c r="EE204" s="202"/>
      <c r="EF204" s="229"/>
      <c r="EG204" s="202"/>
      <c r="EH204" s="202"/>
      <c r="EI204" s="202"/>
      <c r="EJ204" s="202"/>
      <c r="EK204" s="202">
        <v>1884.74</v>
      </c>
      <c r="EL204" s="202">
        <v>0</v>
      </c>
      <c r="EM204" s="202">
        <v>1378.22</v>
      </c>
      <c r="EN204" s="202">
        <v>799.42</v>
      </c>
      <c r="EO204" s="202">
        <v>1884.74</v>
      </c>
      <c r="EP204" s="202"/>
      <c r="EQ204" s="202">
        <v>1378.22</v>
      </c>
      <c r="ER204" s="202">
        <v>799.42</v>
      </c>
      <c r="ES204" s="202"/>
      <c r="ET204" s="202"/>
      <c r="EU204" s="202"/>
      <c r="EV204" s="214">
        <v>-3.33</v>
      </c>
      <c r="EW204" s="240">
        <f t="shared" si="157"/>
        <v>7779.36</v>
      </c>
      <c r="EX204" s="209">
        <f t="shared" si="158"/>
        <v>5063.22</v>
      </c>
    </row>
    <row r="205" spans="1:154" ht="12.75" customHeight="1" x14ac:dyDescent="0.2">
      <c r="A205" s="45" t="s">
        <v>292</v>
      </c>
      <c r="B205" s="113" t="s">
        <v>221</v>
      </c>
      <c r="C205" s="114" t="s">
        <v>262</v>
      </c>
      <c r="D205" s="115" t="s">
        <v>493</v>
      </c>
      <c r="E205" s="114" t="s">
        <v>12</v>
      </c>
      <c r="F205" s="11">
        <v>5</v>
      </c>
      <c r="G205" s="11">
        <v>4</v>
      </c>
      <c r="H205" s="11">
        <v>80</v>
      </c>
      <c r="I205" s="11">
        <v>0</v>
      </c>
      <c r="J205" s="11">
        <v>147</v>
      </c>
      <c r="K205" s="11">
        <v>176</v>
      </c>
      <c r="L205" s="11" t="s">
        <v>746</v>
      </c>
      <c r="M205" s="84">
        <v>223</v>
      </c>
      <c r="N205" s="84">
        <v>886</v>
      </c>
      <c r="O205" s="84">
        <v>0</v>
      </c>
      <c r="P205" s="135">
        <v>279</v>
      </c>
      <c r="Q205" s="135">
        <v>738.9</v>
      </c>
      <c r="R205" s="133">
        <v>0</v>
      </c>
      <c r="S205" s="133">
        <f t="shared" si="159"/>
        <v>1017.9</v>
      </c>
      <c r="T205" s="134">
        <v>279</v>
      </c>
      <c r="U205" s="130">
        <v>1.53</v>
      </c>
      <c r="V205" s="131">
        <v>1.9800000000000002E-2</v>
      </c>
      <c r="W205" s="131">
        <v>1.9800000000000002E-2</v>
      </c>
      <c r="X205" s="132">
        <v>1.2199999999999999E-3</v>
      </c>
      <c r="Y205" s="131">
        <v>3.95E-2</v>
      </c>
      <c r="Z205" s="29">
        <v>3552.82</v>
      </c>
      <c r="AA205" s="34"/>
      <c r="AB205" s="9">
        <f t="shared" si="133"/>
        <v>3552.82</v>
      </c>
      <c r="AC205" s="9">
        <f t="shared" si="135"/>
        <v>22489.35</v>
      </c>
      <c r="AD205" s="9">
        <v>0.39</v>
      </c>
      <c r="AE205" s="9">
        <v>4.66</v>
      </c>
      <c r="AF205" s="21">
        <f>2.37-AJ205</f>
        <v>2.13</v>
      </c>
      <c r="AG205" s="18">
        <f>0.53-AQ205</f>
        <v>0.43</v>
      </c>
      <c r="AH205" s="9">
        <v>2.78</v>
      </c>
      <c r="AI205" s="43">
        <v>851</v>
      </c>
      <c r="AJ205" s="21">
        <f t="shared" si="137"/>
        <v>0.24</v>
      </c>
      <c r="AK205" s="9">
        <v>0</v>
      </c>
      <c r="AL205" s="9">
        <v>0</v>
      </c>
      <c r="AM205" s="9">
        <v>0.26</v>
      </c>
      <c r="AN205" s="13"/>
      <c r="AO205" s="13">
        <v>801.6</v>
      </c>
      <c r="AP205" s="13">
        <f t="shared" si="161"/>
        <v>5.58</v>
      </c>
      <c r="AQ205" s="18">
        <f t="shared" si="136"/>
        <v>0.1</v>
      </c>
      <c r="AR205" s="9">
        <v>0.78</v>
      </c>
      <c r="AS205" s="9">
        <v>0.38</v>
      </c>
      <c r="AT205" s="9">
        <v>7.0000000000000007E-2</v>
      </c>
      <c r="AU205" s="9">
        <v>3.72</v>
      </c>
      <c r="AV205" s="9">
        <v>0.13</v>
      </c>
      <c r="AW205" s="9">
        <f>1.1+0.33+0.31</f>
        <v>1.74</v>
      </c>
      <c r="AX205" s="9">
        <f>1.5+0.44</f>
        <v>1.94</v>
      </c>
      <c r="AY205" s="110">
        <f t="shared" si="162"/>
        <v>19.75</v>
      </c>
      <c r="AZ205" s="111">
        <v>3561.3</v>
      </c>
      <c r="BA205" s="111">
        <v>0</v>
      </c>
      <c r="BB205" s="111">
        <f t="shared" si="134"/>
        <v>3561.3</v>
      </c>
      <c r="BC205" s="111">
        <v>19.75</v>
      </c>
      <c r="BD205" s="13">
        <f t="shared" si="160"/>
        <v>0</v>
      </c>
      <c r="BE205" s="9">
        <f t="shared" si="138"/>
        <v>70168.2</v>
      </c>
      <c r="BF205" s="9">
        <v>19.75</v>
      </c>
      <c r="BG205" s="10">
        <v>44409</v>
      </c>
      <c r="BH205" s="9">
        <f t="shared" si="139"/>
        <v>1385.6</v>
      </c>
      <c r="BI205" s="9">
        <f t="shared" si="140"/>
        <v>16556.14</v>
      </c>
      <c r="BJ205" s="9">
        <f t="shared" si="141"/>
        <v>7567.51</v>
      </c>
      <c r="BK205" s="9">
        <f t="shared" si="142"/>
        <v>1527.71</v>
      </c>
      <c r="BL205" s="9">
        <f t="shared" si="143"/>
        <v>9876.84</v>
      </c>
      <c r="BM205" s="9">
        <f t="shared" si="144"/>
        <v>852.68</v>
      </c>
      <c r="BN205" s="9">
        <f t="shared" si="145"/>
        <v>0</v>
      </c>
      <c r="BO205" s="9">
        <f t="shared" si="146"/>
        <v>0</v>
      </c>
      <c r="BP205" s="9">
        <f t="shared" si="147"/>
        <v>923.73</v>
      </c>
      <c r="BQ205" s="9">
        <f t="shared" si="148"/>
        <v>355.28</v>
      </c>
      <c r="BR205" s="9">
        <f t="shared" si="149"/>
        <v>2771.2</v>
      </c>
      <c r="BS205" s="9">
        <f t="shared" si="150"/>
        <v>1350.07</v>
      </c>
      <c r="BT205" s="9">
        <f t="shared" si="151"/>
        <v>248.7</v>
      </c>
      <c r="BU205" s="9">
        <f t="shared" si="152"/>
        <v>13216.49</v>
      </c>
      <c r="BV205" s="9">
        <f t="shared" si="153"/>
        <v>461.87</v>
      </c>
      <c r="BW205" s="9">
        <f t="shared" si="154"/>
        <v>6181.91</v>
      </c>
      <c r="BX205" s="9">
        <f t="shared" si="155"/>
        <v>6892.47</v>
      </c>
      <c r="BY205" s="17">
        <f t="shared" si="156"/>
        <v>70168.2</v>
      </c>
      <c r="BZ205" s="17">
        <v>1.92</v>
      </c>
      <c r="CA205" s="17">
        <v>0.04</v>
      </c>
      <c r="CB205" s="17">
        <v>0.24</v>
      </c>
      <c r="CC205" s="27">
        <v>0.04</v>
      </c>
      <c r="CD205" s="29">
        <v>6.33</v>
      </c>
      <c r="CE205" s="9">
        <v>4109.74</v>
      </c>
      <c r="CF205" s="9"/>
      <c r="CG205" s="9">
        <v>2918.59</v>
      </c>
      <c r="CH205" s="9">
        <v>1591.99</v>
      </c>
      <c r="CI205" s="9">
        <f t="shared" si="163"/>
        <v>1.1599999999999999</v>
      </c>
      <c r="CJ205" s="9">
        <f t="shared" si="164"/>
        <v>0</v>
      </c>
      <c r="CK205" s="13">
        <f t="shared" si="165"/>
        <v>0.82</v>
      </c>
      <c r="CL205" s="13">
        <f t="shared" si="166"/>
        <v>0.45</v>
      </c>
      <c r="CM205" s="13">
        <v>70168.45</v>
      </c>
      <c r="CN205" s="13">
        <v>4298.8</v>
      </c>
      <c r="CO205" s="13">
        <v>0</v>
      </c>
      <c r="CP205" s="13">
        <v>6359.66</v>
      </c>
      <c r="CQ205" s="13">
        <v>3410.7</v>
      </c>
      <c r="CR205" s="13">
        <v>59906.06</v>
      </c>
      <c r="CS205" s="13">
        <v>2477.2600000000002</v>
      </c>
      <c r="CT205" s="13">
        <v>131.69</v>
      </c>
      <c r="CU205" s="13">
        <v>2848.66</v>
      </c>
      <c r="CV205" s="13">
        <v>1557.32</v>
      </c>
      <c r="CW205" s="202">
        <v>3095</v>
      </c>
      <c r="CX205" s="200">
        <v>1776</v>
      </c>
      <c r="CY205" s="202"/>
      <c r="CZ205" s="202"/>
      <c r="DA205" s="202"/>
      <c r="DB205" s="202"/>
      <c r="DC205" s="202"/>
      <c r="DD205" s="461"/>
      <c r="DE205" s="256"/>
      <c r="DF205" s="202"/>
      <c r="DG205" s="202"/>
      <c r="DH205" s="202"/>
      <c r="DI205" s="204">
        <v>851</v>
      </c>
      <c r="DJ205" s="202"/>
      <c r="DK205" s="202"/>
      <c r="DL205" s="202"/>
      <c r="DM205" s="202">
        <v>18353</v>
      </c>
      <c r="DN205" s="202">
        <v>2431</v>
      </c>
      <c r="DO205" s="202">
        <v>1.43</v>
      </c>
      <c r="DP205" s="202"/>
      <c r="DQ205" s="202"/>
      <c r="DR205" s="202"/>
      <c r="DS205" s="202">
        <v>8800</v>
      </c>
      <c r="DT205" s="254">
        <v>276</v>
      </c>
      <c r="DU205" s="254">
        <v>190</v>
      </c>
      <c r="DV205" s="202"/>
      <c r="DW205" s="202">
        <v>16028</v>
      </c>
      <c r="DX205" s="202"/>
      <c r="DY205" s="107">
        <v>1365</v>
      </c>
      <c r="DZ205" s="107">
        <v>942</v>
      </c>
      <c r="EA205" s="202"/>
      <c r="EB205" s="202"/>
      <c r="EC205" s="202"/>
      <c r="ED205" s="202"/>
      <c r="EE205" s="202"/>
      <c r="EF205" s="229"/>
      <c r="EG205" s="202"/>
      <c r="EH205" s="202"/>
      <c r="EI205" s="202"/>
      <c r="EJ205" s="202"/>
      <c r="EK205" s="202">
        <v>4312.2700000000004</v>
      </c>
      <c r="EL205" s="202">
        <v>0</v>
      </c>
      <c r="EM205" s="202">
        <v>6350.64</v>
      </c>
      <c r="EN205" s="202">
        <v>3402.94</v>
      </c>
      <c r="EO205" s="202">
        <v>4312.2700000000004</v>
      </c>
      <c r="EP205" s="202"/>
      <c r="EQ205" s="202">
        <v>6350.64</v>
      </c>
      <c r="ER205" s="202">
        <v>3402.94</v>
      </c>
      <c r="ES205" s="202"/>
      <c r="ET205" s="202"/>
      <c r="EU205" s="202"/>
      <c r="EV205" s="214">
        <v>24.65</v>
      </c>
      <c r="EW205" s="240">
        <f t="shared" si="157"/>
        <v>7770.59</v>
      </c>
      <c r="EX205" s="209">
        <f t="shared" si="158"/>
        <v>5057.51</v>
      </c>
    </row>
    <row r="206" spans="1:154" ht="12.75" customHeight="1" x14ac:dyDescent="0.2">
      <c r="A206" s="45" t="s">
        <v>293</v>
      </c>
      <c r="B206" s="113" t="s">
        <v>221</v>
      </c>
      <c r="C206" s="114" t="s">
        <v>262</v>
      </c>
      <c r="D206" s="115" t="s">
        <v>580</v>
      </c>
      <c r="E206" s="114" t="s">
        <v>9</v>
      </c>
      <c r="F206" s="11">
        <v>5</v>
      </c>
      <c r="G206" s="11">
        <v>4</v>
      </c>
      <c r="H206" s="11">
        <v>80</v>
      </c>
      <c r="I206" s="11">
        <v>0</v>
      </c>
      <c r="J206" s="11">
        <v>139</v>
      </c>
      <c r="K206" s="11">
        <v>181</v>
      </c>
      <c r="L206" s="11" t="s">
        <v>746</v>
      </c>
      <c r="M206" s="84">
        <v>279</v>
      </c>
      <c r="N206" s="84">
        <v>883</v>
      </c>
      <c r="O206" s="84">
        <v>0</v>
      </c>
      <c r="P206" s="135">
        <v>278.5</v>
      </c>
      <c r="Q206" s="135">
        <v>882.6</v>
      </c>
      <c r="R206" s="133">
        <v>0</v>
      </c>
      <c r="S206" s="133">
        <f t="shared" si="159"/>
        <v>1161.0999999999999</v>
      </c>
      <c r="T206" s="134">
        <v>278.5</v>
      </c>
      <c r="U206" s="130">
        <v>1.53</v>
      </c>
      <c r="V206" s="131">
        <v>1.9800000000000002E-2</v>
      </c>
      <c r="W206" s="131">
        <v>1.9800000000000002E-2</v>
      </c>
      <c r="X206" s="132">
        <v>1.2199999999999999E-3</v>
      </c>
      <c r="Y206" s="131">
        <v>3.95E-2</v>
      </c>
      <c r="Z206" s="29">
        <v>3483.98</v>
      </c>
      <c r="AA206" s="34">
        <v>58.2</v>
      </c>
      <c r="AB206" s="9">
        <f t="shared" si="133"/>
        <v>3542.18</v>
      </c>
      <c r="AC206" s="9">
        <f t="shared" si="135"/>
        <v>22422</v>
      </c>
      <c r="AD206" s="9">
        <v>0.4</v>
      </c>
      <c r="AE206" s="9">
        <v>4.37</v>
      </c>
      <c r="AF206" s="21">
        <f>2.42-AJ206</f>
        <v>2.1800000000000002</v>
      </c>
      <c r="AG206" s="18">
        <f>0.53-AQ206</f>
        <v>0.42</v>
      </c>
      <c r="AH206" s="9">
        <v>2.78</v>
      </c>
      <c r="AI206" s="43">
        <v>848</v>
      </c>
      <c r="AJ206" s="21">
        <f t="shared" si="137"/>
        <v>0.24</v>
      </c>
      <c r="AK206" s="9">
        <v>0</v>
      </c>
      <c r="AL206" s="9">
        <v>0</v>
      </c>
      <c r="AM206" s="9">
        <v>0.16</v>
      </c>
      <c r="AN206" s="13"/>
      <c r="AO206" s="13">
        <v>801.6</v>
      </c>
      <c r="AP206" s="13">
        <f t="shared" si="161"/>
        <v>5.58</v>
      </c>
      <c r="AQ206" s="18">
        <f t="shared" si="136"/>
        <v>0.11</v>
      </c>
      <c r="AR206" s="9">
        <v>0.77</v>
      </c>
      <c r="AS206" s="9">
        <v>0.38</v>
      </c>
      <c r="AT206" s="9">
        <v>7.0000000000000007E-2</v>
      </c>
      <c r="AU206" s="9">
        <v>4.29</v>
      </c>
      <c r="AV206" s="9">
        <v>0.12</v>
      </c>
      <c r="AW206" s="9">
        <f>1.06+0.32+0.38</f>
        <v>1.76</v>
      </c>
      <c r="AX206" s="9">
        <f>1.46+0.51</f>
        <v>1.97</v>
      </c>
      <c r="AY206" s="110">
        <f t="shared" si="162"/>
        <v>20.02</v>
      </c>
      <c r="AZ206" s="111">
        <v>3491</v>
      </c>
      <c r="BA206" s="111">
        <v>58.2</v>
      </c>
      <c r="BB206" s="111">
        <f t="shared" si="134"/>
        <v>3549.2</v>
      </c>
      <c r="BC206" s="111">
        <v>20.02</v>
      </c>
      <c r="BD206" s="13">
        <f t="shared" si="160"/>
        <v>0</v>
      </c>
      <c r="BE206" s="9">
        <f t="shared" si="138"/>
        <v>70914.44</v>
      </c>
      <c r="BF206" s="9">
        <v>20.02</v>
      </c>
      <c r="BG206" s="10">
        <v>44409</v>
      </c>
      <c r="BH206" s="9">
        <f t="shared" si="139"/>
        <v>1416.87</v>
      </c>
      <c r="BI206" s="9">
        <f t="shared" si="140"/>
        <v>15479.33</v>
      </c>
      <c r="BJ206" s="9">
        <f t="shared" si="141"/>
        <v>7721.95</v>
      </c>
      <c r="BK206" s="9">
        <f t="shared" si="142"/>
        <v>1487.72</v>
      </c>
      <c r="BL206" s="9">
        <f t="shared" si="143"/>
        <v>9847.26</v>
      </c>
      <c r="BM206" s="9">
        <f t="shared" si="144"/>
        <v>850.12</v>
      </c>
      <c r="BN206" s="9">
        <f t="shared" si="145"/>
        <v>0</v>
      </c>
      <c r="BO206" s="9">
        <f t="shared" si="146"/>
        <v>0</v>
      </c>
      <c r="BP206" s="9">
        <f t="shared" si="147"/>
        <v>566.75</v>
      </c>
      <c r="BQ206" s="9">
        <f t="shared" si="148"/>
        <v>389.64</v>
      </c>
      <c r="BR206" s="9">
        <f t="shared" si="149"/>
        <v>2727.48</v>
      </c>
      <c r="BS206" s="9">
        <f t="shared" si="150"/>
        <v>1346.03</v>
      </c>
      <c r="BT206" s="9">
        <f t="shared" si="151"/>
        <v>247.95</v>
      </c>
      <c r="BU206" s="9">
        <f t="shared" si="152"/>
        <v>15195.95</v>
      </c>
      <c r="BV206" s="9">
        <f t="shared" si="153"/>
        <v>425.06</v>
      </c>
      <c r="BW206" s="9">
        <f t="shared" si="154"/>
        <v>6234.24</v>
      </c>
      <c r="BX206" s="9">
        <f t="shared" si="155"/>
        <v>6978.09</v>
      </c>
      <c r="BY206" s="17">
        <f t="shared" si="156"/>
        <v>70914.44</v>
      </c>
      <c r="BZ206" s="17">
        <v>1.92</v>
      </c>
      <c r="CA206" s="17">
        <v>0.04</v>
      </c>
      <c r="CB206" s="17">
        <v>0.25</v>
      </c>
      <c r="CC206" s="27">
        <v>0.04</v>
      </c>
      <c r="CD206" s="29">
        <v>6.33</v>
      </c>
      <c r="CE206" s="9">
        <v>546.54</v>
      </c>
      <c r="CF206" s="9"/>
      <c r="CG206" s="9">
        <v>0</v>
      </c>
      <c r="CH206" s="9">
        <v>78.16</v>
      </c>
      <c r="CI206" s="9">
        <f t="shared" si="163"/>
        <v>0.15</v>
      </c>
      <c r="CJ206" s="9">
        <f t="shared" si="164"/>
        <v>0</v>
      </c>
      <c r="CK206" s="13">
        <f t="shared" si="165"/>
        <v>0</v>
      </c>
      <c r="CL206" s="13">
        <f t="shared" si="166"/>
        <v>0.02</v>
      </c>
      <c r="CM206" s="13">
        <v>69749.259999999995</v>
      </c>
      <c r="CN206" s="13">
        <v>0</v>
      </c>
      <c r="CO206" s="13">
        <v>0</v>
      </c>
      <c r="CP206" s="13">
        <v>0</v>
      </c>
      <c r="CQ206" s="13">
        <v>69.66</v>
      </c>
      <c r="CR206" s="13">
        <v>65372.46</v>
      </c>
      <c r="CS206" s="13">
        <v>1278.32</v>
      </c>
      <c r="CT206" s="13">
        <v>119.88</v>
      </c>
      <c r="CU206" s="13">
        <v>19.18</v>
      </c>
      <c r="CV206" s="13">
        <v>71.180000000000007</v>
      </c>
      <c r="CW206" s="202">
        <v>3084</v>
      </c>
      <c r="CX206" s="200">
        <v>1769</v>
      </c>
      <c r="CY206" s="202"/>
      <c r="CZ206" s="202"/>
      <c r="DA206" s="202"/>
      <c r="DB206" s="202"/>
      <c r="DC206" s="202"/>
      <c r="DD206" s="461"/>
      <c r="DE206" s="256"/>
      <c r="DF206" s="202"/>
      <c r="DG206" s="202"/>
      <c r="DH206" s="202"/>
      <c r="DI206" s="204">
        <v>848</v>
      </c>
      <c r="DJ206" s="202"/>
      <c r="DK206" s="202"/>
      <c r="DL206" s="202"/>
      <c r="DM206" s="202">
        <v>17274</v>
      </c>
      <c r="DN206" s="202">
        <v>2431</v>
      </c>
      <c r="DO206" s="202">
        <v>1.43</v>
      </c>
      <c r="DP206" s="202"/>
      <c r="DQ206" s="202"/>
      <c r="DR206" s="202"/>
      <c r="DS206" s="202">
        <v>8765</v>
      </c>
      <c r="DT206" s="254">
        <v>275</v>
      </c>
      <c r="DU206" s="254">
        <v>189</v>
      </c>
      <c r="DV206" s="202"/>
      <c r="DW206" s="202">
        <v>16106</v>
      </c>
      <c r="DX206" s="202"/>
      <c r="DY206" s="107">
        <v>1365</v>
      </c>
      <c r="DZ206" s="107">
        <v>577</v>
      </c>
      <c r="EA206" s="202">
        <v>1960.18</v>
      </c>
      <c r="EB206" s="202"/>
      <c r="EC206" s="202"/>
      <c r="ED206" s="202"/>
      <c r="EE206" s="202"/>
      <c r="EF206" s="229"/>
      <c r="EG206" s="202"/>
      <c r="EH206" s="202"/>
      <c r="EI206" s="202"/>
      <c r="EJ206" s="202"/>
      <c r="EK206" s="202">
        <v>0</v>
      </c>
      <c r="EL206" s="202">
        <v>0</v>
      </c>
      <c r="EM206" s="202">
        <v>0</v>
      </c>
      <c r="EN206" s="202">
        <v>78.02</v>
      </c>
      <c r="EO206" s="202">
        <v>0</v>
      </c>
      <c r="EP206" s="202"/>
      <c r="EQ206" s="202">
        <v>0</v>
      </c>
      <c r="ER206" s="202">
        <v>78.02</v>
      </c>
      <c r="ES206" s="202"/>
      <c r="ET206" s="202"/>
      <c r="EU206" s="202"/>
      <c r="EV206" s="214">
        <v>-3.34</v>
      </c>
      <c r="EW206" s="240">
        <f t="shared" si="157"/>
        <v>7747.31</v>
      </c>
      <c r="EX206" s="209">
        <f t="shared" si="158"/>
        <v>5042.3599999999997</v>
      </c>
    </row>
    <row r="207" spans="1:154" ht="12.75" customHeight="1" x14ac:dyDescent="0.2">
      <c r="A207" s="45" t="s">
        <v>294</v>
      </c>
      <c r="B207" s="113" t="s">
        <v>221</v>
      </c>
      <c r="C207" s="114" t="s">
        <v>262</v>
      </c>
      <c r="D207" s="115" t="s">
        <v>581</v>
      </c>
      <c r="E207" s="114" t="s">
        <v>30</v>
      </c>
      <c r="F207" s="11">
        <v>5</v>
      </c>
      <c r="G207" s="11">
        <v>6</v>
      </c>
      <c r="H207" s="11">
        <v>90</v>
      </c>
      <c r="I207" s="11">
        <v>0</v>
      </c>
      <c r="J207" s="11">
        <v>179</v>
      </c>
      <c r="K207" s="11">
        <v>229</v>
      </c>
      <c r="L207" s="11" t="s">
        <v>746</v>
      </c>
      <c r="M207" s="84">
        <v>411</v>
      </c>
      <c r="N207" s="84">
        <v>1008</v>
      </c>
      <c r="O207" s="84">
        <v>0</v>
      </c>
      <c r="P207" s="135">
        <v>411</v>
      </c>
      <c r="Q207" s="135">
        <v>1008.3</v>
      </c>
      <c r="R207" s="133">
        <v>0</v>
      </c>
      <c r="S207" s="133">
        <f t="shared" si="159"/>
        <v>1419.3</v>
      </c>
      <c r="T207" s="134">
        <v>411</v>
      </c>
      <c r="U207" s="130">
        <v>1.53</v>
      </c>
      <c r="V207" s="131">
        <v>1.9800000000000002E-2</v>
      </c>
      <c r="W207" s="131">
        <v>1.9800000000000002E-2</v>
      </c>
      <c r="X207" s="132">
        <v>1.2199999999999999E-3</v>
      </c>
      <c r="Y207" s="131">
        <v>3.95E-2</v>
      </c>
      <c r="Z207" s="29">
        <v>3892.81</v>
      </c>
      <c r="AA207" s="34">
        <v>28.6</v>
      </c>
      <c r="AB207" s="9">
        <f t="shared" si="133"/>
        <v>3921.41</v>
      </c>
      <c r="AC207" s="9">
        <f t="shared" si="135"/>
        <v>24822.53</v>
      </c>
      <c r="AD207" s="9">
        <v>0.53</v>
      </c>
      <c r="AE207" s="9">
        <v>3.56</v>
      </c>
      <c r="AF207" s="21">
        <f>2.46-AJ207</f>
        <v>2.21</v>
      </c>
      <c r="AG207" s="18">
        <f>0.57-AQ207</f>
        <v>0.46</v>
      </c>
      <c r="AH207" s="9">
        <v>2.78</v>
      </c>
      <c r="AI207" s="43">
        <v>968</v>
      </c>
      <c r="AJ207" s="21">
        <f t="shared" si="137"/>
        <v>0.25</v>
      </c>
      <c r="AK207" s="9">
        <v>0</v>
      </c>
      <c r="AL207" s="9">
        <v>0</v>
      </c>
      <c r="AM207" s="9">
        <v>0.15</v>
      </c>
      <c r="AN207" s="13"/>
      <c r="AO207" s="13">
        <v>901.8</v>
      </c>
      <c r="AP207" s="13">
        <f t="shared" si="161"/>
        <v>5.58</v>
      </c>
      <c r="AQ207" s="18">
        <f t="shared" si="136"/>
        <v>0.11</v>
      </c>
      <c r="AR207" s="9">
        <v>0.8</v>
      </c>
      <c r="AS207" s="9">
        <v>0.35</v>
      </c>
      <c r="AT207" s="9">
        <v>7.0000000000000007E-2</v>
      </c>
      <c r="AU207" s="9">
        <v>4.9800000000000004</v>
      </c>
      <c r="AV207" s="9">
        <v>0.12</v>
      </c>
      <c r="AW207" s="9">
        <f>1.01+0.33+0.43</f>
        <v>1.77</v>
      </c>
      <c r="AX207" s="9">
        <f>1.38+0.59</f>
        <v>1.97</v>
      </c>
      <c r="AY207" s="110">
        <f t="shared" si="162"/>
        <v>20.11</v>
      </c>
      <c r="AZ207" s="111">
        <v>3881.8</v>
      </c>
      <c r="BA207" s="111">
        <v>28.6</v>
      </c>
      <c r="BB207" s="111">
        <f t="shared" si="134"/>
        <v>3910.4</v>
      </c>
      <c r="BC207" s="111">
        <v>20.11</v>
      </c>
      <c r="BD207" s="13">
        <f t="shared" si="160"/>
        <v>0</v>
      </c>
      <c r="BE207" s="9">
        <f t="shared" si="138"/>
        <v>78859.56</v>
      </c>
      <c r="BF207" s="9">
        <v>20.11</v>
      </c>
      <c r="BG207" s="10">
        <v>44409</v>
      </c>
      <c r="BH207" s="9">
        <f t="shared" si="139"/>
        <v>2078.35</v>
      </c>
      <c r="BI207" s="9">
        <f t="shared" si="140"/>
        <v>13960.22</v>
      </c>
      <c r="BJ207" s="9">
        <f t="shared" si="141"/>
        <v>8666.32</v>
      </c>
      <c r="BK207" s="9">
        <f t="shared" si="142"/>
        <v>1803.85</v>
      </c>
      <c r="BL207" s="9">
        <f t="shared" si="143"/>
        <v>10901.52</v>
      </c>
      <c r="BM207" s="9">
        <f t="shared" si="144"/>
        <v>980.35</v>
      </c>
      <c r="BN207" s="9">
        <f t="shared" si="145"/>
        <v>0</v>
      </c>
      <c r="BO207" s="9">
        <f t="shared" si="146"/>
        <v>0</v>
      </c>
      <c r="BP207" s="9">
        <f t="shared" si="147"/>
        <v>588.21</v>
      </c>
      <c r="BQ207" s="9">
        <f t="shared" si="148"/>
        <v>431.36</v>
      </c>
      <c r="BR207" s="9">
        <f t="shared" si="149"/>
        <v>3137.13</v>
      </c>
      <c r="BS207" s="9">
        <f t="shared" si="150"/>
        <v>1372.49</v>
      </c>
      <c r="BT207" s="9">
        <f t="shared" si="151"/>
        <v>274.5</v>
      </c>
      <c r="BU207" s="9">
        <f t="shared" si="152"/>
        <v>19528.62</v>
      </c>
      <c r="BV207" s="9">
        <f t="shared" si="153"/>
        <v>470.57</v>
      </c>
      <c r="BW207" s="9">
        <f t="shared" si="154"/>
        <v>6940.9</v>
      </c>
      <c r="BX207" s="9">
        <f t="shared" si="155"/>
        <v>7725.18</v>
      </c>
      <c r="BY207" s="17">
        <f t="shared" si="156"/>
        <v>78859.570000000007</v>
      </c>
      <c r="BZ207" s="17">
        <v>2.12</v>
      </c>
      <c r="CA207" s="17">
        <v>0.06</v>
      </c>
      <c r="CB207" s="17">
        <v>0.33</v>
      </c>
      <c r="CC207" s="27">
        <v>0.06</v>
      </c>
      <c r="CD207" s="29">
        <v>6.33</v>
      </c>
      <c r="CE207" s="9">
        <v>10327.02</v>
      </c>
      <c r="CF207" s="9"/>
      <c r="CG207" s="9">
        <v>0</v>
      </c>
      <c r="CH207" s="9">
        <v>115.13</v>
      </c>
      <c r="CI207" s="9">
        <f t="shared" si="163"/>
        <v>2.63</v>
      </c>
      <c r="CJ207" s="9">
        <f t="shared" si="164"/>
        <v>0</v>
      </c>
      <c r="CK207" s="13">
        <f t="shared" si="165"/>
        <v>0</v>
      </c>
      <c r="CL207" s="13">
        <f t="shared" si="166"/>
        <v>0.03</v>
      </c>
      <c r="CM207" s="13">
        <v>78284.5</v>
      </c>
      <c r="CN207" s="13">
        <v>5800.2</v>
      </c>
      <c r="CO207" s="13">
        <v>0</v>
      </c>
      <c r="CP207" s="13">
        <v>4593.4799999999996</v>
      </c>
      <c r="CQ207" s="13">
        <v>2257.79</v>
      </c>
      <c r="CR207" s="13">
        <v>71736.289999999994</v>
      </c>
      <c r="CS207" s="13">
        <v>6018.34</v>
      </c>
      <c r="CT207" s="13">
        <v>185.85</v>
      </c>
      <c r="CU207" s="13">
        <v>2726.84</v>
      </c>
      <c r="CV207" s="13">
        <v>1448.67</v>
      </c>
      <c r="CW207" s="202">
        <v>3415</v>
      </c>
      <c r="CX207" s="200">
        <v>1959</v>
      </c>
      <c r="CY207" s="202"/>
      <c r="CZ207" s="202"/>
      <c r="DA207" s="202"/>
      <c r="DB207" s="202"/>
      <c r="DC207" s="202"/>
      <c r="DD207" s="461"/>
      <c r="DE207" s="256"/>
      <c r="DF207" s="202"/>
      <c r="DG207" s="202"/>
      <c r="DH207" s="202"/>
      <c r="DI207" s="204">
        <v>968</v>
      </c>
      <c r="DJ207" s="202"/>
      <c r="DK207" s="202"/>
      <c r="DL207" s="202"/>
      <c r="DM207" s="202">
        <v>16359</v>
      </c>
      <c r="DN207" s="202">
        <v>2431</v>
      </c>
      <c r="DO207" s="202">
        <v>1.43</v>
      </c>
      <c r="DP207" s="202"/>
      <c r="DQ207" s="202"/>
      <c r="DR207" s="202"/>
      <c r="DS207" s="202">
        <v>10655</v>
      </c>
      <c r="DT207" s="254">
        <f>311+30</f>
        <v>341</v>
      </c>
      <c r="DU207" s="254">
        <v>213</v>
      </c>
      <c r="DV207" s="202"/>
      <c r="DW207" s="202">
        <v>17987</v>
      </c>
      <c r="DX207" s="202"/>
      <c r="DY207" s="107">
        <v>1365</v>
      </c>
      <c r="DZ207" s="107"/>
      <c r="EA207" s="202"/>
      <c r="EB207" s="202"/>
      <c r="EC207" s="202"/>
      <c r="ED207" s="202"/>
      <c r="EE207" s="202"/>
      <c r="EF207" s="229"/>
      <c r="EG207" s="202"/>
      <c r="EH207" s="202"/>
      <c r="EI207" s="202"/>
      <c r="EJ207" s="202"/>
      <c r="EK207" s="202">
        <v>5838.11</v>
      </c>
      <c r="EL207" s="202">
        <v>0</v>
      </c>
      <c r="EM207" s="202">
        <v>4621.1000000000004</v>
      </c>
      <c r="EN207" s="202">
        <v>2279.7800000000002</v>
      </c>
      <c r="EO207" s="202">
        <v>5838.11</v>
      </c>
      <c r="EP207" s="202"/>
      <c r="EQ207" s="202">
        <v>4621.1000000000004</v>
      </c>
      <c r="ER207" s="202">
        <v>2279.7800000000002</v>
      </c>
      <c r="ES207" s="202"/>
      <c r="ET207" s="202"/>
      <c r="EU207" s="202"/>
      <c r="EV207" s="214">
        <v>30.05</v>
      </c>
      <c r="EW207" s="240">
        <f t="shared" si="157"/>
        <v>8576.75</v>
      </c>
      <c r="EX207" s="209">
        <f t="shared" si="158"/>
        <v>5582.21</v>
      </c>
    </row>
    <row r="208" spans="1:154" ht="12.75" customHeight="1" x14ac:dyDescent="0.2">
      <c r="A208" s="45" t="s">
        <v>295</v>
      </c>
      <c r="B208" s="78" t="s">
        <v>221</v>
      </c>
      <c r="C208" s="79" t="s">
        <v>135</v>
      </c>
      <c r="D208" s="80" t="s">
        <v>652</v>
      </c>
      <c r="E208" s="79"/>
      <c r="F208" s="11">
        <v>9</v>
      </c>
      <c r="G208" s="11">
        <v>1</v>
      </c>
      <c r="H208" s="11">
        <v>54</v>
      </c>
      <c r="I208" s="11">
        <v>54</v>
      </c>
      <c r="J208" s="11">
        <v>103</v>
      </c>
      <c r="K208" s="11">
        <v>108</v>
      </c>
      <c r="L208" s="11">
        <v>1</v>
      </c>
      <c r="M208" s="84">
        <v>272</v>
      </c>
      <c r="N208" s="84">
        <v>384</v>
      </c>
      <c r="O208" s="84">
        <v>384</v>
      </c>
      <c r="P208" s="135">
        <v>272.10000000000002</v>
      </c>
      <c r="Q208" s="135">
        <v>276</v>
      </c>
      <c r="R208" s="133">
        <v>276</v>
      </c>
      <c r="S208" s="133">
        <f t="shared" si="159"/>
        <v>824.1</v>
      </c>
      <c r="T208" s="134">
        <v>272</v>
      </c>
      <c r="U208" s="130">
        <v>2.44</v>
      </c>
      <c r="V208" s="131">
        <v>1.9800000000000002E-2</v>
      </c>
      <c r="W208" s="131">
        <v>1.9800000000000002E-2</v>
      </c>
      <c r="X208" s="132">
        <v>1.32E-3</v>
      </c>
      <c r="Y208" s="131">
        <v>3.9699999999999999E-2</v>
      </c>
      <c r="Z208" s="29">
        <v>2296.91</v>
      </c>
      <c r="AA208" s="34"/>
      <c r="AB208" s="9">
        <f t="shared" si="133"/>
        <v>2296.91</v>
      </c>
      <c r="AC208" s="9">
        <f t="shared" si="135"/>
        <v>14539.44</v>
      </c>
      <c r="AD208" s="9">
        <v>1.59</v>
      </c>
      <c r="AE208" s="9">
        <v>4.97</v>
      </c>
      <c r="AF208" s="21">
        <f>2.5-AJ208</f>
        <v>2.34</v>
      </c>
      <c r="AG208" s="18">
        <f>0.6-AQ208</f>
        <v>0.54</v>
      </c>
      <c r="AH208" s="9">
        <v>2.77</v>
      </c>
      <c r="AI208" s="43">
        <v>369</v>
      </c>
      <c r="AJ208" s="21">
        <f t="shared" si="137"/>
        <v>0.16</v>
      </c>
      <c r="AK208" s="9">
        <v>1.88</v>
      </c>
      <c r="AL208" s="9">
        <v>0.16</v>
      </c>
      <c r="AM208" s="9">
        <v>0.41</v>
      </c>
      <c r="AN208" s="13"/>
      <c r="AO208" s="13">
        <v>305.89999999999998</v>
      </c>
      <c r="AP208" s="13">
        <f t="shared" si="161"/>
        <v>5.58</v>
      </c>
      <c r="AQ208" s="18">
        <f t="shared" si="136"/>
        <v>0.06</v>
      </c>
      <c r="AR208" s="9">
        <v>0.72</v>
      </c>
      <c r="AS208" s="9">
        <v>0.6</v>
      </c>
      <c r="AT208" s="9">
        <v>7.0000000000000007E-2</v>
      </c>
      <c r="AU208" s="9">
        <v>3.69</v>
      </c>
      <c r="AV208" s="9">
        <v>0.17</v>
      </c>
      <c r="AW208" s="9">
        <f>1.46+0.33+0.33</f>
        <v>2.12</v>
      </c>
      <c r="AX208" s="9">
        <f>2.06+0.44</f>
        <v>2.5</v>
      </c>
      <c r="AY208" s="81">
        <f t="shared" si="162"/>
        <v>24.75</v>
      </c>
      <c r="AZ208" s="82"/>
      <c r="BA208" s="82"/>
      <c r="BB208" s="82"/>
      <c r="BC208" s="82">
        <v>24.75</v>
      </c>
      <c r="BD208" s="13">
        <f t="shared" si="160"/>
        <v>0</v>
      </c>
      <c r="BE208" s="9">
        <f t="shared" si="138"/>
        <v>56848.52</v>
      </c>
      <c r="BF208" s="9">
        <v>24.75</v>
      </c>
      <c r="BG208" s="10">
        <v>44440</v>
      </c>
      <c r="BH208" s="9">
        <f t="shared" si="139"/>
        <v>3652.09</v>
      </c>
      <c r="BI208" s="9">
        <f t="shared" si="140"/>
        <v>11415.64</v>
      </c>
      <c r="BJ208" s="9">
        <f t="shared" si="141"/>
        <v>5374.77</v>
      </c>
      <c r="BK208" s="9">
        <f t="shared" si="142"/>
        <v>1240.33</v>
      </c>
      <c r="BL208" s="9">
        <f t="shared" si="143"/>
        <v>6362.44</v>
      </c>
      <c r="BM208" s="9">
        <f t="shared" si="144"/>
        <v>367.51</v>
      </c>
      <c r="BN208" s="9">
        <f t="shared" si="145"/>
        <v>4318.1899999999996</v>
      </c>
      <c r="BO208" s="9">
        <f t="shared" si="146"/>
        <v>367.51</v>
      </c>
      <c r="BP208" s="9">
        <f t="shared" si="147"/>
        <v>941.73</v>
      </c>
      <c r="BQ208" s="9">
        <f t="shared" si="148"/>
        <v>137.81</v>
      </c>
      <c r="BR208" s="9">
        <f t="shared" si="149"/>
        <v>1653.78</v>
      </c>
      <c r="BS208" s="9">
        <f t="shared" si="150"/>
        <v>1378.15</v>
      </c>
      <c r="BT208" s="9">
        <f t="shared" si="151"/>
        <v>160.78</v>
      </c>
      <c r="BU208" s="9">
        <f t="shared" si="152"/>
        <v>8475.6</v>
      </c>
      <c r="BV208" s="9">
        <f t="shared" si="153"/>
        <v>390.47</v>
      </c>
      <c r="BW208" s="9">
        <f t="shared" si="154"/>
        <v>4869.45</v>
      </c>
      <c r="BX208" s="9">
        <f t="shared" si="155"/>
        <v>5742.28</v>
      </c>
      <c r="BY208" s="17">
        <f t="shared" si="156"/>
        <v>56848.53</v>
      </c>
      <c r="BZ208" s="17">
        <v>4.25</v>
      </c>
      <c r="CA208" s="17">
        <v>0.06</v>
      </c>
      <c r="CB208" s="17">
        <v>0.41</v>
      </c>
      <c r="CC208" s="27">
        <v>7.0000000000000007E-2</v>
      </c>
      <c r="CD208" s="29">
        <v>6.33</v>
      </c>
      <c r="CE208" s="9"/>
      <c r="CF208" s="9"/>
      <c r="CG208" s="9"/>
      <c r="CH208" s="9"/>
      <c r="CI208" s="9"/>
      <c r="CJ208" s="9"/>
      <c r="CK208" s="13"/>
      <c r="CL208" s="13"/>
      <c r="CM208" s="13">
        <v>56848.69</v>
      </c>
      <c r="CN208" s="13">
        <v>757.98</v>
      </c>
      <c r="CO208" s="13">
        <v>0</v>
      </c>
      <c r="CP208" s="13">
        <v>0</v>
      </c>
      <c r="CQ208" s="13">
        <v>68.900000000000006</v>
      </c>
      <c r="CR208" s="13">
        <v>49792.56</v>
      </c>
      <c r="CS208" s="13">
        <v>3752</v>
      </c>
      <c r="CT208" s="13">
        <v>125.55</v>
      </c>
      <c r="CU208" s="13">
        <v>18.38</v>
      </c>
      <c r="CV208" s="13">
        <v>67.36</v>
      </c>
      <c r="CW208" s="202">
        <v>2001</v>
      </c>
      <c r="CX208" s="200">
        <v>1148</v>
      </c>
      <c r="CY208" s="202"/>
      <c r="CZ208" s="202"/>
      <c r="DA208" s="202"/>
      <c r="DB208" s="202"/>
      <c r="DC208" s="202"/>
      <c r="DD208" s="461"/>
      <c r="DE208" s="256"/>
      <c r="DF208" s="202"/>
      <c r="DG208" s="202"/>
      <c r="DH208" s="202"/>
      <c r="DI208" s="204">
        <v>369</v>
      </c>
      <c r="DJ208" s="202">
        <v>4300</v>
      </c>
      <c r="DK208" s="202"/>
      <c r="DL208" s="202"/>
      <c r="DM208" s="202">
        <v>15313</v>
      </c>
      <c r="DN208" s="202">
        <v>2550</v>
      </c>
      <c r="DO208" s="202">
        <v>1.5</v>
      </c>
      <c r="DP208" s="202"/>
      <c r="DQ208" s="202"/>
      <c r="DR208" s="202"/>
      <c r="DS208" s="202"/>
      <c r="DT208" s="254"/>
      <c r="DU208" s="254"/>
      <c r="DV208" s="202"/>
      <c r="DW208" s="202">
        <v>10622</v>
      </c>
      <c r="DX208" s="202"/>
      <c r="DY208" s="107">
        <v>1365</v>
      </c>
      <c r="DZ208" s="107">
        <v>942</v>
      </c>
      <c r="EA208" s="202"/>
      <c r="EB208" s="202"/>
      <c r="EC208" s="202"/>
      <c r="ED208" s="202"/>
      <c r="EE208" s="202"/>
      <c r="EF208" s="229"/>
      <c r="EG208" s="202"/>
      <c r="EH208" s="202"/>
      <c r="EI208" s="202"/>
      <c r="EJ208" s="202"/>
      <c r="EK208" s="202">
        <v>755.2</v>
      </c>
      <c r="EL208" s="202">
        <v>0</v>
      </c>
      <c r="EM208" s="202">
        <v>0</v>
      </c>
      <c r="EN208" s="202">
        <v>76.2</v>
      </c>
      <c r="EO208" s="202">
        <v>755.2</v>
      </c>
      <c r="EP208" s="202"/>
      <c r="EQ208" s="202">
        <v>0</v>
      </c>
      <c r="ER208" s="202">
        <v>76.2</v>
      </c>
      <c r="ES208" s="202"/>
      <c r="ET208" s="202"/>
      <c r="EU208" s="202"/>
      <c r="EV208" s="214">
        <v>-3.26</v>
      </c>
      <c r="EW208" s="240">
        <f t="shared" si="157"/>
        <v>5023.71</v>
      </c>
      <c r="EX208" s="209">
        <f t="shared" si="158"/>
        <v>3269.7</v>
      </c>
    </row>
    <row r="209" spans="1:154" ht="12.75" customHeight="1" x14ac:dyDescent="0.2">
      <c r="A209" s="45" t="s">
        <v>297</v>
      </c>
      <c r="B209" s="78" t="s">
        <v>221</v>
      </c>
      <c r="C209" s="79" t="s">
        <v>137</v>
      </c>
      <c r="D209" s="80" t="s">
        <v>653</v>
      </c>
      <c r="E209" s="79"/>
      <c r="F209" s="11">
        <v>9</v>
      </c>
      <c r="G209" s="11">
        <v>1</v>
      </c>
      <c r="H209" s="11">
        <v>54</v>
      </c>
      <c r="I209" s="11">
        <v>54</v>
      </c>
      <c r="J209" s="11">
        <v>104</v>
      </c>
      <c r="K209" s="11">
        <v>115</v>
      </c>
      <c r="L209" s="11">
        <v>1</v>
      </c>
      <c r="M209" s="84">
        <v>267</v>
      </c>
      <c r="N209" s="84">
        <v>384</v>
      </c>
      <c r="O209" s="84">
        <v>384</v>
      </c>
      <c r="P209" s="135">
        <v>267.2</v>
      </c>
      <c r="Q209" s="135">
        <v>258.10000000000002</v>
      </c>
      <c r="R209" s="133">
        <v>258.10000000000002</v>
      </c>
      <c r="S209" s="133">
        <f t="shared" si="159"/>
        <v>783.4</v>
      </c>
      <c r="T209" s="134">
        <v>267</v>
      </c>
      <c r="U209" s="130">
        <v>2.44</v>
      </c>
      <c r="V209" s="131">
        <v>1.9800000000000002E-2</v>
      </c>
      <c r="W209" s="131">
        <v>1.9800000000000002E-2</v>
      </c>
      <c r="X209" s="132">
        <v>1.32E-3</v>
      </c>
      <c r="Y209" s="131">
        <v>3.9699999999999999E-2</v>
      </c>
      <c r="Z209" s="29">
        <v>2299.2800000000002</v>
      </c>
      <c r="AA209" s="34"/>
      <c r="AB209" s="9">
        <f t="shared" si="133"/>
        <v>2299.2800000000002</v>
      </c>
      <c r="AC209" s="9">
        <f t="shared" si="135"/>
        <v>14554.44</v>
      </c>
      <c r="AD209" s="9">
        <v>1.6</v>
      </c>
      <c r="AE209" s="9">
        <v>4.1500000000000004</v>
      </c>
      <c r="AF209" s="21">
        <f>2.49-AJ209</f>
        <v>2.33</v>
      </c>
      <c r="AG209" s="18">
        <f>0.6-AQ209</f>
        <v>0.54</v>
      </c>
      <c r="AH209" s="9">
        <v>2.77</v>
      </c>
      <c r="AI209" s="43">
        <v>369</v>
      </c>
      <c r="AJ209" s="21">
        <f t="shared" si="137"/>
        <v>0.16</v>
      </c>
      <c r="AK209" s="9">
        <v>1.87</v>
      </c>
      <c r="AL209" s="9">
        <v>0.51</v>
      </c>
      <c r="AM209" s="9">
        <v>0.41</v>
      </c>
      <c r="AN209" s="13"/>
      <c r="AO209" s="13">
        <v>305.89999999999998</v>
      </c>
      <c r="AP209" s="13">
        <f t="shared" si="161"/>
        <v>5.58</v>
      </c>
      <c r="AQ209" s="18">
        <f t="shared" si="136"/>
        <v>0.06</v>
      </c>
      <c r="AR209" s="9">
        <v>0.72</v>
      </c>
      <c r="AS209" s="9">
        <v>0.59</v>
      </c>
      <c r="AT209" s="9">
        <v>7.0000000000000007E-2</v>
      </c>
      <c r="AU209" s="9">
        <v>4.12</v>
      </c>
      <c r="AV209" s="9">
        <v>0.17</v>
      </c>
      <c r="AW209" s="9">
        <f>1.42+0.33+0.36</f>
        <v>2.11</v>
      </c>
      <c r="AX209" s="9">
        <f>2.02+0.51</f>
        <v>2.5299999999999998</v>
      </c>
      <c r="AY209" s="81">
        <f t="shared" si="162"/>
        <v>24.71</v>
      </c>
      <c r="AZ209" s="82"/>
      <c r="BA209" s="82"/>
      <c r="BB209" s="82"/>
      <c r="BC209" s="82">
        <v>24.71</v>
      </c>
      <c r="BD209" s="13">
        <f t="shared" si="160"/>
        <v>0</v>
      </c>
      <c r="BE209" s="9">
        <f t="shared" si="138"/>
        <v>56815.21</v>
      </c>
      <c r="BF209" s="9">
        <v>24.71</v>
      </c>
      <c r="BG209" s="10">
        <v>44440</v>
      </c>
      <c r="BH209" s="9">
        <f t="shared" si="139"/>
        <v>3678.85</v>
      </c>
      <c r="BI209" s="9">
        <f t="shared" si="140"/>
        <v>9542.01</v>
      </c>
      <c r="BJ209" s="9">
        <f t="shared" si="141"/>
        <v>5357.32</v>
      </c>
      <c r="BK209" s="9">
        <f t="shared" si="142"/>
        <v>1241.6099999999999</v>
      </c>
      <c r="BL209" s="9">
        <f t="shared" si="143"/>
        <v>6369.01</v>
      </c>
      <c r="BM209" s="9">
        <f t="shared" si="144"/>
        <v>367.88</v>
      </c>
      <c r="BN209" s="9">
        <f t="shared" si="145"/>
        <v>4299.6499999999996</v>
      </c>
      <c r="BO209" s="9">
        <f t="shared" si="146"/>
        <v>1172.6300000000001</v>
      </c>
      <c r="BP209" s="9">
        <f t="shared" si="147"/>
        <v>942.7</v>
      </c>
      <c r="BQ209" s="9">
        <f t="shared" si="148"/>
        <v>137.96</v>
      </c>
      <c r="BR209" s="9">
        <f t="shared" si="149"/>
        <v>1655.48</v>
      </c>
      <c r="BS209" s="9">
        <f t="shared" si="150"/>
        <v>1356.58</v>
      </c>
      <c r="BT209" s="9">
        <f t="shared" si="151"/>
        <v>160.94999999999999</v>
      </c>
      <c r="BU209" s="9">
        <f t="shared" si="152"/>
        <v>9473.0300000000007</v>
      </c>
      <c r="BV209" s="9">
        <f t="shared" si="153"/>
        <v>390.88</v>
      </c>
      <c r="BW209" s="9">
        <f t="shared" si="154"/>
        <v>4851.4799999999996</v>
      </c>
      <c r="BX209" s="9">
        <f t="shared" si="155"/>
        <v>5817.18</v>
      </c>
      <c r="BY209" s="17">
        <f t="shared" si="156"/>
        <v>56815.199999999997</v>
      </c>
      <c r="BZ209" s="17">
        <v>4.05</v>
      </c>
      <c r="CA209" s="17">
        <v>0.06</v>
      </c>
      <c r="CB209" s="17">
        <v>0.39</v>
      </c>
      <c r="CC209" s="27">
        <v>7.0000000000000007E-2</v>
      </c>
      <c r="CD209" s="29">
        <v>6.33</v>
      </c>
      <c r="CE209" s="9"/>
      <c r="CF209" s="9"/>
      <c r="CG209" s="9"/>
      <c r="CH209" s="9"/>
      <c r="CI209" s="9"/>
      <c r="CJ209" s="9"/>
      <c r="CK209" s="13"/>
      <c r="CL209" s="13"/>
      <c r="CM209" s="13">
        <v>56815.23</v>
      </c>
      <c r="CN209" s="13">
        <v>2092.3200000000002</v>
      </c>
      <c r="CO209" s="13">
        <v>0</v>
      </c>
      <c r="CP209" s="13">
        <v>0</v>
      </c>
      <c r="CQ209" s="13">
        <v>68.94</v>
      </c>
      <c r="CR209" s="13">
        <v>50918.46</v>
      </c>
      <c r="CS209" s="13">
        <v>2281.17</v>
      </c>
      <c r="CT209" s="13">
        <v>154</v>
      </c>
      <c r="CU209" s="13">
        <v>48.7</v>
      </c>
      <c r="CV209" s="13">
        <v>90.53</v>
      </c>
      <c r="CW209" s="202">
        <v>2003</v>
      </c>
      <c r="CX209" s="200">
        <v>1149</v>
      </c>
      <c r="CY209" s="202"/>
      <c r="CZ209" s="202"/>
      <c r="DA209" s="202"/>
      <c r="DB209" s="202"/>
      <c r="DC209" s="202"/>
      <c r="DD209" s="461"/>
      <c r="DE209" s="256"/>
      <c r="DF209" s="202"/>
      <c r="DG209" s="202"/>
      <c r="DH209" s="202"/>
      <c r="DI209" s="204">
        <v>369</v>
      </c>
      <c r="DJ209" s="202">
        <v>4300</v>
      </c>
      <c r="DK209" s="202"/>
      <c r="DL209" s="202"/>
      <c r="DM209" s="202">
        <v>13461</v>
      </c>
      <c r="DN209" s="202">
        <v>2550</v>
      </c>
      <c r="DO209" s="202">
        <v>1.5</v>
      </c>
      <c r="DP209" s="202"/>
      <c r="DQ209" s="202"/>
      <c r="DR209" s="202"/>
      <c r="DS209" s="202"/>
      <c r="DT209" s="254"/>
      <c r="DU209" s="254"/>
      <c r="DV209" s="202"/>
      <c r="DW209" s="202">
        <v>10619</v>
      </c>
      <c r="DX209" s="202"/>
      <c r="DY209" s="107">
        <v>1365</v>
      </c>
      <c r="DZ209" s="107">
        <v>942</v>
      </c>
      <c r="EA209" s="202"/>
      <c r="EB209" s="202"/>
      <c r="EC209" s="202"/>
      <c r="ED209" s="202"/>
      <c r="EE209" s="202"/>
      <c r="EF209" s="229"/>
      <c r="EG209" s="202"/>
      <c r="EH209" s="202"/>
      <c r="EI209" s="202"/>
      <c r="EJ209" s="202"/>
      <c r="EK209" s="202">
        <v>2100.3000000000002</v>
      </c>
      <c r="EL209" s="202">
        <v>0</v>
      </c>
      <c r="EM209" s="202">
        <v>0</v>
      </c>
      <c r="EN209" s="202">
        <v>74.790000000000006</v>
      </c>
      <c r="EO209" s="202">
        <v>2100.3000000000002</v>
      </c>
      <c r="EP209" s="202"/>
      <c r="EQ209" s="202">
        <v>0</v>
      </c>
      <c r="ER209" s="202">
        <v>74.790000000000006</v>
      </c>
      <c r="ES209" s="202"/>
      <c r="ET209" s="202"/>
      <c r="EU209" s="202"/>
      <c r="EV209" s="214">
        <v>-3.17</v>
      </c>
      <c r="EW209" s="240">
        <f t="shared" si="157"/>
        <v>5028.8900000000003</v>
      </c>
      <c r="EX209" s="209">
        <f t="shared" si="158"/>
        <v>3273.07</v>
      </c>
    </row>
    <row r="210" spans="1:154" ht="12.75" customHeight="1" x14ac:dyDescent="0.2">
      <c r="A210" s="45" t="s">
        <v>298</v>
      </c>
      <c r="B210" s="113" t="s">
        <v>221</v>
      </c>
      <c r="C210" s="114" t="s">
        <v>142</v>
      </c>
      <c r="D210" s="115" t="s">
        <v>494</v>
      </c>
      <c r="E210" s="114" t="s">
        <v>12</v>
      </c>
      <c r="F210" s="11">
        <v>5</v>
      </c>
      <c r="G210" s="11">
        <v>6</v>
      </c>
      <c r="H210" s="11">
        <v>90</v>
      </c>
      <c r="I210" s="11">
        <v>90</v>
      </c>
      <c r="J210" s="11">
        <v>180</v>
      </c>
      <c r="K210" s="11">
        <v>194</v>
      </c>
      <c r="L210" s="11" t="s">
        <v>746</v>
      </c>
      <c r="M210" s="84">
        <v>414</v>
      </c>
      <c r="N210" s="84">
        <v>1006</v>
      </c>
      <c r="O210" s="84">
        <v>0</v>
      </c>
      <c r="P210" s="135">
        <v>414</v>
      </c>
      <c r="Q210" s="135">
        <v>1005.8</v>
      </c>
      <c r="R210" s="135">
        <v>0</v>
      </c>
      <c r="S210" s="133">
        <f t="shared" si="159"/>
        <v>1419.8</v>
      </c>
      <c r="T210" s="135">
        <v>414</v>
      </c>
      <c r="U210" s="130">
        <v>1.53</v>
      </c>
      <c r="V210" s="91">
        <v>1.9800000000000002E-2</v>
      </c>
      <c r="W210" s="91">
        <v>1.9800000000000002E-2</v>
      </c>
      <c r="X210" s="132">
        <v>1.2199999999999999E-3</v>
      </c>
      <c r="Y210" s="91">
        <v>3.95E-2</v>
      </c>
      <c r="Z210" s="29">
        <v>3993.3</v>
      </c>
      <c r="AA210" s="34"/>
      <c r="AB210" s="9">
        <f t="shared" si="133"/>
        <v>3993.3</v>
      </c>
      <c r="AC210" s="9">
        <f t="shared" si="135"/>
        <v>25277.59</v>
      </c>
      <c r="AD210" s="9">
        <v>0.52</v>
      </c>
      <c r="AE210" s="9">
        <v>5.05</v>
      </c>
      <c r="AF210" s="21">
        <f>2.49-AJ210</f>
        <v>2.25</v>
      </c>
      <c r="AG210" s="18">
        <f>0.56-AQ210</f>
        <v>0.45</v>
      </c>
      <c r="AH210" s="9">
        <v>2.78</v>
      </c>
      <c r="AI210" s="43">
        <v>966</v>
      </c>
      <c r="AJ210" s="21">
        <f t="shared" si="137"/>
        <v>0.24</v>
      </c>
      <c r="AK210" s="9">
        <v>0</v>
      </c>
      <c r="AL210" s="9">
        <v>0</v>
      </c>
      <c r="AM210" s="9">
        <v>0.14000000000000001</v>
      </c>
      <c r="AN210" s="13"/>
      <c r="AO210" s="13">
        <v>901.8</v>
      </c>
      <c r="AP210" s="13">
        <f t="shared" si="161"/>
        <v>5.58</v>
      </c>
      <c r="AQ210" s="18">
        <f t="shared" si="136"/>
        <v>0.11</v>
      </c>
      <c r="AR210" s="9">
        <v>0.79</v>
      </c>
      <c r="AS210" s="9">
        <v>0.34</v>
      </c>
      <c r="AT210" s="9">
        <v>7.0000000000000007E-2</v>
      </c>
      <c r="AU210" s="9">
        <v>3.51</v>
      </c>
      <c r="AV210" s="9">
        <v>0.13</v>
      </c>
      <c r="AW210" s="9">
        <f>1.14+0.32+0.31</f>
        <v>1.77</v>
      </c>
      <c r="AX210" s="9">
        <f>1.56+0.42</f>
        <v>1.98</v>
      </c>
      <c r="AY210" s="110">
        <f t="shared" si="162"/>
        <v>20.13</v>
      </c>
      <c r="AZ210" s="111">
        <v>3982.2</v>
      </c>
      <c r="BA210" s="111">
        <v>0</v>
      </c>
      <c r="BB210" s="111">
        <f t="shared" si="134"/>
        <v>3982.2</v>
      </c>
      <c r="BC210" s="111">
        <v>20.13</v>
      </c>
      <c r="BD210" s="13">
        <f t="shared" si="160"/>
        <v>0</v>
      </c>
      <c r="BE210" s="9">
        <f t="shared" si="138"/>
        <v>80385.13</v>
      </c>
      <c r="BF210" s="9">
        <v>20.13</v>
      </c>
      <c r="BG210" s="10">
        <v>44409</v>
      </c>
      <c r="BH210" s="9">
        <f t="shared" si="139"/>
        <v>2076.52</v>
      </c>
      <c r="BI210" s="9">
        <f t="shared" si="140"/>
        <v>20166.169999999998</v>
      </c>
      <c r="BJ210" s="9">
        <f t="shared" si="141"/>
        <v>8984.93</v>
      </c>
      <c r="BK210" s="9">
        <f t="shared" si="142"/>
        <v>1796.99</v>
      </c>
      <c r="BL210" s="9">
        <f t="shared" si="143"/>
        <v>11101.37</v>
      </c>
      <c r="BM210" s="9">
        <f t="shared" si="144"/>
        <v>958.39</v>
      </c>
      <c r="BN210" s="9">
        <f t="shared" si="145"/>
        <v>0</v>
      </c>
      <c r="BO210" s="9">
        <f t="shared" si="146"/>
        <v>0</v>
      </c>
      <c r="BP210" s="9">
        <f t="shared" si="147"/>
        <v>559.05999999999995</v>
      </c>
      <c r="BQ210" s="9">
        <f t="shared" si="148"/>
        <v>439.26</v>
      </c>
      <c r="BR210" s="9">
        <f t="shared" si="149"/>
        <v>3154.71</v>
      </c>
      <c r="BS210" s="9">
        <f t="shared" si="150"/>
        <v>1357.72</v>
      </c>
      <c r="BT210" s="9">
        <f t="shared" si="151"/>
        <v>279.52999999999997</v>
      </c>
      <c r="BU210" s="9">
        <f t="shared" si="152"/>
        <v>14016.48</v>
      </c>
      <c r="BV210" s="9">
        <f t="shared" si="153"/>
        <v>519.13</v>
      </c>
      <c r="BW210" s="9">
        <f t="shared" si="154"/>
        <v>7068.14</v>
      </c>
      <c r="BX210" s="9">
        <f t="shared" si="155"/>
        <v>7906.73</v>
      </c>
      <c r="BY210" s="17">
        <f t="shared" si="156"/>
        <v>80385.13</v>
      </c>
      <c r="BZ210" s="17">
        <v>2.09</v>
      </c>
      <c r="CA210" s="17">
        <v>0.06</v>
      </c>
      <c r="CB210" s="17">
        <v>0.33</v>
      </c>
      <c r="CC210" s="27">
        <v>0.06</v>
      </c>
      <c r="CD210" s="29">
        <v>6.33</v>
      </c>
      <c r="CE210" s="9">
        <v>6442.63</v>
      </c>
      <c r="CF210" s="9"/>
      <c r="CG210" s="9">
        <v>11944.61</v>
      </c>
      <c r="CH210" s="9">
        <v>6369.39</v>
      </c>
      <c r="CI210" s="9">
        <f>IF(CE210&gt;0,CE210/AB210,0)</f>
        <v>1.61</v>
      </c>
      <c r="CJ210" s="9">
        <f>IF(CF210&gt;0,CF210/AB210,0)</f>
        <v>0</v>
      </c>
      <c r="CK210" s="13">
        <f>IF(CG210&gt;0,CG210/AB210,0)</f>
        <v>2.99</v>
      </c>
      <c r="CL210" s="13">
        <f>IF(CH210&gt;0,CH210/AB210,0)</f>
        <v>1.6</v>
      </c>
      <c r="CM210" s="13">
        <v>80385.2</v>
      </c>
      <c r="CN210" s="13">
        <v>2915.07</v>
      </c>
      <c r="CO210" s="13">
        <v>0</v>
      </c>
      <c r="CP210" s="13">
        <v>6788.61</v>
      </c>
      <c r="CQ210" s="13">
        <v>3673.83</v>
      </c>
      <c r="CR210" s="13">
        <v>80232.78</v>
      </c>
      <c r="CS210" s="13">
        <v>7015.61</v>
      </c>
      <c r="CT210" s="13">
        <v>321.27</v>
      </c>
      <c r="CU210" s="13">
        <v>3722.27</v>
      </c>
      <c r="CV210" s="13">
        <v>2065.04</v>
      </c>
      <c r="CW210" s="202">
        <v>3464</v>
      </c>
      <c r="CX210" s="200">
        <v>1987</v>
      </c>
      <c r="CY210" s="202"/>
      <c r="CZ210" s="202"/>
      <c r="DA210" s="202"/>
      <c r="DB210" s="202"/>
      <c r="DC210" s="202"/>
      <c r="DD210" s="461"/>
      <c r="DE210" s="256"/>
      <c r="DF210" s="202"/>
      <c r="DG210" s="202"/>
      <c r="DH210" s="202"/>
      <c r="DI210" s="204">
        <v>966</v>
      </c>
      <c r="DJ210" s="202"/>
      <c r="DK210" s="202"/>
      <c r="DL210" s="202"/>
      <c r="DM210" s="202">
        <v>22615</v>
      </c>
      <c r="DN210" s="202">
        <v>2550</v>
      </c>
      <c r="DO210" s="202">
        <v>1.5</v>
      </c>
      <c r="DP210" s="202"/>
      <c r="DQ210" s="202"/>
      <c r="DR210" s="202"/>
      <c r="DS210" s="202">
        <v>8830</v>
      </c>
      <c r="DT210" s="254">
        <v>310</v>
      </c>
      <c r="DU210" s="254">
        <v>108</v>
      </c>
      <c r="DV210" s="202"/>
      <c r="DW210" s="202">
        <v>18382</v>
      </c>
      <c r="DX210" s="202"/>
      <c r="DY210" s="107">
        <v>1365</v>
      </c>
      <c r="DZ210" s="107"/>
      <c r="EA210" s="202"/>
      <c r="EB210" s="202"/>
      <c r="EC210" s="202"/>
      <c r="ED210" s="202"/>
      <c r="EE210" s="202"/>
      <c r="EF210" s="229"/>
      <c r="EG210" s="202"/>
      <c r="EH210" s="202"/>
      <c r="EI210" s="202"/>
      <c r="EJ210" s="202"/>
      <c r="EK210" s="202">
        <v>2918.65</v>
      </c>
      <c r="EL210" s="202">
        <v>0</v>
      </c>
      <c r="EM210" s="202">
        <v>6783.02</v>
      </c>
      <c r="EN210" s="202">
        <v>3667.12</v>
      </c>
      <c r="EO210" s="202">
        <v>2918.65</v>
      </c>
      <c r="EP210" s="202"/>
      <c r="EQ210" s="202">
        <v>6783.02</v>
      </c>
      <c r="ER210" s="202">
        <v>3667.12</v>
      </c>
      <c r="ES210" s="202"/>
      <c r="ET210" s="202"/>
      <c r="EU210" s="202"/>
      <c r="EV210" s="214">
        <v>-6.01</v>
      </c>
      <c r="EW210" s="240">
        <f t="shared" si="157"/>
        <v>8733.99</v>
      </c>
      <c r="EX210" s="209">
        <f t="shared" si="158"/>
        <v>5684.54</v>
      </c>
    </row>
    <row r="211" spans="1:154" ht="12.75" customHeight="1" x14ac:dyDescent="0.2">
      <c r="A211" s="45" t="s">
        <v>300</v>
      </c>
      <c r="B211" s="113" t="s">
        <v>221</v>
      </c>
      <c r="C211" s="114" t="s">
        <v>735</v>
      </c>
      <c r="D211" s="115" t="s">
        <v>654</v>
      </c>
      <c r="E211" s="114"/>
      <c r="F211" s="11">
        <v>5</v>
      </c>
      <c r="G211" s="11">
        <v>6</v>
      </c>
      <c r="H211" s="11">
        <v>120</v>
      </c>
      <c r="I211" s="11">
        <v>121</v>
      </c>
      <c r="J211" s="11">
        <v>237</v>
      </c>
      <c r="K211" s="11">
        <v>308</v>
      </c>
      <c r="L211" s="11" t="s">
        <v>746</v>
      </c>
      <c r="M211" s="84">
        <v>455</v>
      </c>
      <c r="N211" s="84">
        <v>1505</v>
      </c>
      <c r="O211" s="84">
        <v>0</v>
      </c>
      <c r="P211" s="139">
        <v>451.5</v>
      </c>
      <c r="Q211" s="135">
        <v>920.6</v>
      </c>
      <c r="R211" s="133">
        <v>0</v>
      </c>
      <c r="S211" s="133">
        <f t="shared" si="159"/>
        <v>1372.1</v>
      </c>
      <c r="T211" s="139">
        <v>455</v>
      </c>
      <c r="U211" s="130">
        <v>1.53</v>
      </c>
      <c r="V211" s="131">
        <v>1.9800000000000002E-2</v>
      </c>
      <c r="W211" s="131">
        <v>1.9800000000000002E-2</v>
      </c>
      <c r="X211" s="132">
        <v>1.2199999999999999E-3</v>
      </c>
      <c r="Y211" s="131">
        <v>3.95E-2</v>
      </c>
      <c r="Z211" s="29">
        <v>5419.57</v>
      </c>
      <c r="AA211" s="34">
        <v>353</v>
      </c>
      <c r="AB211" s="9">
        <f t="shared" si="133"/>
        <v>5772.57</v>
      </c>
      <c r="AC211" s="9">
        <f t="shared" si="135"/>
        <v>36540.370000000003</v>
      </c>
      <c r="AD211" s="9">
        <v>0.39</v>
      </c>
      <c r="AE211" s="9">
        <v>4.04</v>
      </c>
      <c r="AF211" s="21">
        <f>2.42-AJ211</f>
        <v>2.17</v>
      </c>
      <c r="AG211" s="18">
        <f>0.53-AQ211</f>
        <v>0.43</v>
      </c>
      <c r="AH211" s="9">
        <v>2.78</v>
      </c>
      <c r="AI211" s="43">
        <v>1444</v>
      </c>
      <c r="AJ211" s="21">
        <f t="shared" si="137"/>
        <v>0.25</v>
      </c>
      <c r="AK211" s="9">
        <v>0</v>
      </c>
      <c r="AL211" s="9">
        <v>0</v>
      </c>
      <c r="AM211" s="9">
        <v>0.1</v>
      </c>
      <c r="AN211" s="13"/>
      <c r="AO211" s="13">
        <v>1260</v>
      </c>
      <c r="AP211" s="13">
        <f t="shared" si="161"/>
        <v>5.58</v>
      </c>
      <c r="AQ211" s="18">
        <f t="shared" si="136"/>
        <v>0.1</v>
      </c>
      <c r="AR211" s="9">
        <v>0.72</v>
      </c>
      <c r="AS211" s="9">
        <v>0.71</v>
      </c>
      <c r="AT211" s="9">
        <v>7.0000000000000007E-2</v>
      </c>
      <c r="AU211" s="9">
        <v>4.54</v>
      </c>
      <c r="AV211" s="9">
        <v>0.12</v>
      </c>
      <c r="AW211" s="9">
        <f>1.05+0.3+0.4</f>
        <v>1.75</v>
      </c>
      <c r="AX211" s="9">
        <f>1.45+0.53</f>
        <v>1.98</v>
      </c>
      <c r="AY211" s="110">
        <f t="shared" si="162"/>
        <v>20.149999999999999</v>
      </c>
      <c r="AZ211" s="111"/>
      <c r="BA211" s="111"/>
      <c r="BB211" s="111"/>
      <c r="BC211" s="111">
        <v>20.149999999999999</v>
      </c>
      <c r="BD211" s="13">
        <f t="shared" si="160"/>
        <v>0</v>
      </c>
      <c r="BE211" s="9">
        <f t="shared" si="138"/>
        <v>116317.29</v>
      </c>
      <c r="BF211" s="9">
        <v>20.149999999999999</v>
      </c>
      <c r="BG211" s="10">
        <v>44440</v>
      </c>
      <c r="BH211" s="9">
        <f t="shared" si="139"/>
        <v>2251.3000000000002</v>
      </c>
      <c r="BI211" s="9">
        <f t="shared" si="140"/>
        <v>23321.18</v>
      </c>
      <c r="BJ211" s="9">
        <f t="shared" si="141"/>
        <v>12526.48</v>
      </c>
      <c r="BK211" s="9">
        <f t="shared" si="142"/>
        <v>2482.21</v>
      </c>
      <c r="BL211" s="9">
        <f t="shared" si="143"/>
        <v>16047.74</v>
      </c>
      <c r="BM211" s="9">
        <f t="shared" si="144"/>
        <v>1443.14</v>
      </c>
      <c r="BN211" s="9">
        <f t="shared" si="145"/>
        <v>0</v>
      </c>
      <c r="BO211" s="9">
        <f t="shared" si="146"/>
        <v>0</v>
      </c>
      <c r="BP211" s="9">
        <f t="shared" si="147"/>
        <v>577.26</v>
      </c>
      <c r="BQ211" s="9">
        <f t="shared" si="148"/>
        <v>577.26</v>
      </c>
      <c r="BR211" s="9">
        <f t="shared" si="149"/>
        <v>4156.25</v>
      </c>
      <c r="BS211" s="9">
        <f t="shared" si="150"/>
        <v>4098.5200000000004</v>
      </c>
      <c r="BT211" s="9">
        <f t="shared" si="151"/>
        <v>404.08</v>
      </c>
      <c r="BU211" s="9">
        <f t="shared" si="152"/>
        <v>26207.47</v>
      </c>
      <c r="BV211" s="9">
        <f t="shared" si="153"/>
        <v>692.71</v>
      </c>
      <c r="BW211" s="9">
        <f t="shared" si="154"/>
        <v>10102</v>
      </c>
      <c r="BX211" s="9">
        <f t="shared" si="155"/>
        <v>11429.69</v>
      </c>
      <c r="BY211" s="17">
        <f t="shared" si="156"/>
        <v>116317.29</v>
      </c>
      <c r="BZ211" s="17">
        <v>2</v>
      </c>
      <c r="CA211" s="17">
        <v>0.04</v>
      </c>
      <c r="CB211" s="17">
        <v>0.25</v>
      </c>
      <c r="CC211" s="27">
        <v>0.04</v>
      </c>
      <c r="CD211" s="29">
        <v>6.33</v>
      </c>
      <c r="CE211" s="9"/>
      <c r="CF211" s="9"/>
      <c r="CG211" s="9"/>
      <c r="CH211" s="9"/>
      <c r="CI211" s="9"/>
      <c r="CJ211" s="9"/>
      <c r="CK211" s="13"/>
      <c r="CL211" s="13"/>
      <c r="CM211" s="13">
        <v>109204.59</v>
      </c>
      <c r="CN211" s="13">
        <v>0</v>
      </c>
      <c r="CO211" s="13">
        <v>0</v>
      </c>
      <c r="CP211" s="13">
        <v>4985.96</v>
      </c>
      <c r="CQ211" s="13">
        <v>2709.81</v>
      </c>
      <c r="CR211" s="13">
        <v>100602.6</v>
      </c>
      <c r="CS211" s="13">
        <v>2147.1</v>
      </c>
      <c r="CT211" s="13">
        <v>268.45</v>
      </c>
      <c r="CU211" s="13">
        <v>4480.3900000000003</v>
      </c>
      <c r="CV211" s="13">
        <v>2442.39</v>
      </c>
      <c r="CW211" s="202">
        <v>5027</v>
      </c>
      <c r="CX211" s="200">
        <v>2884</v>
      </c>
      <c r="CY211" s="202"/>
      <c r="CZ211" s="202"/>
      <c r="DA211" s="202"/>
      <c r="DB211" s="202"/>
      <c r="DC211" s="202"/>
      <c r="DD211" s="461"/>
      <c r="DE211" s="256"/>
      <c r="DF211" s="202"/>
      <c r="DG211" s="202"/>
      <c r="DH211" s="202"/>
      <c r="DI211" s="204">
        <v>1444</v>
      </c>
      <c r="DJ211" s="202"/>
      <c r="DK211" s="202"/>
      <c r="DL211" s="202"/>
      <c r="DM211" s="202">
        <v>26174</v>
      </c>
      <c r="DN211" s="202">
        <v>2550</v>
      </c>
      <c r="DO211" s="202">
        <v>1.5</v>
      </c>
      <c r="DP211" s="202"/>
      <c r="DQ211" s="202"/>
      <c r="DR211" s="202"/>
      <c r="DS211" s="202">
        <v>12865</v>
      </c>
      <c r="DT211" s="254">
        <v>453</v>
      </c>
      <c r="DU211" s="254">
        <v>154</v>
      </c>
      <c r="DV211" s="202"/>
      <c r="DW211" s="202">
        <v>26255</v>
      </c>
      <c r="DX211" s="202"/>
      <c r="DY211" s="107">
        <v>4095</v>
      </c>
      <c r="DZ211" s="107"/>
      <c r="EA211" s="202"/>
      <c r="EB211" s="202"/>
      <c r="EC211" s="202"/>
      <c r="ED211" s="202"/>
      <c r="EE211" s="202"/>
      <c r="EF211" s="229"/>
      <c r="EG211" s="202"/>
      <c r="EH211" s="202"/>
      <c r="EI211" s="202"/>
      <c r="EJ211" s="202"/>
      <c r="EK211" s="202">
        <v>0</v>
      </c>
      <c r="EL211" s="202">
        <v>0</v>
      </c>
      <c r="EM211" s="202">
        <v>5323.73</v>
      </c>
      <c r="EN211" s="202">
        <v>2914.62</v>
      </c>
      <c r="EO211" s="202">
        <v>0</v>
      </c>
      <c r="EP211" s="202"/>
      <c r="EQ211" s="202">
        <v>5323.73</v>
      </c>
      <c r="ER211" s="202">
        <v>2914.62</v>
      </c>
      <c r="ES211" s="202"/>
      <c r="ET211" s="202"/>
      <c r="EU211" s="202"/>
      <c r="EV211" s="214">
        <v>189.18</v>
      </c>
      <c r="EW211" s="240">
        <f t="shared" si="157"/>
        <v>12625.53</v>
      </c>
      <c r="EX211" s="209">
        <f t="shared" si="158"/>
        <v>8217.3700000000008</v>
      </c>
    </row>
    <row r="212" spans="1:154" ht="12.75" customHeight="1" x14ac:dyDescent="0.2">
      <c r="A212" s="45" t="s">
        <v>301</v>
      </c>
      <c r="B212" s="78" t="s">
        <v>221</v>
      </c>
      <c r="C212" s="79" t="s">
        <v>267</v>
      </c>
      <c r="D212" s="80" t="s">
        <v>495</v>
      </c>
      <c r="E212" s="79" t="s">
        <v>12</v>
      </c>
      <c r="F212" s="11">
        <v>9</v>
      </c>
      <c r="G212" s="11">
        <v>1</v>
      </c>
      <c r="H212" s="11">
        <v>54</v>
      </c>
      <c r="I212" s="11">
        <v>52</v>
      </c>
      <c r="J212" s="11">
        <v>108</v>
      </c>
      <c r="K212" s="11">
        <v>119</v>
      </c>
      <c r="L212" s="11">
        <v>1</v>
      </c>
      <c r="M212" s="84">
        <v>266</v>
      </c>
      <c r="N212" s="84">
        <v>369</v>
      </c>
      <c r="O212" s="84">
        <v>369</v>
      </c>
      <c r="P212" s="139">
        <v>266</v>
      </c>
      <c r="Q212" s="139">
        <v>369</v>
      </c>
      <c r="R212" s="133">
        <v>382.8</v>
      </c>
      <c r="S212" s="133">
        <f t="shared" si="159"/>
        <v>1017.8</v>
      </c>
      <c r="T212" s="139">
        <v>266</v>
      </c>
      <c r="U212" s="130">
        <v>2.44</v>
      </c>
      <c r="V212" s="91">
        <v>1.9800000000000002E-2</v>
      </c>
      <c r="W212" s="91">
        <v>1.9800000000000002E-2</v>
      </c>
      <c r="X212" s="132">
        <v>1.32E-3</v>
      </c>
      <c r="Y212" s="91">
        <v>3.9699999999999999E-2</v>
      </c>
      <c r="Z212" s="29">
        <v>2143.9</v>
      </c>
      <c r="AA212" s="34">
        <v>119.7</v>
      </c>
      <c r="AB212" s="9">
        <f t="shared" si="133"/>
        <v>2263.6</v>
      </c>
      <c r="AC212" s="9">
        <f t="shared" si="135"/>
        <v>14328.59</v>
      </c>
      <c r="AD212" s="9">
        <v>1.57</v>
      </c>
      <c r="AE212" s="9">
        <v>3.69</v>
      </c>
      <c r="AF212" s="21">
        <f>2.4-AJ212</f>
        <v>2.2400000000000002</v>
      </c>
      <c r="AG212" s="18">
        <f>0.61-AQ212</f>
        <v>0.55000000000000004</v>
      </c>
      <c r="AH212" s="9">
        <v>2.77</v>
      </c>
      <c r="AI212" s="43">
        <v>354</v>
      </c>
      <c r="AJ212" s="21">
        <f t="shared" si="137"/>
        <v>0.16</v>
      </c>
      <c r="AK212" s="9">
        <v>1.91</v>
      </c>
      <c r="AL212" s="9">
        <v>0.17</v>
      </c>
      <c r="AM212" s="9">
        <v>0.42</v>
      </c>
      <c r="AN212" s="13"/>
      <c r="AO212" s="13">
        <v>305.89999999999998</v>
      </c>
      <c r="AP212" s="13">
        <f t="shared" si="161"/>
        <v>5.58</v>
      </c>
      <c r="AQ212" s="18">
        <f t="shared" si="136"/>
        <v>0.06</v>
      </c>
      <c r="AR212" s="9">
        <v>0.73</v>
      </c>
      <c r="AS212" s="9">
        <v>0.61</v>
      </c>
      <c r="AT212" s="9">
        <v>7.0000000000000007E-2</v>
      </c>
      <c r="AU212" s="9">
        <v>5.03</v>
      </c>
      <c r="AV212" s="9">
        <v>0.16</v>
      </c>
      <c r="AW212" s="9">
        <f>1.34+0.34+0.44</f>
        <v>2.12</v>
      </c>
      <c r="AX212" s="9">
        <f>1.92+0.59</f>
        <v>2.5099999999999998</v>
      </c>
      <c r="AY212" s="81">
        <f t="shared" si="162"/>
        <v>24.77</v>
      </c>
      <c r="AZ212" s="82">
        <v>2126.3000000000002</v>
      </c>
      <c r="BA212" s="82">
        <v>119.7</v>
      </c>
      <c r="BB212" s="82">
        <f t="shared" si="134"/>
        <v>2246</v>
      </c>
      <c r="BC212" s="82">
        <v>24.77</v>
      </c>
      <c r="BD212" s="13">
        <f t="shared" si="160"/>
        <v>0</v>
      </c>
      <c r="BE212" s="9">
        <f t="shared" si="138"/>
        <v>56069.37</v>
      </c>
      <c r="BF212" s="9">
        <v>24.77</v>
      </c>
      <c r="BG212" s="10">
        <v>44409</v>
      </c>
      <c r="BH212" s="9">
        <f t="shared" si="139"/>
        <v>3553.85</v>
      </c>
      <c r="BI212" s="9">
        <f t="shared" si="140"/>
        <v>8352.68</v>
      </c>
      <c r="BJ212" s="9">
        <f t="shared" si="141"/>
        <v>5070.46</v>
      </c>
      <c r="BK212" s="9">
        <f t="shared" si="142"/>
        <v>1244.98</v>
      </c>
      <c r="BL212" s="9">
        <f t="shared" si="143"/>
        <v>6270.17</v>
      </c>
      <c r="BM212" s="9">
        <f t="shared" si="144"/>
        <v>362.18</v>
      </c>
      <c r="BN212" s="9">
        <f t="shared" si="145"/>
        <v>4323.4799999999996</v>
      </c>
      <c r="BO212" s="9">
        <f t="shared" si="146"/>
        <v>384.81</v>
      </c>
      <c r="BP212" s="9">
        <f t="shared" si="147"/>
        <v>950.71</v>
      </c>
      <c r="BQ212" s="9">
        <f t="shared" si="148"/>
        <v>135.82</v>
      </c>
      <c r="BR212" s="9">
        <f t="shared" si="149"/>
        <v>1652.43</v>
      </c>
      <c r="BS212" s="9">
        <f t="shared" si="150"/>
        <v>1380.8</v>
      </c>
      <c r="BT212" s="9">
        <f t="shared" si="151"/>
        <v>158.44999999999999</v>
      </c>
      <c r="BU212" s="9">
        <f t="shared" si="152"/>
        <v>11385.91</v>
      </c>
      <c r="BV212" s="9">
        <f t="shared" si="153"/>
        <v>362.18</v>
      </c>
      <c r="BW212" s="9">
        <f t="shared" si="154"/>
        <v>4798.83</v>
      </c>
      <c r="BX212" s="9">
        <f t="shared" si="155"/>
        <v>5681.64</v>
      </c>
      <c r="BY212" s="17">
        <f t="shared" si="156"/>
        <v>56069.38</v>
      </c>
      <c r="BZ212" s="17">
        <v>3.99</v>
      </c>
      <c r="CA212" s="17">
        <v>0.06</v>
      </c>
      <c r="CB212" s="17">
        <v>0.4</v>
      </c>
      <c r="CC212" s="27">
        <v>7.0000000000000007E-2</v>
      </c>
      <c r="CD212" s="29">
        <v>6.33</v>
      </c>
      <c r="CE212" s="9">
        <v>1551.15</v>
      </c>
      <c r="CF212" s="9"/>
      <c r="CG212" s="9">
        <v>0</v>
      </c>
      <c r="CH212" s="9">
        <v>74.510000000000005</v>
      </c>
      <c r="CI212" s="9">
        <f t="shared" ref="CI212:CI219" si="167">IF(CE212&gt;0,CE212/AB212,0)</f>
        <v>0.69</v>
      </c>
      <c r="CJ212" s="9">
        <f t="shared" ref="CJ212:CJ219" si="168">IF(CF212&gt;0,CF212/AB212,0)</f>
        <v>0</v>
      </c>
      <c r="CK212" s="13">
        <f t="shared" ref="CK212:CK219" si="169">IF(CG212&gt;0,CG212/AB212,0)</f>
        <v>0</v>
      </c>
      <c r="CL212" s="13">
        <f t="shared" ref="CL212:CL219" si="170">IF(CH212&gt;0,CH212/AB212,0)</f>
        <v>0.03</v>
      </c>
      <c r="CM212" s="13">
        <v>53104.4</v>
      </c>
      <c r="CN212" s="13">
        <v>1993.83</v>
      </c>
      <c r="CO212" s="13">
        <v>0</v>
      </c>
      <c r="CP212" s="13">
        <v>0</v>
      </c>
      <c r="CQ212" s="13">
        <v>0</v>
      </c>
      <c r="CR212" s="13">
        <v>51545.61</v>
      </c>
      <c r="CS212" s="13">
        <v>2853.37</v>
      </c>
      <c r="CT212" s="13">
        <v>158.22</v>
      </c>
      <c r="CU212" s="13">
        <v>108.27</v>
      </c>
      <c r="CV212" s="13">
        <v>89.83</v>
      </c>
      <c r="CW212" s="202">
        <v>1970</v>
      </c>
      <c r="CX212" s="200">
        <v>1130</v>
      </c>
      <c r="CY212" s="202"/>
      <c r="CZ212" s="202"/>
      <c r="DA212" s="202"/>
      <c r="DB212" s="202"/>
      <c r="DC212" s="202"/>
      <c r="DD212" s="461"/>
      <c r="DE212" s="256"/>
      <c r="DF212" s="202"/>
      <c r="DG212" s="202"/>
      <c r="DH212" s="202"/>
      <c r="DI212" s="204">
        <v>354</v>
      </c>
      <c r="DJ212" s="202">
        <v>4300</v>
      </c>
      <c r="DK212" s="202"/>
      <c r="DL212" s="202"/>
      <c r="DM212" s="202">
        <v>12052</v>
      </c>
      <c r="DN212" s="202">
        <v>1139</v>
      </c>
      <c r="DO212" s="202">
        <v>0.67</v>
      </c>
      <c r="DP212" s="202"/>
      <c r="DQ212" s="202"/>
      <c r="DR212" s="202"/>
      <c r="DS212" s="202"/>
      <c r="DT212" s="254"/>
      <c r="DU212" s="254"/>
      <c r="DV212" s="202"/>
      <c r="DW212" s="202">
        <v>10244</v>
      </c>
      <c r="DX212" s="202"/>
      <c r="DY212" s="107"/>
      <c r="DZ212" s="107"/>
      <c r="EA212" s="202"/>
      <c r="EB212" s="202"/>
      <c r="EC212" s="202"/>
      <c r="ED212" s="202"/>
      <c r="EE212" s="202"/>
      <c r="EF212" s="229"/>
      <c r="EG212" s="202"/>
      <c r="EH212" s="202"/>
      <c r="EI212" s="202"/>
      <c r="EJ212" s="202"/>
      <c r="EK212" s="202">
        <v>2114.16</v>
      </c>
      <c r="EL212" s="202">
        <v>0</v>
      </c>
      <c r="EM212" s="202">
        <v>0</v>
      </c>
      <c r="EN212" s="202">
        <v>0</v>
      </c>
      <c r="EO212" s="202">
        <v>2114.16</v>
      </c>
      <c r="EP212" s="202"/>
      <c r="EQ212" s="202">
        <v>0</v>
      </c>
      <c r="ER212" s="202">
        <v>0</v>
      </c>
      <c r="ES212" s="202"/>
      <c r="ET212" s="202"/>
      <c r="EU212" s="202"/>
      <c r="EV212" s="214">
        <v>2.15</v>
      </c>
      <c r="EW212" s="240">
        <f t="shared" si="157"/>
        <v>4950.8599999999997</v>
      </c>
      <c r="EX212" s="209">
        <f t="shared" si="158"/>
        <v>3222.28</v>
      </c>
    </row>
    <row r="213" spans="1:154" ht="12.75" customHeight="1" x14ac:dyDescent="0.2">
      <c r="A213" s="45" t="s">
        <v>302</v>
      </c>
      <c r="B213" s="60" t="s">
        <v>269</v>
      </c>
      <c r="C213" s="61" t="s">
        <v>249</v>
      </c>
      <c r="D213" s="62" t="s">
        <v>657</v>
      </c>
      <c r="E213" s="61" t="s">
        <v>12</v>
      </c>
      <c r="F213" s="11">
        <v>9</v>
      </c>
      <c r="G213" s="11">
        <v>4</v>
      </c>
      <c r="H213" s="11">
        <v>144</v>
      </c>
      <c r="I213" s="11">
        <v>144</v>
      </c>
      <c r="J213" s="11">
        <v>352</v>
      </c>
      <c r="K213" s="11">
        <v>386</v>
      </c>
      <c r="L213" s="11">
        <v>4</v>
      </c>
      <c r="M213" s="84">
        <v>503</v>
      </c>
      <c r="N213" s="84">
        <v>1164</v>
      </c>
      <c r="O213" s="84">
        <v>1164</v>
      </c>
      <c r="P213" s="139">
        <v>832.8</v>
      </c>
      <c r="Q213" s="135">
        <v>892.4</v>
      </c>
      <c r="R213" s="133">
        <v>0</v>
      </c>
      <c r="S213" s="133">
        <f t="shared" si="159"/>
        <v>1725.2</v>
      </c>
      <c r="T213" s="139">
        <v>868.4</v>
      </c>
      <c r="U213" s="130">
        <v>2.44</v>
      </c>
      <c r="V213" s="131">
        <v>1.9800000000000002E-2</v>
      </c>
      <c r="W213" s="131">
        <v>1.9800000000000002E-2</v>
      </c>
      <c r="X213" s="132">
        <v>1.32E-3</v>
      </c>
      <c r="Y213" s="131">
        <v>3.9699999999999999E-2</v>
      </c>
      <c r="Z213" s="29">
        <v>7723.05</v>
      </c>
      <c r="AA213" s="34">
        <v>256.8</v>
      </c>
      <c r="AB213" s="9">
        <f t="shared" si="133"/>
        <v>7979.85</v>
      </c>
      <c r="AC213" s="9">
        <f t="shared" si="135"/>
        <v>50512.45</v>
      </c>
      <c r="AD213" s="9">
        <v>1.45</v>
      </c>
      <c r="AE213" s="9">
        <v>4.5</v>
      </c>
      <c r="AF213" s="21">
        <f>2.38-AJ213</f>
        <v>2.2400000000000002</v>
      </c>
      <c r="AG213" s="18">
        <f>0.6-AQ213</f>
        <v>0.55000000000000004</v>
      </c>
      <c r="AH213" s="9">
        <v>2.78</v>
      </c>
      <c r="AI213" s="43">
        <v>1117</v>
      </c>
      <c r="AJ213" s="21">
        <f t="shared" si="137"/>
        <v>0.14000000000000001</v>
      </c>
      <c r="AK213" s="9">
        <v>2.16</v>
      </c>
      <c r="AL213" s="9">
        <v>0.19</v>
      </c>
      <c r="AM213" s="9">
        <v>7.0000000000000007E-2</v>
      </c>
      <c r="AN213" s="13"/>
      <c r="AO213" s="13">
        <v>892.8</v>
      </c>
      <c r="AP213" s="13">
        <f t="shared" si="161"/>
        <v>5.58</v>
      </c>
      <c r="AQ213" s="18">
        <f t="shared" si="136"/>
        <v>0.05</v>
      </c>
      <c r="AR213" s="9">
        <v>0.56000000000000005</v>
      </c>
      <c r="AS213" s="9">
        <v>0.17</v>
      </c>
      <c r="AT213" s="9">
        <v>7.0000000000000007E-2</v>
      </c>
      <c r="AU213" s="9">
        <v>4.78</v>
      </c>
      <c r="AV213" s="9">
        <v>0.16</v>
      </c>
      <c r="AW213" s="9">
        <f>1.34+0.26+0.42</f>
        <v>2.02</v>
      </c>
      <c r="AX213" s="9">
        <f>1.88+0.56</f>
        <v>2.44</v>
      </c>
      <c r="AY213" s="63">
        <f t="shared" si="162"/>
        <v>24.33</v>
      </c>
      <c r="AZ213" s="64">
        <v>7716.9</v>
      </c>
      <c r="BA213" s="64">
        <v>256.8</v>
      </c>
      <c r="BB213" s="64">
        <f t="shared" si="134"/>
        <v>7973.7</v>
      </c>
      <c r="BC213" s="64">
        <v>24.33</v>
      </c>
      <c r="BD213" s="13">
        <f t="shared" si="160"/>
        <v>0</v>
      </c>
      <c r="BE213" s="9">
        <f t="shared" si="138"/>
        <v>194149.75</v>
      </c>
      <c r="BF213" s="9">
        <v>24.33</v>
      </c>
      <c r="BG213" s="10">
        <v>44409</v>
      </c>
      <c r="BH213" s="9">
        <f t="shared" si="139"/>
        <v>11570.78</v>
      </c>
      <c r="BI213" s="9">
        <f t="shared" si="140"/>
        <v>35909.33</v>
      </c>
      <c r="BJ213" s="9">
        <f t="shared" si="141"/>
        <v>17874.86</v>
      </c>
      <c r="BK213" s="9">
        <f t="shared" si="142"/>
        <v>4388.92</v>
      </c>
      <c r="BL213" s="9">
        <f t="shared" si="143"/>
        <v>22183.98</v>
      </c>
      <c r="BM213" s="9">
        <f t="shared" si="144"/>
        <v>1117.18</v>
      </c>
      <c r="BN213" s="9">
        <f t="shared" si="145"/>
        <v>17236.48</v>
      </c>
      <c r="BO213" s="9">
        <f t="shared" si="146"/>
        <v>1516.17</v>
      </c>
      <c r="BP213" s="9">
        <f t="shared" si="147"/>
        <v>558.59</v>
      </c>
      <c r="BQ213" s="9">
        <f t="shared" si="148"/>
        <v>398.99</v>
      </c>
      <c r="BR213" s="9">
        <f t="shared" si="149"/>
        <v>4468.72</v>
      </c>
      <c r="BS213" s="9">
        <f t="shared" si="150"/>
        <v>1356.57</v>
      </c>
      <c r="BT213" s="9">
        <f t="shared" si="151"/>
        <v>558.59</v>
      </c>
      <c r="BU213" s="9">
        <f t="shared" si="152"/>
        <v>38143.68</v>
      </c>
      <c r="BV213" s="9">
        <f t="shared" si="153"/>
        <v>1276.78</v>
      </c>
      <c r="BW213" s="9">
        <f t="shared" si="154"/>
        <v>16119.3</v>
      </c>
      <c r="BX213" s="9">
        <f t="shared" si="155"/>
        <v>19470.830000000002</v>
      </c>
      <c r="BY213" s="17">
        <f t="shared" si="156"/>
        <v>194149.75</v>
      </c>
      <c r="BZ213" s="17">
        <v>3.75</v>
      </c>
      <c r="CA213" s="17">
        <v>0.06</v>
      </c>
      <c r="CB213" s="17">
        <v>0.37</v>
      </c>
      <c r="CC213" s="27">
        <v>0.06</v>
      </c>
      <c r="CD213" s="29">
        <v>6.33</v>
      </c>
      <c r="CE213" s="9">
        <v>19504.39</v>
      </c>
      <c r="CF213" s="9"/>
      <c r="CG213" s="9">
        <v>11350.08</v>
      </c>
      <c r="CH213" s="9">
        <v>6185.43</v>
      </c>
      <c r="CI213" s="9">
        <f t="shared" si="167"/>
        <v>2.44</v>
      </c>
      <c r="CJ213" s="9">
        <f t="shared" si="168"/>
        <v>0</v>
      </c>
      <c r="CK213" s="13">
        <f t="shared" si="169"/>
        <v>1.42</v>
      </c>
      <c r="CL213" s="13">
        <f t="shared" si="170"/>
        <v>0.78</v>
      </c>
      <c r="CM213" s="13">
        <v>187901.84</v>
      </c>
      <c r="CN213" s="13">
        <v>39233.1</v>
      </c>
      <c r="CO213" s="13">
        <v>33440.839999999997</v>
      </c>
      <c r="CP213" s="13">
        <v>6950.81</v>
      </c>
      <c r="CQ213" s="13">
        <v>3861.62</v>
      </c>
      <c r="CR213" s="13">
        <v>196350.69</v>
      </c>
      <c r="CS213" s="13">
        <v>35116.949999999997</v>
      </c>
      <c r="CT213" s="13">
        <v>23965.11</v>
      </c>
      <c r="CU213" s="13">
        <v>6468.79</v>
      </c>
      <c r="CV213" s="13">
        <v>3638.69</v>
      </c>
      <c r="CW213" s="202">
        <v>6948</v>
      </c>
      <c r="CX213" s="200">
        <v>3986</v>
      </c>
      <c r="CY213" s="202"/>
      <c r="CZ213" s="202"/>
      <c r="DA213" s="202"/>
      <c r="DB213" s="202"/>
      <c r="DC213" s="202"/>
      <c r="DD213" s="461"/>
      <c r="DE213" s="256"/>
      <c r="DF213" s="202"/>
      <c r="DG213" s="202"/>
      <c r="DH213" s="202"/>
      <c r="DI213" s="204">
        <v>1117</v>
      </c>
      <c r="DJ213" s="202">
        <v>17200</v>
      </c>
      <c r="DK213" s="202"/>
      <c r="DL213" s="202"/>
      <c r="DM213" s="202"/>
      <c r="DN213" s="202"/>
      <c r="DO213" s="202"/>
      <c r="DP213" s="202">
        <v>46392</v>
      </c>
      <c r="DQ213" s="202">
        <v>3400</v>
      </c>
      <c r="DR213" s="202">
        <v>2</v>
      </c>
      <c r="DS213" s="202"/>
      <c r="DT213" s="254"/>
      <c r="DU213" s="254"/>
      <c r="DV213" s="202"/>
      <c r="DW213" s="202">
        <v>36820</v>
      </c>
      <c r="DX213" s="202"/>
      <c r="DY213" s="107">
        <v>1365</v>
      </c>
      <c r="DZ213" s="107">
        <v>577</v>
      </c>
      <c r="EA213" s="202"/>
      <c r="EB213" s="202"/>
      <c r="EC213" s="202"/>
      <c r="ED213" s="202"/>
      <c r="EE213" s="202"/>
      <c r="EF213" s="229"/>
      <c r="EG213" s="202"/>
      <c r="EH213" s="202"/>
      <c r="EI213" s="202"/>
      <c r="EJ213" s="202"/>
      <c r="EK213" s="202">
        <v>40509.53</v>
      </c>
      <c r="EL213" s="202">
        <v>63648.81</v>
      </c>
      <c r="EM213" s="202">
        <v>7188.38</v>
      </c>
      <c r="EN213" s="202">
        <v>4006.63</v>
      </c>
      <c r="EO213" s="202">
        <v>40509.53</v>
      </c>
      <c r="EP213" s="202"/>
      <c r="EQ213" s="202">
        <v>7188.38</v>
      </c>
      <c r="ER213" s="202">
        <v>4006.63</v>
      </c>
      <c r="ES213" s="202"/>
      <c r="ET213" s="202"/>
      <c r="EU213" s="202"/>
      <c r="EV213" s="214">
        <f>202.87+670.2</f>
        <v>873.07</v>
      </c>
      <c r="EW213" s="240">
        <f t="shared" si="157"/>
        <v>17453.21</v>
      </c>
      <c r="EX213" s="209">
        <f t="shared" si="158"/>
        <v>11359.48</v>
      </c>
    </row>
    <row r="214" spans="1:154" ht="12.75" customHeight="1" x14ac:dyDescent="0.2">
      <c r="A214" s="45" t="s">
        <v>303</v>
      </c>
      <c r="B214" s="48" t="s">
        <v>271</v>
      </c>
      <c r="C214" s="49" t="s">
        <v>67</v>
      </c>
      <c r="D214" s="50" t="s">
        <v>659</v>
      </c>
      <c r="E214" s="49" t="s">
        <v>12</v>
      </c>
      <c r="F214" s="11">
        <v>9</v>
      </c>
      <c r="G214" s="11">
        <v>4</v>
      </c>
      <c r="H214" s="11">
        <v>216</v>
      </c>
      <c r="I214" s="11">
        <v>216</v>
      </c>
      <c r="J214" s="11">
        <v>406</v>
      </c>
      <c r="K214" s="11">
        <v>465</v>
      </c>
      <c r="L214" s="83">
        <v>4</v>
      </c>
      <c r="M214" s="84">
        <v>1183</v>
      </c>
      <c r="N214" s="84">
        <v>793.9</v>
      </c>
      <c r="O214" s="84">
        <v>793.9</v>
      </c>
      <c r="P214" s="135">
        <f>599.5+836</f>
        <v>1435.5</v>
      </c>
      <c r="Q214" s="135">
        <v>965.4</v>
      </c>
      <c r="R214" s="133">
        <v>0</v>
      </c>
      <c r="S214" s="133">
        <f t="shared" si="159"/>
        <v>2400.9</v>
      </c>
      <c r="T214" s="134">
        <v>1435.2</v>
      </c>
      <c r="U214" s="130">
        <v>2.44</v>
      </c>
      <c r="V214" s="131">
        <v>1.9800000000000002E-2</v>
      </c>
      <c r="W214" s="131">
        <v>1.9800000000000002E-2</v>
      </c>
      <c r="X214" s="132">
        <v>1.2199999999999999E-3</v>
      </c>
      <c r="Y214" s="131">
        <v>3.9699999999999999E-2</v>
      </c>
      <c r="Z214" s="29">
        <v>9527.0300000000007</v>
      </c>
      <c r="AA214" s="34"/>
      <c r="AB214" s="9">
        <f t="shared" si="133"/>
        <v>9527.0300000000007</v>
      </c>
      <c r="AC214" s="9">
        <f t="shared" si="135"/>
        <v>60306.1</v>
      </c>
      <c r="AD214" s="9">
        <v>1.25</v>
      </c>
      <c r="AE214" s="9">
        <v>4.79</v>
      </c>
      <c r="AF214" s="21">
        <f>2.46-AJ214</f>
        <v>2.37</v>
      </c>
      <c r="AG214" s="18">
        <f>0.6-AQ214</f>
        <v>0.54</v>
      </c>
      <c r="AH214" s="9">
        <v>2.77</v>
      </c>
      <c r="AI214" s="13">
        <v>823</v>
      </c>
      <c r="AJ214" s="21">
        <f t="shared" si="137"/>
        <v>0.09</v>
      </c>
      <c r="AK214" s="9">
        <v>1.81</v>
      </c>
      <c r="AL214" s="9">
        <v>0.16</v>
      </c>
      <c r="AM214" s="9">
        <v>0.12</v>
      </c>
      <c r="AN214" s="13"/>
      <c r="AO214" s="13">
        <v>1223.5999999999999</v>
      </c>
      <c r="AP214" s="13">
        <f t="shared" si="161"/>
        <v>5.58</v>
      </c>
      <c r="AQ214" s="18">
        <f t="shared" si="136"/>
        <v>0.06</v>
      </c>
      <c r="AR214" s="9">
        <v>0.73</v>
      </c>
      <c r="AS214" s="9">
        <v>0.28999999999999998</v>
      </c>
      <c r="AT214" s="9">
        <v>7.0000000000000007E-2</v>
      </c>
      <c r="AU214" s="9">
        <v>3.99</v>
      </c>
      <c r="AV214" s="9">
        <v>0.16</v>
      </c>
      <c r="AW214" s="9">
        <f>0.32+1.35+0.35</f>
        <v>2.02</v>
      </c>
      <c r="AX214" s="9">
        <f>1.89+0.47</f>
        <v>2.36</v>
      </c>
      <c r="AY214" s="46">
        <f t="shared" si="162"/>
        <v>23.58</v>
      </c>
      <c r="AZ214" s="47">
        <v>9497.4</v>
      </c>
      <c r="BA214" s="47">
        <v>0</v>
      </c>
      <c r="BB214" s="47">
        <f t="shared" si="134"/>
        <v>9497.4</v>
      </c>
      <c r="BC214" s="47">
        <v>23.58</v>
      </c>
      <c r="BD214" s="13">
        <f t="shared" si="160"/>
        <v>0</v>
      </c>
      <c r="BE214" s="9">
        <f t="shared" si="138"/>
        <v>224647.37</v>
      </c>
      <c r="BF214" s="9">
        <v>23.58</v>
      </c>
      <c r="BG214" s="10">
        <v>44409</v>
      </c>
      <c r="BH214" s="9">
        <f t="shared" si="139"/>
        <v>11908.79</v>
      </c>
      <c r="BI214" s="9">
        <f t="shared" si="140"/>
        <v>45634.47</v>
      </c>
      <c r="BJ214" s="9">
        <f t="shared" si="141"/>
        <v>22579.06</v>
      </c>
      <c r="BK214" s="9">
        <f t="shared" si="142"/>
        <v>5144.6000000000004</v>
      </c>
      <c r="BL214" s="9">
        <f t="shared" si="143"/>
        <v>26389.87</v>
      </c>
      <c r="BM214" s="9">
        <f t="shared" si="144"/>
        <v>857.43</v>
      </c>
      <c r="BN214" s="9">
        <f t="shared" si="145"/>
        <v>17243.919999999998</v>
      </c>
      <c r="BO214" s="9">
        <f t="shared" si="146"/>
        <v>1524.32</v>
      </c>
      <c r="BP214" s="9">
        <f t="shared" si="147"/>
        <v>1143.24</v>
      </c>
      <c r="BQ214" s="9">
        <f t="shared" si="148"/>
        <v>571.62</v>
      </c>
      <c r="BR214" s="9">
        <f t="shared" si="149"/>
        <v>6954.73</v>
      </c>
      <c r="BS214" s="9">
        <f t="shared" si="150"/>
        <v>2762.84</v>
      </c>
      <c r="BT214" s="9">
        <f t="shared" si="151"/>
        <v>666.89</v>
      </c>
      <c r="BU214" s="9">
        <f t="shared" si="152"/>
        <v>38012.85</v>
      </c>
      <c r="BV214" s="9">
        <f t="shared" si="153"/>
        <v>1524.32</v>
      </c>
      <c r="BW214" s="9">
        <f t="shared" si="154"/>
        <v>19244.599999999999</v>
      </c>
      <c r="BX214" s="9">
        <f t="shared" si="155"/>
        <v>22483.79</v>
      </c>
      <c r="BY214" s="17">
        <f t="shared" si="156"/>
        <v>224647.34</v>
      </c>
      <c r="BZ214" s="17">
        <v>2.36</v>
      </c>
      <c r="CA214" s="17">
        <v>0.08</v>
      </c>
      <c r="CB214" s="17">
        <v>0.44</v>
      </c>
      <c r="CC214" s="27">
        <v>0.08</v>
      </c>
      <c r="CD214" s="29">
        <v>6.33</v>
      </c>
      <c r="CE214" s="9">
        <v>38731.870000000003</v>
      </c>
      <c r="CF214" s="9"/>
      <c r="CG214" s="9">
        <v>767.94</v>
      </c>
      <c r="CH214" s="9">
        <v>806.12</v>
      </c>
      <c r="CI214" s="9">
        <f t="shared" si="167"/>
        <v>4.07</v>
      </c>
      <c r="CJ214" s="9">
        <f t="shared" si="168"/>
        <v>0</v>
      </c>
      <c r="CK214" s="13">
        <f t="shared" si="169"/>
        <v>0.08</v>
      </c>
      <c r="CL214" s="13">
        <f t="shared" si="170"/>
        <v>0.08</v>
      </c>
      <c r="CM214" s="13">
        <v>224105.44</v>
      </c>
      <c r="CN214" s="13">
        <v>0</v>
      </c>
      <c r="CO214" s="13">
        <v>0</v>
      </c>
      <c r="CP214" s="13">
        <v>762.04</v>
      </c>
      <c r="CQ214" s="13">
        <v>762.04</v>
      </c>
      <c r="CR214" s="13">
        <v>242832.96</v>
      </c>
      <c r="CS214" s="13">
        <v>27388.84</v>
      </c>
      <c r="CT214" s="13">
        <v>793.53</v>
      </c>
      <c r="CU214" s="13">
        <v>824.81</v>
      </c>
      <c r="CV214" s="13">
        <v>824.8</v>
      </c>
      <c r="CW214" s="202">
        <v>8301</v>
      </c>
      <c r="CX214" s="200">
        <v>4762</v>
      </c>
      <c r="CY214" s="202"/>
      <c r="CZ214" s="202"/>
      <c r="DA214" s="202"/>
      <c r="DB214" s="202"/>
      <c r="DC214" s="202"/>
      <c r="DD214" s="461"/>
      <c r="DE214" s="256"/>
      <c r="DF214" s="204">
        <v>823</v>
      </c>
      <c r="DG214" s="204"/>
      <c r="DH214" s="204"/>
      <c r="DI214" s="204"/>
      <c r="DJ214" s="202"/>
      <c r="DK214" s="202">
        <v>17200</v>
      </c>
      <c r="DL214" s="202">
        <v>18000</v>
      </c>
      <c r="DM214" s="202"/>
      <c r="DN214" s="202"/>
      <c r="DO214" s="202"/>
      <c r="DP214" s="202">
        <v>56041</v>
      </c>
      <c r="DQ214" s="202">
        <v>1700</v>
      </c>
      <c r="DR214" s="202">
        <v>1</v>
      </c>
      <c r="DS214" s="202"/>
      <c r="DT214" s="254"/>
      <c r="DU214" s="254"/>
      <c r="DV214" s="202"/>
      <c r="DW214" s="202">
        <v>44857</v>
      </c>
      <c r="DX214" s="202"/>
      <c r="DY214" s="107">
        <v>2730</v>
      </c>
      <c r="DZ214" s="107"/>
      <c r="EA214" s="202"/>
      <c r="EB214" s="202"/>
      <c r="EC214" s="202"/>
      <c r="ED214" s="202"/>
      <c r="EE214" s="202"/>
      <c r="EF214" s="229"/>
      <c r="EG214" s="202"/>
      <c r="EH214" s="202"/>
      <c r="EI214" s="202"/>
      <c r="EJ214" s="202"/>
      <c r="EK214" s="202">
        <v>0</v>
      </c>
      <c r="EL214" s="202">
        <v>0</v>
      </c>
      <c r="EM214" s="202">
        <v>767.94</v>
      </c>
      <c r="EN214" s="202">
        <v>806.12</v>
      </c>
      <c r="EO214" s="202">
        <v>0</v>
      </c>
      <c r="EP214" s="202"/>
      <c r="EQ214" s="202">
        <v>767.94</v>
      </c>
      <c r="ER214" s="202">
        <v>806.12</v>
      </c>
      <c r="ES214" s="202"/>
      <c r="ET214" s="202"/>
      <c r="EU214" s="202"/>
      <c r="EV214" s="214">
        <v>2.15</v>
      </c>
      <c r="EW214" s="240">
        <f t="shared" si="157"/>
        <v>20837.14</v>
      </c>
      <c r="EX214" s="209">
        <f t="shared" si="158"/>
        <v>13561.92</v>
      </c>
    </row>
    <row r="215" spans="1:154" ht="12.75" customHeight="1" x14ac:dyDescent="0.2">
      <c r="A215" s="45" t="s">
        <v>304</v>
      </c>
      <c r="B215" s="48" t="s">
        <v>271</v>
      </c>
      <c r="C215" s="49" t="s">
        <v>23</v>
      </c>
      <c r="D215" s="50" t="s">
        <v>658</v>
      </c>
      <c r="E215" s="49" t="s">
        <v>12</v>
      </c>
      <c r="F215" s="11">
        <v>9</v>
      </c>
      <c r="G215" s="11">
        <v>4</v>
      </c>
      <c r="H215" s="11">
        <v>216</v>
      </c>
      <c r="I215" s="11">
        <v>216</v>
      </c>
      <c r="J215" s="11">
        <v>389</v>
      </c>
      <c r="K215" s="11">
        <v>481</v>
      </c>
      <c r="L215" s="83">
        <v>4</v>
      </c>
      <c r="M215" s="84">
        <v>327</v>
      </c>
      <c r="N215" s="84">
        <v>777.8</v>
      </c>
      <c r="O215" s="84">
        <v>777.8</v>
      </c>
      <c r="P215" s="135">
        <f>592.2+602.3</f>
        <v>1194.5</v>
      </c>
      <c r="Q215" s="135">
        <v>1059.5999999999999</v>
      </c>
      <c r="R215" s="135">
        <v>1059.5999999999999</v>
      </c>
      <c r="S215" s="133">
        <f t="shared" si="159"/>
        <v>3313.7</v>
      </c>
      <c r="T215" s="134">
        <v>1194.5</v>
      </c>
      <c r="U215" s="130">
        <v>2.44</v>
      </c>
      <c r="V215" s="91">
        <v>1.9800000000000002E-2</v>
      </c>
      <c r="W215" s="91">
        <v>1.9800000000000002E-2</v>
      </c>
      <c r="X215" s="132">
        <v>1.2199999999999999E-3</v>
      </c>
      <c r="Y215" s="91">
        <v>3.9699999999999999E-2</v>
      </c>
      <c r="Z215" s="29">
        <v>9339.65</v>
      </c>
      <c r="AA215" s="34"/>
      <c r="AB215" s="9">
        <f t="shared" si="133"/>
        <v>9339.65</v>
      </c>
      <c r="AC215" s="9">
        <f t="shared" si="135"/>
        <v>59119.98</v>
      </c>
      <c r="AD215" s="9">
        <v>1.75</v>
      </c>
      <c r="AE215" s="9">
        <v>4.0999999999999996</v>
      </c>
      <c r="AF215" s="21">
        <f>2.49-AJ215</f>
        <v>2.3199999999999998</v>
      </c>
      <c r="AG215" s="18">
        <f>0.6-AQ215</f>
        <v>0.54</v>
      </c>
      <c r="AH215" s="9">
        <v>2.77</v>
      </c>
      <c r="AI215" s="13">
        <v>1628</v>
      </c>
      <c r="AJ215" s="21">
        <f t="shared" si="137"/>
        <v>0.17</v>
      </c>
      <c r="AK215" s="9">
        <v>1.85</v>
      </c>
      <c r="AL215" s="9">
        <v>0.16</v>
      </c>
      <c r="AM215" s="9">
        <v>0.1</v>
      </c>
      <c r="AN215" s="13"/>
      <c r="AO215" s="13">
        <v>1223.5999999999999</v>
      </c>
      <c r="AP215" s="13">
        <f t="shared" si="161"/>
        <v>5.58</v>
      </c>
      <c r="AQ215" s="18">
        <f t="shared" si="136"/>
        <v>0.06</v>
      </c>
      <c r="AR215" s="9">
        <v>0.71</v>
      </c>
      <c r="AS215" s="9">
        <v>0.59</v>
      </c>
      <c r="AT215" s="9">
        <v>7.0000000000000007E-2</v>
      </c>
      <c r="AU215" s="9">
        <v>4.3099999999999996</v>
      </c>
      <c r="AV215" s="9">
        <v>0.16</v>
      </c>
      <c r="AW215" s="9">
        <f>0.33+1.37+0.38</f>
        <v>2.08</v>
      </c>
      <c r="AX215" s="9">
        <f>1.92+0.51</f>
        <v>2.4300000000000002</v>
      </c>
      <c r="AY215" s="46">
        <f t="shared" si="162"/>
        <v>24.17</v>
      </c>
      <c r="AZ215" s="47">
        <v>9305.1</v>
      </c>
      <c r="BA215" s="47">
        <v>0</v>
      </c>
      <c r="BB215" s="47">
        <f t="shared" si="134"/>
        <v>9305.1</v>
      </c>
      <c r="BC215" s="47">
        <v>24.17</v>
      </c>
      <c r="BD215" s="13">
        <f t="shared" si="160"/>
        <v>0</v>
      </c>
      <c r="BE215" s="9">
        <f t="shared" si="138"/>
        <v>225739.34</v>
      </c>
      <c r="BF215" s="9">
        <v>24.17</v>
      </c>
      <c r="BG215" s="10">
        <v>44409</v>
      </c>
      <c r="BH215" s="9">
        <f t="shared" si="139"/>
        <v>16344.39</v>
      </c>
      <c r="BI215" s="9">
        <f t="shared" si="140"/>
        <v>38292.57</v>
      </c>
      <c r="BJ215" s="9">
        <f t="shared" si="141"/>
        <v>21667.99</v>
      </c>
      <c r="BK215" s="9">
        <f t="shared" si="142"/>
        <v>5043.41</v>
      </c>
      <c r="BL215" s="9">
        <f t="shared" si="143"/>
        <v>25870.83</v>
      </c>
      <c r="BM215" s="9">
        <f t="shared" si="144"/>
        <v>1587.74</v>
      </c>
      <c r="BN215" s="9">
        <f t="shared" si="145"/>
        <v>17278.349999999999</v>
      </c>
      <c r="BO215" s="9">
        <f t="shared" si="146"/>
        <v>1494.34</v>
      </c>
      <c r="BP215" s="9">
        <f t="shared" si="147"/>
        <v>933.97</v>
      </c>
      <c r="BQ215" s="9">
        <f t="shared" si="148"/>
        <v>560.38</v>
      </c>
      <c r="BR215" s="9">
        <f t="shared" si="149"/>
        <v>6631.15</v>
      </c>
      <c r="BS215" s="9">
        <f t="shared" si="150"/>
        <v>5510.39</v>
      </c>
      <c r="BT215" s="9">
        <f t="shared" si="151"/>
        <v>653.78</v>
      </c>
      <c r="BU215" s="9">
        <f t="shared" si="152"/>
        <v>40253.89</v>
      </c>
      <c r="BV215" s="9">
        <f t="shared" si="153"/>
        <v>1494.34</v>
      </c>
      <c r="BW215" s="9">
        <f t="shared" si="154"/>
        <v>19426.47</v>
      </c>
      <c r="BX215" s="9">
        <f t="shared" si="155"/>
        <v>22695.35</v>
      </c>
      <c r="BY215" s="17">
        <f t="shared" si="156"/>
        <v>225739.34</v>
      </c>
      <c r="BZ215" s="17">
        <v>2.65</v>
      </c>
      <c r="CA215" s="17">
        <v>7.0000000000000007E-2</v>
      </c>
      <c r="CB215" s="17">
        <v>0.38</v>
      </c>
      <c r="CC215" s="27">
        <v>7.0000000000000007E-2</v>
      </c>
      <c r="CD215" s="29">
        <v>6.33</v>
      </c>
      <c r="CE215" s="9">
        <v>0</v>
      </c>
      <c r="CF215" s="9"/>
      <c r="CG215" s="9">
        <v>22375.87</v>
      </c>
      <c r="CH215" s="9">
        <v>12049.16</v>
      </c>
      <c r="CI215" s="9">
        <f t="shared" si="167"/>
        <v>0</v>
      </c>
      <c r="CJ215" s="9">
        <f t="shared" si="168"/>
        <v>0</v>
      </c>
      <c r="CK215" s="13">
        <f t="shared" si="169"/>
        <v>2.4</v>
      </c>
      <c r="CL215" s="13">
        <f t="shared" si="170"/>
        <v>1.29</v>
      </c>
      <c r="CM215" s="13">
        <v>225739.43</v>
      </c>
      <c r="CN215" s="13">
        <v>0</v>
      </c>
      <c r="CO215" s="13">
        <v>0</v>
      </c>
      <c r="CP215" s="13">
        <v>3642.49</v>
      </c>
      <c r="CQ215" s="13">
        <v>2241.46</v>
      </c>
      <c r="CR215" s="13">
        <v>248096.34</v>
      </c>
      <c r="CS215" s="13">
        <v>12850.94</v>
      </c>
      <c r="CT215" s="13">
        <v>684.1</v>
      </c>
      <c r="CU215" s="13">
        <v>8366.2000000000007</v>
      </c>
      <c r="CV215" s="13">
        <v>4757.1000000000004</v>
      </c>
      <c r="CW215" s="202">
        <v>8136</v>
      </c>
      <c r="CX215" s="200">
        <v>4667</v>
      </c>
      <c r="CY215" s="202"/>
      <c r="CZ215" s="202"/>
      <c r="DA215" s="202"/>
      <c r="DB215" s="202"/>
      <c r="DC215" s="202"/>
      <c r="DD215" s="461"/>
      <c r="DE215" s="256"/>
      <c r="DF215" s="204">
        <v>1628</v>
      </c>
      <c r="DG215" s="204"/>
      <c r="DH215" s="204"/>
      <c r="DI215" s="204"/>
      <c r="DJ215" s="202"/>
      <c r="DK215" s="202">
        <v>17200</v>
      </c>
      <c r="DL215" s="202"/>
      <c r="DM215" s="202"/>
      <c r="DN215" s="202"/>
      <c r="DO215" s="202"/>
      <c r="DP215" s="202">
        <v>53285</v>
      </c>
      <c r="DQ215" s="202">
        <v>1700</v>
      </c>
      <c r="DR215" s="202">
        <v>1</v>
      </c>
      <c r="DS215" s="202"/>
      <c r="DT215" s="254"/>
      <c r="DU215" s="254"/>
      <c r="DV215" s="202"/>
      <c r="DW215" s="202">
        <v>43486</v>
      </c>
      <c r="DX215" s="202"/>
      <c r="DY215" s="107">
        <v>5460</v>
      </c>
      <c r="DZ215" s="107">
        <v>942</v>
      </c>
      <c r="EA215" s="202">
        <v>2021.59</v>
      </c>
      <c r="EB215" s="202"/>
      <c r="EC215" s="202"/>
      <c r="ED215" s="202"/>
      <c r="EE215" s="202"/>
      <c r="EF215" s="229"/>
      <c r="EG215" s="202"/>
      <c r="EH215" s="202"/>
      <c r="EI215" s="202"/>
      <c r="EJ215" s="202"/>
      <c r="EK215" s="202">
        <v>0</v>
      </c>
      <c r="EL215" s="202">
        <v>0</v>
      </c>
      <c r="EM215" s="202">
        <v>3621.22</v>
      </c>
      <c r="EN215" s="202">
        <v>2230.4499999999998</v>
      </c>
      <c r="EO215" s="202">
        <v>0</v>
      </c>
      <c r="EP215" s="202"/>
      <c r="EQ215" s="202">
        <v>3621.22</v>
      </c>
      <c r="ER215" s="202">
        <v>2230.4499999999998</v>
      </c>
      <c r="ES215" s="202"/>
      <c r="ET215" s="202"/>
      <c r="EU215" s="202"/>
      <c r="EV215" s="214">
        <v>263.38</v>
      </c>
      <c r="EW215" s="240">
        <f t="shared" si="157"/>
        <v>20427.310000000001</v>
      </c>
      <c r="EX215" s="209">
        <f t="shared" si="158"/>
        <v>13295.18</v>
      </c>
    </row>
    <row r="216" spans="1:154" ht="12.75" customHeight="1" x14ac:dyDescent="0.2">
      <c r="A216" s="45" t="s">
        <v>305</v>
      </c>
      <c r="B216" s="55" t="s">
        <v>271</v>
      </c>
      <c r="C216" s="56" t="s">
        <v>37</v>
      </c>
      <c r="D216" s="57" t="s">
        <v>496</v>
      </c>
      <c r="E216" s="56" t="s">
        <v>12</v>
      </c>
      <c r="F216" s="11">
        <v>4</v>
      </c>
      <c r="G216" s="11">
        <v>2</v>
      </c>
      <c r="H216" s="11">
        <v>32</v>
      </c>
      <c r="I216" s="11">
        <v>0</v>
      </c>
      <c r="J216" s="11">
        <v>69</v>
      </c>
      <c r="K216" s="11">
        <v>73</v>
      </c>
      <c r="L216" s="11" t="s">
        <v>746</v>
      </c>
      <c r="M216" s="84">
        <v>73.2</v>
      </c>
      <c r="N216" s="84">
        <v>437.6</v>
      </c>
      <c r="O216" s="84">
        <v>0</v>
      </c>
      <c r="P216" s="139">
        <v>73.2</v>
      </c>
      <c r="Q216" s="139">
        <v>437.6</v>
      </c>
      <c r="R216" s="139">
        <v>0</v>
      </c>
      <c r="S216" s="133">
        <f t="shared" si="159"/>
        <v>510.8</v>
      </c>
      <c r="T216" s="139">
        <v>103.3</v>
      </c>
      <c r="U216" s="130">
        <v>0.84</v>
      </c>
      <c r="V216" s="131">
        <v>1.1299999999999999E-2</v>
      </c>
      <c r="W216" s="131" t="s">
        <v>823</v>
      </c>
      <c r="X216" s="132" t="s">
        <v>823</v>
      </c>
      <c r="Y216" s="131">
        <v>1.1299999999999999E-2</v>
      </c>
      <c r="Z216" s="29">
        <v>1253.5999999999999</v>
      </c>
      <c r="AA216" s="34"/>
      <c r="AB216" s="9">
        <f t="shared" si="133"/>
        <v>1253.5999999999999</v>
      </c>
      <c r="AC216" s="9">
        <f t="shared" si="135"/>
        <v>7935.29</v>
      </c>
      <c r="AD216" s="9">
        <v>0.41</v>
      </c>
      <c r="AE216" s="9">
        <v>3.65</v>
      </c>
      <c r="AF216" s="21">
        <f>2.44-AJ216</f>
        <v>2.1</v>
      </c>
      <c r="AG216" s="18">
        <f>0.56-AQ216</f>
        <v>0.43</v>
      </c>
      <c r="AH216" s="9">
        <v>2.16</v>
      </c>
      <c r="AI216" s="13">
        <v>427</v>
      </c>
      <c r="AJ216" s="21">
        <f t="shared" si="137"/>
        <v>0.34</v>
      </c>
      <c r="AK216" s="9">
        <v>0</v>
      </c>
      <c r="AL216" s="9">
        <v>0</v>
      </c>
      <c r="AM216" s="9">
        <v>0.47</v>
      </c>
      <c r="AN216" s="13">
        <v>114.4</v>
      </c>
      <c r="AO216" s="13">
        <v>228.8</v>
      </c>
      <c r="AP216" s="13">
        <f t="shared" si="161"/>
        <v>5.58</v>
      </c>
      <c r="AQ216" s="18">
        <f t="shared" si="136"/>
        <v>0.13</v>
      </c>
      <c r="AR216" s="9">
        <v>1.2</v>
      </c>
      <c r="AS216" s="9">
        <v>1.1100000000000001</v>
      </c>
      <c r="AT216" s="9">
        <v>7.0000000000000007E-2</v>
      </c>
      <c r="AU216" s="9">
        <v>4.4000000000000004</v>
      </c>
      <c r="AV216" s="9">
        <v>0.13</v>
      </c>
      <c r="AW216" s="9">
        <f>1.08+0.36+0.38</f>
        <v>1.82</v>
      </c>
      <c r="AX216" s="9">
        <f>1.53+0.52</f>
        <v>2.0499999999999998</v>
      </c>
      <c r="AY216" s="58">
        <f t="shared" si="162"/>
        <v>20.47</v>
      </c>
      <c r="AZ216" s="59">
        <v>1227.9000000000001</v>
      </c>
      <c r="BA216" s="59">
        <v>0</v>
      </c>
      <c r="BB216" s="59">
        <f t="shared" si="134"/>
        <v>1227.9000000000001</v>
      </c>
      <c r="BC216" s="59">
        <v>20.47</v>
      </c>
      <c r="BD216" s="13">
        <f t="shared" si="160"/>
        <v>0</v>
      </c>
      <c r="BE216" s="9">
        <f t="shared" si="138"/>
        <v>25661.19</v>
      </c>
      <c r="BF216" s="9">
        <v>20.47</v>
      </c>
      <c r="BG216" s="10">
        <v>44378</v>
      </c>
      <c r="BH216" s="9">
        <f t="shared" si="139"/>
        <v>513.98</v>
      </c>
      <c r="BI216" s="9">
        <f t="shared" si="140"/>
        <v>4575.6400000000003</v>
      </c>
      <c r="BJ216" s="9">
        <f t="shared" si="141"/>
        <v>2632.56</v>
      </c>
      <c r="BK216" s="9">
        <f t="shared" si="142"/>
        <v>539.04999999999995</v>
      </c>
      <c r="BL216" s="9">
        <f t="shared" si="143"/>
        <v>2707.78</v>
      </c>
      <c r="BM216" s="9">
        <f t="shared" si="144"/>
        <v>426.22</v>
      </c>
      <c r="BN216" s="9">
        <f t="shared" si="145"/>
        <v>0</v>
      </c>
      <c r="BO216" s="9">
        <f t="shared" si="146"/>
        <v>0</v>
      </c>
      <c r="BP216" s="9">
        <f t="shared" si="147"/>
        <v>589.19000000000005</v>
      </c>
      <c r="BQ216" s="9">
        <f t="shared" si="148"/>
        <v>162.97</v>
      </c>
      <c r="BR216" s="9">
        <f t="shared" si="149"/>
        <v>1504.32</v>
      </c>
      <c r="BS216" s="9">
        <f t="shared" si="150"/>
        <v>1391.5</v>
      </c>
      <c r="BT216" s="9">
        <f t="shared" si="151"/>
        <v>87.75</v>
      </c>
      <c r="BU216" s="9">
        <f t="shared" si="152"/>
        <v>5515.84</v>
      </c>
      <c r="BV216" s="9">
        <f t="shared" si="153"/>
        <v>162.97</v>
      </c>
      <c r="BW216" s="9">
        <f t="shared" si="154"/>
        <v>2281.5500000000002</v>
      </c>
      <c r="BX216" s="9">
        <f t="shared" si="155"/>
        <v>2569.88</v>
      </c>
      <c r="BY216" s="17">
        <f t="shared" si="156"/>
        <v>25661.200000000001</v>
      </c>
      <c r="BZ216" s="17">
        <v>1.39</v>
      </c>
      <c r="CA216" s="17">
        <v>0.03</v>
      </c>
      <c r="CB216" s="173">
        <v>0</v>
      </c>
      <c r="CC216" s="27">
        <v>0.01</v>
      </c>
      <c r="CD216" s="29">
        <v>6.33</v>
      </c>
      <c r="CE216" s="9">
        <v>235.51</v>
      </c>
      <c r="CF216" s="9"/>
      <c r="CG216" s="9">
        <v>0</v>
      </c>
      <c r="CH216" s="9">
        <v>0</v>
      </c>
      <c r="CI216" s="9">
        <f t="shared" si="167"/>
        <v>0.19</v>
      </c>
      <c r="CJ216" s="9">
        <f t="shared" si="168"/>
        <v>0</v>
      </c>
      <c r="CK216" s="13">
        <f t="shared" si="169"/>
        <v>0</v>
      </c>
      <c r="CL216" s="13">
        <f t="shared" si="170"/>
        <v>0</v>
      </c>
      <c r="CM216" s="13">
        <v>25661.22</v>
      </c>
      <c r="CN216" s="13">
        <v>238.15</v>
      </c>
      <c r="CO216" s="13">
        <v>0</v>
      </c>
      <c r="CP216" s="13">
        <v>0</v>
      </c>
      <c r="CQ216" s="13">
        <v>0</v>
      </c>
      <c r="CR216" s="13">
        <v>26268.69</v>
      </c>
      <c r="CS216" s="13">
        <v>438.88</v>
      </c>
      <c r="CT216" s="13">
        <v>0</v>
      </c>
      <c r="CU216" s="13">
        <v>6.56</v>
      </c>
      <c r="CV216" s="13">
        <v>2.2000000000000002</v>
      </c>
      <c r="CW216" s="202">
        <v>1092</v>
      </c>
      <c r="CX216" s="200">
        <v>627</v>
      </c>
      <c r="CY216" s="202"/>
      <c r="CZ216" s="202"/>
      <c r="DA216" s="202"/>
      <c r="DB216" s="202"/>
      <c r="DC216" s="202"/>
      <c r="DD216" s="461"/>
      <c r="DE216" s="256"/>
      <c r="DF216" s="204">
        <v>427</v>
      </c>
      <c r="DG216" s="204"/>
      <c r="DH216" s="204"/>
      <c r="DI216" s="204"/>
      <c r="DJ216" s="202"/>
      <c r="DK216" s="202"/>
      <c r="DL216" s="202"/>
      <c r="DM216" s="202"/>
      <c r="DN216" s="202"/>
      <c r="DO216" s="202"/>
      <c r="DP216" s="202">
        <v>4896</v>
      </c>
      <c r="DQ216" s="202">
        <v>1700</v>
      </c>
      <c r="DR216" s="202">
        <v>1</v>
      </c>
      <c r="DS216" s="202"/>
      <c r="DT216" s="254"/>
      <c r="DU216" s="254"/>
      <c r="DV216" s="202"/>
      <c r="DW216" s="202">
        <v>4766</v>
      </c>
      <c r="DX216" s="202"/>
      <c r="DY216" s="107">
        <v>1365</v>
      </c>
      <c r="DZ216" s="107"/>
      <c r="EA216" s="202"/>
      <c r="EB216" s="202"/>
      <c r="EC216" s="202"/>
      <c r="ED216" s="202"/>
      <c r="EE216" s="202"/>
      <c r="EF216" s="229"/>
      <c r="EG216" s="202"/>
      <c r="EH216" s="202"/>
      <c r="EI216" s="202"/>
      <c r="EJ216" s="202"/>
      <c r="EK216" s="202">
        <v>235.51</v>
      </c>
      <c r="EL216" s="202">
        <v>0</v>
      </c>
      <c r="EM216" s="202">
        <v>0</v>
      </c>
      <c r="EN216" s="202">
        <v>0</v>
      </c>
      <c r="EO216" s="202">
        <v>235.51</v>
      </c>
      <c r="EP216" s="202"/>
      <c r="EQ216" s="202">
        <v>0</v>
      </c>
      <c r="ER216" s="202">
        <v>0</v>
      </c>
      <c r="ES216" s="202"/>
      <c r="ET216" s="202"/>
      <c r="EU216" s="202"/>
      <c r="EV216" s="214">
        <v>0.98</v>
      </c>
      <c r="EW216" s="240">
        <f t="shared" si="157"/>
        <v>2741.82</v>
      </c>
      <c r="EX216" s="209">
        <f t="shared" si="158"/>
        <v>1784.52</v>
      </c>
    </row>
    <row r="217" spans="1:154" ht="12.75" customHeight="1" x14ac:dyDescent="0.2">
      <c r="A217" s="45" t="s">
        <v>306</v>
      </c>
      <c r="B217" s="48" t="s">
        <v>271</v>
      </c>
      <c r="C217" s="49" t="s">
        <v>39</v>
      </c>
      <c r="D217" s="50" t="s">
        <v>497</v>
      </c>
      <c r="E217" s="49" t="s">
        <v>12</v>
      </c>
      <c r="F217" s="11">
        <v>9</v>
      </c>
      <c r="G217" s="11">
        <v>4</v>
      </c>
      <c r="H217" s="11">
        <v>148</v>
      </c>
      <c r="I217" s="11">
        <v>148</v>
      </c>
      <c r="J217" s="11">
        <v>390</v>
      </c>
      <c r="K217" s="11">
        <v>439</v>
      </c>
      <c r="L217" s="11">
        <v>4</v>
      </c>
      <c r="M217" s="84">
        <v>1244.9000000000001</v>
      </c>
      <c r="N217" s="84">
        <v>1130</v>
      </c>
      <c r="O217" s="84">
        <v>1130</v>
      </c>
      <c r="P217" s="135">
        <f>1244.9+108.4</f>
        <v>1353.3</v>
      </c>
      <c r="Q217" s="135">
        <v>1339.7</v>
      </c>
      <c r="R217" s="133">
        <v>1469.7</v>
      </c>
      <c r="S217" s="133">
        <f t="shared" si="159"/>
        <v>4162.7</v>
      </c>
      <c r="T217" s="134">
        <v>1353.3</v>
      </c>
      <c r="U217" s="130">
        <v>2.44</v>
      </c>
      <c r="V217" s="91">
        <v>1.9800000000000002E-2</v>
      </c>
      <c r="W217" s="91">
        <v>1.9800000000000002E-2</v>
      </c>
      <c r="X217" s="132">
        <v>1.32E-3</v>
      </c>
      <c r="Y217" s="91">
        <v>3.9699999999999999E-2</v>
      </c>
      <c r="Z217" s="29">
        <v>8149.3</v>
      </c>
      <c r="AA217" s="34">
        <v>257.7</v>
      </c>
      <c r="AB217" s="9">
        <f t="shared" si="133"/>
        <v>8407</v>
      </c>
      <c r="AC217" s="9">
        <f t="shared" si="135"/>
        <v>53216.31</v>
      </c>
      <c r="AD217" s="9">
        <v>2.02</v>
      </c>
      <c r="AE217" s="9">
        <v>4.2300000000000004</v>
      </c>
      <c r="AF217" s="21">
        <f>2.45-AJ217</f>
        <v>2.3199999999999998</v>
      </c>
      <c r="AG217" s="18">
        <f>0.63-AQ217</f>
        <v>0.57999999999999996</v>
      </c>
      <c r="AH217" s="9">
        <v>2.78</v>
      </c>
      <c r="AI217" s="13">
        <v>1085</v>
      </c>
      <c r="AJ217" s="21">
        <f t="shared" si="137"/>
        <v>0.13</v>
      </c>
      <c r="AK217" s="9">
        <v>2.0499999999999998</v>
      </c>
      <c r="AL217" s="9">
        <v>0.18</v>
      </c>
      <c r="AM217" s="9">
        <v>7.0000000000000007E-2</v>
      </c>
      <c r="AN217" s="13"/>
      <c r="AO217" s="13">
        <v>820.4</v>
      </c>
      <c r="AP217" s="13">
        <f t="shared" si="161"/>
        <v>5.58</v>
      </c>
      <c r="AQ217" s="18">
        <f t="shared" si="136"/>
        <v>0.05</v>
      </c>
      <c r="AR217" s="9">
        <v>0.54</v>
      </c>
      <c r="AS217" s="9">
        <v>0.16</v>
      </c>
      <c r="AT217" s="9">
        <v>7.0000000000000007E-2</v>
      </c>
      <c r="AU217" s="9">
        <v>4.88</v>
      </c>
      <c r="AV217" s="9">
        <v>0.16</v>
      </c>
      <c r="AW217" s="9">
        <f>0.25+1.36+0.42</f>
        <v>2.0299999999999998</v>
      </c>
      <c r="AX217" s="9">
        <f>1.91+0.58</f>
        <v>2.4900000000000002</v>
      </c>
      <c r="AY217" s="46">
        <f t="shared" si="162"/>
        <v>24.74</v>
      </c>
      <c r="AZ217" s="47">
        <v>8129.7</v>
      </c>
      <c r="BA217" s="47">
        <v>265.39999999999998</v>
      </c>
      <c r="BB217" s="47">
        <f t="shared" si="134"/>
        <v>8395.1</v>
      </c>
      <c r="BC217" s="47">
        <v>24.74</v>
      </c>
      <c r="BD217" s="13">
        <f t="shared" si="160"/>
        <v>0</v>
      </c>
      <c r="BE217" s="9">
        <f t="shared" si="138"/>
        <v>207989.18</v>
      </c>
      <c r="BF217" s="9">
        <v>24.74</v>
      </c>
      <c r="BG217" s="10">
        <v>44409</v>
      </c>
      <c r="BH217" s="9">
        <f t="shared" si="139"/>
        <v>16982.14</v>
      </c>
      <c r="BI217" s="9">
        <f t="shared" si="140"/>
        <v>35561.61</v>
      </c>
      <c r="BJ217" s="9">
        <f t="shared" si="141"/>
        <v>19504.240000000002</v>
      </c>
      <c r="BK217" s="9">
        <f t="shared" si="142"/>
        <v>4876.0600000000004</v>
      </c>
      <c r="BL217" s="9">
        <f t="shared" si="143"/>
        <v>23371.46</v>
      </c>
      <c r="BM217" s="9">
        <f t="shared" si="144"/>
        <v>1092.9100000000001</v>
      </c>
      <c r="BN217" s="9">
        <f t="shared" si="145"/>
        <v>17234.349999999999</v>
      </c>
      <c r="BO217" s="9">
        <f t="shared" si="146"/>
        <v>1513.26</v>
      </c>
      <c r="BP217" s="9">
        <f t="shared" si="147"/>
        <v>588.49</v>
      </c>
      <c r="BQ217" s="9">
        <f t="shared" si="148"/>
        <v>420.35</v>
      </c>
      <c r="BR217" s="9">
        <f t="shared" si="149"/>
        <v>4539.78</v>
      </c>
      <c r="BS217" s="9">
        <f t="shared" si="150"/>
        <v>1345.12</v>
      </c>
      <c r="BT217" s="9">
        <f t="shared" si="151"/>
        <v>588.49</v>
      </c>
      <c r="BU217" s="9">
        <f t="shared" si="152"/>
        <v>41026.160000000003</v>
      </c>
      <c r="BV217" s="9">
        <f t="shared" si="153"/>
        <v>1345.12</v>
      </c>
      <c r="BW217" s="9">
        <f t="shared" si="154"/>
        <v>17066.21</v>
      </c>
      <c r="BX217" s="9">
        <f t="shared" si="155"/>
        <v>20933.43</v>
      </c>
      <c r="BY217" s="17">
        <f t="shared" si="156"/>
        <v>207989.18</v>
      </c>
      <c r="BZ217" s="17">
        <v>3.63</v>
      </c>
      <c r="CA217" s="17">
        <v>0.08</v>
      </c>
      <c r="CB217" s="17">
        <v>0.49</v>
      </c>
      <c r="CC217" s="27">
        <v>0.09</v>
      </c>
      <c r="CD217" s="29">
        <v>6.33</v>
      </c>
      <c r="CE217" s="9">
        <v>28283.55</v>
      </c>
      <c r="CF217" s="9"/>
      <c r="CG217" s="9">
        <v>16619.759999999998</v>
      </c>
      <c r="CH217" s="9">
        <v>9080.1200000000008</v>
      </c>
      <c r="CI217" s="9">
        <f t="shared" si="167"/>
        <v>3.36</v>
      </c>
      <c r="CJ217" s="9">
        <f t="shared" si="168"/>
        <v>0</v>
      </c>
      <c r="CK217" s="13">
        <f t="shared" si="169"/>
        <v>1.98</v>
      </c>
      <c r="CL217" s="13">
        <f t="shared" si="170"/>
        <v>1.08</v>
      </c>
      <c r="CM217" s="13">
        <v>201687.92</v>
      </c>
      <c r="CN217" s="13">
        <v>39875.730000000003</v>
      </c>
      <c r="CO217" s="13">
        <v>1.47</v>
      </c>
      <c r="CP217" s="13">
        <v>1875.32</v>
      </c>
      <c r="CQ217" s="13">
        <v>1304.6199999999999</v>
      </c>
      <c r="CR217" s="13">
        <v>196960.98</v>
      </c>
      <c r="CS217" s="13">
        <v>35608.839999999997</v>
      </c>
      <c r="CT217" s="13">
        <v>2391.9699999999998</v>
      </c>
      <c r="CU217" s="13">
        <v>6189.72</v>
      </c>
      <c r="CV217" s="13">
        <v>3587.73</v>
      </c>
      <c r="CW217" s="202">
        <v>7324</v>
      </c>
      <c r="CX217" s="200">
        <v>4202</v>
      </c>
      <c r="CY217" s="202"/>
      <c r="CZ217" s="202"/>
      <c r="DA217" s="202"/>
      <c r="DB217" s="202"/>
      <c r="DC217" s="202"/>
      <c r="DD217" s="461"/>
      <c r="DE217" s="256"/>
      <c r="DF217" s="204">
        <v>1085</v>
      </c>
      <c r="DG217" s="204"/>
      <c r="DH217" s="204"/>
      <c r="DI217" s="204"/>
      <c r="DJ217" s="202"/>
      <c r="DK217" s="202">
        <v>17200</v>
      </c>
      <c r="DL217" s="202"/>
      <c r="DM217" s="202"/>
      <c r="DN217" s="202"/>
      <c r="DO217" s="202"/>
      <c r="DP217" s="202">
        <v>51271</v>
      </c>
      <c r="DQ217" s="202">
        <v>1700</v>
      </c>
      <c r="DR217" s="202">
        <v>1</v>
      </c>
      <c r="DS217" s="202"/>
      <c r="DT217" s="254"/>
      <c r="DU217" s="254"/>
      <c r="DV217" s="202"/>
      <c r="DW217" s="202">
        <v>39560</v>
      </c>
      <c r="DX217" s="202"/>
      <c r="DY217" s="107"/>
      <c r="DZ217" s="107">
        <v>577</v>
      </c>
      <c r="EA217" s="202"/>
      <c r="EB217" s="202"/>
      <c r="EC217" s="202"/>
      <c r="ED217" s="202"/>
      <c r="EE217" s="202"/>
      <c r="EF217" s="229"/>
      <c r="EG217" s="202"/>
      <c r="EH217" s="202"/>
      <c r="EI217" s="202"/>
      <c r="EJ217" s="202"/>
      <c r="EK217" s="202">
        <v>41142.89</v>
      </c>
      <c r="EL217" s="202">
        <v>0</v>
      </c>
      <c r="EM217" s="202">
        <v>1891.68</v>
      </c>
      <c r="EN217" s="202">
        <v>1369.46</v>
      </c>
      <c r="EO217" s="202">
        <v>41142.89</v>
      </c>
      <c r="EP217" s="202"/>
      <c r="EQ217" s="202">
        <v>1891.68</v>
      </c>
      <c r="ER217" s="202">
        <v>1369.46</v>
      </c>
      <c r="ES217" s="202"/>
      <c r="ET217" s="202"/>
      <c r="EU217" s="202"/>
      <c r="EV217" s="214">
        <v>233.22</v>
      </c>
      <c r="EW217" s="240">
        <f t="shared" si="157"/>
        <v>18387.45</v>
      </c>
      <c r="EX217" s="209">
        <f t="shared" si="158"/>
        <v>11967.53</v>
      </c>
    </row>
    <row r="218" spans="1:154" ht="12.75" customHeight="1" x14ac:dyDescent="0.2">
      <c r="A218" s="45" t="s">
        <v>307</v>
      </c>
      <c r="B218" s="48" t="s">
        <v>271</v>
      </c>
      <c r="C218" s="49" t="s">
        <v>39</v>
      </c>
      <c r="D218" s="50" t="s">
        <v>582</v>
      </c>
      <c r="E218" s="49" t="s">
        <v>9</v>
      </c>
      <c r="F218" s="11">
        <v>9</v>
      </c>
      <c r="G218" s="11">
        <v>4</v>
      </c>
      <c r="H218" s="11">
        <v>144</v>
      </c>
      <c r="I218" s="11">
        <v>145</v>
      </c>
      <c r="J218" s="11">
        <v>372</v>
      </c>
      <c r="K218" s="11">
        <v>443</v>
      </c>
      <c r="L218" s="83">
        <v>4</v>
      </c>
      <c r="M218" s="84">
        <v>883.8</v>
      </c>
      <c r="N218" s="84">
        <v>1349</v>
      </c>
      <c r="O218" s="84">
        <v>1349</v>
      </c>
      <c r="P218" s="135">
        <v>1345.9</v>
      </c>
      <c r="Q218" s="135">
        <v>1349.9</v>
      </c>
      <c r="R218" s="135">
        <v>1349.9</v>
      </c>
      <c r="S218" s="133">
        <f t="shared" si="159"/>
        <v>4045.7</v>
      </c>
      <c r="T218" s="134">
        <v>1345.9</v>
      </c>
      <c r="U218" s="130">
        <v>2.44</v>
      </c>
      <c r="V218" s="131">
        <v>1.9800000000000002E-2</v>
      </c>
      <c r="W218" s="131">
        <v>1.9800000000000002E-2</v>
      </c>
      <c r="X218" s="132">
        <v>1.32E-3</v>
      </c>
      <c r="Y218" s="131">
        <v>3.9699999999999999E-2</v>
      </c>
      <c r="Z218" s="29">
        <v>7864.2</v>
      </c>
      <c r="AA218" s="34"/>
      <c r="AB218" s="9">
        <f t="shared" si="133"/>
        <v>7864.2</v>
      </c>
      <c r="AC218" s="9">
        <f t="shared" si="135"/>
        <v>49780.39</v>
      </c>
      <c r="AD218" s="9">
        <v>2.15</v>
      </c>
      <c r="AE218" s="9">
        <v>4.18</v>
      </c>
      <c r="AF218" s="21">
        <f>2.39-AJ218</f>
        <v>2.23</v>
      </c>
      <c r="AG218" s="18">
        <f>0.64-AQ218</f>
        <v>0.59</v>
      </c>
      <c r="AH218" s="9">
        <v>2.78</v>
      </c>
      <c r="AI218" s="13">
        <v>1296</v>
      </c>
      <c r="AJ218" s="21">
        <f t="shared" si="137"/>
        <v>0.16</v>
      </c>
      <c r="AK218" s="9">
        <v>2.19</v>
      </c>
      <c r="AL218" s="9">
        <v>0.49</v>
      </c>
      <c r="AM218" s="9">
        <v>7.0000000000000007E-2</v>
      </c>
      <c r="AN218" s="13"/>
      <c r="AO218" s="13">
        <v>820.4</v>
      </c>
      <c r="AP218" s="13">
        <f t="shared" si="161"/>
        <v>5.58</v>
      </c>
      <c r="AQ218" s="18">
        <f t="shared" si="136"/>
        <v>0.05</v>
      </c>
      <c r="AR218" s="9">
        <v>0.56000000000000005</v>
      </c>
      <c r="AS218" s="9">
        <v>0.17</v>
      </c>
      <c r="AT218" s="9">
        <v>7.0000000000000007E-2</v>
      </c>
      <c r="AU218" s="9">
        <v>4.58</v>
      </c>
      <c r="AV218" s="9">
        <v>0.17</v>
      </c>
      <c r="AW218" s="9">
        <f>0.26+1.41+0.4</f>
        <v>2.0699999999999998</v>
      </c>
      <c r="AX218" s="9">
        <f>1.98+0.55</f>
        <v>2.5299999999999998</v>
      </c>
      <c r="AY218" s="46">
        <f t="shared" si="162"/>
        <v>25.04</v>
      </c>
      <c r="AZ218" s="47">
        <v>7847.2</v>
      </c>
      <c r="BA218" s="47">
        <v>0</v>
      </c>
      <c r="BB218" s="47">
        <f t="shared" si="134"/>
        <v>7847.2</v>
      </c>
      <c r="BC218" s="47">
        <v>25.04</v>
      </c>
      <c r="BD218" s="13">
        <f t="shared" si="160"/>
        <v>0</v>
      </c>
      <c r="BE218" s="9">
        <f t="shared" si="138"/>
        <v>196919.57</v>
      </c>
      <c r="BF218" s="9">
        <v>25.04</v>
      </c>
      <c r="BG218" s="10">
        <v>44409</v>
      </c>
      <c r="BH218" s="9">
        <f t="shared" si="139"/>
        <v>16908.03</v>
      </c>
      <c r="BI218" s="9">
        <f t="shared" si="140"/>
        <v>32872.36</v>
      </c>
      <c r="BJ218" s="9">
        <f t="shared" si="141"/>
        <v>17537.169999999998</v>
      </c>
      <c r="BK218" s="9">
        <f t="shared" si="142"/>
        <v>4639.88</v>
      </c>
      <c r="BL218" s="9">
        <f t="shared" si="143"/>
        <v>21862.48</v>
      </c>
      <c r="BM218" s="9">
        <f t="shared" si="144"/>
        <v>1258.27</v>
      </c>
      <c r="BN218" s="9">
        <f t="shared" si="145"/>
        <v>17222.599999999999</v>
      </c>
      <c r="BO218" s="9">
        <f t="shared" si="146"/>
        <v>3853.46</v>
      </c>
      <c r="BP218" s="9">
        <f t="shared" si="147"/>
        <v>550.49</v>
      </c>
      <c r="BQ218" s="9">
        <f t="shared" si="148"/>
        <v>393.21</v>
      </c>
      <c r="BR218" s="9">
        <f t="shared" si="149"/>
        <v>4403.95</v>
      </c>
      <c r="BS218" s="9">
        <f t="shared" si="150"/>
        <v>1336.91</v>
      </c>
      <c r="BT218" s="9">
        <f t="shared" si="151"/>
        <v>550.49</v>
      </c>
      <c r="BU218" s="9">
        <f t="shared" si="152"/>
        <v>36018.04</v>
      </c>
      <c r="BV218" s="9">
        <f t="shared" si="153"/>
        <v>1336.91</v>
      </c>
      <c r="BW218" s="9">
        <f t="shared" si="154"/>
        <v>16278.89</v>
      </c>
      <c r="BX218" s="9">
        <f t="shared" si="155"/>
        <v>19896.43</v>
      </c>
      <c r="BY218" s="17">
        <f t="shared" si="156"/>
        <v>196919.57</v>
      </c>
      <c r="BZ218" s="17">
        <v>4.82</v>
      </c>
      <c r="CA218" s="17">
        <v>0.09</v>
      </c>
      <c r="CB218" s="17">
        <v>0.54</v>
      </c>
      <c r="CC218" s="27">
        <v>0.1</v>
      </c>
      <c r="CD218" s="29">
        <v>6.33</v>
      </c>
      <c r="CE218" s="9">
        <v>11892.72</v>
      </c>
      <c r="CF218" s="9"/>
      <c r="CG218" s="9">
        <v>11241.98</v>
      </c>
      <c r="CH218" s="9">
        <v>6262.6</v>
      </c>
      <c r="CI218" s="9">
        <f t="shared" si="167"/>
        <v>1.51</v>
      </c>
      <c r="CJ218" s="9">
        <f t="shared" si="168"/>
        <v>0</v>
      </c>
      <c r="CK218" s="13">
        <f t="shared" si="169"/>
        <v>1.43</v>
      </c>
      <c r="CL218" s="13">
        <f t="shared" si="170"/>
        <v>0.8</v>
      </c>
      <c r="CM218" s="13">
        <v>196997.2</v>
      </c>
      <c r="CN218" s="13">
        <v>52332.9</v>
      </c>
      <c r="CO218" s="13">
        <v>2754.82</v>
      </c>
      <c r="CP218" s="13">
        <v>0.28000000000000003</v>
      </c>
      <c r="CQ218" s="13">
        <v>393.26</v>
      </c>
      <c r="CR218" s="13">
        <v>215926.87</v>
      </c>
      <c r="CS218" s="13">
        <v>58404.35</v>
      </c>
      <c r="CT218" s="13">
        <v>1123.1199999999999</v>
      </c>
      <c r="CU218" s="13">
        <v>5135.17</v>
      </c>
      <c r="CV218" s="13">
        <v>3125.17</v>
      </c>
      <c r="CW218" s="202">
        <v>6854</v>
      </c>
      <c r="CX218" s="200">
        <v>3932</v>
      </c>
      <c r="CY218" s="202"/>
      <c r="CZ218" s="202"/>
      <c r="DA218" s="202"/>
      <c r="DB218" s="202"/>
      <c r="DC218" s="202"/>
      <c r="DD218" s="461"/>
      <c r="DE218" s="256"/>
      <c r="DF218" s="204">
        <v>1296</v>
      </c>
      <c r="DG218" s="204"/>
      <c r="DH218" s="204"/>
      <c r="DI218" s="204"/>
      <c r="DJ218" s="202"/>
      <c r="DK218" s="202">
        <v>17200</v>
      </c>
      <c r="DL218" s="202"/>
      <c r="DM218" s="202"/>
      <c r="DN218" s="202"/>
      <c r="DO218" s="202"/>
      <c r="DP218" s="202">
        <v>48518</v>
      </c>
      <c r="DQ218" s="202">
        <v>1700</v>
      </c>
      <c r="DR218" s="202">
        <v>1</v>
      </c>
      <c r="DS218" s="202"/>
      <c r="DT218" s="254"/>
      <c r="DU218" s="254"/>
      <c r="DV218" s="202"/>
      <c r="DW218" s="202">
        <v>36403</v>
      </c>
      <c r="DX218" s="202"/>
      <c r="DY218" s="107">
        <v>1365</v>
      </c>
      <c r="DZ218" s="107">
        <v>577</v>
      </c>
      <c r="EA218" s="202"/>
      <c r="EB218" s="202"/>
      <c r="EC218" s="202"/>
      <c r="ED218" s="202"/>
      <c r="EE218" s="202"/>
      <c r="EF218" s="229"/>
      <c r="EG218" s="202"/>
      <c r="EH218" s="202"/>
      <c r="EI218" s="202"/>
      <c r="EJ218" s="202"/>
      <c r="EK218" s="202">
        <v>52268.24</v>
      </c>
      <c r="EL218" s="202">
        <v>2788.57</v>
      </c>
      <c r="EM218" s="202">
        <v>0</v>
      </c>
      <c r="EN218" s="202">
        <v>377.03</v>
      </c>
      <c r="EO218" s="202">
        <v>52268.24</v>
      </c>
      <c r="EP218" s="202"/>
      <c r="EQ218" s="202">
        <v>0</v>
      </c>
      <c r="ER218" s="202">
        <v>377.03</v>
      </c>
      <c r="ES218" s="202"/>
      <c r="ET218" s="202"/>
      <c r="EU218" s="202"/>
      <c r="EV218" s="214">
        <v>246.36</v>
      </c>
      <c r="EW218" s="240">
        <f t="shared" si="157"/>
        <v>17200.259999999998</v>
      </c>
      <c r="EX218" s="209">
        <f t="shared" si="158"/>
        <v>11194.85</v>
      </c>
    </row>
    <row r="219" spans="1:154" ht="12.75" customHeight="1" x14ac:dyDescent="0.2">
      <c r="A219" s="45" t="s">
        <v>308</v>
      </c>
      <c r="B219" s="48" t="s">
        <v>277</v>
      </c>
      <c r="C219" s="49" t="s">
        <v>11</v>
      </c>
      <c r="D219" s="50" t="s">
        <v>583</v>
      </c>
      <c r="E219" s="49" t="s">
        <v>9</v>
      </c>
      <c r="F219" s="11">
        <v>9</v>
      </c>
      <c r="G219" s="11">
        <v>5</v>
      </c>
      <c r="H219" s="11">
        <v>180</v>
      </c>
      <c r="I219" s="11">
        <v>181</v>
      </c>
      <c r="J219" s="11">
        <v>377</v>
      </c>
      <c r="K219" s="11">
        <v>489</v>
      </c>
      <c r="L219" s="11">
        <v>5</v>
      </c>
      <c r="M219" s="84">
        <v>1462.4</v>
      </c>
      <c r="N219" s="84">
        <v>1859</v>
      </c>
      <c r="O219" s="84">
        <v>1859</v>
      </c>
      <c r="P219" s="139">
        <v>1462.4</v>
      </c>
      <c r="Q219" s="135">
        <f>1365.6+54.6+5.1+86.5+164+247.7</f>
        <v>1923.5</v>
      </c>
      <c r="R219" s="133">
        <v>686.9</v>
      </c>
      <c r="S219" s="133">
        <f t="shared" si="159"/>
        <v>4072.8</v>
      </c>
      <c r="T219" s="139">
        <v>1856.3</v>
      </c>
      <c r="U219" s="130">
        <v>2.44</v>
      </c>
      <c r="V219" s="91">
        <v>1.9800000000000002E-2</v>
      </c>
      <c r="W219" s="91">
        <v>1.9800000000000002E-2</v>
      </c>
      <c r="X219" s="132">
        <v>1.32E-3</v>
      </c>
      <c r="Y219" s="91">
        <v>3.9699999999999999E-2</v>
      </c>
      <c r="Z219" s="29">
        <v>9963</v>
      </c>
      <c r="AA219" s="34">
        <v>156.4</v>
      </c>
      <c r="AB219" s="9">
        <f t="shared" si="133"/>
        <v>10119.4</v>
      </c>
      <c r="AC219" s="9">
        <f t="shared" si="135"/>
        <v>64055.8</v>
      </c>
      <c r="AD219" s="9">
        <v>1.98</v>
      </c>
      <c r="AE219" s="9">
        <v>4.72</v>
      </c>
      <c r="AF219" s="21">
        <f>2.43-AJ219</f>
        <v>2.25</v>
      </c>
      <c r="AG219" s="18">
        <f>0.61-AQ219</f>
        <v>0.56000000000000005</v>
      </c>
      <c r="AH219" s="9">
        <v>2.78</v>
      </c>
      <c r="AI219" s="13">
        <v>1785</v>
      </c>
      <c r="AJ219" s="21">
        <f t="shared" si="137"/>
        <v>0.18</v>
      </c>
      <c r="AK219" s="9">
        <v>2.13</v>
      </c>
      <c r="AL219" s="9">
        <v>0.19</v>
      </c>
      <c r="AM219" s="9">
        <v>0</v>
      </c>
      <c r="AN219" s="13"/>
      <c r="AO219" s="13">
        <v>1025.5</v>
      </c>
      <c r="AP219" s="13">
        <f t="shared" si="161"/>
        <v>5.58</v>
      </c>
      <c r="AQ219" s="18">
        <f t="shared" si="136"/>
        <v>0.05</v>
      </c>
      <c r="AR219" s="9">
        <v>0.55000000000000004</v>
      </c>
      <c r="AS219" s="9">
        <v>0.4</v>
      </c>
      <c r="AT219" s="9">
        <v>7.0000000000000007E-2</v>
      </c>
      <c r="AU219" s="9">
        <v>3.74</v>
      </c>
      <c r="AV219" s="9">
        <v>0.17</v>
      </c>
      <c r="AW219" s="9">
        <f>0.26+1.42+0.31</f>
        <v>1.99</v>
      </c>
      <c r="AX219" s="9">
        <f>1.99+0.44</f>
        <v>2.4300000000000002</v>
      </c>
      <c r="AY219" s="46">
        <f t="shared" si="162"/>
        <v>24.19</v>
      </c>
      <c r="AZ219" s="47">
        <v>9956.7000000000007</v>
      </c>
      <c r="BA219" s="47">
        <v>156.4</v>
      </c>
      <c r="BB219" s="47">
        <f t="shared" si="134"/>
        <v>10113.1</v>
      </c>
      <c r="BC219" s="47">
        <v>24.19</v>
      </c>
      <c r="BD219" s="13">
        <f t="shared" si="160"/>
        <v>0</v>
      </c>
      <c r="BE219" s="9">
        <f t="shared" si="138"/>
        <v>244788.29</v>
      </c>
      <c r="BF219" s="9">
        <v>24.19</v>
      </c>
      <c r="BG219" s="10">
        <v>44409</v>
      </c>
      <c r="BH219" s="9">
        <f t="shared" si="139"/>
        <v>20036.41</v>
      </c>
      <c r="BI219" s="9">
        <f t="shared" si="140"/>
        <v>47763.57</v>
      </c>
      <c r="BJ219" s="9">
        <f t="shared" si="141"/>
        <v>22768.65</v>
      </c>
      <c r="BK219" s="9">
        <f t="shared" si="142"/>
        <v>5666.86</v>
      </c>
      <c r="BL219" s="9">
        <f t="shared" si="143"/>
        <v>28131.93</v>
      </c>
      <c r="BM219" s="9">
        <f t="shared" si="144"/>
        <v>1821.49</v>
      </c>
      <c r="BN219" s="9">
        <f t="shared" si="145"/>
        <v>21554.32</v>
      </c>
      <c r="BO219" s="9">
        <f t="shared" si="146"/>
        <v>1922.69</v>
      </c>
      <c r="BP219" s="9">
        <f t="shared" si="147"/>
        <v>0</v>
      </c>
      <c r="BQ219" s="9">
        <f t="shared" si="148"/>
        <v>505.97</v>
      </c>
      <c r="BR219" s="9">
        <f t="shared" si="149"/>
        <v>5565.67</v>
      </c>
      <c r="BS219" s="9">
        <f t="shared" si="150"/>
        <v>4047.76</v>
      </c>
      <c r="BT219" s="9">
        <f t="shared" si="151"/>
        <v>708.36</v>
      </c>
      <c r="BU219" s="9">
        <f t="shared" si="152"/>
        <v>37846.559999999998</v>
      </c>
      <c r="BV219" s="9">
        <f t="shared" si="153"/>
        <v>1720.3</v>
      </c>
      <c r="BW219" s="9">
        <f t="shared" si="154"/>
        <v>20137.61</v>
      </c>
      <c r="BX219" s="9">
        <f t="shared" si="155"/>
        <v>24590.14</v>
      </c>
      <c r="BY219" s="17">
        <f t="shared" si="156"/>
        <v>244788.29</v>
      </c>
      <c r="BZ219" s="17">
        <v>3.77</v>
      </c>
      <c r="CA219" s="17">
        <v>0.08</v>
      </c>
      <c r="CB219" s="17">
        <v>0.46</v>
      </c>
      <c r="CC219" s="27">
        <v>0.08</v>
      </c>
      <c r="CD219" s="29">
        <v>6.33</v>
      </c>
      <c r="CE219" s="9">
        <v>28556.63</v>
      </c>
      <c r="CF219" s="9"/>
      <c r="CG219" s="9">
        <v>25888.99</v>
      </c>
      <c r="CH219" s="9">
        <v>14120.96</v>
      </c>
      <c r="CI219" s="9">
        <f t="shared" si="167"/>
        <v>2.82</v>
      </c>
      <c r="CJ219" s="9">
        <f t="shared" si="168"/>
        <v>0</v>
      </c>
      <c r="CK219" s="13">
        <f t="shared" si="169"/>
        <v>2.56</v>
      </c>
      <c r="CL219" s="13">
        <f t="shared" si="170"/>
        <v>1.4</v>
      </c>
      <c r="CM219" s="13">
        <v>241005.11</v>
      </c>
      <c r="CN219" s="13">
        <v>28992.2</v>
      </c>
      <c r="CO219" s="13">
        <v>19926</v>
      </c>
      <c r="CP219" s="13">
        <v>17236.12</v>
      </c>
      <c r="CQ219" s="13">
        <v>9564.4699999999993</v>
      </c>
      <c r="CR219" s="13">
        <v>244842.43</v>
      </c>
      <c r="CS219" s="13">
        <v>44056.21</v>
      </c>
      <c r="CT219" s="13">
        <v>12785.67</v>
      </c>
      <c r="CU219" s="13">
        <v>17738.04</v>
      </c>
      <c r="CV219" s="13">
        <v>9827.1</v>
      </c>
      <c r="CW219" s="202">
        <v>8813</v>
      </c>
      <c r="CX219" s="200">
        <v>5056</v>
      </c>
      <c r="CY219" s="202"/>
      <c r="CZ219" s="202"/>
      <c r="DA219" s="202"/>
      <c r="DB219" s="202"/>
      <c r="DC219" s="202"/>
      <c r="DD219" s="461"/>
      <c r="DE219" s="256"/>
      <c r="DF219" s="204">
        <v>1785</v>
      </c>
      <c r="DG219" s="204"/>
      <c r="DH219" s="204"/>
      <c r="DI219" s="204"/>
      <c r="DJ219" s="202"/>
      <c r="DK219" s="202">
        <v>21500</v>
      </c>
      <c r="DL219" s="202"/>
      <c r="DM219" s="202"/>
      <c r="DN219" s="202"/>
      <c r="DO219" s="202"/>
      <c r="DP219" s="202">
        <v>66147</v>
      </c>
      <c r="DQ219" s="202">
        <v>3400</v>
      </c>
      <c r="DR219" s="202">
        <v>2</v>
      </c>
      <c r="DS219" s="202"/>
      <c r="DT219" s="254"/>
      <c r="DU219" s="254"/>
      <c r="DV219" s="202"/>
      <c r="DW219" s="202">
        <v>46890</v>
      </c>
      <c r="DX219" s="202"/>
      <c r="DY219" s="107">
        <v>4095</v>
      </c>
      <c r="DZ219" s="107">
        <v>577</v>
      </c>
      <c r="EA219" s="202"/>
      <c r="EB219" s="202"/>
      <c r="EC219" s="202"/>
      <c r="ED219" s="202"/>
      <c r="EE219" s="202"/>
      <c r="EF219" s="229"/>
      <c r="EG219" s="202"/>
      <c r="EH219" s="202"/>
      <c r="EI219" s="202"/>
      <c r="EJ219" s="202"/>
      <c r="EK219" s="202">
        <v>29483.07</v>
      </c>
      <c r="EL219" s="202">
        <v>20237.509999999998</v>
      </c>
      <c r="EM219" s="202">
        <v>17511.55</v>
      </c>
      <c r="EN219" s="202">
        <v>9687.91</v>
      </c>
      <c r="EO219" s="202">
        <v>29483.07</v>
      </c>
      <c r="EP219" s="202"/>
      <c r="EQ219" s="202">
        <v>17511.55</v>
      </c>
      <c r="ER219" s="202">
        <v>9687.91</v>
      </c>
      <c r="ES219" s="202"/>
      <c r="ET219" s="202"/>
      <c r="EU219" s="202"/>
      <c r="EV219" s="214">
        <v>634.21</v>
      </c>
      <c r="EW219" s="240">
        <f t="shared" si="157"/>
        <v>22132.75</v>
      </c>
      <c r="EX219" s="209">
        <f t="shared" si="158"/>
        <v>14405.17</v>
      </c>
    </row>
    <row r="220" spans="1:154" ht="12.75" customHeight="1" x14ac:dyDescent="0.2">
      <c r="A220" s="45" t="s">
        <v>309</v>
      </c>
      <c r="B220" s="48" t="s">
        <v>277</v>
      </c>
      <c r="C220" s="49" t="s">
        <v>46</v>
      </c>
      <c r="D220" s="48" t="s">
        <v>660</v>
      </c>
      <c r="E220" s="49"/>
      <c r="F220" s="11">
        <v>10</v>
      </c>
      <c r="G220" s="11">
        <v>2</v>
      </c>
      <c r="H220" s="11">
        <v>72</v>
      </c>
      <c r="I220" s="11">
        <v>72</v>
      </c>
      <c r="J220" s="11">
        <v>201</v>
      </c>
      <c r="K220" s="11">
        <v>224</v>
      </c>
      <c r="L220" s="11">
        <v>2</v>
      </c>
      <c r="M220" s="84">
        <v>740.6</v>
      </c>
      <c r="N220" s="84">
        <v>666.1</v>
      </c>
      <c r="O220" s="84">
        <v>918</v>
      </c>
      <c r="P220" s="135">
        <v>802.6</v>
      </c>
      <c r="Q220" s="135">
        <v>485.9</v>
      </c>
      <c r="R220" s="135">
        <v>485.9</v>
      </c>
      <c r="S220" s="133">
        <f t="shared" si="159"/>
        <v>1774.4</v>
      </c>
      <c r="T220" s="134">
        <v>802.6</v>
      </c>
      <c r="U220" s="130">
        <v>2.74</v>
      </c>
      <c r="V220" s="131">
        <v>1.1299999999999999E-2</v>
      </c>
      <c r="W220" s="131">
        <v>1.1299999999999999E-2</v>
      </c>
      <c r="X220" s="132">
        <v>7.5000000000000002E-4</v>
      </c>
      <c r="Y220" s="131">
        <v>2.2499999999999999E-2</v>
      </c>
      <c r="Z220" s="29">
        <v>3953.19</v>
      </c>
      <c r="AA220" s="34">
        <v>439.2</v>
      </c>
      <c r="AB220" s="9">
        <f t="shared" si="133"/>
        <v>4392.3900000000003</v>
      </c>
      <c r="AC220" s="9">
        <f t="shared" si="135"/>
        <v>27803.83</v>
      </c>
      <c r="AD220" s="9">
        <v>3.02</v>
      </c>
      <c r="AE220" s="9">
        <v>4.2</v>
      </c>
      <c r="AF220" s="21">
        <f>2.45-AJ220</f>
        <v>2.25</v>
      </c>
      <c r="AG220" s="18">
        <f>0.61-AQ220</f>
        <v>0.56000000000000005</v>
      </c>
      <c r="AH220" s="9">
        <v>2.78</v>
      </c>
      <c r="AI220" s="13">
        <v>881</v>
      </c>
      <c r="AJ220" s="21">
        <f t="shared" si="137"/>
        <v>0.2</v>
      </c>
      <c r="AK220" s="9">
        <v>1.96</v>
      </c>
      <c r="AL220" s="9">
        <v>0.17</v>
      </c>
      <c r="AM220" s="9">
        <v>0.13</v>
      </c>
      <c r="AN220" s="13"/>
      <c r="AO220" s="13">
        <v>455</v>
      </c>
      <c r="AP220" s="13">
        <f t="shared" si="161"/>
        <v>5.58</v>
      </c>
      <c r="AQ220" s="18">
        <f t="shared" si="136"/>
        <v>0.05</v>
      </c>
      <c r="AR220" s="9">
        <v>0.51</v>
      </c>
      <c r="AS220" s="9">
        <v>0.31</v>
      </c>
      <c r="AT220" s="9">
        <v>7.0000000000000007E-2</v>
      </c>
      <c r="AU220" s="9">
        <v>4.3</v>
      </c>
      <c r="AV220" s="9">
        <v>0.17</v>
      </c>
      <c r="AW220" s="9">
        <f>0.26+1.45+0.38</f>
        <v>2.09</v>
      </c>
      <c r="AX220" s="9">
        <f>2.03+0.51</f>
        <v>2.54</v>
      </c>
      <c r="AY220" s="46">
        <f t="shared" si="162"/>
        <v>25.31</v>
      </c>
      <c r="AZ220" s="47"/>
      <c r="BA220" s="47"/>
      <c r="BB220" s="47"/>
      <c r="BC220" s="47">
        <v>25.31</v>
      </c>
      <c r="BD220" s="13">
        <f t="shared" si="160"/>
        <v>0</v>
      </c>
      <c r="BE220" s="9">
        <f t="shared" si="138"/>
        <v>111171.39</v>
      </c>
      <c r="BF220" s="9">
        <v>25.31</v>
      </c>
      <c r="BG220" s="10">
        <v>44440</v>
      </c>
      <c r="BH220" s="9">
        <f t="shared" si="139"/>
        <v>13265.02</v>
      </c>
      <c r="BI220" s="9">
        <f t="shared" si="140"/>
        <v>18448.04</v>
      </c>
      <c r="BJ220" s="9">
        <f t="shared" si="141"/>
        <v>9882.8799999999992</v>
      </c>
      <c r="BK220" s="9">
        <f t="shared" si="142"/>
        <v>2459.7399999999998</v>
      </c>
      <c r="BL220" s="9">
        <f t="shared" si="143"/>
        <v>12210.84</v>
      </c>
      <c r="BM220" s="9">
        <f t="shared" si="144"/>
        <v>878.48</v>
      </c>
      <c r="BN220" s="9">
        <f t="shared" si="145"/>
        <v>8609.08</v>
      </c>
      <c r="BO220" s="9">
        <f t="shared" si="146"/>
        <v>746.71</v>
      </c>
      <c r="BP220" s="9">
        <f t="shared" si="147"/>
        <v>571.01</v>
      </c>
      <c r="BQ220" s="9">
        <f t="shared" si="148"/>
        <v>219.62</v>
      </c>
      <c r="BR220" s="9">
        <f t="shared" si="149"/>
        <v>2240.12</v>
      </c>
      <c r="BS220" s="9">
        <f t="shared" si="150"/>
        <v>1361.64</v>
      </c>
      <c r="BT220" s="9">
        <f t="shared" si="151"/>
        <v>307.47000000000003</v>
      </c>
      <c r="BU220" s="9">
        <f t="shared" si="152"/>
        <v>18887.28</v>
      </c>
      <c r="BV220" s="9">
        <f t="shared" si="153"/>
        <v>746.71</v>
      </c>
      <c r="BW220" s="9">
        <f t="shared" si="154"/>
        <v>9180.1</v>
      </c>
      <c r="BX220" s="9">
        <f t="shared" si="155"/>
        <v>11156.67</v>
      </c>
      <c r="BY220" s="17">
        <f t="shared" si="156"/>
        <v>111171.41</v>
      </c>
      <c r="BZ220" s="17">
        <v>4.25</v>
      </c>
      <c r="CA220" s="17">
        <v>0.06</v>
      </c>
      <c r="CB220" s="17">
        <v>0.33</v>
      </c>
      <c r="CC220" s="27">
        <v>0.06</v>
      </c>
      <c r="CD220" s="29">
        <v>6.33</v>
      </c>
      <c r="CE220" s="9"/>
      <c r="CF220" s="9"/>
      <c r="CG220" s="9"/>
      <c r="CH220" s="9"/>
      <c r="CI220" s="9"/>
      <c r="CJ220" s="9"/>
      <c r="CK220" s="13"/>
      <c r="CL220" s="13"/>
      <c r="CM220" s="13">
        <v>100055.28</v>
      </c>
      <c r="CN220" s="13">
        <v>5139.1499999999996</v>
      </c>
      <c r="CO220" s="13">
        <v>0</v>
      </c>
      <c r="CP220" s="13">
        <v>1581.27</v>
      </c>
      <c r="CQ220" s="13">
        <v>948.76</v>
      </c>
      <c r="CR220" s="13">
        <v>98689.21</v>
      </c>
      <c r="CS220" s="13">
        <v>11097.29</v>
      </c>
      <c r="CT220" s="13">
        <v>230.72</v>
      </c>
      <c r="CU220" s="13">
        <v>2027.15</v>
      </c>
      <c r="CV220" s="13">
        <v>1170.25</v>
      </c>
      <c r="CW220" s="202">
        <v>3827</v>
      </c>
      <c r="CX220" s="200">
        <v>2195</v>
      </c>
      <c r="CY220" s="202"/>
      <c r="CZ220" s="202"/>
      <c r="DA220" s="202"/>
      <c r="DB220" s="202"/>
      <c r="DC220" s="202"/>
      <c r="DD220" s="461"/>
      <c r="DE220" s="256"/>
      <c r="DF220" s="204">
        <v>881</v>
      </c>
      <c r="DG220" s="204"/>
      <c r="DH220" s="204"/>
      <c r="DI220" s="204"/>
      <c r="DJ220" s="202"/>
      <c r="DK220" s="202">
        <v>8600</v>
      </c>
      <c r="DL220" s="202"/>
      <c r="DM220" s="202"/>
      <c r="DN220" s="202"/>
      <c r="DO220" s="202"/>
      <c r="DP220" s="202">
        <v>30891</v>
      </c>
      <c r="DQ220" s="202">
        <v>3400</v>
      </c>
      <c r="DR220" s="202">
        <v>2</v>
      </c>
      <c r="DS220" s="202"/>
      <c r="DT220" s="254"/>
      <c r="DU220" s="254"/>
      <c r="DV220" s="202"/>
      <c r="DW220" s="202">
        <v>20312</v>
      </c>
      <c r="DX220" s="202"/>
      <c r="DY220" s="107">
        <v>1365</v>
      </c>
      <c r="DZ220" s="107">
        <v>577</v>
      </c>
      <c r="EA220" s="202"/>
      <c r="EB220" s="202"/>
      <c r="EC220" s="202"/>
      <c r="ED220" s="202"/>
      <c r="EE220" s="202"/>
      <c r="EF220" s="229"/>
      <c r="EG220" s="202"/>
      <c r="EH220" s="202"/>
      <c r="EI220" s="202"/>
      <c r="EJ220" s="202"/>
      <c r="EK220" s="202">
        <v>5702.53</v>
      </c>
      <c r="EL220" s="202">
        <v>0</v>
      </c>
      <c r="EM220" s="202">
        <v>1756.56</v>
      </c>
      <c r="EN220" s="202">
        <v>1047.93</v>
      </c>
      <c r="EO220" s="202">
        <v>5702.53</v>
      </c>
      <c r="EP220" s="202"/>
      <c r="EQ220" s="202">
        <v>1756.56</v>
      </c>
      <c r="ER220" s="202">
        <v>1047.93</v>
      </c>
      <c r="ES220" s="202"/>
      <c r="ET220" s="202"/>
      <c r="EU220" s="202"/>
      <c r="EV220" s="214">
        <v>91.16</v>
      </c>
      <c r="EW220" s="240">
        <f t="shared" si="157"/>
        <v>9606.86</v>
      </c>
      <c r="EX220" s="209">
        <f t="shared" si="158"/>
        <v>6252.66</v>
      </c>
    </row>
    <row r="221" spans="1:154" ht="12.75" customHeight="1" x14ac:dyDescent="0.2">
      <c r="A221" s="45" t="s">
        <v>310</v>
      </c>
      <c r="B221" s="48" t="s">
        <v>277</v>
      </c>
      <c r="C221" s="49" t="s">
        <v>17</v>
      </c>
      <c r="D221" s="50" t="s">
        <v>505</v>
      </c>
      <c r="E221" s="49" t="s">
        <v>12</v>
      </c>
      <c r="F221" s="11">
        <v>10</v>
      </c>
      <c r="G221" s="11">
        <v>2</v>
      </c>
      <c r="H221" s="11">
        <v>72</v>
      </c>
      <c r="I221" s="11">
        <v>74</v>
      </c>
      <c r="J221" s="11">
        <v>181</v>
      </c>
      <c r="K221" s="11">
        <v>199</v>
      </c>
      <c r="L221" s="11">
        <v>2</v>
      </c>
      <c r="M221" s="84">
        <v>611.20000000000005</v>
      </c>
      <c r="N221" s="84">
        <v>723.7</v>
      </c>
      <c r="O221" s="84">
        <v>723.1</v>
      </c>
      <c r="P221" s="135">
        <v>669.8</v>
      </c>
      <c r="Q221" s="135">
        <v>485.9</v>
      </c>
      <c r="R221" s="133">
        <v>485.9</v>
      </c>
      <c r="S221" s="133">
        <f t="shared" si="159"/>
        <v>1641.6</v>
      </c>
      <c r="T221" s="134">
        <v>669.8</v>
      </c>
      <c r="U221" s="130">
        <v>2.74</v>
      </c>
      <c r="V221" s="131">
        <v>1.1299999999999999E-2</v>
      </c>
      <c r="W221" s="131">
        <v>1.1299999999999999E-2</v>
      </c>
      <c r="X221" s="132">
        <v>7.5000000000000002E-4</v>
      </c>
      <c r="Y221" s="131">
        <v>2.2499999999999999E-2</v>
      </c>
      <c r="Z221" s="29">
        <v>3933.45</v>
      </c>
      <c r="AA221" s="34"/>
      <c r="AB221" s="9">
        <f t="shared" si="133"/>
        <v>3933.45</v>
      </c>
      <c r="AC221" s="9">
        <f t="shared" si="135"/>
        <v>24898.74</v>
      </c>
      <c r="AD221" s="9">
        <v>2.16</v>
      </c>
      <c r="AE221" s="9">
        <v>3.88</v>
      </c>
      <c r="AF221" s="21">
        <f>2.45-AJ221</f>
        <v>2.27</v>
      </c>
      <c r="AG221" s="18">
        <f>0.62-AQ221</f>
        <v>0.56999999999999995</v>
      </c>
      <c r="AH221" s="9">
        <v>2.78</v>
      </c>
      <c r="AI221" s="13">
        <v>695</v>
      </c>
      <c r="AJ221" s="21">
        <f t="shared" si="137"/>
        <v>0.18</v>
      </c>
      <c r="AK221" s="9">
        <v>2.1800000000000002</v>
      </c>
      <c r="AL221" s="9">
        <v>0.59</v>
      </c>
      <c r="AM221" s="9">
        <v>0.15</v>
      </c>
      <c r="AN221" s="13"/>
      <c r="AO221" s="13">
        <v>455</v>
      </c>
      <c r="AP221" s="13">
        <f t="shared" si="161"/>
        <v>5.58</v>
      </c>
      <c r="AQ221" s="18">
        <f t="shared" si="136"/>
        <v>0.05</v>
      </c>
      <c r="AR221" s="9">
        <v>0.56000000000000005</v>
      </c>
      <c r="AS221" s="9">
        <v>0.35</v>
      </c>
      <c r="AT221" s="9">
        <v>7.0000000000000007E-2</v>
      </c>
      <c r="AU221" s="9">
        <v>3.95</v>
      </c>
      <c r="AV221" s="9">
        <v>0.17</v>
      </c>
      <c r="AW221" s="9">
        <f>0.26+1.42+0.33</f>
        <v>2.0099999999999998</v>
      </c>
      <c r="AX221" s="9">
        <f>2+0.47</f>
        <v>2.4700000000000002</v>
      </c>
      <c r="AY221" s="46">
        <f t="shared" si="162"/>
        <v>24.39</v>
      </c>
      <c r="AZ221" s="47">
        <v>3936.1</v>
      </c>
      <c r="BA221" s="47">
        <v>0</v>
      </c>
      <c r="BB221" s="47">
        <f t="shared" si="134"/>
        <v>3936.1</v>
      </c>
      <c r="BC221" s="47">
        <v>24.39</v>
      </c>
      <c r="BD221" s="13">
        <f t="shared" si="160"/>
        <v>0</v>
      </c>
      <c r="BE221" s="9">
        <f t="shared" si="138"/>
        <v>95936.85</v>
      </c>
      <c r="BF221" s="9">
        <v>24.39</v>
      </c>
      <c r="BG221" s="10">
        <v>44378</v>
      </c>
      <c r="BH221" s="9">
        <f t="shared" si="139"/>
        <v>8496.25</v>
      </c>
      <c r="BI221" s="9">
        <f t="shared" si="140"/>
        <v>15261.79</v>
      </c>
      <c r="BJ221" s="9">
        <f t="shared" si="141"/>
        <v>8928.93</v>
      </c>
      <c r="BK221" s="9">
        <f t="shared" si="142"/>
        <v>2242.0700000000002</v>
      </c>
      <c r="BL221" s="9">
        <f t="shared" si="143"/>
        <v>10934.99</v>
      </c>
      <c r="BM221" s="9">
        <f t="shared" si="144"/>
        <v>708.02</v>
      </c>
      <c r="BN221" s="9">
        <f t="shared" si="145"/>
        <v>8574.92</v>
      </c>
      <c r="BO221" s="9">
        <f t="shared" si="146"/>
        <v>2320.7399999999998</v>
      </c>
      <c r="BP221" s="9">
        <f t="shared" si="147"/>
        <v>590.02</v>
      </c>
      <c r="BQ221" s="9">
        <f t="shared" si="148"/>
        <v>196.67</v>
      </c>
      <c r="BR221" s="9">
        <f t="shared" si="149"/>
        <v>2202.73</v>
      </c>
      <c r="BS221" s="9">
        <f t="shared" si="150"/>
        <v>1376.71</v>
      </c>
      <c r="BT221" s="9">
        <f t="shared" si="151"/>
        <v>275.33999999999997</v>
      </c>
      <c r="BU221" s="9">
        <f t="shared" si="152"/>
        <v>15537.13</v>
      </c>
      <c r="BV221" s="9">
        <f t="shared" si="153"/>
        <v>668.69</v>
      </c>
      <c r="BW221" s="9">
        <f t="shared" si="154"/>
        <v>7906.23</v>
      </c>
      <c r="BX221" s="9">
        <f t="shared" si="155"/>
        <v>9715.6200000000008</v>
      </c>
      <c r="BY221" s="17">
        <f t="shared" si="156"/>
        <v>95936.85</v>
      </c>
      <c r="BZ221" s="17">
        <v>4.38</v>
      </c>
      <c r="CA221" s="17">
        <v>0.05</v>
      </c>
      <c r="CB221" s="17">
        <v>0.3</v>
      </c>
      <c r="CC221" s="27">
        <v>0.05</v>
      </c>
      <c r="CD221" s="29">
        <v>6.33</v>
      </c>
      <c r="CE221" s="9">
        <v>43485.55</v>
      </c>
      <c r="CF221" s="9"/>
      <c r="CG221" s="9">
        <v>8593.6299999999992</v>
      </c>
      <c r="CH221" s="9">
        <v>4606.1499999999996</v>
      </c>
      <c r="CI221" s="9">
        <f t="shared" ref="CI221:CI232" si="171">IF(CE221&gt;0,CE221/AB221,0)</f>
        <v>11.06</v>
      </c>
      <c r="CJ221" s="9">
        <f t="shared" ref="CJ221:CJ232" si="172">IF(CF221&gt;0,CF221/AB221,0)</f>
        <v>0</v>
      </c>
      <c r="CK221" s="13">
        <f t="shared" ref="CK221:CK232" si="173">IF(CG221&gt;0,CG221/AB221,0)</f>
        <v>2.1800000000000002</v>
      </c>
      <c r="CL221" s="13">
        <f t="shared" ref="CL221:CL232" si="174">IF(CH221&gt;0,CH221/AB221,0)</f>
        <v>1.17</v>
      </c>
      <c r="CM221" s="13">
        <v>95936.87</v>
      </c>
      <c r="CN221" s="13">
        <v>35951.839999999997</v>
      </c>
      <c r="CO221" s="13">
        <v>0</v>
      </c>
      <c r="CP221" s="13">
        <v>1455.38</v>
      </c>
      <c r="CQ221" s="13">
        <v>865.4</v>
      </c>
      <c r="CR221" s="13">
        <v>95601.19</v>
      </c>
      <c r="CS221" s="13">
        <v>36135.440000000002</v>
      </c>
      <c r="CT221" s="13">
        <v>3915.61</v>
      </c>
      <c r="CU221" s="13">
        <v>2324.75</v>
      </c>
      <c r="CV221" s="13">
        <v>1327.98</v>
      </c>
      <c r="CW221" s="202">
        <v>3425</v>
      </c>
      <c r="CX221" s="200">
        <v>1965</v>
      </c>
      <c r="CY221" s="202"/>
      <c r="CZ221" s="202"/>
      <c r="DA221" s="202"/>
      <c r="DB221" s="202"/>
      <c r="DC221" s="202"/>
      <c r="DD221" s="461"/>
      <c r="DE221" s="256"/>
      <c r="DF221" s="204">
        <v>695</v>
      </c>
      <c r="DG221" s="204"/>
      <c r="DH221" s="204"/>
      <c r="DI221" s="204"/>
      <c r="DJ221" s="202"/>
      <c r="DK221" s="202">
        <v>8600</v>
      </c>
      <c r="DL221" s="202"/>
      <c r="DM221" s="202"/>
      <c r="DN221" s="202"/>
      <c r="DO221" s="202"/>
      <c r="DP221" s="202">
        <v>23215</v>
      </c>
      <c r="DQ221" s="202">
        <v>1700</v>
      </c>
      <c r="DR221" s="202">
        <v>1</v>
      </c>
      <c r="DS221" s="202"/>
      <c r="DT221" s="254"/>
      <c r="DU221" s="254"/>
      <c r="DV221" s="202"/>
      <c r="DW221" s="202">
        <v>18337</v>
      </c>
      <c r="DX221" s="202"/>
      <c r="DY221" s="107">
        <v>1365</v>
      </c>
      <c r="DZ221" s="107">
        <v>577</v>
      </c>
      <c r="EA221" s="202"/>
      <c r="EB221" s="202"/>
      <c r="EC221" s="202"/>
      <c r="ED221" s="202"/>
      <c r="EE221" s="202"/>
      <c r="EF221" s="229"/>
      <c r="EG221" s="202"/>
      <c r="EH221" s="202"/>
      <c r="EI221" s="202"/>
      <c r="EJ221" s="202"/>
      <c r="EK221" s="202">
        <v>35937.81</v>
      </c>
      <c r="EL221" s="202">
        <v>0</v>
      </c>
      <c r="EM221" s="202">
        <v>1459.3</v>
      </c>
      <c r="EN221" s="202">
        <v>871.07</v>
      </c>
      <c r="EO221" s="202">
        <v>35937.81</v>
      </c>
      <c r="EP221" s="202"/>
      <c r="EQ221" s="202">
        <v>1459.3</v>
      </c>
      <c r="ER221" s="202">
        <v>871.07</v>
      </c>
      <c r="ES221" s="202"/>
      <c r="ET221" s="202"/>
      <c r="EU221" s="202"/>
      <c r="EV221" s="214">
        <v>55.65</v>
      </c>
      <c r="EW221" s="240">
        <f t="shared" si="157"/>
        <v>8603.08</v>
      </c>
      <c r="EX221" s="209">
        <f t="shared" si="158"/>
        <v>5599.34</v>
      </c>
    </row>
    <row r="222" spans="1:154" ht="12.75" customHeight="1" x14ac:dyDescent="0.2">
      <c r="A222" s="45" t="s">
        <v>311</v>
      </c>
      <c r="B222" s="51" t="s">
        <v>277</v>
      </c>
      <c r="C222" s="52" t="s">
        <v>27</v>
      </c>
      <c r="D222" s="53" t="s">
        <v>498</v>
      </c>
      <c r="E222" s="52" t="s">
        <v>12</v>
      </c>
      <c r="F222" s="11">
        <v>5</v>
      </c>
      <c r="G222" s="11">
        <v>4</v>
      </c>
      <c r="H222" s="11">
        <v>76</v>
      </c>
      <c r="I222" s="11">
        <v>76</v>
      </c>
      <c r="J222" s="11">
        <v>125</v>
      </c>
      <c r="K222" s="11">
        <v>143</v>
      </c>
      <c r="L222" s="11" t="s">
        <v>746</v>
      </c>
      <c r="M222" s="84">
        <v>241.5</v>
      </c>
      <c r="N222" s="84">
        <v>653</v>
      </c>
      <c r="O222" s="84">
        <v>0</v>
      </c>
      <c r="P222" s="135">
        <v>241.5</v>
      </c>
      <c r="Q222" s="135">
        <v>670.7</v>
      </c>
      <c r="R222" s="133">
        <v>0</v>
      </c>
      <c r="S222" s="133">
        <f t="shared" si="159"/>
        <v>912.2</v>
      </c>
      <c r="T222" s="134">
        <v>241.5</v>
      </c>
      <c r="U222" s="130">
        <v>1.83</v>
      </c>
      <c r="V222" s="131">
        <v>1.1299999999999999E-2</v>
      </c>
      <c r="W222" s="171">
        <v>0</v>
      </c>
      <c r="X222" s="172">
        <v>0</v>
      </c>
      <c r="Y222" s="131">
        <v>1.1299999999999999E-2</v>
      </c>
      <c r="Z222" s="29">
        <v>2853.1</v>
      </c>
      <c r="AA222" s="34">
        <v>372.2</v>
      </c>
      <c r="AB222" s="9">
        <f t="shared" si="133"/>
        <v>3225.3</v>
      </c>
      <c r="AC222" s="9">
        <f t="shared" si="135"/>
        <v>20416.150000000001</v>
      </c>
      <c r="AD222" s="9">
        <v>0.38</v>
      </c>
      <c r="AE222" s="9">
        <v>3.68</v>
      </c>
      <c r="AF222" s="21">
        <f>2.44-AJ222</f>
        <v>2.25</v>
      </c>
      <c r="AG222" s="18">
        <f>0.54-AQ222</f>
        <v>0.46</v>
      </c>
      <c r="AH222" s="19">
        <f>2.78+0.08+0.21</f>
        <v>3.07</v>
      </c>
      <c r="AI222" s="13">
        <v>627</v>
      </c>
      <c r="AJ222" s="21">
        <f t="shared" si="137"/>
        <v>0.19</v>
      </c>
      <c r="AK222" s="9">
        <v>0</v>
      </c>
      <c r="AL222" s="9">
        <v>0</v>
      </c>
      <c r="AM222" s="9">
        <v>0.18</v>
      </c>
      <c r="AN222" s="13"/>
      <c r="AO222" s="13">
        <v>566.4</v>
      </c>
      <c r="AP222" s="13">
        <f t="shared" si="161"/>
        <v>5.58</v>
      </c>
      <c r="AQ222" s="18">
        <f t="shared" si="136"/>
        <v>0.08</v>
      </c>
      <c r="AR222" s="9">
        <v>0.79</v>
      </c>
      <c r="AS222" s="9">
        <v>0.42</v>
      </c>
      <c r="AT222" s="9">
        <v>7.0000000000000007E-2</v>
      </c>
      <c r="AU222" s="9">
        <v>5</v>
      </c>
      <c r="AV222" s="9">
        <v>0.12</v>
      </c>
      <c r="AW222" s="9">
        <f>0.35+1.04+0.44</f>
        <v>1.83</v>
      </c>
      <c r="AX222" s="9">
        <f>1.43+0.59</f>
        <v>2.02</v>
      </c>
      <c r="AY222" s="54">
        <f t="shared" si="162"/>
        <v>20.54</v>
      </c>
      <c r="AZ222" s="43">
        <v>2852.7</v>
      </c>
      <c r="BA222" s="43">
        <v>372.2</v>
      </c>
      <c r="BB222" s="43">
        <f t="shared" si="134"/>
        <v>3224.9</v>
      </c>
      <c r="BC222" s="43">
        <v>20.54</v>
      </c>
      <c r="BD222" s="13">
        <f t="shared" si="160"/>
        <v>0</v>
      </c>
      <c r="BE222" s="9">
        <f t="shared" si="138"/>
        <v>66247.66</v>
      </c>
      <c r="BF222" s="9">
        <v>20.54</v>
      </c>
      <c r="BG222" s="10">
        <v>44409</v>
      </c>
      <c r="BH222" s="9">
        <f t="shared" si="139"/>
        <v>1225.6099999999999</v>
      </c>
      <c r="BI222" s="9">
        <f t="shared" si="140"/>
        <v>11869.1</v>
      </c>
      <c r="BJ222" s="9">
        <f t="shared" si="141"/>
        <v>7256.93</v>
      </c>
      <c r="BK222" s="9">
        <f t="shared" si="142"/>
        <v>1483.64</v>
      </c>
      <c r="BL222" s="9">
        <f t="shared" si="143"/>
        <v>9901.67</v>
      </c>
      <c r="BM222" s="9">
        <f t="shared" si="144"/>
        <v>612.80999999999995</v>
      </c>
      <c r="BN222" s="9">
        <f t="shared" si="145"/>
        <v>0</v>
      </c>
      <c r="BO222" s="9">
        <f t="shared" si="146"/>
        <v>0</v>
      </c>
      <c r="BP222" s="9">
        <f t="shared" si="147"/>
        <v>580.54999999999995</v>
      </c>
      <c r="BQ222" s="9">
        <f t="shared" si="148"/>
        <v>258.02</v>
      </c>
      <c r="BR222" s="9">
        <f t="shared" si="149"/>
        <v>2547.9899999999998</v>
      </c>
      <c r="BS222" s="9">
        <f t="shared" si="150"/>
        <v>1354.63</v>
      </c>
      <c r="BT222" s="9">
        <f t="shared" si="151"/>
        <v>225.77</v>
      </c>
      <c r="BU222" s="9">
        <f t="shared" si="152"/>
        <v>16126.5</v>
      </c>
      <c r="BV222" s="9">
        <f t="shared" si="153"/>
        <v>387.04</v>
      </c>
      <c r="BW222" s="9">
        <f t="shared" si="154"/>
        <v>5902.3</v>
      </c>
      <c r="BX222" s="9">
        <f t="shared" si="155"/>
        <v>6515.11</v>
      </c>
      <c r="BY222" s="17">
        <f t="shared" si="156"/>
        <v>66247.67</v>
      </c>
      <c r="BZ222" s="17">
        <v>1.99</v>
      </c>
      <c r="CA222" s="17">
        <v>0.02</v>
      </c>
      <c r="CB222" s="173">
        <v>0</v>
      </c>
      <c r="CC222" s="27">
        <v>0.01</v>
      </c>
      <c r="CD222" s="29">
        <v>6.33</v>
      </c>
      <c r="CE222" s="9">
        <v>1415.19</v>
      </c>
      <c r="CF222" s="9"/>
      <c r="CG222" s="9">
        <v>0</v>
      </c>
      <c r="CH222" s="9">
        <v>0</v>
      </c>
      <c r="CI222" s="9">
        <f t="shared" si="171"/>
        <v>0.44</v>
      </c>
      <c r="CJ222" s="9">
        <f t="shared" si="172"/>
        <v>0</v>
      </c>
      <c r="CK222" s="13">
        <f t="shared" si="173"/>
        <v>0</v>
      </c>
      <c r="CL222" s="13">
        <f t="shared" si="174"/>
        <v>0</v>
      </c>
      <c r="CM222" s="13">
        <v>58602.66</v>
      </c>
      <c r="CN222" s="13">
        <v>1255.3499999999999</v>
      </c>
      <c r="CO222" s="13">
        <v>0</v>
      </c>
      <c r="CP222" s="13">
        <v>0</v>
      </c>
      <c r="CQ222" s="13">
        <v>0</v>
      </c>
      <c r="CR222" s="13">
        <v>62630.39</v>
      </c>
      <c r="CS222" s="13">
        <v>1689.39</v>
      </c>
      <c r="CT222" s="13">
        <v>0</v>
      </c>
      <c r="CU222" s="13">
        <v>10</v>
      </c>
      <c r="CV222" s="13">
        <v>5.0599999999999996</v>
      </c>
      <c r="CW222" s="202">
        <v>2810</v>
      </c>
      <c r="CX222" s="200">
        <v>1612</v>
      </c>
      <c r="CY222" s="202"/>
      <c r="CZ222" s="202"/>
      <c r="DA222" s="202"/>
      <c r="DB222" s="202"/>
      <c r="DC222" s="202"/>
      <c r="DD222" s="461"/>
      <c r="DE222" s="256"/>
      <c r="DF222" s="204">
        <v>627</v>
      </c>
      <c r="DG222" s="204"/>
      <c r="DH222" s="204"/>
      <c r="DI222" s="204"/>
      <c r="DJ222" s="202"/>
      <c r="DK222" s="202"/>
      <c r="DL222" s="202"/>
      <c r="DM222" s="202"/>
      <c r="DN222" s="202"/>
      <c r="DO222" s="202"/>
      <c r="DP222" s="202">
        <v>12870</v>
      </c>
      <c r="DQ222" s="202">
        <v>3400</v>
      </c>
      <c r="DR222" s="202">
        <v>2</v>
      </c>
      <c r="DS222" s="202"/>
      <c r="DT222" s="254"/>
      <c r="DU222" s="254"/>
      <c r="DV222" s="202"/>
      <c r="DW222" s="202">
        <v>14904</v>
      </c>
      <c r="DX222" s="202"/>
      <c r="DY222" s="107">
        <v>1365</v>
      </c>
      <c r="DZ222" s="107"/>
      <c r="EA222" s="202"/>
      <c r="EB222" s="202"/>
      <c r="EC222" s="202"/>
      <c r="ED222" s="202"/>
      <c r="EE222" s="202"/>
      <c r="EF222" s="229"/>
      <c r="EG222" s="202"/>
      <c r="EH222" s="202"/>
      <c r="EI222" s="202"/>
      <c r="EJ222" s="202"/>
      <c r="EK222" s="202">
        <v>1415.19</v>
      </c>
      <c r="EL222" s="202">
        <v>0</v>
      </c>
      <c r="EM222" s="202">
        <v>0</v>
      </c>
      <c r="EN222" s="202">
        <v>0</v>
      </c>
      <c r="EO222" s="202">
        <v>1415.19</v>
      </c>
      <c r="EP222" s="202"/>
      <c r="EQ222" s="202">
        <v>0</v>
      </c>
      <c r="ER222" s="202">
        <v>0</v>
      </c>
      <c r="ES222" s="202"/>
      <c r="ET222" s="202"/>
      <c r="EU222" s="202"/>
      <c r="EV222" s="214">
        <v>-0.57999999999999996</v>
      </c>
      <c r="EW222" s="240">
        <f t="shared" si="157"/>
        <v>7054.25</v>
      </c>
      <c r="EX222" s="209">
        <f t="shared" si="158"/>
        <v>4591.28</v>
      </c>
    </row>
    <row r="223" spans="1:154" ht="12.75" customHeight="1" x14ac:dyDescent="0.2">
      <c r="A223" s="45" t="s">
        <v>312</v>
      </c>
      <c r="B223" s="51" t="s">
        <v>277</v>
      </c>
      <c r="C223" s="52" t="s">
        <v>32</v>
      </c>
      <c r="D223" s="53" t="s">
        <v>499</v>
      </c>
      <c r="E223" s="52" t="s">
        <v>12</v>
      </c>
      <c r="F223" s="11">
        <v>5</v>
      </c>
      <c r="G223" s="11">
        <v>6</v>
      </c>
      <c r="H223" s="11">
        <v>90</v>
      </c>
      <c r="I223" s="11">
        <v>91</v>
      </c>
      <c r="J223" s="11">
        <v>195</v>
      </c>
      <c r="K223" s="11">
        <v>194</v>
      </c>
      <c r="L223" s="11" t="s">
        <v>746</v>
      </c>
      <c r="M223" s="84">
        <v>412.5</v>
      </c>
      <c r="N223" s="84">
        <v>1018.3</v>
      </c>
      <c r="O223" s="84">
        <v>0</v>
      </c>
      <c r="P223" s="135">
        <v>412.5</v>
      </c>
      <c r="Q223" s="135">
        <v>1018.3</v>
      </c>
      <c r="R223" s="133">
        <v>0</v>
      </c>
      <c r="S223" s="133">
        <f t="shared" si="159"/>
        <v>1430.8</v>
      </c>
      <c r="T223" s="134">
        <v>412.5</v>
      </c>
      <c r="U223" s="130">
        <v>1.53</v>
      </c>
      <c r="V223" s="131">
        <v>1.1299999999999999E-2</v>
      </c>
      <c r="W223" s="131" t="s">
        <v>823</v>
      </c>
      <c r="X223" s="132" t="s">
        <v>823</v>
      </c>
      <c r="Y223" s="131">
        <v>1.1299999999999999E-2</v>
      </c>
      <c r="Z223" s="29">
        <v>3963.85</v>
      </c>
      <c r="AA223" s="34"/>
      <c r="AB223" s="9">
        <f t="shared" si="133"/>
        <v>3963.85</v>
      </c>
      <c r="AC223" s="9">
        <f t="shared" si="135"/>
        <v>25091.17</v>
      </c>
      <c r="AD223" s="9">
        <v>0.52</v>
      </c>
      <c r="AE223" s="9">
        <v>4.03</v>
      </c>
      <c r="AF223" s="21">
        <f>2.48-AJ223</f>
        <v>2.23</v>
      </c>
      <c r="AG223" s="18">
        <f>0.56-AQ223</f>
        <v>0.41</v>
      </c>
      <c r="AH223" s="9">
        <v>2.16</v>
      </c>
      <c r="AI223" s="13">
        <v>978</v>
      </c>
      <c r="AJ223" s="21">
        <f t="shared" si="137"/>
        <v>0.25</v>
      </c>
      <c r="AK223" s="9">
        <v>0</v>
      </c>
      <c r="AL223" s="9">
        <v>0</v>
      </c>
      <c r="AM223" s="9">
        <v>0.15</v>
      </c>
      <c r="AN223" s="13">
        <v>420</v>
      </c>
      <c r="AO223" s="13">
        <v>840</v>
      </c>
      <c r="AP223" s="13">
        <f t="shared" si="161"/>
        <v>5.58</v>
      </c>
      <c r="AQ223" s="18">
        <f t="shared" si="136"/>
        <v>0.15</v>
      </c>
      <c r="AR223" s="9">
        <v>0.83</v>
      </c>
      <c r="AS223" s="9">
        <v>0.34</v>
      </c>
      <c r="AT223" s="9">
        <v>7.0000000000000007E-2</v>
      </c>
      <c r="AU223" s="9">
        <v>4.1100000000000003</v>
      </c>
      <c r="AV223" s="9">
        <v>0.12</v>
      </c>
      <c r="AW223" s="9">
        <f>1+0.32+0.35</f>
        <v>1.67</v>
      </c>
      <c r="AX223" s="9">
        <f>1.37+0.48</f>
        <v>1.85</v>
      </c>
      <c r="AY223" s="54">
        <f t="shared" si="162"/>
        <v>18.89</v>
      </c>
      <c r="AZ223" s="43">
        <v>3957.1</v>
      </c>
      <c r="BA223" s="43">
        <v>0</v>
      </c>
      <c r="BB223" s="43">
        <f t="shared" si="134"/>
        <v>3957.1</v>
      </c>
      <c r="BC223" s="43">
        <v>18.89</v>
      </c>
      <c r="BD223" s="13">
        <f t="shared" si="160"/>
        <v>0</v>
      </c>
      <c r="BE223" s="9">
        <f t="shared" si="138"/>
        <v>74877.13</v>
      </c>
      <c r="BF223" s="9">
        <v>18.89</v>
      </c>
      <c r="BG223" s="10">
        <v>44409</v>
      </c>
      <c r="BH223" s="9">
        <f t="shared" si="139"/>
        <v>2061.1999999999998</v>
      </c>
      <c r="BI223" s="9">
        <f t="shared" si="140"/>
        <v>15974.32</v>
      </c>
      <c r="BJ223" s="9">
        <f t="shared" si="141"/>
        <v>8839.39</v>
      </c>
      <c r="BK223" s="9">
        <f t="shared" si="142"/>
        <v>1625.18</v>
      </c>
      <c r="BL223" s="9">
        <f t="shared" si="143"/>
        <v>8561.92</v>
      </c>
      <c r="BM223" s="9">
        <f t="shared" si="144"/>
        <v>990.96</v>
      </c>
      <c r="BN223" s="9">
        <f t="shared" si="145"/>
        <v>0</v>
      </c>
      <c r="BO223" s="9">
        <f t="shared" si="146"/>
        <v>0</v>
      </c>
      <c r="BP223" s="9">
        <f t="shared" si="147"/>
        <v>594.58000000000004</v>
      </c>
      <c r="BQ223" s="9">
        <f t="shared" si="148"/>
        <v>594.58000000000004</v>
      </c>
      <c r="BR223" s="9">
        <f t="shared" si="149"/>
        <v>3290</v>
      </c>
      <c r="BS223" s="9">
        <f t="shared" si="150"/>
        <v>1347.71</v>
      </c>
      <c r="BT223" s="9">
        <f t="shared" si="151"/>
        <v>277.47000000000003</v>
      </c>
      <c r="BU223" s="9">
        <f t="shared" si="152"/>
        <v>16291.42</v>
      </c>
      <c r="BV223" s="9">
        <f t="shared" si="153"/>
        <v>475.66</v>
      </c>
      <c r="BW223" s="9">
        <f t="shared" si="154"/>
        <v>6619.63</v>
      </c>
      <c r="BX223" s="9">
        <f t="shared" si="155"/>
        <v>7333.12</v>
      </c>
      <c r="BY223" s="17">
        <f t="shared" si="156"/>
        <v>74877.14</v>
      </c>
      <c r="BZ223" s="17">
        <v>2.12</v>
      </c>
      <c r="CA223" s="17">
        <v>0.03</v>
      </c>
      <c r="CB223" s="173">
        <v>0</v>
      </c>
      <c r="CC223" s="27">
        <v>0.02</v>
      </c>
      <c r="CD223" s="29">
        <v>6.33</v>
      </c>
      <c r="CE223" s="9">
        <v>2252.42</v>
      </c>
      <c r="CF223" s="9"/>
      <c r="CG223" s="9">
        <v>12133.78</v>
      </c>
      <c r="CH223" s="9">
        <v>6352.45</v>
      </c>
      <c r="CI223" s="9">
        <f t="shared" si="171"/>
        <v>0.56999999999999995</v>
      </c>
      <c r="CJ223" s="9">
        <f t="shared" si="172"/>
        <v>0</v>
      </c>
      <c r="CK223" s="13">
        <f t="shared" si="173"/>
        <v>3.06</v>
      </c>
      <c r="CL223" s="13">
        <f t="shared" si="174"/>
        <v>1.6</v>
      </c>
      <c r="CM223" s="13">
        <v>74877.16</v>
      </c>
      <c r="CN223" s="13">
        <v>0</v>
      </c>
      <c r="CO223" s="13">
        <v>0</v>
      </c>
      <c r="CP223" s="13">
        <v>198.36</v>
      </c>
      <c r="CQ223" s="13">
        <v>79.28</v>
      </c>
      <c r="CR223" s="13">
        <v>72549.600000000006</v>
      </c>
      <c r="CS223" s="13">
        <v>3751.28</v>
      </c>
      <c r="CT223" s="13">
        <v>0</v>
      </c>
      <c r="CU223" s="13">
        <v>2676.06</v>
      </c>
      <c r="CV223" s="13">
        <v>1382.47</v>
      </c>
      <c r="CW223" s="202">
        <v>3453</v>
      </c>
      <c r="CX223" s="200">
        <v>1981</v>
      </c>
      <c r="CY223" s="202"/>
      <c r="CZ223" s="202"/>
      <c r="DA223" s="202"/>
      <c r="DB223" s="202"/>
      <c r="DC223" s="202"/>
      <c r="DD223" s="461"/>
      <c r="DE223" s="256"/>
      <c r="DF223" s="204">
        <v>978</v>
      </c>
      <c r="DG223" s="204"/>
      <c r="DH223" s="204"/>
      <c r="DI223" s="204"/>
      <c r="DJ223" s="202"/>
      <c r="DK223" s="202"/>
      <c r="DL223" s="202"/>
      <c r="DM223" s="202"/>
      <c r="DN223" s="202"/>
      <c r="DO223" s="202"/>
      <c r="DP223" s="202">
        <v>17649</v>
      </c>
      <c r="DQ223" s="202">
        <v>3400</v>
      </c>
      <c r="DR223" s="202">
        <v>2</v>
      </c>
      <c r="DS223" s="202"/>
      <c r="DT223" s="254"/>
      <c r="DU223" s="254"/>
      <c r="DV223" s="202"/>
      <c r="DW223" s="202">
        <v>15788</v>
      </c>
      <c r="DX223" s="202"/>
      <c r="DY223" s="107">
        <v>1365</v>
      </c>
      <c r="DZ223" s="107"/>
      <c r="EA223" s="202"/>
      <c r="EB223" s="202"/>
      <c r="EC223" s="202"/>
      <c r="ED223" s="202"/>
      <c r="EE223" s="202"/>
      <c r="EF223" s="229"/>
      <c r="EG223" s="202"/>
      <c r="EH223" s="202"/>
      <c r="EI223" s="202"/>
      <c r="EJ223" s="202"/>
      <c r="EK223" s="202">
        <v>0</v>
      </c>
      <c r="EL223" s="202">
        <v>0</v>
      </c>
      <c r="EM223" s="202">
        <v>188.95</v>
      </c>
      <c r="EN223" s="202">
        <v>65.95</v>
      </c>
      <c r="EO223" s="202">
        <v>0</v>
      </c>
      <c r="EP223" s="202"/>
      <c r="EQ223" s="202">
        <v>188.95</v>
      </c>
      <c r="ER223" s="202">
        <v>65.95</v>
      </c>
      <c r="ES223" s="202"/>
      <c r="ET223" s="202"/>
      <c r="EU223" s="202"/>
      <c r="EV223" s="214">
        <v>2.15</v>
      </c>
      <c r="EW223" s="240">
        <f t="shared" si="157"/>
        <v>8669.57</v>
      </c>
      <c r="EX223" s="209">
        <f t="shared" si="158"/>
        <v>5642.62</v>
      </c>
    </row>
    <row r="224" spans="1:154" ht="12.75" customHeight="1" x14ac:dyDescent="0.2">
      <c r="A224" s="45" t="s">
        <v>313</v>
      </c>
      <c r="B224" s="55" t="s">
        <v>277</v>
      </c>
      <c r="C224" s="56" t="s">
        <v>89</v>
      </c>
      <c r="D224" s="57" t="s">
        <v>500</v>
      </c>
      <c r="E224" s="56" t="s">
        <v>12</v>
      </c>
      <c r="F224" s="11">
        <v>3</v>
      </c>
      <c r="G224" s="11">
        <v>4</v>
      </c>
      <c r="H224" s="11">
        <v>32</v>
      </c>
      <c r="I224" s="11">
        <v>0</v>
      </c>
      <c r="J224" s="11">
        <v>93</v>
      </c>
      <c r="K224" s="11">
        <v>108</v>
      </c>
      <c r="L224" s="11" t="s">
        <v>746</v>
      </c>
      <c r="M224" s="84">
        <v>205.8</v>
      </c>
      <c r="N224" s="84">
        <v>240.3</v>
      </c>
      <c r="O224" s="84">
        <v>240</v>
      </c>
      <c r="P224" s="135">
        <v>229.7</v>
      </c>
      <c r="Q224" s="135">
        <v>255.6</v>
      </c>
      <c r="R224" s="133">
        <v>0</v>
      </c>
      <c r="S224" s="133">
        <f t="shared" si="159"/>
        <v>485.3</v>
      </c>
      <c r="T224" s="134">
        <v>229.7</v>
      </c>
      <c r="U224" s="130">
        <v>0.84</v>
      </c>
      <c r="V224" s="91">
        <v>1.1299999999999999E-2</v>
      </c>
      <c r="W224" s="91" t="s">
        <v>823</v>
      </c>
      <c r="X224" s="132" t="s">
        <v>823</v>
      </c>
      <c r="Y224" s="91">
        <v>1.1299999999999999E-2</v>
      </c>
      <c r="Z224" s="29">
        <v>1694.6</v>
      </c>
      <c r="AA224" s="34">
        <v>510.9</v>
      </c>
      <c r="AB224" s="9">
        <f t="shared" si="133"/>
        <v>2205.5</v>
      </c>
      <c r="AC224" s="174">
        <v>0</v>
      </c>
      <c r="AD224" s="9">
        <v>0.4</v>
      </c>
      <c r="AE224" s="9">
        <v>4.79</v>
      </c>
      <c r="AF224" s="21">
        <f>2.48-AJ224</f>
        <v>2.14</v>
      </c>
      <c r="AG224" s="18">
        <f>0.56-AQ224</f>
        <v>0.44</v>
      </c>
      <c r="AH224" s="9">
        <v>2.17</v>
      </c>
      <c r="AI224" s="13">
        <v>739</v>
      </c>
      <c r="AJ224" s="21">
        <f t="shared" si="137"/>
        <v>0.34</v>
      </c>
      <c r="AK224" s="9">
        <v>0</v>
      </c>
      <c r="AL224" s="9">
        <v>0</v>
      </c>
      <c r="AM224" s="9">
        <v>0.26</v>
      </c>
      <c r="AN224" s="13">
        <v>193.6</v>
      </c>
      <c r="AO224" s="13">
        <v>387.2</v>
      </c>
      <c r="AP224" s="13">
        <f t="shared" si="161"/>
        <v>5.58</v>
      </c>
      <c r="AQ224" s="18">
        <f t="shared" si="136"/>
        <v>0.12</v>
      </c>
      <c r="AR224" s="9">
        <v>0.53</v>
      </c>
      <c r="AS224" s="9">
        <v>0.62</v>
      </c>
      <c r="AT224" s="9">
        <v>7.0000000000000007E-2</v>
      </c>
      <c r="AU224" s="9">
        <v>3.66</v>
      </c>
      <c r="AV224" s="9">
        <v>0.12</v>
      </c>
      <c r="AW224" s="9">
        <f>0.28+0.32+1.05</f>
        <v>1.65</v>
      </c>
      <c r="AX224" s="9">
        <f>1.46+0.47</f>
        <v>1.93</v>
      </c>
      <c r="AY224" s="58">
        <f t="shared" si="162"/>
        <v>19.239999999999998</v>
      </c>
      <c r="AZ224" s="59">
        <v>1687.5</v>
      </c>
      <c r="BA224" s="59">
        <v>510.9</v>
      </c>
      <c r="BB224" s="59">
        <f t="shared" si="134"/>
        <v>2198.4</v>
      </c>
      <c r="BC224" s="59">
        <v>19.239999999999998</v>
      </c>
      <c r="BD224" s="13">
        <f t="shared" si="160"/>
        <v>0</v>
      </c>
      <c r="BE224" s="9">
        <f t="shared" si="138"/>
        <v>42433.82</v>
      </c>
      <c r="BF224" s="9">
        <v>19.239999999999998</v>
      </c>
      <c r="BG224" s="10">
        <v>44378</v>
      </c>
      <c r="BH224" s="9">
        <f t="shared" si="139"/>
        <v>882.2</v>
      </c>
      <c r="BI224" s="9">
        <f t="shared" si="140"/>
        <v>10564.35</v>
      </c>
      <c r="BJ224" s="9">
        <f t="shared" si="141"/>
        <v>4719.7700000000004</v>
      </c>
      <c r="BK224" s="9">
        <f t="shared" si="142"/>
        <v>970.42</v>
      </c>
      <c r="BL224" s="9">
        <f t="shared" si="143"/>
        <v>4785.9399999999996</v>
      </c>
      <c r="BM224" s="9">
        <f t="shared" si="144"/>
        <v>749.87</v>
      </c>
      <c r="BN224" s="9">
        <f t="shared" si="145"/>
        <v>0</v>
      </c>
      <c r="BO224" s="9">
        <f t="shared" si="146"/>
        <v>0</v>
      </c>
      <c r="BP224" s="9">
        <f t="shared" si="147"/>
        <v>573.42999999999995</v>
      </c>
      <c r="BQ224" s="9">
        <f t="shared" si="148"/>
        <v>264.66000000000003</v>
      </c>
      <c r="BR224" s="9">
        <f t="shared" si="149"/>
        <v>1168.92</v>
      </c>
      <c r="BS224" s="9">
        <f t="shared" si="150"/>
        <v>1367.41</v>
      </c>
      <c r="BT224" s="9">
        <f t="shared" si="151"/>
        <v>154.38999999999999</v>
      </c>
      <c r="BU224" s="9">
        <f t="shared" si="152"/>
        <v>8072.13</v>
      </c>
      <c r="BV224" s="9">
        <f t="shared" si="153"/>
        <v>264.66000000000003</v>
      </c>
      <c r="BW224" s="9">
        <f t="shared" si="154"/>
        <v>3639.08</v>
      </c>
      <c r="BX224" s="9">
        <f t="shared" si="155"/>
        <v>4256.62</v>
      </c>
      <c r="BY224" s="17">
        <f t="shared" si="156"/>
        <v>42433.85</v>
      </c>
      <c r="BZ224" s="17">
        <v>1.41</v>
      </c>
      <c r="CA224" s="17">
        <v>0.03</v>
      </c>
      <c r="CB224" s="173">
        <v>0</v>
      </c>
      <c r="CC224" s="27">
        <v>0.02</v>
      </c>
      <c r="CD224" s="29" t="s">
        <v>739</v>
      </c>
      <c r="CE224" s="9">
        <v>662.09</v>
      </c>
      <c r="CF224" s="9"/>
      <c r="CG224" s="9">
        <v>0</v>
      </c>
      <c r="CH224" s="9">
        <v>0</v>
      </c>
      <c r="CI224" s="9">
        <f t="shared" si="171"/>
        <v>0.3</v>
      </c>
      <c r="CJ224" s="9">
        <f t="shared" si="172"/>
        <v>0</v>
      </c>
      <c r="CK224" s="13">
        <f t="shared" si="173"/>
        <v>0</v>
      </c>
      <c r="CL224" s="13">
        <f t="shared" si="174"/>
        <v>0</v>
      </c>
      <c r="CM224" s="13">
        <v>32604.09</v>
      </c>
      <c r="CN224" s="13">
        <v>508.37</v>
      </c>
      <c r="CO224" s="13">
        <v>0</v>
      </c>
      <c r="CP224" s="13">
        <v>0</v>
      </c>
      <c r="CQ224" s="13">
        <v>0</v>
      </c>
      <c r="CR224" s="13">
        <v>29787.06</v>
      </c>
      <c r="CS224" s="13">
        <v>483.87</v>
      </c>
      <c r="CT224" s="13">
        <v>0</v>
      </c>
      <c r="CU224" s="13">
        <v>4.17</v>
      </c>
      <c r="CV224" s="13">
        <v>2.79</v>
      </c>
      <c r="CW224" s="202">
        <v>1922</v>
      </c>
      <c r="CX224" s="200">
        <v>1102</v>
      </c>
      <c r="CY224" s="202"/>
      <c r="CZ224" s="202"/>
      <c r="DA224" s="202"/>
      <c r="DB224" s="202"/>
      <c r="DC224" s="202"/>
      <c r="DD224" s="461"/>
      <c r="DE224" s="256"/>
      <c r="DF224" s="204">
        <v>739</v>
      </c>
      <c r="DG224" s="204"/>
      <c r="DH224" s="204"/>
      <c r="DI224" s="204"/>
      <c r="DJ224" s="202"/>
      <c r="DK224" s="202"/>
      <c r="DL224" s="202"/>
      <c r="DM224" s="202"/>
      <c r="DN224" s="202"/>
      <c r="DO224" s="202"/>
      <c r="DP224" s="202">
        <v>11173</v>
      </c>
      <c r="DQ224" s="202">
        <v>1700</v>
      </c>
      <c r="DR224" s="202">
        <v>1</v>
      </c>
      <c r="DS224" s="202"/>
      <c r="DT224" s="254"/>
      <c r="DU224" s="254"/>
      <c r="DV224" s="202"/>
      <c r="DW224" s="202">
        <v>8674</v>
      </c>
      <c r="DX224" s="202"/>
      <c r="DY224" s="107">
        <v>1365</v>
      </c>
      <c r="DZ224" s="107"/>
      <c r="EA224" s="202"/>
      <c r="EB224" s="202"/>
      <c r="EC224" s="202"/>
      <c r="ED224" s="202"/>
      <c r="EE224" s="202"/>
      <c r="EF224" s="229"/>
      <c r="EG224" s="202"/>
      <c r="EH224" s="202"/>
      <c r="EI224" s="202"/>
      <c r="EJ224" s="202"/>
      <c r="EK224" s="202">
        <v>662.09</v>
      </c>
      <c r="EL224" s="202">
        <v>0</v>
      </c>
      <c r="EM224" s="202">
        <v>0</v>
      </c>
      <c r="EN224" s="202">
        <v>0</v>
      </c>
      <c r="EO224" s="202">
        <v>662.09</v>
      </c>
      <c r="EP224" s="202"/>
      <c r="EQ224" s="202">
        <v>0</v>
      </c>
      <c r="ER224" s="202">
        <v>0</v>
      </c>
      <c r="ES224" s="202"/>
      <c r="ET224" s="202"/>
      <c r="EU224" s="202"/>
      <c r="EV224" s="214">
        <v>-0.45</v>
      </c>
      <c r="EW224" s="240">
        <f t="shared" si="157"/>
        <v>4823.78</v>
      </c>
      <c r="EX224" s="209">
        <f t="shared" si="158"/>
        <v>3139.57</v>
      </c>
    </row>
    <row r="225" spans="1:154" ht="12.75" customHeight="1" x14ac:dyDescent="0.2">
      <c r="A225" s="45" t="s">
        <v>314</v>
      </c>
      <c r="B225" s="48" t="s">
        <v>277</v>
      </c>
      <c r="C225" s="49" t="s">
        <v>34</v>
      </c>
      <c r="D225" s="50" t="s">
        <v>501</v>
      </c>
      <c r="E225" s="49" t="s">
        <v>12</v>
      </c>
      <c r="F225" s="11">
        <v>9</v>
      </c>
      <c r="G225" s="11">
        <v>5</v>
      </c>
      <c r="H225" s="11">
        <v>180</v>
      </c>
      <c r="I225" s="11">
        <v>181</v>
      </c>
      <c r="J225" s="11">
        <v>399</v>
      </c>
      <c r="K225" s="11">
        <v>505</v>
      </c>
      <c r="L225" s="11">
        <v>5</v>
      </c>
      <c r="M225" s="84">
        <v>799.5</v>
      </c>
      <c r="N225" s="84">
        <v>1834.8</v>
      </c>
      <c r="O225" s="84">
        <v>1834</v>
      </c>
      <c r="P225" s="135">
        <v>1865.8</v>
      </c>
      <c r="Q225" s="135">
        <v>1247</v>
      </c>
      <c r="R225" s="135">
        <v>1751.7</v>
      </c>
      <c r="S225" s="133">
        <f t="shared" si="159"/>
        <v>4864.5</v>
      </c>
      <c r="T225" s="134">
        <v>1865.8</v>
      </c>
      <c r="U225" s="130">
        <v>2.44</v>
      </c>
      <c r="V225" s="91">
        <v>1.9800000000000002E-2</v>
      </c>
      <c r="W225" s="91">
        <v>1.9800000000000002E-2</v>
      </c>
      <c r="X225" s="132">
        <v>1.32E-3</v>
      </c>
      <c r="Y225" s="91">
        <v>3.9699999999999999E-2</v>
      </c>
      <c r="Z225" s="29">
        <v>9851.85</v>
      </c>
      <c r="AA225" s="34"/>
      <c r="AB225" s="9">
        <f t="shared" si="133"/>
        <v>9851.85</v>
      </c>
      <c r="AC225" s="9">
        <f t="shared" ref="AC225:AC238" si="175">SUM(AB225*6.33)</f>
        <v>62362.21</v>
      </c>
      <c r="AD225" s="9">
        <v>3.19</v>
      </c>
      <c r="AE225" s="9">
        <v>3.88</v>
      </c>
      <c r="AF225" s="21">
        <f>2.41-AJ225</f>
        <v>2.23</v>
      </c>
      <c r="AG225" s="18">
        <f>0.73-AQ225</f>
        <v>0.68</v>
      </c>
      <c r="AH225" s="9">
        <v>2.78</v>
      </c>
      <c r="AI225" s="13">
        <v>1762</v>
      </c>
      <c r="AJ225" s="21">
        <f t="shared" si="137"/>
        <v>0.18</v>
      </c>
      <c r="AK225" s="9">
        <v>2.2000000000000002</v>
      </c>
      <c r="AL225" s="9">
        <v>0.43</v>
      </c>
      <c r="AM225" s="9">
        <v>0.06</v>
      </c>
      <c r="AN225" s="13"/>
      <c r="AO225" s="13">
        <v>1025.5</v>
      </c>
      <c r="AP225" s="13">
        <f t="shared" si="161"/>
        <v>5.58</v>
      </c>
      <c r="AQ225" s="18">
        <f t="shared" si="136"/>
        <v>0.05</v>
      </c>
      <c r="AR225" s="9">
        <v>0.56999999999999995</v>
      </c>
      <c r="AS225" s="9">
        <v>0.14000000000000001</v>
      </c>
      <c r="AT225" s="9">
        <v>7.0000000000000007E-2</v>
      </c>
      <c r="AU225" s="9">
        <v>4.16</v>
      </c>
      <c r="AV225" s="9">
        <v>0.17</v>
      </c>
      <c r="AW225" s="9">
        <f>0.26+1.48+0.37</f>
        <v>2.11</v>
      </c>
      <c r="AX225" s="9">
        <f>2.07+0.49</f>
        <v>2.56</v>
      </c>
      <c r="AY225" s="46">
        <f t="shared" si="162"/>
        <v>25.46</v>
      </c>
      <c r="AZ225" s="47">
        <v>9788.2000000000007</v>
      </c>
      <c r="BA225" s="47">
        <v>0</v>
      </c>
      <c r="BB225" s="47">
        <f t="shared" si="134"/>
        <v>9788.2000000000007</v>
      </c>
      <c r="BC225" s="47">
        <v>25.46</v>
      </c>
      <c r="BD225" s="13">
        <f t="shared" si="160"/>
        <v>0</v>
      </c>
      <c r="BE225" s="9">
        <f t="shared" si="138"/>
        <v>250828.1</v>
      </c>
      <c r="BF225" s="9">
        <v>25.46</v>
      </c>
      <c r="BG225" s="10">
        <v>44409</v>
      </c>
      <c r="BH225" s="9">
        <f t="shared" si="139"/>
        <v>31427.4</v>
      </c>
      <c r="BI225" s="9">
        <f t="shared" si="140"/>
        <v>38225.18</v>
      </c>
      <c r="BJ225" s="9">
        <f t="shared" si="141"/>
        <v>21969.63</v>
      </c>
      <c r="BK225" s="9">
        <f t="shared" si="142"/>
        <v>6699.26</v>
      </c>
      <c r="BL225" s="9">
        <f t="shared" si="143"/>
        <v>27388.14</v>
      </c>
      <c r="BM225" s="9">
        <f t="shared" si="144"/>
        <v>1773.33</v>
      </c>
      <c r="BN225" s="9">
        <f t="shared" si="145"/>
        <v>21674.07</v>
      </c>
      <c r="BO225" s="9">
        <f t="shared" si="146"/>
        <v>4236.3</v>
      </c>
      <c r="BP225" s="9">
        <f t="shared" si="147"/>
        <v>591.11</v>
      </c>
      <c r="BQ225" s="9">
        <f t="shared" si="148"/>
        <v>492.59</v>
      </c>
      <c r="BR225" s="9">
        <f t="shared" si="149"/>
        <v>5615.55</v>
      </c>
      <c r="BS225" s="9">
        <f t="shared" si="150"/>
        <v>1379.26</v>
      </c>
      <c r="BT225" s="9">
        <f t="shared" si="151"/>
        <v>689.63</v>
      </c>
      <c r="BU225" s="9">
        <f t="shared" si="152"/>
        <v>40983.699999999997</v>
      </c>
      <c r="BV225" s="9">
        <f t="shared" si="153"/>
        <v>1674.81</v>
      </c>
      <c r="BW225" s="9">
        <f t="shared" si="154"/>
        <v>20787.400000000001</v>
      </c>
      <c r="BX225" s="9">
        <f t="shared" si="155"/>
        <v>25220.74</v>
      </c>
      <c r="BY225" s="17">
        <f t="shared" si="156"/>
        <v>250828.1</v>
      </c>
      <c r="BZ225" s="17">
        <v>4.6399999999999997</v>
      </c>
      <c r="CA225" s="17">
        <v>0.1</v>
      </c>
      <c r="CB225" s="17">
        <v>0.59</v>
      </c>
      <c r="CC225" s="27">
        <v>0.11</v>
      </c>
      <c r="CD225" s="29">
        <v>6.33</v>
      </c>
      <c r="CE225" s="9">
        <v>31788.5</v>
      </c>
      <c r="CF225" s="9"/>
      <c r="CG225" s="9">
        <v>16430.59</v>
      </c>
      <c r="CH225" s="9">
        <v>9124.65</v>
      </c>
      <c r="CI225" s="9">
        <f t="shared" si="171"/>
        <v>3.23</v>
      </c>
      <c r="CJ225" s="9">
        <f t="shared" si="172"/>
        <v>0</v>
      </c>
      <c r="CK225" s="13">
        <f t="shared" si="173"/>
        <v>1.67</v>
      </c>
      <c r="CL225" s="13">
        <f t="shared" si="174"/>
        <v>0.93</v>
      </c>
      <c r="CM225" s="13">
        <v>250828.15</v>
      </c>
      <c r="CN225" s="13">
        <v>0</v>
      </c>
      <c r="CO225" s="13">
        <v>0</v>
      </c>
      <c r="CP225" s="13">
        <v>8177.18</v>
      </c>
      <c r="CQ225" s="13">
        <v>4827.54</v>
      </c>
      <c r="CR225" s="13">
        <v>281276.46000000002</v>
      </c>
      <c r="CS225" s="13">
        <v>34462.33</v>
      </c>
      <c r="CT225" s="13">
        <v>7470.99</v>
      </c>
      <c r="CU225" s="13">
        <v>9575.99</v>
      </c>
      <c r="CV225" s="13">
        <v>5612.64</v>
      </c>
      <c r="CW225" s="202">
        <v>8584</v>
      </c>
      <c r="CX225" s="200">
        <v>4924</v>
      </c>
      <c r="CY225" s="202"/>
      <c r="CZ225" s="202"/>
      <c r="DA225" s="202"/>
      <c r="DB225" s="202"/>
      <c r="DC225" s="202"/>
      <c r="DD225" s="461"/>
      <c r="DE225" s="256"/>
      <c r="DF225" s="204">
        <v>1762</v>
      </c>
      <c r="DG225" s="204"/>
      <c r="DH225" s="204"/>
      <c r="DI225" s="204"/>
      <c r="DJ225" s="202"/>
      <c r="DK225" s="202">
        <v>21500</v>
      </c>
      <c r="DL225" s="202"/>
      <c r="DM225" s="202"/>
      <c r="DN225" s="202"/>
      <c r="DO225" s="202"/>
      <c r="DP225" s="202">
        <v>67565</v>
      </c>
      <c r="DQ225" s="202">
        <v>3400</v>
      </c>
      <c r="DR225" s="202">
        <v>2</v>
      </c>
      <c r="DS225" s="202"/>
      <c r="DT225" s="254"/>
      <c r="DU225" s="254"/>
      <c r="DV225" s="202"/>
      <c r="DW225" s="202">
        <v>46228</v>
      </c>
      <c r="DX225" s="202"/>
      <c r="DY225" s="107">
        <v>1365</v>
      </c>
      <c r="DZ225" s="107"/>
      <c r="EA225" s="202">
        <v>3988.8</v>
      </c>
      <c r="EB225" s="202"/>
      <c r="EC225" s="202"/>
      <c r="ED225" s="202"/>
      <c r="EE225" s="202"/>
      <c r="EF225" s="229"/>
      <c r="EG225" s="202"/>
      <c r="EH225" s="202"/>
      <c r="EI225" s="202"/>
      <c r="EJ225" s="202"/>
      <c r="EK225" s="202">
        <v>0</v>
      </c>
      <c r="EL225" s="202">
        <v>0</v>
      </c>
      <c r="EM225" s="202">
        <v>8161.25</v>
      </c>
      <c r="EN225" s="202">
        <v>4795.3599999999997</v>
      </c>
      <c r="EO225" s="202">
        <v>0</v>
      </c>
      <c r="EP225" s="202"/>
      <c r="EQ225" s="202">
        <v>8161.25</v>
      </c>
      <c r="ER225" s="202">
        <v>4795.3599999999997</v>
      </c>
      <c r="ES225" s="202"/>
      <c r="ET225" s="202"/>
      <c r="EU225" s="202"/>
      <c r="EV225" s="214">
        <v>221.02</v>
      </c>
      <c r="EW225" s="240">
        <f t="shared" si="157"/>
        <v>21547.57</v>
      </c>
      <c r="EX225" s="209">
        <f t="shared" si="158"/>
        <v>14024.31</v>
      </c>
    </row>
    <row r="226" spans="1:154" ht="12.75" customHeight="1" x14ac:dyDescent="0.2">
      <c r="A226" s="45" t="s">
        <v>315</v>
      </c>
      <c r="B226" s="51" t="s">
        <v>277</v>
      </c>
      <c r="C226" s="52" t="s">
        <v>235</v>
      </c>
      <c r="D226" s="53" t="s">
        <v>502</v>
      </c>
      <c r="E226" s="52" t="s">
        <v>12</v>
      </c>
      <c r="F226" s="11">
        <v>3</v>
      </c>
      <c r="G226" s="11">
        <v>2</v>
      </c>
      <c r="H226" s="11">
        <v>21</v>
      </c>
      <c r="I226" s="11">
        <v>0</v>
      </c>
      <c r="J226" s="11">
        <v>53</v>
      </c>
      <c r="K226" s="11">
        <v>61</v>
      </c>
      <c r="L226" s="11" t="s">
        <v>746</v>
      </c>
      <c r="M226" s="84">
        <v>60</v>
      </c>
      <c r="N226" s="84">
        <v>231.1</v>
      </c>
      <c r="O226" s="84">
        <v>231.1</v>
      </c>
      <c r="P226" s="139">
        <v>105.2</v>
      </c>
      <c r="Q226" s="135">
        <v>174.1</v>
      </c>
      <c r="R226" s="133">
        <v>0</v>
      </c>
      <c r="S226" s="133">
        <f t="shared" si="159"/>
        <v>279.3</v>
      </c>
      <c r="T226" s="139">
        <v>93</v>
      </c>
      <c r="U226" s="130">
        <v>0.84</v>
      </c>
      <c r="V226" s="91">
        <v>1.1299999999999999E-2</v>
      </c>
      <c r="W226" s="171" t="s">
        <v>824</v>
      </c>
      <c r="X226" s="172" t="s">
        <v>824</v>
      </c>
      <c r="Y226" s="91">
        <v>1.1299999999999999E-2</v>
      </c>
      <c r="Z226" s="29">
        <v>1156.3</v>
      </c>
      <c r="AA226" s="34"/>
      <c r="AB226" s="9">
        <f t="shared" si="133"/>
        <v>1156.3</v>
      </c>
      <c r="AC226" s="9">
        <f t="shared" si="175"/>
        <v>7319.38</v>
      </c>
      <c r="AD226" s="9">
        <v>0.43</v>
      </c>
      <c r="AE226" s="9">
        <v>3.82</v>
      </c>
      <c r="AF226" s="21">
        <f>2.43-AJ226</f>
        <v>1.89</v>
      </c>
      <c r="AG226" s="18">
        <f>0.54-AQ226</f>
        <v>0.4</v>
      </c>
      <c r="AH226" s="9">
        <v>2.79</v>
      </c>
      <c r="AI226" s="13">
        <v>621</v>
      </c>
      <c r="AJ226" s="21">
        <f t="shared" si="137"/>
        <v>0.54</v>
      </c>
      <c r="AK226" s="9">
        <v>0</v>
      </c>
      <c r="AL226" s="9">
        <v>0</v>
      </c>
      <c r="AM226" s="9">
        <v>0.5</v>
      </c>
      <c r="AN226" s="13">
        <v>112.8</v>
      </c>
      <c r="AO226" s="13">
        <v>225.6</v>
      </c>
      <c r="AP226" s="13">
        <f t="shared" si="161"/>
        <v>5.58</v>
      </c>
      <c r="AQ226" s="18">
        <f t="shared" si="136"/>
        <v>0.14000000000000001</v>
      </c>
      <c r="AR226" s="9">
        <v>0.57999999999999996</v>
      </c>
      <c r="AS226" s="9">
        <v>1.18</v>
      </c>
      <c r="AT226" s="9">
        <v>7.0000000000000007E-2</v>
      </c>
      <c r="AU226" s="9">
        <v>4.9400000000000004</v>
      </c>
      <c r="AV226" s="9">
        <v>0.13</v>
      </c>
      <c r="AW226" s="9">
        <f>0.31+1.11+0.44</f>
        <v>1.86</v>
      </c>
      <c r="AX226" s="9">
        <f>1.55+0.58</f>
        <v>2.13</v>
      </c>
      <c r="AY226" s="54">
        <f t="shared" si="162"/>
        <v>21.4</v>
      </c>
      <c r="AZ226" s="43">
        <v>1156.3</v>
      </c>
      <c r="BA226" s="43">
        <v>0</v>
      </c>
      <c r="BB226" s="43">
        <f t="shared" si="134"/>
        <v>1156.3</v>
      </c>
      <c r="BC226" s="43">
        <v>21.4</v>
      </c>
      <c r="BD226" s="13">
        <f t="shared" si="160"/>
        <v>0</v>
      </c>
      <c r="BE226" s="9">
        <f t="shared" si="138"/>
        <v>24744.82</v>
      </c>
      <c r="BF226" s="9">
        <v>21.4</v>
      </c>
      <c r="BG226" s="10">
        <v>44378</v>
      </c>
      <c r="BH226" s="9">
        <f t="shared" si="139"/>
        <v>497.21</v>
      </c>
      <c r="BI226" s="9">
        <f t="shared" si="140"/>
        <v>4417.07</v>
      </c>
      <c r="BJ226" s="9">
        <f t="shared" si="141"/>
        <v>2185.41</v>
      </c>
      <c r="BK226" s="9">
        <f t="shared" si="142"/>
        <v>462.52</v>
      </c>
      <c r="BL226" s="9">
        <f t="shared" si="143"/>
        <v>3226.08</v>
      </c>
      <c r="BM226" s="9">
        <f t="shared" si="144"/>
        <v>624.4</v>
      </c>
      <c r="BN226" s="9">
        <f t="shared" si="145"/>
        <v>0</v>
      </c>
      <c r="BO226" s="9">
        <f t="shared" si="146"/>
        <v>0</v>
      </c>
      <c r="BP226" s="9">
        <f t="shared" si="147"/>
        <v>578.15</v>
      </c>
      <c r="BQ226" s="9">
        <f t="shared" si="148"/>
        <v>161.88</v>
      </c>
      <c r="BR226" s="9">
        <f t="shared" si="149"/>
        <v>670.65</v>
      </c>
      <c r="BS226" s="9">
        <f t="shared" si="150"/>
        <v>1364.43</v>
      </c>
      <c r="BT226" s="9">
        <f t="shared" si="151"/>
        <v>80.94</v>
      </c>
      <c r="BU226" s="9">
        <f t="shared" si="152"/>
        <v>5712.12</v>
      </c>
      <c r="BV226" s="9">
        <f t="shared" si="153"/>
        <v>150.32</v>
      </c>
      <c r="BW226" s="9">
        <f t="shared" si="154"/>
        <v>2150.7199999999998</v>
      </c>
      <c r="BX226" s="9">
        <f t="shared" si="155"/>
        <v>2462.92</v>
      </c>
      <c r="BY226" s="17">
        <f t="shared" si="156"/>
        <v>24744.82</v>
      </c>
      <c r="BZ226" s="17">
        <v>1.48</v>
      </c>
      <c r="CA226" s="17">
        <v>0.02</v>
      </c>
      <c r="CB226" s="173">
        <v>0</v>
      </c>
      <c r="CC226" s="27">
        <v>0.01</v>
      </c>
      <c r="CD226" s="29">
        <v>6.33</v>
      </c>
      <c r="CE226" s="9">
        <v>677.91</v>
      </c>
      <c r="CF226" s="9"/>
      <c r="CG226" s="9">
        <v>3215.86</v>
      </c>
      <c r="CH226" s="9">
        <v>1683.61</v>
      </c>
      <c r="CI226" s="9">
        <f t="shared" si="171"/>
        <v>0.59</v>
      </c>
      <c r="CJ226" s="9">
        <f t="shared" si="172"/>
        <v>0</v>
      </c>
      <c r="CK226" s="13">
        <f t="shared" si="173"/>
        <v>2.78</v>
      </c>
      <c r="CL226" s="13">
        <f t="shared" si="174"/>
        <v>1.46</v>
      </c>
      <c r="CM226" s="13">
        <v>24744.83</v>
      </c>
      <c r="CN226" s="13">
        <v>1086.94</v>
      </c>
      <c r="CO226" s="13">
        <v>0</v>
      </c>
      <c r="CP226" s="13">
        <v>2543.87</v>
      </c>
      <c r="CQ226" s="13">
        <v>1329.81</v>
      </c>
      <c r="CR226" s="13">
        <v>23994.240000000002</v>
      </c>
      <c r="CS226" s="13">
        <v>900.58</v>
      </c>
      <c r="CT226" s="13">
        <v>0</v>
      </c>
      <c r="CU226" s="13">
        <v>2309.73</v>
      </c>
      <c r="CV226" s="13">
        <v>1207.27</v>
      </c>
      <c r="CW226" s="202">
        <v>1007</v>
      </c>
      <c r="CX226" s="200">
        <v>578</v>
      </c>
      <c r="CY226" s="202"/>
      <c r="CZ226" s="202"/>
      <c r="DA226" s="202"/>
      <c r="DB226" s="202"/>
      <c r="DC226" s="202"/>
      <c r="DD226" s="461"/>
      <c r="DE226" s="256"/>
      <c r="DF226" s="204">
        <v>621</v>
      </c>
      <c r="DG226" s="204"/>
      <c r="DH226" s="204"/>
      <c r="DI226" s="204"/>
      <c r="DJ226" s="202"/>
      <c r="DK226" s="202"/>
      <c r="DL226" s="202"/>
      <c r="DM226" s="202"/>
      <c r="DN226" s="202"/>
      <c r="DO226" s="202"/>
      <c r="DP226" s="202">
        <v>4827</v>
      </c>
      <c r="DQ226" s="202">
        <v>1700</v>
      </c>
      <c r="DR226" s="202">
        <v>1</v>
      </c>
      <c r="DS226" s="202"/>
      <c r="DT226" s="254"/>
      <c r="DU226" s="254"/>
      <c r="DV226" s="202"/>
      <c r="DW226" s="202">
        <v>4885</v>
      </c>
      <c r="DX226" s="202"/>
      <c r="DY226" s="107">
        <v>1365</v>
      </c>
      <c r="DZ226" s="107"/>
      <c r="EA226" s="202"/>
      <c r="EB226" s="202"/>
      <c r="EC226" s="202"/>
      <c r="ED226" s="202"/>
      <c r="EE226" s="202"/>
      <c r="EF226" s="229"/>
      <c r="EG226" s="202"/>
      <c r="EH226" s="202"/>
      <c r="EI226" s="202"/>
      <c r="EJ226" s="202"/>
      <c r="EK226" s="202">
        <v>1091.55</v>
      </c>
      <c r="EL226" s="202">
        <v>0</v>
      </c>
      <c r="EM226" s="202">
        <v>2540.2600000000002</v>
      </c>
      <c r="EN226" s="202">
        <v>1329.91</v>
      </c>
      <c r="EO226" s="202">
        <v>1091.55</v>
      </c>
      <c r="EP226" s="202"/>
      <c r="EQ226" s="202">
        <v>2540.2600000000002</v>
      </c>
      <c r="ER226" s="202">
        <v>1329.91</v>
      </c>
      <c r="ES226" s="202"/>
      <c r="ET226" s="202"/>
      <c r="EU226" s="202"/>
      <c r="EV226" s="214">
        <v>97.1</v>
      </c>
      <c r="EW226" s="240">
        <f t="shared" si="157"/>
        <v>2529.0100000000002</v>
      </c>
      <c r="EX226" s="209">
        <f t="shared" si="158"/>
        <v>1646.02</v>
      </c>
    </row>
    <row r="227" spans="1:154" ht="12.75" customHeight="1" x14ac:dyDescent="0.2">
      <c r="A227" s="45" t="s">
        <v>316</v>
      </c>
      <c r="B227" s="55" t="s">
        <v>277</v>
      </c>
      <c r="C227" s="56" t="s">
        <v>235</v>
      </c>
      <c r="D227" s="57" t="s">
        <v>584</v>
      </c>
      <c r="E227" s="56" t="s">
        <v>9</v>
      </c>
      <c r="F227" s="11">
        <v>4</v>
      </c>
      <c r="G227" s="11">
        <v>3</v>
      </c>
      <c r="H227" s="11">
        <v>48</v>
      </c>
      <c r="I227" s="11">
        <v>0</v>
      </c>
      <c r="J227" s="11">
        <v>105</v>
      </c>
      <c r="K227" s="11">
        <v>105</v>
      </c>
      <c r="L227" s="11" t="s">
        <v>746</v>
      </c>
      <c r="M227" s="84">
        <v>140</v>
      </c>
      <c r="N227" s="84">
        <v>672.5</v>
      </c>
      <c r="O227" s="84">
        <v>672.5</v>
      </c>
      <c r="P227" s="135">
        <v>140</v>
      </c>
      <c r="Q227" s="135">
        <v>512.29999999999995</v>
      </c>
      <c r="R227" s="133">
        <v>512.29999999999995</v>
      </c>
      <c r="S227" s="133">
        <f t="shared" si="159"/>
        <v>1164.5999999999999</v>
      </c>
      <c r="T227" s="134">
        <v>140</v>
      </c>
      <c r="U227" s="130">
        <v>0.84</v>
      </c>
      <c r="V227" s="131">
        <v>1.1299999999999999E-2</v>
      </c>
      <c r="W227" s="131" t="s">
        <v>823</v>
      </c>
      <c r="X227" s="132" t="s">
        <v>823</v>
      </c>
      <c r="Y227" s="131">
        <v>1.1299999999999999E-2</v>
      </c>
      <c r="Z227" s="29">
        <v>1970.06</v>
      </c>
      <c r="AA227" s="34"/>
      <c r="AB227" s="9">
        <f t="shared" si="133"/>
        <v>1970.06</v>
      </c>
      <c r="AC227" s="9">
        <f t="shared" si="175"/>
        <v>12470.48</v>
      </c>
      <c r="AD227" s="9">
        <v>0.37</v>
      </c>
      <c r="AE227" s="9">
        <v>3.49</v>
      </c>
      <c r="AF227" s="21">
        <f>2.41-AJ227</f>
        <v>1.95</v>
      </c>
      <c r="AG227" s="18">
        <f>0.55-AQ227</f>
        <v>0.4</v>
      </c>
      <c r="AH227" s="9">
        <v>2.16</v>
      </c>
      <c r="AI227" s="13">
        <v>904</v>
      </c>
      <c r="AJ227" s="21">
        <f t="shared" si="137"/>
        <v>0.46</v>
      </c>
      <c r="AK227" s="9">
        <v>0</v>
      </c>
      <c r="AL227" s="9">
        <v>0</v>
      </c>
      <c r="AM227" s="9">
        <v>0.28999999999999998</v>
      </c>
      <c r="AN227" s="13">
        <v>207.6</v>
      </c>
      <c r="AO227" s="13">
        <v>415.2</v>
      </c>
      <c r="AP227" s="13">
        <f t="shared" si="161"/>
        <v>5.58</v>
      </c>
      <c r="AQ227" s="18">
        <f t="shared" si="136"/>
        <v>0.15</v>
      </c>
      <c r="AR227" s="9">
        <v>0.95</v>
      </c>
      <c r="AS227" s="9">
        <v>0.69</v>
      </c>
      <c r="AT227" s="9">
        <v>7.0000000000000007E-2</v>
      </c>
      <c r="AU227" s="9">
        <v>4.5599999999999996</v>
      </c>
      <c r="AV227" s="9">
        <v>0.12</v>
      </c>
      <c r="AW227" s="9">
        <f>0.34+0.4+0.99</f>
        <v>1.73</v>
      </c>
      <c r="AX227" s="9">
        <f>1.37+0.54</f>
        <v>1.91</v>
      </c>
      <c r="AY227" s="58">
        <f t="shared" si="162"/>
        <v>19.3</v>
      </c>
      <c r="AZ227" s="59">
        <v>1967</v>
      </c>
      <c r="BA227" s="59">
        <v>0</v>
      </c>
      <c r="BB227" s="59">
        <f t="shared" si="134"/>
        <v>1967</v>
      </c>
      <c r="BC227" s="59">
        <v>19.3</v>
      </c>
      <c r="BD227" s="13">
        <f t="shared" si="160"/>
        <v>0</v>
      </c>
      <c r="BE227" s="9">
        <f t="shared" si="138"/>
        <v>38022.160000000003</v>
      </c>
      <c r="BF227" s="9">
        <v>19.3</v>
      </c>
      <c r="BG227" s="10">
        <v>44409</v>
      </c>
      <c r="BH227" s="9">
        <f t="shared" si="139"/>
        <v>728.92</v>
      </c>
      <c r="BI227" s="9">
        <f t="shared" si="140"/>
        <v>6875.51</v>
      </c>
      <c r="BJ227" s="9">
        <f t="shared" si="141"/>
        <v>3841.62</v>
      </c>
      <c r="BK227" s="9">
        <f t="shared" si="142"/>
        <v>788.02</v>
      </c>
      <c r="BL227" s="9">
        <f t="shared" si="143"/>
        <v>4255.33</v>
      </c>
      <c r="BM227" s="9">
        <f t="shared" si="144"/>
        <v>906.23</v>
      </c>
      <c r="BN227" s="9">
        <f t="shared" si="145"/>
        <v>0</v>
      </c>
      <c r="BO227" s="9">
        <f t="shared" si="146"/>
        <v>0</v>
      </c>
      <c r="BP227" s="9">
        <f t="shared" si="147"/>
        <v>571.32000000000005</v>
      </c>
      <c r="BQ227" s="9">
        <f t="shared" si="148"/>
        <v>295.51</v>
      </c>
      <c r="BR227" s="9">
        <f t="shared" si="149"/>
        <v>1871.56</v>
      </c>
      <c r="BS227" s="9">
        <f t="shared" si="150"/>
        <v>1359.34</v>
      </c>
      <c r="BT227" s="9">
        <f t="shared" si="151"/>
        <v>137.9</v>
      </c>
      <c r="BU227" s="9">
        <f t="shared" si="152"/>
        <v>8983.4699999999993</v>
      </c>
      <c r="BV227" s="9">
        <f t="shared" si="153"/>
        <v>236.41</v>
      </c>
      <c r="BW227" s="9">
        <f t="shared" si="154"/>
        <v>3408.2</v>
      </c>
      <c r="BX227" s="9">
        <f t="shared" si="155"/>
        <v>3762.81</v>
      </c>
      <c r="BY227" s="17">
        <f t="shared" si="156"/>
        <v>38022.15</v>
      </c>
      <c r="BZ227" s="17">
        <v>2.33</v>
      </c>
      <c r="CA227" s="17">
        <v>0.02</v>
      </c>
      <c r="CB227" s="173">
        <v>0</v>
      </c>
      <c r="CC227" s="27">
        <v>0.01</v>
      </c>
      <c r="CD227" s="29">
        <v>6.33</v>
      </c>
      <c r="CE227" s="9">
        <v>450.41</v>
      </c>
      <c r="CF227" s="9"/>
      <c r="CG227" s="9">
        <v>0</v>
      </c>
      <c r="CH227" s="9">
        <v>0</v>
      </c>
      <c r="CI227" s="9">
        <f t="shared" si="171"/>
        <v>0.23</v>
      </c>
      <c r="CJ227" s="9">
        <f t="shared" si="172"/>
        <v>0</v>
      </c>
      <c r="CK227" s="13">
        <f t="shared" si="173"/>
        <v>0</v>
      </c>
      <c r="CL227" s="13">
        <f t="shared" si="174"/>
        <v>0</v>
      </c>
      <c r="CM227" s="13">
        <v>38022.17</v>
      </c>
      <c r="CN227" s="13">
        <v>453.12</v>
      </c>
      <c r="CO227" s="13">
        <v>0</v>
      </c>
      <c r="CP227" s="13">
        <v>0</v>
      </c>
      <c r="CQ227" s="13">
        <v>0</v>
      </c>
      <c r="CR227" s="13">
        <v>31359.47</v>
      </c>
      <c r="CS227" s="13">
        <v>988.48</v>
      </c>
      <c r="CT227" s="13">
        <v>0</v>
      </c>
      <c r="CU227" s="13">
        <v>7.13</v>
      </c>
      <c r="CV227" s="13">
        <v>3.58</v>
      </c>
      <c r="CW227" s="202">
        <v>1716</v>
      </c>
      <c r="CX227" s="200">
        <v>985</v>
      </c>
      <c r="CY227" s="202"/>
      <c r="CZ227" s="202"/>
      <c r="DA227" s="202"/>
      <c r="DB227" s="202"/>
      <c r="DC227" s="202"/>
      <c r="DD227" s="461"/>
      <c r="DE227" s="256"/>
      <c r="DF227" s="204">
        <v>904</v>
      </c>
      <c r="DG227" s="204"/>
      <c r="DH227" s="204"/>
      <c r="DI227" s="204"/>
      <c r="DJ227" s="202"/>
      <c r="DK227" s="202"/>
      <c r="DL227" s="202"/>
      <c r="DM227" s="202"/>
      <c r="DN227" s="202"/>
      <c r="DO227" s="202"/>
      <c r="DP227" s="202">
        <v>7470</v>
      </c>
      <c r="DQ227" s="202">
        <v>1700</v>
      </c>
      <c r="DR227" s="202">
        <v>1</v>
      </c>
      <c r="DS227" s="202"/>
      <c r="DT227" s="254"/>
      <c r="DU227" s="254"/>
      <c r="DV227" s="202"/>
      <c r="DW227" s="202">
        <v>7355</v>
      </c>
      <c r="DX227" s="202"/>
      <c r="DY227" s="107">
        <v>1365</v>
      </c>
      <c r="DZ227" s="107">
        <v>577</v>
      </c>
      <c r="EA227" s="202"/>
      <c r="EB227" s="202"/>
      <c r="EC227" s="202"/>
      <c r="ED227" s="202"/>
      <c r="EE227" s="202"/>
      <c r="EF227" s="229"/>
      <c r="EG227" s="202"/>
      <c r="EH227" s="202"/>
      <c r="EI227" s="202"/>
      <c r="EJ227" s="202"/>
      <c r="EK227" s="202">
        <v>450.41</v>
      </c>
      <c r="EL227" s="202">
        <v>0</v>
      </c>
      <c r="EM227" s="202">
        <v>0</v>
      </c>
      <c r="EN227" s="202">
        <v>0</v>
      </c>
      <c r="EO227" s="202">
        <v>450.41</v>
      </c>
      <c r="EP227" s="202"/>
      <c r="EQ227" s="202">
        <v>0</v>
      </c>
      <c r="ER227" s="202">
        <v>0</v>
      </c>
      <c r="ES227" s="202"/>
      <c r="ET227" s="202"/>
      <c r="EU227" s="202"/>
      <c r="EV227" s="214">
        <v>0.56999999999999995</v>
      </c>
      <c r="EW227" s="240">
        <f t="shared" si="157"/>
        <v>4308.84</v>
      </c>
      <c r="EX227" s="209">
        <f t="shared" si="158"/>
        <v>2804.42</v>
      </c>
    </row>
    <row r="228" spans="1:154" ht="12.75" customHeight="1" x14ac:dyDescent="0.2">
      <c r="A228" s="45" t="s">
        <v>317</v>
      </c>
      <c r="B228" s="55" t="s">
        <v>277</v>
      </c>
      <c r="C228" s="56" t="s">
        <v>286</v>
      </c>
      <c r="D228" s="57" t="s">
        <v>503</v>
      </c>
      <c r="E228" s="56" t="s">
        <v>12</v>
      </c>
      <c r="F228" s="11">
        <v>3</v>
      </c>
      <c r="G228" s="11">
        <v>2</v>
      </c>
      <c r="H228" s="11">
        <v>15</v>
      </c>
      <c r="I228" s="11">
        <v>0</v>
      </c>
      <c r="J228" s="11">
        <v>44</v>
      </c>
      <c r="K228" s="11">
        <v>53</v>
      </c>
      <c r="L228" s="11" t="s">
        <v>746</v>
      </c>
      <c r="M228" s="84">
        <v>56.4</v>
      </c>
      <c r="N228" s="84">
        <v>241.2</v>
      </c>
      <c r="O228" s="84">
        <v>241.2</v>
      </c>
      <c r="P228" s="139">
        <v>88.5</v>
      </c>
      <c r="Q228" s="135">
        <v>168.9</v>
      </c>
      <c r="R228" s="133">
        <v>241.5</v>
      </c>
      <c r="S228" s="133">
        <f t="shared" si="159"/>
        <v>498.9</v>
      </c>
      <c r="T228" s="139">
        <v>81</v>
      </c>
      <c r="U228" s="130">
        <v>0.84</v>
      </c>
      <c r="V228" s="131">
        <v>1.1299999999999999E-2</v>
      </c>
      <c r="W228" s="131" t="s">
        <v>823</v>
      </c>
      <c r="X228" s="132" t="s">
        <v>823</v>
      </c>
      <c r="Y228" s="131">
        <v>1.1299999999999999E-2</v>
      </c>
      <c r="Z228" s="29">
        <v>975.72</v>
      </c>
      <c r="AA228" s="34"/>
      <c r="AB228" s="9">
        <f t="shared" si="133"/>
        <v>975.72</v>
      </c>
      <c r="AC228" s="9">
        <f t="shared" si="175"/>
        <v>6176.31</v>
      </c>
      <c r="AD228" s="9">
        <v>0.43</v>
      </c>
      <c r="AE228" s="9">
        <v>3.29</v>
      </c>
      <c r="AF228" s="21">
        <f>2.41-AJ228</f>
        <v>1.78</v>
      </c>
      <c r="AG228" s="18">
        <f>0.55-AQ228</f>
        <v>0.43</v>
      </c>
      <c r="AH228" s="9">
        <v>2.17</v>
      </c>
      <c r="AI228" s="13">
        <v>616</v>
      </c>
      <c r="AJ228" s="21">
        <f t="shared" si="137"/>
        <v>0.63</v>
      </c>
      <c r="AK228" s="9">
        <v>0</v>
      </c>
      <c r="AL228" s="9">
        <v>0</v>
      </c>
      <c r="AM228" s="9">
        <v>0.59</v>
      </c>
      <c r="AN228" s="13">
        <v>84.6</v>
      </c>
      <c r="AO228" s="13">
        <v>169.2</v>
      </c>
      <c r="AP228" s="13">
        <f t="shared" si="161"/>
        <v>5.58</v>
      </c>
      <c r="AQ228" s="18">
        <f t="shared" si="136"/>
        <v>0.12</v>
      </c>
      <c r="AR228" s="9">
        <v>0.84</v>
      </c>
      <c r="AS228" s="9">
        <v>1.39</v>
      </c>
      <c r="AT228" s="9">
        <v>7.0000000000000007E-2</v>
      </c>
      <c r="AU228" s="9">
        <v>4.3</v>
      </c>
      <c r="AV228" s="9">
        <v>0.13</v>
      </c>
      <c r="AW228" s="9">
        <f>0.36+0.38+1.04</f>
        <v>1.78</v>
      </c>
      <c r="AX228" s="9">
        <f>1.49+0.51</f>
        <v>2</v>
      </c>
      <c r="AY228" s="58">
        <f t="shared" si="162"/>
        <v>19.95</v>
      </c>
      <c r="AZ228" s="59">
        <v>981.8</v>
      </c>
      <c r="BA228" s="59">
        <v>0</v>
      </c>
      <c r="BB228" s="59">
        <f t="shared" si="134"/>
        <v>981.8</v>
      </c>
      <c r="BC228" s="59">
        <v>19.95</v>
      </c>
      <c r="BD228" s="13">
        <f t="shared" si="160"/>
        <v>0</v>
      </c>
      <c r="BE228" s="9">
        <f t="shared" si="138"/>
        <v>19465.61</v>
      </c>
      <c r="BF228" s="9">
        <v>19.95</v>
      </c>
      <c r="BG228" s="10">
        <v>44378</v>
      </c>
      <c r="BH228" s="9">
        <f t="shared" si="139"/>
        <v>419.56</v>
      </c>
      <c r="BI228" s="9">
        <f t="shared" si="140"/>
        <v>3210.12</v>
      </c>
      <c r="BJ228" s="9">
        <f t="shared" si="141"/>
        <v>1736.78</v>
      </c>
      <c r="BK228" s="9">
        <f t="shared" si="142"/>
        <v>419.56</v>
      </c>
      <c r="BL228" s="9">
        <f t="shared" si="143"/>
        <v>2117.31</v>
      </c>
      <c r="BM228" s="9">
        <f t="shared" si="144"/>
        <v>614.70000000000005</v>
      </c>
      <c r="BN228" s="9">
        <f t="shared" si="145"/>
        <v>0</v>
      </c>
      <c r="BO228" s="9">
        <f t="shared" si="146"/>
        <v>0</v>
      </c>
      <c r="BP228" s="9">
        <f t="shared" si="147"/>
        <v>575.66999999999996</v>
      </c>
      <c r="BQ228" s="9">
        <f t="shared" si="148"/>
        <v>117.09</v>
      </c>
      <c r="BR228" s="9">
        <f t="shared" si="149"/>
        <v>819.6</v>
      </c>
      <c r="BS228" s="9">
        <f t="shared" si="150"/>
        <v>1356.25</v>
      </c>
      <c r="BT228" s="9">
        <f t="shared" si="151"/>
        <v>68.3</v>
      </c>
      <c r="BU228" s="9">
        <f t="shared" si="152"/>
        <v>4195.6000000000004</v>
      </c>
      <c r="BV228" s="9">
        <f t="shared" si="153"/>
        <v>126.84</v>
      </c>
      <c r="BW228" s="9">
        <f t="shared" si="154"/>
        <v>1736.78</v>
      </c>
      <c r="BX228" s="9">
        <f t="shared" si="155"/>
        <v>1951.44</v>
      </c>
      <c r="BY228" s="17">
        <f t="shared" si="156"/>
        <v>19465.599999999999</v>
      </c>
      <c r="BZ228" s="17">
        <v>1.8</v>
      </c>
      <c r="CA228" s="17">
        <v>0.02</v>
      </c>
      <c r="CB228" s="173">
        <v>0</v>
      </c>
      <c r="CC228" s="27">
        <v>0.01</v>
      </c>
      <c r="CD228" s="29">
        <v>6.33</v>
      </c>
      <c r="CE228" s="9">
        <v>181.47</v>
      </c>
      <c r="CF228" s="9"/>
      <c r="CG228" s="9">
        <v>10106.98</v>
      </c>
      <c r="CH228" s="9">
        <v>5305.5</v>
      </c>
      <c r="CI228" s="9">
        <f t="shared" si="171"/>
        <v>0.19</v>
      </c>
      <c r="CJ228" s="9">
        <f t="shared" si="172"/>
        <v>0</v>
      </c>
      <c r="CK228" s="13">
        <f t="shared" si="173"/>
        <v>10.36</v>
      </c>
      <c r="CL228" s="13">
        <f t="shared" si="174"/>
        <v>5.44</v>
      </c>
      <c r="CM228" s="13">
        <v>19465.650000000001</v>
      </c>
      <c r="CN228" s="13">
        <v>185.39</v>
      </c>
      <c r="CO228" s="13">
        <v>0</v>
      </c>
      <c r="CP228" s="13">
        <v>3483.3</v>
      </c>
      <c r="CQ228" s="13">
        <v>1824.58</v>
      </c>
      <c r="CR228" s="13">
        <v>20889.740000000002</v>
      </c>
      <c r="CS228" s="13">
        <v>281.82</v>
      </c>
      <c r="CT228" s="13">
        <v>0</v>
      </c>
      <c r="CU228" s="13">
        <v>3929.95</v>
      </c>
      <c r="CV228" s="13">
        <v>2054.6</v>
      </c>
      <c r="CW228" s="202">
        <v>850</v>
      </c>
      <c r="CX228" s="200">
        <v>488</v>
      </c>
      <c r="CY228" s="202"/>
      <c r="CZ228" s="202"/>
      <c r="DA228" s="202"/>
      <c r="DB228" s="202"/>
      <c r="DC228" s="202"/>
      <c r="DD228" s="461"/>
      <c r="DE228" s="256"/>
      <c r="DF228" s="204">
        <v>616</v>
      </c>
      <c r="DG228" s="204"/>
      <c r="DH228" s="204"/>
      <c r="DI228" s="204"/>
      <c r="DJ228" s="202"/>
      <c r="DK228" s="202"/>
      <c r="DL228" s="202"/>
      <c r="DM228" s="202"/>
      <c r="DN228" s="202"/>
      <c r="DO228" s="202"/>
      <c r="DP228" s="202">
        <v>3598</v>
      </c>
      <c r="DQ228" s="202">
        <v>1700</v>
      </c>
      <c r="DR228" s="202">
        <v>1</v>
      </c>
      <c r="DS228" s="202"/>
      <c r="DT228" s="254"/>
      <c r="DU228" s="254"/>
      <c r="DV228" s="202"/>
      <c r="DW228" s="202">
        <v>3572</v>
      </c>
      <c r="DX228" s="202"/>
      <c r="DY228" s="107">
        <v>1365</v>
      </c>
      <c r="DZ228" s="107">
        <v>577</v>
      </c>
      <c r="EA228" s="202"/>
      <c r="EB228" s="202"/>
      <c r="EC228" s="202"/>
      <c r="ED228" s="202"/>
      <c r="EE228" s="202"/>
      <c r="EF228" s="229"/>
      <c r="EG228" s="202"/>
      <c r="EH228" s="202"/>
      <c r="EI228" s="202"/>
      <c r="EJ228" s="202"/>
      <c r="EK228" s="202">
        <v>181.47</v>
      </c>
      <c r="EL228" s="202">
        <v>0</v>
      </c>
      <c r="EM228" s="202">
        <v>3486.1</v>
      </c>
      <c r="EN228" s="202">
        <v>1825.09</v>
      </c>
      <c r="EO228" s="202">
        <v>181.47</v>
      </c>
      <c r="EP228" s="202"/>
      <c r="EQ228" s="202">
        <v>3486.1</v>
      </c>
      <c r="ER228" s="202">
        <v>1825.09</v>
      </c>
      <c r="ES228" s="202"/>
      <c r="ET228" s="202"/>
      <c r="EU228" s="202"/>
      <c r="EV228" s="214">
        <v>104.23</v>
      </c>
      <c r="EW228" s="240">
        <f t="shared" si="157"/>
        <v>2134.06</v>
      </c>
      <c r="EX228" s="209">
        <f t="shared" si="158"/>
        <v>1388.96</v>
      </c>
    </row>
    <row r="229" spans="1:154" ht="12.75" customHeight="1" x14ac:dyDescent="0.2">
      <c r="A229" s="45" t="s">
        <v>318</v>
      </c>
      <c r="B229" s="55" t="s">
        <v>277</v>
      </c>
      <c r="C229" s="56" t="s">
        <v>288</v>
      </c>
      <c r="D229" s="57" t="s">
        <v>504</v>
      </c>
      <c r="E229" s="56" t="s">
        <v>12</v>
      </c>
      <c r="F229" s="11">
        <v>3</v>
      </c>
      <c r="G229" s="11">
        <v>4</v>
      </c>
      <c r="H229" s="11">
        <v>36</v>
      </c>
      <c r="I229" s="11">
        <v>0</v>
      </c>
      <c r="J229" s="11">
        <v>79</v>
      </c>
      <c r="K229" s="11">
        <v>87</v>
      </c>
      <c r="L229" s="11" t="s">
        <v>746</v>
      </c>
      <c r="M229" s="84">
        <v>210.6</v>
      </c>
      <c r="N229" s="84">
        <v>873.8</v>
      </c>
      <c r="O229" s="84">
        <v>873.8</v>
      </c>
      <c r="P229" s="135">
        <v>210.6</v>
      </c>
      <c r="Q229" s="135">
        <v>537.6</v>
      </c>
      <c r="R229" s="133">
        <v>873.8</v>
      </c>
      <c r="S229" s="133">
        <f t="shared" si="159"/>
        <v>1622</v>
      </c>
      <c r="T229" s="134">
        <v>210.6</v>
      </c>
      <c r="U229" s="130">
        <v>0.84</v>
      </c>
      <c r="V229" s="131">
        <v>1.1299999999999999E-2</v>
      </c>
      <c r="W229" s="131" t="s">
        <v>823</v>
      </c>
      <c r="X229" s="132" t="s">
        <v>823</v>
      </c>
      <c r="Y229" s="131">
        <v>1.1299999999999999E-2</v>
      </c>
      <c r="Z229" s="29">
        <v>1873.5</v>
      </c>
      <c r="AA229" s="34">
        <v>128.6</v>
      </c>
      <c r="AB229" s="9">
        <f t="shared" si="133"/>
        <v>2002.1</v>
      </c>
      <c r="AC229" s="9">
        <f t="shared" si="175"/>
        <v>12673.29</v>
      </c>
      <c r="AD229" s="9">
        <v>0.48</v>
      </c>
      <c r="AE229" s="9">
        <v>3.64</v>
      </c>
      <c r="AF229" s="21">
        <f>2.45-AJ229</f>
        <v>2.02</v>
      </c>
      <c r="AG229" s="18">
        <f>0.57-AQ229</f>
        <v>0.45</v>
      </c>
      <c r="AH229" s="9">
        <v>2.17</v>
      </c>
      <c r="AI229" s="13">
        <v>868</v>
      </c>
      <c r="AJ229" s="21">
        <f t="shared" si="137"/>
        <v>0.43</v>
      </c>
      <c r="AK229" s="9">
        <v>0</v>
      </c>
      <c r="AL229" s="9">
        <v>0</v>
      </c>
      <c r="AM229" s="9">
        <v>0.28000000000000003</v>
      </c>
      <c r="AN229" s="13">
        <v>169.2</v>
      </c>
      <c r="AO229" s="13">
        <v>338.4</v>
      </c>
      <c r="AP229" s="13">
        <f t="shared" si="161"/>
        <v>5.58</v>
      </c>
      <c r="AQ229" s="18">
        <f t="shared" si="136"/>
        <v>0.12</v>
      </c>
      <c r="AR229" s="9">
        <v>0.71</v>
      </c>
      <c r="AS229" s="9">
        <v>0.66</v>
      </c>
      <c r="AT229" s="9">
        <v>7.0000000000000007E-2</v>
      </c>
      <c r="AU229" s="9">
        <v>4.6100000000000003</v>
      </c>
      <c r="AV229" s="9">
        <v>0.12</v>
      </c>
      <c r="AW229" s="9">
        <f>0.25+0.41+0.99</f>
        <v>1.65</v>
      </c>
      <c r="AX229" s="9">
        <f>1.37+0.55</f>
        <v>1.92</v>
      </c>
      <c r="AY229" s="58">
        <f t="shared" si="162"/>
        <v>19.329999999999998</v>
      </c>
      <c r="AZ229" s="59">
        <v>1875.4</v>
      </c>
      <c r="BA229" s="59">
        <v>178.9</v>
      </c>
      <c r="BB229" s="59">
        <f t="shared" si="134"/>
        <v>2054.3000000000002</v>
      </c>
      <c r="BC229" s="59">
        <v>19.329999999999998</v>
      </c>
      <c r="BD229" s="13">
        <f t="shared" si="160"/>
        <v>0</v>
      </c>
      <c r="BE229" s="9">
        <f t="shared" si="138"/>
        <v>38700.589999999997</v>
      </c>
      <c r="BF229" s="9">
        <v>19.329999999999998</v>
      </c>
      <c r="BG229" s="10">
        <v>44378</v>
      </c>
      <c r="BH229" s="9">
        <f t="shared" si="139"/>
        <v>961.01</v>
      </c>
      <c r="BI229" s="9">
        <f t="shared" si="140"/>
        <v>7287.64</v>
      </c>
      <c r="BJ229" s="9">
        <f t="shared" si="141"/>
        <v>4044.24</v>
      </c>
      <c r="BK229" s="9">
        <f t="shared" si="142"/>
        <v>900.95</v>
      </c>
      <c r="BL229" s="9">
        <f t="shared" si="143"/>
        <v>4344.5600000000004</v>
      </c>
      <c r="BM229" s="9">
        <f t="shared" si="144"/>
        <v>860.9</v>
      </c>
      <c r="BN229" s="9">
        <f t="shared" si="145"/>
        <v>0</v>
      </c>
      <c r="BO229" s="9">
        <f t="shared" si="146"/>
        <v>0</v>
      </c>
      <c r="BP229" s="9">
        <f t="shared" si="147"/>
        <v>560.59</v>
      </c>
      <c r="BQ229" s="9">
        <f t="shared" si="148"/>
        <v>240.25</v>
      </c>
      <c r="BR229" s="9">
        <f t="shared" si="149"/>
        <v>1421.49</v>
      </c>
      <c r="BS229" s="9">
        <f t="shared" si="150"/>
        <v>1321.39</v>
      </c>
      <c r="BT229" s="9">
        <f t="shared" si="151"/>
        <v>140.15</v>
      </c>
      <c r="BU229" s="9">
        <f t="shared" si="152"/>
        <v>9229.68</v>
      </c>
      <c r="BV229" s="9">
        <f t="shared" si="153"/>
        <v>240.25</v>
      </c>
      <c r="BW229" s="9">
        <f t="shared" si="154"/>
        <v>3303.47</v>
      </c>
      <c r="BX229" s="9">
        <f t="shared" si="155"/>
        <v>3844.03</v>
      </c>
      <c r="BY229" s="17">
        <f t="shared" si="156"/>
        <v>38700.6</v>
      </c>
      <c r="BZ229" s="17">
        <v>3.02</v>
      </c>
      <c r="CA229" s="17">
        <v>0.03</v>
      </c>
      <c r="CB229" s="173">
        <v>0</v>
      </c>
      <c r="CC229" s="27">
        <v>0.02</v>
      </c>
      <c r="CD229" s="29">
        <v>6.33</v>
      </c>
      <c r="CE229" s="9">
        <v>677.53</v>
      </c>
      <c r="CF229" s="9"/>
      <c r="CG229" s="9">
        <v>0</v>
      </c>
      <c r="CH229" s="9">
        <v>0</v>
      </c>
      <c r="CI229" s="9">
        <f t="shared" si="171"/>
        <v>0.34</v>
      </c>
      <c r="CJ229" s="9">
        <f t="shared" si="172"/>
        <v>0</v>
      </c>
      <c r="CK229" s="13">
        <f t="shared" si="173"/>
        <v>0</v>
      </c>
      <c r="CL229" s="13">
        <f t="shared" si="174"/>
        <v>0</v>
      </c>
      <c r="CM229" s="13">
        <v>36214.76</v>
      </c>
      <c r="CN229" s="13">
        <v>636.98</v>
      </c>
      <c r="CO229" s="13">
        <v>0</v>
      </c>
      <c r="CP229" s="13">
        <v>0</v>
      </c>
      <c r="CQ229" s="13">
        <v>0</v>
      </c>
      <c r="CR229" s="13">
        <v>42617.63</v>
      </c>
      <c r="CS229" s="13">
        <v>1146.97</v>
      </c>
      <c r="CT229" s="13">
        <v>0</v>
      </c>
      <c r="CU229" s="13">
        <v>7.65</v>
      </c>
      <c r="CV229" s="13">
        <v>5.0999999999999996</v>
      </c>
      <c r="CW229" s="202">
        <v>1744</v>
      </c>
      <c r="CX229" s="200">
        <v>1001</v>
      </c>
      <c r="CY229" s="202"/>
      <c r="CZ229" s="202"/>
      <c r="DA229" s="202"/>
      <c r="DB229" s="202"/>
      <c r="DC229" s="202"/>
      <c r="DD229" s="461"/>
      <c r="DE229" s="256"/>
      <c r="DF229" s="204">
        <v>868</v>
      </c>
      <c r="DG229" s="204"/>
      <c r="DH229" s="204"/>
      <c r="DI229" s="204"/>
      <c r="DJ229" s="202"/>
      <c r="DK229" s="202"/>
      <c r="DL229" s="202"/>
      <c r="DM229" s="202"/>
      <c r="DN229" s="202"/>
      <c r="DO229" s="202"/>
      <c r="DP229" s="202">
        <v>8323</v>
      </c>
      <c r="DQ229" s="202">
        <v>1700</v>
      </c>
      <c r="DR229" s="202">
        <v>1</v>
      </c>
      <c r="DS229" s="202"/>
      <c r="DT229" s="254"/>
      <c r="DU229" s="254"/>
      <c r="DV229" s="202"/>
      <c r="DW229" s="202">
        <v>7924</v>
      </c>
      <c r="DX229" s="202"/>
      <c r="DY229" s="107">
        <v>1365</v>
      </c>
      <c r="DZ229" s="107">
        <v>577</v>
      </c>
      <c r="EA229" s="202"/>
      <c r="EB229" s="202"/>
      <c r="EC229" s="202"/>
      <c r="ED229" s="202"/>
      <c r="EE229" s="202"/>
      <c r="EF229" s="229"/>
      <c r="EG229" s="202"/>
      <c r="EH229" s="202"/>
      <c r="EI229" s="202"/>
      <c r="EJ229" s="202"/>
      <c r="EK229" s="202">
        <v>677.53</v>
      </c>
      <c r="EL229" s="202">
        <v>0</v>
      </c>
      <c r="EM229" s="202">
        <v>0</v>
      </c>
      <c r="EN229" s="202">
        <v>0</v>
      </c>
      <c r="EO229" s="202">
        <v>677.53</v>
      </c>
      <c r="EP229" s="202"/>
      <c r="EQ229" s="202">
        <v>0</v>
      </c>
      <c r="ER229" s="202">
        <v>0</v>
      </c>
      <c r="ES229" s="202"/>
      <c r="ET229" s="202"/>
      <c r="EU229" s="202"/>
      <c r="EV229" s="214">
        <v>-0.23</v>
      </c>
      <c r="EW229" s="240">
        <f t="shared" si="157"/>
        <v>4378.91</v>
      </c>
      <c r="EX229" s="209">
        <f t="shared" si="158"/>
        <v>2850.03</v>
      </c>
    </row>
    <row r="230" spans="1:154" ht="12.75" customHeight="1" x14ac:dyDescent="0.2">
      <c r="A230" s="45" t="s">
        <v>319</v>
      </c>
      <c r="B230" s="55" t="s">
        <v>277</v>
      </c>
      <c r="C230" s="56" t="s">
        <v>288</v>
      </c>
      <c r="D230" s="57" t="s">
        <v>585</v>
      </c>
      <c r="E230" s="56" t="s">
        <v>9</v>
      </c>
      <c r="F230" s="11">
        <v>4</v>
      </c>
      <c r="G230" s="11">
        <v>3</v>
      </c>
      <c r="H230" s="11">
        <v>52</v>
      </c>
      <c r="I230" s="11">
        <v>0</v>
      </c>
      <c r="J230" s="11">
        <v>106</v>
      </c>
      <c r="K230" s="11">
        <v>118</v>
      </c>
      <c r="L230" s="11" t="s">
        <v>746</v>
      </c>
      <c r="M230" s="84">
        <v>143.6</v>
      </c>
      <c r="N230" s="84">
        <v>367.9</v>
      </c>
      <c r="O230" s="84">
        <v>367.9</v>
      </c>
      <c r="P230" s="135">
        <v>143.6</v>
      </c>
      <c r="Q230" s="135">
        <v>367.9</v>
      </c>
      <c r="R230" s="133">
        <v>689</v>
      </c>
      <c r="S230" s="133">
        <f t="shared" si="159"/>
        <v>1200.5</v>
      </c>
      <c r="T230" s="134">
        <v>143.6</v>
      </c>
      <c r="U230" s="130">
        <v>0.84</v>
      </c>
      <c r="V230" s="131">
        <v>1.1299999999999999E-2</v>
      </c>
      <c r="W230" s="131" t="s">
        <v>823</v>
      </c>
      <c r="X230" s="132" t="s">
        <v>823</v>
      </c>
      <c r="Y230" s="131">
        <v>1.1299999999999999E-2</v>
      </c>
      <c r="Z230" s="29">
        <v>2165.1</v>
      </c>
      <c r="AA230" s="34"/>
      <c r="AB230" s="9">
        <f t="shared" ref="AB230:AB308" si="176">Z230+AA230</f>
        <v>2165.1</v>
      </c>
      <c r="AC230" s="9">
        <f t="shared" si="175"/>
        <v>13705.08</v>
      </c>
      <c r="AD230" s="9">
        <v>0.33</v>
      </c>
      <c r="AE230" s="9">
        <v>3.9</v>
      </c>
      <c r="AF230" s="21">
        <f>2.37-AJ230</f>
        <v>2.06</v>
      </c>
      <c r="AG230" s="18">
        <f>0.54-AQ230</f>
        <v>0.41</v>
      </c>
      <c r="AH230" s="9">
        <v>2.16</v>
      </c>
      <c r="AI230" s="13">
        <v>668</v>
      </c>
      <c r="AJ230" s="21">
        <f t="shared" si="137"/>
        <v>0.31</v>
      </c>
      <c r="AK230" s="9">
        <v>0</v>
      </c>
      <c r="AL230" s="9">
        <v>0</v>
      </c>
      <c r="AM230" s="9">
        <v>0.26</v>
      </c>
      <c r="AN230" s="13">
        <v>207.6</v>
      </c>
      <c r="AO230" s="13">
        <v>415.2</v>
      </c>
      <c r="AP230" s="13">
        <f t="shared" si="161"/>
        <v>5.58</v>
      </c>
      <c r="AQ230" s="18">
        <f t="shared" si="136"/>
        <v>0.13</v>
      </c>
      <c r="AR230" s="9">
        <v>0.9</v>
      </c>
      <c r="AS230" s="9">
        <v>0.62</v>
      </c>
      <c r="AT230" s="9">
        <v>7.0000000000000007E-2</v>
      </c>
      <c r="AU230" s="9">
        <v>4.58</v>
      </c>
      <c r="AV230" s="9">
        <v>0.12</v>
      </c>
      <c r="AW230" s="9">
        <f>0.33+1+0.4</f>
        <v>1.73</v>
      </c>
      <c r="AX230" s="9">
        <f>1.39+0.55</f>
        <v>1.94</v>
      </c>
      <c r="AY230" s="58">
        <f t="shared" si="162"/>
        <v>19.52</v>
      </c>
      <c r="AZ230" s="59">
        <v>2188.3000000000002</v>
      </c>
      <c r="BA230" s="59">
        <v>0</v>
      </c>
      <c r="BB230" s="59">
        <f t="shared" ref="BB230:BB308" si="177">AZ230+BA230</f>
        <v>2188.3000000000002</v>
      </c>
      <c r="BC230" s="59">
        <v>19.52</v>
      </c>
      <c r="BD230" s="13">
        <f t="shared" si="160"/>
        <v>0</v>
      </c>
      <c r="BE230" s="9">
        <f t="shared" si="138"/>
        <v>42262.75</v>
      </c>
      <c r="BF230" s="9">
        <v>19.52</v>
      </c>
      <c r="BG230" s="10">
        <v>44378</v>
      </c>
      <c r="BH230" s="9">
        <f t="shared" si="139"/>
        <v>714.48</v>
      </c>
      <c r="BI230" s="9">
        <f t="shared" si="140"/>
        <v>8443.89</v>
      </c>
      <c r="BJ230" s="9">
        <f t="shared" si="141"/>
        <v>4460.1099999999997</v>
      </c>
      <c r="BK230" s="9">
        <f t="shared" si="142"/>
        <v>887.69</v>
      </c>
      <c r="BL230" s="9">
        <f t="shared" si="143"/>
        <v>4676.62</v>
      </c>
      <c r="BM230" s="9">
        <f t="shared" si="144"/>
        <v>671.18</v>
      </c>
      <c r="BN230" s="9">
        <f t="shared" si="145"/>
        <v>0</v>
      </c>
      <c r="BO230" s="9">
        <f t="shared" si="146"/>
        <v>0</v>
      </c>
      <c r="BP230" s="9">
        <f t="shared" si="147"/>
        <v>562.92999999999995</v>
      </c>
      <c r="BQ230" s="9">
        <f t="shared" si="148"/>
        <v>281.45999999999998</v>
      </c>
      <c r="BR230" s="9">
        <f t="shared" si="149"/>
        <v>1948.59</v>
      </c>
      <c r="BS230" s="9">
        <f t="shared" si="150"/>
        <v>1342.36</v>
      </c>
      <c r="BT230" s="9">
        <f t="shared" si="151"/>
        <v>151.56</v>
      </c>
      <c r="BU230" s="9">
        <f t="shared" si="152"/>
        <v>9916.16</v>
      </c>
      <c r="BV230" s="9">
        <f t="shared" si="153"/>
        <v>259.81</v>
      </c>
      <c r="BW230" s="9">
        <f t="shared" si="154"/>
        <v>3745.62</v>
      </c>
      <c r="BX230" s="9">
        <f t="shared" si="155"/>
        <v>4200.29</v>
      </c>
      <c r="BY230" s="17">
        <f t="shared" si="156"/>
        <v>42262.75</v>
      </c>
      <c r="BZ230" s="17">
        <v>1.26</v>
      </c>
      <c r="CA230" s="17">
        <v>0.02</v>
      </c>
      <c r="CB230" s="173">
        <v>0</v>
      </c>
      <c r="CC230" s="27">
        <v>0.01</v>
      </c>
      <c r="CD230" s="29">
        <v>6.33</v>
      </c>
      <c r="CE230" s="9">
        <v>461.97</v>
      </c>
      <c r="CF230" s="9"/>
      <c r="CG230" s="9">
        <v>0</v>
      </c>
      <c r="CH230" s="9">
        <v>0</v>
      </c>
      <c r="CI230" s="9">
        <f t="shared" si="171"/>
        <v>0.21</v>
      </c>
      <c r="CJ230" s="9">
        <f t="shared" si="172"/>
        <v>0</v>
      </c>
      <c r="CK230" s="13">
        <f t="shared" si="173"/>
        <v>0</v>
      </c>
      <c r="CL230" s="13">
        <f t="shared" si="174"/>
        <v>0</v>
      </c>
      <c r="CM230" s="13">
        <v>42262.74</v>
      </c>
      <c r="CN230" s="13">
        <v>454.67</v>
      </c>
      <c r="CO230" s="13">
        <v>0</v>
      </c>
      <c r="CP230" s="13">
        <v>0</v>
      </c>
      <c r="CQ230" s="13">
        <v>0</v>
      </c>
      <c r="CR230" s="13">
        <v>50291.48</v>
      </c>
      <c r="CS230" s="13">
        <v>674.36</v>
      </c>
      <c r="CT230" s="13">
        <v>0</v>
      </c>
      <c r="CU230" s="13">
        <v>294.60000000000002</v>
      </c>
      <c r="CV230" s="13">
        <v>147.32</v>
      </c>
      <c r="CW230" s="202">
        <v>1886</v>
      </c>
      <c r="CX230" s="200">
        <v>1082</v>
      </c>
      <c r="CY230" s="202"/>
      <c r="CZ230" s="202"/>
      <c r="DA230" s="202"/>
      <c r="DB230" s="202"/>
      <c r="DC230" s="202"/>
      <c r="DD230" s="461"/>
      <c r="DE230" s="256"/>
      <c r="DF230" s="204">
        <v>668</v>
      </c>
      <c r="DG230" s="204"/>
      <c r="DH230" s="204"/>
      <c r="DI230" s="204"/>
      <c r="DJ230" s="202"/>
      <c r="DK230" s="202"/>
      <c r="DL230" s="202"/>
      <c r="DM230" s="202"/>
      <c r="DN230" s="202"/>
      <c r="DO230" s="202"/>
      <c r="DP230" s="202">
        <v>9102</v>
      </c>
      <c r="DQ230" s="202">
        <v>1700</v>
      </c>
      <c r="DR230" s="202">
        <v>1</v>
      </c>
      <c r="DS230" s="202"/>
      <c r="DT230" s="254"/>
      <c r="DU230" s="254"/>
      <c r="DV230" s="202"/>
      <c r="DW230" s="202">
        <v>8408</v>
      </c>
      <c r="DX230" s="202"/>
      <c r="DY230" s="107">
        <v>1365</v>
      </c>
      <c r="DZ230" s="107">
        <v>577</v>
      </c>
      <c r="EA230" s="202"/>
      <c r="EB230" s="202"/>
      <c r="EC230" s="202"/>
      <c r="ED230" s="202"/>
      <c r="EE230" s="202"/>
      <c r="EF230" s="229"/>
      <c r="EG230" s="202"/>
      <c r="EH230" s="202"/>
      <c r="EI230" s="202"/>
      <c r="EJ230" s="202"/>
      <c r="EK230" s="202">
        <v>461.97</v>
      </c>
      <c r="EL230" s="202">
        <v>0</v>
      </c>
      <c r="EM230" s="202">
        <v>0</v>
      </c>
      <c r="EN230" s="202">
        <v>0</v>
      </c>
      <c r="EO230" s="202">
        <v>461.97</v>
      </c>
      <c r="EP230" s="202"/>
      <c r="EQ230" s="202">
        <v>0</v>
      </c>
      <c r="ER230" s="202">
        <v>0</v>
      </c>
      <c r="ES230" s="202"/>
      <c r="ET230" s="202"/>
      <c r="EU230" s="202"/>
      <c r="EV230" s="214">
        <v>0.53</v>
      </c>
      <c r="EW230" s="240">
        <f t="shared" si="157"/>
        <v>4735.42</v>
      </c>
      <c r="EX230" s="209">
        <f t="shared" si="158"/>
        <v>3082.06</v>
      </c>
    </row>
    <row r="231" spans="1:154" ht="12.75" customHeight="1" x14ac:dyDescent="0.2">
      <c r="A231" s="45" t="s">
        <v>320</v>
      </c>
      <c r="B231" s="51" t="s">
        <v>291</v>
      </c>
      <c r="C231" s="52" t="s">
        <v>17</v>
      </c>
      <c r="D231" s="53" t="s">
        <v>663</v>
      </c>
      <c r="E231" s="52" t="s">
        <v>12</v>
      </c>
      <c r="F231" s="11">
        <v>5</v>
      </c>
      <c r="G231" s="11">
        <v>4</v>
      </c>
      <c r="H231" s="11">
        <v>70</v>
      </c>
      <c r="I231" s="11">
        <v>72</v>
      </c>
      <c r="J231" s="11">
        <v>153</v>
      </c>
      <c r="K231" s="11">
        <v>184</v>
      </c>
      <c r="L231" s="11" t="s">
        <v>746</v>
      </c>
      <c r="M231" s="84">
        <v>279</v>
      </c>
      <c r="N231" s="84">
        <v>917.1</v>
      </c>
      <c r="O231" s="84">
        <v>917.1</v>
      </c>
      <c r="P231" s="135">
        <v>295.8</v>
      </c>
      <c r="Q231" s="135">
        <v>710.8</v>
      </c>
      <c r="R231" s="133">
        <v>710.8</v>
      </c>
      <c r="S231" s="133">
        <f t="shared" si="159"/>
        <v>1717.4</v>
      </c>
      <c r="T231" s="134">
        <v>295.8</v>
      </c>
      <c r="U231" s="130">
        <v>1.53</v>
      </c>
      <c r="V231" s="131">
        <v>1.1299999999999999E-2</v>
      </c>
      <c r="W231" s="131" t="s">
        <v>823</v>
      </c>
      <c r="X231" s="132" t="s">
        <v>823</v>
      </c>
      <c r="Y231" s="131">
        <v>1.1299999999999999E-2</v>
      </c>
      <c r="Z231" s="29">
        <v>3267.79</v>
      </c>
      <c r="AA231" s="34">
        <v>115.8</v>
      </c>
      <c r="AB231" s="9">
        <f t="shared" si="176"/>
        <v>3383.59</v>
      </c>
      <c r="AC231" s="9">
        <f t="shared" si="175"/>
        <v>21418.12</v>
      </c>
      <c r="AD231" s="9">
        <v>0.41</v>
      </c>
      <c r="AE231" s="9">
        <v>4.01</v>
      </c>
      <c r="AF231" s="21">
        <f>2.4-AJ231</f>
        <v>2.04</v>
      </c>
      <c r="AG231" s="18">
        <f>0.53-AQ231</f>
        <v>0.38</v>
      </c>
      <c r="AH231" s="9">
        <v>2.16</v>
      </c>
      <c r="AI231" s="13">
        <v>1210</v>
      </c>
      <c r="AJ231" s="21">
        <f t="shared" si="137"/>
        <v>0.36</v>
      </c>
      <c r="AK231" s="9">
        <v>0</v>
      </c>
      <c r="AL231" s="9">
        <v>0</v>
      </c>
      <c r="AM231" s="9">
        <v>0.17</v>
      </c>
      <c r="AN231" s="13">
        <v>373.3</v>
      </c>
      <c r="AO231" s="13">
        <v>746.7</v>
      </c>
      <c r="AP231" s="13">
        <f t="shared" si="161"/>
        <v>5.58</v>
      </c>
      <c r="AQ231" s="18">
        <f t="shared" si="136"/>
        <v>0.15</v>
      </c>
      <c r="AR231" s="9">
        <v>0.77</v>
      </c>
      <c r="AS231" s="9">
        <v>0.4</v>
      </c>
      <c r="AT231" s="9">
        <v>7.0000000000000007E-2</v>
      </c>
      <c r="AU231" s="9">
        <v>4.3499999999999996</v>
      </c>
      <c r="AV231" s="9">
        <v>0.11</v>
      </c>
      <c r="AW231" s="9">
        <f>0.98+0.29+0.38</f>
        <v>1.65</v>
      </c>
      <c r="AX231" s="9">
        <f>1.35+0.52</f>
        <v>1.87</v>
      </c>
      <c r="AY231" s="54">
        <f t="shared" si="162"/>
        <v>18.899999999999999</v>
      </c>
      <c r="AZ231" s="43">
        <v>3265.8</v>
      </c>
      <c r="BA231" s="43">
        <v>115.8</v>
      </c>
      <c r="BB231" s="43">
        <f t="shared" si="177"/>
        <v>3381.6</v>
      </c>
      <c r="BC231" s="43">
        <v>18.899999999999999</v>
      </c>
      <c r="BD231" s="13">
        <f t="shared" si="160"/>
        <v>0</v>
      </c>
      <c r="BE231" s="9">
        <f t="shared" si="138"/>
        <v>63949.85</v>
      </c>
      <c r="BF231" s="9">
        <v>18.899999999999999</v>
      </c>
      <c r="BG231" s="10">
        <v>44409</v>
      </c>
      <c r="BH231" s="9">
        <f t="shared" si="139"/>
        <v>1387.27</v>
      </c>
      <c r="BI231" s="9">
        <f t="shared" si="140"/>
        <v>13568.2</v>
      </c>
      <c r="BJ231" s="9">
        <f t="shared" si="141"/>
        <v>6902.52</v>
      </c>
      <c r="BK231" s="9">
        <f t="shared" si="142"/>
        <v>1285.76</v>
      </c>
      <c r="BL231" s="9">
        <f t="shared" si="143"/>
        <v>7308.55</v>
      </c>
      <c r="BM231" s="9">
        <f t="shared" si="144"/>
        <v>1218.0899999999999</v>
      </c>
      <c r="BN231" s="9">
        <f t="shared" si="145"/>
        <v>0</v>
      </c>
      <c r="BO231" s="9">
        <f t="shared" si="146"/>
        <v>0</v>
      </c>
      <c r="BP231" s="9">
        <f t="shared" si="147"/>
        <v>575.21</v>
      </c>
      <c r="BQ231" s="9">
        <f t="shared" si="148"/>
        <v>507.54</v>
      </c>
      <c r="BR231" s="9">
        <f t="shared" si="149"/>
        <v>2605.36</v>
      </c>
      <c r="BS231" s="9">
        <f t="shared" si="150"/>
        <v>1353.44</v>
      </c>
      <c r="BT231" s="9">
        <f t="shared" si="151"/>
        <v>236.85</v>
      </c>
      <c r="BU231" s="9">
        <f t="shared" si="152"/>
        <v>14718.62</v>
      </c>
      <c r="BV231" s="9">
        <f t="shared" si="153"/>
        <v>372.19</v>
      </c>
      <c r="BW231" s="9">
        <f t="shared" si="154"/>
        <v>5582.92</v>
      </c>
      <c r="BX231" s="9">
        <f t="shared" si="155"/>
        <v>6327.31</v>
      </c>
      <c r="BY231" s="17">
        <f t="shared" si="156"/>
        <v>63949.83</v>
      </c>
      <c r="BZ231" s="17">
        <v>3.33</v>
      </c>
      <c r="CA231" s="17">
        <v>0.03</v>
      </c>
      <c r="CB231" s="173">
        <v>0</v>
      </c>
      <c r="CC231" s="27">
        <v>0.01</v>
      </c>
      <c r="CD231" s="29">
        <v>6.33</v>
      </c>
      <c r="CE231" s="9">
        <v>6919.05</v>
      </c>
      <c r="CF231" s="9"/>
      <c r="CG231" s="9">
        <v>29888.54</v>
      </c>
      <c r="CH231" s="9">
        <v>15647.69</v>
      </c>
      <c r="CI231" s="9">
        <f t="shared" si="171"/>
        <v>2.04</v>
      </c>
      <c r="CJ231" s="9">
        <f t="shared" si="172"/>
        <v>0</v>
      </c>
      <c r="CK231" s="13">
        <f t="shared" si="173"/>
        <v>8.83</v>
      </c>
      <c r="CL231" s="13">
        <f t="shared" si="174"/>
        <v>4.62</v>
      </c>
      <c r="CM231" s="13">
        <v>61761.23</v>
      </c>
      <c r="CN231" s="13">
        <v>7842.7</v>
      </c>
      <c r="CO231" s="13">
        <v>0</v>
      </c>
      <c r="CP231" s="13">
        <v>14672.39</v>
      </c>
      <c r="CQ231" s="13">
        <v>7156.47</v>
      </c>
      <c r="CR231" s="13">
        <v>51521.08</v>
      </c>
      <c r="CS231" s="13">
        <v>7921.69</v>
      </c>
      <c r="CT231" s="13">
        <v>0</v>
      </c>
      <c r="CU231" s="13">
        <v>5392.39</v>
      </c>
      <c r="CV231" s="13">
        <v>2681.7</v>
      </c>
      <c r="CW231" s="202">
        <v>2944</v>
      </c>
      <c r="CX231" s="200">
        <v>1689</v>
      </c>
      <c r="CY231" s="202"/>
      <c r="CZ231" s="202"/>
      <c r="DA231" s="202"/>
      <c r="DB231" s="202"/>
      <c r="DC231" s="202"/>
      <c r="DD231" s="461"/>
      <c r="DE231" s="256"/>
      <c r="DF231" s="204">
        <v>1210</v>
      </c>
      <c r="DG231" s="204"/>
      <c r="DH231" s="204"/>
      <c r="DI231" s="204"/>
      <c r="DJ231" s="202"/>
      <c r="DK231" s="202"/>
      <c r="DL231" s="202"/>
      <c r="DM231" s="202"/>
      <c r="DN231" s="202"/>
      <c r="DO231" s="202"/>
      <c r="DP231" s="202">
        <v>14694</v>
      </c>
      <c r="DQ231" s="202">
        <v>2040</v>
      </c>
      <c r="DR231" s="202">
        <v>1.2</v>
      </c>
      <c r="DS231" s="202"/>
      <c r="DT231" s="254"/>
      <c r="DU231" s="254"/>
      <c r="DV231" s="202"/>
      <c r="DW231" s="202">
        <v>12852</v>
      </c>
      <c r="DX231" s="202"/>
      <c r="DY231" s="107">
        <v>1365</v>
      </c>
      <c r="DZ231" s="107">
        <v>577</v>
      </c>
      <c r="EA231" s="202"/>
      <c r="EB231" s="202"/>
      <c r="EC231" s="202"/>
      <c r="ED231" s="202"/>
      <c r="EE231" s="202"/>
      <c r="EF231" s="229"/>
      <c r="EG231" s="202"/>
      <c r="EH231" s="202"/>
      <c r="EI231" s="202"/>
      <c r="EJ231" s="202"/>
      <c r="EK231" s="202">
        <v>18.420000000000002</v>
      </c>
      <c r="EL231" s="202">
        <v>0</v>
      </c>
      <c r="EM231" s="202">
        <v>11836.51</v>
      </c>
      <c r="EN231" s="202">
        <v>6196.82</v>
      </c>
      <c r="EO231" s="202">
        <v>18.420000000000002</v>
      </c>
      <c r="EP231" s="202"/>
      <c r="EQ231" s="202">
        <v>11836.51</v>
      </c>
      <c r="ER231" s="202">
        <v>6196.82</v>
      </c>
      <c r="ES231" s="202"/>
      <c r="ET231" s="202"/>
      <c r="EU231" s="202"/>
      <c r="EV231" s="214">
        <v>564.80999999999995</v>
      </c>
      <c r="EW231" s="240">
        <f t="shared" si="157"/>
        <v>7400.45</v>
      </c>
      <c r="EX231" s="209">
        <f t="shared" si="158"/>
        <v>4816.6099999999997</v>
      </c>
    </row>
    <row r="232" spans="1:154" ht="12.75" customHeight="1" x14ac:dyDescent="0.2">
      <c r="A232" s="45" t="s">
        <v>321</v>
      </c>
      <c r="B232" s="48" t="s">
        <v>291</v>
      </c>
      <c r="C232" s="49" t="s">
        <v>64</v>
      </c>
      <c r="D232" s="50" t="s">
        <v>661</v>
      </c>
      <c r="E232" s="49" t="s">
        <v>12</v>
      </c>
      <c r="F232" s="11">
        <v>9</v>
      </c>
      <c r="G232" s="11">
        <v>1</v>
      </c>
      <c r="H232" s="11">
        <v>52</v>
      </c>
      <c r="I232" s="11">
        <v>52</v>
      </c>
      <c r="J232" s="11">
        <v>103</v>
      </c>
      <c r="K232" s="11">
        <v>107</v>
      </c>
      <c r="L232" s="83">
        <v>1</v>
      </c>
      <c r="M232" s="84">
        <v>254.2</v>
      </c>
      <c r="N232" s="84">
        <v>321.7</v>
      </c>
      <c r="O232" s="84">
        <v>321.7</v>
      </c>
      <c r="P232" s="135">
        <v>333.6</v>
      </c>
      <c r="Q232" s="135">
        <v>175.4</v>
      </c>
      <c r="R232" s="133">
        <v>255.8</v>
      </c>
      <c r="S232" s="133">
        <f t="shared" si="159"/>
        <v>764.8</v>
      </c>
      <c r="T232" s="134">
        <v>333.6</v>
      </c>
      <c r="U232" s="130">
        <v>2.44</v>
      </c>
      <c r="V232" s="131">
        <v>1.9800000000000002E-2</v>
      </c>
      <c r="W232" s="131">
        <v>1.9800000000000002E-2</v>
      </c>
      <c r="X232" s="132">
        <v>1.32E-3</v>
      </c>
      <c r="Y232" s="131">
        <v>3.9699999999999999E-2</v>
      </c>
      <c r="Z232" s="29">
        <v>2200.3000000000002</v>
      </c>
      <c r="AA232" s="34">
        <v>376.4</v>
      </c>
      <c r="AB232" s="9">
        <f t="shared" si="176"/>
        <v>2576.6999999999998</v>
      </c>
      <c r="AC232" s="9">
        <f t="shared" si="175"/>
        <v>16310.51</v>
      </c>
      <c r="AD232" s="9">
        <v>1.36</v>
      </c>
      <c r="AE232" s="9">
        <v>5.08</v>
      </c>
      <c r="AF232" s="21">
        <f>2.5-AJ232</f>
        <v>2.38</v>
      </c>
      <c r="AG232" s="18">
        <f>0.59-AQ232</f>
        <v>0.53</v>
      </c>
      <c r="AH232" s="9">
        <v>2.77</v>
      </c>
      <c r="AI232" s="13">
        <v>315</v>
      </c>
      <c r="AJ232" s="21">
        <f t="shared" si="137"/>
        <v>0.12</v>
      </c>
      <c r="AK232" s="9">
        <v>1.67</v>
      </c>
      <c r="AL232" s="9">
        <v>0.15</v>
      </c>
      <c r="AM232" s="9">
        <v>0.37</v>
      </c>
      <c r="AN232" s="13"/>
      <c r="AO232" s="13">
        <v>305.89999999999998</v>
      </c>
      <c r="AP232" s="13">
        <f t="shared" si="161"/>
        <v>5.58</v>
      </c>
      <c r="AQ232" s="18">
        <f t="shared" si="136"/>
        <v>0.06</v>
      </c>
      <c r="AR232" s="9">
        <v>0.62</v>
      </c>
      <c r="AS232" s="9">
        <v>0.53</v>
      </c>
      <c r="AT232" s="9">
        <v>7.0000000000000007E-2</v>
      </c>
      <c r="AU232" s="9">
        <v>3.76</v>
      </c>
      <c r="AV232" s="9">
        <v>0.17</v>
      </c>
      <c r="AW232" s="9">
        <f>0.33+1.41+0.33</f>
        <v>2.0699999999999998</v>
      </c>
      <c r="AX232" s="9">
        <f>1.98+0.44</f>
        <v>2.42</v>
      </c>
      <c r="AY232" s="46">
        <f t="shared" si="162"/>
        <v>24.13</v>
      </c>
      <c r="AZ232" s="47">
        <v>2194.5</v>
      </c>
      <c r="BA232" s="47">
        <v>376.4</v>
      </c>
      <c r="BB232" s="47">
        <f t="shared" si="177"/>
        <v>2570.9</v>
      </c>
      <c r="BC232" s="47">
        <v>24.13</v>
      </c>
      <c r="BD232" s="13">
        <f t="shared" si="160"/>
        <v>0</v>
      </c>
      <c r="BE232" s="9">
        <f t="shared" si="138"/>
        <v>62175.77</v>
      </c>
      <c r="BF232" s="9">
        <v>24.13</v>
      </c>
      <c r="BG232" s="10">
        <v>44409</v>
      </c>
      <c r="BH232" s="9">
        <f t="shared" si="139"/>
        <v>3504.31</v>
      </c>
      <c r="BI232" s="9">
        <f t="shared" si="140"/>
        <v>13089.64</v>
      </c>
      <c r="BJ232" s="9">
        <f t="shared" si="141"/>
        <v>6132.55</v>
      </c>
      <c r="BK232" s="9">
        <f t="shared" si="142"/>
        <v>1365.65</v>
      </c>
      <c r="BL232" s="9">
        <f t="shared" si="143"/>
        <v>7137.46</v>
      </c>
      <c r="BM232" s="9">
        <f t="shared" si="144"/>
        <v>309.2</v>
      </c>
      <c r="BN232" s="9">
        <f t="shared" si="145"/>
        <v>4303.09</v>
      </c>
      <c r="BO232" s="9">
        <f t="shared" si="146"/>
        <v>386.51</v>
      </c>
      <c r="BP232" s="9">
        <f t="shared" si="147"/>
        <v>953.38</v>
      </c>
      <c r="BQ232" s="9">
        <f t="shared" si="148"/>
        <v>154.6</v>
      </c>
      <c r="BR232" s="9">
        <f t="shared" si="149"/>
        <v>1597.55</v>
      </c>
      <c r="BS232" s="9">
        <f t="shared" si="150"/>
        <v>1365.65</v>
      </c>
      <c r="BT232" s="9">
        <f t="shared" si="151"/>
        <v>180.37</v>
      </c>
      <c r="BU232" s="9">
        <f t="shared" si="152"/>
        <v>9688.39</v>
      </c>
      <c r="BV232" s="9">
        <f t="shared" si="153"/>
        <v>438.04</v>
      </c>
      <c r="BW232" s="9">
        <f t="shared" si="154"/>
        <v>5333.77</v>
      </c>
      <c r="BX232" s="9">
        <f t="shared" si="155"/>
        <v>6235.61</v>
      </c>
      <c r="BY232" s="17">
        <f t="shared" si="156"/>
        <v>62175.77</v>
      </c>
      <c r="BZ232" s="17">
        <v>2.81</v>
      </c>
      <c r="CA232" s="17">
        <v>7.0000000000000007E-2</v>
      </c>
      <c r="CB232" s="17">
        <v>0.49</v>
      </c>
      <c r="CC232" s="27">
        <v>7.0000000000000007E-2</v>
      </c>
      <c r="CD232" s="29">
        <v>6.33</v>
      </c>
      <c r="CE232" s="9">
        <v>6930.96</v>
      </c>
      <c r="CF232" s="9"/>
      <c r="CG232" s="9">
        <v>0</v>
      </c>
      <c r="CH232" s="9">
        <v>93.45</v>
      </c>
      <c r="CI232" s="9">
        <f t="shared" si="171"/>
        <v>2.69</v>
      </c>
      <c r="CJ232" s="9">
        <f t="shared" si="172"/>
        <v>0</v>
      </c>
      <c r="CK232" s="13">
        <f t="shared" si="173"/>
        <v>0</v>
      </c>
      <c r="CL232" s="13">
        <f t="shared" si="174"/>
        <v>0.04</v>
      </c>
      <c r="CM232" s="13">
        <v>53093.24</v>
      </c>
      <c r="CN232" s="13">
        <v>4950.53</v>
      </c>
      <c r="CO232" s="13">
        <v>0</v>
      </c>
      <c r="CP232" s="13">
        <v>0</v>
      </c>
      <c r="CQ232" s="13">
        <v>87.97</v>
      </c>
      <c r="CR232" s="13">
        <v>54706.36</v>
      </c>
      <c r="CS232" s="13">
        <v>6184.34</v>
      </c>
      <c r="CT232" s="13">
        <v>183.91</v>
      </c>
      <c r="CU232" s="13">
        <v>26.32</v>
      </c>
      <c r="CV232" s="13">
        <v>92.89</v>
      </c>
      <c r="CW232" s="202">
        <v>2244</v>
      </c>
      <c r="CX232" s="200">
        <v>1288</v>
      </c>
      <c r="CY232" s="202"/>
      <c r="CZ232" s="202"/>
      <c r="DA232" s="202"/>
      <c r="DB232" s="202"/>
      <c r="DC232" s="202"/>
      <c r="DD232" s="461"/>
      <c r="DE232" s="256"/>
      <c r="DF232" s="204">
        <v>315</v>
      </c>
      <c r="DG232" s="204"/>
      <c r="DH232" s="204"/>
      <c r="DI232" s="204"/>
      <c r="DJ232" s="202"/>
      <c r="DK232" s="202">
        <v>4300</v>
      </c>
      <c r="DL232" s="202"/>
      <c r="DM232" s="202"/>
      <c r="DN232" s="202"/>
      <c r="DO232" s="202"/>
      <c r="DP232" s="202">
        <v>16165</v>
      </c>
      <c r="DQ232" s="202"/>
      <c r="DR232" s="202"/>
      <c r="DS232" s="202"/>
      <c r="DT232" s="254"/>
      <c r="DU232" s="254"/>
      <c r="DV232" s="202"/>
      <c r="DW232" s="202">
        <v>12126</v>
      </c>
      <c r="DX232" s="202"/>
      <c r="DY232" s="107">
        <v>1365</v>
      </c>
      <c r="DZ232" s="107">
        <v>942</v>
      </c>
      <c r="EA232" s="202"/>
      <c r="EB232" s="202"/>
      <c r="EC232" s="202"/>
      <c r="ED232" s="202"/>
      <c r="EE232" s="202"/>
      <c r="EF232" s="229"/>
      <c r="EG232" s="202"/>
      <c r="EH232" s="202"/>
      <c r="EI232" s="202"/>
      <c r="EJ232" s="202"/>
      <c r="EK232" s="202">
        <v>5806.82</v>
      </c>
      <c r="EL232" s="202">
        <v>0</v>
      </c>
      <c r="EM232" s="202">
        <v>0</v>
      </c>
      <c r="EN232" s="202">
        <v>93.45</v>
      </c>
      <c r="EO232" s="202">
        <v>5806.82</v>
      </c>
      <c r="EP232" s="202"/>
      <c r="EQ232" s="202">
        <v>0</v>
      </c>
      <c r="ER232" s="202">
        <v>93.45</v>
      </c>
      <c r="ES232" s="202"/>
      <c r="ET232" s="202"/>
      <c r="EU232" s="202"/>
      <c r="EV232" s="214">
        <v>-4.49</v>
      </c>
      <c r="EW232" s="240">
        <f t="shared" si="157"/>
        <v>5635.66</v>
      </c>
      <c r="EX232" s="209">
        <f t="shared" si="158"/>
        <v>3667.98</v>
      </c>
    </row>
    <row r="233" spans="1:154" ht="12.75" customHeight="1" x14ac:dyDescent="0.2">
      <c r="A233" s="45" t="s">
        <v>323</v>
      </c>
      <c r="B233" s="48" t="s">
        <v>291</v>
      </c>
      <c r="C233" s="49" t="s">
        <v>79</v>
      </c>
      <c r="D233" s="48" t="s">
        <v>662</v>
      </c>
      <c r="E233" s="49"/>
      <c r="F233" s="11">
        <v>9</v>
      </c>
      <c r="G233" s="11">
        <v>1</v>
      </c>
      <c r="H233" s="11">
        <v>54</v>
      </c>
      <c r="I233" s="11">
        <v>54</v>
      </c>
      <c r="J233" s="11">
        <v>79</v>
      </c>
      <c r="K233" s="11">
        <v>122</v>
      </c>
      <c r="L233" s="11">
        <v>1</v>
      </c>
      <c r="M233" s="84">
        <v>255.4</v>
      </c>
      <c r="N233" s="84">
        <v>367.2</v>
      </c>
      <c r="O233" s="84">
        <v>367</v>
      </c>
      <c r="P233" s="135">
        <v>269.39999999999998</v>
      </c>
      <c r="Q233" s="135">
        <v>267.3</v>
      </c>
      <c r="R233" s="133">
        <v>286.5</v>
      </c>
      <c r="S233" s="133">
        <f t="shared" si="159"/>
        <v>823.2</v>
      </c>
      <c r="T233" s="134">
        <v>269.39999999999998</v>
      </c>
      <c r="U233" s="130">
        <v>2.44</v>
      </c>
      <c r="V233" s="131">
        <v>1.9800000000000002E-2</v>
      </c>
      <c r="W233" s="131">
        <v>1.9800000000000002E-2</v>
      </c>
      <c r="X233" s="132">
        <v>1.2199999999999999E-3</v>
      </c>
      <c r="Y233" s="131">
        <v>3.9699999999999999E-2</v>
      </c>
      <c r="Z233" s="29">
        <v>2223.92</v>
      </c>
      <c r="AA233" s="34"/>
      <c r="AB233" s="9">
        <f t="shared" si="176"/>
        <v>2223.92</v>
      </c>
      <c r="AC233" s="9">
        <f t="shared" si="175"/>
        <v>14077.41</v>
      </c>
      <c r="AD233" s="9">
        <v>2.2599999999999998</v>
      </c>
      <c r="AE233" s="9">
        <v>4.62</v>
      </c>
      <c r="AF233" s="21">
        <f>2.5-AJ233</f>
        <v>2.34</v>
      </c>
      <c r="AG233" s="18">
        <f>0.61-AQ233</f>
        <v>0.55000000000000004</v>
      </c>
      <c r="AH233" s="9">
        <v>2.77</v>
      </c>
      <c r="AI233" s="13">
        <v>353</v>
      </c>
      <c r="AJ233" s="21">
        <f t="shared" si="137"/>
        <v>0.16</v>
      </c>
      <c r="AK233" s="9">
        <v>1.91</v>
      </c>
      <c r="AL233" s="9">
        <v>0.17</v>
      </c>
      <c r="AM233" s="9">
        <v>0.26</v>
      </c>
      <c r="AN233" s="13"/>
      <c r="AO233" s="13">
        <v>305.89999999999998</v>
      </c>
      <c r="AP233" s="13">
        <f t="shared" si="161"/>
        <v>5.58</v>
      </c>
      <c r="AQ233" s="18">
        <f t="shared" si="136"/>
        <v>0.06</v>
      </c>
      <c r="AR233" s="9">
        <v>0.73</v>
      </c>
      <c r="AS233" s="9">
        <v>0.61</v>
      </c>
      <c r="AT233" s="9">
        <v>7.0000000000000007E-2</v>
      </c>
      <c r="AU233" s="9">
        <v>3.73</v>
      </c>
      <c r="AV233" s="9">
        <v>0.18</v>
      </c>
      <c r="AW233" s="9">
        <f>0.34+1.48+0.31</f>
        <v>2.13</v>
      </c>
      <c r="AX233" s="9">
        <f>2.09+0.44</f>
        <v>2.5299999999999998</v>
      </c>
      <c r="AY233" s="46">
        <f t="shared" si="162"/>
        <v>25.08</v>
      </c>
      <c r="AZ233" s="47"/>
      <c r="BA233" s="47"/>
      <c r="BB233" s="47"/>
      <c r="BC233" s="47">
        <v>25.08</v>
      </c>
      <c r="BD233" s="13">
        <f t="shared" si="160"/>
        <v>0</v>
      </c>
      <c r="BE233" s="9">
        <f t="shared" si="138"/>
        <v>55775.91</v>
      </c>
      <c r="BF233" s="9">
        <v>25.08</v>
      </c>
      <c r="BG233" s="10">
        <v>44440</v>
      </c>
      <c r="BH233" s="9">
        <f t="shared" si="139"/>
        <v>5026.0600000000004</v>
      </c>
      <c r="BI233" s="9">
        <f t="shared" si="140"/>
        <v>10274.51</v>
      </c>
      <c r="BJ233" s="9">
        <f t="shared" si="141"/>
        <v>5203.97</v>
      </c>
      <c r="BK233" s="9">
        <f t="shared" si="142"/>
        <v>1223.1600000000001</v>
      </c>
      <c r="BL233" s="9">
        <f t="shared" si="143"/>
        <v>6160.26</v>
      </c>
      <c r="BM233" s="9">
        <f t="shared" si="144"/>
        <v>355.83</v>
      </c>
      <c r="BN233" s="9">
        <f t="shared" si="145"/>
        <v>4247.6899999999996</v>
      </c>
      <c r="BO233" s="9">
        <f t="shared" si="146"/>
        <v>378.07</v>
      </c>
      <c r="BP233" s="9">
        <f t="shared" si="147"/>
        <v>578.22</v>
      </c>
      <c r="BQ233" s="9">
        <f t="shared" si="148"/>
        <v>133.44</v>
      </c>
      <c r="BR233" s="9">
        <f t="shared" si="149"/>
        <v>1623.46</v>
      </c>
      <c r="BS233" s="9">
        <f t="shared" si="150"/>
        <v>1356.59</v>
      </c>
      <c r="BT233" s="9">
        <f t="shared" si="151"/>
        <v>155.66999999999999</v>
      </c>
      <c r="BU233" s="9">
        <f t="shared" si="152"/>
        <v>8295.2199999999993</v>
      </c>
      <c r="BV233" s="9">
        <f t="shared" si="153"/>
        <v>400.31</v>
      </c>
      <c r="BW233" s="9">
        <f t="shared" si="154"/>
        <v>4736.95</v>
      </c>
      <c r="BX233" s="9">
        <f t="shared" si="155"/>
        <v>5626.52</v>
      </c>
      <c r="BY233" s="17">
        <f t="shared" si="156"/>
        <v>55775.93</v>
      </c>
      <c r="BZ233" s="17">
        <v>3.75</v>
      </c>
      <c r="CA233" s="17">
        <v>0.06</v>
      </c>
      <c r="CB233" s="17">
        <v>0.42</v>
      </c>
      <c r="CC233" s="27">
        <v>7.0000000000000007E-2</v>
      </c>
      <c r="CD233" s="29">
        <v>6.33</v>
      </c>
      <c r="CE233" s="9"/>
      <c r="CF233" s="9"/>
      <c r="CG233" s="9"/>
      <c r="CH233" s="9"/>
      <c r="CI233" s="9"/>
      <c r="CJ233" s="9"/>
      <c r="CK233" s="13"/>
      <c r="CL233" s="13"/>
      <c r="CM233" s="13">
        <v>56247.45</v>
      </c>
      <c r="CN233" s="13">
        <v>135.63999999999999</v>
      </c>
      <c r="CO233" s="13">
        <v>6352.92</v>
      </c>
      <c r="CP233" s="13">
        <v>0</v>
      </c>
      <c r="CQ233" s="13">
        <v>67.819999999999993</v>
      </c>
      <c r="CR233" s="13">
        <v>54932.1</v>
      </c>
      <c r="CS233" s="13">
        <v>8033.9</v>
      </c>
      <c r="CT233" s="13">
        <v>2237.67</v>
      </c>
      <c r="CU233" s="13">
        <v>115.56</v>
      </c>
      <c r="CV233" s="13">
        <v>129.56</v>
      </c>
      <c r="CW233" s="202">
        <v>1969</v>
      </c>
      <c r="CX233" s="200">
        <v>1130</v>
      </c>
      <c r="CY233" s="202"/>
      <c r="CZ233" s="202"/>
      <c r="DA233" s="202"/>
      <c r="DB233" s="202"/>
      <c r="DC233" s="202"/>
      <c r="DD233" s="461"/>
      <c r="DE233" s="256"/>
      <c r="DF233" s="204">
        <v>353</v>
      </c>
      <c r="DG233" s="204"/>
      <c r="DH233" s="204"/>
      <c r="DI233" s="204"/>
      <c r="DJ233" s="202"/>
      <c r="DK233" s="202">
        <v>4300</v>
      </c>
      <c r="DL233" s="202"/>
      <c r="DM233" s="202"/>
      <c r="DN233" s="202"/>
      <c r="DO233" s="202"/>
      <c r="DP233" s="202">
        <v>15117</v>
      </c>
      <c r="DQ233" s="202">
        <v>3400</v>
      </c>
      <c r="DR233" s="202">
        <v>2</v>
      </c>
      <c r="DS233" s="202"/>
      <c r="DT233" s="254"/>
      <c r="DU233" s="254"/>
      <c r="DV233" s="202"/>
      <c r="DW233" s="202">
        <v>10581</v>
      </c>
      <c r="DX233" s="202"/>
      <c r="DY233" s="107">
        <v>1365</v>
      </c>
      <c r="DZ233" s="107"/>
      <c r="EA233" s="202"/>
      <c r="EB233" s="107"/>
      <c r="EC233" s="202"/>
      <c r="ED233" s="202"/>
      <c r="EE233" s="202"/>
      <c r="EF233" s="229"/>
      <c r="EG233" s="202"/>
      <c r="EH233" s="202"/>
      <c r="EI233" s="202"/>
      <c r="EJ233" s="202"/>
      <c r="EK233" s="202">
        <v>123.33</v>
      </c>
      <c r="EL233" s="202">
        <v>6257.44</v>
      </c>
      <c r="EM233" s="202">
        <v>0</v>
      </c>
      <c r="EN233" s="202">
        <v>75.47</v>
      </c>
      <c r="EO233" s="202">
        <v>123.33</v>
      </c>
      <c r="EP233" s="202"/>
      <c r="EQ233" s="202">
        <v>0</v>
      </c>
      <c r="ER233" s="202">
        <v>75.47</v>
      </c>
      <c r="ES233" s="202"/>
      <c r="ET233" s="202"/>
      <c r="EU233" s="202"/>
      <c r="EV233" s="214">
        <v>5.79</v>
      </c>
      <c r="EW233" s="240">
        <f t="shared" si="157"/>
        <v>4864.07</v>
      </c>
      <c r="EX233" s="209">
        <f t="shared" si="158"/>
        <v>3165.79</v>
      </c>
    </row>
    <row r="234" spans="1:154" ht="12.75" customHeight="1" x14ac:dyDescent="0.2">
      <c r="A234" s="45" t="s">
        <v>324</v>
      </c>
      <c r="B234" s="48" t="s">
        <v>291</v>
      </c>
      <c r="C234" s="49" t="s">
        <v>32</v>
      </c>
      <c r="D234" s="50" t="s">
        <v>506</v>
      </c>
      <c r="E234" s="49" t="s">
        <v>12</v>
      </c>
      <c r="F234" s="11">
        <v>10</v>
      </c>
      <c r="G234" s="11">
        <v>6</v>
      </c>
      <c r="H234" s="11">
        <v>240</v>
      </c>
      <c r="I234" s="11">
        <v>244</v>
      </c>
      <c r="J234" s="11">
        <v>535</v>
      </c>
      <c r="K234" s="11">
        <v>627</v>
      </c>
      <c r="L234" s="11">
        <v>6</v>
      </c>
      <c r="M234" s="84">
        <v>991.7</v>
      </c>
      <c r="N234" s="84">
        <v>1775</v>
      </c>
      <c r="O234" s="84">
        <v>0</v>
      </c>
      <c r="P234" s="135">
        <v>1726.5</v>
      </c>
      <c r="Q234" s="135">
        <v>1409.1</v>
      </c>
      <c r="R234" s="133">
        <v>0</v>
      </c>
      <c r="S234" s="133">
        <f t="shared" si="159"/>
        <v>3135.6</v>
      </c>
      <c r="T234" s="134">
        <v>1726.5</v>
      </c>
      <c r="U234" s="130">
        <v>2.74</v>
      </c>
      <c r="V234" s="131">
        <v>1.1299999999999999E-2</v>
      </c>
      <c r="W234" s="131">
        <v>1.1299999999999999E-2</v>
      </c>
      <c r="X234" s="132">
        <v>7.5000000000000002E-4</v>
      </c>
      <c r="Y234" s="131">
        <v>2.2499999999999999E-2</v>
      </c>
      <c r="Z234" s="29">
        <v>13052.88</v>
      </c>
      <c r="AA234" s="34">
        <v>85.1</v>
      </c>
      <c r="AB234" s="9">
        <f t="shared" si="176"/>
        <v>13137.98</v>
      </c>
      <c r="AC234" s="9">
        <f t="shared" si="175"/>
        <v>83163.41</v>
      </c>
      <c r="AD234" s="9">
        <v>1.54</v>
      </c>
      <c r="AE234" s="9">
        <v>3.84</v>
      </c>
      <c r="AF234" s="21">
        <f>2.42-AJ234</f>
        <v>2.2999999999999998</v>
      </c>
      <c r="AG234" s="18">
        <f>0.63-AQ234</f>
        <v>0.57999999999999996</v>
      </c>
      <c r="AH234" s="9">
        <v>2.4700000000000002</v>
      </c>
      <c r="AI234" s="13">
        <v>1637</v>
      </c>
      <c r="AJ234" s="21">
        <f t="shared" si="137"/>
        <v>0.12</v>
      </c>
      <c r="AK234" s="9">
        <v>1.96</v>
      </c>
      <c r="AL234" s="9">
        <v>0.47</v>
      </c>
      <c r="AM234" s="9">
        <v>0.04</v>
      </c>
      <c r="AN234" s="13"/>
      <c r="AO234" s="13">
        <v>1344</v>
      </c>
      <c r="AP234" s="13">
        <f t="shared" si="161"/>
        <v>5.58</v>
      </c>
      <c r="AQ234" s="18">
        <f t="shared" si="136"/>
        <v>0.05</v>
      </c>
      <c r="AR234" s="9">
        <v>0.55000000000000004</v>
      </c>
      <c r="AS234" s="9">
        <v>0.1</v>
      </c>
      <c r="AT234" s="9">
        <v>7.0000000000000007E-2</v>
      </c>
      <c r="AU234" s="9">
        <v>4.8099999999999996</v>
      </c>
      <c r="AV234" s="9">
        <v>0.15</v>
      </c>
      <c r="AW234" s="9">
        <f>0.26+1.28+0.42</f>
        <v>1.96</v>
      </c>
      <c r="AX234" s="9">
        <f>1.79+0.57</f>
        <v>2.36</v>
      </c>
      <c r="AY234" s="46">
        <f t="shared" si="162"/>
        <v>23.37</v>
      </c>
      <c r="AZ234" s="47">
        <v>13052.1</v>
      </c>
      <c r="BA234" s="47">
        <v>85.1</v>
      </c>
      <c r="BB234" s="47">
        <f t="shared" si="177"/>
        <v>13137.2</v>
      </c>
      <c r="BC234" s="47">
        <v>23.37</v>
      </c>
      <c r="BD234" s="13">
        <f t="shared" si="160"/>
        <v>0</v>
      </c>
      <c r="BE234" s="9">
        <f t="shared" si="138"/>
        <v>307034.59000000003</v>
      </c>
      <c r="BF234" s="9">
        <v>23.37</v>
      </c>
      <c r="BG234" s="10">
        <v>44409</v>
      </c>
      <c r="BH234" s="9">
        <f t="shared" si="139"/>
        <v>20232.490000000002</v>
      </c>
      <c r="BI234" s="9">
        <f t="shared" si="140"/>
        <v>50449.84</v>
      </c>
      <c r="BJ234" s="9">
        <f t="shared" si="141"/>
        <v>30217.35</v>
      </c>
      <c r="BK234" s="9">
        <f t="shared" si="142"/>
        <v>7620.03</v>
      </c>
      <c r="BL234" s="9">
        <f t="shared" si="143"/>
        <v>32450.81</v>
      </c>
      <c r="BM234" s="9">
        <f t="shared" si="144"/>
        <v>1576.56</v>
      </c>
      <c r="BN234" s="9">
        <f t="shared" si="145"/>
        <v>25750.44</v>
      </c>
      <c r="BO234" s="9">
        <f t="shared" si="146"/>
        <v>6174.85</v>
      </c>
      <c r="BP234" s="9">
        <f t="shared" si="147"/>
        <v>525.52</v>
      </c>
      <c r="BQ234" s="9">
        <f t="shared" si="148"/>
        <v>656.9</v>
      </c>
      <c r="BR234" s="9">
        <f t="shared" si="149"/>
        <v>7225.89</v>
      </c>
      <c r="BS234" s="9">
        <f t="shared" si="150"/>
        <v>1313.8</v>
      </c>
      <c r="BT234" s="9">
        <f t="shared" si="151"/>
        <v>919.66</v>
      </c>
      <c r="BU234" s="9">
        <f t="shared" si="152"/>
        <v>63193.68</v>
      </c>
      <c r="BV234" s="9">
        <f t="shared" si="153"/>
        <v>1970.7</v>
      </c>
      <c r="BW234" s="9">
        <f t="shared" si="154"/>
        <v>25750.44</v>
      </c>
      <c r="BX234" s="9">
        <f t="shared" si="155"/>
        <v>31005.63</v>
      </c>
      <c r="BY234" s="17">
        <f t="shared" si="156"/>
        <v>307034.59000000003</v>
      </c>
      <c r="BZ234" s="17">
        <v>2.5099999999999998</v>
      </c>
      <c r="CA234" s="17">
        <v>0.04</v>
      </c>
      <c r="CB234" s="17">
        <v>0.26</v>
      </c>
      <c r="CC234" s="27">
        <v>0.04</v>
      </c>
      <c r="CD234" s="29">
        <v>6.33</v>
      </c>
      <c r="CE234" s="9">
        <v>17725.240000000002</v>
      </c>
      <c r="CF234" s="9"/>
      <c r="CG234" s="9">
        <v>26564.59</v>
      </c>
      <c r="CH234" s="9">
        <v>14183.5</v>
      </c>
      <c r="CI234" s="9">
        <f>IF(CE234&gt;0,CE234/AB234,0)</f>
        <v>1.35</v>
      </c>
      <c r="CJ234" s="9">
        <f>IF(CF234&gt;0,CF234/AB234,0)</f>
        <v>0</v>
      </c>
      <c r="CK234" s="13">
        <f>IF(CG234&gt;0,CG234/AB234,0)</f>
        <v>2.02</v>
      </c>
      <c r="CL234" s="13">
        <f>IF(CH234&gt;0,CH234/AB234,0)</f>
        <v>1.08</v>
      </c>
      <c r="CM234" s="13">
        <v>305024.93</v>
      </c>
      <c r="CN234" s="13">
        <v>17228.77</v>
      </c>
      <c r="CO234" s="13">
        <v>27147.99</v>
      </c>
      <c r="CP234" s="13">
        <v>20883.18</v>
      </c>
      <c r="CQ234" s="13">
        <v>11224.55</v>
      </c>
      <c r="CR234" s="13">
        <v>294280.09999999998</v>
      </c>
      <c r="CS234" s="13">
        <v>18421.54</v>
      </c>
      <c r="CT234" s="13">
        <v>8513.93</v>
      </c>
      <c r="CU234" s="13">
        <v>10851.7</v>
      </c>
      <c r="CV234" s="13">
        <v>5928.17</v>
      </c>
      <c r="CW234" s="202">
        <v>11444</v>
      </c>
      <c r="CX234" s="200">
        <v>6565</v>
      </c>
      <c r="CY234" s="202"/>
      <c r="CZ234" s="202"/>
      <c r="DA234" s="202"/>
      <c r="DB234" s="202"/>
      <c r="DC234" s="202"/>
      <c r="DD234" s="461"/>
      <c r="DE234" s="256"/>
      <c r="DF234" s="204">
        <v>1637</v>
      </c>
      <c r="DG234" s="204"/>
      <c r="DH234" s="204"/>
      <c r="DI234" s="204"/>
      <c r="DJ234" s="202"/>
      <c r="DK234" s="202">
        <v>25800</v>
      </c>
      <c r="DL234" s="202"/>
      <c r="DM234" s="202"/>
      <c r="DN234" s="202"/>
      <c r="DO234" s="202"/>
      <c r="DP234" s="202">
        <v>69210</v>
      </c>
      <c r="DQ234" s="202">
        <v>1700</v>
      </c>
      <c r="DR234" s="202">
        <v>1</v>
      </c>
      <c r="DS234" s="202"/>
      <c r="DT234" s="254"/>
      <c r="DU234" s="254"/>
      <c r="DV234" s="202"/>
      <c r="DW234" s="202">
        <v>58352</v>
      </c>
      <c r="DX234" s="202"/>
      <c r="DY234" s="107">
        <v>1365</v>
      </c>
      <c r="DZ234" s="107">
        <v>577</v>
      </c>
      <c r="EA234" s="202">
        <f>1988.31+103354.34+11782.54</f>
        <v>117125.19</v>
      </c>
      <c r="EB234" s="202"/>
      <c r="EC234" s="202"/>
      <c r="ED234" s="202"/>
      <c r="EE234" s="202"/>
      <c r="EF234" s="229"/>
      <c r="EG234" s="202"/>
      <c r="EH234" s="202"/>
      <c r="EI234" s="202"/>
      <c r="EJ234" s="202"/>
      <c r="EK234" s="202">
        <v>17369.05</v>
      </c>
      <c r="EL234" s="202">
        <v>27301.4</v>
      </c>
      <c r="EM234" s="202">
        <v>20997.65</v>
      </c>
      <c r="EN234" s="202">
        <v>11269.02</v>
      </c>
      <c r="EO234" s="202">
        <v>17369.05</v>
      </c>
      <c r="EP234" s="202"/>
      <c r="EQ234" s="202">
        <v>20997.65</v>
      </c>
      <c r="ER234" s="202">
        <v>11269.02</v>
      </c>
      <c r="ES234" s="202"/>
      <c r="ET234" s="202"/>
      <c r="EU234" s="202"/>
      <c r="EV234" s="214">
        <v>32.81</v>
      </c>
      <c r="EW234" s="240">
        <f t="shared" si="157"/>
        <v>28734.86</v>
      </c>
      <c r="EX234" s="209">
        <f t="shared" si="158"/>
        <v>18702.18</v>
      </c>
    </row>
    <row r="235" spans="1:154" ht="12.75" customHeight="1" x14ac:dyDescent="0.2">
      <c r="A235" s="45" t="s">
        <v>325</v>
      </c>
      <c r="B235" s="48" t="s">
        <v>291</v>
      </c>
      <c r="C235" s="49" t="s">
        <v>89</v>
      </c>
      <c r="D235" s="50" t="s">
        <v>507</v>
      </c>
      <c r="E235" s="49" t="s">
        <v>12</v>
      </c>
      <c r="F235" s="11">
        <v>9</v>
      </c>
      <c r="G235" s="11">
        <v>1</v>
      </c>
      <c r="H235" s="11">
        <v>54</v>
      </c>
      <c r="I235" s="11">
        <v>55</v>
      </c>
      <c r="J235" s="11">
        <v>98</v>
      </c>
      <c r="K235" s="11">
        <v>111</v>
      </c>
      <c r="L235" s="11">
        <v>1</v>
      </c>
      <c r="M235" s="84">
        <v>255.4</v>
      </c>
      <c r="N235" s="84">
        <v>368.7</v>
      </c>
      <c r="O235" s="84">
        <v>368</v>
      </c>
      <c r="P235" s="139">
        <v>255.4</v>
      </c>
      <c r="Q235" s="139">
        <v>368.7</v>
      </c>
      <c r="R235" s="139">
        <v>368</v>
      </c>
      <c r="S235" s="133">
        <f t="shared" si="159"/>
        <v>992.1</v>
      </c>
      <c r="T235" s="139">
        <v>289.8</v>
      </c>
      <c r="U235" s="130">
        <v>2.44</v>
      </c>
      <c r="V235" s="131">
        <v>1.9800000000000002E-2</v>
      </c>
      <c r="W235" s="131">
        <v>1.9800000000000002E-2</v>
      </c>
      <c r="X235" s="132">
        <v>1.32E-3</v>
      </c>
      <c r="Y235" s="131">
        <v>3.9699999999999999E-2</v>
      </c>
      <c r="Z235" s="29">
        <v>2312.6799999999998</v>
      </c>
      <c r="AA235" s="34"/>
      <c r="AB235" s="9">
        <f t="shared" si="176"/>
        <v>2312.6799999999998</v>
      </c>
      <c r="AC235" s="9">
        <f t="shared" si="175"/>
        <v>14639.26</v>
      </c>
      <c r="AD235" s="9">
        <v>2.34</v>
      </c>
      <c r="AE235" s="9">
        <v>4.1900000000000004</v>
      </c>
      <c r="AF235" s="21">
        <f>2.43-AJ235</f>
        <v>2.2799999999999998</v>
      </c>
      <c r="AG235" s="18">
        <f>0.6-AQ235</f>
        <v>0.54</v>
      </c>
      <c r="AH235" s="9">
        <v>2.77</v>
      </c>
      <c r="AI235" s="13">
        <v>353</v>
      </c>
      <c r="AJ235" s="21">
        <f t="shared" si="137"/>
        <v>0.15</v>
      </c>
      <c r="AK235" s="9">
        <v>1.86</v>
      </c>
      <c r="AL235" s="9">
        <v>0.16</v>
      </c>
      <c r="AM235" s="9">
        <v>0.25</v>
      </c>
      <c r="AN235" s="13"/>
      <c r="AO235" s="13">
        <v>305.89999999999998</v>
      </c>
      <c r="AP235" s="13">
        <f t="shared" si="161"/>
        <v>5.58</v>
      </c>
      <c r="AQ235" s="18">
        <f t="shared" si="136"/>
        <v>0.06</v>
      </c>
      <c r="AR235" s="9">
        <v>0.71</v>
      </c>
      <c r="AS235" s="9">
        <v>0.59</v>
      </c>
      <c r="AT235" s="9">
        <v>7.0000000000000007E-2</v>
      </c>
      <c r="AU235" s="9">
        <v>3.98</v>
      </c>
      <c r="AV235" s="9">
        <v>0.17</v>
      </c>
      <c r="AW235" s="9">
        <f>1.44+0.33+0.35</f>
        <v>2.12</v>
      </c>
      <c r="AX235" s="9">
        <f>2.02+0.48</f>
        <v>2.5</v>
      </c>
      <c r="AY235" s="46">
        <f t="shared" si="162"/>
        <v>24.74</v>
      </c>
      <c r="AZ235" s="47">
        <v>2312.9</v>
      </c>
      <c r="BA235" s="47">
        <v>0</v>
      </c>
      <c r="BB235" s="47">
        <f t="shared" si="177"/>
        <v>2312.9</v>
      </c>
      <c r="BC235" s="47">
        <v>24.74</v>
      </c>
      <c r="BD235" s="13">
        <f t="shared" si="160"/>
        <v>0</v>
      </c>
      <c r="BE235" s="9">
        <f t="shared" si="138"/>
        <v>57215.7</v>
      </c>
      <c r="BF235" s="9">
        <v>24.74</v>
      </c>
      <c r="BG235" s="10">
        <v>44409</v>
      </c>
      <c r="BH235" s="9">
        <f t="shared" si="139"/>
        <v>5411.67</v>
      </c>
      <c r="BI235" s="9">
        <f t="shared" si="140"/>
        <v>9690.1299999999992</v>
      </c>
      <c r="BJ235" s="9">
        <f t="shared" si="141"/>
        <v>5272.91</v>
      </c>
      <c r="BK235" s="9">
        <f t="shared" si="142"/>
        <v>1248.8499999999999</v>
      </c>
      <c r="BL235" s="9">
        <f t="shared" si="143"/>
        <v>6406.12</v>
      </c>
      <c r="BM235" s="9">
        <f t="shared" si="144"/>
        <v>346.9</v>
      </c>
      <c r="BN235" s="9">
        <f t="shared" si="145"/>
        <v>4301.58</v>
      </c>
      <c r="BO235" s="9">
        <f t="shared" si="146"/>
        <v>370.03</v>
      </c>
      <c r="BP235" s="9">
        <f t="shared" si="147"/>
        <v>578.16999999999996</v>
      </c>
      <c r="BQ235" s="9">
        <f t="shared" si="148"/>
        <v>138.76</v>
      </c>
      <c r="BR235" s="9">
        <f t="shared" si="149"/>
        <v>1642</v>
      </c>
      <c r="BS235" s="9">
        <f t="shared" si="150"/>
        <v>1364.48</v>
      </c>
      <c r="BT235" s="9">
        <f t="shared" si="151"/>
        <v>161.88999999999999</v>
      </c>
      <c r="BU235" s="9">
        <f t="shared" si="152"/>
        <v>9204.4699999999993</v>
      </c>
      <c r="BV235" s="9">
        <f t="shared" si="153"/>
        <v>393.16</v>
      </c>
      <c r="BW235" s="9">
        <f t="shared" si="154"/>
        <v>4902.88</v>
      </c>
      <c r="BX235" s="9">
        <f t="shared" si="155"/>
        <v>5781.7</v>
      </c>
      <c r="BY235" s="17">
        <f t="shared" si="156"/>
        <v>57215.7</v>
      </c>
      <c r="BZ235" s="17">
        <v>3.59</v>
      </c>
      <c r="CA235" s="17">
        <v>7.0000000000000007E-2</v>
      </c>
      <c r="CB235" s="17">
        <v>0.47</v>
      </c>
      <c r="CC235" s="27">
        <v>7.0000000000000007E-2</v>
      </c>
      <c r="CD235" s="29">
        <v>6.33</v>
      </c>
      <c r="CE235" s="9">
        <v>14401.22</v>
      </c>
      <c r="CF235" s="9"/>
      <c r="CG235" s="9">
        <v>4107.6499999999996</v>
      </c>
      <c r="CH235" s="9">
        <v>2231.6799999999998</v>
      </c>
      <c r="CI235" s="9">
        <f>IF(CE235&gt;0,CE235/AB235,0)</f>
        <v>6.23</v>
      </c>
      <c r="CJ235" s="9">
        <f>IF(CF235&gt;0,CF235/AB235,0)</f>
        <v>0</v>
      </c>
      <c r="CK235" s="13">
        <f>IF(CG235&gt;0,CG235/AB235,0)</f>
        <v>1.78</v>
      </c>
      <c r="CL235" s="13">
        <f>IF(CH235&gt;0,CH235/AB235,0)</f>
        <v>0.96</v>
      </c>
      <c r="CM235" s="13">
        <v>57215.69</v>
      </c>
      <c r="CN235" s="13">
        <v>6521.73</v>
      </c>
      <c r="CO235" s="13">
        <v>0</v>
      </c>
      <c r="CP235" s="13">
        <v>1734.66</v>
      </c>
      <c r="CQ235" s="13">
        <v>971.29</v>
      </c>
      <c r="CR235" s="13">
        <v>65110.18</v>
      </c>
      <c r="CS235" s="13">
        <v>3765.55</v>
      </c>
      <c r="CT235" s="13">
        <v>186.36</v>
      </c>
      <c r="CU235" s="13">
        <v>983.12</v>
      </c>
      <c r="CV235" s="13">
        <v>607.44000000000005</v>
      </c>
      <c r="CW235" s="202">
        <v>2015</v>
      </c>
      <c r="CX235" s="200">
        <v>1156</v>
      </c>
      <c r="CY235" s="202"/>
      <c r="CZ235" s="202"/>
      <c r="DA235" s="202"/>
      <c r="DB235" s="202"/>
      <c r="DC235" s="202"/>
      <c r="DD235" s="461"/>
      <c r="DE235" s="256"/>
      <c r="DF235" s="204">
        <v>353</v>
      </c>
      <c r="DG235" s="204"/>
      <c r="DH235" s="204"/>
      <c r="DI235" s="204"/>
      <c r="DJ235" s="202"/>
      <c r="DK235" s="202">
        <v>4300</v>
      </c>
      <c r="DL235" s="202"/>
      <c r="DM235" s="202"/>
      <c r="DN235" s="202"/>
      <c r="DO235" s="202"/>
      <c r="DP235" s="202">
        <v>14766</v>
      </c>
      <c r="DQ235" s="202">
        <v>3400</v>
      </c>
      <c r="DR235" s="202">
        <v>2</v>
      </c>
      <c r="DS235" s="202"/>
      <c r="DT235" s="254"/>
      <c r="DU235" s="254"/>
      <c r="DV235" s="202"/>
      <c r="DW235" s="202">
        <v>10732</v>
      </c>
      <c r="DX235" s="202"/>
      <c r="DY235" s="107">
        <v>1365</v>
      </c>
      <c r="DZ235" s="107"/>
      <c r="EA235" s="202">
        <v>817.54</v>
      </c>
      <c r="EB235" s="202"/>
      <c r="EC235" s="202"/>
      <c r="ED235" s="202"/>
      <c r="EE235" s="202"/>
      <c r="EF235" s="229"/>
      <c r="EG235" s="202"/>
      <c r="EH235" s="202"/>
      <c r="EI235" s="202"/>
      <c r="EJ235" s="202"/>
      <c r="EK235" s="202">
        <v>6525.09</v>
      </c>
      <c r="EL235" s="202">
        <v>0</v>
      </c>
      <c r="EM235" s="202">
        <v>1729.54</v>
      </c>
      <c r="EN235" s="202">
        <v>972.51</v>
      </c>
      <c r="EO235" s="202">
        <v>6525.09</v>
      </c>
      <c r="EP235" s="202"/>
      <c r="EQ235" s="202">
        <v>1729.54</v>
      </c>
      <c r="ER235" s="202">
        <v>972.51</v>
      </c>
      <c r="ES235" s="202"/>
      <c r="ET235" s="202"/>
      <c r="EU235" s="202"/>
      <c r="EV235" s="214">
        <v>-3.62</v>
      </c>
      <c r="EW235" s="240">
        <f t="shared" si="157"/>
        <v>5058.2</v>
      </c>
      <c r="EX235" s="209">
        <f t="shared" si="158"/>
        <v>3292.15</v>
      </c>
    </row>
    <row r="236" spans="1:154" ht="12.75" customHeight="1" x14ac:dyDescent="0.2">
      <c r="A236" s="45" t="s">
        <v>326</v>
      </c>
      <c r="B236" s="48" t="s">
        <v>291</v>
      </c>
      <c r="C236" s="49" t="s">
        <v>235</v>
      </c>
      <c r="D236" s="48" t="s">
        <v>508</v>
      </c>
      <c r="E236" s="49"/>
      <c r="F236" s="11">
        <v>9</v>
      </c>
      <c r="G236" s="11">
        <v>1</v>
      </c>
      <c r="H236" s="11">
        <v>54</v>
      </c>
      <c r="I236" s="11">
        <v>54</v>
      </c>
      <c r="J236" s="11">
        <v>95</v>
      </c>
      <c r="K236" s="11">
        <v>118</v>
      </c>
      <c r="L236" s="11">
        <v>1</v>
      </c>
      <c r="M236" s="84">
        <v>250.8</v>
      </c>
      <c r="N236" s="84">
        <v>365.9</v>
      </c>
      <c r="O236" s="84">
        <v>365.9</v>
      </c>
      <c r="P236" s="135">
        <v>285.2</v>
      </c>
      <c r="Q236" s="135">
        <v>231.6</v>
      </c>
      <c r="R236" s="133">
        <v>270.10000000000002</v>
      </c>
      <c r="S236" s="133">
        <f t="shared" si="159"/>
        <v>786.9</v>
      </c>
      <c r="T236" s="134">
        <v>285.2</v>
      </c>
      <c r="U236" s="130">
        <v>2.44</v>
      </c>
      <c r="V236" s="131">
        <v>1.9800000000000002E-2</v>
      </c>
      <c r="W236" s="131">
        <v>1.9800000000000002E-2</v>
      </c>
      <c r="X236" s="132">
        <v>1.32E-3</v>
      </c>
      <c r="Y236" s="131">
        <v>3.9699999999999999E-2</v>
      </c>
      <c r="Z236" s="29">
        <v>2293.02</v>
      </c>
      <c r="AA236" s="34"/>
      <c r="AB236" s="9">
        <f t="shared" si="176"/>
        <v>2293.02</v>
      </c>
      <c r="AC236" s="9">
        <f t="shared" si="175"/>
        <v>14514.82</v>
      </c>
      <c r="AD236" s="9">
        <v>2.3199999999999998</v>
      </c>
      <c r="AE236" s="9">
        <v>4.12</v>
      </c>
      <c r="AF236" s="21">
        <f>2.5-AJ236</f>
        <v>2.35</v>
      </c>
      <c r="AG236" s="18">
        <f>0.6-AQ236</f>
        <v>0.54</v>
      </c>
      <c r="AH236" s="9">
        <v>2.77</v>
      </c>
      <c r="AI236" s="13">
        <v>351</v>
      </c>
      <c r="AJ236" s="21">
        <f t="shared" si="137"/>
        <v>0.15</v>
      </c>
      <c r="AK236" s="9">
        <v>1.88</v>
      </c>
      <c r="AL236" s="9">
        <v>0.16</v>
      </c>
      <c r="AM236" s="9">
        <v>0.25</v>
      </c>
      <c r="AN236" s="13"/>
      <c r="AO236" s="13">
        <v>305.89999999999998</v>
      </c>
      <c r="AP236" s="13">
        <f t="shared" si="161"/>
        <v>5.58</v>
      </c>
      <c r="AQ236" s="18">
        <f t="shared" si="136"/>
        <v>0.06</v>
      </c>
      <c r="AR236" s="9">
        <v>0.72</v>
      </c>
      <c r="AS236" s="9">
        <v>0.6</v>
      </c>
      <c r="AT236" s="9">
        <v>7.0000000000000007E-2</v>
      </c>
      <c r="AU236" s="9">
        <v>4.49</v>
      </c>
      <c r="AV236" s="9">
        <v>0.17</v>
      </c>
      <c r="AW236" s="9">
        <f>0.33+1.44+0.4</f>
        <v>2.17</v>
      </c>
      <c r="AX236" s="9">
        <f>2.05+0.53</f>
        <v>2.58</v>
      </c>
      <c r="AY236" s="46">
        <f t="shared" si="162"/>
        <v>25.4</v>
      </c>
      <c r="AZ236" s="47"/>
      <c r="BA236" s="47"/>
      <c r="BB236" s="47"/>
      <c r="BC236" s="47">
        <v>25.4</v>
      </c>
      <c r="BD236" s="13">
        <f t="shared" si="160"/>
        <v>0</v>
      </c>
      <c r="BE236" s="9">
        <f t="shared" si="138"/>
        <v>58242.71</v>
      </c>
      <c r="BF236" s="9">
        <v>25.4</v>
      </c>
      <c r="BG236" s="10">
        <v>44440</v>
      </c>
      <c r="BH236" s="9">
        <f t="shared" si="139"/>
        <v>5319.81</v>
      </c>
      <c r="BI236" s="9">
        <f t="shared" si="140"/>
        <v>9447.24</v>
      </c>
      <c r="BJ236" s="9">
        <f t="shared" si="141"/>
        <v>5388.6</v>
      </c>
      <c r="BK236" s="9">
        <f t="shared" si="142"/>
        <v>1238.23</v>
      </c>
      <c r="BL236" s="9">
        <f t="shared" si="143"/>
        <v>6351.67</v>
      </c>
      <c r="BM236" s="9">
        <f t="shared" si="144"/>
        <v>343.95</v>
      </c>
      <c r="BN236" s="9">
        <f t="shared" si="145"/>
        <v>4310.88</v>
      </c>
      <c r="BO236" s="9">
        <f t="shared" si="146"/>
        <v>366.88</v>
      </c>
      <c r="BP236" s="9">
        <f t="shared" si="147"/>
        <v>573.26</v>
      </c>
      <c r="BQ236" s="9">
        <f t="shared" si="148"/>
        <v>137.58000000000001</v>
      </c>
      <c r="BR236" s="9">
        <f t="shared" si="149"/>
        <v>1650.97</v>
      </c>
      <c r="BS236" s="9">
        <f t="shared" si="150"/>
        <v>1375.81</v>
      </c>
      <c r="BT236" s="9">
        <f t="shared" si="151"/>
        <v>160.51</v>
      </c>
      <c r="BU236" s="9">
        <f t="shared" si="152"/>
        <v>10295.66</v>
      </c>
      <c r="BV236" s="9">
        <f t="shared" si="153"/>
        <v>389.81</v>
      </c>
      <c r="BW236" s="9">
        <f t="shared" si="154"/>
        <v>4975.8500000000004</v>
      </c>
      <c r="BX236" s="9">
        <f t="shared" si="155"/>
        <v>5915.99</v>
      </c>
      <c r="BY236" s="17">
        <f t="shared" si="156"/>
        <v>58242.7</v>
      </c>
      <c r="BZ236" s="17">
        <v>3.61</v>
      </c>
      <c r="CA236" s="17">
        <v>7.0000000000000007E-2</v>
      </c>
      <c r="CB236" s="17">
        <v>0.47</v>
      </c>
      <c r="CC236" s="27">
        <v>7.0000000000000007E-2</v>
      </c>
      <c r="CD236" s="29">
        <v>6.33</v>
      </c>
      <c r="CE236" s="9"/>
      <c r="CF236" s="9"/>
      <c r="CG236" s="9"/>
      <c r="CH236" s="9"/>
      <c r="CI236" s="9"/>
      <c r="CJ236" s="9"/>
      <c r="CK236" s="13"/>
      <c r="CL236" s="13"/>
      <c r="CM236" s="13">
        <v>58242.71</v>
      </c>
      <c r="CN236" s="13">
        <v>2224.23</v>
      </c>
      <c r="CO236" s="13">
        <v>0</v>
      </c>
      <c r="CP236" s="13">
        <v>229.3</v>
      </c>
      <c r="CQ236" s="13">
        <v>160.55000000000001</v>
      </c>
      <c r="CR236" s="13">
        <v>63434.2</v>
      </c>
      <c r="CS236" s="13">
        <v>3080.5</v>
      </c>
      <c r="CT236" s="13">
        <v>159.30000000000001</v>
      </c>
      <c r="CU236" s="13">
        <v>246.42</v>
      </c>
      <c r="CV236" s="13">
        <v>174.88</v>
      </c>
      <c r="CW236" s="202">
        <v>1998</v>
      </c>
      <c r="CX236" s="200">
        <v>1146</v>
      </c>
      <c r="CY236" s="202"/>
      <c r="CZ236" s="202"/>
      <c r="DA236" s="202"/>
      <c r="DB236" s="202"/>
      <c r="DC236" s="202"/>
      <c r="DD236" s="461"/>
      <c r="DE236" s="256"/>
      <c r="DF236" s="204">
        <v>351</v>
      </c>
      <c r="DG236" s="204"/>
      <c r="DH236" s="204"/>
      <c r="DI236" s="204"/>
      <c r="DJ236" s="202"/>
      <c r="DK236" s="202">
        <v>4300</v>
      </c>
      <c r="DL236" s="202"/>
      <c r="DM236" s="202"/>
      <c r="DN236" s="202"/>
      <c r="DO236" s="202"/>
      <c r="DP236" s="202">
        <v>14384</v>
      </c>
      <c r="DQ236" s="202">
        <v>3400</v>
      </c>
      <c r="DR236" s="202">
        <v>2</v>
      </c>
      <c r="DS236" s="202"/>
      <c r="DT236" s="254"/>
      <c r="DU236" s="254"/>
      <c r="DV236" s="202"/>
      <c r="DW236" s="202">
        <v>10719</v>
      </c>
      <c r="DX236" s="202"/>
      <c r="DY236" s="107">
        <v>1365</v>
      </c>
      <c r="DZ236" s="107"/>
      <c r="EA236" s="202"/>
      <c r="EB236" s="107"/>
      <c r="EC236" s="202"/>
      <c r="ED236" s="202"/>
      <c r="EE236" s="202"/>
      <c r="EF236" s="229"/>
      <c r="EG236" s="202"/>
      <c r="EH236" s="202"/>
      <c r="EI236" s="202"/>
      <c r="EJ236" s="202"/>
      <c r="EK236" s="202">
        <v>2225.23</v>
      </c>
      <c r="EL236" s="202">
        <v>0</v>
      </c>
      <c r="EM236" s="202">
        <v>228.91</v>
      </c>
      <c r="EN236" s="202">
        <v>160.19</v>
      </c>
      <c r="EO236" s="202">
        <v>2225.23</v>
      </c>
      <c r="EP236" s="202"/>
      <c r="EQ236" s="202">
        <v>228.91</v>
      </c>
      <c r="ER236" s="202">
        <v>160.19</v>
      </c>
      <c r="ES236" s="202"/>
      <c r="ET236" s="202"/>
      <c r="EU236" s="202"/>
      <c r="EV236" s="214">
        <v>2.15</v>
      </c>
      <c r="EW236" s="240">
        <f t="shared" si="157"/>
        <v>5015.2</v>
      </c>
      <c r="EX236" s="209">
        <f t="shared" si="158"/>
        <v>3264.16</v>
      </c>
    </row>
    <row r="237" spans="1:154" ht="12.75" customHeight="1" x14ac:dyDescent="0.2">
      <c r="A237" s="4" t="s">
        <v>328</v>
      </c>
      <c r="B237" s="60" t="s">
        <v>296</v>
      </c>
      <c r="C237" s="61" t="s">
        <v>44</v>
      </c>
      <c r="D237" s="62" t="s">
        <v>586</v>
      </c>
      <c r="E237" s="61" t="s">
        <v>9</v>
      </c>
      <c r="F237" s="11">
        <v>10</v>
      </c>
      <c r="G237" s="11">
        <v>4</v>
      </c>
      <c r="H237" s="11">
        <v>154</v>
      </c>
      <c r="I237" s="11">
        <v>160</v>
      </c>
      <c r="J237" s="11">
        <v>335</v>
      </c>
      <c r="K237" s="11">
        <v>396</v>
      </c>
      <c r="L237" s="11">
        <v>4</v>
      </c>
      <c r="M237" s="84">
        <v>860</v>
      </c>
      <c r="N237" s="84">
        <v>1197.3</v>
      </c>
      <c r="O237" s="84">
        <v>1197.3</v>
      </c>
      <c r="P237" s="135">
        <f>502.2+136.8+480</f>
        <v>1119</v>
      </c>
      <c r="Q237" s="135">
        <v>1153.4000000000001</v>
      </c>
      <c r="R237" s="133">
        <v>1195.8</v>
      </c>
      <c r="S237" s="133">
        <f t="shared" si="159"/>
        <v>3468.2</v>
      </c>
      <c r="T237" s="134">
        <v>1119</v>
      </c>
      <c r="U237" s="130">
        <v>2.74</v>
      </c>
      <c r="V237" s="91">
        <v>1.1299999999999999E-2</v>
      </c>
      <c r="W237" s="91">
        <v>1.1299999999999999E-2</v>
      </c>
      <c r="X237" s="132">
        <v>7.5000000000000002E-4</v>
      </c>
      <c r="Y237" s="91">
        <v>2.2499999999999999E-2</v>
      </c>
      <c r="Z237" s="29">
        <v>8706.92</v>
      </c>
      <c r="AA237" s="34"/>
      <c r="AB237" s="9">
        <f t="shared" si="176"/>
        <v>8706.92</v>
      </c>
      <c r="AC237" s="9">
        <f t="shared" si="175"/>
        <v>55114.8</v>
      </c>
      <c r="AD237" s="9">
        <v>1.56</v>
      </c>
      <c r="AE237" s="9">
        <v>3.54</v>
      </c>
      <c r="AF237" s="21">
        <f>2.47-AJ237</f>
        <v>2.34</v>
      </c>
      <c r="AG237" s="18">
        <f>0.61-AQ237</f>
        <v>0.56000000000000005</v>
      </c>
      <c r="AH237" s="9">
        <v>2.4700000000000002</v>
      </c>
      <c r="AI237" s="43">
        <v>1150</v>
      </c>
      <c r="AJ237" s="21">
        <f t="shared" si="137"/>
        <v>0.13</v>
      </c>
      <c r="AK237" s="9">
        <v>1.98</v>
      </c>
      <c r="AL237" s="9">
        <v>0.17</v>
      </c>
      <c r="AM237" s="9">
        <v>7.0000000000000007E-2</v>
      </c>
      <c r="AN237" s="13"/>
      <c r="AO237" s="13">
        <v>982.4</v>
      </c>
      <c r="AP237" s="13">
        <f t="shared" si="161"/>
        <v>5.58</v>
      </c>
      <c r="AQ237" s="18">
        <f t="shared" si="136"/>
        <v>0.05</v>
      </c>
      <c r="AR237" s="9">
        <v>0.55000000000000004</v>
      </c>
      <c r="AS237" s="9">
        <v>0.16</v>
      </c>
      <c r="AT237" s="9">
        <v>7.0000000000000007E-2</v>
      </c>
      <c r="AU237" s="9">
        <v>4.78</v>
      </c>
      <c r="AV237" s="9">
        <v>0.14000000000000001</v>
      </c>
      <c r="AW237" s="9">
        <f>1.23+0.26+0.42</f>
        <v>1.91</v>
      </c>
      <c r="AX237" s="9">
        <f>1.72+0.57</f>
        <v>2.29</v>
      </c>
      <c r="AY237" s="63">
        <f t="shared" si="162"/>
        <v>22.77</v>
      </c>
      <c r="AZ237" s="64">
        <v>8707</v>
      </c>
      <c r="BA237" s="64">
        <v>0</v>
      </c>
      <c r="BB237" s="64">
        <f t="shared" si="177"/>
        <v>8707</v>
      </c>
      <c r="BC237" s="64">
        <v>22.77</v>
      </c>
      <c r="BD237" s="13">
        <f t="shared" si="160"/>
        <v>0</v>
      </c>
      <c r="BE237" s="9">
        <f t="shared" si="138"/>
        <v>198256.57</v>
      </c>
      <c r="BF237" s="9">
        <v>22.77</v>
      </c>
      <c r="BG237" s="10">
        <v>44409</v>
      </c>
      <c r="BH237" s="9">
        <f t="shared" si="139"/>
        <v>13582.8</v>
      </c>
      <c r="BI237" s="9">
        <f t="shared" si="140"/>
        <v>30822.5</v>
      </c>
      <c r="BJ237" s="9">
        <f t="shared" si="141"/>
        <v>20374.189999999999</v>
      </c>
      <c r="BK237" s="9">
        <f t="shared" si="142"/>
        <v>4875.88</v>
      </c>
      <c r="BL237" s="9">
        <f t="shared" si="143"/>
        <v>21506.09</v>
      </c>
      <c r="BM237" s="9">
        <f t="shared" si="144"/>
        <v>1131.9000000000001</v>
      </c>
      <c r="BN237" s="9">
        <f t="shared" si="145"/>
        <v>17239.7</v>
      </c>
      <c r="BO237" s="9">
        <f t="shared" si="146"/>
        <v>1480.18</v>
      </c>
      <c r="BP237" s="9">
        <f t="shared" si="147"/>
        <v>609.48</v>
      </c>
      <c r="BQ237" s="9">
        <f t="shared" si="148"/>
        <v>435.35</v>
      </c>
      <c r="BR237" s="9">
        <f t="shared" si="149"/>
        <v>4788.8100000000004</v>
      </c>
      <c r="BS237" s="9">
        <f t="shared" si="150"/>
        <v>1393.11</v>
      </c>
      <c r="BT237" s="9">
        <f t="shared" si="151"/>
        <v>609.48</v>
      </c>
      <c r="BU237" s="9">
        <f t="shared" si="152"/>
        <v>41619.08</v>
      </c>
      <c r="BV237" s="9">
        <f t="shared" si="153"/>
        <v>1218.97</v>
      </c>
      <c r="BW237" s="9">
        <f t="shared" si="154"/>
        <v>16630.22</v>
      </c>
      <c r="BX237" s="9">
        <f t="shared" si="155"/>
        <v>19938.849999999999</v>
      </c>
      <c r="BY237" s="17">
        <f t="shared" si="156"/>
        <v>198256.59</v>
      </c>
      <c r="BZ237" s="17">
        <v>4.0199999999999996</v>
      </c>
      <c r="CA237" s="17">
        <v>0.04</v>
      </c>
      <c r="CB237" s="17">
        <v>0.25</v>
      </c>
      <c r="CC237" s="27">
        <v>0.04</v>
      </c>
      <c r="CD237" s="29">
        <v>6.33</v>
      </c>
      <c r="CE237" s="9">
        <v>78906.12</v>
      </c>
      <c r="CF237" s="9"/>
      <c r="CG237" s="9">
        <v>15025.34</v>
      </c>
      <c r="CH237" s="9">
        <v>8045.19</v>
      </c>
      <c r="CI237" s="9">
        <f>IF(CE237&gt;0,CE237/AB237,0)</f>
        <v>9.06</v>
      </c>
      <c r="CJ237" s="9">
        <f>IF(CF237&gt;0,CF237/AB237,0)</f>
        <v>0</v>
      </c>
      <c r="CK237" s="13">
        <f>IF(CG237&gt;0,CG237/AB237,0)</f>
        <v>1.73</v>
      </c>
      <c r="CL237" s="13">
        <f>IF(CH237&gt;0,CH237/AB237,0)</f>
        <v>0.92</v>
      </c>
      <c r="CM237" s="13">
        <v>198100.72</v>
      </c>
      <c r="CN237" s="13">
        <v>76138.399999999994</v>
      </c>
      <c r="CO237" s="13">
        <v>2.5</v>
      </c>
      <c r="CP237" s="13">
        <v>14644.71</v>
      </c>
      <c r="CQ237" s="13">
        <v>7845.61</v>
      </c>
      <c r="CR237" s="13">
        <v>186853.23</v>
      </c>
      <c r="CS237" s="13">
        <v>47178.67</v>
      </c>
      <c r="CT237" s="13">
        <v>298.85000000000002</v>
      </c>
      <c r="CU237" s="13">
        <v>7054.41</v>
      </c>
      <c r="CV237" s="13">
        <v>3860.66</v>
      </c>
      <c r="CW237" s="202">
        <v>7584</v>
      </c>
      <c r="CX237" s="200">
        <v>4351</v>
      </c>
      <c r="CY237" s="202"/>
      <c r="CZ237" s="202"/>
      <c r="DA237" s="202"/>
      <c r="DB237" s="202"/>
      <c r="DC237" s="202"/>
      <c r="DD237" s="461"/>
      <c r="DE237" s="256"/>
      <c r="DF237" s="202"/>
      <c r="DG237" s="202"/>
      <c r="DH237" s="202"/>
      <c r="DI237" s="204">
        <v>1150</v>
      </c>
      <c r="DJ237" s="107">
        <f>17200</f>
        <v>17200</v>
      </c>
      <c r="DK237" s="202"/>
      <c r="DL237" s="202"/>
      <c r="DM237" s="202"/>
      <c r="DN237" s="202"/>
      <c r="DO237" s="202"/>
      <c r="DP237" s="202">
        <v>43502</v>
      </c>
      <c r="DQ237" s="202">
        <v>2125</v>
      </c>
      <c r="DR237" s="202">
        <v>1.25</v>
      </c>
      <c r="DS237" s="202"/>
      <c r="DT237" s="254"/>
      <c r="DU237" s="254"/>
      <c r="DV237" s="202"/>
      <c r="DW237" s="202">
        <v>38807</v>
      </c>
      <c r="DX237" s="202"/>
      <c r="DY237" s="107"/>
      <c r="DZ237" s="107">
        <v>577</v>
      </c>
      <c r="EA237" s="202">
        <v>32876</v>
      </c>
      <c r="EB237" s="202"/>
      <c r="EC237" s="202"/>
      <c r="ED237" s="202"/>
      <c r="EE237" s="202"/>
      <c r="EF237" s="229"/>
      <c r="EG237" s="202"/>
      <c r="EH237" s="202"/>
      <c r="EI237" s="202"/>
      <c r="EJ237" s="202"/>
      <c r="EK237" s="202">
        <v>85556.49</v>
      </c>
      <c r="EL237" s="202">
        <v>0</v>
      </c>
      <c r="EM237" s="202">
        <v>7296.48</v>
      </c>
      <c r="EN237" s="202">
        <v>3998.86</v>
      </c>
      <c r="EO237" s="202">
        <v>85556.49</v>
      </c>
      <c r="EP237" s="202"/>
      <c r="EQ237" s="202">
        <v>7296.48</v>
      </c>
      <c r="ER237" s="202">
        <v>3998.86</v>
      </c>
      <c r="ES237" s="202"/>
      <c r="ET237" s="202"/>
      <c r="EU237" s="202"/>
      <c r="EV237" s="214">
        <v>273.62</v>
      </c>
      <c r="EW237" s="240">
        <f t="shared" si="157"/>
        <v>19043.43</v>
      </c>
      <c r="EX237" s="209">
        <f t="shared" si="158"/>
        <v>12394.47</v>
      </c>
    </row>
    <row r="238" spans="1:154" ht="12.75" customHeight="1" x14ac:dyDescent="0.2">
      <c r="A238" s="4" t="s">
        <v>329</v>
      </c>
      <c r="B238" s="66" t="s">
        <v>296</v>
      </c>
      <c r="C238" s="67" t="s">
        <v>235</v>
      </c>
      <c r="D238" s="68" t="s">
        <v>664</v>
      </c>
      <c r="E238" s="67" t="s">
        <v>12</v>
      </c>
      <c r="F238" s="11">
        <v>5</v>
      </c>
      <c r="G238" s="11">
        <v>2</v>
      </c>
      <c r="H238" s="11">
        <v>48</v>
      </c>
      <c r="I238" s="11">
        <v>48</v>
      </c>
      <c r="J238" s="11">
        <v>117</v>
      </c>
      <c r="K238" s="11">
        <v>121</v>
      </c>
      <c r="L238" s="11" t="s">
        <v>746</v>
      </c>
      <c r="M238" s="84">
        <v>296</v>
      </c>
      <c r="N238" s="84">
        <v>210.7</v>
      </c>
      <c r="O238" s="84">
        <v>731.7</v>
      </c>
      <c r="P238" s="135">
        <v>371.5</v>
      </c>
      <c r="Q238" s="135">
        <v>210.4</v>
      </c>
      <c r="R238" s="133">
        <v>731.7</v>
      </c>
      <c r="S238" s="133">
        <f t="shared" si="159"/>
        <v>1313.6</v>
      </c>
      <c r="T238" s="134">
        <v>371.5</v>
      </c>
      <c r="U238" s="130">
        <v>1.53</v>
      </c>
      <c r="V238" s="91">
        <v>1.9800000000000002E-2</v>
      </c>
      <c r="W238" s="91">
        <v>1.9800000000000002E-2</v>
      </c>
      <c r="X238" s="132">
        <v>1.2199999999999999E-3</v>
      </c>
      <c r="Y238" s="91">
        <v>3.95E-2</v>
      </c>
      <c r="Z238" s="29">
        <v>2253.12</v>
      </c>
      <c r="AA238" s="34">
        <v>1374.1</v>
      </c>
      <c r="AB238" s="9">
        <f t="shared" si="176"/>
        <v>3627.22</v>
      </c>
      <c r="AC238" s="9">
        <f t="shared" si="175"/>
        <v>22960.3</v>
      </c>
      <c r="AD238" s="9">
        <v>0.39</v>
      </c>
      <c r="AE238" s="9">
        <v>4.3499999999999996</v>
      </c>
      <c r="AF238" s="21">
        <f>2.45-AJ238</f>
        <v>2.2599999999999998</v>
      </c>
      <c r="AG238" s="18">
        <f>0.51-AQ238</f>
        <v>0.48</v>
      </c>
      <c r="AH238" s="9">
        <v>2.4700000000000002</v>
      </c>
      <c r="AI238" s="43">
        <v>702</v>
      </c>
      <c r="AJ238" s="21">
        <f t="shared" si="137"/>
        <v>0.19</v>
      </c>
      <c r="AK238" s="9">
        <v>0</v>
      </c>
      <c r="AL238" s="9">
        <v>0</v>
      </c>
      <c r="AM238" s="9">
        <v>0.16</v>
      </c>
      <c r="AN238" s="13"/>
      <c r="AO238" s="13">
        <v>224.4</v>
      </c>
      <c r="AP238" s="13">
        <f t="shared" si="161"/>
        <v>5.58</v>
      </c>
      <c r="AQ238" s="18">
        <f t="shared" si="136"/>
        <v>0.03</v>
      </c>
      <c r="AR238" s="9">
        <v>0.44</v>
      </c>
      <c r="AS238" s="9">
        <v>0.38</v>
      </c>
      <c r="AT238" s="9">
        <v>7.0000000000000007E-2</v>
      </c>
      <c r="AU238" s="9">
        <v>4.96</v>
      </c>
      <c r="AV238" s="9">
        <v>0.11</v>
      </c>
      <c r="AW238" s="9">
        <f>1+0.3+0.44</f>
        <v>1.74</v>
      </c>
      <c r="AX238" s="9">
        <f>1.37+0.59</f>
        <v>1.96</v>
      </c>
      <c r="AY238" s="69">
        <f t="shared" si="162"/>
        <v>19.989999999999998</v>
      </c>
      <c r="AZ238" s="70">
        <v>2250.1999999999998</v>
      </c>
      <c r="BA238" s="70">
        <v>1374.1</v>
      </c>
      <c r="BB238" s="70">
        <f t="shared" si="177"/>
        <v>3624.3</v>
      </c>
      <c r="BC238" s="70">
        <v>19.989999999999998</v>
      </c>
      <c r="BD238" s="13">
        <f t="shared" si="160"/>
        <v>0</v>
      </c>
      <c r="BE238" s="9">
        <f t="shared" si="138"/>
        <v>72508.13</v>
      </c>
      <c r="BF238" s="9">
        <v>19.989999999999998</v>
      </c>
      <c r="BG238" s="10">
        <v>44378</v>
      </c>
      <c r="BH238" s="9">
        <f t="shared" si="139"/>
        <v>1414.62</v>
      </c>
      <c r="BI238" s="9">
        <f t="shared" si="140"/>
        <v>15778.41</v>
      </c>
      <c r="BJ238" s="9">
        <f t="shared" si="141"/>
        <v>8197.52</v>
      </c>
      <c r="BK238" s="9">
        <f t="shared" si="142"/>
        <v>1741.07</v>
      </c>
      <c r="BL238" s="9">
        <f t="shared" si="143"/>
        <v>8959.23</v>
      </c>
      <c r="BM238" s="9">
        <f t="shared" si="144"/>
        <v>689.17</v>
      </c>
      <c r="BN238" s="9">
        <f t="shared" si="145"/>
        <v>0</v>
      </c>
      <c r="BO238" s="9">
        <f t="shared" si="146"/>
        <v>0</v>
      </c>
      <c r="BP238" s="9">
        <f t="shared" si="147"/>
        <v>580.36</v>
      </c>
      <c r="BQ238" s="9">
        <f t="shared" si="148"/>
        <v>108.82</v>
      </c>
      <c r="BR238" s="9">
        <f t="shared" si="149"/>
        <v>1595.98</v>
      </c>
      <c r="BS238" s="9">
        <f t="shared" si="150"/>
        <v>1378.34</v>
      </c>
      <c r="BT238" s="9">
        <f t="shared" si="151"/>
        <v>253.91</v>
      </c>
      <c r="BU238" s="9">
        <f t="shared" si="152"/>
        <v>17991.009999999998</v>
      </c>
      <c r="BV238" s="9">
        <f t="shared" si="153"/>
        <v>398.99</v>
      </c>
      <c r="BW238" s="9">
        <f t="shared" si="154"/>
        <v>6311.36</v>
      </c>
      <c r="BX238" s="9">
        <f t="shared" si="155"/>
        <v>7109.35</v>
      </c>
      <c r="BY238" s="17">
        <f t="shared" si="156"/>
        <v>72508.14</v>
      </c>
      <c r="BZ238" s="17">
        <v>0.98</v>
      </c>
      <c r="CA238" s="17">
        <v>0.06</v>
      </c>
      <c r="CB238" s="17">
        <v>0.34</v>
      </c>
      <c r="CC238" s="27">
        <v>0.06</v>
      </c>
      <c r="CD238" s="29">
        <v>6.33</v>
      </c>
      <c r="CE238" s="9">
        <v>16146.21</v>
      </c>
      <c r="CF238" s="9"/>
      <c r="CG238" s="9">
        <v>0</v>
      </c>
      <c r="CH238" s="9">
        <v>104.07</v>
      </c>
      <c r="CI238" s="9">
        <f>IF(CE238&gt;0,CE238/AB238,0)</f>
        <v>4.45</v>
      </c>
      <c r="CJ238" s="9">
        <f>IF(CF238&gt;0,CF238/AB238,0)</f>
        <v>0</v>
      </c>
      <c r="CK238" s="13">
        <f>IF(CG238&gt;0,CG238/AB238,0)</f>
        <v>0</v>
      </c>
      <c r="CL238" s="13">
        <f>IF(CH238&gt;0,CH238/AB238,0)</f>
        <v>0.03</v>
      </c>
      <c r="CM238" s="13">
        <v>45039.89</v>
      </c>
      <c r="CN238" s="13">
        <v>2748.81</v>
      </c>
      <c r="CO238" s="13">
        <v>0</v>
      </c>
      <c r="CP238" s="13">
        <v>0</v>
      </c>
      <c r="CQ238" s="13">
        <v>67.56</v>
      </c>
      <c r="CR238" s="13">
        <v>47132.39</v>
      </c>
      <c r="CS238" s="13">
        <v>3967.96</v>
      </c>
      <c r="CT238" s="13">
        <v>819.63</v>
      </c>
      <c r="CU238" s="13">
        <v>27.77</v>
      </c>
      <c r="CV238" s="13">
        <v>77.709999999999994</v>
      </c>
      <c r="CW238" s="202">
        <v>3160</v>
      </c>
      <c r="CX238" s="200">
        <v>1813</v>
      </c>
      <c r="CY238" s="202"/>
      <c r="CZ238" s="202"/>
      <c r="DA238" s="202"/>
      <c r="DB238" s="202"/>
      <c r="DC238" s="202"/>
      <c r="DD238" s="461"/>
      <c r="DE238" s="256"/>
      <c r="DF238" s="202"/>
      <c r="DG238" s="202"/>
      <c r="DH238" s="202"/>
      <c r="DI238" s="204">
        <v>702</v>
      </c>
      <c r="DJ238" s="202"/>
      <c r="DK238" s="202"/>
      <c r="DL238" s="202"/>
      <c r="DM238" s="202"/>
      <c r="DN238" s="202"/>
      <c r="DO238" s="202"/>
      <c r="DP238" s="202">
        <v>16822</v>
      </c>
      <c r="DQ238" s="202">
        <v>2720</v>
      </c>
      <c r="DR238" s="202">
        <v>1.6</v>
      </c>
      <c r="DS238" s="202"/>
      <c r="DT238" s="254"/>
      <c r="DU238" s="254"/>
      <c r="DV238" s="202"/>
      <c r="DW238" s="202">
        <v>15676</v>
      </c>
      <c r="DX238" s="202"/>
      <c r="DY238" s="107"/>
      <c r="DZ238" s="107">
        <v>577</v>
      </c>
      <c r="EA238" s="202">
        <v>31185</v>
      </c>
      <c r="EB238" s="202"/>
      <c r="EC238" s="202"/>
      <c r="ED238" s="202"/>
      <c r="EE238" s="202"/>
      <c r="EF238" s="229"/>
      <c r="EG238" s="202"/>
      <c r="EH238" s="202"/>
      <c r="EI238" s="202"/>
      <c r="EJ238" s="202"/>
      <c r="EK238" s="202">
        <v>4441.1899999999996</v>
      </c>
      <c r="EL238" s="202">
        <v>0</v>
      </c>
      <c r="EM238" s="202">
        <v>0</v>
      </c>
      <c r="EN238" s="202">
        <v>104.07</v>
      </c>
      <c r="EO238" s="202">
        <v>4441.1899999999996</v>
      </c>
      <c r="EP238" s="202"/>
      <c r="EQ238" s="202">
        <v>0</v>
      </c>
      <c r="ER238" s="202">
        <v>104.07</v>
      </c>
      <c r="ES238" s="202"/>
      <c r="ET238" s="202"/>
      <c r="EU238" s="202"/>
      <c r="EV238" s="214">
        <f>-5.17+13637.72</f>
        <v>13632.55</v>
      </c>
      <c r="EW238" s="240">
        <f t="shared" si="157"/>
        <v>7933.31</v>
      </c>
      <c r="EX238" s="209">
        <f t="shared" si="158"/>
        <v>5163.42</v>
      </c>
    </row>
    <row r="239" spans="1:154" ht="12.75" customHeight="1" x14ac:dyDescent="0.2">
      <c r="A239" s="45" t="s">
        <v>330</v>
      </c>
      <c r="B239" s="99" t="s">
        <v>299</v>
      </c>
      <c r="C239" s="100" t="s">
        <v>8</v>
      </c>
      <c r="D239" s="101" t="s">
        <v>697</v>
      </c>
      <c r="E239" s="100"/>
      <c r="F239" s="11">
        <v>18</v>
      </c>
      <c r="G239" s="11">
        <v>1</v>
      </c>
      <c r="H239" s="11">
        <v>79</v>
      </c>
      <c r="I239" s="11">
        <v>82</v>
      </c>
      <c r="J239" s="11">
        <v>166</v>
      </c>
      <c r="K239" s="11">
        <v>250</v>
      </c>
      <c r="L239" s="11">
        <v>2</v>
      </c>
      <c r="M239" s="84">
        <v>950</v>
      </c>
      <c r="N239" s="84">
        <v>524</v>
      </c>
      <c r="O239" s="84">
        <v>524</v>
      </c>
      <c r="P239" s="139">
        <f>189.9+734.8</f>
        <v>924.7</v>
      </c>
      <c r="Q239" s="139">
        <v>173.8</v>
      </c>
      <c r="R239" s="133">
        <v>0</v>
      </c>
      <c r="S239" s="133">
        <f t="shared" si="159"/>
        <v>1098.5</v>
      </c>
      <c r="T239" s="139">
        <v>1131.9000000000001</v>
      </c>
      <c r="U239" s="130">
        <v>3.88</v>
      </c>
      <c r="V239" s="91">
        <v>1.44E-2</v>
      </c>
      <c r="W239" s="91">
        <v>1.44E-2</v>
      </c>
      <c r="X239" s="132">
        <v>9.6000000000000002E-4</v>
      </c>
      <c r="Y239" s="91">
        <v>2.8799999999999999E-2</v>
      </c>
      <c r="Z239" s="29">
        <v>5863.25</v>
      </c>
      <c r="AA239" s="34">
        <v>532.5</v>
      </c>
      <c r="AB239" s="9">
        <f t="shared" si="176"/>
        <v>6395.75</v>
      </c>
      <c r="AC239" s="174">
        <v>0</v>
      </c>
      <c r="AD239" s="9">
        <v>1.66</v>
      </c>
      <c r="AE239" s="9">
        <v>4.08</v>
      </c>
      <c r="AF239" s="21">
        <v>2.09</v>
      </c>
      <c r="AG239" s="18">
        <v>0.48</v>
      </c>
      <c r="AH239" s="9">
        <v>2.08</v>
      </c>
      <c r="AI239" s="43">
        <v>503</v>
      </c>
      <c r="AJ239" s="21">
        <v>0.08</v>
      </c>
      <c r="AK239" s="9">
        <v>1.1399999999999999</v>
      </c>
      <c r="AL239" s="9">
        <v>0.1</v>
      </c>
      <c r="AM239" s="9">
        <v>0.08</v>
      </c>
      <c r="AN239" s="13"/>
      <c r="AO239" s="13">
        <v>277</v>
      </c>
      <c r="AP239" s="13">
        <v>5.58</v>
      </c>
      <c r="AQ239" s="18">
        <v>0.02</v>
      </c>
      <c r="AR239" s="9">
        <v>0</v>
      </c>
      <c r="AS239" s="9">
        <v>0.18</v>
      </c>
      <c r="AT239" s="9">
        <v>0.06</v>
      </c>
      <c r="AU239" s="9">
        <v>1.02</v>
      </c>
      <c r="AV239" s="9">
        <v>0.12</v>
      </c>
      <c r="AW239" s="9">
        <v>1.54</v>
      </c>
      <c r="AX239" s="9">
        <v>1.86</v>
      </c>
      <c r="AY239" s="102">
        <f t="shared" si="162"/>
        <v>16.59</v>
      </c>
      <c r="AZ239" s="103"/>
      <c r="BA239" s="103"/>
      <c r="BB239" s="103"/>
      <c r="BC239" s="103">
        <v>16.59</v>
      </c>
      <c r="BD239" s="13">
        <f t="shared" si="160"/>
        <v>0</v>
      </c>
      <c r="BE239" s="9">
        <f t="shared" si="138"/>
        <v>106105.49</v>
      </c>
      <c r="BF239" s="9">
        <v>19.7</v>
      </c>
      <c r="BG239" s="10">
        <v>44435</v>
      </c>
      <c r="BH239" s="9">
        <f t="shared" si="139"/>
        <v>10616.95</v>
      </c>
      <c r="BI239" s="9">
        <f t="shared" si="140"/>
        <v>26094.66</v>
      </c>
      <c r="BJ239" s="9">
        <f t="shared" si="141"/>
        <v>13367.12</v>
      </c>
      <c r="BK239" s="9">
        <f t="shared" si="142"/>
        <v>3069.96</v>
      </c>
      <c r="BL239" s="9">
        <f t="shared" si="143"/>
        <v>13303.16</v>
      </c>
      <c r="BM239" s="9">
        <f t="shared" si="144"/>
        <v>511.66</v>
      </c>
      <c r="BN239" s="9">
        <f t="shared" si="145"/>
        <v>7291.16</v>
      </c>
      <c r="BO239" s="9">
        <f t="shared" si="146"/>
        <v>639.58000000000004</v>
      </c>
      <c r="BP239" s="9">
        <f t="shared" si="147"/>
        <v>511.66</v>
      </c>
      <c r="BQ239" s="9">
        <f t="shared" si="148"/>
        <v>127.92</v>
      </c>
      <c r="BR239" s="9">
        <f t="shared" si="149"/>
        <v>0</v>
      </c>
      <c r="BS239" s="9">
        <f t="shared" si="150"/>
        <v>1151.24</v>
      </c>
      <c r="BT239" s="9">
        <f t="shared" si="151"/>
        <v>383.75</v>
      </c>
      <c r="BU239" s="9">
        <f t="shared" si="152"/>
        <v>6523.67</v>
      </c>
      <c r="BV239" s="9">
        <f t="shared" si="153"/>
        <v>767.49</v>
      </c>
      <c r="BW239" s="9">
        <f t="shared" si="154"/>
        <v>9849.4599999999991</v>
      </c>
      <c r="BX239" s="9">
        <f t="shared" si="155"/>
        <v>11896.1</v>
      </c>
      <c r="BY239" s="17">
        <f t="shared" si="156"/>
        <v>106105.54</v>
      </c>
      <c r="BZ239" s="17">
        <v>2.85</v>
      </c>
      <c r="CA239" s="17">
        <v>0.03</v>
      </c>
      <c r="CB239" s="17">
        <v>0.22</v>
      </c>
      <c r="CC239" s="27">
        <v>0.01</v>
      </c>
      <c r="CD239" s="29" t="s">
        <v>740</v>
      </c>
      <c r="CE239" s="9"/>
      <c r="CF239" s="9"/>
      <c r="CG239" s="9"/>
      <c r="CH239" s="9"/>
      <c r="CI239" s="9"/>
      <c r="CJ239" s="9"/>
      <c r="CK239" s="13"/>
      <c r="CL239" s="13"/>
      <c r="CM239" s="13">
        <v>97307.83</v>
      </c>
      <c r="CN239" s="13">
        <v>16716.68</v>
      </c>
      <c r="CO239" s="13">
        <v>1290.4000000000001</v>
      </c>
      <c r="CP239" s="13">
        <v>176.01</v>
      </c>
      <c r="CQ239" s="13">
        <v>58.75</v>
      </c>
      <c r="CR239" s="13">
        <v>82377.179999999993</v>
      </c>
      <c r="CS239" s="13">
        <v>14151.72</v>
      </c>
      <c r="CT239" s="13">
        <v>1092.3800000000001</v>
      </c>
      <c r="CU239" s="13">
        <v>149.03</v>
      </c>
      <c r="CV239" s="13">
        <v>49.72</v>
      </c>
      <c r="CW239" s="202">
        <v>5553</v>
      </c>
      <c r="CX239" s="200">
        <v>3186</v>
      </c>
      <c r="CY239" s="202"/>
      <c r="CZ239" s="202"/>
      <c r="DA239" s="202"/>
      <c r="DB239" s="202"/>
      <c r="DC239" s="202"/>
      <c r="DD239" s="461"/>
      <c r="DE239" s="256"/>
      <c r="DF239" s="202"/>
      <c r="DG239" s="202"/>
      <c r="DH239" s="202"/>
      <c r="DI239" s="204">
        <v>503</v>
      </c>
      <c r="DJ239" s="202">
        <v>8600</v>
      </c>
      <c r="DK239" s="202"/>
      <c r="DL239" s="202"/>
      <c r="DM239" s="202">
        <v>39104</v>
      </c>
      <c r="DN239" s="202">
        <v>1700</v>
      </c>
      <c r="DO239" s="202">
        <v>1</v>
      </c>
      <c r="DP239" s="202"/>
      <c r="DQ239" s="202"/>
      <c r="DR239" s="202"/>
      <c r="DS239" s="202"/>
      <c r="DT239" s="254"/>
      <c r="DU239" s="254"/>
      <c r="DV239" s="202"/>
      <c r="DW239" s="202">
        <v>25276</v>
      </c>
      <c r="DX239" s="202"/>
      <c r="DY239" s="107">
        <v>1365</v>
      </c>
      <c r="DZ239" s="107">
        <v>577</v>
      </c>
      <c r="EA239" s="202"/>
      <c r="EB239" s="202"/>
      <c r="EC239" s="202"/>
      <c r="ED239" s="202"/>
      <c r="EE239" s="202"/>
      <c r="EF239" s="229"/>
      <c r="EG239" s="202"/>
      <c r="EH239" s="202"/>
      <c r="EI239" s="202"/>
      <c r="EJ239" s="202"/>
      <c r="EK239" s="202">
        <v>15105.63</v>
      </c>
      <c r="EL239" s="202">
        <v>0</v>
      </c>
      <c r="EM239" s="202">
        <v>0</v>
      </c>
      <c r="EN239" s="202">
        <v>230.6</v>
      </c>
      <c r="EO239" s="202">
        <v>15105.63</v>
      </c>
      <c r="EP239" s="202"/>
      <c r="EQ239" s="202">
        <v>0</v>
      </c>
      <c r="ER239" s="202">
        <v>230.6</v>
      </c>
      <c r="ES239" s="202"/>
      <c r="ET239" s="202"/>
      <c r="EU239" s="202"/>
      <c r="EV239" s="214">
        <v>-14.15</v>
      </c>
      <c r="EW239" s="240">
        <f t="shared" si="157"/>
        <v>13988.53</v>
      </c>
      <c r="EX239" s="209">
        <f t="shared" si="158"/>
        <v>9104.48</v>
      </c>
    </row>
    <row r="240" spans="1:154" ht="12.75" customHeight="1" x14ac:dyDescent="0.2">
      <c r="A240" s="4" t="s">
        <v>332</v>
      </c>
      <c r="B240" s="99" t="s">
        <v>299</v>
      </c>
      <c r="C240" s="100" t="s">
        <v>8</v>
      </c>
      <c r="D240" s="101" t="s">
        <v>587</v>
      </c>
      <c r="E240" s="100" t="s">
        <v>9</v>
      </c>
      <c r="F240" s="11">
        <v>18</v>
      </c>
      <c r="G240" s="11">
        <v>1</v>
      </c>
      <c r="H240" s="11">
        <v>79</v>
      </c>
      <c r="I240" s="11">
        <v>82</v>
      </c>
      <c r="J240" s="11">
        <v>229</v>
      </c>
      <c r="K240" s="11">
        <v>261</v>
      </c>
      <c r="L240" s="83">
        <v>2</v>
      </c>
      <c r="M240" s="84">
        <v>950</v>
      </c>
      <c r="N240" s="84">
        <v>524</v>
      </c>
      <c r="O240" s="84">
        <v>524</v>
      </c>
      <c r="P240" s="135">
        <v>1136.9000000000001</v>
      </c>
      <c r="Q240" s="135">
        <v>0</v>
      </c>
      <c r="R240" s="133">
        <v>0</v>
      </c>
      <c r="S240" s="133">
        <f t="shared" si="159"/>
        <v>1136.9000000000001</v>
      </c>
      <c r="T240" s="134">
        <v>1136.9000000000001</v>
      </c>
      <c r="U240" s="130">
        <v>3.88</v>
      </c>
      <c r="V240" s="131">
        <v>1.44E-2</v>
      </c>
      <c r="W240" s="131">
        <v>1.44E-2</v>
      </c>
      <c r="X240" s="132">
        <v>9.6000000000000002E-4</v>
      </c>
      <c r="Y240" s="131">
        <v>2.8799999999999999E-2</v>
      </c>
      <c r="Z240" s="29">
        <v>5811.29</v>
      </c>
      <c r="AA240" s="34">
        <v>617.20000000000005</v>
      </c>
      <c r="AB240" s="9">
        <f t="shared" si="176"/>
        <v>6428.49</v>
      </c>
      <c r="AC240" s="9">
        <f>SUM(AB240*6.33)</f>
        <v>40692.339999999997</v>
      </c>
      <c r="AD240" s="9">
        <v>1.98</v>
      </c>
      <c r="AE240" s="9">
        <v>4.9400000000000004</v>
      </c>
      <c r="AF240" s="21">
        <f>2.57-AJ240</f>
        <v>2.4900000000000002</v>
      </c>
      <c r="AG240" s="18">
        <f>0.59-AQ240</f>
        <v>0.56999999999999995</v>
      </c>
      <c r="AH240" s="9">
        <v>2.4700000000000002</v>
      </c>
      <c r="AI240" s="43">
        <v>503</v>
      </c>
      <c r="AJ240" s="21">
        <f t="shared" ref="AJ240:AJ303" si="178">SUM(AI240/AB240)</f>
        <v>0.08</v>
      </c>
      <c r="AK240" s="9">
        <v>1.34</v>
      </c>
      <c r="AL240" s="9">
        <v>0.36</v>
      </c>
      <c r="AM240" s="9">
        <v>0.09</v>
      </c>
      <c r="AN240" s="13"/>
      <c r="AO240" s="13">
        <v>277</v>
      </c>
      <c r="AP240" s="13">
        <f t="shared" si="161"/>
        <v>5.58</v>
      </c>
      <c r="AQ240" s="18">
        <f t="shared" ref="AQ240:AQ303" si="179">SUM(AN240:AO240)*AP240/AB240/12</f>
        <v>0.02</v>
      </c>
      <c r="AR240" s="9">
        <v>0</v>
      </c>
      <c r="AS240" s="9">
        <v>0.21</v>
      </c>
      <c r="AT240" s="9">
        <v>7.0000000000000007E-2</v>
      </c>
      <c r="AU240" s="9">
        <v>3.49</v>
      </c>
      <c r="AV240" s="9">
        <v>0.15</v>
      </c>
      <c r="AW240" s="9">
        <f>1.31+0.2+0.31</f>
        <v>1.82</v>
      </c>
      <c r="AX240" s="9">
        <f>1.81+0.43</f>
        <v>2.2400000000000002</v>
      </c>
      <c r="AY240" s="102">
        <f t="shared" si="162"/>
        <v>22.32</v>
      </c>
      <c r="AZ240" s="103">
        <v>5785.5</v>
      </c>
      <c r="BA240" s="103">
        <v>617.20000000000005</v>
      </c>
      <c r="BB240" s="103">
        <f t="shared" si="177"/>
        <v>6402.7</v>
      </c>
      <c r="BC240" s="103">
        <v>22.32</v>
      </c>
      <c r="BD240" s="13">
        <f t="shared" si="160"/>
        <v>0</v>
      </c>
      <c r="BE240" s="9">
        <f t="shared" si="138"/>
        <v>143483.9</v>
      </c>
      <c r="BF240" s="9">
        <v>22.32</v>
      </c>
      <c r="BG240" s="10">
        <v>44378</v>
      </c>
      <c r="BH240" s="9">
        <f t="shared" si="139"/>
        <v>12728.41</v>
      </c>
      <c r="BI240" s="9">
        <f t="shared" si="140"/>
        <v>31756.74</v>
      </c>
      <c r="BJ240" s="9">
        <f t="shared" si="141"/>
        <v>16006.94</v>
      </c>
      <c r="BK240" s="9">
        <f t="shared" si="142"/>
        <v>3664.24</v>
      </c>
      <c r="BL240" s="9">
        <f t="shared" si="143"/>
        <v>15878.37</v>
      </c>
      <c r="BM240" s="9">
        <f t="shared" si="144"/>
        <v>514.28</v>
      </c>
      <c r="BN240" s="9">
        <f t="shared" si="145"/>
        <v>8614.18</v>
      </c>
      <c r="BO240" s="9">
        <f t="shared" si="146"/>
        <v>2314.2600000000002</v>
      </c>
      <c r="BP240" s="9">
        <f t="shared" si="147"/>
        <v>578.55999999999995</v>
      </c>
      <c r="BQ240" s="9">
        <f t="shared" si="148"/>
        <v>128.57</v>
      </c>
      <c r="BR240" s="9">
        <f t="shared" si="149"/>
        <v>0</v>
      </c>
      <c r="BS240" s="9">
        <f t="shared" si="150"/>
        <v>1349.98</v>
      </c>
      <c r="BT240" s="9">
        <f t="shared" si="151"/>
        <v>449.99</v>
      </c>
      <c r="BU240" s="9">
        <f t="shared" si="152"/>
        <v>22435.43</v>
      </c>
      <c r="BV240" s="9">
        <f t="shared" si="153"/>
        <v>964.27</v>
      </c>
      <c r="BW240" s="9">
        <f t="shared" si="154"/>
        <v>11699.85</v>
      </c>
      <c r="BX240" s="9">
        <f t="shared" si="155"/>
        <v>14399.82</v>
      </c>
      <c r="BY240" s="17">
        <f t="shared" si="156"/>
        <v>143483.89000000001</v>
      </c>
      <c r="BZ240" s="17">
        <v>1.87</v>
      </c>
      <c r="CA240" s="17">
        <v>7.0000000000000007E-2</v>
      </c>
      <c r="CB240" s="17">
        <v>0.44</v>
      </c>
      <c r="CC240" s="27">
        <v>7.0000000000000007E-2</v>
      </c>
      <c r="CD240" s="29">
        <v>6.33</v>
      </c>
      <c r="CE240" s="9">
        <v>9866.23</v>
      </c>
      <c r="CF240" s="9"/>
      <c r="CG240" s="9">
        <v>0</v>
      </c>
      <c r="CH240" s="9">
        <v>231.62</v>
      </c>
      <c r="CI240" s="9">
        <f>IF(CE240&gt;0,CE240/AB240,0)</f>
        <v>1.53</v>
      </c>
      <c r="CJ240" s="9">
        <f>IF(CF240&gt;0,CF240/AB240,0)</f>
        <v>0</v>
      </c>
      <c r="CK240" s="13">
        <f>IF(CG240&gt;0,CG240/AB240,0)</f>
        <v>0</v>
      </c>
      <c r="CL240" s="13">
        <f>IF(CH240&gt;0,CH240/AB240,0)</f>
        <v>0.04</v>
      </c>
      <c r="CM240" s="13">
        <v>129708.05</v>
      </c>
      <c r="CN240" s="13">
        <v>13249.69</v>
      </c>
      <c r="CO240" s="13">
        <v>0</v>
      </c>
      <c r="CP240" s="13">
        <v>0</v>
      </c>
      <c r="CQ240" s="13">
        <v>232.44</v>
      </c>
      <c r="CR240" s="13">
        <v>136121.87</v>
      </c>
      <c r="CS240" s="13">
        <v>21915.75</v>
      </c>
      <c r="CT240" s="13">
        <v>440.31</v>
      </c>
      <c r="CU240" s="13">
        <v>70.06</v>
      </c>
      <c r="CV240" s="13">
        <v>273.08</v>
      </c>
      <c r="CW240" s="202">
        <v>5582</v>
      </c>
      <c r="CX240" s="200">
        <v>3202</v>
      </c>
      <c r="CY240" s="202"/>
      <c r="CZ240" s="202"/>
      <c r="DA240" s="202"/>
      <c r="DB240" s="202"/>
      <c r="DC240" s="202"/>
      <c r="DD240" s="461"/>
      <c r="DE240" s="256"/>
      <c r="DF240" s="202"/>
      <c r="DG240" s="202"/>
      <c r="DH240" s="202"/>
      <c r="DI240" s="204">
        <v>503</v>
      </c>
      <c r="DJ240" s="107">
        <f>8600</f>
        <v>8600</v>
      </c>
      <c r="DK240" s="202"/>
      <c r="DL240" s="202"/>
      <c r="DM240" s="202">
        <v>45100</v>
      </c>
      <c r="DN240" s="202">
        <v>1700</v>
      </c>
      <c r="DO240" s="202">
        <v>1</v>
      </c>
      <c r="DP240" s="202"/>
      <c r="DQ240" s="202"/>
      <c r="DR240" s="202"/>
      <c r="DS240" s="202"/>
      <c r="DT240" s="254"/>
      <c r="DU240" s="254"/>
      <c r="DV240" s="202"/>
      <c r="DW240" s="202">
        <v>28422</v>
      </c>
      <c r="DX240" s="202"/>
      <c r="DY240" s="107">
        <v>1365</v>
      </c>
      <c r="DZ240" s="107">
        <v>577</v>
      </c>
      <c r="EA240" s="202">
        <v>2903.5</v>
      </c>
      <c r="EB240" s="202"/>
      <c r="EC240" s="202"/>
      <c r="ED240" s="202"/>
      <c r="EE240" s="202"/>
      <c r="EF240" s="229"/>
      <c r="EG240" s="202"/>
      <c r="EH240" s="202"/>
      <c r="EI240" s="202"/>
      <c r="EJ240" s="202"/>
      <c r="EK240" s="202">
        <v>14632.34</v>
      </c>
      <c r="EL240" s="202">
        <v>0</v>
      </c>
      <c r="EM240" s="202">
        <v>0</v>
      </c>
      <c r="EN240" s="202">
        <v>231.62</v>
      </c>
      <c r="EO240" s="202">
        <v>14632.34</v>
      </c>
      <c r="EP240" s="202"/>
      <c r="EQ240" s="202">
        <v>0</v>
      </c>
      <c r="ER240" s="202">
        <v>231.62</v>
      </c>
      <c r="ES240" s="202"/>
      <c r="ET240" s="202"/>
      <c r="EU240" s="202"/>
      <c r="EV240" s="214">
        <v>-14.22</v>
      </c>
      <c r="EW240" s="240">
        <f t="shared" si="157"/>
        <v>14060.14</v>
      </c>
      <c r="EX240" s="209">
        <f t="shared" si="158"/>
        <v>9151.08</v>
      </c>
    </row>
    <row r="241" spans="1:154" ht="12.75" customHeight="1" x14ac:dyDescent="0.2">
      <c r="A241" s="4" t="s">
        <v>334</v>
      </c>
      <c r="B241" s="99" t="s">
        <v>299</v>
      </c>
      <c r="C241" s="100" t="s">
        <v>11</v>
      </c>
      <c r="D241" s="101" t="s">
        <v>668</v>
      </c>
      <c r="E241" s="100" t="s">
        <v>12</v>
      </c>
      <c r="F241" s="11">
        <v>9</v>
      </c>
      <c r="G241" s="11">
        <v>3</v>
      </c>
      <c r="H241" s="11">
        <v>108</v>
      </c>
      <c r="I241" s="11">
        <v>109</v>
      </c>
      <c r="J241" s="11">
        <v>242</v>
      </c>
      <c r="K241" s="11">
        <v>302</v>
      </c>
      <c r="L241" s="83">
        <v>3</v>
      </c>
      <c r="M241" s="84">
        <v>777</v>
      </c>
      <c r="N241" s="84">
        <v>800</v>
      </c>
      <c r="O241" s="84">
        <v>0</v>
      </c>
      <c r="P241" s="135">
        <v>735.1</v>
      </c>
      <c r="Q241" s="135">
        <v>874.3</v>
      </c>
      <c r="R241" s="133">
        <v>0</v>
      </c>
      <c r="S241" s="133">
        <f t="shared" si="159"/>
        <v>1609.4</v>
      </c>
      <c r="T241" s="134">
        <v>735.1</v>
      </c>
      <c r="U241" s="130">
        <v>2.44</v>
      </c>
      <c r="V241" s="131">
        <v>1.9800000000000002E-2</v>
      </c>
      <c r="W241" s="131">
        <v>1.9800000000000002E-2</v>
      </c>
      <c r="X241" s="132">
        <v>1.32E-3</v>
      </c>
      <c r="Y241" s="131">
        <v>3.9699999999999999E-2</v>
      </c>
      <c r="Z241" s="29">
        <v>5766.34</v>
      </c>
      <c r="AA241" s="34">
        <v>15.3</v>
      </c>
      <c r="AB241" s="9">
        <f t="shared" si="176"/>
        <v>5781.64</v>
      </c>
      <c r="AC241" s="9">
        <f>SUM(AB241*6.33)</f>
        <v>36597.78</v>
      </c>
      <c r="AD241" s="9">
        <v>1.64</v>
      </c>
      <c r="AE241" s="9">
        <v>4.13</v>
      </c>
      <c r="AF241" s="21">
        <f>2.45-AJ241</f>
        <v>2.3199999999999998</v>
      </c>
      <c r="AG241" s="18">
        <f>0.62-AQ241</f>
        <v>0.56999999999999995</v>
      </c>
      <c r="AH241" s="9">
        <v>2.78</v>
      </c>
      <c r="AI241" s="43">
        <v>768</v>
      </c>
      <c r="AJ241" s="21">
        <f t="shared" si="178"/>
        <v>0.13</v>
      </c>
      <c r="AK241" s="9">
        <v>2.25</v>
      </c>
      <c r="AL241" s="9">
        <v>0.61</v>
      </c>
      <c r="AM241" s="9">
        <v>0.1</v>
      </c>
      <c r="AN241" s="13"/>
      <c r="AO241" s="13">
        <v>633.6</v>
      </c>
      <c r="AP241" s="13">
        <f t="shared" si="161"/>
        <v>5.58</v>
      </c>
      <c r="AQ241" s="18">
        <f t="shared" si="179"/>
        <v>0.05</v>
      </c>
      <c r="AR241" s="9">
        <v>0.57999999999999996</v>
      </c>
      <c r="AS241" s="9">
        <v>0.24</v>
      </c>
      <c r="AT241" s="9">
        <v>7.0000000000000007E-2</v>
      </c>
      <c r="AU241" s="9">
        <v>4.3899999999999997</v>
      </c>
      <c r="AV241" s="9">
        <v>0.14000000000000001</v>
      </c>
      <c r="AW241" s="9">
        <f>1.39+0.27+0.39</f>
        <v>2.0499999999999998</v>
      </c>
      <c r="AX241" s="9">
        <f>1.96+0.52</f>
        <v>2.48</v>
      </c>
      <c r="AY241" s="102">
        <f t="shared" si="162"/>
        <v>24.53</v>
      </c>
      <c r="AZ241" s="103">
        <v>5740.3</v>
      </c>
      <c r="BA241" s="103">
        <v>0</v>
      </c>
      <c r="BB241" s="103">
        <f t="shared" si="177"/>
        <v>5740.3</v>
      </c>
      <c r="BC241" s="103">
        <v>24.53</v>
      </c>
      <c r="BD241" s="13">
        <f t="shared" si="160"/>
        <v>0</v>
      </c>
      <c r="BE241" s="9">
        <f t="shared" si="138"/>
        <v>141823.63</v>
      </c>
      <c r="BF241" s="9">
        <v>24.53</v>
      </c>
      <c r="BG241" s="10">
        <v>44409</v>
      </c>
      <c r="BH241" s="9">
        <f t="shared" si="139"/>
        <v>9481.89</v>
      </c>
      <c r="BI241" s="9">
        <f t="shared" si="140"/>
        <v>23878.17</v>
      </c>
      <c r="BJ241" s="9">
        <f t="shared" si="141"/>
        <v>13413.4</v>
      </c>
      <c r="BK241" s="9">
        <f t="shared" si="142"/>
        <v>3295.53</v>
      </c>
      <c r="BL241" s="9">
        <f t="shared" si="143"/>
        <v>16072.96</v>
      </c>
      <c r="BM241" s="9">
        <f t="shared" si="144"/>
        <v>751.61</v>
      </c>
      <c r="BN241" s="9">
        <f t="shared" si="145"/>
        <v>13008.69</v>
      </c>
      <c r="BO241" s="9">
        <f t="shared" si="146"/>
        <v>3526.8</v>
      </c>
      <c r="BP241" s="9">
        <f t="shared" si="147"/>
        <v>578.16</v>
      </c>
      <c r="BQ241" s="9">
        <f t="shared" si="148"/>
        <v>289.08</v>
      </c>
      <c r="BR241" s="9">
        <f t="shared" si="149"/>
        <v>3353.35</v>
      </c>
      <c r="BS241" s="9">
        <f t="shared" si="150"/>
        <v>1387.59</v>
      </c>
      <c r="BT241" s="9">
        <f t="shared" si="151"/>
        <v>404.71</v>
      </c>
      <c r="BU241" s="9">
        <f t="shared" si="152"/>
        <v>25381.4</v>
      </c>
      <c r="BV241" s="9">
        <f t="shared" si="153"/>
        <v>809.43</v>
      </c>
      <c r="BW241" s="9">
        <f t="shared" si="154"/>
        <v>11852.36</v>
      </c>
      <c r="BX241" s="9">
        <f t="shared" si="155"/>
        <v>14338.47</v>
      </c>
      <c r="BY241" s="17">
        <f t="shared" si="156"/>
        <v>141823.6</v>
      </c>
      <c r="BZ241" s="17">
        <v>2.62</v>
      </c>
      <c r="CA241" s="17">
        <v>7.0000000000000007E-2</v>
      </c>
      <c r="CB241" s="17">
        <v>0.43</v>
      </c>
      <c r="CC241" s="27">
        <v>7.0000000000000007E-2</v>
      </c>
      <c r="CD241" s="29">
        <v>6.33</v>
      </c>
      <c r="CE241" s="9">
        <v>16181.64</v>
      </c>
      <c r="CF241" s="9"/>
      <c r="CG241" s="9">
        <v>0</v>
      </c>
      <c r="CH241" s="9">
        <v>205.92</v>
      </c>
      <c r="CI241" s="9">
        <f>IF(CE241&gt;0,CE241/AB241,0)</f>
        <v>2.8</v>
      </c>
      <c r="CJ241" s="9">
        <f>IF(CF241&gt;0,CF241/AB241,0)</f>
        <v>0</v>
      </c>
      <c r="CK241" s="13">
        <f>IF(CG241&gt;0,CG241/AB241,0)</f>
        <v>0</v>
      </c>
      <c r="CL241" s="13">
        <f>IF(CH241&gt;0,CH241/AB241,0)</f>
        <v>0.04</v>
      </c>
      <c r="CM241" s="13">
        <v>141448.42000000001</v>
      </c>
      <c r="CN241" s="13">
        <v>15107.8</v>
      </c>
      <c r="CO241" s="13">
        <v>0</v>
      </c>
      <c r="CP241" s="13">
        <v>0</v>
      </c>
      <c r="CQ241" s="13">
        <v>230.65</v>
      </c>
      <c r="CR241" s="13">
        <v>140546.15</v>
      </c>
      <c r="CS241" s="13">
        <v>17875.53</v>
      </c>
      <c r="CT241" s="13">
        <v>1560.09</v>
      </c>
      <c r="CU241" s="13">
        <v>73.52</v>
      </c>
      <c r="CV241" s="13">
        <v>254.82</v>
      </c>
      <c r="CW241" s="202">
        <v>5035</v>
      </c>
      <c r="CX241" s="200">
        <v>2889</v>
      </c>
      <c r="CY241" s="202"/>
      <c r="CZ241" s="202"/>
      <c r="DA241" s="202"/>
      <c r="DB241" s="202"/>
      <c r="DC241" s="202"/>
      <c r="DD241" s="461"/>
      <c r="DE241" s="256"/>
      <c r="DF241" s="202"/>
      <c r="DG241" s="202"/>
      <c r="DH241" s="202"/>
      <c r="DI241" s="204">
        <v>768</v>
      </c>
      <c r="DJ241" s="202">
        <v>12900</v>
      </c>
      <c r="DK241" s="202"/>
      <c r="DL241" s="202">
        <v>42000</v>
      </c>
      <c r="DM241" s="202">
        <v>33703</v>
      </c>
      <c r="DN241" s="202">
        <v>1139</v>
      </c>
      <c r="DO241" s="258">
        <v>0.67</v>
      </c>
      <c r="DP241" s="202"/>
      <c r="DQ241" s="202"/>
      <c r="DR241" s="202"/>
      <c r="DS241" s="202"/>
      <c r="DT241" s="254"/>
      <c r="DU241" s="254"/>
      <c r="DV241" s="202"/>
      <c r="DW241" s="202">
        <v>26496</v>
      </c>
      <c r="DX241" s="202"/>
      <c r="DY241" s="107">
        <v>1365</v>
      </c>
      <c r="DZ241" s="107">
        <v>577</v>
      </c>
      <c r="EA241" s="202"/>
      <c r="EB241" s="202"/>
      <c r="EC241" s="202"/>
      <c r="ED241" s="202"/>
      <c r="EE241" s="202"/>
      <c r="EF241" s="229"/>
      <c r="EG241" s="202"/>
      <c r="EH241" s="202"/>
      <c r="EI241" s="202"/>
      <c r="EJ241" s="202"/>
      <c r="EK241" s="202">
        <v>5351.81</v>
      </c>
      <c r="EL241" s="202">
        <v>0</v>
      </c>
      <c r="EM241" s="202">
        <v>0</v>
      </c>
      <c r="EN241" s="202">
        <v>205.92</v>
      </c>
      <c r="EO241" s="202">
        <v>5351.81</v>
      </c>
      <c r="EP241" s="202"/>
      <c r="EQ241" s="202">
        <v>0</v>
      </c>
      <c r="ER241" s="202">
        <v>205.92</v>
      </c>
      <c r="ES241" s="202"/>
      <c r="ET241" s="202"/>
      <c r="EU241" s="202"/>
      <c r="EV241" s="214">
        <f>-12.48+3187.79</f>
        <v>3175.31</v>
      </c>
      <c r="EW241" s="240">
        <f t="shared" si="157"/>
        <v>12645.37</v>
      </c>
      <c r="EX241" s="209">
        <f t="shared" si="158"/>
        <v>8230.2800000000007</v>
      </c>
    </row>
    <row r="242" spans="1:154" ht="12.75" customHeight="1" x14ac:dyDescent="0.2">
      <c r="A242" s="4" t="s">
        <v>335</v>
      </c>
      <c r="B242" s="117" t="s">
        <v>299</v>
      </c>
      <c r="C242" s="118" t="s">
        <v>46</v>
      </c>
      <c r="D242" s="119" t="s">
        <v>588</v>
      </c>
      <c r="E242" s="118" t="s">
        <v>9</v>
      </c>
      <c r="F242" s="11">
        <v>5</v>
      </c>
      <c r="G242" s="11">
        <v>6</v>
      </c>
      <c r="H242" s="11">
        <v>90</v>
      </c>
      <c r="I242" s="11">
        <v>0</v>
      </c>
      <c r="J242" s="11">
        <v>189</v>
      </c>
      <c r="K242" s="11">
        <v>216</v>
      </c>
      <c r="L242" s="11" t="s">
        <v>746</v>
      </c>
      <c r="M242" s="84">
        <v>322</v>
      </c>
      <c r="N242" s="84">
        <v>1400</v>
      </c>
      <c r="O242" s="84">
        <v>0</v>
      </c>
      <c r="P242" s="135">
        <v>414</v>
      </c>
      <c r="Q242" s="135">
        <v>1020.8</v>
      </c>
      <c r="R242" s="133">
        <v>0</v>
      </c>
      <c r="S242" s="133">
        <f t="shared" si="159"/>
        <v>1434.8</v>
      </c>
      <c r="T242" s="134">
        <v>414</v>
      </c>
      <c r="U242" s="130">
        <v>1.53</v>
      </c>
      <c r="V242" s="131">
        <v>1.9800000000000002E-2</v>
      </c>
      <c r="W242" s="131">
        <v>1.9800000000000002E-2</v>
      </c>
      <c r="X242" s="132">
        <v>1.2199999999999999E-3</v>
      </c>
      <c r="Y242" s="131">
        <v>3.95E-2</v>
      </c>
      <c r="Z242" s="29">
        <v>3994.33</v>
      </c>
      <c r="AA242" s="34"/>
      <c r="AB242" s="9">
        <f t="shared" si="176"/>
        <v>3994.33</v>
      </c>
      <c r="AC242" s="174">
        <v>0</v>
      </c>
      <c r="AD242" s="9">
        <v>0.51</v>
      </c>
      <c r="AE242" s="9">
        <v>4.96</v>
      </c>
      <c r="AF242" s="21">
        <f>2.49-AJ242</f>
        <v>2.15</v>
      </c>
      <c r="AG242" s="18">
        <f>0.56-AQ242</f>
        <v>0.42</v>
      </c>
      <c r="AH242" s="9">
        <v>2.78</v>
      </c>
      <c r="AI242" s="43">
        <v>1344</v>
      </c>
      <c r="AJ242" s="21">
        <f t="shared" si="178"/>
        <v>0.34</v>
      </c>
      <c r="AK242" s="9">
        <v>0</v>
      </c>
      <c r="AL242" s="9">
        <v>0</v>
      </c>
      <c r="AM242" s="9">
        <v>0.24</v>
      </c>
      <c r="AN242" s="13"/>
      <c r="AO242" s="13">
        <v>1202.4000000000001</v>
      </c>
      <c r="AP242" s="13">
        <f t="shared" si="161"/>
        <v>5.58</v>
      </c>
      <c r="AQ242" s="18">
        <f t="shared" si="179"/>
        <v>0.14000000000000001</v>
      </c>
      <c r="AR242" s="9">
        <v>0.79</v>
      </c>
      <c r="AS242" s="9">
        <v>0.34</v>
      </c>
      <c r="AT242" s="9">
        <v>7.0000000000000007E-2</v>
      </c>
      <c r="AU242" s="9">
        <v>3.58</v>
      </c>
      <c r="AV242" s="9">
        <v>0.13</v>
      </c>
      <c r="AW242" s="9">
        <f>1.14+0.32+0.32</f>
        <v>1.78</v>
      </c>
      <c r="AX242" s="9">
        <f>1.56+0.42</f>
        <v>1.98</v>
      </c>
      <c r="AY242" s="120">
        <f t="shared" si="162"/>
        <v>20.21</v>
      </c>
      <c r="AZ242" s="121">
        <v>3994.6</v>
      </c>
      <c r="BA242" s="121">
        <v>0</v>
      </c>
      <c r="BB242" s="121">
        <f t="shared" si="177"/>
        <v>3994.6</v>
      </c>
      <c r="BC242" s="121">
        <v>20.21</v>
      </c>
      <c r="BD242" s="13">
        <f t="shared" si="160"/>
        <v>0</v>
      </c>
      <c r="BE242" s="9">
        <f t="shared" si="138"/>
        <v>80725.41</v>
      </c>
      <c r="BF242" s="9">
        <v>20.21</v>
      </c>
      <c r="BG242" s="10">
        <v>44409</v>
      </c>
      <c r="BH242" s="9">
        <f t="shared" si="139"/>
        <v>2037.11</v>
      </c>
      <c r="BI242" s="9">
        <f t="shared" si="140"/>
        <v>19811.88</v>
      </c>
      <c r="BJ242" s="9">
        <f t="shared" si="141"/>
        <v>8587.81</v>
      </c>
      <c r="BK242" s="9">
        <f t="shared" si="142"/>
        <v>1677.62</v>
      </c>
      <c r="BL242" s="9">
        <f t="shared" si="143"/>
        <v>11104.24</v>
      </c>
      <c r="BM242" s="9">
        <f t="shared" si="144"/>
        <v>1358.07</v>
      </c>
      <c r="BN242" s="9">
        <f t="shared" si="145"/>
        <v>0</v>
      </c>
      <c r="BO242" s="9">
        <f t="shared" si="146"/>
        <v>0</v>
      </c>
      <c r="BP242" s="9">
        <f t="shared" si="147"/>
        <v>958.64</v>
      </c>
      <c r="BQ242" s="9">
        <f t="shared" si="148"/>
        <v>559.21</v>
      </c>
      <c r="BR242" s="9">
        <f t="shared" si="149"/>
        <v>3155.52</v>
      </c>
      <c r="BS242" s="9">
        <f t="shared" si="150"/>
        <v>1358.07</v>
      </c>
      <c r="BT242" s="9">
        <f t="shared" si="151"/>
        <v>279.60000000000002</v>
      </c>
      <c r="BU242" s="9">
        <f t="shared" si="152"/>
        <v>14299.7</v>
      </c>
      <c r="BV242" s="9">
        <f t="shared" si="153"/>
        <v>519.26</v>
      </c>
      <c r="BW242" s="9">
        <f t="shared" si="154"/>
        <v>7109.91</v>
      </c>
      <c r="BX242" s="9">
        <f t="shared" si="155"/>
        <v>7908.77</v>
      </c>
      <c r="BY242" s="17">
        <f t="shared" si="156"/>
        <v>80725.41</v>
      </c>
      <c r="BZ242" s="17">
        <v>2.1</v>
      </c>
      <c r="CA242" s="17">
        <v>0.06</v>
      </c>
      <c r="CB242" s="17">
        <v>0.33</v>
      </c>
      <c r="CC242" s="27">
        <v>0.06</v>
      </c>
      <c r="CD242" s="29" t="s">
        <v>739</v>
      </c>
      <c r="CE242" s="9">
        <v>1886.89</v>
      </c>
      <c r="CF242" s="9"/>
      <c r="CG242" s="9">
        <v>332.28</v>
      </c>
      <c r="CH242" s="9">
        <v>231.36</v>
      </c>
      <c r="CI242" s="9">
        <f>IF(CE242&gt;0,CE242/AB242,0)</f>
        <v>0.47</v>
      </c>
      <c r="CJ242" s="9">
        <f>IF(CF242&gt;0,CF242/AB242,0)</f>
        <v>0</v>
      </c>
      <c r="CK242" s="13">
        <f>IF(CG242&gt;0,CG242/AB242,0)</f>
        <v>0.08</v>
      </c>
      <c r="CL242" s="13">
        <f>IF(CH242&gt;0,CH242/AB242,0)</f>
        <v>0.06</v>
      </c>
      <c r="CM242" s="13">
        <v>80725.490000000005</v>
      </c>
      <c r="CN242" s="13">
        <v>1877.37</v>
      </c>
      <c r="CO242" s="13">
        <v>0</v>
      </c>
      <c r="CP242" s="13">
        <v>0</v>
      </c>
      <c r="CQ242" s="13">
        <v>119.76</v>
      </c>
      <c r="CR242" s="13">
        <v>83677.179999999993</v>
      </c>
      <c r="CS242" s="13">
        <v>2364.39</v>
      </c>
      <c r="CT242" s="13">
        <v>192.58</v>
      </c>
      <c r="CU242" s="13">
        <v>78.23</v>
      </c>
      <c r="CV242" s="13">
        <v>152.71</v>
      </c>
      <c r="CW242" s="202">
        <v>3480</v>
      </c>
      <c r="CX242" s="200">
        <v>1996</v>
      </c>
      <c r="CY242" s="202"/>
      <c r="CZ242" s="202"/>
      <c r="DA242" s="202"/>
      <c r="DB242" s="202"/>
      <c r="DC242" s="202"/>
      <c r="DD242" s="461"/>
      <c r="DE242" s="256"/>
      <c r="DF242" s="202"/>
      <c r="DG242" s="202"/>
      <c r="DH242" s="202"/>
      <c r="DI242" s="204">
        <v>1344</v>
      </c>
      <c r="DJ242" s="202"/>
      <c r="DK242" s="202"/>
      <c r="DL242" s="202"/>
      <c r="DM242" s="202">
        <v>22279</v>
      </c>
      <c r="DN242" s="202">
        <v>1139</v>
      </c>
      <c r="DO242" s="202">
        <v>0.67</v>
      </c>
      <c r="DP242" s="202"/>
      <c r="DQ242" s="202"/>
      <c r="DR242" s="202"/>
      <c r="DS242" s="202">
        <v>12015</v>
      </c>
      <c r="DT242" s="254">
        <v>423</v>
      </c>
      <c r="DU242" s="254">
        <v>144</v>
      </c>
      <c r="DV242" s="202"/>
      <c r="DW242" s="202">
        <v>18460</v>
      </c>
      <c r="DX242" s="202"/>
      <c r="DY242" s="107">
        <v>1365</v>
      </c>
      <c r="DZ242" s="107">
        <v>942</v>
      </c>
      <c r="EA242" s="202"/>
      <c r="EB242" s="202"/>
      <c r="EC242" s="202"/>
      <c r="ED242" s="202"/>
      <c r="EE242" s="202"/>
      <c r="EF242" s="229"/>
      <c r="EG242" s="202"/>
      <c r="EH242" s="202"/>
      <c r="EI242" s="202"/>
      <c r="EJ242" s="202"/>
      <c r="EK242" s="202">
        <v>1886.89</v>
      </c>
      <c r="EL242" s="202">
        <v>0</v>
      </c>
      <c r="EM242" s="202">
        <v>0</v>
      </c>
      <c r="EN242" s="202">
        <v>115.97</v>
      </c>
      <c r="EO242" s="202">
        <v>1886.89</v>
      </c>
      <c r="EP242" s="202"/>
      <c r="EQ242" s="202">
        <v>0</v>
      </c>
      <c r="ER242" s="202">
        <v>115.97</v>
      </c>
      <c r="ES242" s="202"/>
      <c r="ET242" s="202"/>
      <c r="EU242" s="202"/>
      <c r="EV242" s="214">
        <v>-6.01</v>
      </c>
      <c r="EW242" s="240">
        <f t="shared" si="157"/>
        <v>8736.24</v>
      </c>
      <c r="EX242" s="209">
        <f t="shared" si="158"/>
        <v>5686.01</v>
      </c>
    </row>
    <row r="243" spans="1:154" ht="12.75" customHeight="1" x14ac:dyDescent="0.2">
      <c r="A243" s="4" t="s">
        <v>336</v>
      </c>
      <c r="B243" s="117" t="s">
        <v>299</v>
      </c>
      <c r="C243" s="118" t="s">
        <v>46</v>
      </c>
      <c r="D243" s="119" t="s">
        <v>589</v>
      </c>
      <c r="E243" s="118" t="s">
        <v>30</v>
      </c>
      <c r="F243" s="11">
        <v>5</v>
      </c>
      <c r="G243" s="11">
        <v>6</v>
      </c>
      <c r="H243" s="11">
        <v>90</v>
      </c>
      <c r="I243" s="11">
        <v>0</v>
      </c>
      <c r="J243" s="11">
        <v>188</v>
      </c>
      <c r="K243" s="11">
        <v>219</v>
      </c>
      <c r="L243" s="11" t="s">
        <v>746</v>
      </c>
      <c r="M243" s="84">
        <v>322</v>
      </c>
      <c r="N243" s="84">
        <v>1010</v>
      </c>
      <c r="O243" s="84">
        <v>0</v>
      </c>
      <c r="P243" s="139">
        <v>322</v>
      </c>
      <c r="Q243" s="139">
        <v>1010</v>
      </c>
      <c r="R243" s="139">
        <v>0</v>
      </c>
      <c r="S243" s="133">
        <f t="shared" si="159"/>
        <v>1332</v>
      </c>
      <c r="T243" s="139">
        <v>412</v>
      </c>
      <c r="U243" s="130">
        <v>1.53</v>
      </c>
      <c r="V243" s="131">
        <v>1.9800000000000002E-2</v>
      </c>
      <c r="W243" s="131">
        <v>1.9800000000000002E-2</v>
      </c>
      <c r="X243" s="132">
        <v>1.2199999999999999E-3</v>
      </c>
      <c r="Y243" s="131">
        <v>3.95E-2</v>
      </c>
      <c r="Z243" s="29">
        <v>3974.46</v>
      </c>
      <c r="AA243" s="34"/>
      <c r="AB243" s="9">
        <f t="shared" si="176"/>
        <v>3974.46</v>
      </c>
      <c r="AC243" s="9">
        <f>SUM(AB243*6.33)</f>
        <v>25158.33</v>
      </c>
      <c r="AD243" s="9">
        <v>0.52</v>
      </c>
      <c r="AE243" s="9">
        <v>3.59</v>
      </c>
      <c r="AF243" s="21">
        <f>2.48-AJ243</f>
        <v>2.2400000000000002</v>
      </c>
      <c r="AG243" s="18">
        <f>0.56-AQ243</f>
        <v>0.45</v>
      </c>
      <c r="AH243" s="9">
        <v>2.78</v>
      </c>
      <c r="AI243" s="43">
        <v>970</v>
      </c>
      <c r="AJ243" s="21">
        <f t="shared" si="178"/>
        <v>0.24</v>
      </c>
      <c r="AK243" s="9">
        <v>0</v>
      </c>
      <c r="AL243" s="9">
        <v>0</v>
      </c>
      <c r="AM243" s="9">
        <v>0.24</v>
      </c>
      <c r="AN243" s="13"/>
      <c r="AO243" s="13">
        <v>901.8</v>
      </c>
      <c r="AP243" s="13">
        <f t="shared" si="161"/>
        <v>5.58</v>
      </c>
      <c r="AQ243" s="18">
        <f t="shared" si="179"/>
        <v>0.11</v>
      </c>
      <c r="AR243" s="9">
        <v>0.79</v>
      </c>
      <c r="AS243" s="9">
        <v>0.37</v>
      </c>
      <c r="AT243" s="9">
        <v>7.0000000000000007E-2</v>
      </c>
      <c r="AU243" s="9">
        <v>4.95</v>
      </c>
      <c r="AV243" s="9">
        <v>0.12</v>
      </c>
      <c r="AW243" s="9">
        <f>1.02+0.32+0.41</f>
        <v>1.75</v>
      </c>
      <c r="AX243" s="9">
        <f>1.4+0.58</f>
        <v>1.98</v>
      </c>
      <c r="AY243" s="120">
        <f t="shared" si="162"/>
        <v>20.2</v>
      </c>
      <c r="AZ243" s="121">
        <v>3974.1</v>
      </c>
      <c r="BA243" s="121">
        <v>0</v>
      </c>
      <c r="BB243" s="121">
        <f t="shared" si="177"/>
        <v>3974.1</v>
      </c>
      <c r="BC243" s="121">
        <v>20.2</v>
      </c>
      <c r="BD243" s="13">
        <f t="shared" si="160"/>
        <v>0</v>
      </c>
      <c r="BE243" s="9">
        <f t="shared" si="138"/>
        <v>80284.09</v>
      </c>
      <c r="BF243" s="9">
        <v>20.2</v>
      </c>
      <c r="BG243" s="10">
        <v>44409</v>
      </c>
      <c r="BH243" s="9">
        <f t="shared" si="139"/>
        <v>2066.7199999999998</v>
      </c>
      <c r="BI243" s="9">
        <f t="shared" si="140"/>
        <v>14268.31</v>
      </c>
      <c r="BJ243" s="9">
        <f t="shared" si="141"/>
        <v>8902.7900000000009</v>
      </c>
      <c r="BK243" s="9">
        <f t="shared" si="142"/>
        <v>1788.51</v>
      </c>
      <c r="BL243" s="9">
        <f t="shared" si="143"/>
        <v>11049</v>
      </c>
      <c r="BM243" s="9">
        <f t="shared" si="144"/>
        <v>953.87</v>
      </c>
      <c r="BN243" s="9">
        <f t="shared" si="145"/>
        <v>0</v>
      </c>
      <c r="BO243" s="9">
        <f t="shared" si="146"/>
        <v>0</v>
      </c>
      <c r="BP243" s="9">
        <f t="shared" si="147"/>
        <v>953.87</v>
      </c>
      <c r="BQ243" s="9">
        <f t="shared" si="148"/>
        <v>437.19</v>
      </c>
      <c r="BR243" s="9">
        <f t="shared" si="149"/>
        <v>3139.82</v>
      </c>
      <c r="BS243" s="9">
        <f t="shared" si="150"/>
        <v>1470.55</v>
      </c>
      <c r="BT243" s="9">
        <f t="shared" si="151"/>
        <v>278.20999999999998</v>
      </c>
      <c r="BU243" s="9">
        <f t="shared" si="152"/>
        <v>19673.580000000002</v>
      </c>
      <c r="BV243" s="9">
        <f t="shared" si="153"/>
        <v>476.94</v>
      </c>
      <c r="BW243" s="9">
        <f t="shared" si="154"/>
        <v>6955.31</v>
      </c>
      <c r="BX243" s="9">
        <f t="shared" si="155"/>
        <v>7869.43</v>
      </c>
      <c r="BY243" s="17">
        <f t="shared" si="156"/>
        <v>80284.100000000006</v>
      </c>
      <c r="BZ243" s="17">
        <v>2.11</v>
      </c>
      <c r="CA243" s="17">
        <v>0.06</v>
      </c>
      <c r="CB243" s="17">
        <v>0.33</v>
      </c>
      <c r="CC243" s="27">
        <v>0.06</v>
      </c>
      <c r="CD243" s="29">
        <v>6.33</v>
      </c>
      <c r="CE243" s="9">
        <v>301.57</v>
      </c>
      <c r="CF243" s="9"/>
      <c r="CG243" s="9">
        <v>12485.09</v>
      </c>
      <c r="CH243" s="9">
        <v>6651.79</v>
      </c>
      <c r="CI243" s="9">
        <f>IF(CE243&gt;0,CE243/AB243,0)</f>
        <v>0.08</v>
      </c>
      <c r="CJ243" s="9">
        <f>IF(CF243&gt;0,CF243/AB243,0)</f>
        <v>0</v>
      </c>
      <c r="CK243" s="13">
        <f>IF(CG243&gt;0,CG243/AB243,0)</f>
        <v>3.14</v>
      </c>
      <c r="CL243" s="13">
        <f>IF(CH243&gt;0,CH243/AB243,0)</f>
        <v>1.67</v>
      </c>
      <c r="CM243" s="13">
        <v>95486.69</v>
      </c>
      <c r="CN243" s="13">
        <v>4332.1000000000004</v>
      </c>
      <c r="CO243" s="13">
        <v>0</v>
      </c>
      <c r="CP243" s="13">
        <v>0</v>
      </c>
      <c r="CQ243" s="13">
        <v>119.23</v>
      </c>
      <c r="CR243" s="13">
        <v>80569.98</v>
      </c>
      <c r="CS243" s="13">
        <v>8525.7199999999993</v>
      </c>
      <c r="CT243" s="13">
        <v>271.49</v>
      </c>
      <c r="CU243" s="13">
        <v>1329.61</v>
      </c>
      <c r="CV243" s="13">
        <v>815.64</v>
      </c>
      <c r="CW243" s="202">
        <v>3463</v>
      </c>
      <c r="CX243" s="200">
        <v>1987</v>
      </c>
      <c r="CY243" s="202"/>
      <c r="CZ243" s="202"/>
      <c r="DA243" s="202"/>
      <c r="DB243" s="202"/>
      <c r="DC243" s="202"/>
      <c r="DD243" s="461"/>
      <c r="DE243" s="256"/>
      <c r="DF243" s="202"/>
      <c r="DG243" s="202"/>
      <c r="DH243" s="202"/>
      <c r="DI243" s="204">
        <v>970</v>
      </c>
      <c r="DJ243" s="202"/>
      <c r="DK243" s="202"/>
      <c r="DL243" s="202"/>
      <c r="DM243" s="202">
        <v>16708</v>
      </c>
      <c r="DN243" s="202">
        <v>1139</v>
      </c>
      <c r="DO243" s="202">
        <v>0.67</v>
      </c>
      <c r="DP243" s="202"/>
      <c r="DQ243" s="202"/>
      <c r="DR243" s="202"/>
      <c r="DS243" s="202">
        <v>8845</v>
      </c>
      <c r="DT243" s="254">
        <v>311</v>
      </c>
      <c r="DU243" s="254">
        <v>107</v>
      </c>
      <c r="DV243" s="202"/>
      <c r="DW243" s="202">
        <v>18320</v>
      </c>
      <c r="DX243" s="202"/>
      <c r="DY243" s="107">
        <v>1365</v>
      </c>
      <c r="DZ243" s="107">
        <v>942</v>
      </c>
      <c r="EA243" s="202">
        <f>14020.48+127678.13</f>
        <v>141698.60999999999</v>
      </c>
      <c r="EB243" s="202"/>
      <c r="EC243" s="202"/>
      <c r="ED243" s="202"/>
      <c r="EE243" s="202"/>
      <c r="EF243" s="229"/>
      <c r="EG243" s="202"/>
      <c r="EH243" s="202"/>
      <c r="EI243" s="202"/>
      <c r="EJ243" s="202"/>
      <c r="EK243" s="202">
        <v>4335.79</v>
      </c>
      <c r="EL243" s="202">
        <v>0</v>
      </c>
      <c r="EM243" s="202">
        <v>0</v>
      </c>
      <c r="EN243" s="202">
        <v>115.41</v>
      </c>
      <c r="EO243" s="202">
        <v>4335.79</v>
      </c>
      <c r="EP243" s="202"/>
      <c r="EQ243" s="202">
        <v>0</v>
      </c>
      <c r="ER243" s="202">
        <v>115.41</v>
      </c>
      <c r="ES243" s="202"/>
      <c r="ET243" s="202"/>
      <c r="EU243" s="202"/>
      <c r="EV243" s="214">
        <f>-5.97+19086.61</f>
        <v>19080.64</v>
      </c>
      <c r="EW243" s="240">
        <f t="shared" si="157"/>
        <v>8692.7800000000007</v>
      </c>
      <c r="EX243" s="209">
        <f t="shared" si="158"/>
        <v>5657.72</v>
      </c>
    </row>
    <row r="244" spans="1:154" ht="12.75" customHeight="1" x14ac:dyDescent="0.2">
      <c r="A244" s="4" t="s">
        <v>337</v>
      </c>
      <c r="B244" s="99" t="s">
        <v>299</v>
      </c>
      <c r="C244" s="100" t="s">
        <v>67</v>
      </c>
      <c r="D244" s="101" t="s">
        <v>509</v>
      </c>
      <c r="E244" s="100" t="s">
        <v>12</v>
      </c>
      <c r="F244" s="11">
        <v>9</v>
      </c>
      <c r="G244" s="11">
        <v>4</v>
      </c>
      <c r="H244" s="11">
        <v>144</v>
      </c>
      <c r="I244" s="11">
        <v>145</v>
      </c>
      <c r="J244" s="11">
        <v>314</v>
      </c>
      <c r="K244" s="11">
        <v>391</v>
      </c>
      <c r="L244" s="83">
        <v>4</v>
      </c>
      <c r="M244" s="84">
        <v>1170</v>
      </c>
      <c r="N244" s="84">
        <v>1000</v>
      </c>
      <c r="O244" s="84">
        <v>0</v>
      </c>
      <c r="P244" s="135">
        <v>984.4</v>
      </c>
      <c r="Q244" s="135">
        <v>1196</v>
      </c>
      <c r="R244" s="133">
        <v>0</v>
      </c>
      <c r="S244" s="133">
        <f t="shared" si="159"/>
        <v>2180.4</v>
      </c>
      <c r="T244" s="134">
        <v>984.3</v>
      </c>
      <c r="U244" s="130">
        <v>2.44</v>
      </c>
      <c r="V244" s="131">
        <v>1.9800000000000002E-2</v>
      </c>
      <c r="W244" s="131">
        <v>1.9800000000000002E-2</v>
      </c>
      <c r="X244" s="132">
        <v>1.32E-3</v>
      </c>
      <c r="Y244" s="131">
        <v>3.9699999999999999E-2</v>
      </c>
      <c r="Z244" s="29">
        <v>7707.17</v>
      </c>
      <c r="AA244" s="34"/>
      <c r="AB244" s="9">
        <f t="shared" si="176"/>
        <v>7707.17</v>
      </c>
      <c r="AC244" s="9">
        <f>SUM(AB244*6.33)</f>
        <v>48786.39</v>
      </c>
      <c r="AD244" s="9">
        <v>1.05</v>
      </c>
      <c r="AE244" s="9">
        <v>2.59</v>
      </c>
      <c r="AF244" s="21">
        <f>1.52-AJ244</f>
        <v>1.4</v>
      </c>
      <c r="AG244" s="18">
        <f>0.39-AQ244</f>
        <v>0.34</v>
      </c>
      <c r="AH244" s="9">
        <v>1.8</v>
      </c>
      <c r="AI244" s="43">
        <v>960</v>
      </c>
      <c r="AJ244" s="21">
        <f t="shared" si="178"/>
        <v>0.12</v>
      </c>
      <c r="AK244" s="9">
        <v>1.5</v>
      </c>
      <c r="AL244" s="9">
        <v>0.4</v>
      </c>
      <c r="AM244" s="9">
        <v>0.05</v>
      </c>
      <c r="AN244" s="13"/>
      <c r="AO244" s="13">
        <v>844.8</v>
      </c>
      <c r="AP244" s="13">
        <f t="shared" si="161"/>
        <v>5.58</v>
      </c>
      <c r="AQ244" s="18">
        <f t="shared" si="179"/>
        <v>0.05</v>
      </c>
      <c r="AR244" s="9">
        <v>0.37</v>
      </c>
      <c r="AS244" s="9">
        <v>0.11</v>
      </c>
      <c r="AT244" s="9">
        <v>0.04</v>
      </c>
      <c r="AU244" s="9">
        <v>2.95</v>
      </c>
      <c r="AV244" s="9">
        <v>0.09</v>
      </c>
      <c r="AW244" s="9">
        <f>0.87+0.17+0.28</f>
        <v>1.32</v>
      </c>
      <c r="AX244" s="9">
        <f>1.23+0.38</f>
        <v>1.61</v>
      </c>
      <c r="AY244" s="102">
        <f t="shared" si="162"/>
        <v>15.79</v>
      </c>
      <c r="AZ244" s="103">
        <v>7681.5</v>
      </c>
      <c r="BA244" s="103">
        <v>0</v>
      </c>
      <c r="BB244" s="103">
        <f t="shared" si="177"/>
        <v>7681.5</v>
      </c>
      <c r="BC244" s="103">
        <v>15.79</v>
      </c>
      <c r="BD244" s="13">
        <f t="shared" si="160"/>
        <v>0</v>
      </c>
      <c r="BE244" s="9">
        <f t="shared" si="138"/>
        <v>121696.21</v>
      </c>
      <c r="BF244" s="9">
        <v>15.79</v>
      </c>
      <c r="BG244" s="10">
        <v>44409</v>
      </c>
      <c r="BH244" s="9">
        <f t="shared" si="139"/>
        <v>8092.53</v>
      </c>
      <c r="BI244" s="9">
        <f t="shared" si="140"/>
        <v>19961.57</v>
      </c>
      <c r="BJ244" s="9">
        <f t="shared" si="141"/>
        <v>10790.04</v>
      </c>
      <c r="BK244" s="9">
        <f t="shared" si="142"/>
        <v>2620.44</v>
      </c>
      <c r="BL244" s="9">
        <f t="shared" si="143"/>
        <v>13872.91</v>
      </c>
      <c r="BM244" s="9">
        <f t="shared" si="144"/>
        <v>924.86</v>
      </c>
      <c r="BN244" s="9">
        <f t="shared" si="145"/>
        <v>11560.76</v>
      </c>
      <c r="BO244" s="9">
        <f t="shared" si="146"/>
        <v>3082.87</v>
      </c>
      <c r="BP244" s="9">
        <f t="shared" si="147"/>
        <v>385.36</v>
      </c>
      <c r="BQ244" s="9">
        <f t="shared" si="148"/>
        <v>385.36</v>
      </c>
      <c r="BR244" s="9">
        <f t="shared" si="149"/>
        <v>2851.65</v>
      </c>
      <c r="BS244" s="9">
        <f t="shared" si="150"/>
        <v>847.79</v>
      </c>
      <c r="BT244" s="9">
        <f t="shared" si="151"/>
        <v>308.29000000000002</v>
      </c>
      <c r="BU244" s="9">
        <f t="shared" si="152"/>
        <v>22736.15</v>
      </c>
      <c r="BV244" s="9">
        <f t="shared" si="153"/>
        <v>693.65</v>
      </c>
      <c r="BW244" s="9">
        <f t="shared" si="154"/>
        <v>10173.459999999999</v>
      </c>
      <c r="BX244" s="9">
        <f t="shared" si="155"/>
        <v>12408.54</v>
      </c>
      <c r="BY244" s="17">
        <f t="shared" si="156"/>
        <v>121696.23</v>
      </c>
      <c r="BZ244" s="17">
        <v>2.41</v>
      </c>
      <c r="CA244" s="17">
        <v>7.0000000000000007E-2</v>
      </c>
      <c r="CB244" s="17">
        <v>0.43</v>
      </c>
      <c r="CC244" s="27">
        <v>7.0000000000000007E-2</v>
      </c>
      <c r="CD244" s="29" t="s">
        <v>739</v>
      </c>
      <c r="CE244" s="9">
        <v>0</v>
      </c>
      <c r="CF244" s="9"/>
      <c r="CG244" s="9">
        <v>7107.31</v>
      </c>
      <c r="CH244" s="9">
        <v>3996.66</v>
      </c>
      <c r="CI244" s="9">
        <f>IF(CE244&gt;0,CE244/AB244,0)</f>
        <v>0</v>
      </c>
      <c r="CJ244" s="9">
        <f>IF(CF244&gt;0,CF244/AB244,0)</f>
        <v>0</v>
      </c>
      <c r="CK244" s="13">
        <f>IF(CG244&gt;0,CG244/AB244,0)</f>
        <v>0.92</v>
      </c>
      <c r="CL244" s="13">
        <f>IF(CH244&gt;0,CH244/AB244,0)</f>
        <v>0.52</v>
      </c>
      <c r="CM244" s="13">
        <v>121684.48</v>
      </c>
      <c r="CN244" s="13">
        <v>-1.81</v>
      </c>
      <c r="CO244" s="13">
        <v>-0.32</v>
      </c>
      <c r="CP244" s="13">
        <v>8322.86</v>
      </c>
      <c r="CQ244" s="13">
        <v>4623.79</v>
      </c>
      <c r="CR244" s="13">
        <v>129773.75999999999</v>
      </c>
      <c r="CS244" s="13">
        <v>9202.77</v>
      </c>
      <c r="CT244" s="13">
        <v>648.86</v>
      </c>
      <c r="CU244" s="13">
        <v>4285.76</v>
      </c>
      <c r="CV244" s="13">
        <v>2526.9</v>
      </c>
      <c r="CW244" s="202">
        <v>6713</v>
      </c>
      <c r="CX244" s="200">
        <v>3851</v>
      </c>
      <c r="CY244" s="202"/>
      <c r="CZ244" s="202"/>
      <c r="DA244" s="202"/>
      <c r="DB244" s="202"/>
      <c r="DC244" s="202"/>
      <c r="DD244" s="461"/>
      <c r="DE244" s="256"/>
      <c r="DF244" s="202"/>
      <c r="DG244" s="202"/>
      <c r="DH244" s="202"/>
      <c r="DI244" s="204">
        <v>960</v>
      </c>
      <c r="DJ244" s="202">
        <f>17200-277.42</f>
        <v>16922.580000000002</v>
      </c>
      <c r="DK244" s="202"/>
      <c r="DL244" s="202"/>
      <c r="DM244" s="202">
        <v>22115</v>
      </c>
      <c r="DN244" s="202">
        <v>1139</v>
      </c>
      <c r="DO244" s="258">
        <v>0.67</v>
      </c>
      <c r="DP244" s="202"/>
      <c r="DQ244" s="202"/>
      <c r="DR244" s="202"/>
      <c r="DS244" s="202"/>
      <c r="DT244" s="254"/>
      <c r="DU244" s="254"/>
      <c r="DV244" s="202"/>
      <c r="DW244" s="202">
        <v>16684</v>
      </c>
      <c r="DX244" s="202"/>
      <c r="DY244" s="107"/>
      <c r="DZ244" s="107">
        <v>577</v>
      </c>
      <c r="EA244" s="202"/>
      <c r="EB244" s="202"/>
      <c r="EC244" s="202"/>
      <c r="ED244" s="202"/>
      <c r="EE244" s="202"/>
      <c r="EF244" s="229"/>
      <c r="EG244" s="202"/>
      <c r="EH244" s="202"/>
      <c r="EI244" s="202"/>
      <c r="EJ244" s="202"/>
      <c r="EK244" s="202">
        <v>10973.18</v>
      </c>
      <c r="EL244" s="202">
        <v>0</v>
      </c>
      <c r="EM244" s="202">
        <v>8323.39</v>
      </c>
      <c r="EN244" s="202">
        <v>4633.32</v>
      </c>
      <c r="EO244" s="202">
        <v>10973.18</v>
      </c>
      <c r="EP244" s="202"/>
      <c r="EQ244" s="202">
        <v>8323.39</v>
      </c>
      <c r="ER244" s="202">
        <v>4633.32</v>
      </c>
      <c r="ES244" s="202"/>
      <c r="ET244" s="202"/>
      <c r="EU244" s="202"/>
      <c r="EV244" s="214">
        <v>1.56</v>
      </c>
      <c r="EW244" s="240">
        <f t="shared" si="157"/>
        <v>16856.810000000001</v>
      </c>
      <c r="EX244" s="209">
        <f t="shared" si="158"/>
        <v>10971.31</v>
      </c>
    </row>
    <row r="245" spans="1:154" ht="12.75" customHeight="1" x14ac:dyDescent="0.2">
      <c r="A245" s="4" t="s">
        <v>338</v>
      </c>
      <c r="B245" s="78" t="s">
        <v>299</v>
      </c>
      <c r="C245" s="79" t="s">
        <v>48</v>
      </c>
      <c r="D245" s="78" t="s">
        <v>510</v>
      </c>
      <c r="E245" s="79"/>
      <c r="F245" s="11">
        <v>9</v>
      </c>
      <c r="G245" s="11">
        <v>1</v>
      </c>
      <c r="H245" s="11">
        <v>54</v>
      </c>
      <c r="I245" s="11">
        <v>55</v>
      </c>
      <c r="J245" s="11">
        <v>97</v>
      </c>
      <c r="K245" s="11">
        <v>117</v>
      </c>
      <c r="L245" s="83">
        <v>1</v>
      </c>
      <c r="M245" s="84">
        <v>252</v>
      </c>
      <c r="N245" s="84">
        <v>387</v>
      </c>
      <c r="O245" s="84">
        <v>387</v>
      </c>
      <c r="P245" s="139">
        <v>320.7</v>
      </c>
      <c r="Q245" s="135">
        <v>216.4</v>
      </c>
      <c r="R245" s="133">
        <v>364.5</v>
      </c>
      <c r="S245" s="133">
        <f t="shared" si="159"/>
        <v>901.6</v>
      </c>
      <c r="T245" s="139">
        <v>252</v>
      </c>
      <c r="U245" s="130">
        <v>2.72</v>
      </c>
      <c r="V245" s="131">
        <v>1.21E-2</v>
      </c>
      <c r="W245" s="131">
        <v>1.9800000000000002E-2</v>
      </c>
      <c r="X245" s="132">
        <v>1.2700000000000001E-3</v>
      </c>
      <c r="Y245" s="131">
        <v>1.21E-2</v>
      </c>
      <c r="Z245" s="29">
        <v>2298.6</v>
      </c>
      <c r="AA245" s="34"/>
      <c r="AB245" s="9">
        <f t="shared" si="176"/>
        <v>2298.6</v>
      </c>
      <c r="AC245" s="9">
        <f>SUM(AB245*6.33)</f>
        <v>14550.14</v>
      </c>
      <c r="AD245" s="9">
        <v>1.51</v>
      </c>
      <c r="AE245" s="9">
        <v>4.58</v>
      </c>
      <c r="AF245" s="21">
        <f>2.49-AJ245</f>
        <v>2.33</v>
      </c>
      <c r="AG245" s="18">
        <f>0.6-AQ245</f>
        <v>0.54</v>
      </c>
      <c r="AH245" s="19">
        <f>2.77+0.22+0.32</f>
        <v>3.31</v>
      </c>
      <c r="AI245" s="43">
        <v>372</v>
      </c>
      <c r="AJ245" s="21">
        <f t="shared" si="178"/>
        <v>0.16</v>
      </c>
      <c r="AK245" s="9">
        <v>1.88</v>
      </c>
      <c r="AL245" s="9">
        <v>0.16</v>
      </c>
      <c r="AM245" s="9">
        <v>0.25</v>
      </c>
      <c r="AN245" s="13"/>
      <c r="AO245" s="13">
        <v>305.89999999999998</v>
      </c>
      <c r="AP245" s="13">
        <f t="shared" si="161"/>
        <v>5.58</v>
      </c>
      <c r="AQ245" s="18">
        <f t="shared" si="179"/>
        <v>0.06</v>
      </c>
      <c r="AR245" s="9">
        <v>0.72</v>
      </c>
      <c r="AS245" s="9">
        <v>0.6</v>
      </c>
      <c r="AT245" s="9">
        <v>7.0000000000000007E-2</v>
      </c>
      <c r="AU245" s="9">
        <v>3.69</v>
      </c>
      <c r="AV245" s="9">
        <v>0.17</v>
      </c>
      <c r="AW245" s="9">
        <f>1.45+0.33+0.34</f>
        <v>2.12</v>
      </c>
      <c r="AX245" s="9">
        <f>2.04+0.43</f>
        <v>2.4700000000000002</v>
      </c>
      <c r="AY245" s="81">
        <f t="shared" si="162"/>
        <v>24.62</v>
      </c>
      <c r="AZ245" s="82"/>
      <c r="BA245" s="82"/>
      <c r="BB245" s="82"/>
      <c r="BC245" s="82">
        <v>24.62</v>
      </c>
      <c r="BD245" s="13">
        <f t="shared" si="160"/>
        <v>0</v>
      </c>
      <c r="BE245" s="9">
        <f t="shared" si="138"/>
        <v>56591.53</v>
      </c>
      <c r="BF245" s="9">
        <v>24.62</v>
      </c>
      <c r="BG245" s="10">
        <v>44440</v>
      </c>
      <c r="BH245" s="9">
        <f t="shared" si="139"/>
        <v>3470.89</v>
      </c>
      <c r="BI245" s="9">
        <f t="shared" si="140"/>
        <v>10527.59</v>
      </c>
      <c r="BJ245" s="9">
        <f t="shared" si="141"/>
        <v>5355.74</v>
      </c>
      <c r="BK245" s="9">
        <f t="shared" si="142"/>
        <v>1241.24</v>
      </c>
      <c r="BL245" s="9">
        <f t="shared" si="143"/>
        <v>7608.37</v>
      </c>
      <c r="BM245" s="9">
        <f t="shared" si="144"/>
        <v>367.78</v>
      </c>
      <c r="BN245" s="9">
        <f t="shared" si="145"/>
        <v>4321.37</v>
      </c>
      <c r="BO245" s="9">
        <f t="shared" si="146"/>
        <v>367.78</v>
      </c>
      <c r="BP245" s="9">
        <f t="shared" si="147"/>
        <v>574.65</v>
      </c>
      <c r="BQ245" s="9">
        <f t="shared" si="148"/>
        <v>137.91999999999999</v>
      </c>
      <c r="BR245" s="9">
        <f t="shared" si="149"/>
        <v>1654.99</v>
      </c>
      <c r="BS245" s="9">
        <f t="shared" si="150"/>
        <v>1379.16</v>
      </c>
      <c r="BT245" s="9">
        <f t="shared" si="151"/>
        <v>160.9</v>
      </c>
      <c r="BU245" s="9">
        <f t="shared" si="152"/>
        <v>8481.83</v>
      </c>
      <c r="BV245" s="9">
        <f t="shared" si="153"/>
        <v>390.76</v>
      </c>
      <c r="BW245" s="9">
        <f t="shared" si="154"/>
        <v>4873.03</v>
      </c>
      <c r="BX245" s="9">
        <f t="shared" si="155"/>
        <v>5677.54</v>
      </c>
      <c r="BY245" s="17">
        <f t="shared" si="156"/>
        <v>56591.54</v>
      </c>
      <c r="BZ245" s="17">
        <v>4.47</v>
      </c>
      <c r="CA245" s="17">
        <v>0.06</v>
      </c>
      <c r="CB245" s="17">
        <v>0.36</v>
      </c>
      <c r="CC245" s="27">
        <v>0.06</v>
      </c>
      <c r="CD245" s="29">
        <v>6.33</v>
      </c>
      <c r="CE245" s="9"/>
      <c r="CF245" s="9"/>
      <c r="CG245" s="9"/>
      <c r="CH245" s="9"/>
      <c r="CI245" s="9"/>
      <c r="CJ245" s="9"/>
      <c r="CK245" s="13"/>
      <c r="CL245" s="13"/>
      <c r="CM245" s="13">
        <v>56611.21</v>
      </c>
      <c r="CN245" s="13">
        <v>2943.25</v>
      </c>
      <c r="CO245" s="13">
        <v>0</v>
      </c>
      <c r="CP245" s="13">
        <v>942.76</v>
      </c>
      <c r="CQ245" s="13">
        <v>505.85</v>
      </c>
      <c r="CR245" s="13">
        <v>54947.79</v>
      </c>
      <c r="CS245" s="13">
        <v>4262.6000000000004</v>
      </c>
      <c r="CT245" s="13">
        <v>160.38</v>
      </c>
      <c r="CU245" s="13">
        <v>389.85</v>
      </c>
      <c r="CV245" s="13">
        <v>218.78</v>
      </c>
      <c r="CW245" s="202">
        <v>2003</v>
      </c>
      <c r="CX245" s="200">
        <v>1149</v>
      </c>
      <c r="CY245" s="202"/>
      <c r="CZ245" s="202"/>
      <c r="DA245" s="202"/>
      <c r="DB245" s="202"/>
      <c r="DC245" s="202"/>
      <c r="DD245" s="461"/>
      <c r="DE245" s="256"/>
      <c r="DF245" s="202"/>
      <c r="DG245" s="202"/>
      <c r="DH245" s="202"/>
      <c r="DI245" s="204">
        <v>372</v>
      </c>
      <c r="DJ245" s="202">
        <v>4300</v>
      </c>
      <c r="DK245" s="202"/>
      <c r="DL245" s="202">
        <v>4500</v>
      </c>
      <c r="DM245" s="202">
        <v>14207</v>
      </c>
      <c r="DN245" s="202">
        <v>1139</v>
      </c>
      <c r="DO245" s="202">
        <v>0.67</v>
      </c>
      <c r="DP245" s="202"/>
      <c r="DQ245" s="202"/>
      <c r="DR245" s="202"/>
      <c r="DS245" s="202"/>
      <c r="DT245" s="254"/>
      <c r="DU245" s="254"/>
      <c r="DV245" s="202"/>
      <c r="DW245" s="202">
        <v>11000</v>
      </c>
      <c r="DX245" s="202"/>
      <c r="DY245" s="107"/>
      <c r="DZ245" s="107">
        <v>577</v>
      </c>
      <c r="EA245" s="202"/>
      <c r="EB245" s="202"/>
      <c r="EC245" s="202"/>
      <c r="ED245" s="202"/>
      <c r="EE245" s="202"/>
      <c r="EF245" s="229"/>
      <c r="EG245" s="202"/>
      <c r="EH245" s="202"/>
      <c r="EI245" s="202"/>
      <c r="EJ245" s="202"/>
      <c r="EK245" s="202">
        <v>2937.61</v>
      </c>
      <c r="EL245" s="202">
        <v>0</v>
      </c>
      <c r="EM245" s="202">
        <v>945.84</v>
      </c>
      <c r="EN245" s="202">
        <v>495.18</v>
      </c>
      <c r="EO245" s="202">
        <v>2937.61</v>
      </c>
      <c r="EP245" s="202"/>
      <c r="EQ245" s="202">
        <v>945.84</v>
      </c>
      <c r="ER245" s="202">
        <v>495.18</v>
      </c>
      <c r="ES245" s="202"/>
      <c r="ET245" s="202"/>
      <c r="EU245" s="202"/>
      <c r="EV245" s="214">
        <v>-0.9</v>
      </c>
      <c r="EW245" s="240">
        <f t="shared" si="157"/>
        <v>5027.41</v>
      </c>
      <c r="EX245" s="209">
        <f t="shared" si="158"/>
        <v>3272.1</v>
      </c>
    </row>
    <row r="246" spans="1:154" ht="12.75" customHeight="1" x14ac:dyDescent="0.2">
      <c r="A246" s="4" t="s">
        <v>339</v>
      </c>
      <c r="B246" s="78" t="s">
        <v>299</v>
      </c>
      <c r="C246" s="79" t="s">
        <v>48</v>
      </c>
      <c r="D246" s="78" t="s">
        <v>669</v>
      </c>
      <c r="E246" s="79" t="s">
        <v>9</v>
      </c>
      <c r="F246" s="11">
        <v>9</v>
      </c>
      <c r="G246" s="11">
        <v>1</v>
      </c>
      <c r="H246" s="11">
        <v>54</v>
      </c>
      <c r="I246" s="11">
        <v>54</v>
      </c>
      <c r="J246" s="11">
        <v>88</v>
      </c>
      <c r="K246" s="11">
        <v>124</v>
      </c>
      <c r="L246" s="83">
        <v>1</v>
      </c>
      <c r="M246" s="84">
        <v>263</v>
      </c>
      <c r="N246" s="84">
        <v>387</v>
      </c>
      <c r="O246" s="84">
        <v>387</v>
      </c>
      <c r="P246" s="139">
        <v>263</v>
      </c>
      <c r="Q246" s="139">
        <v>387</v>
      </c>
      <c r="R246" s="139">
        <v>387</v>
      </c>
      <c r="S246" s="133">
        <f t="shared" si="159"/>
        <v>1037</v>
      </c>
      <c r="T246" s="135">
        <v>263</v>
      </c>
      <c r="U246" s="130">
        <v>2.72</v>
      </c>
      <c r="V246" s="131">
        <v>1.21E-2</v>
      </c>
      <c r="W246" s="131">
        <v>1.9800000000000002E-2</v>
      </c>
      <c r="X246" s="132">
        <v>1.2700000000000001E-3</v>
      </c>
      <c r="Y246" s="131">
        <v>1.21E-2</v>
      </c>
      <c r="Z246" s="29">
        <v>2321.5100000000002</v>
      </c>
      <c r="AA246" s="34"/>
      <c r="AB246" s="9">
        <f t="shared" si="176"/>
        <v>2321.5100000000002</v>
      </c>
      <c r="AC246" s="9">
        <f>SUM(AB246*6.33)</f>
        <v>14695.16</v>
      </c>
      <c r="AD246" s="9">
        <v>1.55</v>
      </c>
      <c r="AE246" s="9">
        <v>4.24</v>
      </c>
      <c r="AF246" s="21">
        <f>2.41-AJ246</f>
        <v>2.25</v>
      </c>
      <c r="AG246" s="18">
        <f>0.6-AQ246</f>
        <v>0.54</v>
      </c>
      <c r="AH246" s="19">
        <f>2.77+0.22+0.29</f>
        <v>3.28</v>
      </c>
      <c r="AI246" s="43">
        <v>372</v>
      </c>
      <c r="AJ246" s="21">
        <f t="shared" si="178"/>
        <v>0.16</v>
      </c>
      <c r="AK246" s="9">
        <v>1.86</v>
      </c>
      <c r="AL246" s="9">
        <v>0.16</v>
      </c>
      <c r="AM246" s="9">
        <v>0.25</v>
      </c>
      <c r="AN246" s="13"/>
      <c r="AO246" s="13">
        <v>305.89999999999998</v>
      </c>
      <c r="AP246" s="13">
        <f t="shared" si="161"/>
        <v>5.58</v>
      </c>
      <c r="AQ246" s="18">
        <f t="shared" si="179"/>
        <v>0.06</v>
      </c>
      <c r="AR246" s="9">
        <v>0.71</v>
      </c>
      <c r="AS246" s="9">
        <v>0.59</v>
      </c>
      <c r="AT246" s="9">
        <v>7.0000000000000007E-2</v>
      </c>
      <c r="AU246" s="9">
        <v>4.07</v>
      </c>
      <c r="AV246" s="9">
        <v>0.17</v>
      </c>
      <c r="AW246" s="9">
        <f>1.41+0.33+0.36</f>
        <v>2.1</v>
      </c>
      <c r="AX246" s="9">
        <f>1.99+0.49</f>
        <v>2.48</v>
      </c>
      <c r="AY246" s="81">
        <f t="shared" si="162"/>
        <v>24.54</v>
      </c>
      <c r="AZ246" s="82"/>
      <c r="BA246" s="82"/>
      <c r="BB246" s="82"/>
      <c r="BC246" s="82">
        <v>24.54</v>
      </c>
      <c r="BD246" s="13">
        <f t="shared" si="160"/>
        <v>0</v>
      </c>
      <c r="BE246" s="9">
        <f t="shared" si="138"/>
        <v>56969.86</v>
      </c>
      <c r="BF246" s="9">
        <v>24.54</v>
      </c>
      <c r="BG246" s="10">
        <v>44440</v>
      </c>
      <c r="BH246" s="9">
        <f t="shared" si="139"/>
        <v>3598.34</v>
      </c>
      <c r="BI246" s="9">
        <f t="shared" si="140"/>
        <v>9843.2000000000007</v>
      </c>
      <c r="BJ246" s="9">
        <f t="shared" si="141"/>
        <v>5223.3999999999996</v>
      </c>
      <c r="BK246" s="9">
        <f t="shared" si="142"/>
        <v>1253.6199999999999</v>
      </c>
      <c r="BL246" s="9">
        <f t="shared" si="143"/>
        <v>7614.55</v>
      </c>
      <c r="BM246" s="9">
        <f t="shared" si="144"/>
        <v>371.44</v>
      </c>
      <c r="BN246" s="9">
        <f t="shared" si="145"/>
        <v>4318.01</v>
      </c>
      <c r="BO246" s="9">
        <f t="shared" si="146"/>
        <v>371.44</v>
      </c>
      <c r="BP246" s="9">
        <f t="shared" si="147"/>
        <v>580.38</v>
      </c>
      <c r="BQ246" s="9">
        <f t="shared" si="148"/>
        <v>139.29</v>
      </c>
      <c r="BR246" s="9">
        <f t="shared" si="149"/>
        <v>1648.27</v>
      </c>
      <c r="BS246" s="9">
        <f t="shared" si="150"/>
        <v>1369.69</v>
      </c>
      <c r="BT246" s="9">
        <f t="shared" si="151"/>
        <v>162.51</v>
      </c>
      <c r="BU246" s="9">
        <f t="shared" si="152"/>
        <v>9448.5499999999993</v>
      </c>
      <c r="BV246" s="9">
        <f t="shared" si="153"/>
        <v>394.66</v>
      </c>
      <c r="BW246" s="9">
        <f t="shared" si="154"/>
        <v>4875.17</v>
      </c>
      <c r="BX246" s="9">
        <f t="shared" si="155"/>
        <v>5757.34</v>
      </c>
      <c r="BY246" s="17">
        <f t="shared" si="156"/>
        <v>56969.86</v>
      </c>
      <c r="BZ246" s="17">
        <v>4.51</v>
      </c>
      <c r="CA246" s="17">
        <v>0.06</v>
      </c>
      <c r="CB246" s="17">
        <v>0.37</v>
      </c>
      <c r="CC246" s="27">
        <v>0.06</v>
      </c>
      <c r="CD246" s="29">
        <v>6.33</v>
      </c>
      <c r="CE246" s="9"/>
      <c r="CF246" s="9"/>
      <c r="CG246" s="9"/>
      <c r="CH246" s="9"/>
      <c r="CI246" s="9"/>
      <c r="CJ246" s="9"/>
      <c r="CK246" s="13"/>
      <c r="CL246" s="13"/>
      <c r="CM246" s="13">
        <v>56969.87</v>
      </c>
      <c r="CN246" s="13">
        <v>0</v>
      </c>
      <c r="CO246" s="13">
        <v>0</v>
      </c>
      <c r="CP246" s="13">
        <v>0</v>
      </c>
      <c r="CQ246" s="13">
        <v>0</v>
      </c>
      <c r="CR246" s="13">
        <v>53677.63</v>
      </c>
      <c r="CS246" s="13">
        <v>2480.19</v>
      </c>
      <c r="CT246" s="13">
        <v>154.63</v>
      </c>
      <c r="CU246" s="13">
        <v>25.1</v>
      </c>
      <c r="CV246" s="13">
        <v>25.09</v>
      </c>
      <c r="CW246" s="202">
        <v>2022</v>
      </c>
      <c r="CX246" s="200">
        <v>1160</v>
      </c>
      <c r="CY246" s="202"/>
      <c r="CZ246" s="202"/>
      <c r="DA246" s="202"/>
      <c r="DB246" s="202"/>
      <c r="DC246" s="202"/>
      <c r="DD246" s="461"/>
      <c r="DE246" s="256"/>
      <c r="DF246" s="202"/>
      <c r="DG246" s="202"/>
      <c r="DH246" s="202"/>
      <c r="DI246" s="204">
        <v>372</v>
      </c>
      <c r="DJ246" s="202">
        <v>4300</v>
      </c>
      <c r="DK246" s="202"/>
      <c r="DL246" s="202">
        <v>4500</v>
      </c>
      <c r="DM246" s="202">
        <v>13683</v>
      </c>
      <c r="DN246" s="202">
        <v>1139</v>
      </c>
      <c r="DO246" s="202">
        <v>0.67</v>
      </c>
      <c r="DP246" s="202"/>
      <c r="DQ246" s="202"/>
      <c r="DR246" s="202"/>
      <c r="DS246" s="202"/>
      <c r="DT246" s="254"/>
      <c r="DU246" s="254"/>
      <c r="DV246" s="202"/>
      <c r="DW246" s="202">
        <v>10976</v>
      </c>
      <c r="DX246" s="202"/>
      <c r="DY246" s="107">
        <v>1365</v>
      </c>
      <c r="DZ246" s="107"/>
      <c r="EA246" s="202"/>
      <c r="EB246" s="202"/>
      <c r="EC246" s="202"/>
      <c r="ED246" s="202"/>
      <c r="EE246" s="202"/>
      <c r="EF246" s="229"/>
      <c r="EG246" s="202"/>
      <c r="EH246" s="202"/>
      <c r="EI246" s="202"/>
      <c r="EJ246" s="202"/>
      <c r="EK246" s="202">
        <v>0</v>
      </c>
      <c r="EL246" s="202">
        <v>0</v>
      </c>
      <c r="EM246" s="202">
        <v>0</v>
      </c>
      <c r="EN246" s="202">
        <v>0</v>
      </c>
      <c r="EO246" s="202">
        <v>0</v>
      </c>
      <c r="EP246" s="202"/>
      <c r="EQ246" s="202">
        <v>0</v>
      </c>
      <c r="ER246" s="202">
        <v>0</v>
      </c>
      <c r="ES246" s="202"/>
      <c r="ET246" s="202"/>
      <c r="EU246" s="202"/>
      <c r="EV246" s="214">
        <v>-1.03</v>
      </c>
      <c r="EW246" s="240">
        <f t="shared" si="157"/>
        <v>5077.51</v>
      </c>
      <c r="EX246" s="209">
        <f t="shared" si="158"/>
        <v>3304.72</v>
      </c>
    </row>
    <row r="247" spans="1:154" ht="12.75" customHeight="1" x14ac:dyDescent="0.2">
      <c r="A247" s="4" t="s">
        <v>340</v>
      </c>
      <c r="B247" s="78" t="s">
        <v>299</v>
      </c>
      <c r="C247" s="79" t="s">
        <v>48</v>
      </c>
      <c r="D247" s="80" t="s">
        <v>590</v>
      </c>
      <c r="E247" s="79" t="s">
        <v>30</v>
      </c>
      <c r="F247" s="11">
        <v>9</v>
      </c>
      <c r="G247" s="11">
        <v>1</v>
      </c>
      <c r="H247" s="11">
        <v>54</v>
      </c>
      <c r="I247" s="11">
        <v>54</v>
      </c>
      <c r="J247" s="11">
        <v>99</v>
      </c>
      <c r="K247" s="11">
        <v>109</v>
      </c>
      <c r="L247" s="11">
        <v>1</v>
      </c>
      <c r="M247" s="84">
        <v>260</v>
      </c>
      <c r="N247" s="84">
        <v>387</v>
      </c>
      <c r="O247" s="84">
        <v>387</v>
      </c>
      <c r="P247" s="139">
        <v>326.10000000000002</v>
      </c>
      <c r="Q247" s="135">
        <v>222.5</v>
      </c>
      <c r="R247" s="133">
        <v>370.2</v>
      </c>
      <c r="S247" s="133">
        <f t="shared" si="159"/>
        <v>918.8</v>
      </c>
      <c r="T247" s="139">
        <v>260</v>
      </c>
      <c r="U247" s="130">
        <v>2.72</v>
      </c>
      <c r="V247" s="131">
        <v>1.21E-2</v>
      </c>
      <c r="W247" s="131">
        <v>1.9800000000000002E-2</v>
      </c>
      <c r="X247" s="132">
        <v>1.2700000000000001E-3</v>
      </c>
      <c r="Y247" s="131">
        <v>1.21E-2</v>
      </c>
      <c r="Z247" s="29">
        <v>2298.2800000000002</v>
      </c>
      <c r="AA247" s="34"/>
      <c r="AB247" s="9">
        <f t="shared" si="176"/>
        <v>2298.2800000000002</v>
      </c>
      <c r="AC247" s="174">
        <v>0</v>
      </c>
      <c r="AD247" s="9">
        <v>1.54</v>
      </c>
      <c r="AE247" s="9">
        <v>4.1900000000000004</v>
      </c>
      <c r="AF247" s="21">
        <f>2.49-AJ247</f>
        <v>2.33</v>
      </c>
      <c r="AG247" s="18">
        <f>0.6-AQ247</f>
        <v>0.54</v>
      </c>
      <c r="AH247" s="19">
        <f>2.77+0.22+0.31</f>
        <v>3.3</v>
      </c>
      <c r="AI247" s="43">
        <v>372</v>
      </c>
      <c r="AJ247" s="21">
        <f t="shared" si="178"/>
        <v>0.16</v>
      </c>
      <c r="AK247" s="9">
        <v>1.86</v>
      </c>
      <c r="AL247" s="9">
        <v>0.16</v>
      </c>
      <c r="AM247" s="9">
        <v>0.25</v>
      </c>
      <c r="AN247" s="13"/>
      <c r="AO247" s="13">
        <v>305.89999999999998</v>
      </c>
      <c r="AP247" s="13">
        <f t="shared" si="161"/>
        <v>5.58</v>
      </c>
      <c r="AQ247" s="18">
        <f t="shared" si="179"/>
        <v>0.06</v>
      </c>
      <c r="AR247" s="9">
        <v>0.72</v>
      </c>
      <c r="AS247" s="9">
        <v>0.59</v>
      </c>
      <c r="AT247" s="9">
        <v>7.0000000000000007E-2</v>
      </c>
      <c r="AU247" s="9">
        <v>4.1100000000000003</v>
      </c>
      <c r="AV247" s="9">
        <v>0.17</v>
      </c>
      <c r="AW247" s="9">
        <f>1.42+0.36+0.33</f>
        <v>2.11</v>
      </c>
      <c r="AX247" s="9">
        <f>2+0.48</f>
        <v>2.48</v>
      </c>
      <c r="AY247" s="81">
        <f t="shared" si="162"/>
        <v>24.64</v>
      </c>
      <c r="AZ247" s="82">
        <v>2308.6</v>
      </c>
      <c r="BA247" s="82">
        <v>0</v>
      </c>
      <c r="BB247" s="82">
        <f t="shared" si="177"/>
        <v>2308.6</v>
      </c>
      <c r="BC247" s="82">
        <v>24.64</v>
      </c>
      <c r="BD247" s="13">
        <f t="shared" si="160"/>
        <v>0</v>
      </c>
      <c r="BE247" s="9">
        <f t="shared" si="138"/>
        <v>56629.62</v>
      </c>
      <c r="BF247" s="9">
        <v>24.64</v>
      </c>
      <c r="BG247" s="10">
        <v>44409</v>
      </c>
      <c r="BH247" s="9">
        <f t="shared" si="139"/>
        <v>3539.35</v>
      </c>
      <c r="BI247" s="9">
        <f t="shared" si="140"/>
        <v>9629.7900000000009</v>
      </c>
      <c r="BJ247" s="9">
        <f t="shared" si="141"/>
        <v>5354.99</v>
      </c>
      <c r="BK247" s="9">
        <f t="shared" si="142"/>
        <v>1241.07</v>
      </c>
      <c r="BL247" s="9">
        <f t="shared" si="143"/>
        <v>7584.32</v>
      </c>
      <c r="BM247" s="9">
        <f t="shared" si="144"/>
        <v>367.72</v>
      </c>
      <c r="BN247" s="9">
        <f t="shared" si="145"/>
        <v>4274.8</v>
      </c>
      <c r="BO247" s="9">
        <f t="shared" si="146"/>
        <v>367.72</v>
      </c>
      <c r="BP247" s="9">
        <f t="shared" si="147"/>
        <v>574.57000000000005</v>
      </c>
      <c r="BQ247" s="9">
        <f t="shared" si="148"/>
        <v>137.9</v>
      </c>
      <c r="BR247" s="9">
        <f t="shared" si="149"/>
        <v>1654.76</v>
      </c>
      <c r="BS247" s="9">
        <f t="shared" si="150"/>
        <v>1355.99</v>
      </c>
      <c r="BT247" s="9">
        <f t="shared" si="151"/>
        <v>160.88</v>
      </c>
      <c r="BU247" s="9">
        <f t="shared" si="152"/>
        <v>9445.93</v>
      </c>
      <c r="BV247" s="9">
        <f t="shared" si="153"/>
        <v>390.71</v>
      </c>
      <c r="BW247" s="9">
        <f t="shared" si="154"/>
        <v>4849.37</v>
      </c>
      <c r="BX247" s="9">
        <f t="shared" si="155"/>
        <v>5699.73</v>
      </c>
      <c r="BY247" s="17">
        <f t="shared" si="156"/>
        <v>56629.599999999999</v>
      </c>
      <c r="BZ247" s="17">
        <v>4.51</v>
      </c>
      <c r="CA247" s="17">
        <v>0.06</v>
      </c>
      <c r="CB247" s="17">
        <v>0.37</v>
      </c>
      <c r="CC247" s="27">
        <v>0.06</v>
      </c>
      <c r="CD247" s="29">
        <v>6.33</v>
      </c>
      <c r="CE247" s="9">
        <v>2712.9</v>
      </c>
      <c r="CF247" s="9"/>
      <c r="CG247" s="9">
        <v>2324.06</v>
      </c>
      <c r="CH247" s="9">
        <v>1230.8800000000001</v>
      </c>
      <c r="CI247" s="9">
        <f t="shared" ref="CI247:CI261" si="180">IF(CE247&gt;0,CE247/AB247,0)</f>
        <v>1.18</v>
      </c>
      <c r="CJ247" s="9">
        <f t="shared" ref="CJ247:CJ261" si="181">IF(CF247&gt;0,CF247/AB247,0)</f>
        <v>0</v>
      </c>
      <c r="CK247" s="13">
        <f t="shared" ref="CK247:CK261" si="182">IF(CG247&gt;0,CG247/AB247,0)</f>
        <v>1.01</v>
      </c>
      <c r="CL247" s="13">
        <f t="shared" ref="CL247:CL261" si="183">IF(CH247&gt;0,CH247/AB247,0)</f>
        <v>0.54</v>
      </c>
      <c r="CM247" s="13">
        <v>56629.62</v>
      </c>
      <c r="CN247" s="13">
        <v>10365.25</v>
      </c>
      <c r="CO247" s="13">
        <v>0</v>
      </c>
      <c r="CP247" s="13">
        <v>1103.1600000000001</v>
      </c>
      <c r="CQ247" s="13">
        <v>574.69000000000005</v>
      </c>
      <c r="CR247" s="13">
        <v>41797.43</v>
      </c>
      <c r="CS247" s="13">
        <v>4948.66</v>
      </c>
      <c r="CT247" s="13">
        <v>134.24</v>
      </c>
      <c r="CU247" s="13">
        <v>459.47</v>
      </c>
      <c r="CV247" s="13">
        <v>246.47</v>
      </c>
      <c r="CW247" s="202">
        <v>2002</v>
      </c>
      <c r="CX247" s="200">
        <v>1149</v>
      </c>
      <c r="CY247" s="202"/>
      <c r="CZ247" s="202"/>
      <c r="DA247" s="202"/>
      <c r="DB247" s="202"/>
      <c r="DC247" s="202"/>
      <c r="DD247" s="461"/>
      <c r="DE247" s="256"/>
      <c r="DF247" s="202"/>
      <c r="DG247" s="202"/>
      <c r="DH247" s="202"/>
      <c r="DI247" s="204">
        <v>372</v>
      </c>
      <c r="DJ247" s="202">
        <v>4300</v>
      </c>
      <c r="DK247" s="202"/>
      <c r="DL247" s="202"/>
      <c r="DM247" s="202">
        <v>13473</v>
      </c>
      <c r="DN247" s="202">
        <v>1139</v>
      </c>
      <c r="DO247" s="202">
        <v>0.67</v>
      </c>
      <c r="DP247" s="202"/>
      <c r="DQ247" s="202"/>
      <c r="DR247" s="202"/>
      <c r="DS247" s="202"/>
      <c r="DT247" s="254"/>
      <c r="DU247" s="254"/>
      <c r="DV247" s="202"/>
      <c r="DW247" s="202">
        <v>11079</v>
      </c>
      <c r="DX247" s="202"/>
      <c r="DY247" s="107"/>
      <c r="DZ247" s="107">
        <v>577</v>
      </c>
      <c r="EA247" s="202"/>
      <c r="EB247" s="202"/>
      <c r="EC247" s="202"/>
      <c r="ED247" s="202"/>
      <c r="EE247" s="202"/>
      <c r="EF247" s="229"/>
      <c r="EG247" s="202"/>
      <c r="EH247" s="202"/>
      <c r="EI247" s="202"/>
      <c r="EJ247" s="202"/>
      <c r="EK247" s="202">
        <v>0</v>
      </c>
      <c r="EL247" s="202">
        <v>0</v>
      </c>
      <c r="EM247" s="202">
        <v>1107.98</v>
      </c>
      <c r="EN247" s="202">
        <v>580.07000000000005</v>
      </c>
      <c r="EO247" s="202">
        <v>0</v>
      </c>
      <c r="EP247" s="202"/>
      <c r="EQ247" s="202">
        <v>1107.98</v>
      </c>
      <c r="ER247" s="202">
        <v>580.07000000000005</v>
      </c>
      <c r="ES247" s="202"/>
      <c r="ET247" s="202"/>
      <c r="EU247" s="202"/>
      <c r="EV247" s="214">
        <v>9</v>
      </c>
      <c r="EW247" s="240">
        <f t="shared" si="157"/>
        <v>5026.71</v>
      </c>
      <c r="EX247" s="209">
        <f t="shared" si="158"/>
        <v>3271.65</v>
      </c>
    </row>
    <row r="248" spans="1:154" ht="12.75" customHeight="1" x14ac:dyDescent="0.2">
      <c r="A248" s="4" t="s">
        <v>341</v>
      </c>
      <c r="B248" s="99" t="s">
        <v>299</v>
      </c>
      <c r="C248" s="100" t="s">
        <v>15</v>
      </c>
      <c r="D248" s="101" t="s">
        <v>511</v>
      </c>
      <c r="E248" s="100" t="s">
        <v>12</v>
      </c>
      <c r="F248" s="11">
        <v>9</v>
      </c>
      <c r="G248" s="11">
        <v>5</v>
      </c>
      <c r="H248" s="11">
        <v>180</v>
      </c>
      <c r="I248" s="11">
        <v>180</v>
      </c>
      <c r="J248" s="11">
        <v>393</v>
      </c>
      <c r="K248" s="11">
        <v>476</v>
      </c>
      <c r="L248" s="83">
        <v>5</v>
      </c>
      <c r="M248" s="84">
        <v>1462</v>
      </c>
      <c r="N248" s="84">
        <v>1200</v>
      </c>
      <c r="O248" s="84">
        <v>0</v>
      </c>
      <c r="P248" s="135">
        <v>1246.7</v>
      </c>
      <c r="Q248" s="135">
        <v>1461.7</v>
      </c>
      <c r="R248" s="133">
        <v>0</v>
      </c>
      <c r="S248" s="133">
        <f t="shared" si="159"/>
        <v>2708.4</v>
      </c>
      <c r="T248" s="134">
        <v>1462</v>
      </c>
      <c r="U248" s="130">
        <v>2.44</v>
      </c>
      <c r="V248" s="131">
        <v>1.9800000000000002E-2</v>
      </c>
      <c r="W248" s="131">
        <v>1.9800000000000002E-2</v>
      </c>
      <c r="X248" s="132">
        <v>1.32E-3</v>
      </c>
      <c r="Y248" s="131">
        <v>3.9699999999999999E-2</v>
      </c>
      <c r="Z248" s="29">
        <v>9596.41</v>
      </c>
      <c r="AA248" s="34">
        <v>30.5</v>
      </c>
      <c r="AB248" s="9">
        <f t="shared" si="176"/>
        <v>9626.91</v>
      </c>
      <c r="AC248" s="9">
        <f t="shared" ref="AC248:AC311" si="184">SUM(AB248*6.33)</f>
        <v>60938.34</v>
      </c>
      <c r="AD248" s="9">
        <v>1.66</v>
      </c>
      <c r="AE248" s="9">
        <v>4.7300000000000004</v>
      </c>
      <c r="AF248" s="21">
        <f>2.45-AJ248</f>
        <v>2.33</v>
      </c>
      <c r="AG248" s="18">
        <f>0.62-AQ248</f>
        <v>0.56999999999999995</v>
      </c>
      <c r="AH248" s="9">
        <v>2.78</v>
      </c>
      <c r="AI248" s="43">
        <v>1152</v>
      </c>
      <c r="AJ248" s="21">
        <f t="shared" si="178"/>
        <v>0.12</v>
      </c>
      <c r="AK248" s="9">
        <v>2.2400000000000002</v>
      </c>
      <c r="AL248" s="9">
        <v>0.61</v>
      </c>
      <c r="AM248" s="9">
        <v>0.06</v>
      </c>
      <c r="AN248" s="13"/>
      <c r="AO248" s="13">
        <v>1056</v>
      </c>
      <c r="AP248" s="13">
        <f t="shared" si="161"/>
        <v>5.58</v>
      </c>
      <c r="AQ248" s="18">
        <f t="shared" si="179"/>
        <v>0.05</v>
      </c>
      <c r="AR248" s="9">
        <v>0.57999999999999996</v>
      </c>
      <c r="AS248" s="9">
        <v>0.14000000000000001</v>
      </c>
      <c r="AT248" s="9">
        <v>7.0000000000000007E-2</v>
      </c>
      <c r="AU248" s="9">
        <v>3.39</v>
      </c>
      <c r="AV248" s="9">
        <v>0.17</v>
      </c>
      <c r="AW248" s="9">
        <f>1.43+0.3+0.26</f>
        <v>1.99</v>
      </c>
      <c r="AX248" s="9">
        <f>2.02+0.4</f>
        <v>2.42</v>
      </c>
      <c r="AY248" s="102">
        <f t="shared" si="162"/>
        <v>23.91</v>
      </c>
      <c r="AZ248" s="103">
        <v>9554.7999999999993</v>
      </c>
      <c r="BA248" s="103">
        <v>30.5</v>
      </c>
      <c r="BB248" s="103">
        <f t="shared" si="177"/>
        <v>9585.2999999999993</v>
      </c>
      <c r="BC248" s="103">
        <v>23.91</v>
      </c>
      <c r="BD248" s="13">
        <f t="shared" si="160"/>
        <v>0</v>
      </c>
      <c r="BE248" s="9">
        <f t="shared" si="138"/>
        <v>230179.42</v>
      </c>
      <c r="BF248" s="9">
        <v>23.91</v>
      </c>
      <c r="BG248" s="10">
        <v>44409</v>
      </c>
      <c r="BH248" s="9">
        <f t="shared" si="139"/>
        <v>15980.67</v>
      </c>
      <c r="BI248" s="9">
        <f t="shared" si="140"/>
        <v>45535.28</v>
      </c>
      <c r="BJ248" s="9">
        <f t="shared" si="141"/>
        <v>22430.7</v>
      </c>
      <c r="BK248" s="9">
        <f t="shared" si="142"/>
        <v>5487.34</v>
      </c>
      <c r="BL248" s="9">
        <f t="shared" si="143"/>
        <v>26762.81</v>
      </c>
      <c r="BM248" s="9">
        <f t="shared" si="144"/>
        <v>1155.23</v>
      </c>
      <c r="BN248" s="9">
        <f t="shared" si="145"/>
        <v>21564.28</v>
      </c>
      <c r="BO248" s="9">
        <f t="shared" si="146"/>
        <v>5872.42</v>
      </c>
      <c r="BP248" s="9">
        <f t="shared" si="147"/>
        <v>577.61</v>
      </c>
      <c r="BQ248" s="9">
        <f t="shared" si="148"/>
        <v>481.35</v>
      </c>
      <c r="BR248" s="9">
        <f t="shared" si="149"/>
        <v>5583.61</v>
      </c>
      <c r="BS248" s="9">
        <f t="shared" si="150"/>
        <v>1347.77</v>
      </c>
      <c r="BT248" s="9">
        <f t="shared" si="151"/>
        <v>673.88</v>
      </c>
      <c r="BU248" s="9">
        <f t="shared" si="152"/>
        <v>32635.22</v>
      </c>
      <c r="BV248" s="9">
        <f t="shared" si="153"/>
        <v>1636.57</v>
      </c>
      <c r="BW248" s="9">
        <f t="shared" si="154"/>
        <v>19157.55</v>
      </c>
      <c r="BX248" s="9">
        <f t="shared" si="155"/>
        <v>23297.119999999999</v>
      </c>
      <c r="BY248" s="17">
        <f t="shared" si="156"/>
        <v>230179.41</v>
      </c>
      <c r="BZ248" s="17">
        <v>2.59</v>
      </c>
      <c r="CA248" s="17">
        <v>0.08</v>
      </c>
      <c r="CB248" s="17">
        <v>0.51</v>
      </c>
      <c r="CC248" s="27">
        <v>0.09</v>
      </c>
      <c r="CD248" s="29">
        <v>6.33</v>
      </c>
      <c r="CE248" s="9">
        <v>5180.88</v>
      </c>
      <c r="CF248" s="9"/>
      <c r="CG248" s="9">
        <v>3513.12</v>
      </c>
      <c r="CH248" s="9">
        <v>2248.79</v>
      </c>
      <c r="CI248" s="9">
        <f t="shared" si="180"/>
        <v>0.54</v>
      </c>
      <c r="CJ248" s="9">
        <f t="shared" si="181"/>
        <v>0</v>
      </c>
      <c r="CK248" s="13">
        <f t="shared" si="182"/>
        <v>0.36</v>
      </c>
      <c r="CL248" s="13">
        <f t="shared" si="183"/>
        <v>0.23</v>
      </c>
      <c r="CM248" s="13">
        <v>229450.38</v>
      </c>
      <c r="CN248" s="13">
        <v>6429.4</v>
      </c>
      <c r="CO248" s="13">
        <v>0</v>
      </c>
      <c r="CP248" s="13">
        <v>3934.73</v>
      </c>
      <c r="CQ248" s="13">
        <v>2495.02</v>
      </c>
      <c r="CR248" s="13">
        <v>246490.81</v>
      </c>
      <c r="CS248" s="13">
        <v>20248.189999999999</v>
      </c>
      <c r="CT248" s="13">
        <v>991.92</v>
      </c>
      <c r="CU248" s="13">
        <v>2313.94</v>
      </c>
      <c r="CV248" s="13">
        <v>1666.97</v>
      </c>
      <c r="CW248" s="202">
        <v>8386</v>
      </c>
      <c r="CX248" s="200">
        <v>4811</v>
      </c>
      <c r="CY248" s="202"/>
      <c r="CZ248" s="202"/>
      <c r="DA248" s="202"/>
      <c r="DB248" s="202"/>
      <c r="DC248" s="202"/>
      <c r="DD248" s="461"/>
      <c r="DE248" s="256"/>
      <c r="DF248" s="202"/>
      <c r="DG248" s="202"/>
      <c r="DH248" s="202"/>
      <c r="DI248" s="204">
        <v>1152</v>
      </c>
      <c r="DJ248" s="202">
        <f>21500-277.42</f>
        <v>21222.58</v>
      </c>
      <c r="DK248" s="202"/>
      <c r="DL248" s="202"/>
      <c r="DM248" s="202">
        <v>62315</v>
      </c>
      <c r="DN248" s="202">
        <v>1139</v>
      </c>
      <c r="DO248" s="258">
        <v>0.67</v>
      </c>
      <c r="DP248" s="202"/>
      <c r="DQ248" s="202"/>
      <c r="DR248" s="202"/>
      <c r="DS248" s="202"/>
      <c r="DT248" s="254"/>
      <c r="DU248" s="254"/>
      <c r="DV248" s="202"/>
      <c r="DW248" s="202">
        <v>44239</v>
      </c>
      <c r="DX248" s="202"/>
      <c r="DY248" s="107">
        <v>1365</v>
      </c>
      <c r="DZ248" s="107">
        <v>577</v>
      </c>
      <c r="EA248" s="202"/>
      <c r="EB248" s="202"/>
      <c r="EC248" s="202"/>
      <c r="ED248" s="202"/>
      <c r="EE248" s="202"/>
      <c r="EF248" s="229"/>
      <c r="EG248" s="202"/>
      <c r="EH248" s="202"/>
      <c r="EI248" s="202"/>
      <c r="EJ248" s="202"/>
      <c r="EK248" s="202">
        <v>6464.24</v>
      </c>
      <c r="EL248" s="202">
        <v>0</v>
      </c>
      <c r="EM248" s="202">
        <v>3945.5</v>
      </c>
      <c r="EN248" s="202">
        <v>2475.16</v>
      </c>
      <c r="EO248" s="202">
        <v>6464.24</v>
      </c>
      <c r="EP248" s="202"/>
      <c r="EQ248" s="202">
        <v>3945.5</v>
      </c>
      <c r="ER248" s="202">
        <v>2475.16</v>
      </c>
      <c r="ES248" s="202"/>
      <c r="ET248" s="202"/>
      <c r="EU248" s="202"/>
      <c r="EV248" s="214">
        <v>-26.95</v>
      </c>
      <c r="EW248" s="240">
        <f t="shared" si="157"/>
        <v>21055.59</v>
      </c>
      <c r="EX248" s="209">
        <f t="shared" si="158"/>
        <v>13704.1</v>
      </c>
    </row>
    <row r="249" spans="1:154" ht="12.75" customHeight="1" x14ac:dyDescent="0.2">
      <c r="A249" s="4" t="s">
        <v>342</v>
      </c>
      <c r="B249" s="123" t="s">
        <v>299</v>
      </c>
      <c r="C249" s="124" t="s">
        <v>62</v>
      </c>
      <c r="D249" s="125" t="s">
        <v>512</v>
      </c>
      <c r="E249" s="124" t="s">
        <v>12</v>
      </c>
      <c r="F249" s="11">
        <v>9</v>
      </c>
      <c r="G249" s="11">
        <v>2</v>
      </c>
      <c r="H249" s="11">
        <v>72</v>
      </c>
      <c r="I249" s="11">
        <v>74</v>
      </c>
      <c r="J249" s="11">
        <v>186</v>
      </c>
      <c r="K249" s="11">
        <v>208</v>
      </c>
      <c r="L249" s="83">
        <v>2</v>
      </c>
      <c r="M249" s="84">
        <v>594</v>
      </c>
      <c r="N249" s="84">
        <v>602</v>
      </c>
      <c r="O249" s="84">
        <v>0</v>
      </c>
      <c r="P249" s="135">
        <v>639.6</v>
      </c>
      <c r="Q249" s="135">
        <v>602</v>
      </c>
      <c r="R249" s="133">
        <v>0</v>
      </c>
      <c r="S249" s="133">
        <f t="shared" si="159"/>
        <v>1241.5999999999999</v>
      </c>
      <c r="T249" s="134">
        <v>639.6</v>
      </c>
      <c r="U249" s="130">
        <v>2.44</v>
      </c>
      <c r="V249" s="131">
        <v>1.9800000000000002E-2</v>
      </c>
      <c r="W249" s="131">
        <v>1.9800000000000002E-2</v>
      </c>
      <c r="X249" s="132">
        <v>1.32E-3</v>
      </c>
      <c r="Y249" s="131">
        <v>3.9699999999999999E-2</v>
      </c>
      <c r="Z249" s="29">
        <v>3805.2</v>
      </c>
      <c r="AA249" s="34"/>
      <c r="AB249" s="9">
        <f t="shared" si="176"/>
        <v>3805.2</v>
      </c>
      <c r="AC249" s="9">
        <f t="shared" si="184"/>
        <v>24086.92</v>
      </c>
      <c r="AD249" s="9">
        <v>2.14</v>
      </c>
      <c r="AE249" s="9">
        <v>4.75</v>
      </c>
      <c r="AF249" s="21">
        <f>2.48-AJ249</f>
        <v>2.33</v>
      </c>
      <c r="AG249" s="18">
        <f>0.62-AQ249</f>
        <v>0.56999999999999995</v>
      </c>
      <c r="AH249" s="9">
        <v>2.78</v>
      </c>
      <c r="AI249" s="43">
        <v>578</v>
      </c>
      <c r="AJ249" s="21">
        <f t="shared" si="178"/>
        <v>0.15</v>
      </c>
      <c r="AK249" s="9">
        <v>2.2599999999999998</v>
      </c>
      <c r="AL249" s="9">
        <v>0.2</v>
      </c>
      <c r="AM249" s="9">
        <v>0.15</v>
      </c>
      <c r="AN249" s="13"/>
      <c r="AO249" s="13">
        <v>422.4</v>
      </c>
      <c r="AP249" s="13">
        <f t="shared" si="161"/>
        <v>5.58</v>
      </c>
      <c r="AQ249" s="18">
        <f t="shared" si="179"/>
        <v>0.05</v>
      </c>
      <c r="AR249" s="9">
        <v>0.59</v>
      </c>
      <c r="AS249" s="9">
        <v>0.36</v>
      </c>
      <c r="AT249" s="9">
        <v>7.0000000000000007E-2</v>
      </c>
      <c r="AU249" s="9">
        <v>3.45</v>
      </c>
      <c r="AV249" s="9">
        <v>0.17</v>
      </c>
      <c r="AW249" s="9">
        <f>1.47+0.3+0.27</f>
        <v>2.04</v>
      </c>
      <c r="AX249" s="9">
        <f>2.07+0.41</f>
        <v>2.48</v>
      </c>
      <c r="AY249" s="126">
        <f t="shared" si="162"/>
        <v>24.54</v>
      </c>
      <c r="AZ249" s="127">
        <v>3811.8</v>
      </c>
      <c r="BA249" s="127">
        <v>0</v>
      </c>
      <c r="BB249" s="127">
        <f t="shared" si="177"/>
        <v>3811.8</v>
      </c>
      <c r="BC249" s="127">
        <v>24.54</v>
      </c>
      <c r="BD249" s="13">
        <f t="shared" si="160"/>
        <v>0</v>
      </c>
      <c r="BE249" s="9">
        <f t="shared" si="138"/>
        <v>93379.61</v>
      </c>
      <c r="BF249" s="9">
        <v>24.54</v>
      </c>
      <c r="BG249" s="10">
        <v>44409</v>
      </c>
      <c r="BH249" s="9">
        <f t="shared" si="139"/>
        <v>8143.13</v>
      </c>
      <c r="BI249" s="9">
        <f t="shared" si="140"/>
        <v>18074.7</v>
      </c>
      <c r="BJ249" s="9">
        <f t="shared" si="141"/>
        <v>8866.1200000000008</v>
      </c>
      <c r="BK249" s="9">
        <f t="shared" si="142"/>
        <v>2168.96</v>
      </c>
      <c r="BL249" s="9">
        <f t="shared" si="143"/>
        <v>10578.46</v>
      </c>
      <c r="BM249" s="9">
        <f t="shared" si="144"/>
        <v>570.78</v>
      </c>
      <c r="BN249" s="9">
        <f t="shared" si="145"/>
        <v>8599.75</v>
      </c>
      <c r="BO249" s="9">
        <f t="shared" si="146"/>
        <v>761.04</v>
      </c>
      <c r="BP249" s="9">
        <f t="shared" si="147"/>
        <v>570.78</v>
      </c>
      <c r="BQ249" s="9">
        <f t="shared" si="148"/>
        <v>190.26</v>
      </c>
      <c r="BR249" s="9">
        <f t="shared" si="149"/>
        <v>2245.0700000000002</v>
      </c>
      <c r="BS249" s="9">
        <f t="shared" si="150"/>
        <v>1369.87</v>
      </c>
      <c r="BT249" s="9">
        <f t="shared" si="151"/>
        <v>266.36</v>
      </c>
      <c r="BU249" s="9">
        <f t="shared" si="152"/>
        <v>13127.94</v>
      </c>
      <c r="BV249" s="9">
        <f t="shared" si="153"/>
        <v>646.88</v>
      </c>
      <c r="BW249" s="9">
        <f t="shared" si="154"/>
        <v>7762.61</v>
      </c>
      <c r="BX249" s="9">
        <f t="shared" si="155"/>
        <v>9436.9</v>
      </c>
      <c r="BY249" s="17">
        <f t="shared" si="156"/>
        <v>93379.61</v>
      </c>
      <c r="BZ249" s="17">
        <v>3.04</v>
      </c>
      <c r="CA249" s="17">
        <v>0.09</v>
      </c>
      <c r="CB249" s="17">
        <v>0.56000000000000005</v>
      </c>
      <c r="CC249" s="27">
        <v>0.09</v>
      </c>
      <c r="CD249" s="29">
        <v>6.33</v>
      </c>
      <c r="CE249" s="9">
        <v>3638.5</v>
      </c>
      <c r="CF249" s="9"/>
      <c r="CG249" s="9">
        <v>0</v>
      </c>
      <c r="CH249" s="9">
        <v>179.17</v>
      </c>
      <c r="CI249" s="9">
        <f t="shared" si="180"/>
        <v>0.96</v>
      </c>
      <c r="CJ249" s="9">
        <f t="shared" si="181"/>
        <v>0</v>
      </c>
      <c r="CK249" s="13">
        <f t="shared" si="182"/>
        <v>0</v>
      </c>
      <c r="CL249" s="13">
        <f t="shared" si="183"/>
        <v>0.05</v>
      </c>
      <c r="CM249" s="13">
        <v>93379.6</v>
      </c>
      <c r="CN249" s="13">
        <v>4414.05</v>
      </c>
      <c r="CO249" s="13">
        <v>0</v>
      </c>
      <c r="CP249" s="13">
        <v>2054.8000000000002</v>
      </c>
      <c r="CQ249" s="13">
        <v>1255.71</v>
      </c>
      <c r="CR249" s="13">
        <v>104286.13</v>
      </c>
      <c r="CS249" s="13">
        <v>6126.47</v>
      </c>
      <c r="CT249" s="13">
        <v>4298.2</v>
      </c>
      <c r="CU249" s="13">
        <v>1203.1500000000001</v>
      </c>
      <c r="CV249" s="13">
        <v>833.57</v>
      </c>
      <c r="CW249" s="202">
        <v>3315</v>
      </c>
      <c r="CX249" s="200">
        <v>1902</v>
      </c>
      <c r="CY249" s="202"/>
      <c r="CZ249" s="202"/>
      <c r="DA249" s="202"/>
      <c r="DB249" s="202"/>
      <c r="DC249" s="202"/>
      <c r="DD249" s="461"/>
      <c r="DE249" s="256"/>
      <c r="DF249" s="202"/>
      <c r="DG249" s="202"/>
      <c r="DH249" s="202"/>
      <c r="DI249" s="204">
        <v>578</v>
      </c>
      <c r="DJ249" s="202">
        <v>8600</v>
      </c>
      <c r="DK249" s="202"/>
      <c r="DL249" s="202"/>
      <c r="DM249" s="202">
        <v>26701</v>
      </c>
      <c r="DN249" s="202">
        <v>3060</v>
      </c>
      <c r="DO249" s="202">
        <v>1.8</v>
      </c>
      <c r="DP249" s="202"/>
      <c r="DQ249" s="202"/>
      <c r="DR249" s="202"/>
      <c r="DS249" s="202"/>
      <c r="DT249" s="254"/>
      <c r="DU249" s="254"/>
      <c r="DV249" s="202"/>
      <c r="DW249" s="202">
        <v>17700</v>
      </c>
      <c r="DX249" s="202"/>
      <c r="DY249" s="107"/>
      <c r="DZ249" s="107">
        <v>577</v>
      </c>
      <c r="EA249" s="202"/>
      <c r="EB249" s="202"/>
      <c r="EC249" s="202"/>
      <c r="ED249" s="202"/>
      <c r="EE249" s="202"/>
      <c r="EF249" s="229"/>
      <c r="EG249" s="202"/>
      <c r="EH249" s="202"/>
      <c r="EI249" s="202"/>
      <c r="EJ249" s="202"/>
      <c r="EK249" s="202">
        <v>4396.84</v>
      </c>
      <c r="EL249" s="202">
        <v>0</v>
      </c>
      <c r="EM249" s="202">
        <v>2053.8200000000002</v>
      </c>
      <c r="EN249" s="202">
        <v>1254.42</v>
      </c>
      <c r="EO249" s="202">
        <v>4396.84</v>
      </c>
      <c r="EP249" s="202"/>
      <c r="EQ249" s="202">
        <v>2053.8200000000002</v>
      </c>
      <c r="ER249" s="202">
        <v>1254.42</v>
      </c>
      <c r="ES249" s="202"/>
      <c r="ET249" s="202"/>
      <c r="EU249" s="202"/>
      <c r="EV249" s="214">
        <f>-10.58+10980.94</f>
        <v>10970.36</v>
      </c>
      <c r="EW249" s="240">
        <f t="shared" si="157"/>
        <v>8322.58</v>
      </c>
      <c r="EX249" s="209">
        <f t="shared" si="158"/>
        <v>5416.78</v>
      </c>
    </row>
    <row r="250" spans="1:154" ht="12.75" customHeight="1" x14ac:dyDescent="0.2">
      <c r="A250" s="4" t="s">
        <v>344</v>
      </c>
      <c r="B250" s="99" t="s">
        <v>299</v>
      </c>
      <c r="C250" s="100" t="s">
        <v>25</v>
      </c>
      <c r="D250" s="101" t="s">
        <v>513</v>
      </c>
      <c r="E250" s="100" t="s">
        <v>12</v>
      </c>
      <c r="F250" s="11">
        <v>9</v>
      </c>
      <c r="G250" s="11">
        <v>2</v>
      </c>
      <c r="H250" s="11">
        <v>72</v>
      </c>
      <c r="I250" s="11">
        <v>73</v>
      </c>
      <c r="J250" s="11">
        <v>173</v>
      </c>
      <c r="K250" s="11">
        <v>215</v>
      </c>
      <c r="L250" s="11">
        <v>2</v>
      </c>
      <c r="M250" s="84">
        <v>614</v>
      </c>
      <c r="N250" s="84">
        <v>629</v>
      </c>
      <c r="O250" s="84">
        <v>0</v>
      </c>
      <c r="P250" s="135">
        <v>656.8</v>
      </c>
      <c r="Q250" s="135">
        <v>473.3</v>
      </c>
      <c r="R250" s="133">
        <v>0</v>
      </c>
      <c r="S250" s="133">
        <f t="shared" si="159"/>
        <v>1130.0999999999999</v>
      </c>
      <c r="T250" s="134">
        <v>656.8</v>
      </c>
      <c r="U250" s="130">
        <v>2.44</v>
      </c>
      <c r="V250" s="131">
        <v>1.9800000000000002E-2</v>
      </c>
      <c r="W250" s="131">
        <v>1.9800000000000002E-2</v>
      </c>
      <c r="X250" s="132">
        <v>1.32E-3</v>
      </c>
      <c r="Y250" s="131">
        <v>3.9699999999999999E-2</v>
      </c>
      <c r="Z250" s="29">
        <v>3838.58</v>
      </c>
      <c r="AA250" s="34"/>
      <c r="AB250" s="9">
        <f t="shared" si="176"/>
        <v>3838.58</v>
      </c>
      <c r="AC250" s="9">
        <f t="shared" si="184"/>
        <v>24298.21</v>
      </c>
      <c r="AD250" s="9">
        <v>2.17</v>
      </c>
      <c r="AE250" s="9">
        <v>4.0999999999999996</v>
      </c>
      <c r="AF250" s="21">
        <f>2.47-AJ250</f>
        <v>2.31</v>
      </c>
      <c r="AG250" s="18">
        <f>0.62-AQ250</f>
        <v>0.56999999999999995</v>
      </c>
      <c r="AH250" s="9">
        <v>2.78</v>
      </c>
      <c r="AI250" s="43">
        <v>604</v>
      </c>
      <c r="AJ250" s="21">
        <f t="shared" si="178"/>
        <v>0.16</v>
      </c>
      <c r="AK250" s="9">
        <v>2.2400000000000002</v>
      </c>
      <c r="AL250" s="9">
        <v>0.61</v>
      </c>
      <c r="AM250" s="9">
        <v>0.15</v>
      </c>
      <c r="AN250" s="13"/>
      <c r="AO250" s="13">
        <v>422.4</v>
      </c>
      <c r="AP250" s="13">
        <f t="shared" si="161"/>
        <v>5.58</v>
      </c>
      <c r="AQ250" s="18">
        <f t="shared" si="179"/>
        <v>0.05</v>
      </c>
      <c r="AR250" s="9">
        <v>0.59</v>
      </c>
      <c r="AS250" s="9">
        <v>0.36</v>
      </c>
      <c r="AT250" s="9">
        <v>7.0000000000000007E-2</v>
      </c>
      <c r="AU250" s="9">
        <v>3.86</v>
      </c>
      <c r="AV250" s="9">
        <v>0.16</v>
      </c>
      <c r="AW250" s="9">
        <f>1.45+0.27+0.34</f>
        <v>2.06</v>
      </c>
      <c r="AX250" s="9">
        <f>2.05+0.46</f>
        <v>2.5099999999999998</v>
      </c>
      <c r="AY250" s="126">
        <f t="shared" si="162"/>
        <v>24.75</v>
      </c>
      <c r="AZ250" s="127">
        <v>3834.8</v>
      </c>
      <c r="BA250" s="127">
        <v>0</v>
      </c>
      <c r="BB250" s="127">
        <f t="shared" si="177"/>
        <v>3834.8</v>
      </c>
      <c r="BC250" s="127">
        <v>24.75</v>
      </c>
      <c r="BD250" s="13">
        <f t="shared" si="160"/>
        <v>0</v>
      </c>
      <c r="BE250" s="9">
        <f t="shared" si="138"/>
        <v>95004.86</v>
      </c>
      <c r="BF250" s="9">
        <v>24.75</v>
      </c>
      <c r="BG250" s="10">
        <v>44378</v>
      </c>
      <c r="BH250" s="9">
        <f t="shared" si="139"/>
        <v>8329.7199999999993</v>
      </c>
      <c r="BI250" s="9">
        <f t="shared" si="140"/>
        <v>15738.18</v>
      </c>
      <c r="BJ250" s="9">
        <f t="shared" si="141"/>
        <v>8867.1200000000008</v>
      </c>
      <c r="BK250" s="9">
        <f t="shared" si="142"/>
        <v>2187.9899999999998</v>
      </c>
      <c r="BL250" s="9">
        <f t="shared" si="143"/>
        <v>10671.25</v>
      </c>
      <c r="BM250" s="9">
        <f t="shared" si="144"/>
        <v>614.16999999999996</v>
      </c>
      <c r="BN250" s="9">
        <f t="shared" si="145"/>
        <v>8598.42</v>
      </c>
      <c r="BO250" s="9">
        <f t="shared" si="146"/>
        <v>2341.5300000000002</v>
      </c>
      <c r="BP250" s="9">
        <f t="shared" si="147"/>
        <v>575.79</v>
      </c>
      <c r="BQ250" s="9">
        <f t="shared" si="148"/>
        <v>191.93</v>
      </c>
      <c r="BR250" s="9">
        <f t="shared" si="149"/>
        <v>2264.7600000000002</v>
      </c>
      <c r="BS250" s="9">
        <f t="shared" si="150"/>
        <v>1381.89</v>
      </c>
      <c r="BT250" s="9">
        <f t="shared" si="151"/>
        <v>268.7</v>
      </c>
      <c r="BU250" s="9">
        <f t="shared" si="152"/>
        <v>14816.92</v>
      </c>
      <c r="BV250" s="9">
        <f t="shared" si="153"/>
        <v>614.16999999999996</v>
      </c>
      <c r="BW250" s="9">
        <f t="shared" si="154"/>
        <v>7907.47</v>
      </c>
      <c r="BX250" s="9">
        <f t="shared" si="155"/>
        <v>9634.84</v>
      </c>
      <c r="BY250" s="17">
        <f t="shared" si="156"/>
        <v>95004.85</v>
      </c>
      <c r="BZ250" s="17">
        <v>2.75</v>
      </c>
      <c r="CA250" s="17">
        <v>0.09</v>
      </c>
      <c r="CB250" s="17">
        <v>0.57999999999999996</v>
      </c>
      <c r="CC250" s="27">
        <v>0.1</v>
      </c>
      <c r="CD250" s="29">
        <v>6.33</v>
      </c>
      <c r="CE250" s="9">
        <v>4756.8599999999997</v>
      </c>
      <c r="CF250" s="9"/>
      <c r="CG250" s="9">
        <v>0</v>
      </c>
      <c r="CH250" s="9">
        <v>183.99</v>
      </c>
      <c r="CI250" s="9">
        <f t="shared" si="180"/>
        <v>1.24</v>
      </c>
      <c r="CJ250" s="9">
        <f t="shared" si="181"/>
        <v>0</v>
      </c>
      <c r="CK250" s="13">
        <f t="shared" si="182"/>
        <v>0</v>
      </c>
      <c r="CL250" s="13">
        <f t="shared" si="183"/>
        <v>0.05</v>
      </c>
      <c r="CM250" s="13">
        <v>95005.13</v>
      </c>
      <c r="CN250" s="13">
        <v>4567.93</v>
      </c>
      <c r="CO250" s="13">
        <v>6640.8</v>
      </c>
      <c r="CP250" s="13">
        <v>0</v>
      </c>
      <c r="CQ250" s="13">
        <v>191.66</v>
      </c>
      <c r="CR250" s="13">
        <v>104863.37</v>
      </c>
      <c r="CS250" s="13">
        <v>6433.85</v>
      </c>
      <c r="CT250" s="13">
        <v>2483.66</v>
      </c>
      <c r="CU250" s="13">
        <v>87.61</v>
      </c>
      <c r="CV250" s="13">
        <v>244.45</v>
      </c>
      <c r="CW250" s="202">
        <v>3343</v>
      </c>
      <c r="CX250" s="200">
        <v>1918</v>
      </c>
      <c r="CY250" s="202"/>
      <c r="CZ250" s="202"/>
      <c r="DA250" s="202"/>
      <c r="DB250" s="202"/>
      <c r="DC250" s="202"/>
      <c r="DD250" s="461"/>
      <c r="DE250" s="256"/>
      <c r="DF250" s="202"/>
      <c r="DG250" s="202"/>
      <c r="DH250" s="202"/>
      <c r="DI250" s="204">
        <v>604</v>
      </c>
      <c r="DJ250" s="202">
        <v>8600</v>
      </c>
      <c r="DK250" s="202"/>
      <c r="DL250" s="202"/>
      <c r="DM250" s="202">
        <v>24466</v>
      </c>
      <c r="DN250" s="202">
        <v>1360</v>
      </c>
      <c r="DO250" s="202">
        <v>0.8</v>
      </c>
      <c r="DP250" s="202"/>
      <c r="DQ250" s="202"/>
      <c r="DR250" s="202"/>
      <c r="DS250" s="202"/>
      <c r="DT250" s="254"/>
      <c r="DU250" s="254"/>
      <c r="DV250" s="202"/>
      <c r="DW250" s="202">
        <v>17769</v>
      </c>
      <c r="DX250" s="202"/>
      <c r="DY250" s="107"/>
      <c r="DZ250" s="107"/>
      <c r="EA250" s="202"/>
      <c r="EB250" s="202"/>
      <c r="EC250" s="202"/>
      <c r="ED250" s="202"/>
      <c r="EE250" s="202"/>
      <c r="EF250" s="229"/>
      <c r="EG250" s="202"/>
      <c r="EH250" s="202"/>
      <c r="EI250" s="202"/>
      <c r="EJ250" s="202"/>
      <c r="EK250" s="202">
        <v>4576.8500000000004</v>
      </c>
      <c r="EL250" s="202">
        <v>6654.1</v>
      </c>
      <c r="EM250" s="202">
        <v>0</v>
      </c>
      <c r="EN250" s="202">
        <v>183.99</v>
      </c>
      <c r="EO250" s="202">
        <v>4576.8500000000004</v>
      </c>
      <c r="EP250" s="202"/>
      <c r="EQ250" s="202">
        <v>0</v>
      </c>
      <c r="ER250" s="202">
        <v>183.99</v>
      </c>
      <c r="ES250" s="202"/>
      <c r="ET250" s="202"/>
      <c r="EU250" s="202"/>
      <c r="EV250" s="214">
        <v>-10.92</v>
      </c>
      <c r="EW250" s="240">
        <f t="shared" si="157"/>
        <v>8395.59</v>
      </c>
      <c r="EX250" s="209">
        <f t="shared" si="158"/>
        <v>5464.3</v>
      </c>
    </row>
    <row r="251" spans="1:154" ht="12.75" customHeight="1" x14ac:dyDescent="0.2">
      <c r="A251" s="4" t="s">
        <v>346</v>
      </c>
      <c r="B251" s="141" t="s">
        <v>299</v>
      </c>
      <c r="C251" s="142" t="s">
        <v>64</v>
      </c>
      <c r="D251" s="143" t="s">
        <v>514</v>
      </c>
      <c r="E251" s="142" t="s">
        <v>12</v>
      </c>
      <c r="F251" s="11">
        <v>5</v>
      </c>
      <c r="G251" s="11">
        <v>4</v>
      </c>
      <c r="H251" s="11">
        <v>56</v>
      </c>
      <c r="I251" s="11">
        <v>56</v>
      </c>
      <c r="J251" s="11">
        <v>116</v>
      </c>
      <c r="K251" s="11">
        <v>139</v>
      </c>
      <c r="L251" s="11" t="s">
        <v>746</v>
      </c>
      <c r="M251" s="84">
        <v>270</v>
      </c>
      <c r="N251" s="84">
        <v>988</v>
      </c>
      <c r="O251" s="84">
        <v>0</v>
      </c>
      <c r="P251" s="139">
        <v>294.3</v>
      </c>
      <c r="Q251" s="135">
        <v>456.3</v>
      </c>
      <c r="R251" s="133">
        <v>0</v>
      </c>
      <c r="S251" s="133">
        <f t="shared" si="159"/>
        <v>750.6</v>
      </c>
      <c r="T251" s="139">
        <v>270</v>
      </c>
      <c r="U251" s="130">
        <v>1.83</v>
      </c>
      <c r="V251" s="131">
        <v>1.1299999999999999E-2</v>
      </c>
      <c r="W251" s="131">
        <v>1.9800000000000002E-2</v>
      </c>
      <c r="X251" s="132">
        <v>1.2700000000000001E-3</v>
      </c>
      <c r="Y251" s="131">
        <v>1.1299999999999999E-2</v>
      </c>
      <c r="Z251" s="29">
        <v>2739.13</v>
      </c>
      <c r="AA251" s="34">
        <v>923.9</v>
      </c>
      <c r="AB251" s="9">
        <f t="shared" si="176"/>
        <v>3663.03</v>
      </c>
      <c r="AC251" s="9">
        <f t="shared" si="184"/>
        <v>23186.98</v>
      </c>
      <c r="AD251" s="9">
        <v>0.38</v>
      </c>
      <c r="AE251" s="9">
        <v>3.77</v>
      </c>
      <c r="AF251" s="21">
        <f>2.41-AJ251</f>
        <v>2.15</v>
      </c>
      <c r="AG251" s="18">
        <f>0.53-AQ251</f>
        <v>0.45</v>
      </c>
      <c r="AH251" s="9">
        <v>2.78</v>
      </c>
      <c r="AI251" s="43">
        <v>948</v>
      </c>
      <c r="AJ251" s="21">
        <f t="shared" si="178"/>
        <v>0.26</v>
      </c>
      <c r="AK251" s="9">
        <v>0</v>
      </c>
      <c r="AL251" s="9">
        <v>0</v>
      </c>
      <c r="AM251" s="9">
        <v>0.16</v>
      </c>
      <c r="AN251" s="13"/>
      <c r="AO251" s="13">
        <v>630</v>
      </c>
      <c r="AP251" s="13">
        <f t="shared" si="161"/>
        <v>5.58</v>
      </c>
      <c r="AQ251" s="18">
        <f t="shared" si="179"/>
        <v>0.08</v>
      </c>
      <c r="AR251" s="9">
        <v>0.6</v>
      </c>
      <c r="AS251" s="9">
        <v>0.37</v>
      </c>
      <c r="AT251" s="9">
        <v>7.0000000000000007E-2</v>
      </c>
      <c r="AU251" s="9">
        <v>4.95</v>
      </c>
      <c r="AV251" s="9">
        <v>0.11</v>
      </c>
      <c r="AW251" s="9">
        <f>0.99+0.44+0.28</f>
        <v>1.71</v>
      </c>
      <c r="AX251" s="9">
        <f>1.35+0.58</f>
        <v>1.93</v>
      </c>
      <c r="AY251" s="144">
        <f t="shared" si="162"/>
        <v>19.77</v>
      </c>
      <c r="AZ251" s="145">
        <v>2741.8</v>
      </c>
      <c r="BA251" s="145">
        <v>923.9</v>
      </c>
      <c r="BB251" s="145">
        <f t="shared" si="177"/>
        <v>3665.7</v>
      </c>
      <c r="BC251" s="145">
        <v>19.77</v>
      </c>
      <c r="BD251" s="13">
        <f t="shared" si="160"/>
        <v>0</v>
      </c>
      <c r="BE251" s="9">
        <f t="shared" si="138"/>
        <v>72418.100000000006</v>
      </c>
      <c r="BF251" s="9">
        <v>19.77</v>
      </c>
      <c r="BG251" s="10">
        <v>44409</v>
      </c>
      <c r="BH251" s="9">
        <f t="shared" si="139"/>
        <v>1391.95</v>
      </c>
      <c r="BI251" s="9">
        <f t="shared" si="140"/>
        <v>13809.62</v>
      </c>
      <c r="BJ251" s="9">
        <f t="shared" si="141"/>
        <v>7875.51</v>
      </c>
      <c r="BK251" s="9">
        <f t="shared" si="142"/>
        <v>1648.36</v>
      </c>
      <c r="BL251" s="9">
        <f t="shared" si="143"/>
        <v>10183.219999999999</v>
      </c>
      <c r="BM251" s="9">
        <f t="shared" si="144"/>
        <v>952.39</v>
      </c>
      <c r="BN251" s="9">
        <f t="shared" si="145"/>
        <v>0</v>
      </c>
      <c r="BO251" s="9">
        <f t="shared" si="146"/>
        <v>0</v>
      </c>
      <c r="BP251" s="9">
        <f t="shared" si="147"/>
        <v>586.08000000000004</v>
      </c>
      <c r="BQ251" s="9">
        <f t="shared" si="148"/>
        <v>293.04000000000002</v>
      </c>
      <c r="BR251" s="9">
        <f t="shared" si="149"/>
        <v>2197.8200000000002</v>
      </c>
      <c r="BS251" s="9">
        <f t="shared" si="150"/>
        <v>1355.32</v>
      </c>
      <c r="BT251" s="9">
        <f t="shared" si="151"/>
        <v>256.41000000000003</v>
      </c>
      <c r="BU251" s="9">
        <f t="shared" si="152"/>
        <v>18132</v>
      </c>
      <c r="BV251" s="9">
        <f t="shared" si="153"/>
        <v>402.93</v>
      </c>
      <c r="BW251" s="9">
        <f t="shared" si="154"/>
        <v>6263.78</v>
      </c>
      <c r="BX251" s="9">
        <f t="shared" si="155"/>
        <v>7069.65</v>
      </c>
      <c r="BY251" s="17">
        <f t="shared" si="156"/>
        <v>72418.080000000002</v>
      </c>
      <c r="BZ251" s="17">
        <v>2.4900000000000002</v>
      </c>
      <c r="CA251" s="17">
        <v>0.04</v>
      </c>
      <c r="CB251" s="17">
        <v>0.25</v>
      </c>
      <c r="CC251" s="27">
        <v>0.04</v>
      </c>
      <c r="CD251" s="29">
        <v>6.33</v>
      </c>
      <c r="CE251" s="9">
        <v>1582.17</v>
      </c>
      <c r="CF251" s="9"/>
      <c r="CG251" s="9">
        <v>216.71</v>
      </c>
      <c r="CH251" s="9">
        <v>150.88999999999999</v>
      </c>
      <c r="CI251" s="9">
        <f t="shared" si="180"/>
        <v>0.43</v>
      </c>
      <c r="CJ251" s="9">
        <f t="shared" si="181"/>
        <v>0</v>
      </c>
      <c r="CK251" s="13">
        <f t="shared" si="182"/>
        <v>0.06</v>
      </c>
      <c r="CL251" s="13">
        <f t="shared" si="183"/>
        <v>0.04</v>
      </c>
      <c r="CM251" s="13">
        <v>54152.65</v>
      </c>
      <c r="CN251" s="13">
        <v>1177.78</v>
      </c>
      <c r="CO251" s="13">
        <v>11285.23</v>
      </c>
      <c r="CP251" s="13">
        <v>164.36</v>
      </c>
      <c r="CQ251" s="13">
        <v>109.56</v>
      </c>
      <c r="CR251" s="13">
        <v>49485.42</v>
      </c>
      <c r="CS251" s="13">
        <v>1472.15</v>
      </c>
      <c r="CT251" s="13">
        <v>8488.5</v>
      </c>
      <c r="CU251" s="13">
        <v>149.02000000000001</v>
      </c>
      <c r="CV251" s="13">
        <v>100.09</v>
      </c>
      <c r="CW251" s="202">
        <v>3191</v>
      </c>
      <c r="CX251" s="200">
        <v>1831</v>
      </c>
      <c r="CY251" s="202"/>
      <c r="CZ251" s="202"/>
      <c r="DA251" s="202"/>
      <c r="DB251" s="202"/>
      <c r="DC251" s="202"/>
      <c r="DD251" s="461"/>
      <c r="DE251" s="256"/>
      <c r="DF251" s="202"/>
      <c r="DG251" s="202"/>
      <c r="DH251" s="202"/>
      <c r="DI251" s="204">
        <v>948</v>
      </c>
      <c r="DJ251" s="202"/>
      <c r="DK251" s="202"/>
      <c r="DL251" s="202"/>
      <c r="DM251" s="202">
        <v>15555</v>
      </c>
      <c r="DN251" s="202">
        <v>3060</v>
      </c>
      <c r="DO251" s="202">
        <v>1.8</v>
      </c>
      <c r="DP251" s="202"/>
      <c r="DQ251" s="202"/>
      <c r="DR251" s="202"/>
      <c r="DS251" s="202">
        <v>18390</v>
      </c>
      <c r="DT251" s="254">
        <v>610</v>
      </c>
      <c r="DU251" s="254">
        <v>314</v>
      </c>
      <c r="DV251" s="202">
        <v>16636</v>
      </c>
      <c r="DW251" s="202"/>
      <c r="DX251" s="202"/>
      <c r="DY251" s="107">
        <v>1365</v>
      </c>
      <c r="DZ251" s="107"/>
      <c r="EA251" s="202"/>
      <c r="EB251" s="202"/>
      <c r="EC251" s="202"/>
      <c r="ED251" s="202"/>
      <c r="EE251" s="202"/>
      <c r="EF251" s="229"/>
      <c r="EG251" s="202"/>
      <c r="EH251" s="202"/>
      <c r="EI251" s="202"/>
      <c r="EJ251" s="202"/>
      <c r="EK251" s="202">
        <v>1582.17</v>
      </c>
      <c r="EL251" s="202">
        <v>14540.72</v>
      </c>
      <c r="EM251" s="202">
        <v>216.71</v>
      </c>
      <c r="EN251" s="202">
        <v>150.88999999999999</v>
      </c>
      <c r="EO251" s="202">
        <v>1582.17</v>
      </c>
      <c r="EP251" s="202"/>
      <c r="EQ251" s="202">
        <v>216.71</v>
      </c>
      <c r="ER251" s="202">
        <v>150.88999999999999</v>
      </c>
      <c r="ES251" s="202"/>
      <c r="ET251" s="202"/>
      <c r="EU251" s="202"/>
      <c r="EV251" s="214">
        <v>9.76</v>
      </c>
      <c r="EW251" s="240">
        <f t="shared" si="157"/>
        <v>8011.63</v>
      </c>
      <c r="EX251" s="209">
        <f t="shared" si="158"/>
        <v>5214.3999999999996</v>
      </c>
    </row>
    <row r="252" spans="1:154" ht="12.75" customHeight="1" x14ac:dyDescent="0.2">
      <c r="A252" s="4" t="s">
        <v>348</v>
      </c>
      <c r="B252" s="141" t="s">
        <v>299</v>
      </c>
      <c r="C252" s="142" t="s">
        <v>64</v>
      </c>
      <c r="D252" s="143" t="s">
        <v>591</v>
      </c>
      <c r="E252" s="142" t="s">
        <v>9</v>
      </c>
      <c r="F252" s="11">
        <v>5</v>
      </c>
      <c r="G252" s="11">
        <v>6</v>
      </c>
      <c r="H252" s="11">
        <v>100</v>
      </c>
      <c r="I252" s="11">
        <v>100</v>
      </c>
      <c r="J252" s="11">
        <v>191</v>
      </c>
      <c r="K252" s="11">
        <v>238</v>
      </c>
      <c r="L252" s="11" t="s">
        <v>746</v>
      </c>
      <c r="M252" s="84">
        <v>416</v>
      </c>
      <c r="N252" s="84">
        <v>1339</v>
      </c>
      <c r="O252" s="84">
        <v>0</v>
      </c>
      <c r="P252" s="135">
        <v>416</v>
      </c>
      <c r="Q252" s="139">
        <v>1339</v>
      </c>
      <c r="R252" s="139">
        <v>0</v>
      </c>
      <c r="S252" s="133">
        <f t="shared" si="159"/>
        <v>1755</v>
      </c>
      <c r="T252" s="139">
        <v>416</v>
      </c>
      <c r="U252" s="130">
        <v>1.53</v>
      </c>
      <c r="V252" s="131">
        <v>1.9800000000000002E-2</v>
      </c>
      <c r="W252" s="131">
        <v>1.9800000000000002E-2</v>
      </c>
      <c r="X252" s="132">
        <v>1.2199999999999999E-3</v>
      </c>
      <c r="Y252" s="131">
        <v>3.95E-2</v>
      </c>
      <c r="Z252" s="29">
        <v>4498.16</v>
      </c>
      <c r="AA252" s="34"/>
      <c r="AB252" s="9">
        <f t="shared" si="176"/>
        <v>4498.16</v>
      </c>
      <c r="AC252" s="9">
        <f t="shared" si="184"/>
        <v>28473.35</v>
      </c>
      <c r="AD252" s="9">
        <v>0.33</v>
      </c>
      <c r="AE252" s="9">
        <v>3.75</v>
      </c>
      <c r="AF252" s="21">
        <f>2.45-AJ252</f>
        <v>2.16</v>
      </c>
      <c r="AG252" s="18">
        <f>0.55-AQ252</f>
        <v>0.45</v>
      </c>
      <c r="AH252" s="9">
        <v>2.78</v>
      </c>
      <c r="AI252" s="43">
        <v>1285</v>
      </c>
      <c r="AJ252" s="21">
        <f t="shared" si="178"/>
        <v>0.28999999999999998</v>
      </c>
      <c r="AK252" s="9">
        <v>0</v>
      </c>
      <c r="AL252" s="9">
        <v>0</v>
      </c>
      <c r="AM252" s="9">
        <v>0.13</v>
      </c>
      <c r="AN252" s="13"/>
      <c r="AO252" s="13">
        <v>945</v>
      </c>
      <c r="AP252" s="13">
        <f t="shared" si="161"/>
        <v>5.58</v>
      </c>
      <c r="AQ252" s="18">
        <f t="shared" si="179"/>
        <v>0.1</v>
      </c>
      <c r="AR252" s="9">
        <v>0.75</v>
      </c>
      <c r="AS252" s="9">
        <v>0.3</v>
      </c>
      <c r="AT252" s="9">
        <v>7.0000000000000007E-2</v>
      </c>
      <c r="AU252" s="9">
        <v>5</v>
      </c>
      <c r="AV252" s="9">
        <v>0.11</v>
      </c>
      <c r="AW252" s="9">
        <f>0.99+0.44+0.31</f>
        <v>1.74</v>
      </c>
      <c r="AX252" s="9">
        <f>1.39+0.59</f>
        <v>1.98</v>
      </c>
      <c r="AY252" s="144">
        <f t="shared" si="162"/>
        <v>19.940000000000001</v>
      </c>
      <c r="AZ252" s="145">
        <v>4512.38</v>
      </c>
      <c r="BA252" s="145">
        <v>0</v>
      </c>
      <c r="BB252" s="145">
        <f t="shared" si="177"/>
        <v>4512.38</v>
      </c>
      <c r="BC252" s="145">
        <v>19.940000000000001</v>
      </c>
      <c r="BD252" s="13">
        <f t="shared" si="160"/>
        <v>0</v>
      </c>
      <c r="BE252" s="9">
        <f t="shared" si="138"/>
        <v>89693.31</v>
      </c>
      <c r="BF252" s="9">
        <v>19.940000000000001</v>
      </c>
      <c r="BG252" s="10">
        <v>44409</v>
      </c>
      <c r="BH252" s="9">
        <f t="shared" si="139"/>
        <v>1484.39</v>
      </c>
      <c r="BI252" s="9">
        <f t="shared" si="140"/>
        <v>16868.099999999999</v>
      </c>
      <c r="BJ252" s="9">
        <f t="shared" si="141"/>
        <v>9716.0300000000007</v>
      </c>
      <c r="BK252" s="9">
        <f t="shared" si="142"/>
        <v>2024.17</v>
      </c>
      <c r="BL252" s="9">
        <f t="shared" si="143"/>
        <v>12504.88</v>
      </c>
      <c r="BM252" s="9">
        <f t="shared" si="144"/>
        <v>1304.47</v>
      </c>
      <c r="BN252" s="9">
        <f t="shared" si="145"/>
        <v>0</v>
      </c>
      <c r="BO252" s="9">
        <f t="shared" si="146"/>
        <v>0</v>
      </c>
      <c r="BP252" s="9">
        <f t="shared" si="147"/>
        <v>584.76</v>
      </c>
      <c r="BQ252" s="9">
        <f t="shared" si="148"/>
        <v>449.82</v>
      </c>
      <c r="BR252" s="9">
        <f t="shared" si="149"/>
        <v>3373.62</v>
      </c>
      <c r="BS252" s="9">
        <f t="shared" si="150"/>
        <v>1349.45</v>
      </c>
      <c r="BT252" s="9">
        <f t="shared" si="151"/>
        <v>314.87</v>
      </c>
      <c r="BU252" s="9">
        <f t="shared" si="152"/>
        <v>22490.799999999999</v>
      </c>
      <c r="BV252" s="9">
        <f t="shared" si="153"/>
        <v>494.8</v>
      </c>
      <c r="BW252" s="9">
        <f t="shared" si="154"/>
        <v>7826.8</v>
      </c>
      <c r="BX252" s="9">
        <f t="shared" si="155"/>
        <v>8906.36</v>
      </c>
      <c r="BY252" s="17">
        <f t="shared" si="156"/>
        <v>89693.32</v>
      </c>
      <c r="BZ252" s="17">
        <v>2.2799999999999998</v>
      </c>
      <c r="CA252" s="17">
        <v>0.05</v>
      </c>
      <c r="CB252" s="17">
        <v>0.28999999999999998</v>
      </c>
      <c r="CC252" s="27">
        <v>0.05</v>
      </c>
      <c r="CD252" s="29">
        <v>6.33</v>
      </c>
      <c r="CE252" s="9">
        <v>2437.7199999999998</v>
      </c>
      <c r="CF252" s="9"/>
      <c r="CG252" s="9">
        <v>3918.48</v>
      </c>
      <c r="CH252" s="9">
        <v>2167.9899999999998</v>
      </c>
      <c r="CI252" s="9">
        <f t="shared" si="180"/>
        <v>0.54</v>
      </c>
      <c r="CJ252" s="9">
        <f t="shared" si="181"/>
        <v>0</v>
      </c>
      <c r="CK252" s="13">
        <f t="shared" si="182"/>
        <v>0.87</v>
      </c>
      <c r="CL252" s="13">
        <f t="shared" si="183"/>
        <v>0.48</v>
      </c>
      <c r="CM252" s="13">
        <v>89673.34</v>
      </c>
      <c r="CN252" s="13">
        <v>-2.2799999999999998</v>
      </c>
      <c r="CO252" s="13">
        <v>-0.28999999999999998</v>
      </c>
      <c r="CP252" s="13">
        <v>2203.64</v>
      </c>
      <c r="CQ252" s="13">
        <v>1259.1600000000001</v>
      </c>
      <c r="CR252" s="13">
        <v>98942.45</v>
      </c>
      <c r="CS252" s="13">
        <v>5851.37</v>
      </c>
      <c r="CT252" s="13">
        <v>231.74</v>
      </c>
      <c r="CU252" s="13">
        <v>2166.8000000000002</v>
      </c>
      <c r="CV252" s="13">
        <v>1268.8699999999999</v>
      </c>
      <c r="CW252" s="202">
        <v>3920</v>
      </c>
      <c r="CX252" s="200">
        <v>2249</v>
      </c>
      <c r="CY252" s="202"/>
      <c r="CZ252" s="202"/>
      <c r="DA252" s="202"/>
      <c r="DB252" s="202"/>
      <c r="DC252" s="202"/>
      <c r="DD252" s="461"/>
      <c r="DE252" s="256"/>
      <c r="DF252" s="202"/>
      <c r="DG252" s="202"/>
      <c r="DH252" s="202"/>
      <c r="DI252" s="204">
        <v>1285</v>
      </c>
      <c r="DJ252" s="202"/>
      <c r="DK252" s="202"/>
      <c r="DL252" s="202"/>
      <c r="DM252" s="202">
        <v>18866</v>
      </c>
      <c r="DN252" s="202">
        <v>3060</v>
      </c>
      <c r="DO252" s="202">
        <v>1.8</v>
      </c>
      <c r="DP252" s="202"/>
      <c r="DQ252" s="202"/>
      <c r="DR252" s="202"/>
      <c r="DS252" s="202">
        <v>24390</v>
      </c>
      <c r="DT252" s="254">
        <v>810</v>
      </c>
      <c r="DU252" s="254">
        <v>414</v>
      </c>
      <c r="DV252" s="202">
        <v>20650</v>
      </c>
      <c r="DW252" s="202"/>
      <c r="DX252" s="202"/>
      <c r="DY252" s="107">
        <v>1365</v>
      </c>
      <c r="DZ252" s="107">
        <v>577</v>
      </c>
      <c r="EA252" s="202"/>
      <c r="EB252" s="202"/>
      <c r="EC252" s="202"/>
      <c r="ED252" s="202"/>
      <c r="EE252" s="202"/>
      <c r="EF252" s="229"/>
      <c r="EG252" s="202"/>
      <c r="EH252" s="202"/>
      <c r="EI252" s="202"/>
      <c r="EJ252" s="202"/>
      <c r="EK252" s="202">
        <v>2437.7199999999998</v>
      </c>
      <c r="EL252" s="202">
        <v>0</v>
      </c>
      <c r="EM252" s="202">
        <v>2215.9699999999998</v>
      </c>
      <c r="EN252" s="202">
        <v>1276.67</v>
      </c>
      <c r="EO252" s="202">
        <v>2437.7199999999998</v>
      </c>
      <c r="EP252" s="202"/>
      <c r="EQ252" s="202">
        <v>2215.9699999999998</v>
      </c>
      <c r="ER252" s="202">
        <v>1276.67</v>
      </c>
      <c r="ES252" s="202"/>
      <c r="ET252" s="202"/>
      <c r="EU252" s="202"/>
      <c r="EV252" s="214">
        <v>-6.05</v>
      </c>
      <c r="EW252" s="240">
        <f t="shared" si="157"/>
        <v>9838.2000000000007</v>
      </c>
      <c r="EX252" s="209">
        <f t="shared" si="158"/>
        <v>6403.22</v>
      </c>
    </row>
    <row r="253" spans="1:154" ht="12.75" customHeight="1" x14ac:dyDescent="0.2">
      <c r="A253" s="4" t="s">
        <v>349</v>
      </c>
      <c r="B253" s="141" t="s">
        <v>299</v>
      </c>
      <c r="C253" s="142" t="s">
        <v>64</v>
      </c>
      <c r="D253" s="143" t="s">
        <v>592</v>
      </c>
      <c r="E253" s="142" t="s">
        <v>30</v>
      </c>
      <c r="F253" s="11">
        <v>5</v>
      </c>
      <c r="G253" s="11">
        <v>6</v>
      </c>
      <c r="H253" s="11">
        <v>90</v>
      </c>
      <c r="I253" s="11">
        <v>90</v>
      </c>
      <c r="J253" s="11">
        <v>176</v>
      </c>
      <c r="K253" s="11">
        <v>220</v>
      </c>
      <c r="L253" s="11" t="s">
        <v>746</v>
      </c>
      <c r="M253" s="84">
        <v>416</v>
      </c>
      <c r="N253" s="84">
        <v>1287</v>
      </c>
      <c r="O253" s="84">
        <v>0</v>
      </c>
      <c r="P253" s="135">
        <v>416</v>
      </c>
      <c r="Q253" s="139">
        <v>1287</v>
      </c>
      <c r="R253" s="139">
        <v>0</v>
      </c>
      <c r="S253" s="133">
        <f t="shared" si="159"/>
        <v>1703</v>
      </c>
      <c r="T253" s="139">
        <v>416</v>
      </c>
      <c r="U253" s="130">
        <v>1.53</v>
      </c>
      <c r="V253" s="131">
        <v>1.9800000000000002E-2</v>
      </c>
      <c r="W253" s="131">
        <v>1.9800000000000002E-2</v>
      </c>
      <c r="X253" s="132">
        <v>1.2199999999999999E-3</v>
      </c>
      <c r="Y253" s="131">
        <v>3.95E-2</v>
      </c>
      <c r="Z253" s="29">
        <v>3975.31</v>
      </c>
      <c r="AA253" s="34"/>
      <c r="AB253" s="9">
        <f t="shared" si="176"/>
        <v>3975.31</v>
      </c>
      <c r="AC253" s="9">
        <f t="shared" si="184"/>
        <v>25163.71</v>
      </c>
      <c r="AD253" s="9">
        <v>0.54</v>
      </c>
      <c r="AE253" s="9">
        <v>3.96</v>
      </c>
      <c r="AF253" s="21">
        <f>2.5-AJ253</f>
        <v>2.19</v>
      </c>
      <c r="AG253" s="18">
        <f>0.56-AQ253</f>
        <v>0.45</v>
      </c>
      <c r="AH253" s="9">
        <v>2.78</v>
      </c>
      <c r="AI253" s="43">
        <v>1236</v>
      </c>
      <c r="AJ253" s="21">
        <f t="shared" si="178"/>
        <v>0.31</v>
      </c>
      <c r="AK253" s="9">
        <v>0</v>
      </c>
      <c r="AL253" s="9">
        <v>0</v>
      </c>
      <c r="AM253" s="9">
        <v>0.15</v>
      </c>
      <c r="AN253" s="13"/>
      <c r="AO253" s="13">
        <v>945</v>
      </c>
      <c r="AP253" s="13">
        <f t="shared" si="161"/>
        <v>5.58</v>
      </c>
      <c r="AQ253" s="18">
        <f t="shared" si="179"/>
        <v>0.11</v>
      </c>
      <c r="AR253" s="9">
        <v>0.79</v>
      </c>
      <c r="AS253" s="9">
        <v>0.34</v>
      </c>
      <c r="AT253" s="9">
        <v>7.0000000000000007E-2</v>
      </c>
      <c r="AU253" s="9">
        <v>4.6100000000000003</v>
      </c>
      <c r="AV253" s="9">
        <v>0.12</v>
      </c>
      <c r="AW253" s="9">
        <f>1.05+0.41+0.31</f>
        <v>1.77</v>
      </c>
      <c r="AX253" s="9">
        <f>1.44+0.54</f>
        <v>1.98</v>
      </c>
      <c r="AY253" s="144">
        <f t="shared" si="162"/>
        <v>20.170000000000002</v>
      </c>
      <c r="AZ253" s="145">
        <v>3976.8</v>
      </c>
      <c r="BA253" s="145">
        <v>0</v>
      </c>
      <c r="BB253" s="145">
        <f t="shared" si="177"/>
        <v>3976.8</v>
      </c>
      <c r="BC253" s="145">
        <v>20.170000000000002</v>
      </c>
      <c r="BD253" s="13">
        <f t="shared" si="160"/>
        <v>0</v>
      </c>
      <c r="BE253" s="9">
        <f t="shared" si="138"/>
        <v>80182</v>
      </c>
      <c r="BF253" s="9">
        <v>20.170000000000002</v>
      </c>
      <c r="BG253" s="10">
        <v>44409</v>
      </c>
      <c r="BH253" s="9">
        <f t="shared" si="139"/>
        <v>2146.67</v>
      </c>
      <c r="BI253" s="9">
        <f t="shared" si="140"/>
        <v>15742.23</v>
      </c>
      <c r="BJ253" s="9">
        <f t="shared" si="141"/>
        <v>8705.93</v>
      </c>
      <c r="BK253" s="9">
        <f t="shared" si="142"/>
        <v>1788.89</v>
      </c>
      <c r="BL253" s="9">
        <f t="shared" si="143"/>
        <v>11051.36</v>
      </c>
      <c r="BM253" s="9">
        <f t="shared" si="144"/>
        <v>1232.3499999999999</v>
      </c>
      <c r="BN253" s="9">
        <f t="shared" si="145"/>
        <v>0</v>
      </c>
      <c r="BO253" s="9">
        <f t="shared" si="146"/>
        <v>0</v>
      </c>
      <c r="BP253" s="9">
        <f t="shared" si="147"/>
        <v>596.29999999999995</v>
      </c>
      <c r="BQ253" s="9">
        <f t="shared" si="148"/>
        <v>437.28</v>
      </c>
      <c r="BR253" s="9">
        <f t="shared" si="149"/>
        <v>3140.49</v>
      </c>
      <c r="BS253" s="9">
        <f t="shared" si="150"/>
        <v>1351.61</v>
      </c>
      <c r="BT253" s="9">
        <f t="shared" si="151"/>
        <v>278.27</v>
      </c>
      <c r="BU253" s="9">
        <f t="shared" si="152"/>
        <v>18326.18</v>
      </c>
      <c r="BV253" s="9">
        <f t="shared" si="153"/>
        <v>477.04</v>
      </c>
      <c r="BW253" s="9">
        <f t="shared" si="154"/>
        <v>7036.3</v>
      </c>
      <c r="BX253" s="9">
        <f t="shared" si="155"/>
        <v>7871.11</v>
      </c>
      <c r="BY253" s="17">
        <f t="shared" si="156"/>
        <v>80182.009999999995</v>
      </c>
      <c r="BZ253" s="17">
        <v>2.52</v>
      </c>
      <c r="CA253" s="17">
        <v>0.06</v>
      </c>
      <c r="CB253" s="17">
        <v>0.33</v>
      </c>
      <c r="CC253" s="27">
        <v>0.06</v>
      </c>
      <c r="CD253" s="29">
        <v>6.33</v>
      </c>
      <c r="CE253" s="9">
        <v>2437.7199999999998</v>
      </c>
      <c r="CF253" s="9"/>
      <c r="CG253" s="9">
        <v>3675.26</v>
      </c>
      <c r="CH253" s="9">
        <v>2040.66</v>
      </c>
      <c r="CI253" s="9">
        <f t="shared" si="180"/>
        <v>0.61</v>
      </c>
      <c r="CJ253" s="9">
        <f t="shared" si="181"/>
        <v>0</v>
      </c>
      <c r="CK253" s="13">
        <f t="shared" si="182"/>
        <v>0.92</v>
      </c>
      <c r="CL253" s="13">
        <f t="shared" si="183"/>
        <v>0.51</v>
      </c>
      <c r="CM253" s="13">
        <v>80182.070000000007</v>
      </c>
      <c r="CN253" s="13">
        <v>2424.92</v>
      </c>
      <c r="CO253" s="13">
        <v>0</v>
      </c>
      <c r="CP253" s="13">
        <v>3498.26</v>
      </c>
      <c r="CQ253" s="13">
        <v>1947.92</v>
      </c>
      <c r="CR253" s="13">
        <v>85721.58</v>
      </c>
      <c r="CS253" s="13">
        <v>3152.81</v>
      </c>
      <c r="CT253" s="13">
        <v>198.76</v>
      </c>
      <c r="CU253" s="13">
        <v>2167.5500000000002</v>
      </c>
      <c r="CV253" s="13">
        <v>1270.1400000000001</v>
      </c>
      <c r="CW253" s="202">
        <v>3463</v>
      </c>
      <c r="CX253" s="200">
        <v>1987</v>
      </c>
      <c r="CY253" s="202"/>
      <c r="CZ253" s="202"/>
      <c r="DA253" s="202"/>
      <c r="DB253" s="202"/>
      <c r="DC253" s="202"/>
      <c r="DD253" s="461"/>
      <c r="DE253" s="256"/>
      <c r="DF253" s="202"/>
      <c r="DG253" s="202"/>
      <c r="DH253" s="202"/>
      <c r="DI253" s="204">
        <v>1236</v>
      </c>
      <c r="DJ253" s="202"/>
      <c r="DK253" s="202"/>
      <c r="DL253" s="202"/>
      <c r="DM253" s="202">
        <v>18286</v>
      </c>
      <c r="DN253" s="202">
        <v>3060</v>
      </c>
      <c r="DO253" s="202">
        <v>1.8</v>
      </c>
      <c r="DP253" s="202"/>
      <c r="DQ253" s="202"/>
      <c r="DR253" s="202"/>
      <c r="DS253" s="202">
        <v>23490</v>
      </c>
      <c r="DT253" s="254">
        <v>780</v>
      </c>
      <c r="DU253" s="254">
        <v>399</v>
      </c>
      <c r="DV253" s="202">
        <v>18395</v>
      </c>
      <c r="DW253" s="202"/>
      <c r="DX253" s="202"/>
      <c r="DY253" s="107">
        <v>1365</v>
      </c>
      <c r="DZ253" s="107">
        <v>577</v>
      </c>
      <c r="EA253" s="202"/>
      <c r="EB253" s="202"/>
      <c r="EC253" s="202"/>
      <c r="ED253" s="202"/>
      <c r="EE253" s="202"/>
      <c r="EF253" s="229"/>
      <c r="EG253" s="202"/>
      <c r="EH253" s="202"/>
      <c r="EI253" s="202"/>
      <c r="EJ253" s="202"/>
      <c r="EK253" s="202">
        <v>2437.7199999999998</v>
      </c>
      <c r="EL253" s="202">
        <v>0</v>
      </c>
      <c r="EM253" s="202">
        <v>3486.1</v>
      </c>
      <c r="EN253" s="202">
        <v>1941.63</v>
      </c>
      <c r="EO253" s="202">
        <v>2437.7199999999998</v>
      </c>
      <c r="EP253" s="202"/>
      <c r="EQ253" s="202">
        <v>3486.1</v>
      </c>
      <c r="ER253" s="202">
        <v>1941.63</v>
      </c>
      <c r="ES253" s="202"/>
      <c r="ET253" s="202"/>
      <c r="EU253" s="202"/>
      <c r="EV253" s="214">
        <v>-1.05</v>
      </c>
      <c r="EW253" s="240">
        <f t="shared" si="157"/>
        <v>8694.64</v>
      </c>
      <c r="EX253" s="209">
        <f t="shared" si="158"/>
        <v>5658.93</v>
      </c>
    </row>
    <row r="254" spans="1:154" ht="12.75" customHeight="1" x14ac:dyDescent="0.2">
      <c r="A254" s="4" t="s">
        <v>350</v>
      </c>
      <c r="B254" s="99" t="s">
        <v>299</v>
      </c>
      <c r="C254" s="100" t="s">
        <v>27</v>
      </c>
      <c r="D254" s="101" t="s">
        <v>515</v>
      </c>
      <c r="E254" s="100" t="s">
        <v>12</v>
      </c>
      <c r="F254" s="11">
        <v>9</v>
      </c>
      <c r="G254" s="11">
        <v>2</v>
      </c>
      <c r="H254" s="11">
        <v>72</v>
      </c>
      <c r="I254" s="11">
        <v>73</v>
      </c>
      <c r="J254" s="11">
        <v>164</v>
      </c>
      <c r="K254" s="11">
        <v>193</v>
      </c>
      <c r="L254" s="83">
        <v>2</v>
      </c>
      <c r="M254" s="84">
        <v>602</v>
      </c>
      <c r="N254" s="84">
        <v>629</v>
      </c>
      <c r="O254" s="84">
        <v>0</v>
      </c>
      <c r="P254" s="135">
        <v>602</v>
      </c>
      <c r="Q254" s="139">
        <v>629</v>
      </c>
      <c r="R254" s="139">
        <v>0</v>
      </c>
      <c r="S254" s="133">
        <f t="shared" si="159"/>
        <v>1231</v>
      </c>
      <c r="T254" s="139">
        <v>602</v>
      </c>
      <c r="U254" s="130">
        <v>2.44</v>
      </c>
      <c r="V254" s="131">
        <v>1.9800000000000002E-2</v>
      </c>
      <c r="W254" s="131">
        <v>1.9800000000000002E-2</v>
      </c>
      <c r="X254" s="132">
        <v>1.32E-3</v>
      </c>
      <c r="Y254" s="131">
        <v>3.9699999999999999E-2</v>
      </c>
      <c r="Z254" s="29">
        <v>3753.96</v>
      </c>
      <c r="AA254" s="34">
        <v>60.7</v>
      </c>
      <c r="AB254" s="9">
        <f t="shared" si="176"/>
        <v>3814.66</v>
      </c>
      <c r="AC254" s="9">
        <f t="shared" si="184"/>
        <v>24146.799999999999</v>
      </c>
      <c r="AD254" s="9">
        <v>2.16</v>
      </c>
      <c r="AE254" s="9">
        <v>3.68</v>
      </c>
      <c r="AF254" s="21">
        <f>2.4-AJ254</f>
        <v>2.2400000000000002</v>
      </c>
      <c r="AG254" s="18">
        <f>0.62-AQ254</f>
        <v>0.56999999999999995</v>
      </c>
      <c r="AH254" s="9">
        <v>2.78</v>
      </c>
      <c r="AI254" s="43">
        <v>604</v>
      </c>
      <c r="AJ254" s="21">
        <f t="shared" si="178"/>
        <v>0.16</v>
      </c>
      <c r="AK254" s="9">
        <v>2.2599999999999998</v>
      </c>
      <c r="AL254" s="9">
        <v>0.2</v>
      </c>
      <c r="AM254" s="9">
        <v>0.15</v>
      </c>
      <c r="AN254" s="13"/>
      <c r="AO254" s="13">
        <v>422.4</v>
      </c>
      <c r="AP254" s="13">
        <f t="shared" si="161"/>
        <v>5.58</v>
      </c>
      <c r="AQ254" s="18">
        <f t="shared" si="179"/>
        <v>0.05</v>
      </c>
      <c r="AR254" s="9">
        <v>0.57999999999999996</v>
      </c>
      <c r="AS254" s="9">
        <v>0.36</v>
      </c>
      <c r="AT254" s="9">
        <v>7.0000000000000007E-2</v>
      </c>
      <c r="AU254" s="9">
        <v>4.8</v>
      </c>
      <c r="AV254" s="9">
        <v>0.16</v>
      </c>
      <c r="AW254" s="9">
        <f>1.37+0.27+0.41</f>
        <v>2.0499999999999998</v>
      </c>
      <c r="AX254" s="9">
        <f>1.93+0.57</f>
        <v>2.5</v>
      </c>
      <c r="AY254" s="102">
        <f t="shared" si="162"/>
        <v>24.77</v>
      </c>
      <c r="AZ254" s="103">
        <v>3751.5</v>
      </c>
      <c r="BA254" s="103">
        <v>60.7</v>
      </c>
      <c r="BB254" s="103">
        <f t="shared" si="177"/>
        <v>3812.2</v>
      </c>
      <c r="BC254" s="103">
        <v>24.77</v>
      </c>
      <c r="BD254" s="13">
        <f t="shared" si="160"/>
        <v>0</v>
      </c>
      <c r="BE254" s="9">
        <f t="shared" si="138"/>
        <v>94489.13</v>
      </c>
      <c r="BF254" s="9">
        <v>24.77</v>
      </c>
      <c r="BG254" s="10">
        <v>44409</v>
      </c>
      <c r="BH254" s="9">
        <f t="shared" si="139"/>
        <v>8239.67</v>
      </c>
      <c r="BI254" s="9">
        <f t="shared" si="140"/>
        <v>14037.95</v>
      </c>
      <c r="BJ254" s="9">
        <f t="shared" si="141"/>
        <v>8544.84</v>
      </c>
      <c r="BK254" s="9">
        <f t="shared" si="142"/>
        <v>2174.36</v>
      </c>
      <c r="BL254" s="9">
        <f t="shared" si="143"/>
        <v>10604.75</v>
      </c>
      <c r="BM254" s="9">
        <f t="shared" si="144"/>
        <v>610.35</v>
      </c>
      <c r="BN254" s="9">
        <f t="shared" si="145"/>
        <v>8621.1299999999992</v>
      </c>
      <c r="BO254" s="9">
        <f t="shared" si="146"/>
        <v>762.93</v>
      </c>
      <c r="BP254" s="9">
        <f t="shared" si="147"/>
        <v>572.20000000000005</v>
      </c>
      <c r="BQ254" s="9">
        <f t="shared" si="148"/>
        <v>190.73</v>
      </c>
      <c r="BR254" s="9">
        <f t="shared" si="149"/>
        <v>2212.5</v>
      </c>
      <c r="BS254" s="9">
        <f t="shared" si="150"/>
        <v>1373.28</v>
      </c>
      <c r="BT254" s="9">
        <f t="shared" si="151"/>
        <v>267.02999999999997</v>
      </c>
      <c r="BU254" s="9">
        <f t="shared" si="152"/>
        <v>18310.37</v>
      </c>
      <c r="BV254" s="9">
        <f t="shared" si="153"/>
        <v>610.35</v>
      </c>
      <c r="BW254" s="9">
        <f t="shared" si="154"/>
        <v>7820.05</v>
      </c>
      <c r="BX254" s="9">
        <f t="shared" si="155"/>
        <v>9536.65</v>
      </c>
      <c r="BY254" s="17">
        <f t="shared" si="156"/>
        <v>94489.14</v>
      </c>
      <c r="BZ254" s="17">
        <v>3.02</v>
      </c>
      <c r="CA254" s="17">
        <v>0.08</v>
      </c>
      <c r="CB254" s="17">
        <v>0.54</v>
      </c>
      <c r="CC254" s="27">
        <v>0.09</v>
      </c>
      <c r="CD254" s="29">
        <v>6.33</v>
      </c>
      <c r="CE254" s="9">
        <v>2608.23</v>
      </c>
      <c r="CF254" s="9"/>
      <c r="CG254" s="9">
        <v>322.12</v>
      </c>
      <c r="CH254" s="9">
        <v>338.13</v>
      </c>
      <c r="CI254" s="9">
        <f t="shared" si="180"/>
        <v>0.68</v>
      </c>
      <c r="CJ254" s="9">
        <f t="shared" si="181"/>
        <v>0</v>
      </c>
      <c r="CK254" s="13">
        <f t="shared" si="182"/>
        <v>0.08</v>
      </c>
      <c r="CL254" s="13">
        <f t="shared" si="183"/>
        <v>0.09</v>
      </c>
      <c r="CM254" s="13">
        <v>92985.600000000006</v>
      </c>
      <c r="CN254" s="13">
        <v>2552.71</v>
      </c>
      <c r="CO254" s="13">
        <v>0</v>
      </c>
      <c r="CP254" s="13">
        <v>300.33</v>
      </c>
      <c r="CQ254" s="13">
        <v>337.81</v>
      </c>
      <c r="CR254" s="13">
        <v>96931.89</v>
      </c>
      <c r="CS254" s="13">
        <v>3857.14</v>
      </c>
      <c r="CT254" s="13">
        <v>4324.82</v>
      </c>
      <c r="CU254" s="13">
        <v>313.07</v>
      </c>
      <c r="CV254" s="13">
        <v>352.14</v>
      </c>
      <c r="CW254" s="202">
        <v>3325</v>
      </c>
      <c r="CX254" s="200">
        <v>1907</v>
      </c>
      <c r="CY254" s="202"/>
      <c r="CZ254" s="202"/>
      <c r="DA254" s="202"/>
      <c r="DB254" s="202"/>
      <c r="DC254" s="202"/>
      <c r="DD254" s="461"/>
      <c r="DE254" s="256"/>
      <c r="DF254" s="202"/>
      <c r="DG254" s="202"/>
      <c r="DH254" s="202"/>
      <c r="DI254" s="204">
        <v>604</v>
      </c>
      <c r="DJ254" s="202">
        <v>8600</v>
      </c>
      <c r="DK254" s="202"/>
      <c r="DL254" s="202"/>
      <c r="DM254" s="202">
        <v>22678</v>
      </c>
      <c r="DN254" s="202">
        <v>1360</v>
      </c>
      <c r="DO254" s="202">
        <v>0.8</v>
      </c>
      <c r="DP254" s="202"/>
      <c r="DQ254" s="202"/>
      <c r="DR254" s="202"/>
      <c r="DS254" s="202"/>
      <c r="DT254" s="254"/>
      <c r="DU254" s="254"/>
      <c r="DV254" s="202"/>
      <c r="DW254" s="202">
        <v>17455</v>
      </c>
      <c r="DX254" s="202"/>
      <c r="DY254" s="107">
        <v>1365</v>
      </c>
      <c r="DZ254" s="107"/>
      <c r="EA254" s="202"/>
      <c r="EB254" s="202"/>
      <c r="EC254" s="202"/>
      <c r="ED254" s="202"/>
      <c r="EE254" s="202"/>
      <c r="EF254" s="229"/>
      <c r="EG254" s="202"/>
      <c r="EH254" s="202"/>
      <c r="EI254" s="202"/>
      <c r="EJ254" s="202"/>
      <c r="EK254" s="202">
        <v>2577.59</v>
      </c>
      <c r="EL254" s="202">
        <v>0</v>
      </c>
      <c r="EM254" s="202">
        <v>322.12</v>
      </c>
      <c r="EN254" s="202">
        <v>338.13</v>
      </c>
      <c r="EO254" s="202">
        <v>2577.59</v>
      </c>
      <c r="EP254" s="202"/>
      <c r="EQ254" s="202">
        <v>322.12</v>
      </c>
      <c r="ER254" s="202">
        <v>338.13</v>
      </c>
      <c r="ES254" s="202"/>
      <c r="ET254" s="202"/>
      <c r="EU254" s="202"/>
      <c r="EV254" s="214">
        <v>2.15</v>
      </c>
      <c r="EW254" s="240">
        <f t="shared" si="157"/>
        <v>8343.27</v>
      </c>
      <c r="EX254" s="209">
        <f t="shared" si="158"/>
        <v>5430.24</v>
      </c>
    </row>
    <row r="255" spans="1:154" ht="12.75" customHeight="1" x14ac:dyDescent="0.2">
      <c r="A255" s="4" t="s">
        <v>352</v>
      </c>
      <c r="B255" s="99" t="s">
        <v>299</v>
      </c>
      <c r="C255" s="100" t="s">
        <v>32</v>
      </c>
      <c r="D255" s="101" t="s">
        <v>593</v>
      </c>
      <c r="E255" s="100" t="s">
        <v>9</v>
      </c>
      <c r="F255" s="11">
        <v>9</v>
      </c>
      <c r="G255" s="11">
        <v>2</v>
      </c>
      <c r="H255" s="11">
        <v>72</v>
      </c>
      <c r="I255" s="11">
        <v>73</v>
      </c>
      <c r="J255" s="11">
        <v>171</v>
      </c>
      <c r="K255" s="11">
        <v>201</v>
      </c>
      <c r="L255" s="11">
        <v>2</v>
      </c>
      <c r="M255" s="84">
        <v>594</v>
      </c>
      <c r="N255" s="84">
        <v>602</v>
      </c>
      <c r="O255" s="84">
        <v>0</v>
      </c>
      <c r="P255" s="135">
        <v>594</v>
      </c>
      <c r="Q255" s="139">
        <v>602</v>
      </c>
      <c r="R255" s="139">
        <v>0</v>
      </c>
      <c r="S255" s="133">
        <f t="shared" si="159"/>
        <v>1196</v>
      </c>
      <c r="T255" s="139">
        <v>594</v>
      </c>
      <c r="U255" s="130">
        <v>2.72</v>
      </c>
      <c r="V255" s="131">
        <v>1.21E-2</v>
      </c>
      <c r="W255" s="131">
        <v>1.9800000000000002E-2</v>
      </c>
      <c r="X255" s="132">
        <v>1.2700000000000001E-3</v>
      </c>
      <c r="Y255" s="131">
        <v>1.21E-2</v>
      </c>
      <c r="Z255" s="29">
        <v>3815.57</v>
      </c>
      <c r="AA255" s="34"/>
      <c r="AB255" s="9">
        <f t="shared" si="176"/>
        <v>3815.57</v>
      </c>
      <c r="AC255" s="9">
        <f t="shared" si="184"/>
        <v>24152.560000000001</v>
      </c>
      <c r="AD255" s="9">
        <f>2.14</f>
        <v>2.14</v>
      </c>
      <c r="AE255" s="9">
        <f>4.09</f>
        <v>4.09</v>
      </c>
      <c r="AF255" s="21">
        <f>2.41-AJ255</f>
        <v>2.2599999999999998</v>
      </c>
      <c r="AG255" s="18">
        <f>0.62-AQ255</f>
        <v>0.56999999999999995</v>
      </c>
      <c r="AH255" s="19">
        <f>2.78+0.13+0.18</f>
        <v>3.09</v>
      </c>
      <c r="AI255" s="43">
        <v>578</v>
      </c>
      <c r="AJ255" s="21">
        <f t="shared" si="178"/>
        <v>0.15</v>
      </c>
      <c r="AK255" s="9">
        <v>2.27</v>
      </c>
      <c r="AL255" s="9">
        <v>0.2</v>
      </c>
      <c r="AM255" s="9">
        <v>0.15</v>
      </c>
      <c r="AN255" s="13"/>
      <c r="AO255" s="13">
        <v>422.4</v>
      </c>
      <c r="AP255" s="13">
        <f t="shared" si="161"/>
        <v>5.58</v>
      </c>
      <c r="AQ255" s="18">
        <f t="shared" si="179"/>
        <v>0.05</v>
      </c>
      <c r="AR255" s="9">
        <v>0.59</v>
      </c>
      <c r="AS255" s="9">
        <v>0.36</v>
      </c>
      <c r="AT255" s="9">
        <v>7.0000000000000007E-2</v>
      </c>
      <c r="AU255" s="9">
        <v>3.84</v>
      </c>
      <c r="AV255" s="9">
        <v>0.17</v>
      </c>
      <c r="AW255" s="9">
        <f>1.44+0.27+0.34</f>
        <v>2.0499999999999998</v>
      </c>
      <c r="AX255" s="9">
        <f>2.02+0.46</f>
        <v>2.48</v>
      </c>
      <c r="AY255" s="102">
        <f t="shared" si="162"/>
        <v>24.53</v>
      </c>
      <c r="AZ255" s="103">
        <v>3796.6</v>
      </c>
      <c r="BA255" s="103">
        <v>0</v>
      </c>
      <c r="BB255" s="103">
        <f t="shared" si="177"/>
        <v>3796.6</v>
      </c>
      <c r="BC255" s="103">
        <v>24.53</v>
      </c>
      <c r="BD255" s="13">
        <f t="shared" si="160"/>
        <v>0</v>
      </c>
      <c r="BE255" s="9">
        <f t="shared" si="138"/>
        <v>93595.93</v>
      </c>
      <c r="BF255" s="9">
        <v>24.53</v>
      </c>
      <c r="BG255" s="10">
        <v>44409</v>
      </c>
      <c r="BH255" s="9">
        <f t="shared" si="139"/>
        <v>8165.32</v>
      </c>
      <c r="BI255" s="9">
        <f t="shared" si="140"/>
        <v>15605.68</v>
      </c>
      <c r="BJ255" s="9">
        <f t="shared" si="141"/>
        <v>8623.19</v>
      </c>
      <c r="BK255" s="9">
        <f t="shared" si="142"/>
        <v>2174.87</v>
      </c>
      <c r="BL255" s="9">
        <f t="shared" si="143"/>
        <v>11790.11</v>
      </c>
      <c r="BM255" s="9">
        <f t="shared" si="144"/>
        <v>572.34</v>
      </c>
      <c r="BN255" s="9">
        <f t="shared" si="145"/>
        <v>8661.34</v>
      </c>
      <c r="BO255" s="9">
        <f t="shared" si="146"/>
        <v>763.11</v>
      </c>
      <c r="BP255" s="9">
        <f t="shared" si="147"/>
        <v>572.34</v>
      </c>
      <c r="BQ255" s="9">
        <f t="shared" si="148"/>
        <v>190.78</v>
      </c>
      <c r="BR255" s="9">
        <f t="shared" si="149"/>
        <v>2251.19</v>
      </c>
      <c r="BS255" s="9">
        <f t="shared" si="150"/>
        <v>1373.61</v>
      </c>
      <c r="BT255" s="9">
        <f t="shared" si="151"/>
        <v>267.08999999999997</v>
      </c>
      <c r="BU255" s="9">
        <f t="shared" si="152"/>
        <v>14651.79</v>
      </c>
      <c r="BV255" s="9">
        <f t="shared" si="153"/>
        <v>648.65</v>
      </c>
      <c r="BW255" s="9">
        <f t="shared" si="154"/>
        <v>7821.92</v>
      </c>
      <c r="BX255" s="9">
        <f t="shared" si="155"/>
        <v>9462.61</v>
      </c>
      <c r="BY255" s="17">
        <f t="shared" si="156"/>
        <v>93595.94</v>
      </c>
      <c r="BZ255" s="17">
        <v>3.28</v>
      </c>
      <c r="CA255" s="17">
        <v>0.08</v>
      </c>
      <c r="CB255" s="17">
        <v>0.5</v>
      </c>
      <c r="CC255" s="27">
        <v>0.09</v>
      </c>
      <c r="CD255" s="29">
        <v>6.33</v>
      </c>
      <c r="CE255" s="9">
        <v>4362.37</v>
      </c>
      <c r="CF255" s="9">
        <v>1389.16</v>
      </c>
      <c r="CG255" s="9">
        <v>317.83</v>
      </c>
      <c r="CH255" s="9">
        <v>166.4</v>
      </c>
      <c r="CI255" s="9">
        <f t="shared" si="180"/>
        <v>1.1399999999999999</v>
      </c>
      <c r="CJ255" s="9">
        <f t="shared" si="181"/>
        <v>0.36</v>
      </c>
      <c r="CK255" s="13">
        <f t="shared" si="182"/>
        <v>0.08</v>
      </c>
      <c r="CL255" s="13">
        <f t="shared" si="183"/>
        <v>0.04</v>
      </c>
      <c r="CM255" s="13">
        <v>93595.93</v>
      </c>
      <c r="CN255" s="13">
        <v>3395.8</v>
      </c>
      <c r="CO255" s="13">
        <v>8775.83</v>
      </c>
      <c r="CP255" s="13">
        <v>305.26</v>
      </c>
      <c r="CQ255" s="13">
        <v>152.61000000000001</v>
      </c>
      <c r="CR255" s="13">
        <v>95537.18</v>
      </c>
      <c r="CS255" s="13">
        <v>4323.09</v>
      </c>
      <c r="CT255" s="13">
        <v>4431.01</v>
      </c>
      <c r="CU255" s="13">
        <v>311.57</v>
      </c>
      <c r="CV255" s="13">
        <v>165.98</v>
      </c>
      <c r="CW255" s="202">
        <v>3320</v>
      </c>
      <c r="CX255" s="200">
        <v>1905</v>
      </c>
      <c r="CY255" s="202"/>
      <c r="CZ255" s="202"/>
      <c r="DA255" s="202"/>
      <c r="DB255" s="202"/>
      <c r="DC255" s="202"/>
      <c r="DD255" s="461"/>
      <c r="DE255" s="256"/>
      <c r="DF255" s="202"/>
      <c r="DG255" s="202"/>
      <c r="DH255" s="202"/>
      <c r="DI255" s="204">
        <v>578</v>
      </c>
      <c r="DJ255" s="202">
        <v>8600</v>
      </c>
      <c r="DK255" s="202"/>
      <c r="DL255" s="202"/>
      <c r="DM255" s="202">
        <v>24099</v>
      </c>
      <c r="DN255" s="202">
        <v>3400</v>
      </c>
      <c r="DO255" s="202">
        <v>2</v>
      </c>
      <c r="DP255" s="202"/>
      <c r="DQ255" s="202"/>
      <c r="DR255" s="202"/>
      <c r="DS255" s="202"/>
      <c r="DT255" s="254"/>
      <c r="DU255" s="254"/>
      <c r="DV255" s="202">
        <v>17811</v>
      </c>
      <c r="DW255" s="202"/>
      <c r="DX255" s="202"/>
      <c r="DY255" s="107">
        <v>1365</v>
      </c>
      <c r="DZ255" s="107"/>
      <c r="EA255" s="202"/>
      <c r="EB255" s="202"/>
      <c r="EC255" s="202"/>
      <c r="ED255" s="202"/>
      <c r="EE255" s="202"/>
      <c r="EF255" s="229"/>
      <c r="EG255" s="202"/>
      <c r="EH255" s="202"/>
      <c r="EI255" s="202"/>
      <c r="EJ255" s="202"/>
      <c r="EK255" s="202">
        <v>3408.7</v>
      </c>
      <c r="EL255" s="202">
        <v>8762.7000000000007</v>
      </c>
      <c r="EM255" s="202">
        <v>317.83</v>
      </c>
      <c r="EN255" s="202">
        <v>166.4</v>
      </c>
      <c r="EO255" s="202">
        <v>3408.7</v>
      </c>
      <c r="EP255" s="202"/>
      <c r="EQ255" s="202">
        <v>317.83</v>
      </c>
      <c r="ER255" s="202">
        <v>166.4</v>
      </c>
      <c r="ES255" s="202"/>
      <c r="ET255" s="202"/>
      <c r="EU255" s="202"/>
      <c r="EV255" s="214">
        <v>6.72</v>
      </c>
      <c r="EW255" s="240">
        <f t="shared" si="157"/>
        <v>8345.26</v>
      </c>
      <c r="EX255" s="209">
        <f t="shared" si="158"/>
        <v>5431.54</v>
      </c>
    </row>
    <row r="256" spans="1:154" ht="12.75" customHeight="1" x14ac:dyDescent="0.2">
      <c r="A256" s="4" t="s">
        <v>353</v>
      </c>
      <c r="B256" s="99" t="s">
        <v>299</v>
      </c>
      <c r="C256" s="100" t="s">
        <v>34</v>
      </c>
      <c r="D256" s="101" t="s">
        <v>516</v>
      </c>
      <c r="E256" s="100" t="s">
        <v>12</v>
      </c>
      <c r="F256" s="11">
        <v>9</v>
      </c>
      <c r="G256" s="11">
        <v>2</v>
      </c>
      <c r="H256" s="11">
        <v>72</v>
      </c>
      <c r="I256" s="11">
        <v>73</v>
      </c>
      <c r="J256" s="11">
        <v>171</v>
      </c>
      <c r="K256" s="11">
        <v>192</v>
      </c>
      <c r="L256" s="83">
        <v>2</v>
      </c>
      <c r="M256" s="84">
        <v>594</v>
      </c>
      <c r="N256" s="84">
        <v>602</v>
      </c>
      <c r="O256" s="84">
        <v>0</v>
      </c>
      <c r="P256" s="139">
        <v>337</v>
      </c>
      <c r="Q256" s="135">
        <v>582.4</v>
      </c>
      <c r="R256" s="133">
        <v>0</v>
      </c>
      <c r="S256" s="133">
        <f t="shared" si="159"/>
        <v>919.4</v>
      </c>
      <c r="T256" s="139">
        <v>594</v>
      </c>
      <c r="U256" s="130">
        <v>2.72</v>
      </c>
      <c r="V256" s="131">
        <v>1.21E-2</v>
      </c>
      <c r="W256" s="131">
        <v>1.9800000000000002E-2</v>
      </c>
      <c r="X256" s="132">
        <v>1.2700000000000001E-3</v>
      </c>
      <c r="Y256" s="131">
        <v>1.21E-2</v>
      </c>
      <c r="Z256" s="29">
        <v>3821.68</v>
      </c>
      <c r="AA256" s="34"/>
      <c r="AB256" s="9">
        <f t="shared" si="176"/>
        <v>3821.68</v>
      </c>
      <c r="AC256" s="9">
        <f t="shared" si="184"/>
        <v>24191.23</v>
      </c>
      <c r="AD256" s="9">
        <v>2.14</v>
      </c>
      <c r="AE256" s="9">
        <v>4.42</v>
      </c>
      <c r="AF256" s="21">
        <f>2.43-AJ256</f>
        <v>2.2799999999999998</v>
      </c>
      <c r="AG256" s="18">
        <f>0.62-AQ256</f>
        <v>0.56999999999999995</v>
      </c>
      <c r="AH256" s="19">
        <f>2.78+0.13+0.18</f>
        <v>3.09</v>
      </c>
      <c r="AI256" s="43">
        <v>578</v>
      </c>
      <c r="AJ256" s="21">
        <f t="shared" si="178"/>
        <v>0.15</v>
      </c>
      <c r="AK256" s="9">
        <v>2.2599999999999998</v>
      </c>
      <c r="AL256" s="9">
        <v>0.2</v>
      </c>
      <c r="AM256" s="9">
        <v>0.25</v>
      </c>
      <c r="AN256" s="13"/>
      <c r="AO256" s="13">
        <v>422.4</v>
      </c>
      <c r="AP256" s="13">
        <f t="shared" si="161"/>
        <v>5.58</v>
      </c>
      <c r="AQ256" s="18">
        <f t="shared" si="179"/>
        <v>0.05</v>
      </c>
      <c r="AR256" s="9">
        <v>0.59</v>
      </c>
      <c r="AS256" s="9">
        <v>0.36</v>
      </c>
      <c r="AT256" s="9">
        <v>7.0000000000000007E-2</v>
      </c>
      <c r="AU256" s="9">
        <v>3.38</v>
      </c>
      <c r="AV256" s="9">
        <v>0.17</v>
      </c>
      <c r="AW256" s="9">
        <f>1.47+0.26+0.3</f>
        <v>2.0299999999999998</v>
      </c>
      <c r="AX256" s="9">
        <f>2.08+0.4</f>
        <v>2.48</v>
      </c>
      <c r="AY256" s="102">
        <f t="shared" si="162"/>
        <v>24.49</v>
      </c>
      <c r="AZ256" s="103">
        <v>3804.9</v>
      </c>
      <c r="BA256" s="103">
        <v>0</v>
      </c>
      <c r="BB256" s="103">
        <f t="shared" si="177"/>
        <v>3804.9</v>
      </c>
      <c r="BC256" s="103">
        <v>24.49</v>
      </c>
      <c r="BD256" s="13">
        <f t="shared" si="160"/>
        <v>0</v>
      </c>
      <c r="BE256" s="9">
        <f t="shared" si="138"/>
        <v>93592.94</v>
      </c>
      <c r="BF256" s="9">
        <v>24.49</v>
      </c>
      <c r="BG256" s="10">
        <v>44409</v>
      </c>
      <c r="BH256" s="9">
        <f t="shared" si="139"/>
        <v>8178.4</v>
      </c>
      <c r="BI256" s="9">
        <f t="shared" si="140"/>
        <v>16891.830000000002</v>
      </c>
      <c r="BJ256" s="9">
        <f t="shared" si="141"/>
        <v>8713.43</v>
      </c>
      <c r="BK256" s="9">
        <f t="shared" si="142"/>
        <v>2178.36</v>
      </c>
      <c r="BL256" s="9">
        <f t="shared" si="143"/>
        <v>11808.99</v>
      </c>
      <c r="BM256" s="9">
        <f t="shared" si="144"/>
        <v>573.25</v>
      </c>
      <c r="BN256" s="9">
        <f t="shared" si="145"/>
        <v>8637</v>
      </c>
      <c r="BO256" s="9">
        <f t="shared" si="146"/>
        <v>764.34</v>
      </c>
      <c r="BP256" s="9">
        <f t="shared" si="147"/>
        <v>955.42</v>
      </c>
      <c r="BQ256" s="9">
        <f t="shared" si="148"/>
        <v>191.08</v>
      </c>
      <c r="BR256" s="9">
        <f t="shared" si="149"/>
        <v>2254.79</v>
      </c>
      <c r="BS256" s="9">
        <f t="shared" si="150"/>
        <v>1375.8</v>
      </c>
      <c r="BT256" s="9">
        <f t="shared" si="151"/>
        <v>267.52</v>
      </c>
      <c r="BU256" s="9">
        <f t="shared" si="152"/>
        <v>12917.28</v>
      </c>
      <c r="BV256" s="9">
        <f t="shared" si="153"/>
        <v>649.69000000000005</v>
      </c>
      <c r="BW256" s="9">
        <f t="shared" si="154"/>
        <v>7758.01</v>
      </c>
      <c r="BX256" s="9">
        <f t="shared" si="155"/>
        <v>9477.77</v>
      </c>
      <c r="BY256" s="17">
        <f t="shared" si="156"/>
        <v>93592.960000000006</v>
      </c>
      <c r="BZ256" s="17">
        <v>3.27</v>
      </c>
      <c r="CA256" s="17">
        <v>0.08</v>
      </c>
      <c r="CB256" s="17">
        <v>0.5</v>
      </c>
      <c r="CC256" s="27">
        <v>0.09</v>
      </c>
      <c r="CD256" s="29">
        <v>6.33</v>
      </c>
      <c r="CE256" s="9">
        <v>5488.39</v>
      </c>
      <c r="CF256" s="9"/>
      <c r="CG256" s="9">
        <v>0</v>
      </c>
      <c r="CH256" s="9">
        <v>0</v>
      </c>
      <c r="CI256" s="9">
        <f t="shared" si="180"/>
        <v>1.44</v>
      </c>
      <c r="CJ256" s="9">
        <f t="shared" si="181"/>
        <v>0</v>
      </c>
      <c r="CK256" s="13">
        <f t="shared" si="182"/>
        <v>0</v>
      </c>
      <c r="CL256" s="13">
        <f t="shared" si="183"/>
        <v>0</v>
      </c>
      <c r="CM256" s="13">
        <v>93592.94</v>
      </c>
      <c r="CN256" s="13">
        <v>4509.62</v>
      </c>
      <c r="CO256" s="13">
        <v>0</v>
      </c>
      <c r="CP256" s="13">
        <v>0</v>
      </c>
      <c r="CQ256" s="13">
        <v>0</v>
      </c>
      <c r="CR256" s="13">
        <v>87780.96</v>
      </c>
      <c r="CS256" s="13">
        <v>5108.3</v>
      </c>
      <c r="CT256" s="13">
        <v>767.08</v>
      </c>
      <c r="CU256" s="13">
        <v>61.92</v>
      </c>
      <c r="CV256" s="13">
        <v>69.64</v>
      </c>
      <c r="CW256" s="202">
        <v>3330</v>
      </c>
      <c r="CX256" s="200">
        <v>1910</v>
      </c>
      <c r="CY256" s="202"/>
      <c r="CZ256" s="202"/>
      <c r="DA256" s="202"/>
      <c r="DB256" s="202"/>
      <c r="DC256" s="202"/>
      <c r="DD256" s="461"/>
      <c r="DE256" s="256"/>
      <c r="DF256" s="202"/>
      <c r="DG256" s="202"/>
      <c r="DH256" s="202"/>
      <c r="DI256" s="204">
        <v>578</v>
      </c>
      <c r="DJ256" s="202">
        <v>8600</v>
      </c>
      <c r="DK256" s="202"/>
      <c r="DL256" s="202"/>
      <c r="DM256" s="202">
        <v>25372</v>
      </c>
      <c r="DN256" s="202">
        <v>3400</v>
      </c>
      <c r="DO256" s="202">
        <v>2</v>
      </c>
      <c r="DP256" s="202"/>
      <c r="DQ256" s="202"/>
      <c r="DR256" s="202"/>
      <c r="DS256" s="202"/>
      <c r="DT256" s="254"/>
      <c r="DU256" s="254"/>
      <c r="DV256" s="202">
        <v>17909</v>
      </c>
      <c r="DW256" s="202"/>
      <c r="DX256" s="202"/>
      <c r="DY256" s="107">
        <v>1365</v>
      </c>
      <c r="DZ256" s="107">
        <v>942</v>
      </c>
      <c r="EA256" s="202">
        <v>7459.87</v>
      </c>
      <c r="EB256" s="202"/>
      <c r="EC256" s="202"/>
      <c r="ED256" s="202"/>
      <c r="EE256" s="202"/>
      <c r="EF256" s="229"/>
      <c r="EG256" s="202"/>
      <c r="EH256" s="202"/>
      <c r="EI256" s="202"/>
      <c r="EJ256" s="202"/>
      <c r="EK256" s="202">
        <v>4523.2299999999996</v>
      </c>
      <c r="EL256" s="202">
        <v>0</v>
      </c>
      <c r="EM256" s="202">
        <v>0</v>
      </c>
      <c r="EN256" s="202">
        <v>0</v>
      </c>
      <c r="EO256" s="202">
        <v>4523.2299999999996</v>
      </c>
      <c r="EP256" s="202"/>
      <c r="EQ256" s="202">
        <v>0</v>
      </c>
      <c r="ER256" s="202">
        <v>0</v>
      </c>
      <c r="ES256" s="202"/>
      <c r="ET256" s="202"/>
      <c r="EU256" s="202"/>
      <c r="EV256" s="214">
        <v>-5.04</v>
      </c>
      <c r="EW256" s="240">
        <f t="shared" si="157"/>
        <v>8358.6299999999992</v>
      </c>
      <c r="EX256" s="209">
        <f t="shared" si="158"/>
        <v>5440.24</v>
      </c>
    </row>
    <row r="257" spans="1:154" ht="12.75" customHeight="1" x14ac:dyDescent="0.2">
      <c r="A257" s="4" t="s">
        <v>355</v>
      </c>
      <c r="B257" s="113" t="s">
        <v>299</v>
      </c>
      <c r="C257" s="114" t="s">
        <v>34</v>
      </c>
      <c r="D257" s="115" t="s">
        <v>594</v>
      </c>
      <c r="E257" s="114" t="s">
        <v>9</v>
      </c>
      <c r="F257" s="11">
        <v>5</v>
      </c>
      <c r="G257" s="11">
        <v>6</v>
      </c>
      <c r="H257" s="11">
        <v>90</v>
      </c>
      <c r="I257" s="11">
        <v>91</v>
      </c>
      <c r="J257" s="11">
        <v>193</v>
      </c>
      <c r="K257" s="11">
        <v>211</v>
      </c>
      <c r="L257" s="11" t="s">
        <v>746</v>
      </c>
      <c r="M257" s="84">
        <v>416</v>
      </c>
      <c r="N257" s="84">
        <v>1287</v>
      </c>
      <c r="O257" s="84">
        <v>0</v>
      </c>
      <c r="P257" s="135">
        <v>395.6</v>
      </c>
      <c r="Q257" s="135">
        <v>1285</v>
      </c>
      <c r="R257" s="133">
        <v>0</v>
      </c>
      <c r="S257" s="133">
        <f t="shared" si="159"/>
        <v>1680.6</v>
      </c>
      <c r="T257" s="134">
        <v>395.5</v>
      </c>
      <c r="U257" s="130">
        <v>1.53</v>
      </c>
      <c r="V257" s="131">
        <v>1.9800000000000002E-2</v>
      </c>
      <c r="W257" s="131">
        <v>1.9800000000000002E-2</v>
      </c>
      <c r="X257" s="132">
        <v>1.2199999999999999E-3</v>
      </c>
      <c r="Y257" s="131">
        <v>3.95E-2</v>
      </c>
      <c r="Z257" s="29">
        <v>3925.91</v>
      </c>
      <c r="AA257" s="34"/>
      <c r="AB257" s="9">
        <f t="shared" si="176"/>
        <v>3925.91</v>
      </c>
      <c r="AC257" s="9">
        <f t="shared" si="184"/>
        <v>24851.01</v>
      </c>
      <c r="AD257" s="9">
        <v>0.51</v>
      </c>
      <c r="AE257" s="9">
        <v>4.88</v>
      </c>
      <c r="AF257" s="21">
        <f>2.51-AJ257</f>
        <v>2.2000000000000002</v>
      </c>
      <c r="AG257" s="18">
        <f>0.57-AQ257</f>
        <v>0.46</v>
      </c>
      <c r="AH257" s="9">
        <v>2.78</v>
      </c>
      <c r="AI257" s="43">
        <v>1235</v>
      </c>
      <c r="AJ257" s="21">
        <f t="shared" si="178"/>
        <v>0.31</v>
      </c>
      <c r="AK257" s="9">
        <v>0</v>
      </c>
      <c r="AL257" s="9">
        <v>0</v>
      </c>
      <c r="AM257" s="9">
        <v>0.15</v>
      </c>
      <c r="AN257" s="13"/>
      <c r="AO257" s="13">
        <v>901.8</v>
      </c>
      <c r="AP257" s="13">
        <f t="shared" si="161"/>
        <v>5.58</v>
      </c>
      <c r="AQ257" s="18">
        <f t="shared" si="179"/>
        <v>0.11</v>
      </c>
      <c r="AR257" s="9">
        <v>0.8</v>
      </c>
      <c r="AS257" s="9">
        <v>0.35</v>
      </c>
      <c r="AT257" s="9">
        <v>7.0000000000000007E-2</v>
      </c>
      <c r="AU257" s="9">
        <v>3.64</v>
      </c>
      <c r="AV257" s="9">
        <v>0.13</v>
      </c>
      <c r="AW257" s="9">
        <f>1.13+0.33+0.31</f>
        <v>1.77</v>
      </c>
      <c r="AX257" s="9">
        <f>1.55+0.43</f>
        <v>1.98</v>
      </c>
      <c r="AY257" s="110">
        <f t="shared" si="162"/>
        <v>20.14</v>
      </c>
      <c r="AZ257" s="111">
        <v>3902</v>
      </c>
      <c r="BA257" s="111">
        <v>0</v>
      </c>
      <c r="BB257" s="111">
        <f t="shared" si="177"/>
        <v>3902</v>
      </c>
      <c r="BC257" s="111">
        <v>20.14</v>
      </c>
      <c r="BD257" s="13">
        <f t="shared" si="160"/>
        <v>0</v>
      </c>
      <c r="BE257" s="9">
        <f t="shared" si="138"/>
        <v>79067.83</v>
      </c>
      <c r="BF257" s="9">
        <v>20.14</v>
      </c>
      <c r="BG257" s="10">
        <v>44409</v>
      </c>
      <c r="BH257" s="9">
        <f t="shared" si="139"/>
        <v>2002.21</v>
      </c>
      <c r="BI257" s="9">
        <f t="shared" si="140"/>
        <v>19158.439999999999</v>
      </c>
      <c r="BJ257" s="9">
        <f t="shared" si="141"/>
        <v>8637</v>
      </c>
      <c r="BK257" s="9">
        <f t="shared" si="142"/>
        <v>1805.92</v>
      </c>
      <c r="BL257" s="9">
        <f t="shared" si="143"/>
        <v>10914.03</v>
      </c>
      <c r="BM257" s="9">
        <f t="shared" si="144"/>
        <v>1217.03</v>
      </c>
      <c r="BN257" s="9">
        <f t="shared" si="145"/>
        <v>0</v>
      </c>
      <c r="BO257" s="9">
        <f t="shared" si="146"/>
        <v>0</v>
      </c>
      <c r="BP257" s="9">
        <f t="shared" si="147"/>
        <v>588.89</v>
      </c>
      <c r="BQ257" s="9">
        <f t="shared" si="148"/>
        <v>431.85</v>
      </c>
      <c r="BR257" s="9">
        <f t="shared" si="149"/>
        <v>3140.73</v>
      </c>
      <c r="BS257" s="9">
        <f t="shared" si="150"/>
        <v>1374.07</v>
      </c>
      <c r="BT257" s="9">
        <f t="shared" si="151"/>
        <v>274.81</v>
      </c>
      <c r="BU257" s="9">
        <f t="shared" si="152"/>
        <v>14290.31</v>
      </c>
      <c r="BV257" s="9">
        <f t="shared" si="153"/>
        <v>510.37</v>
      </c>
      <c r="BW257" s="9">
        <f t="shared" si="154"/>
        <v>6948.86</v>
      </c>
      <c r="BX257" s="9">
        <f t="shared" si="155"/>
        <v>7773.3</v>
      </c>
      <c r="BY257" s="17">
        <f t="shared" si="156"/>
        <v>79067.820000000007</v>
      </c>
      <c r="BZ257" s="17">
        <v>2.52</v>
      </c>
      <c r="CA257" s="17">
        <v>0.05</v>
      </c>
      <c r="CB257" s="17">
        <v>0.32</v>
      </c>
      <c r="CC257" s="27">
        <v>0.06</v>
      </c>
      <c r="CD257" s="29">
        <v>6.33</v>
      </c>
      <c r="CE257" s="9">
        <v>0</v>
      </c>
      <c r="CF257" s="9"/>
      <c r="CG257" s="9">
        <v>14430.82</v>
      </c>
      <c r="CH257" s="9">
        <v>7665.82</v>
      </c>
      <c r="CI257" s="9">
        <f t="shared" si="180"/>
        <v>0</v>
      </c>
      <c r="CJ257" s="9">
        <f t="shared" si="181"/>
        <v>0</v>
      </c>
      <c r="CK257" s="13">
        <f t="shared" si="182"/>
        <v>3.68</v>
      </c>
      <c r="CL257" s="13">
        <f t="shared" si="183"/>
        <v>1.95</v>
      </c>
      <c r="CM257" s="13">
        <v>79067.8</v>
      </c>
      <c r="CN257" s="13">
        <v>0</v>
      </c>
      <c r="CO257" s="13">
        <v>0</v>
      </c>
      <c r="CP257" s="13">
        <v>12327.33</v>
      </c>
      <c r="CQ257" s="13">
        <v>6556.34</v>
      </c>
      <c r="CR257" s="13">
        <v>69328.490000000005</v>
      </c>
      <c r="CS257" s="13">
        <v>1467.74</v>
      </c>
      <c r="CT257" s="13">
        <v>121.29</v>
      </c>
      <c r="CU257" s="13">
        <v>10407.11</v>
      </c>
      <c r="CV257" s="13">
        <v>5546.91</v>
      </c>
      <c r="CW257" s="202">
        <v>3420</v>
      </c>
      <c r="CX257" s="200">
        <v>1962</v>
      </c>
      <c r="CY257" s="202"/>
      <c r="CZ257" s="202"/>
      <c r="DA257" s="202"/>
      <c r="DB257" s="202"/>
      <c r="DC257" s="202"/>
      <c r="DD257" s="461"/>
      <c r="DE257" s="256"/>
      <c r="DF257" s="202"/>
      <c r="DG257" s="202"/>
      <c r="DH257" s="202"/>
      <c r="DI257" s="204">
        <v>1235</v>
      </c>
      <c r="DJ257" s="202"/>
      <c r="DK257" s="202"/>
      <c r="DL257" s="202"/>
      <c r="DM257" s="202">
        <v>21425</v>
      </c>
      <c r="DN257" s="202">
        <v>3400</v>
      </c>
      <c r="DO257" s="202">
        <v>2</v>
      </c>
      <c r="DP257" s="202"/>
      <c r="DQ257" s="202"/>
      <c r="DR257" s="202"/>
      <c r="DS257" s="202"/>
      <c r="DT257" s="254"/>
      <c r="DU257" s="254"/>
      <c r="DV257" s="202">
        <v>18100</v>
      </c>
      <c r="DW257" s="202"/>
      <c r="DX257" s="202"/>
      <c r="DY257" s="107">
        <v>1365</v>
      </c>
      <c r="DZ257" s="107"/>
      <c r="EA257" s="202"/>
      <c r="EB257" s="202"/>
      <c r="EC257" s="202"/>
      <c r="ED257" s="202"/>
      <c r="EE257" s="202"/>
      <c r="EF257" s="229"/>
      <c r="EG257" s="202"/>
      <c r="EH257" s="202"/>
      <c r="EI257" s="202"/>
      <c r="EJ257" s="202"/>
      <c r="EK257" s="202">
        <v>0</v>
      </c>
      <c r="EL257" s="202">
        <v>0</v>
      </c>
      <c r="EM257" s="202">
        <v>12322.94</v>
      </c>
      <c r="EN257" s="202">
        <v>6562.28</v>
      </c>
      <c r="EO257" s="202">
        <v>0</v>
      </c>
      <c r="EP257" s="202"/>
      <c r="EQ257" s="202">
        <v>12322.94</v>
      </c>
      <c r="ER257" s="202">
        <v>6562.28</v>
      </c>
      <c r="ES257" s="202"/>
      <c r="ET257" s="202"/>
      <c r="EU257" s="202"/>
      <c r="EV257" s="214">
        <v>238.36</v>
      </c>
      <c r="EW257" s="240">
        <f t="shared" si="157"/>
        <v>8586.59</v>
      </c>
      <c r="EX257" s="209">
        <f t="shared" si="158"/>
        <v>5588.61</v>
      </c>
    </row>
    <row r="258" spans="1:154" ht="12.75" customHeight="1" x14ac:dyDescent="0.2">
      <c r="A258" s="4" t="s">
        <v>356</v>
      </c>
      <c r="B258" s="99" t="s">
        <v>299</v>
      </c>
      <c r="C258" s="100" t="s">
        <v>37</v>
      </c>
      <c r="D258" s="101" t="s">
        <v>517</v>
      </c>
      <c r="E258" s="100" t="s">
        <v>12</v>
      </c>
      <c r="F258" s="11">
        <v>9</v>
      </c>
      <c r="G258" s="11">
        <v>4</v>
      </c>
      <c r="H258" s="11">
        <v>216</v>
      </c>
      <c r="I258" s="11">
        <v>214</v>
      </c>
      <c r="J258" s="11">
        <v>458</v>
      </c>
      <c r="K258" s="11">
        <v>517</v>
      </c>
      <c r="L258" s="11">
        <v>4</v>
      </c>
      <c r="M258" s="84">
        <v>1484</v>
      </c>
      <c r="N258" s="84">
        <v>1687</v>
      </c>
      <c r="O258" s="84">
        <v>0</v>
      </c>
      <c r="P258" s="139">
        <v>1487.5</v>
      </c>
      <c r="Q258" s="135">
        <v>1696</v>
      </c>
      <c r="R258" s="133">
        <v>0</v>
      </c>
      <c r="S258" s="133">
        <f t="shared" si="159"/>
        <v>3183.5</v>
      </c>
      <c r="T258" s="139">
        <v>1484</v>
      </c>
      <c r="U258" s="130">
        <v>2.72</v>
      </c>
      <c r="V258" s="131">
        <v>1.21E-2</v>
      </c>
      <c r="W258" s="131">
        <v>1.9800000000000002E-2</v>
      </c>
      <c r="X258" s="132">
        <v>1.2700000000000001E-3</v>
      </c>
      <c r="Y258" s="131">
        <v>1.21E-2</v>
      </c>
      <c r="Z258" s="29">
        <v>10693.22</v>
      </c>
      <c r="AA258" s="34">
        <v>184.2</v>
      </c>
      <c r="AB258" s="9">
        <f t="shared" si="176"/>
        <v>10877.42</v>
      </c>
      <c r="AC258" s="9">
        <f t="shared" si="184"/>
        <v>68854.070000000007</v>
      </c>
      <c r="AD258" s="9">
        <v>1.87</v>
      </c>
      <c r="AE258" s="9">
        <v>4.8099999999999996</v>
      </c>
      <c r="AF258" s="21">
        <f>2.41-AJ258</f>
        <v>2.2599999999999998</v>
      </c>
      <c r="AG258" s="18">
        <f>0.6-AQ258</f>
        <v>0.55000000000000004</v>
      </c>
      <c r="AH258" s="19">
        <f>2.77+0.05+0.11</f>
        <v>2.93</v>
      </c>
      <c r="AI258" s="43">
        <v>1620</v>
      </c>
      <c r="AJ258" s="21">
        <f t="shared" si="178"/>
        <v>0.15</v>
      </c>
      <c r="AK258" s="9">
        <v>1.59</v>
      </c>
      <c r="AL258" s="9">
        <v>0.14000000000000001</v>
      </c>
      <c r="AM258" s="9">
        <v>0.09</v>
      </c>
      <c r="AN258" s="13"/>
      <c r="AO258" s="13">
        <v>1267.2</v>
      </c>
      <c r="AP258" s="13">
        <f t="shared" si="161"/>
        <v>5.58</v>
      </c>
      <c r="AQ258" s="18">
        <f t="shared" si="179"/>
        <v>0.05</v>
      </c>
      <c r="AR258" s="9">
        <v>0.63</v>
      </c>
      <c r="AS258" s="9">
        <v>0.13</v>
      </c>
      <c r="AT258" s="9">
        <v>7.0000000000000007E-2</v>
      </c>
      <c r="AU258" s="9">
        <v>3.44</v>
      </c>
      <c r="AV258" s="9">
        <v>0.16</v>
      </c>
      <c r="AW258" s="9">
        <f>1.37+0.26+0.3</f>
        <v>1.93</v>
      </c>
      <c r="AX258" s="9">
        <f>1.9+0.41</f>
        <v>2.31</v>
      </c>
      <c r="AY258" s="102">
        <f t="shared" si="162"/>
        <v>23.11</v>
      </c>
      <c r="AZ258" s="103">
        <v>10659.8</v>
      </c>
      <c r="BA258" s="103">
        <v>184.2</v>
      </c>
      <c r="BB258" s="103">
        <f t="shared" si="177"/>
        <v>10844</v>
      </c>
      <c r="BC258" s="103">
        <v>23.11</v>
      </c>
      <c r="BD258" s="13">
        <f t="shared" si="160"/>
        <v>0</v>
      </c>
      <c r="BE258" s="9">
        <f t="shared" si="138"/>
        <v>251377.18</v>
      </c>
      <c r="BF258" s="9">
        <v>23.11</v>
      </c>
      <c r="BG258" s="10">
        <v>44378</v>
      </c>
      <c r="BH258" s="9">
        <f t="shared" si="139"/>
        <v>20340.78</v>
      </c>
      <c r="BI258" s="9">
        <f t="shared" si="140"/>
        <v>52320.39</v>
      </c>
      <c r="BJ258" s="9">
        <f t="shared" si="141"/>
        <v>24582.97</v>
      </c>
      <c r="BK258" s="9">
        <f t="shared" si="142"/>
        <v>5982.58</v>
      </c>
      <c r="BL258" s="9">
        <f t="shared" si="143"/>
        <v>31870.84</v>
      </c>
      <c r="BM258" s="9">
        <f t="shared" si="144"/>
        <v>1631.61</v>
      </c>
      <c r="BN258" s="9">
        <f t="shared" si="145"/>
        <v>17295.099999999999</v>
      </c>
      <c r="BO258" s="9">
        <f t="shared" si="146"/>
        <v>1522.84</v>
      </c>
      <c r="BP258" s="9">
        <f t="shared" si="147"/>
        <v>978.97</v>
      </c>
      <c r="BQ258" s="9">
        <f t="shared" si="148"/>
        <v>543.87</v>
      </c>
      <c r="BR258" s="9">
        <f t="shared" si="149"/>
        <v>6852.77</v>
      </c>
      <c r="BS258" s="9">
        <f t="shared" si="150"/>
        <v>1414.06</v>
      </c>
      <c r="BT258" s="9">
        <f t="shared" si="151"/>
        <v>761.42</v>
      </c>
      <c r="BU258" s="9">
        <f t="shared" si="152"/>
        <v>37418.32</v>
      </c>
      <c r="BV258" s="9">
        <f t="shared" si="153"/>
        <v>1740.39</v>
      </c>
      <c r="BW258" s="9">
        <f t="shared" si="154"/>
        <v>20993.42</v>
      </c>
      <c r="BX258" s="9">
        <f t="shared" si="155"/>
        <v>25126.84</v>
      </c>
      <c r="BY258" s="17">
        <f t="shared" si="156"/>
        <v>251377.17</v>
      </c>
      <c r="BZ258" s="17">
        <v>3.08</v>
      </c>
      <c r="CA258" s="17">
        <v>7.0000000000000007E-2</v>
      </c>
      <c r="CB258" s="17">
        <v>0.45</v>
      </c>
      <c r="CC258" s="27">
        <v>0.08</v>
      </c>
      <c r="CD258" s="29">
        <v>6.33</v>
      </c>
      <c r="CE258" s="9">
        <v>38803.26</v>
      </c>
      <c r="CF258" s="9"/>
      <c r="CG258" s="9">
        <v>0</v>
      </c>
      <c r="CH258" s="9">
        <v>0</v>
      </c>
      <c r="CI258" s="9">
        <f t="shared" si="180"/>
        <v>3.57</v>
      </c>
      <c r="CJ258" s="9">
        <f t="shared" si="181"/>
        <v>0</v>
      </c>
      <c r="CK258" s="13">
        <f t="shared" si="182"/>
        <v>0</v>
      </c>
      <c r="CL258" s="13">
        <f t="shared" si="183"/>
        <v>0</v>
      </c>
      <c r="CM258" s="13">
        <v>247120.38</v>
      </c>
      <c r="CN258" s="13">
        <v>0</v>
      </c>
      <c r="CO258" s="13">
        <v>44056.06</v>
      </c>
      <c r="CP258" s="13">
        <v>0</v>
      </c>
      <c r="CQ258" s="13">
        <v>0</v>
      </c>
      <c r="CR258" s="13">
        <v>244402.19</v>
      </c>
      <c r="CS258" s="13">
        <v>20030.55</v>
      </c>
      <c r="CT258" s="13">
        <v>13327.88</v>
      </c>
      <c r="CU258" s="13">
        <v>73.569999999999993</v>
      </c>
      <c r="CV258" s="13">
        <v>84.03</v>
      </c>
      <c r="CW258" s="202">
        <v>9474</v>
      </c>
      <c r="CX258" s="200">
        <v>5435</v>
      </c>
      <c r="CY258" s="202"/>
      <c r="CZ258" s="202"/>
      <c r="DA258" s="202"/>
      <c r="DB258" s="202"/>
      <c r="DC258" s="202"/>
      <c r="DD258" s="461"/>
      <c r="DE258" s="256"/>
      <c r="DF258" s="202"/>
      <c r="DG258" s="202"/>
      <c r="DH258" s="202"/>
      <c r="DI258" s="204">
        <v>1620</v>
      </c>
      <c r="DJ258" s="202">
        <v>17200</v>
      </c>
      <c r="DK258" s="202"/>
      <c r="DL258" s="202"/>
      <c r="DM258" s="202">
        <v>73675</v>
      </c>
      <c r="DN258" s="202">
        <v>1700</v>
      </c>
      <c r="DO258" s="202">
        <v>1</v>
      </c>
      <c r="DP258" s="202"/>
      <c r="DQ258" s="202"/>
      <c r="DR258" s="202"/>
      <c r="DS258" s="202"/>
      <c r="DT258" s="254"/>
      <c r="DU258" s="254"/>
      <c r="DV258" s="202">
        <v>49854</v>
      </c>
      <c r="DW258" s="202"/>
      <c r="DX258" s="202"/>
      <c r="DY258" s="107">
        <v>1365</v>
      </c>
      <c r="DZ258" s="107">
        <v>942</v>
      </c>
      <c r="EA258" s="202">
        <f>2088.98+9461.76</f>
        <v>11550.74</v>
      </c>
      <c r="EB258" s="202"/>
      <c r="EC258" s="202"/>
      <c r="ED258" s="202"/>
      <c r="EE258" s="202"/>
      <c r="EF258" s="229"/>
      <c r="EG258" s="202"/>
      <c r="EH258" s="202"/>
      <c r="EI258" s="202"/>
      <c r="EJ258" s="202"/>
      <c r="EK258" s="202">
        <v>28540.47</v>
      </c>
      <c r="EL258" s="202">
        <v>77407.210000000006</v>
      </c>
      <c r="EM258" s="202">
        <v>0</v>
      </c>
      <c r="EN258" s="202">
        <v>0</v>
      </c>
      <c r="EO258" s="202">
        <v>28540.47</v>
      </c>
      <c r="EP258" s="202"/>
      <c r="EQ258" s="202">
        <v>0</v>
      </c>
      <c r="ER258" s="202">
        <v>0</v>
      </c>
      <c r="ES258" s="202"/>
      <c r="ET258" s="202"/>
      <c r="EU258" s="202"/>
      <c r="EV258" s="214">
        <v>-15.81</v>
      </c>
      <c r="EW258" s="240">
        <f t="shared" si="157"/>
        <v>23790.66</v>
      </c>
      <c r="EX258" s="209">
        <f t="shared" si="158"/>
        <v>15484.22</v>
      </c>
    </row>
    <row r="259" spans="1:154" ht="12.75" customHeight="1" x14ac:dyDescent="0.2">
      <c r="A259" s="4" t="s">
        <v>357</v>
      </c>
      <c r="B259" s="113" t="s">
        <v>299</v>
      </c>
      <c r="C259" s="114" t="s">
        <v>37</v>
      </c>
      <c r="D259" s="115" t="s">
        <v>595</v>
      </c>
      <c r="E259" s="114" t="s">
        <v>9</v>
      </c>
      <c r="F259" s="11">
        <v>5</v>
      </c>
      <c r="G259" s="11">
        <v>6</v>
      </c>
      <c r="H259" s="11">
        <v>90</v>
      </c>
      <c r="I259" s="11">
        <v>93</v>
      </c>
      <c r="J259" s="11">
        <v>182</v>
      </c>
      <c r="K259" s="11">
        <v>200</v>
      </c>
      <c r="L259" s="11" t="s">
        <v>746</v>
      </c>
      <c r="M259" s="84">
        <v>409</v>
      </c>
      <c r="N259" s="84">
        <v>1287</v>
      </c>
      <c r="O259" s="84">
        <v>0</v>
      </c>
      <c r="P259" s="139">
        <v>407</v>
      </c>
      <c r="Q259" s="135" t="s">
        <v>808</v>
      </c>
      <c r="R259" s="133">
        <v>0</v>
      </c>
      <c r="S259" s="133">
        <f t="shared" si="159"/>
        <v>407</v>
      </c>
      <c r="T259" s="139">
        <v>409</v>
      </c>
      <c r="U259" s="130">
        <v>1.83</v>
      </c>
      <c r="V259" s="131">
        <v>1.1299999999999999E-2</v>
      </c>
      <c r="W259" s="131">
        <v>1.9800000000000002E-2</v>
      </c>
      <c r="X259" s="132">
        <v>1.2700000000000001E-3</v>
      </c>
      <c r="Y259" s="131">
        <v>1.1299999999999999E-2</v>
      </c>
      <c r="Z259" s="29">
        <v>3977.79</v>
      </c>
      <c r="AA259" s="34"/>
      <c r="AB259" s="9">
        <f t="shared" si="176"/>
        <v>3977.79</v>
      </c>
      <c r="AC259" s="9">
        <f t="shared" si="184"/>
        <v>25179.41</v>
      </c>
      <c r="AD259" s="9">
        <v>0.51</v>
      </c>
      <c r="AE259" s="9">
        <f>3.78</f>
        <v>3.78</v>
      </c>
      <c r="AF259" s="21">
        <f>2.48-AJ259</f>
        <v>2.17</v>
      </c>
      <c r="AG259" s="18">
        <f>0.56-AQ259</f>
        <v>0.45</v>
      </c>
      <c r="AH259" s="9">
        <v>2.78</v>
      </c>
      <c r="AI259" s="43">
        <v>1235</v>
      </c>
      <c r="AJ259" s="21">
        <f t="shared" si="178"/>
        <v>0.31</v>
      </c>
      <c r="AK259" s="9">
        <v>0</v>
      </c>
      <c r="AL259" s="9">
        <v>0</v>
      </c>
      <c r="AM259" s="9">
        <v>0.15</v>
      </c>
      <c r="AN259" s="13"/>
      <c r="AO259" s="13">
        <v>901.8</v>
      </c>
      <c r="AP259" s="13">
        <f t="shared" si="161"/>
        <v>5.58</v>
      </c>
      <c r="AQ259" s="18">
        <f t="shared" si="179"/>
        <v>0.11</v>
      </c>
      <c r="AR259" s="9">
        <v>0.79</v>
      </c>
      <c r="AS259" s="9">
        <v>0.34</v>
      </c>
      <c r="AT259" s="9">
        <v>7.0000000000000007E-2</v>
      </c>
      <c r="AU259" s="9">
        <v>4.84</v>
      </c>
      <c r="AV259" s="9">
        <v>0.12</v>
      </c>
      <c r="AW259" s="9">
        <f>1.03+0.33+0.43</f>
        <v>1.79</v>
      </c>
      <c r="AX259" s="9">
        <f>1.41+0.57</f>
        <v>1.98</v>
      </c>
      <c r="AY259" s="110">
        <f t="shared" si="162"/>
        <v>20.190000000000001</v>
      </c>
      <c r="AZ259" s="111">
        <v>3974.2</v>
      </c>
      <c r="BA259" s="111">
        <v>0</v>
      </c>
      <c r="BB259" s="111">
        <f t="shared" si="177"/>
        <v>3974.2</v>
      </c>
      <c r="BC259" s="111">
        <v>20.190000000000001</v>
      </c>
      <c r="BD259" s="13">
        <f t="shared" si="160"/>
        <v>0</v>
      </c>
      <c r="BE259" s="9">
        <f t="shared" si="138"/>
        <v>80311.58</v>
      </c>
      <c r="BF259" s="9">
        <v>20.190000000000001</v>
      </c>
      <c r="BG259" s="10">
        <v>44409</v>
      </c>
      <c r="BH259" s="9">
        <f t="shared" si="139"/>
        <v>2028.67</v>
      </c>
      <c r="BI259" s="9">
        <f t="shared" si="140"/>
        <v>15036.05</v>
      </c>
      <c r="BJ259" s="9">
        <f t="shared" si="141"/>
        <v>8631.7999999999993</v>
      </c>
      <c r="BK259" s="9">
        <f t="shared" si="142"/>
        <v>1790.01</v>
      </c>
      <c r="BL259" s="9">
        <f t="shared" si="143"/>
        <v>11058.26</v>
      </c>
      <c r="BM259" s="9">
        <f t="shared" si="144"/>
        <v>1233.1099999999999</v>
      </c>
      <c r="BN259" s="9">
        <f t="shared" si="145"/>
        <v>0</v>
      </c>
      <c r="BO259" s="9">
        <f t="shared" si="146"/>
        <v>0</v>
      </c>
      <c r="BP259" s="9">
        <f t="shared" si="147"/>
        <v>596.66999999999996</v>
      </c>
      <c r="BQ259" s="9">
        <f t="shared" si="148"/>
        <v>437.56</v>
      </c>
      <c r="BR259" s="9">
        <f t="shared" si="149"/>
        <v>3142.45</v>
      </c>
      <c r="BS259" s="9">
        <f t="shared" si="150"/>
        <v>1352.45</v>
      </c>
      <c r="BT259" s="9">
        <f t="shared" si="151"/>
        <v>278.45</v>
      </c>
      <c r="BU259" s="9">
        <f t="shared" si="152"/>
        <v>19252.5</v>
      </c>
      <c r="BV259" s="9">
        <f t="shared" si="153"/>
        <v>477.33</v>
      </c>
      <c r="BW259" s="9">
        <f t="shared" si="154"/>
        <v>7120.24</v>
      </c>
      <c r="BX259" s="9">
        <f t="shared" si="155"/>
        <v>7876.02</v>
      </c>
      <c r="BY259" s="17">
        <f t="shared" si="156"/>
        <v>80311.570000000007</v>
      </c>
      <c r="BZ259" s="17">
        <v>3</v>
      </c>
      <c r="CA259" s="17">
        <v>0.06</v>
      </c>
      <c r="CB259" s="17">
        <v>0.34</v>
      </c>
      <c r="CC259" s="27">
        <v>0.06</v>
      </c>
      <c r="CD259" s="29">
        <v>6.33</v>
      </c>
      <c r="CE259" s="9">
        <v>0</v>
      </c>
      <c r="CF259" s="9"/>
      <c r="CG259" s="9">
        <v>0</v>
      </c>
      <c r="CH259" s="9">
        <v>0</v>
      </c>
      <c r="CI259" s="9">
        <f t="shared" si="180"/>
        <v>0</v>
      </c>
      <c r="CJ259" s="9">
        <f t="shared" si="181"/>
        <v>0</v>
      </c>
      <c r="CK259" s="13">
        <f t="shared" si="182"/>
        <v>0</v>
      </c>
      <c r="CL259" s="13">
        <f t="shared" si="183"/>
        <v>0</v>
      </c>
      <c r="CM259" s="13">
        <v>80311.59</v>
      </c>
      <c r="CN259" s="13">
        <v>20923.29</v>
      </c>
      <c r="CO259" s="13">
        <v>0</v>
      </c>
      <c r="CP259" s="13">
        <v>0</v>
      </c>
      <c r="CQ259" s="13">
        <v>0</v>
      </c>
      <c r="CR259" s="13">
        <v>70726.38</v>
      </c>
      <c r="CS259" s="13">
        <v>18180.8</v>
      </c>
      <c r="CT259" s="13">
        <v>227.98</v>
      </c>
      <c r="CU259" s="13">
        <v>40.26</v>
      </c>
      <c r="CV259" s="13">
        <v>40.26</v>
      </c>
      <c r="CW259" s="202">
        <v>3466</v>
      </c>
      <c r="CX259" s="200">
        <v>1988</v>
      </c>
      <c r="CY259" s="202"/>
      <c r="CZ259" s="202"/>
      <c r="DA259" s="202"/>
      <c r="DB259" s="202"/>
      <c r="DC259" s="202"/>
      <c r="DD259" s="461"/>
      <c r="DE259" s="256"/>
      <c r="DF259" s="202"/>
      <c r="DG259" s="202"/>
      <c r="DH259" s="202"/>
      <c r="DI259" s="204">
        <v>1235</v>
      </c>
      <c r="DJ259" s="202"/>
      <c r="DK259" s="202"/>
      <c r="DL259" s="202"/>
      <c r="DM259" s="202">
        <v>17431</v>
      </c>
      <c r="DN259" s="202">
        <v>4250</v>
      </c>
      <c r="DO259" s="202">
        <v>2.5</v>
      </c>
      <c r="DP259" s="202"/>
      <c r="DQ259" s="202"/>
      <c r="DR259" s="202"/>
      <c r="DS259" s="202">
        <v>11080</v>
      </c>
      <c r="DT259" s="254">
        <v>390</v>
      </c>
      <c r="DU259" s="254">
        <v>133</v>
      </c>
      <c r="DV259" s="202">
        <v>18343</v>
      </c>
      <c r="DW259" s="202"/>
      <c r="DX259" s="202"/>
      <c r="DY259" s="107">
        <v>1365</v>
      </c>
      <c r="DZ259" s="107">
        <v>577</v>
      </c>
      <c r="EA259" s="202">
        <v>5432.65</v>
      </c>
      <c r="EB259" s="202"/>
      <c r="EC259" s="202"/>
      <c r="ED259" s="202"/>
      <c r="EE259" s="202"/>
      <c r="EF259" s="229"/>
      <c r="EG259" s="202"/>
      <c r="EH259" s="202"/>
      <c r="EI259" s="202"/>
      <c r="EJ259" s="202"/>
      <c r="EK259" s="202">
        <v>20935.28</v>
      </c>
      <c r="EL259" s="202">
        <v>0</v>
      </c>
      <c r="EM259" s="202">
        <v>0</v>
      </c>
      <c r="EN259" s="202">
        <v>0</v>
      </c>
      <c r="EO259" s="202">
        <v>20935.28</v>
      </c>
      <c r="EP259" s="202"/>
      <c r="EQ259" s="202">
        <v>0</v>
      </c>
      <c r="ER259" s="202">
        <v>0</v>
      </c>
      <c r="ES259" s="202"/>
      <c r="ET259" s="202"/>
      <c r="EU259" s="202"/>
      <c r="EV259" s="214">
        <v>-2.4700000000000002</v>
      </c>
      <c r="EW259" s="240">
        <f t="shared" si="157"/>
        <v>8700.06</v>
      </c>
      <c r="EX259" s="209">
        <f t="shared" si="158"/>
        <v>5662.46</v>
      </c>
    </row>
    <row r="260" spans="1:154" ht="12.75" customHeight="1" x14ac:dyDescent="0.2">
      <c r="A260" s="4" t="s">
        <v>359</v>
      </c>
      <c r="B260" s="99" t="s">
        <v>299</v>
      </c>
      <c r="C260" s="100" t="s">
        <v>37</v>
      </c>
      <c r="D260" s="101" t="s">
        <v>596</v>
      </c>
      <c r="E260" s="100" t="s">
        <v>30</v>
      </c>
      <c r="F260" s="11">
        <v>9</v>
      </c>
      <c r="G260" s="11">
        <v>2</v>
      </c>
      <c r="H260" s="11">
        <v>108</v>
      </c>
      <c r="I260" s="11">
        <v>108</v>
      </c>
      <c r="J260" s="11">
        <v>204</v>
      </c>
      <c r="K260" s="11">
        <v>238</v>
      </c>
      <c r="L260" s="11">
        <v>2</v>
      </c>
      <c r="M260" s="84">
        <v>556</v>
      </c>
      <c r="N260" s="84">
        <v>827</v>
      </c>
      <c r="O260" s="84">
        <v>827</v>
      </c>
      <c r="P260" s="135">
        <f>280.8+295.1</f>
        <v>575.9</v>
      </c>
      <c r="Q260" s="135">
        <v>566.29999999999995</v>
      </c>
      <c r="R260" s="133">
        <v>836.2</v>
      </c>
      <c r="S260" s="133">
        <f t="shared" si="159"/>
        <v>1978.4</v>
      </c>
      <c r="T260" s="134">
        <v>575.9</v>
      </c>
      <c r="U260" s="130">
        <v>2.72</v>
      </c>
      <c r="V260" s="91">
        <v>1.21E-2</v>
      </c>
      <c r="W260" s="91">
        <v>1.9800000000000002E-2</v>
      </c>
      <c r="X260" s="132">
        <v>1.2700000000000001E-3</v>
      </c>
      <c r="Y260" s="91">
        <v>1.21E-2</v>
      </c>
      <c r="Z260" s="29">
        <v>4659.68</v>
      </c>
      <c r="AA260" s="34"/>
      <c r="AB260" s="9">
        <f t="shared" si="176"/>
        <v>4659.68</v>
      </c>
      <c r="AC260" s="9">
        <f t="shared" si="184"/>
        <v>29495.77</v>
      </c>
      <c r="AD260" s="9">
        <v>1.64</v>
      </c>
      <c r="AE260" s="9">
        <v>4.5999999999999996</v>
      </c>
      <c r="AF260" s="21">
        <f>2.44-AJ260</f>
        <v>2.27</v>
      </c>
      <c r="AG260" s="18">
        <f>0.61-AQ260</f>
        <v>0.55000000000000004</v>
      </c>
      <c r="AH260" s="19">
        <f>2.77+0.11+0.16</f>
        <v>3.04</v>
      </c>
      <c r="AI260" s="43">
        <v>794</v>
      </c>
      <c r="AJ260" s="21">
        <f t="shared" si="178"/>
        <v>0.17</v>
      </c>
      <c r="AK260" s="9">
        <v>1.85</v>
      </c>
      <c r="AL260" s="9">
        <v>0.16</v>
      </c>
      <c r="AM260" s="9">
        <v>0.12</v>
      </c>
      <c r="AN260" s="13"/>
      <c r="AO260" s="13">
        <v>611.79999999999995</v>
      </c>
      <c r="AP260" s="13">
        <f t="shared" si="161"/>
        <v>5.58</v>
      </c>
      <c r="AQ260" s="18">
        <f t="shared" si="179"/>
        <v>0.06</v>
      </c>
      <c r="AR260" s="9">
        <v>0.73</v>
      </c>
      <c r="AS260" s="9">
        <v>0.28999999999999998</v>
      </c>
      <c r="AT260" s="9">
        <v>7.0000000000000007E-2</v>
      </c>
      <c r="AU260" s="9">
        <v>4.0999999999999996</v>
      </c>
      <c r="AV260" s="9">
        <v>0.16</v>
      </c>
      <c r="AW260" s="9">
        <f>1.4+0.33+0.36</f>
        <v>2.09</v>
      </c>
      <c r="AX260" s="9">
        <f>1.96+0.49</f>
        <v>2.4500000000000002</v>
      </c>
      <c r="AY260" s="102">
        <f t="shared" si="162"/>
        <v>24.35</v>
      </c>
      <c r="AZ260" s="103">
        <v>4650.8</v>
      </c>
      <c r="BA260" s="103">
        <v>0</v>
      </c>
      <c r="BB260" s="103">
        <f t="shared" si="177"/>
        <v>4650.8</v>
      </c>
      <c r="BC260" s="103">
        <v>24.35</v>
      </c>
      <c r="BD260" s="13">
        <f t="shared" si="160"/>
        <v>0</v>
      </c>
      <c r="BE260" s="9">
        <f t="shared" si="138"/>
        <v>113463.21</v>
      </c>
      <c r="BF260" s="9">
        <v>24.35</v>
      </c>
      <c r="BG260" s="10">
        <v>44409</v>
      </c>
      <c r="BH260" s="9">
        <f t="shared" si="139"/>
        <v>7641.88</v>
      </c>
      <c r="BI260" s="9">
        <f t="shared" si="140"/>
        <v>21434.53</v>
      </c>
      <c r="BJ260" s="9">
        <f t="shared" si="141"/>
        <v>10577.47</v>
      </c>
      <c r="BK260" s="9">
        <f t="shared" si="142"/>
        <v>2562.8200000000002</v>
      </c>
      <c r="BL260" s="9">
        <f t="shared" si="143"/>
        <v>14165.43</v>
      </c>
      <c r="BM260" s="9">
        <f t="shared" si="144"/>
        <v>792.15</v>
      </c>
      <c r="BN260" s="9">
        <f t="shared" si="145"/>
        <v>8620.41</v>
      </c>
      <c r="BO260" s="9">
        <f t="shared" si="146"/>
        <v>745.55</v>
      </c>
      <c r="BP260" s="9">
        <f t="shared" si="147"/>
        <v>559.16</v>
      </c>
      <c r="BQ260" s="9">
        <f t="shared" si="148"/>
        <v>279.58</v>
      </c>
      <c r="BR260" s="9">
        <f t="shared" si="149"/>
        <v>3401.57</v>
      </c>
      <c r="BS260" s="9">
        <f t="shared" si="150"/>
        <v>1351.31</v>
      </c>
      <c r="BT260" s="9">
        <f t="shared" si="151"/>
        <v>326.18</v>
      </c>
      <c r="BU260" s="9">
        <f t="shared" si="152"/>
        <v>19104.689999999999</v>
      </c>
      <c r="BV260" s="9">
        <f t="shared" si="153"/>
        <v>745.55</v>
      </c>
      <c r="BW260" s="9">
        <f t="shared" si="154"/>
        <v>9738.73</v>
      </c>
      <c r="BX260" s="9">
        <f t="shared" si="155"/>
        <v>11416.22</v>
      </c>
      <c r="BY260" s="17">
        <f t="shared" si="156"/>
        <v>113463.23</v>
      </c>
      <c r="BZ260" s="17">
        <v>4.43</v>
      </c>
      <c r="CA260" s="17">
        <v>7.0000000000000007E-2</v>
      </c>
      <c r="CB260" s="17">
        <v>0.41</v>
      </c>
      <c r="CC260" s="27">
        <v>7.0000000000000007E-2</v>
      </c>
      <c r="CD260" s="29">
        <v>6.33</v>
      </c>
      <c r="CE260" s="9">
        <v>4268.3100000000004</v>
      </c>
      <c r="CF260" s="9"/>
      <c r="CG260" s="9">
        <v>446.13</v>
      </c>
      <c r="CH260" s="9">
        <v>155.75</v>
      </c>
      <c r="CI260" s="9">
        <f t="shared" si="180"/>
        <v>0.92</v>
      </c>
      <c r="CJ260" s="9">
        <f t="shared" si="181"/>
        <v>0</v>
      </c>
      <c r="CK260" s="13">
        <f t="shared" si="182"/>
        <v>0.1</v>
      </c>
      <c r="CL260" s="13">
        <f t="shared" si="183"/>
        <v>0.03</v>
      </c>
      <c r="CM260" s="13">
        <v>113463.45</v>
      </c>
      <c r="CN260" s="13">
        <v>13140.28</v>
      </c>
      <c r="CO260" s="13">
        <v>0</v>
      </c>
      <c r="CP260" s="13">
        <v>0</v>
      </c>
      <c r="CQ260" s="13">
        <v>0</v>
      </c>
      <c r="CR260" s="13">
        <v>117120.95</v>
      </c>
      <c r="CS260" s="13">
        <v>9714.59</v>
      </c>
      <c r="CT260" s="13">
        <v>376.18</v>
      </c>
      <c r="CU260" s="13">
        <v>2091</v>
      </c>
      <c r="CV260" s="13">
        <v>1137.43</v>
      </c>
      <c r="CW260" s="202">
        <v>4060</v>
      </c>
      <c r="CX260" s="200">
        <v>2329</v>
      </c>
      <c r="CY260" s="202"/>
      <c r="CZ260" s="202"/>
      <c r="DA260" s="202"/>
      <c r="DB260" s="202"/>
      <c r="DC260" s="202"/>
      <c r="DD260" s="461"/>
      <c r="DE260" s="256"/>
      <c r="DF260" s="202"/>
      <c r="DG260" s="202"/>
      <c r="DH260" s="202"/>
      <c r="DI260" s="204">
        <v>794</v>
      </c>
      <c r="DJ260" s="202">
        <v>8600</v>
      </c>
      <c r="DK260" s="202"/>
      <c r="DL260" s="202"/>
      <c r="DM260" s="202">
        <v>29539</v>
      </c>
      <c r="DN260" s="202">
        <v>4250</v>
      </c>
      <c r="DO260" s="202">
        <v>2.5</v>
      </c>
      <c r="DP260" s="202"/>
      <c r="DQ260" s="202"/>
      <c r="DR260" s="202"/>
      <c r="DS260" s="202"/>
      <c r="DT260" s="254"/>
      <c r="DU260" s="254"/>
      <c r="DV260" s="202">
        <v>21750</v>
      </c>
      <c r="DW260" s="202"/>
      <c r="DX260" s="202"/>
      <c r="DY260" s="107"/>
      <c r="DZ260" s="107">
        <v>577</v>
      </c>
      <c r="EA260" s="202"/>
      <c r="EB260" s="107"/>
      <c r="EC260" s="202"/>
      <c r="ED260" s="202"/>
      <c r="EE260" s="202"/>
      <c r="EF260" s="229"/>
      <c r="EG260" s="202"/>
      <c r="EH260" s="202"/>
      <c r="EI260" s="202"/>
      <c r="EJ260" s="202"/>
      <c r="EK260" s="202">
        <v>13131</v>
      </c>
      <c r="EL260" s="202">
        <v>0</v>
      </c>
      <c r="EM260" s="202">
        <v>0</v>
      </c>
      <c r="EN260" s="202">
        <v>0</v>
      </c>
      <c r="EO260" s="202">
        <v>13131</v>
      </c>
      <c r="EP260" s="202"/>
      <c r="EQ260" s="202">
        <v>0</v>
      </c>
      <c r="ER260" s="202">
        <v>0</v>
      </c>
      <c r="ES260" s="202">
        <v>3418.29</v>
      </c>
      <c r="ET260" s="202">
        <v>1867.24</v>
      </c>
      <c r="EU260" s="202"/>
      <c r="EV260" s="214">
        <v>-4.82</v>
      </c>
      <c r="EW260" s="240">
        <f t="shared" si="157"/>
        <v>10191.469999999999</v>
      </c>
      <c r="EX260" s="209">
        <f t="shared" si="158"/>
        <v>6633.15</v>
      </c>
    </row>
    <row r="261" spans="1:154" ht="12.75" customHeight="1" x14ac:dyDescent="0.2">
      <c r="A261" s="4" t="s">
        <v>360</v>
      </c>
      <c r="B261" s="99" t="s">
        <v>299</v>
      </c>
      <c r="C261" s="100" t="s">
        <v>106</v>
      </c>
      <c r="D261" s="101" t="s">
        <v>518</v>
      </c>
      <c r="E261" s="100" t="s">
        <v>12</v>
      </c>
      <c r="F261" s="11">
        <v>9</v>
      </c>
      <c r="G261" s="11">
        <v>2</v>
      </c>
      <c r="H261" s="11">
        <v>72</v>
      </c>
      <c r="I261" s="11">
        <v>72</v>
      </c>
      <c r="J261" s="11">
        <v>185</v>
      </c>
      <c r="K261" s="11">
        <v>206</v>
      </c>
      <c r="L261" s="11">
        <v>2</v>
      </c>
      <c r="M261" s="84">
        <v>657</v>
      </c>
      <c r="N261" s="84">
        <v>602</v>
      </c>
      <c r="O261" s="84">
        <v>0</v>
      </c>
      <c r="P261" s="135">
        <v>657.9</v>
      </c>
      <c r="Q261" s="135" t="s">
        <v>808</v>
      </c>
      <c r="R261" s="133">
        <v>0</v>
      </c>
      <c r="S261" s="133">
        <f t="shared" si="159"/>
        <v>657.9</v>
      </c>
      <c r="T261" s="134">
        <v>657</v>
      </c>
      <c r="U261" s="130">
        <v>2.72</v>
      </c>
      <c r="V261" s="131">
        <v>1.21E-2</v>
      </c>
      <c r="W261" s="131">
        <v>1.9800000000000002E-2</v>
      </c>
      <c r="X261" s="132">
        <v>1.2700000000000001E-3</v>
      </c>
      <c r="Y261" s="131">
        <v>1.21E-2</v>
      </c>
      <c r="Z261" s="29">
        <v>3782.51</v>
      </c>
      <c r="AA261" s="34"/>
      <c r="AB261" s="9">
        <f t="shared" si="176"/>
        <v>3782.51</v>
      </c>
      <c r="AC261" s="9">
        <f t="shared" si="184"/>
        <v>23943.29</v>
      </c>
      <c r="AD261" s="9">
        <v>2.38</v>
      </c>
      <c r="AE261" s="9">
        <v>4.2699999999999996</v>
      </c>
      <c r="AF261" s="21">
        <f>2.42-AJ261</f>
        <v>2.27</v>
      </c>
      <c r="AG261" s="18">
        <f>0.62-AQ261</f>
        <v>0.56999999999999995</v>
      </c>
      <c r="AH261" s="19">
        <f>2.78+0.13+0.18</f>
        <v>3.09</v>
      </c>
      <c r="AI261" s="43">
        <v>578</v>
      </c>
      <c r="AJ261" s="21">
        <f t="shared" si="178"/>
        <v>0.15</v>
      </c>
      <c r="AK261" s="9">
        <v>2.2799999999999998</v>
      </c>
      <c r="AL261" s="9">
        <v>0.2</v>
      </c>
      <c r="AM261" s="9">
        <v>0.15</v>
      </c>
      <c r="AN261" s="13"/>
      <c r="AO261" s="13">
        <v>422.4</v>
      </c>
      <c r="AP261" s="13">
        <f t="shared" si="161"/>
        <v>5.58</v>
      </c>
      <c r="AQ261" s="18">
        <f t="shared" si="179"/>
        <v>0.05</v>
      </c>
      <c r="AR261" s="9">
        <v>0.6</v>
      </c>
      <c r="AS261" s="9">
        <v>0.36</v>
      </c>
      <c r="AT261" s="9">
        <v>7.0000000000000007E-2</v>
      </c>
      <c r="AU261" s="9">
        <v>3.39</v>
      </c>
      <c r="AV261" s="9">
        <v>0.17</v>
      </c>
      <c r="AW261" s="9">
        <f>1.47+0.27+0.3</f>
        <v>2.04</v>
      </c>
      <c r="AX261" s="9">
        <f>2.08+0.4</f>
        <v>2.48</v>
      </c>
      <c r="AY261" s="102">
        <f t="shared" si="162"/>
        <v>24.52</v>
      </c>
      <c r="AZ261" s="103">
        <v>3770.4</v>
      </c>
      <c r="BA261" s="103">
        <v>0</v>
      </c>
      <c r="BB261" s="103">
        <f t="shared" si="177"/>
        <v>3770.4</v>
      </c>
      <c r="BC261" s="103">
        <v>24.52</v>
      </c>
      <c r="BD261" s="13">
        <f t="shared" si="160"/>
        <v>0</v>
      </c>
      <c r="BE261" s="9">
        <f t="shared" si="138"/>
        <v>92747.15</v>
      </c>
      <c r="BF261" s="9">
        <v>24.52</v>
      </c>
      <c r="BG261" s="10">
        <v>44409</v>
      </c>
      <c r="BH261" s="9">
        <f t="shared" si="139"/>
        <v>9002.3700000000008</v>
      </c>
      <c r="BI261" s="9">
        <f t="shared" si="140"/>
        <v>16151.32</v>
      </c>
      <c r="BJ261" s="9">
        <f t="shared" si="141"/>
        <v>8586.2999999999993</v>
      </c>
      <c r="BK261" s="9">
        <f t="shared" si="142"/>
        <v>2156.0300000000002</v>
      </c>
      <c r="BL261" s="9">
        <f t="shared" si="143"/>
        <v>11687.96</v>
      </c>
      <c r="BM261" s="9">
        <f t="shared" si="144"/>
        <v>567.38</v>
      </c>
      <c r="BN261" s="9">
        <f t="shared" si="145"/>
        <v>8624.1200000000008</v>
      </c>
      <c r="BO261" s="9">
        <f t="shared" si="146"/>
        <v>756.5</v>
      </c>
      <c r="BP261" s="9">
        <f t="shared" si="147"/>
        <v>567.38</v>
      </c>
      <c r="BQ261" s="9">
        <f t="shared" si="148"/>
        <v>189.13</v>
      </c>
      <c r="BR261" s="9">
        <f t="shared" si="149"/>
        <v>2269.5100000000002</v>
      </c>
      <c r="BS261" s="9">
        <f t="shared" si="150"/>
        <v>1361.7</v>
      </c>
      <c r="BT261" s="9">
        <f t="shared" si="151"/>
        <v>264.77999999999997</v>
      </c>
      <c r="BU261" s="9">
        <f t="shared" si="152"/>
        <v>12822.71</v>
      </c>
      <c r="BV261" s="9">
        <f t="shared" si="153"/>
        <v>643.03</v>
      </c>
      <c r="BW261" s="9">
        <f t="shared" si="154"/>
        <v>7716.32</v>
      </c>
      <c r="BX261" s="9">
        <f t="shared" si="155"/>
        <v>9380.6200000000008</v>
      </c>
      <c r="BY261" s="17">
        <f t="shared" si="156"/>
        <v>92747.16</v>
      </c>
      <c r="BZ261" s="17">
        <v>3.47</v>
      </c>
      <c r="CA261" s="17">
        <v>0.09</v>
      </c>
      <c r="CB261" s="17">
        <v>0.56000000000000005</v>
      </c>
      <c r="CC261" s="27">
        <v>0.1</v>
      </c>
      <c r="CD261" s="29">
        <v>6.33</v>
      </c>
      <c r="CE261" s="9">
        <v>4887.08</v>
      </c>
      <c r="CF261" s="9"/>
      <c r="CG261" s="9">
        <v>0</v>
      </c>
      <c r="CH261" s="9">
        <v>0</v>
      </c>
      <c r="CI261" s="9">
        <f t="shared" si="180"/>
        <v>1.29</v>
      </c>
      <c r="CJ261" s="9">
        <f t="shared" si="181"/>
        <v>0</v>
      </c>
      <c r="CK261" s="13">
        <f t="shared" si="182"/>
        <v>0</v>
      </c>
      <c r="CL261" s="13">
        <f t="shared" si="183"/>
        <v>0</v>
      </c>
      <c r="CM261" s="13">
        <v>92747.17</v>
      </c>
      <c r="CN261" s="13">
        <v>5371.19</v>
      </c>
      <c r="CO261" s="13">
        <v>17096.97</v>
      </c>
      <c r="CP261" s="13">
        <v>529.54999999999995</v>
      </c>
      <c r="CQ261" s="13">
        <v>188.95</v>
      </c>
      <c r="CR261" s="13">
        <v>105387.77</v>
      </c>
      <c r="CS261" s="13">
        <v>6414.28</v>
      </c>
      <c r="CT261" s="13">
        <v>6730.02</v>
      </c>
      <c r="CU261" s="13">
        <v>222.6</v>
      </c>
      <c r="CV261" s="13">
        <v>103.69</v>
      </c>
      <c r="CW261" s="202">
        <v>3295</v>
      </c>
      <c r="CX261" s="200">
        <v>1891</v>
      </c>
      <c r="CY261" s="202"/>
      <c r="CZ261" s="202"/>
      <c r="DA261" s="202"/>
      <c r="DB261" s="202"/>
      <c r="DC261" s="202"/>
      <c r="DD261" s="461"/>
      <c r="DE261" s="256"/>
      <c r="DF261" s="202"/>
      <c r="DG261" s="202"/>
      <c r="DH261" s="202"/>
      <c r="DI261" s="204">
        <v>578</v>
      </c>
      <c r="DJ261" s="202">
        <v>8600</v>
      </c>
      <c r="DK261" s="202"/>
      <c r="DL261" s="202"/>
      <c r="DM261" s="202">
        <v>25485</v>
      </c>
      <c r="DN261" s="202">
        <v>1700</v>
      </c>
      <c r="DO261" s="202">
        <v>1</v>
      </c>
      <c r="DP261" s="202"/>
      <c r="DQ261" s="202"/>
      <c r="DR261" s="202"/>
      <c r="DS261" s="202"/>
      <c r="DT261" s="254"/>
      <c r="DU261" s="254"/>
      <c r="DV261" s="202">
        <v>17708</v>
      </c>
      <c r="DW261" s="202"/>
      <c r="DX261" s="202"/>
      <c r="DY261" s="107"/>
      <c r="DZ261" s="107"/>
      <c r="EA261" s="202"/>
      <c r="EB261" s="107"/>
      <c r="EC261" s="202"/>
      <c r="ED261" s="202"/>
      <c r="EE261" s="202"/>
      <c r="EF261" s="229"/>
      <c r="EG261" s="202"/>
      <c r="EH261" s="202"/>
      <c r="EI261" s="202"/>
      <c r="EJ261" s="202"/>
      <c r="EK261" s="202">
        <v>5358.17</v>
      </c>
      <c r="EL261" s="202">
        <v>28429.87</v>
      </c>
      <c r="EM261" s="202">
        <v>527.20000000000005</v>
      </c>
      <c r="EN261" s="202">
        <v>184.05</v>
      </c>
      <c r="EO261" s="202">
        <v>5358.17</v>
      </c>
      <c r="EP261" s="202"/>
      <c r="EQ261" s="202">
        <v>527.20000000000005</v>
      </c>
      <c r="ER261" s="202">
        <v>184.05</v>
      </c>
      <c r="ES261" s="202"/>
      <c r="ET261" s="202"/>
      <c r="EU261" s="202"/>
      <c r="EV261" s="214">
        <v>-5.8</v>
      </c>
      <c r="EW261" s="240">
        <f t="shared" si="157"/>
        <v>8272.9500000000007</v>
      </c>
      <c r="EX261" s="209">
        <f t="shared" si="158"/>
        <v>5384.48</v>
      </c>
    </row>
    <row r="262" spans="1:154" ht="12.75" customHeight="1" x14ac:dyDescent="0.2">
      <c r="A262" s="4" t="s">
        <v>361</v>
      </c>
      <c r="B262" s="148" t="s">
        <v>299</v>
      </c>
      <c r="C262" s="149" t="s">
        <v>288</v>
      </c>
      <c r="D262" s="148" t="s">
        <v>665</v>
      </c>
      <c r="E262" s="149"/>
      <c r="F262" s="11">
        <v>9</v>
      </c>
      <c r="G262" s="11">
        <v>9</v>
      </c>
      <c r="H262" s="11">
        <v>284</v>
      </c>
      <c r="I262" s="11">
        <v>286</v>
      </c>
      <c r="J262" s="11">
        <v>705</v>
      </c>
      <c r="K262" s="11">
        <v>831</v>
      </c>
      <c r="L262" s="11">
        <v>9</v>
      </c>
      <c r="M262" s="84">
        <v>1823</v>
      </c>
      <c r="N262" s="84">
        <v>2491</v>
      </c>
      <c r="O262" s="84">
        <v>0</v>
      </c>
      <c r="P262" s="135">
        <v>2211.5</v>
      </c>
      <c r="Q262" s="135">
        <v>1975.8</v>
      </c>
      <c r="R262" s="133">
        <v>0</v>
      </c>
      <c r="S262" s="133">
        <f t="shared" si="159"/>
        <v>4187.3</v>
      </c>
      <c r="T262" s="134">
        <v>2211.5</v>
      </c>
      <c r="U262" s="130">
        <v>2.44</v>
      </c>
      <c r="V262" s="131">
        <v>1.9800000000000002E-2</v>
      </c>
      <c r="W262" s="131">
        <v>1.9800000000000002E-2</v>
      </c>
      <c r="X262" s="132">
        <v>1.32E-3</v>
      </c>
      <c r="Y262" s="131">
        <v>3.9699999999999999E-2</v>
      </c>
      <c r="Z262" s="29">
        <v>16468.46</v>
      </c>
      <c r="AA262" s="34">
        <v>118.8</v>
      </c>
      <c r="AB262" s="9">
        <f t="shared" si="176"/>
        <v>16587.259999999998</v>
      </c>
      <c r="AC262" s="9">
        <f t="shared" si="184"/>
        <v>104997.36</v>
      </c>
      <c r="AD262" s="9">
        <v>2.42</v>
      </c>
      <c r="AE262" s="9">
        <v>4.7300000000000004</v>
      </c>
      <c r="AF262" s="21">
        <f>2.49-AJ262</f>
        <v>2.35</v>
      </c>
      <c r="AG262" s="18">
        <f>0.62-AQ262</f>
        <v>0.56999999999999995</v>
      </c>
      <c r="AH262" s="9">
        <v>2.78</v>
      </c>
      <c r="AI262" s="13">
        <v>2391</v>
      </c>
      <c r="AJ262" s="21">
        <f t="shared" si="178"/>
        <v>0.14000000000000001</v>
      </c>
      <c r="AK262" s="9">
        <v>2.33</v>
      </c>
      <c r="AL262" s="9">
        <v>0.2</v>
      </c>
      <c r="AM262" s="9">
        <v>0.03</v>
      </c>
      <c r="AN262" s="13"/>
      <c r="AO262" s="13">
        <v>1900.8</v>
      </c>
      <c r="AP262" s="13">
        <f t="shared" si="161"/>
        <v>5.58</v>
      </c>
      <c r="AQ262" s="18">
        <f t="shared" si="179"/>
        <v>0.05</v>
      </c>
      <c r="AR262" s="9">
        <v>0.54</v>
      </c>
      <c r="AS262" s="9">
        <v>0.16</v>
      </c>
      <c r="AT262" s="9">
        <v>7.0000000000000007E-2</v>
      </c>
      <c r="AU262" s="9">
        <v>3.89</v>
      </c>
      <c r="AV262" s="9">
        <v>0.17</v>
      </c>
      <c r="AW262" s="9">
        <f>1.47+0.34+0.24</f>
        <v>2.0499999999999998</v>
      </c>
      <c r="AX262" s="9">
        <f>2.06+0.47</f>
        <v>2.5299999999999998</v>
      </c>
      <c r="AY262" s="151">
        <f t="shared" si="162"/>
        <v>25.01</v>
      </c>
      <c r="AZ262" s="152"/>
      <c r="BA262" s="152"/>
      <c r="BB262" s="152"/>
      <c r="BC262" s="152">
        <v>25.01</v>
      </c>
      <c r="BD262" s="13">
        <f t="shared" si="160"/>
        <v>0</v>
      </c>
      <c r="BE262" s="9">
        <f t="shared" si="138"/>
        <v>414847.37</v>
      </c>
      <c r="BF262" s="9">
        <v>25.01</v>
      </c>
      <c r="BG262" s="10">
        <v>44440</v>
      </c>
      <c r="BH262" s="9">
        <f t="shared" si="139"/>
        <v>40141.17</v>
      </c>
      <c r="BI262" s="9">
        <f t="shared" si="140"/>
        <v>78457.740000000005</v>
      </c>
      <c r="BJ262" s="9">
        <f t="shared" si="141"/>
        <v>38980.06</v>
      </c>
      <c r="BK262" s="9">
        <f t="shared" si="142"/>
        <v>9454.74</v>
      </c>
      <c r="BL262" s="9">
        <f t="shared" si="143"/>
        <v>46112.58</v>
      </c>
      <c r="BM262" s="9">
        <f t="shared" si="144"/>
        <v>2322.2199999999998</v>
      </c>
      <c r="BN262" s="9">
        <f t="shared" si="145"/>
        <v>38648.32</v>
      </c>
      <c r="BO262" s="9">
        <f t="shared" si="146"/>
        <v>3317.45</v>
      </c>
      <c r="BP262" s="9">
        <f t="shared" si="147"/>
        <v>497.62</v>
      </c>
      <c r="BQ262" s="9">
        <f t="shared" si="148"/>
        <v>829.36</v>
      </c>
      <c r="BR262" s="9">
        <f t="shared" si="149"/>
        <v>8957.1200000000008</v>
      </c>
      <c r="BS262" s="9">
        <f t="shared" si="150"/>
        <v>2653.96</v>
      </c>
      <c r="BT262" s="9">
        <f t="shared" si="151"/>
        <v>1161.1099999999999</v>
      </c>
      <c r="BU262" s="9">
        <f t="shared" si="152"/>
        <v>64524.44</v>
      </c>
      <c r="BV262" s="9">
        <f t="shared" si="153"/>
        <v>2819.83</v>
      </c>
      <c r="BW262" s="9">
        <f t="shared" si="154"/>
        <v>34003.879999999997</v>
      </c>
      <c r="BX262" s="9">
        <f t="shared" si="155"/>
        <v>41965.77</v>
      </c>
      <c r="BY262" s="17">
        <f t="shared" si="156"/>
        <v>414847.37</v>
      </c>
      <c r="BZ262" s="17">
        <v>2.36</v>
      </c>
      <c r="CA262" s="17">
        <v>7.0000000000000007E-2</v>
      </c>
      <c r="CB262" s="17">
        <v>0.45</v>
      </c>
      <c r="CC262" s="27">
        <v>7.0000000000000007E-2</v>
      </c>
      <c r="CD262" s="29">
        <v>6.33</v>
      </c>
      <c r="CE262" s="9"/>
      <c r="CF262" s="9"/>
      <c r="CG262" s="9"/>
      <c r="CH262" s="9"/>
      <c r="CI262" s="9"/>
      <c r="CJ262" s="9"/>
      <c r="CK262" s="13"/>
      <c r="CL262" s="13"/>
      <c r="CM262" s="13">
        <v>411876.34</v>
      </c>
      <c r="CN262" s="13">
        <v>0</v>
      </c>
      <c r="CO262" s="13">
        <v>0</v>
      </c>
      <c r="CP262" s="13">
        <v>1811.69</v>
      </c>
      <c r="CQ262" s="13">
        <v>1152.93</v>
      </c>
      <c r="CR262" s="13">
        <v>432853.75</v>
      </c>
      <c r="CS262" s="13">
        <v>32299.22</v>
      </c>
      <c r="CT262" s="13">
        <v>1504.93</v>
      </c>
      <c r="CU262" s="13">
        <v>1856.54</v>
      </c>
      <c r="CV262" s="13">
        <v>1219.3</v>
      </c>
      <c r="CW262" s="202">
        <v>14450</v>
      </c>
      <c r="CX262" s="200">
        <v>8290</v>
      </c>
      <c r="CY262" s="202">
        <v>108064</v>
      </c>
      <c r="CZ262" s="202">
        <v>6800</v>
      </c>
      <c r="DA262" s="202">
        <v>4</v>
      </c>
      <c r="DB262" s="202"/>
      <c r="DC262" s="202"/>
      <c r="DD262" s="461"/>
      <c r="DE262" s="256"/>
      <c r="DF262" s="204">
        <v>2391</v>
      </c>
      <c r="DG262" s="204"/>
      <c r="DH262" s="204"/>
      <c r="DI262" s="204"/>
      <c r="DJ262" s="202"/>
      <c r="DK262" s="202">
        <v>38700</v>
      </c>
      <c r="DL262" s="202"/>
      <c r="DM262" s="202"/>
      <c r="DN262" s="202"/>
      <c r="DO262" s="202"/>
      <c r="DP262" s="202"/>
      <c r="DQ262" s="202"/>
      <c r="DR262" s="202"/>
      <c r="DS262" s="202"/>
      <c r="DT262" s="254"/>
      <c r="DU262" s="254"/>
      <c r="DV262" s="202">
        <v>96758</v>
      </c>
      <c r="DW262" s="202"/>
      <c r="DX262" s="202"/>
      <c r="DY262" s="107">
        <v>2730</v>
      </c>
      <c r="DZ262" s="107"/>
      <c r="EA262" s="202">
        <v>5124.4799999999996</v>
      </c>
      <c r="EB262" s="107"/>
      <c r="EC262" s="202"/>
      <c r="ED262" s="202"/>
      <c r="EE262" s="202"/>
      <c r="EF262" s="229"/>
      <c r="EG262" s="202"/>
      <c r="EH262" s="202"/>
      <c r="EI262" s="202"/>
      <c r="EJ262" s="202"/>
      <c r="EK262" s="202">
        <v>15326.47</v>
      </c>
      <c r="EL262" s="202">
        <v>0</v>
      </c>
      <c r="EM262" s="202">
        <v>1774.98</v>
      </c>
      <c r="EN262" s="202">
        <v>1242.1500000000001</v>
      </c>
      <c r="EO262" s="202">
        <v>15326.47</v>
      </c>
      <c r="EP262" s="202"/>
      <c r="EQ262" s="202">
        <v>1774.98</v>
      </c>
      <c r="ER262" s="202">
        <v>1242.1500000000001</v>
      </c>
      <c r="ES262" s="202"/>
      <c r="ET262" s="202"/>
      <c r="EU262" s="202"/>
      <c r="EV262" s="214">
        <v>2.15</v>
      </c>
      <c r="EW262" s="240">
        <f t="shared" si="157"/>
        <v>36278.99</v>
      </c>
      <c r="EX262" s="209">
        <f t="shared" si="158"/>
        <v>23612.3</v>
      </c>
    </row>
    <row r="263" spans="1:154" ht="12.75" customHeight="1" x14ac:dyDescent="0.2">
      <c r="A263" s="4" t="s">
        <v>362</v>
      </c>
      <c r="B263" s="99" t="s">
        <v>299</v>
      </c>
      <c r="C263" s="100" t="s">
        <v>39</v>
      </c>
      <c r="D263" s="101" t="s">
        <v>667</v>
      </c>
      <c r="E263" s="100" t="s">
        <v>106</v>
      </c>
      <c r="F263" s="11">
        <v>9</v>
      </c>
      <c r="G263" s="11">
        <v>2</v>
      </c>
      <c r="H263" s="11">
        <v>70</v>
      </c>
      <c r="I263" s="11">
        <v>74</v>
      </c>
      <c r="J263" s="11">
        <v>189</v>
      </c>
      <c r="K263" s="11">
        <v>221</v>
      </c>
      <c r="L263" s="11">
        <v>2</v>
      </c>
      <c r="M263" s="84">
        <v>657</v>
      </c>
      <c r="N263" s="84">
        <v>602</v>
      </c>
      <c r="O263" s="84">
        <v>0</v>
      </c>
      <c r="P263" s="139">
        <v>606</v>
      </c>
      <c r="Q263" s="139" t="s">
        <v>808</v>
      </c>
      <c r="R263" s="133">
        <v>0</v>
      </c>
      <c r="S263" s="133">
        <f t="shared" si="159"/>
        <v>606</v>
      </c>
      <c r="T263" s="139">
        <v>657</v>
      </c>
      <c r="U263" s="130">
        <v>2.72</v>
      </c>
      <c r="V263" s="131">
        <v>1.21E-2</v>
      </c>
      <c r="W263" s="131">
        <v>1.9800000000000002E-2</v>
      </c>
      <c r="X263" s="132">
        <v>1.2700000000000001E-3</v>
      </c>
      <c r="Y263" s="131">
        <v>1.21E-2</v>
      </c>
      <c r="Z263" s="29">
        <v>3776.99</v>
      </c>
      <c r="AA263" s="34">
        <v>57.2</v>
      </c>
      <c r="AB263" s="9">
        <f t="shared" si="176"/>
        <v>3834.19</v>
      </c>
      <c r="AC263" s="9">
        <f t="shared" si="184"/>
        <v>24270.42</v>
      </c>
      <c r="AD263" s="9">
        <v>2.15</v>
      </c>
      <c r="AE263" s="9">
        <v>4.55</v>
      </c>
      <c r="AF263" s="21">
        <f>2.48-AJ263</f>
        <v>2.33</v>
      </c>
      <c r="AG263" s="18">
        <f>0.62-AQ263</f>
        <v>0.56999999999999995</v>
      </c>
      <c r="AH263" s="19">
        <f>2.78+0.13+0.18</f>
        <v>3.09</v>
      </c>
      <c r="AI263" s="43">
        <v>578</v>
      </c>
      <c r="AJ263" s="21">
        <f t="shared" si="178"/>
        <v>0.15</v>
      </c>
      <c r="AK263" s="9">
        <v>2.23</v>
      </c>
      <c r="AL263" s="9">
        <v>0.19</v>
      </c>
      <c r="AM263" s="9">
        <v>0.15</v>
      </c>
      <c r="AN263" s="13"/>
      <c r="AO263" s="13">
        <v>422.4</v>
      </c>
      <c r="AP263" s="13">
        <f t="shared" si="161"/>
        <v>5.58</v>
      </c>
      <c r="AQ263" s="18">
        <f t="shared" si="179"/>
        <v>0.05</v>
      </c>
      <c r="AR263" s="9">
        <v>0.57999999999999996</v>
      </c>
      <c r="AS263" s="9">
        <v>0.35</v>
      </c>
      <c r="AT263" s="9">
        <v>7.0000000000000007E-2</v>
      </c>
      <c r="AU263" s="9">
        <v>3.38</v>
      </c>
      <c r="AV263" s="9">
        <v>0.17</v>
      </c>
      <c r="AW263" s="9">
        <f>1.47+0.27+0.3</f>
        <v>2.04</v>
      </c>
      <c r="AX263" s="9">
        <f>2.08+0.4</f>
        <v>2.48</v>
      </c>
      <c r="AY263" s="102">
        <f t="shared" si="162"/>
        <v>24.53</v>
      </c>
      <c r="AZ263" s="103">
        <v>3802.2</v>
      </c>
      <c r="BA263" s="103">
        <v>57.2</v>
      </c>
      <c r="BB263" s="103">
        <f t="shared" si="177"/>
        <v>3859.4</v>
      </c>
      <c r="BC263" s="103">
        <v>24.53</v>
      </c>
      <c r="BD263" s="13">
        <f t="shared" si="160"/>
        <v>0</v>
      </c>
      <c r="BE263" s="9">
        <f t="shared" ref="BE263:BE316" si="185">SUM(AB263*BC263)</f>
        <v>94052.68</v>
      </c>
      <c r="BF263" s="9">
        <v>24.53</v>
      </c>
      <c r="BG263" s="10">
        <v>44409</v>
      </c>
      <c r="BH263" s="9">
        <f t="shared" ref="BH263:BH316" si="186">SUM(AB263*AD263)</f>
        <v>8243.51</v>
      </c>
      <c r="BI263" s="9">
        <f t="shared" ref="BI263:BI316" si="187">SUM(AB263*AE263)</f>
        <v>17445.560000000001</v>
      </c>
      <c r="BJ263" s="9">
        <f t="shared" ref="BJ263:BJ316" si="188">SUM(AB263*AF263)</f>
        <v>8933.66</v>
      </c>
      <c r="BK263" s="9">
        <f t="shared" ref="BK263:BK316" si="189">SUM(AB263*AG263)</f>
        <v>2185.4899999999998</v>
      </c>
      <c r="BL263" s="9">
        <f t="shared" ref="BL263:BL316" si="190">SUM(AB263*AH263)</f>
        <v>11847.65</v>
      </c>
      <c r="BM263" s="9">
        <f t="shared" ref="BM263:BM316" si="191">SUM(AB263*AJ263)</f>
        <v>575.13</v>
      </c>
      <c r="BN263" s="9">
        <f t="shared" ref="BN263:BN316" si="192">SUM(AB263*AK263)</f>
        <v>8550.24</v>
      </c>
      <c r="BO263" s="9">
        <f t="shared" ref="BO263:BO316" si="193">SUM(AB263*AL263)</f>
        <v>728.5</v>
      </c>
      <c r="BP263" s="9">
        <f t="shared" ref="BP263:BP316" si="194">SUM(AB263*AM263)</f>
        <v>575.13</v>
      </c>
      <c r="BQ263" s="9">
        <f t="shared" ref="BQ263:BQ316" si="195">SUM(AB263*AQ263)</f>
        <v>191.71</v>
      </c>
      <c r="BR263" s="9">
        <f t="shared" ref="BR263:BR316" si="196">SUM(AB263*AR263)</f>
        <v>2223.83</v>
      </c>
      <c r="BS263" s="9">
        <f t="shared" ref="BS263:BS316" si="197">SUM(AB263*AS263)</f>
        <v>1341.97</v>
      </c>
      <c r="BT263" s="9">
        <f t="shared" ref="BT263:BT316" si="198">SUM(AB263*AT263)</f>
        <v>268.39</v>
      </c>
      <c r="BU263" s="9">
        <f t="shared" ref="BU263:BU316" si="199">SUM(AB263*AU263)</f>
        <v>12959.56</v>
      </c>
      <c r="BV263" s="9">
        <f t="shared" ref="BV263:BV316" si="200">SUM(AB263*AV263)</f>
        <v>651.80999999999995</v>
      </c>
      <c r="BW263" s="9">
        <f t="shared" ref="BW263:BW316" si="201">SUM(AB263*AW263)</f>
        <v>7821.75</v>
      </c>
      <c r="BX263" s="9">
        <f t="shared" ref="BX263:BX316" si="202">SUM(AB263*AX263)</f>
        <v>9508.7900000000009</v>
      </c>
      <c r="BY263" s="17">
        <f t="shared" ref="BY263:BY316" si="203">SUM(BH263:BX263)</f>
        <v>94052.68</v>
      </c>
      <c r="BZ263" s="17">
        <v>3.43</v>
      </c>
      <c r="CA263" s="17">
        <v>0.09</v>
      </c>
      <c r="CB263" s="17">
        <v>0.56000000000000005</v>
      </c>
      <c r="CC263" s="27">
        <v>0.1</v>
      </c>
      <c r="CD263" s="29">
        <v>6.33</v>
      </c>
      <c r="CE263" s="9">
        <v>5741.17</v>
      </c>
      <c r="CF263" s="9"/>
      <c r="CG263" s="9">
        <v>0</v>
      </c>
      <c r="CH263" s="9">
        <v>0</v>
      </c>
      <c r="CI263" s="9">
        <f>IF(CE263&gt;0,CE263/AB263,0)</f>
        <v>1.5</v>
      </c>
      <c r="CJ263" s="9">
        <f>IF(CF263&gt;0,CF263/AB263,0)</f>
        <v>0</v>
      </c>
      <c r="CK263" s="13">
        <f>IF(CG263&gt;0,CG263/AB263,0)</f>
        <v>0</v>
      </c>
      <c r="CL263" s="13">
        <f>IF(CH263&gt;0,CH263/AB263,0)</f>
        <v>0</v>
      </c>
      <c r="CM263" s="13">
        <v>92649.58</v>
      </c>
      <c r="CN263" s="13">
        <v>6722.95</v>
      </c>
      <c r="CO263" s="13">
        <v>0</v>
      </c>
      <c r="CP263" s="13">
        <v>0</v>
      </c>
      <c r="CQ263" s="13">
        <v>0</v>
      </c>
      <c r="CR263" s="13">
        <v>79944.990000000005</v>
      </c>
      <c r="CS263" s="13">
        <v>5977.21</v>
      </c>
      <c r="CT263" s="13">
        <v>333.89</v>
      </c>
      <c r="CU263" s="13">
        <v>53.65</v>
      </c>
      <c r="CV263" s="13">
        <v>59.61</v>
      </c>
      <c r="CW263" s="202">
        <v>3340</v>
      </c>
      <c r="CX263" s="200">
        <v>1916</v>
      </c>
      <c r="CY263" s="202"/>
      <c r="CZ263" s="202"/>
      <c r="DA263" s="202"/>
      <c r="DB263" s="202"/>
      <c r="DC263" s="202"/>
      <c r="DD263" s="461"/>
      <c r="DE263" s="256"/>
      <c r="DF263" s="202"/>
      <c r="DG263" s="202"/>
      <c r="DH263" s="202"/>
      <c r="DI263" s="204">
        <v>578</v>
      </c>
      <c r="DJ263" s="202">
        <v>8600</v>
      </c>
      <c r="DK263" s="202"/>
      <c r="DL263" s="202"/>
      <c r="DM263" s="202">
        <v>26327</v>
      </c>
      <c r="DN263" s="202">
        <v>4250</v>
      </c>
      <c r="DO263" s="202">
        <v>2.5</v>
      </c>
      <c r="DP263" s="202"/>
      <c r="DQ263" s="202"/>
      <c r="DR263" s="202"/>
      <c r="DS263" s="202"/>
      <c r="DT263" s="254"/>
      <c r="DU263" s="254"/>
      <c r="DV263" s="202">
        <v>18315</v>
      </c>
      <c r="DW263" s="202"/>
      <c r="DX263" s="202"/>
      <c r="DY263" s="107">
        <v>1365</v>
      </c>
      <c r="DZ263" s="107">
        <v>577</v>
      </c>
      <c r="EA263" s="202"/>
      <c r="EB263" s="107"/>
      <c r="EC263" s="202"/>
      <c r="ED263" s="202"/>
      <c r="EE263" s="202"/>
      <c r="EF263" s="229"/>
      <c r="EG263" s="202"/>
      <c r="EH263" s="202"/>
      <c r="EI263" s="202"/>
      <c r="EJ263" s="202"/>
      <c r="EK263" s="202">
        <v>6825.06</v>
      </c>
      <c r="EL263" s="202">
        <v>0</v>
      </c>
      <c r="EM263" s="202">
        <v>0</v>
      </c>
      <c r="EN263" s="202">
        <v>0</v>
      </c>
      <c r="EO263" s="202">
        <v>6825.06</v>
      </c>
      <c r="EP263" s="202"/>
      <c r="EQ263" s="202">
        <v>0</v>
      </c>
      <c r="ER263" s="202">
        <v>0</v>
      </c>
      <c r="ES263" s="202"/>
      <c r="ET263" s="202"/>
      <c r="EU263" s="202"/>
      <c r="EV263" s="214">
        <v>-5.8</v>
      </c>
      <c r="EW263" s="240">
        <f t="shared" ref="EW263:EW315" si="204">SUM(AB263*2.18716)</f>
        <v>8385.99</v>
      </c>
      <c r="EX263" s="209">
        <f t="shared" ref="EX263:EX315" si="205">SUM(AB263*1.42352)</f>
        <v>5458.05</v>
      </c>
    </row>
    <row r="264" spans="1:154" ht="12.75" customHeight="1" x14ac:dyDescent="0.2">
      <c r="A264" s="4" t="s">
        <v>364</v>
      </c>
      <c r="B264" s="148" t="s">
        <v>299</v>
      </c>
      <c r="C264" s="149" t="s">
        <v>41</v>
      </c>
      <c r="D264" s="148" t="s">
        <v>666</v>
      </c>
      <c r="E264" s="149"/>
      <c r="F264" s="11">
        <v>9</v>
      </c>
      <c r="G264" s="11">
        <v>17</v>
      </c>
      <c r="H264" s="11">
        <v>600</v>
      </c>
      <c r="I264" s="11">
        <v>601</v>
      </c>
      <c r="J264" s="11">
        <v>1356</v>
      </c>
      <c r="K264" s="11">
        <v>1622</v>
      </c>
      <c r="L264" s="83">
        <v>17</v>
      </c>
      <c r="M264" s="84">
        <v>3522</v>
      </c>
      <c r="N264" s="84">
        <v>4936</v>
      </c>
      <c r="O264" s="84">
        <v>0</v>
      </c>
      <c r="P264" s="139">
        <f>1686.4+3207.6</f>
        <v>4894</v>
      </c>
      <c r="Q264" s="135">
        <v>3689.4</v>
      </c>
      <c r="R264" s="133">
        <v>0</v>
      </c>
      <c r="S264" s="133">
        <f t="shared" ref="S264:S316" si="206">SUM(P264:R264)</f>
        <v>8583.4</v>
      </c>
      <c r="T264" s="139">
        <v>4470.8</v>
      </c>
      <c r="U264" s="130">
        <v>2.44</v>
      </c>
      <c r="V264" s="91">
        <v>1.9800000000000002E-2</v>
      </c>
      <c r="W264" s="91">
        <v>1.9800000000000002E-2</v>
      </c>
      <c r="X264" s="132">
        <v>1.32E-3</v>
      </c>
      <c r="Y264" s="91">
        <v>3.9699999999999999E-2</v>
      </c>
      <c r="Z264" s="29">
        <v>31952.720000000001</v>
      </c>
      <c r="AA264" s="34">
        <v>1138.7</v>
      </c>
      <c r="AB264" s="9">
        <f t="shared" si="176"/>
        <v>33091.42</v>
      </c>
      <c r="AC264" s="9">
        <f t="shared" si="184"/>
        <v>209468.69</v>
      </c>
      <c r="AD264" s="9">
        <v>2.34</v>
      </c>
      <c r="AE264" s="9">
        <v>4.17</v>
      </c>
      <c r="AF264" s="21">
        <f>2.49-AJ264</f>
        <v>2.35</v>
      </c>
      <c r="AG264" s="18">
        <f>0.62-AQ264</f>
        <v>0.56999999999999995</v>
      </c>
      <c r="AH264" s="9">
        <v>2.78</v>
      </c>
      <c r="AI264" s="13">
        <v>4737</v>
      </c>
      <c r="AJ264" s="21">
        <f t="shared" si="178"/>
        <v>0.14000000000000001</v>
      </c>
      <c r="AK264" s="9">
        <v>2.2200000000000002</v>
      </c>
      <c r="AL264" s="9">
        <v>0.6</v>
      </c>
      <c r="AM264" s="9">
        <v>0.04</v>
      </c>
      <c r="AN264" s="13"/>
      <c r="AO264" s="13">
        <v>3590.4</v>
      </c>
      <c r="AP264" s="13">
        <f t="shared" si="161"/>
        <v>5.58</v>
      </c>
      <c r="AQ264" s="18">
        <f t="shared" si="179"/>
        <v>0.05</v>
      </c>
      <c r="AR264" s="9">
        <v>0.55000000000000004</v>
      </c>
      <c r="AS264" s="9">
        <v>0.17</v>
      </c>
      <c r="AT264" s="9">
        <v>7.0000000000000007E-2</v>
      </c>
      <c r="AU264" s="9">
        <v>3.85</v>
      </c>
      <c r="AV264" s="9">
        <v>0.17</v>
      </c>
      <c r="AW264" s="9">
        <f>1.44+0.34+0.25</f>
        <v>2.0299999999999998</v>
      </c>
      <c r="AX264" s="9">
        <f>2.03+0.45</f>
        <v>2.48</v>
      </c>
      <c r="AY264" s="151">
        <f t="shared" si="162"/>
        <v>24.58</v>
      </c>
      <c r="AZ264" s="152"/>
      <c r="BA264" s="152"/>
      <c r="BB264" s="152"/>
      <c r="BC264" s="152">
        <v>24.58</v>
      </c>
      <c r="BD264" s="13">
        <f t="shared" ref="BD264:BD316" si="207">SUM(AY264-BC264)</f>
        <v>0</v>
      </c>
      <c r="BE264" s="9">
        <f t="shared" si="185"/>
        <v>813387.1</v>
      </c>
      <c r="BF264" s="9">
        <v>24.58</v>
      </c>
      <c r="BG264" s="10">
        <v>44440</v>
      </c>
      <c r="BH264" s="9">
        <f t="shared" si="186"/>
        <v>77433.919999999998</v>
      </c>
      <c r="BI264" s="9">
        <f t="shared" si="187"/>
        <v>137991.22</v>
      </c>
      <c r="BJ264" s="9">
        <f t="shared" si="188"/>
        <v>77764.84</v>
      </c>
      <c r="BK264" s="9">
        <f t="shared" si="189"/>
        <v>18862.11</v>
      </c>
      <c r="BL264" s="9">
        <f t="shared" si="190"/>
        <v>91994.15</v>
      </c>
      <c r="BM264" s="9">
        <f t="shared" si="191"/>
        <v>4632.8</v>
      </c>
      <c r="BN264" s="9">
        <f t="shared" si="192"/>
        <v>73462.95</v>
      </c>
      <c r="BO264" s="9">
        <f t="shared" si="193"/>
        <v>19854.849999999999</v>
      </c>
      <c r="BP264" s="9">
        <f t="shared" si="194"/>
        <v>1323.66</v>
      </c>
      <c r="BQ264" s="9">
        <f t="shared" si="195"/>
        <v>1654.57</v>
      </c>
      <c r="BR264" s="9">
        <f t="shared" si="196"/>
        <v>18200.28</v>
      </c>
      <c r="BS264" s="9">
        <f t="shared" si="197"/>
        <v>5625.54</v>
      </c>
      <c r="BT264" s="9">
        <f t="shared" si="198"/>
        <v>2316.4</v>
      </c>
      <c r="BU264" s="9">
        <f t="shared" si="199"/>
        <v>127401.97</v>
      </c>
      <c r="BV264" s="9">
        <f t="shared" si="200"/>
        <v>5625.54</v>
      </c>
      <c r="BW264" s="9">
        <f t="shared" si="201"/>
        <v>67175.58</v>
      </c>
      <c r="BX264" s="9">
        <f t="shared" si="202"/>
        <v>82066.720000000001</v>
      </c>
      <c r="BY264" s="17">
        <f t="shared" si="203"/>
        <v>813387.1</v>
      </c>
      <c r="BZ264" s="17">
        <v>2.33</v>
      </c>
      <c r="CA264" s="17">
        <v>7.0000000000000007E-2</v>
      </c>
      <c r="CB264" s="17">
        <v>0.45</v>
      </c>
      <c r="CC264" s="27">
        <v>0.08</v>
      </c>
      <c r="CD264" s="29">
        <v>6.33</v>
      </c>
      <c r="CE264" s="9"/>
      <c r="CF264" s="9"/>
      <c r="CG264" s="9"/>
      <c r="CH264" s="9"/>
      <c r="CI264" s="9"/>
      <c r="CJ264" s="9"/>
      <c r="CK264" s="13"/>
      <c r="CL264" s="13"/>
      <c r="CM264" s="13">
        <v>785053.39</v>
      </c>
      <c r="CN264" s="13">
        <v>0</v>
      </c>
      <c r="CO264" s="13">
        <v>9905</v>
      </c>
      <c r="CP264" s="13">
        <v>0</v>
      </c>
      <c r="CQ264" s="13">
        <v>1278.01</v>
      </c>
      <c r="CR264" s="13">
        <v>794829.83</v>
      </c>
      <c r="CS264" s="13">
        <v>65151.39</v>
      </c>
      <c r="CT264" s="13">
        <v>4758.2299999999996</v>
      </c>
      <c r="CU264" s="13">
        <v>429.54</v>
      </c>
      <c r="CV264" s="13">
        <v>1446.88</v>
      </c>
      <c r="CW264" s="202">
        <v>28835</v>
      </c>
      <c r="CX264" s="200">
        <v>16542</v>
      </c>
      <c r="CY264" s="202">
        <v>213120</v>
      </c>
      <c r="CZ264" s="202">
        <v>6800</v>
      </c>
      <c r="DA264" s="202">
        <v>4</v>
      </c>
      <c r="DB264" s="202"/>
      <c r="DC264" s="202"/>
      <c r="DD264" s="461"/>
      <c r="DE264" s="256"/>
      <c r="DF264" s="204">
        <v>4737</v>
      </c>
      <c r="DG264" s="204"/>
      <c r="DH264" s="204"/>
      <c r="DI264" s="204"/>
      <c r="DJ264" s="202"/>
      <c r="DK264" s="202">
        <v>73100</v>
      </c>
      <c r="DL264" s="202"/>
      <c r="DM264" s="202"/>
      <c r="DN264" s="202"/>
      <c r="DO264" s="202"/>
      <c r="DP264" s="202"/>
      <c r="DQ264" s="202"/>
      <c r="DR264" s="202"/>
      <c r="DS264" s="202"/>
      <c r="DT264" s="254"/>
      <c r="DU264" s="254"/>
      <c r="DV264" s="202">
        <v>191204</v>
      </c>
      <c r="DW264" s="202"/>
      <c r="DX264" s="202"/>
      <c r="DY264" s="107">
        <v>5460</v>
      </c>
      <c r="DZ264" s="107">
        <f>577*2</f>
        <v>1154</v>
      </c>
      <c r="EA264" s="202">
        <f>2413.98+6037.04+2310.61</f>
        <v>10761.63</v>
      </c>
      <c r="EB264" s="107"/>
      <c r="EC264" s="202"/>
      <c r="ED264" s="202"/>
      <c r="EE264" s="202"/>
      <c r="EF264" s="229"/>
      <c r="EG264" s="202"/>
      <c r="EH264" s="202"/>
      <c r="EI264" s="202"/>
      <c r="EJ264" s="202"/>
      <c r="EK264" s="202">
        <v>48390.71</v>
      </c>
      <c r="EL264" s="202">
        <v>10264.959999999999</v>
      </c>
      <c r="EM264" s="202">
        <v>0</v>
      </c>
      <c r="EN264" s="202">
        <v>1252.4100000000001</v>
      </c>
      <c r="EO264" s="202">
        <v>48390.71</v>
      </c>
      <c r="EP264" s="202"/>
      <c r="EQ264" s="202">
        <v>0</v>
      </c>
      <c r="ER264" s="202">
        <v>1252.4100000000001</v>
      </c>
      <c r="ES264" s="202"/>
      <c r="ET264" s="202"/>
      <c r="EU264" s="202"/>
      <c r="EV264" s="214">
        <v>-86.82</v>
      </c>
      <c r="EW264" s="240">
        <f t="shared" si="204"/>
        <v>72376.23</v>
      </c>
      <c r="EX264" s="209">
        <f t="shared" si="205"/>
        <v>47106.3</v>
      </c>
    </row>
    <row r="265" spans="1:154" ht="12.75" customHeight="1" x14ac:dyDescent="0.2">
      <c r="A265" s="4" t="s">
        <v>365</v>
      </c>
      <c r="B265" s="148" t="s">
        <v>299</v>
      </c>
      <c r="C265" s="149" t="s">
        <v>203</v>
      </c>
      <c r="D265" s="150" t="s">
        <v>519</v>
      </c>
      <c r="E265" s="149" t="s">
        <v>12</v>
      </c>
      <c r="F265" s="11">
        <v>9</v>
      </c>
      <c r="G265" s="11">
        <v>5</v>
      </c>
      <c r="H265" s="11">
        <v>176</v>
      </c>
      <c r="I265" s="11">
        <v>177</v>
      </c>
      <c r="J265" s="11">
        <v>411</v>
      </c>
      <c r="K265" s="11">
        <v>458</v>
      </c>
      <c r="L265" s="83">
        <v>5</v>
      </c>
      <c r="M265" s="84">
        <v>1098</v>
      </c>
      <c r="N265" s="84">
        <v>1585</v>
      </c>
      <c r="O265" s="84">
        <v>0</v>
      </c>
      <c r="P265" s="135">
        <v>1256</v>
      </c>
      <c r="Q265" s="135">
        <v>1345.6</v>
      </c>
      <c r="R265" s="133">
        <v>0</v>
      </c>
      <c r="S265" s="133">
        <f t="shared" si="206"/>
        <v>2601.6</v>
      </c>
      <c r="T265" s="134">
        <v>1256</v>
      </c>
      <c r="U265" s="130">
        <v>2.44</v>
      </c>
      <c r="V265" s="131">
        <v>1.9800000000000002E-2</v>
      </c>
      <c r="W265" s="131">
        <v>1.9800000000000002E-2</v>
      </c>
      <c r="X265" s="132">
        <v>1.32E-3</v>
      </c>
      <c r="Y265" s="131">
        <v>3.9699999999999999E-2</v>
      </c>
      <c r="Z265" s="29">
        <v>9536.09</v>
      </c>
      <c r="AA265" s="34">
        <v>86</v>
      </c>
      <c r="AB265" s="9">
        <f t="shared" si="176"/>
        <v>9622.09</v>
      </c>
      <c r="AC265" s="9">
        <f t="shared" si="184"/>
        <v>60907.83</v>
      </c>
      <c r="AD265" s="9">
        <v>2.44</v>
      </c>
      <c r="AE265" s="9">
        <v>4.4000000000000004</v>
      </c>
      <c r="AF265" s="21">
        <f>2.4-AJ265</f>
        <v>2.2400000000000002</v>
      </c>
      <c r="AG265" s="18">
        <f>0.61-AQ265</f>
        <v>0.56000000000000005</v>
      </c>
      <c r="AH265" s="9">
        <v>2.78</v>
      </c>
      <c r="AI265" s="13">
        <v>1522</v>
      </c>
      <c r="AJ265" s="21">
        <f t="shared" si="178"/>
        <v>0.16</v>
      </c>
      <c r="AK265" s="9">
        <v>2.25</v>
      </c>
      <c r="AL265" s="9">
        <v>0.36</v>
      </c>
      <c r="AM265" s="9">
        <v>0.03</v>
      </c>
      <c r="AN265" s="13"/>
      <c r="AO265" s="13">
        <v>1056</v>
      </c>
      <c r="AP265" s="13">
        <f t="shared" si="161"/>
        <v>5.58</v>
      </c>
      <c r="AQ265" s="18">
        <f t="shared" si="179"/>
        <v>0.05</v>
      </c>
      <c r="AR265" s="9">
        <v>0.56999999999999995</v>
      </c>
      <c r="AS265" s="9">
        <v>0.14000000000000001</v>
      </c>
      <c r="AT265" s="9">
        <v>7.0000000000000007E-2</v>
      </c>
      <c r="AU265" s="9">
        <v>3.82</v>
      </c>
      <c r="AV265" s="9">
        <v>0.17</v>
      </c>
      <c r="AW265" s="9">
        <f>1.44+0.34+0.26</f>
        <v>2.04</v>
      </c>
      <c r="AX265" s="9">
        <f>2.02+0.45</f>
        <v>2.4700000000000002</v>
      </c>
      <c r="AY265" s="151">
        <f t="shared" si="162"/>
        <v>24.55</v>
      </c>
      <c r="AZ265" s="152">
        <v>9483.4</v>
      </c>
      <c r="BA265" s="152">
        <v>86</v>
      </c>
      <c r="BB265" s="152">
        <f t="shared" si="177"/>
        <v>9569.4</v>
      </c>
      <c r="BC265" s="152">
        <v>24.55</v>
      </c>
      <c r="BD265" s="13">
        <f t="shared" si="207"/>
        <v>0</v>
      </c>
      <c r="BE265" s="9">
        <f t="shared" si="185"/>
        <v>236222.31</v>
      </c>
      <c r="BF265" s="9">
        <v>24.55</v>
      </c>
      <c r="BG265" s="10">
        <v>44409</v>
      </c>
      <c r="BH265" s="9">
        <f t="shared" si="186"/>
        <v>23477.9</v>
      </c>
      <c r="BI265" s="9">
        <f t="shared" si="187"/>
        <v>42337.2</v>
      </c>
      <c r="BJ265" s="9">
        <f t="shared" si="188"/>
        <v>21553.48</v>
      </c>
      <c r="BK265" s="9">
        <f t="shared" si="189"/>
        <v>5388.37</v>
      </c>
      <c r="BL265" s="9">
        <f t="shared" si="190"/>
        <v>26749.41</v>
      </c>
      <c r="BM265" s="9">
        <f t="shared" si="191"/>
        <v>1539.53</v>
      </c>
      <c r="BN265" s="9">
        <f t="shared" si="192"/>
        <v>21649.7</v>
      </c>
      <c r="BO265" s="9">
        <f t="shared" si="193"/>
        <v>3463.95</v>
      </c>
      <c r="BP265" s="9">
        <f t="shared" si="194"/>
        <v>288.66000000000003</v>
      </c>
      <c r="BQ265" s="9">
        <f t="shared" si="195"/>
        <v>481.1</v>
      </c>
      <c r="BR265" s="9">
        <f t="shared" si="196"/>
        <v>5484.59</v>
      </c>
      <c r="BS265" s="9">
        <f t="shared" si="197"/>
        <v>1347.09</v>
      </c>
      <c r="BT265" s="9">
        <f t="shared" si="198"/>
        <v>673.55</v>
      </c>
      <c r="BU265" s="9">
        <f t="shared" si="199"/>
        <v>36756.379999999997</v>
      </c>
      <c r="BV265" s="9">
        <f t="shared" si="200"/>
        <v>1635.76</v>
      </c>
      <c r="BW265" s="9">
        <f t="shared" si="201"/>
        <v>19629.060000000001</v>
      </c>
      <c r="BX265" s="9">
        <f t="shared" si="202"/>
        <v>23766.560000000001</v>
      </c>
      <c r="BY265" s="17">
        <f t="shared" si="203"/>
        <v>236222.29</v>
      </c>
      <c r="BZ265" s="17">
        <v>2.5299999999999998</v>
      </c>
      <c r="CA265" s="17">
        <v>7.0000000000000007E-2</v>
      </c>
      <c r="CB265" s="17">
        <v>0.44</v>
      </c>
      <c r="CC265" s="27">
        <v>7.0000000000000007E-2</v>
      </c>
      <c r="CD265" s="29">
        <v>6.33</v>
      </c>
      <c r="CE265" s="9">
        <v>31180.95</v>
      </c>
      <c r="CF265" s="9"/>
      <c r="CG265" s="9">
        <v>1270.1300000000001</v>
      </c>
      <c r="CH265" s="9">
        <v>1016.8</v>
      </c>
      <c r="CI265" s="9">
        <f>IF(CE265&gt;0,CE265/AB265,0)</f>
        <v>3.24</v>
      </c>
      <c r="CJ265" s="9">
        <f>IF(CF265&gt;0,CF265/AB265,0)</f>
        <v>0</v>
      </c>
      <c r="CK265" s="13">
        <f>IF(CG265&gt;0,CG265/AB265,0)</f>
        <v>0.13</v>
      </c>
      <c r="CL265" s="13">
        <f>IF(CH265&gt;0,CH265/AB265,0)</f>
        <v>0.11</v>
      </c>
      <c r="CM265" s="13">
        <v>234111.38</v>
      </c>
      <c r="CN265" s="13">
        <v>23649.59</v>
      </c>
      <c r="CO265" s="13">
        <v>0</v>
      </c>
      <c r="CP265" s="13">
        <v>5721.66</v>
      </c>
      <c r="CQ265" s="13">
        <v>3338</v>
      </c>
      <c r="CR265" s="13">
        <v>233648.68</v>
      </c>
      <c r="CS265" s="13">
        <v>24599.23</v>
      </c>
      <c r="CT265" s="13">
        <v>548.15</v>
      </c>
      <c r="CU265" s="13">
        <v>4561.12</v>
      </c>
      <c r="CV265" s="13">
        <v>2740.87</v>
      </c>
      <c r="CW265" s="202">
        <v>8384</v>
      </c>
      <c r="CX265" s="200">
        <v>4810</v>
      </c>
      <c r="CY265" s="202">
        <v>61878</v>
      </c>
      <c r="CZ265" s="202">
        <v>6800</v>
      </c>
      <c r="DA265" s="202">
        <v>4</v>
      </c>
      <c r="DB265" s="202"/>
      <c r="DC265" s="202"/>
      <c r="DD265" s="461"/>
      <c r="DE265" s="256"/>
      <c r="DF265" s="204">
        <v>1522</v>
      </c>
      <c r="DG265" s="204"/>
      <c r="DH265" s="204"/>
      <c r="DI265" s="204"/>
      <c r="DJ265" s="202"/>
      <c r="DK265" s="202">
        <v>21500</v>
      </c>
      <c r="DL265" s="202"/>
      <c r="DM265" s="202"/>
      <c r="DN265" s="202"/>
      <c r="DO265" s="202"/>
      <c r="DP265" s="202"/>
      <c r="DQ265" s="202"/>
      <c r="DR265" s="202"/>
      <c r="DS265" s="202"/>
      <c r="DT265" s="254"/>
      <c r="DU265" s="254"/>
      <c r="DV265" s="202">
        <v>54716</v>
      </c>
      <c r="DW265" s="202"/>
      <c r="DX265" s="202"/>
      <c r="DY265" s="107">
        <v>1365</v>
      </c>
      <c r="DZ265" s="107">
        <v>577</v>
      </c>
      <c r="EA265" s="202">
        <f>2692.8+5266.68</f>
        <v>7959.48</v>
      </c>
      <c r="EB265" s="107"/>
      <c r="EC265" s="202"/>
      <c r="ED265" s="202"/>
      <c r="EE265" s="202"/>
      <c r="EF265" s="229"/>
      <c r="EG265" s="202"/>
      <c r="EH265" s="202"/>
      <c r="EI265" s="202"/>
      <c r="EJ265" s="202"/>
      <c r="EK265" s="202">
        <v>23822.49</v>
      </c>
      <c r="EL265" s="202">
        <v>0</v>
      </c>
      <c r="EM265" s="202">
        <v>5729.09</v>
      </c>
      <c r="EN265" s="202">
        <v>3351.22</v>
      </c>
      <c r="EO265" s="202">
        <v>23822.49</v>
      </c>
      <c r="EP265" s="202"/>
      <c r="EQ265" s="202">
        <v>5729.09</v>
      </c>
      <c r="ER265" s="202">
        <v>3351.22</v>
      </c>
      <c r="ES265" s="202"/>
      <c r="ET265" s="202"/>
      <c r="EU265" s="202"/>
      <c r="EV265" s="214">
        <v>101.15</v>
      </c>
      <c r="EW265" s="240">
        <f t="shared" si="204"/>
        <v>21045.05</v>
      </c>
      <c r="EX265" s="209">
        <f t="shared" si="205"/>
        <v>13697.24</v>
      </c>
    </row>
    <row r="266" spans="1:154" ht="12.75" customHeight="1" x14ac:dyDescent="0.2">
      <c r="A266" s="4" t="s">
        <v>366</v>
      </c>
      <c r="B266" s="156" t="s">
        <v>322</v>
      </c>
      <c r="C266" s="157" t="s">
        <v>8</v>
      </c>
      <c r="D266" s="158" t="s">
        <v>671</v>
      </c>
      <c r="E266" s="157"/>
      <c r="F266" s="11">
        <v>9</v>
      </c>
      <c r="G266" s="11">
        <v>15</v>
      </c>
      <c r="H266" s="11">
        <v>528</v>
      </c>
      <c r="I266" s="11">
        <v>531</v>
      </c>
      <c r="J266" s="11">
        <v>1189</v>
      </c>
      <c r="K266" s="11">
        <v>1388</v>
      </c>
      <c r="L266" s="83">
        <v>15</v>
      </c>
      <c r="M266" s="84">
        <v>3510</v>
      </c>
      <c r="N266" s="84">
        <v>5625</v>
      </c>
      <c r="O266" s="84">
        <v>0</v>
      </c>
      <c r="P266" s="135">
        <f>1785.3+1724.3</f>
        <v>3509.6</v>
      </c>
      <c r="Q266" s="135">
        <v>3585.3</v>
      </c>
      <c r="R266" s="133">
        <v>0</v>
      </c>
      <c r="S266" s="133">
        <f t="shared" si="206"/>
        <v>7094.9</v>
      </c>
      <c r="T266" s="134">
        <v>3510</v>
      </c>
      <c r="U266" s="130">
        <v>2.44</v>
      </c>
      <c r="V266" s="131">
        <v>1.9800000000000002E-2</v>
      </c>
      <c r="W266" s="131">
        <v>1.9800000000000002E-2</v>
      </c>
      <c r="X266" s="132">
        <v>1.32E-3</v>
      </c>
      <c r="Y266" s="131">
        <v>3.9699999999999999E-2</v>
      </c>
      <c r="Z266" s="29">
        <v>29116.75</v>
      </c>
      <c r="AA266" s="34">
        <v>52.7</v>
      </c>
      <c r="AB266" s="9">
        <f t="shared" si="176"/>
        <v>29169.45</v>
      </c>
      <c r="AC266" s="9">
        <f t="shared" si="184"/>
        <v>184642.62</v>
      </c>
      <c r="AD266" s="9">
        <v>2.5099999999999998</v>
      </c>
      <c r="AE266" s="9">
        <v>3.6</v>
      </c>
      <c r="AF266" s="21">
        <f>2.38-AJ266</f>
        <v>2.19</v>
      </c>
      <c r="AG266" s="18">
        <f>0.61-AQ266</f>
        <v>0.56000000000000005</v>
      </c>
      <c r="AH266" s="9">
        <v>2.78</v>
      </c>
      <c r="AI266" s="13">
        <v>5400</v>
      </c>
      <c r="AJ266" s="21">
        <f t="shared" si="178"/>
        <v>0.19</v>
      </c>
      <c r="AK266" s="9">
        <v>2.21</v>
      </c>
      <c r="AL266" s="9">
        <v>0.44</v>
      </c>
      <c r="AM266" s="9">
        <v>0.06</v>
      </c>
      <c r="AN266" s="13"/>
      <c r="AO266" s="13">
        <v>3168</v>
      </c>
      <c r="AP266" s="13">
        <f t="shared" ref="AP266:AP316" si="208">5.58</f>
        <v>5.58</v>
      </c>
      <c r="AQ266" s="18">
        <f t="shared" si="179"/>
        <v>0.05</v>
      </c>
      <c r="AR266" s="9">
        <v>0.56000000000000005</v>
      </c>
      <c r="AS266" s="9">
        <v>0.23</v>
      </c>
      <c r="AT266" s="9">
        <v>7.0000000000000007E-2</v>
      </c>
      <c r="AU266" s="9">
        <v>4.78</v>
      </c>
      <c r="AV266" s="9">
        <v>0.16</v>
      </c>
      <c r="AW266" s="9">
        <f>1.39+0.42+0.25</f>
        <v>2.06</v>
      </c>
      <c r="AX266" s="9">
        <f>1.96+0.56</f>
        <v>2.52</v>
      </c>
      <c r="AY266" s="159">
        <f t="shared" ref="AY266:AY316" si="209">SUM(AD266:AH266,AJ266:AM266,AQ266:AX266)</f>
        <v>24.97</v>
      </c>
      <c r="AZ266" s="160"/>
      <c r="BA266" s="160"/>
      <c r="BB266" s="160"/>
      <c r="BC266" s="160">
        <v>24.97</v>
      </c>
      <c r="BD266" s="13">
        <f t="shared" si="207"/>
        <v>0</v>
      </c>
      <c r="BE266" s="9">
        <f t="shared" si="185"/>
        <v>728361.17</v>
      </c>
      <c r="BF266" s="9">
        <v>24.97</v>
      </c>
      <c r="BG266" s="10">
        <v>44440</v>
      </c>
      <c r="BH266" s="9">
        <f t="shared" si="186"/>
        <v>73215.320000000007</v>
      </c>
      <c r="BI266" s="9">
        <f t="shared" si="187"/>
        <v>105010.02</v>
      </c>
      <c r="BJ266" s="9">
        <f t="shared" si="188"/>
        <v>63881.1</v>
      </c>
      <c r="BK266" s="9">
        <f t="shared" si="189"/>
        <v>16334.89</v>
      </c>
      <c r="BL266" s="9">
        <f t="shared" si="190"/>
        <v>81091.070000000007</v>
      </c>
      <c r="BM266" s="9">
        <f t="shared" si="191"/>
        <v>5542.2</v>
      </c>
      <c r="BN266" s="9">
        <f t="shared" si="192"/>
        <v>64464.480000000003</v>
      </c>
      <c r="BO266" s="9">
        <f t="shared" si="193"/>
        <v>12834.56</v>
      </c>
      <c r="BP266" s="9">
        <f t="shared" si="194"/>
        <v>1750.17</v>
      </c>
      <c r="BQ266" s="9">
        <f t="shared" si="195"/>
        <v>1458.47</v>
      </c>
      <c r="BR266" s="9">
        <f t="shared" si="196"/>
        <v>16334.89</v>
      </c>
      <c r="BS266" s="9">
        <f t="shared" si="197"/>
        <v>6708.97</v>
      </c>
      <c r="BT266" s="9">
        <f t="shared" si="198"/>
        <v>2041.86</v>
      </c>
      <c r="BU266" s="9">
        <f t="shared" si="199"/>
        <v>139429.97</v>
      </c>
      <c r="BV266" s="9">
        <f t="shared" si="200"/>
        <v>4667.1099999999997</v>
      </c>
      <c r="BW266" s="9">
        <f t="shared" si="201"/>
        <v>60089.07</v>
      </c>
      <c r="BX266" s="9">
        <f t="shared" si="202"/>
        <v>73507.009999999995</v>
      </c>
      <c r="BY266" s="17">
        <f t="shared" si="203"/>
        <v>728361.16</v>
      </c>
      <c r="BZ266" s="17">
        <v>2.93</v>
      </c>
      <c r="CA266" s="17">
        <v>0.06</v>
      </c>
      <c r="CB266" s="17">
        <v>0.4</v>
      </c>
      <c r="CC266" s="27">
        <v>7.0000000000000007E-2</v>
      </c>
      <c r="CD266" s="29">
        <v>6.33</v>
      </c>
      <c r="CE266" s="9"/>
      <c r="CF266" s="9"/>
      <c r="CG266" s="9"/>
      <c r="CH266" s="9"/>
      <c r="CI266" s="9"/>
      <c r="CJ266" s="9"/>
      <c r="CK266" s="13"/>
      <c r="CL266" s="13"/>
      <c r="CM266" s="13">
        <v>727215.56</v>
      </c>
      <c r="CN266" s="13">
        <v>76310.539999999994</v>
      </c>
      <c r="CO266" s="13">
        <v>22134.74</v>
      </c>
      <c r="CP266" s="13">
        <v>38152.32</v>
      </c>
      <c r="CQ266" s="13">
        <v>20969.22</v>
      </c>
      <c r="CR266" s="13">
        <v>700271.94</v>
      </c>
      <c r="CS266" s="13">
        <v>74120.77</v>
      </c>
      <c r="CT266" s="13">
        <v>8244.73</v>
      </c>
      <c r="CU266" s="13">
        <v>16505.02</v>
      </c>
      <c r="CV266" s="13">
        <v>9587.4500000000007</v>
      </c>
      <c r="CW266" s="202">
        <v>25407</v>
      </c>
      <c r="CX266" s="200">
        <v>14576</v>
      </c>
      <c r="CY266" s="202">
        <v>165304</v>
      </c>
      <c r="CZ266" s="202">
        <v>6800</v>
      </c>
      <c r="DA266" s="202">
        <v>4</v>
      </c>
      <c r="DB266" s="202"/>
      <c r="DC266" s="202"/>
      <c r="DD266" s="461"/>
      <c r="DE266" s="256"/>
      <c r="DF266" s="204">
        <v>5400</v>
      </c>
      <c r="DG266" s="204"/>
      <c r="DH266" s="204"/>
      <c r="DI266" s="204"/>
      <c r="DJ266" s="202"/>
      <c r="DK266" s="202">
        <f>64500-277.42</f>
        <v>64222.58</v>
      </c>
      <c r="DL266" s="202">
        <v>42000</v>
      </c>
      <c r="DM266" s="202"/>
      <c r="DN266" s="202"/>
      <c r="DO266" s="202"/>
      <c r="DP266" s="202"/>
      <c r="DQ266" s="202"/>
      <c r="DR266" s="202"/>
      <c r="DS266" s="202"/>
      <c r="DT266" s="254"/>
      <c r="DU266" s="254"/>
      <c r="DV266" s="202">
        <v>166384</v>
      </c>
      <c r="DW266" s="202"/>
      <c r="DX266" s="202"/>
      <c r="DY266" s="107">
        <v>6825</v>
      </c>
      <c r="DZ266" s="107">
        <f>577*3</f>
        <v>1731</v>
      </c>
      <c r="EA266" s="202">
        <f>12072.59+2145.67</f>
        <v>14218.26</v>
      </c>
      <c r="EB266" s="107"/>
      <c r="EC266" s="202"/>
      <c r="ED266" s="202"/>
      <c r="EE266" s="202"/>
      <c r="EF266" s="229"/>
      <c r="EG266" s="202"/>
      <c r="EH266" s="202"/>
      <c r="EI266" s="202"/>
      <c r="EJ266" s="202"/>
      <c r="EK266" s="202">
        <v>76376.98</v>
      </c>
      <c r="EL266" s="202">
        <v>22090.55</v>
      </c>
      <c r="EM266" s="202">
        <v>38076.82</v>
      </c>
      <c r="EN266" s="202">
        <v>20917.79</v>
      </c>
      <c r="EO266" s="202">
        <v>76376.98</v>
      </c>
      <c r="EP266" s="202"/>
      <c r="EQ266" s="202">
        <v>38076.82</v>
      </c>
      <c r="ER266" s="202">
        <v>20917.79</v>
      </c>
      <c r="ES266" s="202"/>
      <c r="ET266" s="202"/>
      <c r="EU266" s="202"/>
      <c r="EV266" s="214">
        <v>-67.7</v>
      </c>
      <c r="EW266" s="240">
        <f t="shared" si="204"/>
        <v>63798.25</v>
      </c>
      <c r="EX266" s="209">
        <f t="shared" si="205"/>
        <v>41523.300000000003</v>
      </c>
    </row>
    <row r="267" spans="1:154" ht="12.75" customHeight="1" x14ac:dyDescent="0.2">
      <c r="A267" s="4" t="s">
        <v>367</v>
      </c>
      <c r="B267" s="156" t="s">
        <v>322</v>
      </c>
      <c r="C267" s="157" t="s">
        <v>8</v>
      </c>
      <c r="D267" s="158" t="s">
        <v>597</v>
      </c>
      <c r="E267" s="157" t="s">
        <v>9</v>
      </c>
      <c r="F267" s="11">
        <v>9</v>
      </c>
      <c r="G267" s="11">
        <v>4</v>
      </c>
      <c r="H267" s="11">
        <v>216</v>
      </c>
      <c r="I267" s="11">
        <v>225</v>
      </c>
      <c r="J267" s="11">
        <v>551</v>
      </c>
      <c r="K267" s="11">
        <v>611</v>
      </c>
      <c r="L267" s="11">
        <v>4</v>
      </c>
      <c r="M267" s="84">
        <v>1650</v>
      </c>
      <c r="N267" s="84">
        <v>1612</v>
      </c>
      <c r="O267" s="84">
        <v>0</v>
      </c>
      <c r="P267" s="139">
        <v>1650</v>
      </c>
      <c r="Q267" s="139">
        <v>1612</v>
      </c>
      <c r="R267" s="139">
        <v>0</v>
      </c>
      <c r="S267" s="133">
        <f t="shared" si="206"/>
        <v>3262</v>
      </c>
      <c r="T267" s="139">
        <v>1742.3</v>
      </c>
      <c r="U267" s="130">
        <v>2.44</v>
      </c>
      <c r="V267" s="131">
        <v>1.9800000000000002E-2</v>
      </c>
      <c r="W267" s="131">
        <v>1.9800000000000002E-2</v>
      </c>
      <c r="X267" s="132">
        <v>1.32E-3</v>
      </c>
      <c r="Y267" s="131">
        <v>3.9699999999999999E-2</v>
      </c>
      <c r="Z267" s="29">
        <v>10809.53</v>
      </c>
      <c r="AA267" s="34">
        <v>80.900000000000006</v>
      </c>
      <c r="AB267" s="9">
        <f t="shared" si="176"/>
        <v>10890.43</v>
      </c>
      <c r="AC267" s="9">
        <f t="shared" si="184"/>
        <v>68936.42</v>
      </c>
      <c r="AD267" s="9">
        <v>2.98</v>
      </c>
      <c r="AE267" s="9">
        <v>4.5</v>
      </c>
      <c r="AF267" s="21">
        <f>2.4-AJ267</f>
        <v>2.2599999999999998</v>
      </c>
      <c r="AG267" s="18">
        <f>0.6-AQ267</f>
        <v>0.55000000000000004</v>
      </c>
      <c r="AH267" s="9">
        <v>2.77</v>
      </c>
      <c r="AI267" s="13">
        <v>1548</v>
      </c>
      <c r="AJ267" s="21">
        <f t="shared" si="178"/>
        <v>0.14000000000000001</v>
      </c>
      <c r="AK267" s="9">
        <v>1.58</v>
      </c>
      <c r="AL267" s="9">
        <v>0.14000000000000001</v>
      </c>
      <c r="AM267" s="9">
        <v>0.05</v>
      </c>
      <c r="AN267" s="13"/>
      <c r="AO267" s="13">
        <v>1267.2</v>
      </c>
      <c r="AP267" s="13">
        <f t="shared" si="208"/>
        <v>5.58</v>
      </c>
      <c r="AQ267" s="18">
        <f t="shared" si="179"/>
        <v>0.05</v>
      </c>
      <c r="AR267" s="9">
        <v>0.62</v>
      </c>
      <c r="AS267" s="9">
        <v>0.13</v>
      </c>
      <c r="AT267" s="9">
        <v>7.0000000000000007E-2</v>
      </c>
      <c r="AU267" s="9">
        <v>4.1399999999999997</v>
      </c>
      <c r="AV267" s="9">
        <v>0.17</v>
      </c>
      <c r="AW267" s="9">
        <f>1.42+0.37+0.28</f>
        <v>2.0699999999999998</v>
      </c>
      <c r="AX267" s="9">
        <f>1.97+0.49</f>
        <v>2.46</v>
      </c>
      <c r="AY267" s="159">
        <f t="shared" si="209"/>
        <v>24.68</v>
      </c>
      <c r="AZ267" s="160">
        <v>10798.9</v>
      </c>
      <c r="BA267" s="160">
        <v>80.900000000000006</v>
      </c>
      <c r="BB267" s="160">
        <f t="shared" si="177"/>
        <v>10879.8</v>
      </c>
      <c r="BC267" s="160">
        <v>24.68</v>
      </c>
      <c r="BD267" s="13">
        <f t="shared" si="207"/>
        <v>0</v>
      </c>
      <c r="BE267" s="9">
        <f t="shared" si="185"/>
        <v>268775.81</v>
      </c>
      <c r="BF267" s="9">
        <v>24.68</v>
      </c>
      <c r="BG267" s="10">
        <v>44409</v>
      </c>
      <c r="BH267" s="9">
        <f t="shared" si="186"/>
        <v>32453.48</v>
      </c>
      <c r="BI267" s="9">
        <f t="shared" si="187"/>
        <v>49006.94</v>
      </c>
      <c r="BJ267" s="9">
        <f t="shared" si="188"/>
        <v>24612.37</v>
      </c>
      <c r="BK267" s="9">
        <f t="shared" si="189"/>
        <v>5989.74</v>
      </c>
      <c r="BL267" s="9">
        <f t="shared" si="190"/>
        <v>30166.49</v>
      </c>
      <c r="BM267" s="9">
        <f t="shared" si="191"/>
        <v>1524.66</v>
      </c>
      <c r="BN267" s="9">
        <f t="shared" si="192"/>
        <v>17206.88</v>
      </c>
      <c r="BO267" s="9">
        <f t="shared" si="193"/>
        <v>1524.66</v>
      </c>
      <c r="BP267" s="9">
        <f t="shared" si="194"/>
        <v>544.52</v>
      </c>
      <c r="BQ267" s="9">
        <f t="shared" si="195"/>
        <v>544.52</v>
      </c>
      <c r="BR267" s="9">
        <f t="shared" si="196"/>
        <v>6752.07</v>
      </c>
      <c r="BS267" s="9">
        <f t="shared" si="197"/>
        <v>1415.76</v>
      </c>
      <c r="BT267" s="9">
        <f t="shared" si="198"/>
        <v>762.33</v>
      </c>
      <c r="BU267" s="9">
        <f t="shared" si="199"/>
        <v>45086.38</v>
      </c>
      <c r="BV267" s="9">
        <f t="shared" si="200"/>
        <v>1851.37</v>
      </c>
      <c r="BW267" s="9">
        <f t="shared" si="201"/>
        <v>22543.19</v>
      </c>
      <c r="BX267" s="9">
        <f t="shared" si="202"/>
        <v>26790.46</v>
      </c>
      <c r="BY267" s="17">
        <f t="shared" si="203"/>
        <v>268775.82</v>
      </c>
      <c r="BZ267" s="17">
        <v>2.62</v>
      </c>
      <c r="CA267" s="17">
        <v>0.09</v>
      </c>
      <c r="CB267" s="17">
        <v>0.54</v>
      </c>
      <c r="CC267" s="27">
        <v>0.09</v>
      </c>
      <c r="CD267" s="29">
        <v>6.33</v>
      </c>
      <c r="CE267" s="9">
        <v>35075.449999999997</v>
      </c>
      <c r="CF267" s="9"/>
      <c r="CG267" s="9">
        <v>0</v>
      </c>
      <c r="CH267" s="9">
        <v>488.07</v>
      </c>
      <c r="CI267" s="9">
        <f>IF(CE267&gt;0,CE267/AB267,0)</f>
        <v>3.22</v>
      </c>
      <c r="CJ267" s="9">
        <f>IF(CF267&gt;0,CF267/AB267,0)</f>
        <v>0</v>
      </c>
      <c r="CK267" s="13">
        <f>IF(CG267&gt;0,CG267/AB267,0)</f>
        <v>0</v>
      </c>
      <c r="CL267" s="13">
        <f>IF(CH267&gt;0,CH267/AB267,0)</f>
        <v>0.04</v>
      </c>
      <c r="CM267" s="13">
        <v>266823.73</v>
      </c>
      <c r="CN267" s="13">
        <v>28325.58</v>
      </c>
      <c r="CO267" s="13">
        <v>0</v>
      </c>
      <c r="CP267" s="13">
        <v>0</v>
      </c>
      <c r="CQ267" s="13">
        <v>432.36</v>
      </c>
      <c r="CR267" s="13">
        <v>273257.93</v>
      </c>
      <c r="CS267" s="13">
        <v>23392.86</v>
      </c>
      <c r="CT267" s="13">
        <v>708.82</v>
      </c>
      <c r="CU267" s="13">
        <v>118.16</v>
      </c>
      <c r="CV267" s="13">
        <v>467.14</v>
      </c>
      <c r="CW267" s="202">
        <v>9489</v>
      </c>
      <c r="CX267" s="200">
        <v>5444</v>
      </c>
      <c r="CY267" s="202">
        <v>75359</v>
      </c>
      <c r="CZ267" s="202">
        <v>8500</v>
      </c>
      <c r="DA267" s="202">
        <v>5</v>
      </c>
      <c r="DB267" s="202"/>
      <c r="DC267" s="202"/>
      <c r="DD267" s="461"/>
      <c r="DE267" s="256"/>
      <c r="DF267" s="204">
        <v>1548</v>
      </c>
      <c r="DG267" s="204"/>
      <c r="DH267" s="204"/>
      <c r="DI267" s="204"/>
      <c r="DJ267" s="202"/>
      <c r="DK267" s="202">
        <f>17200-277.42</f>
        <v>16922.580000000002</v>
      </c>
      <c r="DL267" s="202"/>
      <c r="DM267" s="202"/>
      <c r="DN267" s="202"/>
      <c r="DO267" s="202"/>
      <c r="DP267" s="202"/>
      <c r="DQ267" s="202"/>
      <c r="DR267" s="202"/>
      <c r="DS267" s="202"/>
      <c r="DT267" s="254"/>
      <c r="DU267" s="254"/>
      <c r="DV267" s="202">
        <v>61998</v>
      </c>
      <c r="DW267" s="202"/>
      <c r="DX267" s="202"/>
      <c r="DY267" s="107">
        <v>1365</v>
      </c>
      <c r="DZ267" s="107">
        <v>577</v>
      </c>
      <c r="EA267" s="202">
        <f>2536.27+1758.12</f>
        <v>4294.3900000000003</v>
      </c>
      <c r="EB267" s="107"/>
      <c r="EC267" s="202"/>
      <c r="ED267" s="202"/>
      <c r="EE267" s="202"/>
      <c r="EF267" s="229"/>
      <c r="EG267" s="202"/>
      <c r="EH267" s="202"/>
      <c r="EI267" s="202"/>
      <c r="EJ267" s="202"/>
      <c r="EK267" s="202">
        <v>658.19</v>
      </c>
      <c r="EL267" s="202">
        <v>0</v>
      </c>
      <c r="EM267" s="202">
        <v>0</v>
      </c>
      <c r="EN267" s="202">
        <v>488.07</v>
      </c>
      <c r="EO267" s="202">
        <v>658.19</v>
      </c>
      <c r="EP267" s="202"/>
      <c r="EQ267" s="202">
        <v>0</v>
      </c>
      <c r="ER267" s="202">
        <v>488.07</v>
      </c>
      <c r="ES267" s="202"/>
      <c r="ET267" s="202"/>
      <c r="EU267" s="202"/>
      <c r="EV267" s="214">
        <v>-32.520000000000003</v>
      </c>
      <c r="EW267" s="240">
        <f t="shared" si="204"/>
        <v>23819.11</v>
      </c>
      <c r="EX267" s="209">
        <f t="shared" si="205"/>
        <v>15502.74</v>
      </c>
    </row>
    <row r="268" spans="1:154" ht="12.75" customHeight="1" x14ac:dyDescent="0.2">
      <c r="A268" s="4" t="s">
        <v>368</v>
      </c>
      <c r="B268" s="156" t="s">
        <v>322</v>
      </c>
      <c r="C268" s="157" t="s">
        <v>8</v>
      </c>
      <c r="D268" s="158" t="s">
        <v>598</v>
      </c>
      <c r="E268" s="157" t="s">
        <v>30</v>
      </c>
      <c r="F268" s="11">
        <v>9</v>
      </c>
      <c r="G268" s="11">
        <v>4</v>
      </c>
      <c r="H268" s="11">
        <v>216</v>
      </c>
      <c r="I268" s="11">
        <v>222</v>
      </c>
      <c r="J268" s="11">
        <v>512</v>
      </c>
      <c r="K268" s="11">
        <v>590</v>
      </c>
      <c r="L268" s="83">
        <v>4</v>
      </c>
      <c r="M268" s="84">
        <v>1471</v>
      </c>
      <c r="N268" s="84">
        <v>1612</v>
      </c>
      <c r="O268" s="84">
        <v>0</v>
      </c>
      <c r="P268" s="135">
        <v>1563.4</v>
      </c>
      <c r="Q268" s="135">
        <v>1304.9000000000001</v>
      </c>
      <c r="R268" s="133">
        <v>0</v>
      </c>
      <c r="S268" s="133">
        <f t="shared" si="206"/>
        <v>2868.3</v>
      </c>
      <c r="T268" s="134">
        <v>1563.4</v>
      </c>
      <c r="U268" s="130">
        <v>2.44</v>
      </c>
      <c r="V268" s="131">
        <v>1.9800000000000002E-2</v>
      </c>
      <c r="W268" s="131">
        <v>1.9800000000000002E-2</v>
      </c>
      <c r="X268" s="132">
        <v>1.32E-3</v>
      </c>
      <c r="Y268" s="131">
        <v>3.9699999999999999E-2</v>
      </c>
      <c r="Z268" s="29">
        <v>11039.4</v>
      </c>
      <c r="AA268" s="34"/>
      <c r="AB268" s="9">
        <f t="shared" si="176"/>
        <v>11039.4</v>
      </c>
      <c r="AC268" s="9">
        <f t="shared" si="184"/>
        <v>69879.399999999994</v>
      </c>
      <c r="AD268" s="9">
        <v>2.73</v>
      </c>
      <c r="AE268" s="9">
        <v>4.97</v>
      </c>
      <c r="AF268" s="21">
        <f>2.49-AJ268</f>
        <v>2.35</v>
      </c>
      <c r="AG268" s="18">
        <f>0.6-AQ268</f>
        <v>0.56000000000000005</v>
      </c>
      <c r="AH268" s="9">
        <v>2.77</v>
      </c>
      <c r="AI268" s="13">
        <v>1548</v>
      </c>
      <c r="AJ268" s="21">
        <f t="shared" si="178"/>
        <v>0.14000000000000001</v>
      </c>
      <c r="AK268" s="9">
        <v>1.56</v>
      </c>
      <c r="AL268" s="9">
        <v>0.14000000000000001</v>
      </c>
      <c r="AM268" s="9">
        <v>0.05</v>
      </c>
      <c r="AN268" s="13"/>
      <c r="AO268" s="13">
        <v>844.8</v>
      </c>
      <c r="AP268" s="13">
        <f t="shared" si="208"/>
        <v>5.58</v>
      </c>
      <c r="AQ268" s="18">
        <f t="shared" si="179"/>
        <v>0.04</v>
      </c>
      <c r="AR268" s="9">
        <v>0.61</v>
      </c>
      <c r="AS268" s="9">
        <v>0.12</v>
      </c>
      <c r="AT268" s="9">
        <v>7.0000000000000007E-2</v>
      </c>
      <c r="AU268" s="9">
        <v>3.63</v>
      </c>
      <c r="AV268" s="9">
        <v>0.17</v>
      </c>
      <c r="AW268" s="9">
        <f>1.44+0.32+0.28</f>
        <v>2.04</v>
      </c>
      <c r="AX268" s="9">
        <f>2+0.45</f>
        <v>2.4500000000000002</v>
      </c>
      <c r="AY268" s="159">
        <f t="shared" si="209"/>
        <v>24.4</v>
      </c>
      <c r="AZ268" s="160">
        <v>10990.7</v>
      </c>
      <c r="BA268" s="160">
        <v>0</v>
      </c>
      <c r="BB268" s="160">
        <f t="shared" si="177"/>
        <v>10990.7</v>
      </c>
      <c r="BC268" s="160">
        <v>24.4</v>
      </c>
      <c r="BD268" s="13">
        <f t="shared" si="207"/>
        <v>0</v>
      </c>
      <c r="BE268" s="9">
        <f t="shared" si="185"/>
        <v>269361.36</v>
      </c>
      <c r="BF268" s="9">
        <v>24.4</v>
      </c>
      <c r="BG268" s="10">
        <v>44409</v>
      </c>
      <c r="BH268" s="9">
        <f t="shared" si="186"/>
        <v>30137.56</v>
      </c>
      <c r="BI268" s="9">
        <f t="shared" si="187"/>
        <v>54865.82</v>
      </c>
      <c r="BJ268" s="9">
        <f t="shared" si="188"/>
        <v>25942.59</v>
      </c>
      <c r="BK268" s="9">
        <f t="shared" si="189"/>
        <v>6182.06</v>
      </c>
      <c r="BL268" s="9">
        <f t="shared" si="190"/>
        <v>30579.14</v>
      </c>
      <c r="BM268" s="9">
        <f t="shared" si="191"/>
        <v>1545.52</v>
      </c>
      <c r="BN268" s="9">
        <f t="shared" si="192"/>
        <v>17221.46</v>
      </c>
      <c r="BO268" s="9">
        <f t="shared" si="193"/>
        <v>1545.52</v>
      </c>
      <c r="BP268" s="9">
        <f t="shared" si="194"/>
        <v>551.97</v>
      </c>
      <c r="BQ268" s="9">
        <f t="shared" si="195"/>
        <v>441.58</v>
      </c>
      <c r="BR268" s="9">
        <f t="shared" si="196"/>
        <v>6734.03</v>
      </c>
      <c r="BS268" s="9">
        <f t="shared" si="197"/>
        <v>1324.73</v>
      </c>
      <c r="BT268" s="9">
        <f t="shared" si="198"/>
        <v>772.76</v>
      </c>
      <c r="BU268" s="9">
        <f t="shared" si="199"/>
        <v>40073.019999999997</v>
      </c>
      <c r="BV268" s="9">
        <f t="shared" si="200"/>
        <v>1876.7</v>
      </c>
      <c r="BW268" s="9">
        <f t="shared" si="201"/>
        <v>22520.38</v>
      </c>
      <c r="BX268" s="9">
        <f t="shared" si="202"/>
        <v>27046.53</v>
      </c>
      <c r="BY268" s="17">
        <f t="shared" si="203"/>
        <v>269361.37</v>
      </c>
      <c r="BZ268" s="17">
        <v>2.44</v>
      </c>
      <c r="CA268" s="17">
        <v>0.08</v>
      </c>
      <c r="CB268" s="17">
        <v>0.48</v>
      </c>
      <c r="CC268" s="27">
        <v>0.08</v>
      </c>
      <c r="CD268" s="29">
        <v>6.33</v>
      </c>
      <c r="CE268" s="9">
        <v>30200.16</v>
      </c>
      <c r="CF268" s="9"/>
      <c r="CG268" s="9">
        <v>0</v>
      </c>
      <c r="CH268" s="9">
        <v>437.96</v>
      </c>
      <c r="CI268" s="9">
        <f>IF(CE268&gt;0,CE268/AB268,0)</f>
        <v>2.74</v>
      </c>
      <c r="CJ268" s="9">
        <f>IF(CF268&gt;0,CF268/AB268,0)</f>
        <v>0</v>
      </c>
      <c r="CK268" s="13">
        <f>IF(CG268&gt;0,CG268/AB268,0)</f>
        <v>0</v>
      </c>
      <c r="CL268" s="13">
        <f>IF(CH268&gt;0,CH268/AB268,0)</f>
        <v>0.04</v>
      </c>
      <c r="CM268" s="13">
        <v>269361.36</v>
      </c>
      <c r="CN268" s="13">
        <v>26936.21</v>
      </c>
      <c r="CO268" s="13">
        <v>0</v>
      </c>
      <c r="CP268" s="13">
        <v>0</v>
      </c>
      <c r="CQ268" s="13">
        <v>441.65</v>
      </c>
      <c r="CR268" s="13">
        <v>296631.33</v>
      </c>
      <c r="CS268" s="13">
        <v>36296.6</v>
      </c>
      <c r="CT268" s="13">
        <v>992.57</v>
      </c>
      <c r="CU268" s="13">
        <v>359.75</v>
      </c>
      <c r="CV268" s="13">
        <v>655.36</v>
      </c>
      <c r="CW268" s="202">
        <v>9618</v>
      </c>
      <c r="CX268" s="200">
        <v>5518</v>
      </c>
      <c r="CY268" s="202">
        <v>79142</v>
      </c>
      <c r="CZ268" s="202">
        <v>8500</v>
      </c>
      <c r="DA268" s="202">
        <v>5</v>
      </c>
      <c r="DB268" s="202"/>
      <c r="DC268" s="202"/>
      <c r="DD268" s="461"/>
      <c r="DE268" s="256"/>
      <c r="DF268" s="204">
        <v>1548</v>
      </c>
      <c r="DG268" s="204"/>
      <c r="DH268" s="204"/>
      <c r="DI268" s="204"/>
      <c r="DJ268" s="202"/>
      <c r="DK268" s="202">
        <f>17200-554.84</f>
        <v>16645.16</v>
      </c>
      <c r="DL268" s="202"/>
      <c r="DM268" s="202"/>
      <c r="DN268" s="202"/>
      <c r="DO268" s="202"/>
      <c r="DP268" s="202"/>
      <c r="DQ268" s="202"/>
      <c r="DR268" s="202"/>
      <c r="DS268" s="202"/>
      <c r="DT268" s="254"/>
      <c r="DU268" s="254"/>
      <c r="DV268" s="202">
        <v>63604</v>
      </c>
      <c r="DW268" s="202"/>
      <c r="DX268" s="202"/>
      <c r="DY268" s="107">
        <v>1365</v>
      </c>
      <c r="DZ268" s="107">
        <v>577</v>
      </c>
      <c r="EA268" s="202"/>
      <c r="EB268" s="107"/>
      <c r="EC268" s="202"/>
      <c r="ED268" s="202"/>
      <c r="EE268" s="202"/>
      <c r="EF268" s="229"/>
      <c r="EG268" s="202"/>
      <c r="EH268" s="202"/>
      <c r="EI268" s="202"/>
      <c r="EJ268" s="202"/>
      <c r="EK268" s="202">
        <v>5627.11</v>
      </c>
      <c r="EL268" s="202">
        <v>0</v>
      </c>
      <c r="EM268" s="202">
        <v>0</v>
      </c>
      <c r="EN268" s="202">
        <v>437.96</v>
      </c>
      <c r="EO268" s="202">
        <v>5627.11</v>
      </c>
      <c r="EP268" s="202"/>
      <c r="EQ268" s="202">
        <v>0</v>
      </c>
      <c r="ER268" s="202">
        <v>437.96</v>
      </c>
      <c r="ES268" s="202"/>
      <c r="ET268" s="202"/>
      <c r="EU268" s="202"/>
      <c r="EV268" s="214">
        <v>-4.96</v>
      </c>
      <c r="EW268" s="240">
        <f t="shared" si="204"/>
        <v>24144.93</v>
      </c>
      <c r="EX268" s="209">
        <f t="shared" si="205"/>
        <v>15714.81</v>
      </c>
    </row>
    <row r="269" spans="1:154" ht="12.75" customHeight="1" x14ac:dyDescent="0.2">
      <c r="A269" s="4" t="s">
        <v>369</v>
      </c>
      <c r="B269" s="156" t="s">
        <v>322</v>
      </c>
      <c r="C269" s="157" t="s">
        <v>11</v>
      </c>
      <c r="D269" s="158" t="s">
        <v>520</v>
      </c>
      <c r="E269" s="157" t="s">
        <v>12</v>
      </c>
      <c r="F269" s="11">
        <v>9</v>
      </c>
      <c r="G269" s="11">
        <v>2</v>
      </c>
      <c r="H269" s="11">
        <v>72</v>
      </c>
      <c r="I269" s="11">
        <v>73</v>
      </c>
      <c r="J269" s="11">
        <v>182</v>
      </c>
      <c r="K269" s="11">
        <v>214</v>
      </c>
      <c r="L269" s="11">
        <v>2</v>
      </c>
      <c r="M269" s="84">
        <v>592</v>
      </c>
      <c r="N269" s="84">
        <v>598</v>
      </c>
      <c r="O269" s="84">
        <v>0</v>
      </c>
      <c r="P269" s="135">
        <v>641</v>
      </c>
      <c r="Q269" s="135">
        <v>584.9</v>
      </c>
      <c r="R269" s="133">
        <v>0</v>
      </c>
      <c r="S269" s="133">
        <f t="shared" si="206"/>
        <v>1225.9000000000001</v>
      </c>
      <c r="T269" s="134">
        <v>641</v>
      </c>
      <c r="U269" s="130">
        <v>2.44</v>
      </c>
      <c r="V269" s="131">
        <v>1.9800000000000002E-2</v>
      </c>
      <c r="W269" s="131">
        <v>1.9800000000000002E-2</v>
      </c>
      <c r="X269" s="132">
        <v>1.32E-3</v>
      </c>
      <c r="Y269" s="131">
        <v>3.9699999999999999E-2</v>
      </c>
      <c r="Z269" s="29">
        <v>3913</v>
      </c>
      <c r="AA269" s="34"/>
      <c r="AB269" s="9">
        <f t="shared" si="176"/>
        <v>3913</v>
      </c>
      <c r="AC269" s="9">
        <f t="shared" si="184"/>
        <v>24769.29</v>
      </c>
      <c r="AD269" s="9">
        <v>3.01</v>
      </c>
      <c r="AE269" s="9">
        <v>3.99</v>
      </c>
      <c r="AF269" s="21">
        <f>2.49-AJ269</f>
        <v>2.34</v>
      </c>
      <c r="AG269" s="18">
        <f>0.62-AQ269</f>
        <v>0.56999999999999995</v>
      </c>
      <c r="AH269" s="9">
        <v>2.78</v>
      </c>
      <c r="AI269" s="13">
        <v>574</v>
      </c>
      <c r="AJ269" s="21">
        <f t="shared" si="178"/>
        <v>0.15</v>
      </c>
      <c r="AK269" s="9">
        <v>2.21</v>
      </c>
      <c r="AL269" s="9">
        <v>0.19</v>
      </c>
      <c r="AM269" s="9">
        <v>0.15</v>
      </c>
      <c r="AN269" s="13"/>
      <c r="AO269" s="13">
        <v>422.4</v>
      </c>
      <c r="AP269" s="13">
        <f t="shared" si="208"/>
        <v>5.58</v>
      </c>
      <c r="AQ269" s="18">
        <f t="shared" si="179"/>
        <v>0.05</v>
      </c>
      <c r="AR269" s="9">
        <v>0.64</v>
      </c>
      <c r="AS269" s="9">
        <v>0.35</v>
      </c>
      <c r="AT269" s="9">
        <v>7.0000000000000007E-2</v>
      </c>
      <c r="AU269" s="9">
        <v>3.86</v>
      </c>
      <c r="AV269" s="9">
        <v>0.17</v>
      </c>
      <c r="AW269" s="9">
        <f>1.48+0.34+0.25</f>
        <v>2.0699999999999998</v>
      </c>
      <c r="AX269" s="9">
        <f>2.08+0.46</f>
        <v>2.54</v>
      </c>
      <c r="AY269" s="159">
        <f t="shared" si="209"/>
        <v>25.14</v>
      </c>
      <c r="AZ269" s="160">
        <v>3885.7</v>
      </c>
      <c r="BA269" s="160">
        <v>0</v>
      </c>
      <c r="BB269" s="160">
        <f t="shared" si="177"/>
        <v>3885.7</v>
      </c>
      <c r="BC269" s="160">
        <v>25.14</v>
      </c>
      <c r="BD269" s="13">
        <f t="shared" si="207"/>
        <v>0</v>
      </c>
      <c r="BE269" s="9">
        <f t="shared" si="185"/>
        <v>98372.82</v>
      </c>
      <c r="BF269" s="9">
        <v>25.14</v>
      </c>
      <c r="BG269" s="10">
        <v>44409</v>
      </c>
      <c r="BH269" s="9">
        <f t="shared" si="186"/>
        <v>11778.13</v>
      </c>
      <c r="BI269" s="9">
        <f t="shared" si="187"/>
        <v>15612.87</v>
      </c>
      <c r="BJ269" s="9">
        <f t="shared" si="188"/>
        <v>9156.42</v>
      </c>
      <c r="BK269" s="9">
        <f t="shared" si="189"/>
        <v>2230.41</v>
      </c>
      <c r="BL269" s="9">
        <f t="shared" si="190"/>
        <v>10878.14</v>
      </c>
      <c r="BM269" s="9">
        <f t="shared" si="191"/>
        <v>586.95000000000005</v>
      </c>
      <c r="BN269" s="9">
        <f t="shared" si="192"/>
        <v>8647.73</v>
      </c>
      <c r="BO269" s="9">
        <f t="shared" si="193"/>
        <v>743.47</v>
      </c>
      <c r="BP269" s="9">
        <f t="shared" si="194"/>
        <v>586.95000000000005</v>
      </c>
      <c r="BQ269" s="9">
        <f t="shared" si="195"/>
        <v>195.65</v>
      </c>
      <c r="BR269" s="9">
        <f t="shared" si="196"/>
        <v>2504.3200000000002</v>
      </c>
      <c r="BS269" s="9">
        <f t="shared" si="197"/>
        <v>1369.55</v>
      </c>
      <c r="BT269" s="9">
        <f t="shared" si="198"/>
        <v>273.91000000000003</v>
      </c>
      <c r="BU269" s="9">
        <f t="shared" si="199"/>
        <v>15104.18</v>
      </c>
      <c r="BV269" s="9">
        <f t="shared" si="200"/>
        <v>665.21</v>
      </c>
      <c r="BW269" s="9">
        <f t="shared" si="201"/>
        <v>8099.91</v>
      </c>
      <c r="BX269" s="9">
        <f t="shared" si="202"/>
        <v>9939.02</v>
      </c>
      <c r="BY269" s="17">
        <f t="shared" si="203"/>
        <v>98372.82</v>
      </c>
      <c r="BZ269" s="17">
        <v>2.95</v>
      </c>
      <c r="CA269" s="17">
        <v>0.09</v>
      </c>
      <c r="CB269" s="17">
        <v>0.56000000000000005</v>
      </c>
      <c r="CC269" s="27">
        <v>0.09</v>
      </c>
      <c r="CD269" s="29">
        <v>6.33</v>
      </c>
      <c r="CE269" s="9">
        <v>13122.96</v>
      </c>
      <c r="CF269" s="9"/>
      <c r="CG269" s="9">
        <v>0</v>
      </c>
      <c r="CH269" s="9">
        <v>179.56</v>
      </c>
      <c r="CI269" s="9">
        <f>IF(CE269&gt;0,CE269/AB269,0)</f>
        <v>3.35</v>
      </c>
      <c r="CJ269" s="9">
        <f>IF(CF269&gt;0,CF269/AB269,0)</f>
        <v>0</v>
      </c>
      <c r="CK269" s="13">
        <f>IF(CG269&gt;0,CG269/AB269,0)</f>
        <v>0</v>
      </c>
      <c r="CL269" s="13">
        <f>IF(CH269&gt;0,CH269/AB269,0)</f>
        <v>0.05</v>
      </c>
      <c r="CM269" s="13">
        <v>98372.88</v>
      </c>
      <c r="CN269" s="13">
        <v>7982.58</v>
      </c>
      <c r="CO269" s="13">
        <v>0</v>
      </c>
      <c r="CP269" s="13">
        <v>0</v>
      </c>
      <c r="CQ269" s="13">
        <v>195.44</v>
      </c>
      <c r="CR269" s="13">
        <v>113489.8</v>
      </c>
      <c r="CS269" s="13">
        <v>8703.11</v>
      </c>
      <c r="CT269" s="13">
        <v>420.71</v>
      </c>
      <c r="CU269" s="13">
        <v>67.599999999999994</v>
      </c>
      <c r="CV269" s="13">
        <v>235.91</v>
      </c>
      <c r="CW269" s="202">
        <v>3409</v>
      </c>
      <c r="CX269" s="200">
        <v>1956</v>
      </c>
      <c r="CY269" s="202">
        <v>25236</v>
      </c>
      <c r="CZ269" s="202">
        <v>8500</v>
      </c>
      <c r="DA269" s="202">
        <v>5</v>
      </c>
      <c r="DB269" s="202"/>
      <c r="DC269" s="202"/>
      <c r="DD269" s="461"/>
      <c r="DE269" s="256"/>
      <c r="DF269" s="204">
        <v>574</v>
      </c>
      <c r="DG269" s="204"/>
      <c r="DH269" s="204"/>
      <c r="DI269" s="204"/>
      <c r="DJ269" s="202"/>
      <c r="DK269" s="202">
        <v>8600</v>
      </c>
      <c r="DL269" s="202"/>
      <c r="DM269" s="202"/>
      <c r="DN269" s="202"/>
      <c r="DO269" s="202"/>
      <c r="DP269" s="202"/>
      <c r="DQ269" s="202"/>
      <c r="DR269" s="202"/>
      <c r="DS269" s="202"/>
      <c r="DT269" s="254"/>
      <c r="DU269" s="254"/>
      <c r="DV269" s="202">
        <v>22577</v>
      </c>
      <c r="DW269" s="202"/>
      <c r="DX269" s="202"/>
      <c r="DY269" s="107">
        <v>1365</v>
      </c>
      <c r="DZ269" s="107">
        <v>577</v>
      </c>
      <c r="EA269" s="202"/>
      <c r="EB269" s="107"/>
      <c r="EC269" s="202"/>
      <c r="ED269" s="202"/>
      <c r="EE269" s="202"/>
      <c r="EF269" s="229"/>
      <c r="EG269" s="202"/>
      <c r="EH269" s="202"/>
      <c r="EI269" s="202"/>
      <c r="EJ269" s="202"/>
      <c r="EK269" s="202">
        <v>7990.53</v>
      </c>
      <c r="EL269" s="202">
        <v>0</v>
      </c>
      <c r="EM269" s="202">
        <v>0</v>
      </c>
      <c r="EN269" s="202">
        <v>179.56</v>
      </c>
      <c r="EO269" s="202">
        <v>7990.53</v>
      </c>
      <c r="EP269" s="202"/>
      <c r="EQ269" s="202">
        <v>0</v>
      </c>
      <c r="ER269" s="202">
        <v>179.56</v>
      </c>
      <c r="ES269" s="202"/>
      <c r="ET269" s="202"/>
      <c r="EU269" s="202"/>
      <c r="EV269" s="214">
        <v>-10.61</v>
      </c>
      <c r="EW269" s="240">
        <f t="shared" si="204"/>
        <v>8558.36</v>
      </c>
      <c r="EX269" s="209">
        <f t="shared" si="205"/>
        <v>5570.23</v>
      </c>
    </row>
    <row r="270" spans="1:154" ht="12.75" customHeight="1" x14ac:dyDescent="0.2">
      <c r="A270" s="4" t="s">
        <v>371</v>
      </c>
      <c r="B270" s="156" t="s">
        <v>322</v>
      </c>
      <c r="C270" s="157" t="s">
        <v>11</v>
      </c>
      <c r="D270" s="158" t="s">
        <v>599</v>
      </c>
      <c r="E270" s="157" t="s">
        <v>9</v>
      </c>
      <c r="F270" s="11">
        <v>9</v>
      </c>
      <c r="G270" s="11">
        <v>4</v>
      </c>
      <c r="H270" s="11">
        <v>216</v>
      </c>
      <c r="I270" s="11">
        <v>220</v>
      </c>
      <c r="J270" s="11">
        <v>533</v>
      </c>
      <c r="K270" s="11">
        <v>579</v>
      </c>
      <c r="L270" s="11">
        <v>4</v>
      </c>
      <c r="M270" s="84">
        <v>1502</v>
      </c>
      <c r="N270" s="84">
        <v>1612</v>
      </c>
      <c r="O270" s="84">
        <v>0</v>
      </c>
      <c r="P270" s="135">
        <v>1593.1</v>
      </c>
      <c r="Q270" s="135">
        <v>1325.8</v>
      </c>
      <c r="R270" s="133">
        <v>0</v>
      </c>
      <c r="S270" s="133">
        <f t="shared" si="206"/>
        <v>2918.9</v>
      </c>
      <c r="T270" s="134">
        <v>1593.1</v>
      </c>
      <c r="U270" s="130">
        <v>2.44</v>
      </c>
      <c r="V270" s="131">
        <v>1.9800000000000002E-2</v>
      </c>
      <c r="W270" s="131">
        <v>1.9800000000000002E-2</v>
      </c>
      <c r="X270" s="132">
        <v>1.32E-3</v>
      </c>
      <c r="Y270" s="131">
        <v>3.9699999999999999E-2</v>
      </c>
      <c r="Z270" s="29">
        <v>10979.2</v>
      </c>
      <c r="AA270" s="34"/>
      <c r="AB270" s="9">
        <f t="shared" si="176"/>
        <v>10979.2</v>
      </c>
      <c r="AC270" s="9">
        <f t="shared" si="184"/>
        <v>69498.34</v>
      </c>
      <c r="AD270" s="9">
        <v>2.78</v>
      </c>
      <c r="AE270" s="9">
        <v>5.01</v>
      </c>
      <c r="AF270" s="21">
        <f>2.49-AJ270</f>
        <v>2.35</v>
      </c>
      <c r="AG270" s="18">
        <f>0.6-AQ270</f>
        <v>0.56000000000000005</v>
      </c>
      <c r="AH270" s="9">
        <v>2.77</v>
      </c>
      <c r="AI270" s="13">
        <v>1548</v>
      </c>
      <c r="AJ270" s="21">
        <f t="shared" si="178"/>
        <v>0.14000000000000001</v>
      </c>
      <c r="AK270" s="9">
        <v>1.57</v>
      </c>
      <c r="AL270" s="9">
        <v>0.14000000000000001</v>
      </c>
      <c r="AM270" s="9">
        <v>0.05</v>
      </c>
      <c r="AN270" s="13"/>
      <c r="AO270" s="13">
        <v>844.8</v>
      </c>
      <c r="AP270" s="13">
        <f t="shared" si="208"/>
        <v>5.58</v>
      </c>
      <c r="AQ270" s="18">
        <f t="shared" si="179"/>
        <v>0.04</v>
      </c>
      <c r="AR270" s="9">
        <v>0.62</v>
      </c>
      <c r="AS270" s="9">
        <v>0.25</v>
      </c>
      <c r="AT270" s="9">
        <v>7.0000000000000007E-2</v>
      </c>
      <c r="AU270" s="9">
        <v>3.63</v>
      </c>
      <c r="AV270" s="9">
        <v>0.17</v>
      </c>
      <c r="AW270" s="9">
        <f>1.47+0.32+0.28</f>
        <v>2.0699999999999998</v>
      </c>
      <c r="AX270" s="9">
        <f>2.03+0.43</f>
        <v>2.46</v>
      </c>
      <c r="AY270" s="159">
        <f t="shared" si="209"/>
        <v>24.68</v>
      </c>
      <c r="AZ270" s="160">
        <v>10932.7</v>
      </c>
      <c r="BA270" s="160">
        <v>0</v>
      </c>
      <c r="BB270" s="160">
        <f t="shared" si="177"/>
        <v>10932.7</v>
      </c>
      <c r="BC270" s="160">
        <v>24.68</v>
      </c>
      <c r="BD270" s="13">
        <f t="shared" si="207"/>
        <v>0</v>
      </c>
      <c r="BE270" s="9">
        <f t="shared" si="185"/>
        <v>270966.65999999997</v>
      </c>
      <c r="BF270" s="9">
        <v>24.68</v>
      </c>
      <c r="BG270" s="10">
        <v>44409</v>
      </c>
      <c r="BH270" s="9">
        <f t="shared" si="186"/>
        <v>30522.18</v>
      </c>
      <c r="BI270" s="9">
        <f t="shared" si="187"/>
        <v>55005.79</v>
      </c>
      <c r="BJ270" s="9">
        <f t="shared" si="188"/>
        <v>25801.119999999999</v>
      </c>
      <c r="BK270" s="9">
        <f t="shared" si="189"/>
        <v>6148.35</v>
      </c>
      <c r="BL270" s="9">
        <f t="shared" si="190"/>
        <v>30412.38</v>
      </c>
      <c r="BM270" s="9">
        <f t="shared" si="191"/>
        <v>1537.09</v>
      </c>
      <c r="BN270" s="9">
        <f t="shared" si="192"/>
        <v>17237.34</v>
      </c>
      <c r="BO270" s="9">
        <f t="shared" si="193"/>
        <v>1537.09</v>
      </c>
      <c r="BP270" s="9">
        <f t="shared" si="194"/>
        <v>548.96</v>
      </c>
      <c r="BQ270" s="9">
        <f t="shared" si="195"/>
        <v>439.17</v>
      </c>
      <c r="BR270" s="9">
        <f t="shared" si="196"/>
        <v>6807.1</v>
      </c>
      <c r="BS270" s="9">
        <f t="shared" si="197"/>
        <v>2744.8</v>
      </c>
      <c r="BT270" s="9">
        <f t="shared" si="198"/>
        <v>768.54</v>
      </c>
      <c r="BU270" s="9">
        <f t="shared" si="199"/>
        <v>39854.5</v>
      </c>
      <c r="BV270" s="9">
        <f t="shared" si="200"/>
        <v>1866.46</v>
      </c>
      <c r="BW270" s="9">
        <f t="shared" si="201"/>
        <v>22726.94</v>
      </c>
      <c r="BX270" s="9">
        <f t="shared" si="202"/>
        <v>27008.83</v>
      </c>
      <c r="BY270" s="17">
        <f t="shared" si="203"/>
        <v>270966.64</v>
      </c>
      <c r="BZ270" s="17">
        <v>2.5</v>
      </c>
      <c r="CA270" s="17">
        <v>0.08</v>
      </c>
      <c r="CB270" s="17">
        <v>0.49</v>
      </c>
      <c r="CC270" s="27">
        <v>0.08</v>
      </c>
      <c r="CD270" s="29">
        <v>6.33</v>
      </c>
      <c r="CE270" s="9">
        <v>11671.2</v>
      </c>
      <c r="CF270" s="9"/>
      <c r="CG270" s="9">
        <v>19646.45</v>
      </c>
      <c r="CH270" s="9">
        <v>10731.87</v>
      </c>
      <c r="CI270" s="9">
        <f>IF(CE270&gt;0,CE270/AB270,0)</f>
        <v>1.06</v>
      </c>
      <c r="CJ270" s="9">
        <f>IF(CF270&gt;0,CF270/AB270,0)</f>
        <v>0</v>
      </c>
      <c r="CK270" s="13">
        <f>IF(CG270&gt;0,CG270/AB270,0)</f>
        <v>1.79</v>
      </c>
      <c r="CL270" s="13">
        <f>IF(CH270&gt;0,CH270/AB270,0)</f>
        <v>0.98</v>
      </c>
      <c r="CM270" s="13">
        <v>270966.78000000003</v>
      </c>
      <c r="CN270" s="13">
        <v>19213.14</v>
      </c>
      <c r="CO270" s="13">
        <v>36121.769999999997</v>
      </c>
      <c r="CP270" s="13">
        <v>2745.26</v>
      </c>
      <c r="CQ270" s="13">
        <v>1866.47</v>
      </c>
      <c r="CR270" s="13">
        <v>271814.63</v>
      </c>
      <c r="CS270" s="13">
        <v>16333.75</v>
      </c>
      <c r="CT270" s="13">
        <v>12030.12</v>
      </c>
      <c r="CU270" s="13">
        <v>5491.22</v>
      </c>
      <c r="CV270" s="13">
        <v>3323.99</v>
      </c>
      <c r="CW270" s="202">
        <v>9566</v>
      </c>
      <c r="CX270" s="200">
        <v>5488</v>
      </c>
      <c r="CY270" s="202">
        <v>79836</v>
      </c>
      <c r="CZ270" s="202">
        <v>5100</v>
      </c>
      <c r="DA270" s="202">
        <v>3</v>
      </c>
      <c r="DB270" s="202"/>
      <c r="DC270" s="202"/>
      <c r="DD270" s="461"/>
      <c r="DE270" s="256"/>
      <c r="DF270" s="204">
        <v>1548</v>
      </c>
      <c r="DG270" s="204"/>
      <c r="DH270" s="204"/>
      <c r="DI270" s="204"/>
      <c r="DJ270" s="202"/>
      <c r="DK270" s="202">
        <v>17200</v>
      </c>
      <c r="DL270" s="202"/>
      <c r="DM270" s="202"/>
      <c r="DN270" s="202"/>
      <c r="DO270" s="202"/>
      <c r="DP270" s="202"/>
      <c r="DQ270" s="202"/>
      <c r="DR270" s="202"/>
      <c r="DS270" s="202"/>
      <c r="DT270" s="254"/>
      <c r="DU270" s="254"/>
      <c r="DV270" s="202">
        <v>63289</v>
      </c>
      <c r="DW270" s="202"/>
      <c r="DX270" s="202"/>
      <c r="DY270" s="107">
        <v>2730</v>
      </c>
      <c r="DZ270" s="107">
        <v>577</v>
      </c>
      <c r="EA270" s="202"/>
      <c r="EB270" s="107"/>
      <c r="EC270" s="202"/>
      <c r="ED270" s="202"/>
      <c r="EE270" s="202"/>
      <c r="EF270" s="229"/>
      <c r="EG270" s="202"/>
      <c r="EH270" s="202"/>
      <c r="EI270" s="202"/>
      <c r="EJ270" s="202"/>
      <c r="EK270" s="202">
        <v>19231</v>
      </c>
      <c r="EL270" s="202">
        <v>36086.949999999997</v>
      </c>
      <c r="EM270" s="202">
        <v>2783.47</v>
      </c>
      <c r="EN270" s="202">
        <v>1903.52</v>
      </c>
      <c r="EO270" s="202">
        <v>19231</v>
      </c>
      <c r="EP270" s="202"/>
      <c r="EQ270" s="202">
        <v>2783.47</v>
      </c>
      <c r="ER270" s="202">
        <v>1903.52</v>
      </c>
      <c r="ES270" s="202"/>
      <c r="ET270" s="202"/>
      <c r="EU270" s="202"/>
      <c r="EV270" s="214">
        <v>167.45</v>
      </c>
      <c r="EW270" s="240">
        <f t="shared" si="204"/>
        <v>24013.27</v>
      </c>
      <c r="EX270" s="209">
        <f t="shared" si="205"/>
        <v>15629.11</v>
      </c>
    </row>
    <row r="271" spans="1:154" ht="12.75" customHeight="1" x14ac:dyDescent="0.2">
      <c r="A271" s="4" t="s">
        <v>372</v>
      </c>
      <c r="B271" s="156" t="s">
        <v>322</v>
      </c>
      <c r="C271" s="157" t="s">
        <v>67</v>
      </c>
      <c r="D271" s="156" t="s">
        <v>670</v>
      </c>
      <c r="E271" s="157"/>
      <c r="F271" s="11">
        <v>9</v>
      </c>
      <c r="G271" s="11">
        <v>4</v>
      </c>
      <c r="H271" s="11">
        <v>216</v>
      </c>
      <c r="I271" s="11">
        <v>218</v>
      </c>
      <c r="J271" s="11">
        <v>486</v>
      </c>
      <c r="K271" s="11">
        <v>583</v>
      </c>
      <c r="L271" s="83">
        <v>4</v>
      </c>
      <c r="M271" s="84">
        <v>1566</v>
      </c>
      <c r="N271" s="84">
        <v>1612</v>
      </c>
      <c r="O271" s="84">
        <v>0</v>
      </c>
      <c r="P271" s="139">
        <v>1565.8</v>
      </c>
      <c r="Q271" s="135">
        <v>1397.6</v>
      </c>
      <c r="R271" s="133">
        <v>0</v>
      </c>
      <c r="S271" s="133">
        <f t="shared" si="206"/>
        <v>2963.4</v>
      </c>
      <c r="T271" s="139">
        <v>1651.4</v>
      </c>
      <c r="U271" s="130">
        <v>2.44</v>
      </c>
      <c r="V271" s="91">
        <v>1.9800000000000002E-2</v>
      </c>
      <c r="W271" s="91">
        <v>1.9800000000000002E-2</v>
      </c>
      <c r="X271" s="132">
        <v>1.32E-3</v>
      </c>
      <c r="Y271" s="91">
        <v>3.9699999999999999E-2</v>
      </c>
      <c r="Z271" s="29">
        <v>10882.8</v>
      </c>
      <c r="AA271" s="34"/>
      <c r="AB271" s="9">
        <f t="shared" si="176"/>
        <v>10882.8</v>
      </c>
      <c r="AC271" s="9">
        <f t="shared" si="184"/>
        <v>68888.12</v>
      </c>
      <c r="AD271" s="9">
        <v>2.84</v>
      </c>
      <c r="AE271" s="9">
        <v>4.97</v>
      </c>
      <c r="AF271" s="21">
        <f>2.49-AJ271</f>
        <v>2.35</v>
      </c>
      <c r="AG271" s="18">
        <f>0.6-AQ271</f>
        <v>0.56000000000000005</v>
      </c>
      <c r="AH271" s="9">
        <v>2.77</v>
      </c>
      <c r="AI271" s="13">
        <v>1548</v>
      </c>
      <c r="AJ271" s="21">
        <f t="shared" si="178"/>
        <v>0.14000000000000001</v>
      </c>
      <c r="AK271" s="9">
        <v>1.59</v>
      </c>
      <c r="AL271" s="9">
        <v>0.14000000000000001</v>
      </c>
      <c r="AM271" s="9">
        <v>0.05</v>
      </c>
      <c r="AN271" s="13"/>
      <c r="AO271" s="13">
        <v>844.8</v>
      </c>
      <c r="AP271" s="13">
        <f t="shared" si="208"/>
        <v>5.58</v>
      </c>
      <c r="AQ271" s="18">
        <f t="shared" si="179"/>
        <v>0.04</v>
      </c>
      <c r="AR271" s="9">
        <v>0.63</v>
      </c>
      <c r="AS271" s="9">
        <v>0.13</v>
      </c>
      <c r="AT271" s="9">
        <v>7.0000000000000007E-2</v>
      </c>
      <c r="AU271" s="9">
        <v>3.63</v>
      </c>
      <c r="AV271" s="9">
        <v>0.17</v>
      </c>
      <c r="AW271" s="9">
        <f>1.46+0.32+0.28</f>
        <v>2.06</v>
      </c>
      <c r="AX271" s="9">
        <f>2.02+0.43</f>
        <v>2.4500000000000002</v>
      </c>
      <c r="AY271" s="159">
        <f t="shared" si="209"/>
        <v>24.59</v>
      </c>
      <c r="AZ271" s="160"/>
      <c r="BA271" s="160"/>
      <c r="BB271" s="160"/>
      <c r="BC271" s="160">
        <v>24.59</v>
      </c>
      <c r="BD271" s="13">
        <f t="shared" si="207"/>
        <v>0</v>
      </c>
      <c r="BE271" s="9">
        <f t="shared" si="185"/>
        <v>267608.05</v>
      </c>
      <c r="BF271" s="9">
        <v>24.59</v>
      </c>
      <c r="BG271" s="10">
        <v>44440</v>
      </c>
      <c r="BH271" s="9">
        <f t="shared" si="186"/>
        <v>30907.15</v>
      </c>
      <c r="BI271" s="9">
        <f t="shared" si="187"/>
        <v>54087.519999999997</v>
      </c>
      <c r="BJ271" s="9">
        <f t="shared" si="188"/>
        <v>25574.58</v>
      </c>
      <c r="BK271" s="9">
        <f t="shared" si="189"/>
        <v>6094.37</v>
      </c>
      <c r="BL271" s="9">
        <f t="shared" si="190"/>
        <v>30145.360000000001</v>
      </c>
      <c r="BM271" s="9">
        <f t="shared" si="191"/>
        <v>1523.59</v>
      </c>
      <c r="BN271" s="9">
        <f t="shared" si="192"/>
        <v>17303.650000000001</v>
      </c>
      <c r="BO271" s="9">
        <f t="shared" si="193"/>
        <v>1523.59</v>
      </c>
      <c r="BP271" s="9">
        <f t="shared" si="194"/>
        <v>544.14</v>
      </c>
      <c r="BQ271" s="9">
        <f t="shared" si="195"/>
        <v>435.31</v>
      </c>
      <c r="BR271" s="9">
        <f t="shared" si="196"/>
        <v>6856.16</v>
      </c>
      <c r="BS271" s="9">
        <f t="shared" si="197"/>
        <v>1414.76</v>
      </c>
      <c r="BT271" s="9">
        <f t="shared" si="198"/>
        <v>761.8</v>
      </c>
      <c r="BU271" s="9">
        <f t="shared" si="199"/>
        <v>39504.559999999998</v>
      </c>
      <c r="BV271" s="9">
        <f t="shared" si="200"/>
        <v>1850.08</v>
      </c>
      <c r="BW271" s="9">
        <f t="shared" si="201"/>
        <v>22418.57</v>
      </c>
      <c r="BX271" s="9">
        <f t="shared" si="202"/>
        <v>26662.86</v>
      </c>
      <c r="BY271" s="17">
        <f t="shared" si="203"/>
        <v>267608.05</v>
      </c>
      <c r="BZ271" s="17">
        <v>2.56</v>
      </c>
      <c r="CA271" s="17">
        <v>0.08</v>
      </c>
      <c r="CB271" s="17">
        <v>0.49</v>
      </c>
      <c r="CC271" s="27">
        <v>0.08</v>
      </c>
      <c r="CD271" s="29">
        <v>6.33</v>
      </c>
      <c r="CE271" s="9"/>
      <c r="CF271" s="9"/>
      <c r="CG271" s="9"/>
      <c r="CH271" s="9"/>
      <c r="CI271" s="9"/>
      <c r="CJ271" s="9"/>
      <c r="CK271" s="13"/>
      <c r="CL271" s="13"/>
      <c r="CM271" s="13">
        <v>267600.78000000003</v>
      </c>
      <c r="CN271" s="13">
        <v>27859.25</v>
      </c>
      <c r="CO271" s="13">
        <v>-0.15</v>
      </c>
      <c r="CP271" s="13">
        <v>5658.87</v>
      </c>
      <c r="CQ271" s="13">
        <v>3373.63</v>
      </c>
      <c r="CR271" s="13">
        <v>271835.52000000002</v>
      </c>
      <c r="CS271" s="13">
        <v>32892.49</v>
      </c>
      <c r="CT271" s="13">
        <v>1017.71</v>
      </c>
      <c r="CU271" s="13">
        <v>2361.16</v>
      </c>
      <c r="CV271" s="13">
        <v>1619.2</v>
      </c>
      <c r="CW271" s="202">
        <v>9484</v>
      </c>
      <c r="CX271" s="200">
        <v>5441</v>
      </c>
      <c r="CY271" s="202">
        <v>79546</v>
      </c>
      <c r="CZ271" s="202">
        <v>6800</v>
      </c>
      <c r="DA271" s="202">
        <v>4</v>
      </c>
      <c r="DB271" s="202"/>
      <c r="DC271" s="202"/>
      <c r="DD271" s="461"/>
      <c r="DE271" s="256"/>
      <c r="DF271" s="204">
        <v>1548</v>
      </c>
      <c r="DG271" s="204"/>
      <c r="DH271" s="204"/>
      <c r="DI271" s="204"/>
      <c r="DJ271" s="202"/>
      <c r="DK271" s="202">
        <v>17200</v>
      </c>
      <c r="DL271" s="202"/>
      <c r="DM271" s="202"/>
      <c r="DN271" s="202"/>
      <c r="DO271" s="202"/>
      <c r="DP271" s="202"/>
      <c r="DQ271" s="202"/>
      <c r="DR271" s="202"/>
      <c r="DS271" s="202"/>
      <c r="DT271" s="254"/>
      <c r="DU271" s="254"/>
      <c r="DV271" s="202">
        <v>62516</v>
      </c>
      <c r="DW271" s="202"/>
      <c r="DX271" s="202"/>
      <c r="DY271" s="107">
        <v>1365</v>
      </c>
      <c r="DZ271" s="107">
        <v>577</v>
      </c>
      <c r="EA271" s="202">
        <f>17865.69+13891.68+602.63</f>
        <v>32360</v>
      </c>
      <c r="EB271" s="107"/>
      <c r="EC271" s="202"/>
      <c r="ED271" s="202"/>
      <c r="EE271" s="202"/>
      <c r="EF271" s="229"/>
      <c r="EG271" s="202"/>
      <c r="EH271" s="202"/>
      <c r="EI271" s="202"/>
      <c r="EJ271" s="202"/>
      <c r="EK271" s="202">
        <v>2450.2800000000002</v>
      </c>
      <c r="EL271" s="202">
        <v>0</v>
      </c>
      <c r="EM271" s="202">
        <v>5620.99</v>
      </c>
      <c r="EN271" s="202">
        <v>3381.47</v>
      </c>
      <c r="EO271" s="202">
        <v>2450.2800000000002</v>
      </c>
      <c r="EP271" s="202"/>
      <c r="EQ271" s="202">
        <v>5620.99</v>
      </c>
      <c r="ER271" s="202">
        <v>3381.47</v>
      </c>
      <c r="ES271" s="202"/>
      <c r="ET271" s="202"/>
      <c r="EU271" s="202"/>
      <c r="EV271" s="214">
        <v>-32.409999999999997</v>
      </c>
      <c r="EW271" s="240">
        <f t="shared" si="204"/>
        <v>23802.42</v>
      </c>
      <c r="EX271" s="209">
        <f t="shared" si="205"/>
        <v>15491.88</v>
      </c>
    </row>
    <row r="272" spans="1:154" ht="12.75" customHeight="1" x14ac:dyDescent="0.2">
      <c r="A272" s="4" t="s">
        <v>748</v>
      </c>
      <c r="B272" s="148" t="s">
        <v>327</v>
      </c>
      <c r="C272" s="149" t="s">
        <v>44</v>
      </c>
      <c r="D272" s="148" t="s">
        <v>672</v>
      </c>
      <c r="E272" s="149"/>
      <c r="F272" s="11">
        <v>9</v>
      </c>
      <c r="G272" s="11">
        <v>15</v>
      </c>
      <c r="H272" s="11">
        <v>532</v>
      </c>
      <c r="I272" s="11">
        <v>536</v>
      </c>
      <c r="J272" s="11">
        <v>1246</v>
      </c>
      <c r="K272" s="11">
        <v>1412</v>
      </c>
      <c r="L272" s="83">
        <v>15</v>
      </c>
      <c r="M272" s="84">
        <v>3281</v>
      </c>
      <c r="N272" s="84">
        <v>4510</v>
      </c>
      <c r="O272" s="84">
        <v>4510</v>
      </c>
      <c r="P272" s="139">
        <v>3995.7</v>
      </c>
      <c r="Q272" s="135">
        <v>3263.1</v>
      </c>
      <c r="R272" s="133">
        <v>3840.4</v>
      </c>
      <c r="S272" s="133">
        <f t="shared" si="206"/>
        <v>11099.2</v>
      </c>
      <c r="T272" s="139">
        <v>3281</v>
      </c>
      <c r="U272" s="130">
        <v>2.44</v>
      </c>
      <c r="V272" s="131">
        <v>1.9800000000000002E-2</v>
      </c>
      <c r="W272" s="131">
        <v>1.9800000000000002E-2</v>
      </c>
      <c r="X272" s="132">
        <v>1.32E-3</v>
      </c>
      <c r="Y272" s="131">
        <v>3.9699999999999999E-2</v>
      </c>
      <c r="Z272" s="29">
        <v>29089.73</v>
      </c>
      <c r="AA272" s="34">
        <v>87.7</v>
      </c>
      <c r="AB272" s="9">
        <f t="shared" si="176"/>
        <v>29177.43</v>
      </c>
      <c r="AC272" s="9">
        <f t="shared" si="184"/>
        <v>184693.13</v>
      </c>
      <c r="AD272" s="9">
        <v>2.06</v>
      </c>
      <c r="AE272" s="9">
        <v>4.3</v>
      </c>
      <c r="AF272" s="21">
        <f>2.1-AJ272</f>
        <v>1.95</v>
      </c>
      <c r="AG272" s="18">
        <f>0.5-AQ272</f>
        <v>0.45</v>
      </c>
      <c r="AH272" s="9">
        <v>2.1</v>
      </c>
      <c r="AI272" s="13">
        <v>4330</v>
      </c>
      <c r="AJ272" s="21">
        <f t="shared" si="178"/>
        <v>0.15</v>
      </c>
      <c r="AK272" s="9">
        <v>1.88</v>
      </c>
      <c r="AL272" s="9">
        <v>0.16</v>
      </c>
      <c r="AM272" s="9">
        <v>0.05</v>
      </c>
      <c r="AN272" s="13"/>
      <c r="AO272" s="13">
        <v>3348</v>
      </c>
      <c r="AP272" s="13">
        <f t="shared" si="208"/>
        <v>5.58</v>
      </c>
      <c r="AQ272" s="18">
        <f t="shared" si="179"/>
        <v>0.05</v>
      </c>
      <c r="AR272" s="9">
        <v>0.49</v>
      </c>
      <c r="AS272" s="9">
        <v>0.16</v>
      </c>
      <c r="AT272" s="9">
        <v>0.06</v>
      </c>
      <c r="AU272" s="9">
        <v>3.09</v>
      </c>
      <c r="AV272" s="9">
        <v>0.14000000000000001</v>
      </c>
      <c r="AW272" s="9">
        <f>1.24+0.22+0.37</f>
        <v>1.83</v>
      </c>
      <c r="AX272" s="9">
        <f>1.73+0.48</f>
        <v>2.21</v>
      </c>
      <c r="AY272" s="151">
        <f t="shared" si="209"/>
        <v>21.13</v>
      </c>
      <c r="AZ272" s="152"/>
      <c r="BA272" s="152"/>
      <c r="BB272" s="152"/>
      <c r="BC272" s="152">
        <v>21.13</v>
      </c>
      <c r="BD272" s="13">
        <f t="shared" si="207"/>
        <v>0</v>
      </c>
      <c r="BE272" s="9">
        <f t="shared" si="185"/>
        <v>616519.1</v>
      </c>
      <c r="BF272" s="9">
        <v>21.13</v>
      </c>
      <c r="BG272" s="10">
        <v>44440</v>
      </c>
      <c r="BH272" s="9">
        <f t="shared" si="186"/>
        <v>60105.51</v>
      </c>
      <c r="BI272" s="9">
        <f t="shared" si="187"/>
        <v>125462.95</v>
      </c>
      <c r="BJ272" s="9">
        <f t="shared" si="188"/>
        <v>56895.99</v>
      </c>
      <c r="BK272" s="9">
        <f t="shared" si="189"/>
        <v>13129.84</v>
      </c>
      <c r="BL272" s="9">
        <f t="shared" si="190"/>
        <v>61272.6</v>
      </c>
      <c r="BM272" s="9">
        <f t="shared" si="191"/>
        <v>4376.6099999999997</v>
      </c>
      <c r="BN272" s="9">
        <f t="shared" si="192"/>
        <v>54853.57</v>
      </c>
      <c r="BO272" s="9">
        <f t="shared" si="193"/>
        <v>4668.3900000000003</v>
      </c>
      <c r="BP272" s="9">
        <f t="shared" si="194"/>
        <v>1458.87</v>
      </c>
      <c r="BQ272" s="9">
        <f t="shared" si="195"/>
        <v>1458.87</v>
      </c>
      <c r="BR272" s="9">
        <f t="shared" si="196"/>
        <v>14296.94</v>
      </c>
      <c r="BS272" s="9">
        <f t="shared" si="197"/>
        <v>4668.3900000000003</v>
      </c>
      <c r="BT272" s="9">
        <f t="shared" si="198"/>
        <v>1750.65</v>
      </c>
      <c r="BU272" s="9">
        <f t="shared" si="199"/>
        <v>90158.26</v>
      </c>
      <c r="BV272" s="9">
        <f t="shared" si="200"/>
        <v>4084.84</v>
      </c>
      <c r="BW272" s="9">
        <f t="shared" si="201"/>
        <v>53394.7</v>
      </c>
      <c r="BX272" s="9">
        <f t="shared" si="202"/>
        <v>64482.12</v>
      </c>
      <c r="BY272" s="17">
        <f t="shared" si="203"/>
        <v>616519.1</v>
      </c>
      <c r="BZ272" s="17">
        <v>2.97</v>
      </c>
      <c r="CA272" s="17">
        <v>0.02</v>
      </c>
      <c r="CB272" s="17">
        <v>0.19</v>
      </c>
      <c r="CC272" s="27">
        <v>0.01</v>
      </c>
      <c r="CD272" s="29">
        <v>6.33</v>
      </c>
      <c r="CE272" s="9"/>
      <c r="CF272" s="9"/>
      <c r="CG272" s="9"/>
      <c r="CH272" s="9"/>
      <c r="CI272" s="9"/>
      <c r="CJ272" s="9"/>
      <c r="CK272" s="13"/>
      <c r="CL272" s="13"/>
      <c r="CM272" s="13">
        <v>614710.52</v>
      </c>
      <c r="CN272" s="13">
        <v>86402.9</v>
      </c>
      <c r="CO272" s="13">
        <v>5527.71</v>
      </c>
      <c r="CP272" s="13">
        <v>581.77</v>
      </c>
      <c r="CQ272" s="13">
        <v>291.17</v>
      </c>
      <c r="CR272" s="13">
        <v>605691.89</v>
      </c>
      <c r="CS272" s="13">
        <v>85141.83</v>
      </c>
      <c r="CT272" s="13">
        <v>5447.11</v>
      </c>
      <c r="CU272" s="13">
        <v>573.27</v>
      </c>
      <c r="CV272" s="13">
        <v>286.85000000000002</v>
      </c>
      <c r="CW272" s="202">
        <v>25548</v>
      </c>
      <c r="CX272" s="200">
        <v>14657</v>
      </c>
      <c r="CY272" s="202">
        <v>196807</v>
      </c>
      <c r="CZ272" s="202">
        <v>6800</v>
      </c>
      <c r="DA272" s="202">
        <v>4</v>
      </c>
      <c r="DB272" s="202"/>
      <c r="DC272" s="202"/>
      <c r="DD272" s="461"/>
      <c r="DE272" s="256"/>
      <c r="DF272" s="204">
        <v>4330</v>
      </c>
      <c r="DG272" s="204"/>
      <c r="DH272" s="204"/>
      <c r="DI272" s="204"/>
      <c r="DJ272" s="202"/>
      <c r="DK272" s="202">
        <v>64500</v>
      </c>
      <c r="DL272" s="202"/>
      <c r="DM272" s="202"/>
      <c r="DN272" s="202"/>
      <c r="DO272" s="202"/>
      <c r="DP272" s="202"/>
      <c r="DQ272" s="202"/>
      <c r="DR272" s="202"/>
      <c r="DS272" s="202"/>
      <c r="DT272" s="254"/>
      <c r="DU272" s="254"/>
      <c r="DV272" s="202">
        <v>160289</v>
      </c>
      <c r="DW272" s="202"/>
      <c r="DX272" s="202"/>
      <c r="DY272" s="107">
        <v>5460</v>
      </c>
      <c r="DZ272" s="107"/>
      <c r="EA272" s="202">
        <f>184567.94+2896.73+7606.51+3747.1</f>
        <v>198818.28</v>
      </c>
      <c r="EB272" s="202">
        <v>66138</v>
      </c>
      <c r="EC272" s="202"/>
      <c r="ED272" s="202"/>
      <c r="EE272" s="202"/>
      <c r="EF272" s="229"/>
      <c r="EG272" s="202"/>
      <c r="EH272" s="202"/>
      <c r="EI272" s="202"/>
      <c r="EJ272" s="202"/>
      <c r="EK272" s="202">
        <v>50863.7</v>
      </c>
      <c r="EL272" s="202">
        <v>0</v>
      </c>
      <c r="EM272" s="202">
        <v>1755.58</v>
      </c>
      <c r="EN272" s="202">
        <v>2761.97</v>
      </c>
      <c r="EO272" s="202">
        <v>50863.7</v>
      </c>
      <c r="EP272" s="202"/>
      <c r="EQ272" s="202">
        <v>1755.58</v>
      </c>
      <c r="ER272" s="202">
        <v>2761.97</v>
      </c>
      <c r="ES272" s="202"/>
      <c r="ET272" s="202"/>
      <c r="EU272" s="202"/>
      <c r="EV272" s="214">
        <v>-63.14</v>
      </c>
      <c r="EW272" s="240">
        <f t="shared" si="204"/>
        <v>63815.71</v>
      </c>
      <c r="EX272" s="209">
        <f t="shared" si="205"/>
        <v>41534.660000000003</v>
      </c>
    </row>
    <row r="273" spans="1:154" ht="12.75" customHeight="1" x14ac:dyDescent="0.2">
      <c r="A273" s="4" t="s">
        <v>749</v>
      </c>
      <c r="B273" s="148" t="s">
        <v>327</v>
      </c>
      <c r="C273" s="149" t="s">
        <v>11</v>
      </c>
      <c r="D273" s="148" t="s">
        <v>673</v>
      </c>
      <c r="E273" s="149"/>
      <c r="F273" s="11">
        <v>10</v>
      </c>
      <c r="G273" s="11">
        <v>8</v>
      </c>
      <c r="H273" s="11">
        <v>308</v>
      </c>
      <c r="I273" s="11">
        <v>148</v>
      </c>
      <c r="J273" s="11">
        <v>681</v>
      </c>
      <c r="K273" s="11">
        <v>560</v>
      </c>
      <c r="L273" s="83">
        <v>8</v>
      </c>
      <c r="M273" s="84">
        <v>1849</v>
      </c>
      <c r="N273" s="84">
        <v>1183</v>
      </c>
      <c r="O273" s="84">
        <v>1100</v>
      </c>
      <c r="P273" s="135">
        <v>1848.9</v>
      </c>
      <c r="Q273" s="135">
        <v>1883.7</v>
      </c>
      <c r="R273" s="133">
        <v>0</v>
      </c>
      <c r="S273" s="133">
        <f t="shared" si="206"/>
        <v>3732.6</v>
      </c>
      <c r="T273" s="134">
        <v>1849</v>
      </c>
      <c r="U273" s="130">
        <v>2.74</v>
      </c>
      <c r="V273" s="131">
        <v>1.1299999999999999E-2</v>
      </c>
      <c r="W273" s="131">
        <v>1.1299999999999999E-2</v>
      </c>
      <c r="X273" s="132">
        <v>7.5000000000000002E-4</v>
      </c>
      <c r="Y273" s="131">
        <v>2.2499999999999999E-2</v>
      </c>
      <c r="Z273" s="29">
        <v>17145.7</v>
      </c>
      <c r="AA273" s="34">
        <v>81.3</v>
      </c>
      <c r="AB273" s="9">
        <f t="shared" si="176"/>
        <v>17227</v>
      </c>
      <c r="AC273" s="9">
        <f t="shared" si="184"/>
        <v>109046.91</v>
      </c>
      <c r="AD273" s="9">
        <v>1.89</v>
      </c>
      <c r="AE273" s="9">
        <v>4.49</v>
      </c>
      <c r="AF273" s="21">
        <f>2.04-AJ273</f>
        <v>1.97</v>
      </c>
      <c r="AG273" s="18">
        <f>0.52-AQ273</f>
        <v>0.47</v>
      </c>
      <c r="AH273" s="9">
        <v>2.11</v>
      </c>
      <c r="AI273" s="13">
        <v>1136</v>
      </c>
      <c r="AJ273" s="21">
        <f t="shared" si="178"/>
        <v>7.0000000000000007E-2</v>
      </c>
      <c r="AK273" s="9">
        <v>1.71</v>
      </c>
      <c r="AL273" s="9">
        <v>0.15</v>
      </c>
      <c r="AM273" s="9">
        <v>0.03</v>
      </c>
      <c r="AN273" s="13"/>
      <c r="AO273" s="13">
        <v>1964.8</v>
      </c>
      <c r="AP273" s="13">
        <f t="shared" si="208"/>
        <v>5.58</v>
      </c>
      <c r="AQ273" s="18">
        <f t="shared" si="179"/>
        <v>0.05</v>
      </c>
      <c r="AR273" s="9">
        <v>0.46</v>
      </c>
      <c r="AS273" s="9">
        <v>0.14000000000000001</v>
      </c>
      <c r="AT273" s="9">
        <v>0.06</v>
      </c>
      <c r="AU273" s="9">
        <v>3.07</v>
      </c>
      <c r="AV273" s="9">
        <v>0.14000000000000001</v>
      </c>
      <c r="AW273" s="9">
        <f>1.22+0.37+0.21</f>
        <v>1.8</v>
      </c>
      <c r="AX273" s="9">
        <f>1.7+0.49</f>
        <v>2.19</v>
      </c>
      <c r="AY273" s="151">
        <f t="shared" si="209"/>
        <v>20.8</v>
      </c>
      <c r="AZ273" s="152"/>
      <c r="BA273" s="152"/>
      <c r="BB273" s="152"/>
      <c r="BC273" s="152">
        <v>20.8</v>
      </c>
      <c r="BD273" s="13">
        <f t="shared" si="207"/>
        <v>0</v>
      </c>
      <c r="BE273" s="9">
        <f t="shared" si="185"/>
        <v>358321.6</v>
      </c>
      <c r="BF273" s="9">
        <v>20.8</v>
      </c>
      <c r="BG273" s="10">
        <v>44440</v>
      </c>
      <c r="BH273" s="9">
        <f t="shared" si="186"/>
        <v>32559.03</v>
      </c>
      <c r="BI273" s="9">
        <f t="shared" si="187"/>
        <v>77349.23</v>
      </c>
      <c r="BJ273" s="9">
        <f t="shared" si="188"/>
        <v>33937.19</v>
      </c>
      <c r="BK273" s="9">
        <f t="shared" si="189"/>
        <v>8096.69</v>
      </c>
      <c r="BL273" s="9">
        <f t="shared" si="190"/>
        <v>36348.97</v>
      </c>
      <c r="BM273" s="9">
        <f t="shared" si="191"/>
        <v>1205.8900000000001</v>
      </c>
      <c r="BN273" s="9">
        <f t="shared" si="192"/>
        <v>29458.17</v>
      </c>
      <c r="BO273" s="9">
        <f t="shared" si="193"/>
        <v>2584.0500000000002</v>
      </c>
      <c r="BP273" s="9">
        <f t="shared" si="194"/>
        <v>516.80999999999995</v>
      </c>
      <c r="BQ273" s="9">
        <f t="shared" si="195"/>
        <v>861.35</v>
      </c>
      <c r="BR273" s="9">
        <f t="shared" si="196"/>
        <v>7924.42</v>
      </c>
      <c r="BS273" s="9">
        <f t="shared" si="197"/>
        <v>2411.7800000000002</v>
      </c>
      <c r="BT273" s="9">
        <f t="shared" si="198"/>
        <v>1033.6199999999999</v>
      </c>
      <c r="BU273" s="9">
        <f t="shared" si="199"/>
        <v>52886.89</v>
      </c>
      <c r="BV273" s="9">
        <f t="shared" si="200"/>
        <v>2411.7800000000002</v>
      </c>
      <c r="BW273" s="9">
        <f t="shared" si="201"/>
        <v>31008.6</v>
      </c>
      <c r="BX273" s="9">
        <f t="shared" si="202"/>
        <v>37727.129999999997</v>
      </c>
      <c r="BY273" s="17">
        <f t="shared" si="203"/>
        <v>358321.6</v>
      </c>
      <c r="BZ273" s="17">
        <v>1.99</v>
      </c>
      <c r="CA273" s="17">
        <v>0.02</v>
      </c>
      <c r="CB273" s="17">
        <v>0.19</v>
      </c>
      <c r="CC273" s="27">
        <v>0.01</v>
      </c>
      <c r="CD273" s="29">
        <v>6.33</v>
      </c>
      <c r="CE273" s="9"/>
      <c r="CF273" s="9"/>
      <c r="CG273" s="9"/>
      <c r="CH273" s="9"/>
      <c r="CI273" s="9"/>
      <c r="CJ273" s="9"/>
      <c r="CK273" s="13"/>
      <c r="CL273" s="13"/>
      <c r="CM273" s="13">
        <v>356630.56</v>
      </c>
      <c r="CN273" s="13">
        <v>34120.04</v>
      </c>
      <c r="CO273" s="13">
        <v>3257.77</v>
      </c>
      <c r="CP273" s="13">
        <v>342.89</v>
      </c>
      <c r="CQ273" s="13">
        <v>171.56</v>
      </c>
      <c r="CR273" s="13">
        <v>351667.29</v>
      </c>
      <c r="CS273" s="13">
        <v>33679.69</v>
      </c>
      <c r="CT273" s="13">
        <v>3215.74</v>
      </c>
      <c r="CU273" s="13">
        <v>338.55</v>
      </c>
      <c r="CV273" s="13">
        <v>169.31</v>
      </c>
      <c r="CW273" s="202">
        <v>15027</v>
      </c>
      <c r="CX273" s="200">
        <v>8621</v>
      </c>
      <c r="CY273" s="202">
        <v>121157</v>
      </c>
      <c r="CZ273" s="202">
        <v>6800</v>
      </c>
      <c r="DA273" s="202">
        <v>4</v>
      </c>
      <c r="DB273" s="202"/>
      <c r="DC273" s="202"/>
      <c r="DD273" s="461"/>
      <c r="DE273" s="256"/>
      <c r="DF273" s="204">
        <v>1136</v>
      </c>
      <c r="DG273" s="204"/>
      <c r="DH273" s="204"/>
      <c r="DI273" s="204"/>
      <c r="DJ273" s="202"/>
      <c r="DK273" s="202">
        <v>34400</v>
      </c>
      <c r="DL273" s="202"/>
      <c r="DM273" s="202"/>
      <c r="DN273" s="202"/>
      <c r="DO273" s="202"/>
      <c r="DP273" s="202"/>
      <c r="DQ273" s="202"/>
      <c r="DR273" s="202"/>
      <c r="DS273" s="202"/>
      <c r="DT273" s="254"/>
      <c r="DU273" s="254"/>
      <c r="DV273" s="202">
        <v>92655</v>
      </c>
      <c r="DW273" s="202"/>
      <c r="DX273" s="202"/>
      <c r="DY273" s="107">
        <v>2730</v>
      </c>
      <c r="DZ273" s="107"/>
      <c r="EA273" s="202">
        <f>10404.75+6687.45+17094.06+11061.5</f>
        <v>45247.76</v>
      </c>
      <c r="EB273" s="202">
        <v>36535</v>
      </c>
      <c r="EC273" s="202"/>
      <c r="ED273" s="202"/>
      <c r="EE273" s="202"/>
      <c r="EF273" s="229"/>
      <c r="EG273" s="202"/>
      <c r="EH273" s="202"/>
      <c r="EI273" s="202"/>
      <c r="EJ273" s="202"/>
      <c r="EK273" s="202">
        <v>26174.53</v>
      </c>
      <c r="EL273" s="202">
        <v>0</v>
      </c>
      <c r="EM273" s="202">
        <v>1810.61</v>
      </c>
      <c r="EN273" s="202">
        <v>1243.52</v>
      </c>
      <c r="EO273" s="202">
        <v>26174.53</v>
      </c>
      <c r="EP273" s="202"/>
      <c r="EQ273" s="202">
        <v>1810.61</v>
      </c>
      <c r="ER273" s="202">
        <v>1243.52</v>
      </c>
      <c r="ES273" s="202"/>
      <c r="ET273" s="202"/>
      <c r="EU273" s="202"/>
      <c r="EV273" s="214">
        <v>-18.559999999999999</v>
      </c>
      <c r="EW273" s="240">
        <f t="shared" si="204"/>
        <v>37678.21</v>
      </c>
      <c r="EX273" s="209">
        <f t="shared" si="205"/>
        <v>24522.98</v>
      </c>
    </row>
    <row r="274" spans="1:154" ht="12.75" customHeight="1" x14ac:dyDescent="0.2">
      <c r="A274" s="4" t="s">
        <v>750</v>
      </c>
      <c r="B274" s="148" t="s">
        <v>327</v>
      </c>
      <c r="C274" s="149" t="s">
        <v>46</v>
      </c>
      <c r="D274" s="148" t="s">
        <v>674</v>
      </c>
      <c r="E274" s="149"/>
      <c r="F274" s="11">
        <v>9</v>
      </c>
      <c r="G274" s="11">
        <v>7</v>
      </c>
      <c r="H274" s="11">
        <v>360</v>
      </c>
      <c r="I274" s="11">
        <v>360</v>
      </c>
      <c r="J274" s="11">
        <v>635</v>
      </c>
      <c r="K274" s="11">
        <v>773</v>
      </c>
      <c r="L274" s="83">
        <v>7</v>
      </c>
      <c r="M274" s="84">
        <v>2199</v>
      </c>
      <c r="N274" s="84">
        <v>1886</v>
      </c>
      <c r="O274" s="84">
        <v>0</v>
      </c>
      <c r="P274" s="139">
        <v>2426.5</v>
      </c>
      <c r="Q274" s="135">
        <v>1866.1</v>
      </c>
      <c r="R274" s="133">
        <v>0</v>
      </c>
      <c r="S274" s="133">
        <f t="shared" si="206"/>
        <v>4292.6000000000004</v>
      </c>
      <c r="T274" s="139">
        <v>1849</v>
      </c>
      <c r="U274" s="130">
        <v>2.74</v>
      </c>
      <c r="V274" s="131">
        <v>1.9800000000000002E-2</v>
      </c>
      <c r="W274" s="131">
        <v>1.9800000000000002E-2</v>
      </c>
      <c r="X274" s="132">
        <v>1.32E-3</v>
      </c>
      <c r="Y274" s="131">
        <v>2.2499999999999999E-2</v>
      </c>
      <c r="Z274" s="29">
        <v>14603.51</v>
      </c>
      <c r="AA274" s="34">
        <v>15.1</v>
      </c>
      <c r="AB274" s="9">
        <f t="shared" si="176"/>
        <v>14618.61</v>
      </c>
      <c r="AC274" s="9">
        <f t="shared" si="184"/>
        <v>92535.8</v>
      </c>
      <c r="AD274" s="9">
        <v>2.98</v>
      </c>
      <c r="AE274" s="9">
        <v>4.03</v>
      </c>
      <c r="AF274" s="21">
        <f>2.49-AJ274</f>
        <v>2.37</v>
      </c>
      <c r="AG274" s="18">
        <f>0.62-AQ274</f>
        <v>0.55000000000000004</v>
      </c>
      <c r="AH274" s="9">
        <v>2.77</v>
      </c>
      <c r="AI274" s="13">
        <v>1811</v>
      </c>
      <c r="AJ274" s="21">
        <f t="shared" si="178"/>
        <v>0.12</v>
      </c>
      <c r="AK274" s="9">
        <v>2.08</v>
      </c>
      <c r="AL274" s="9">
        <v>0.46</v>
      </c>
      <c r="AM274" s="9">
        <v>0.04</v>
      </c>
      <c r="AN274" s="13"/>
      <c r="AO274" s="13">
        <v>2217.6</v>
      </c>
      <c r="AP274" s="13">
        <f t="shared" si="208"/>
        <v>5.58</v>
      </c>
      <c r="AQ274" s="18">
        <f t="shared" si="179"/>
        <v>7.0000000000000007E-2</v>
      </c>
      <c r="AR274" s="9">
        <v>0.71</v>
      </c>
      <c r="AS274" s="9">
        <v>0.09</v>
      </c>
      <c r="AT274" s="9">
        <v>7.0000000000000007E-2</v>
      </c>
      <c r="AU274" s="9">
        <v>3.88</v>
      </c>
      <c r="AV274" s="9">
        <v>0.17</v>
      </c>
      <c r="AW274" s="9">
        <f>1.47+0.34+0.35</f>
        <v>2.16</v>
      </c>
      <c r="AX274" s="9">
        <f>2.06+0.48</f>
        <v>2.54</v>
      </c>
      <c r="AY274" s="151">
        <f t="shared" si="209"/>
        <v>25.09</v>
      </c>
      <c r="AZ274" s="152"/>
      <c r="BA274" s="152"/>
      <c r="BB274" s="152"/>
      <c r="BC274" s="152">
        <v>25.09</v>
      </c>
      <c r="BD274" s="13">
        <f t="shared" si="207"/>
        <v>0</v>
      </c>
      <c r="BE274" s="9">
        <f t="shared" si="185"/>
        <v>366780.92</v>
      </c>
      <c r="BF274" s="9">
        <v>25.09</v>
      </c>
      <c r="BG274" s="10">
        <v>44440</v>
      </c>
      <c r="BH274" s="9">
        <f t="shared" si="186"/>
        <v>43563.46</v>
      </c>
      <c r="BI274" s="9">
        <f t="shared" si="187"/>
        <v>58913</v>
      </c>
      <c r="BJ274" s="9">
        <f t="shared" si="188"/>
        <v>34646.11</v>
      </c>
      <c r="BK274" s="9">
        <f t="shared" si="189"/>
        <v>8040.24</v>
      </c>
      <c r="BL274" s="9">
        <f t="shared" si="190"/>
        <v>40493.550000000003</v>
      </c>
      <c r="BM274" s="9">
        <f t="shared" si="191"/>
        <v>1754.23</v>
      </c>
      <c r="BN274" s="9">
        <f t="shared" si="192"/>
        <v>30406.71</v>
      </c>
      <c r="BO274" s="9">
        <f t="shared" si="193"/>
        <v>6724.56</v>
      </c>
      <c r="BP274" s="9">
        <f t="shared" si="194"/>
        <v>584.74</v>
      </c>
      <c r="BQ274" s="9">
        <f t="shared" si="195"/>
        <v>1023.3</v>
      </c>
      <c r="BR274" s="9">
        <f t="shared" si="196"/>
        <v>10379.209999999999</v>
      </c>
      <c r="BS274" s="9">
        <f t="shared" si="197"/>
        <v>1315.67</v>
      </c>
      <c r="BT274" s="9">
        <f t="shared" si="198"/>
        <v>1023.3</v>
      </c>
      <c r="BU274" s="9">
        <f t="shared" si="199"/>
        <v>56720.21</v>
      </c>
      <c r="BV274" s="9">
        <f t="shared" si="200"/>
        <v>2485.16</v>
      </c>
      <c r="BW274" s="9">
        <f t="shared" si="201"/>
        <v>31576.2</v>
      </c>
      <c r="BX274" s="9">
        <f t="shared" si="202"/>
        <v>37131.269999999997</v>
      </c>
      <c r="BY274" s="17">
        <f t="shared" si="203"/>
        <v>366780.92</v>
      </c>
      <c r="BZ274" s="17">
        <v>2.61</v>
      </c>
      <c r="CA274" s="17">
        <v>0.08</v>
      </c>
      <c r="CB274" s="17">
        <v>0.5</v>
      </c>
      <c r="CC274" s="27">
        <v>0.08</v>
      </c>
      <c r="CD274" s="29">
        <v>6.33</v>
      </c>
      <c r="CE274" s="9"/>
      <c r="CF274" s="9"/>
      <c r="CG274" s="9"/>
      <c r="CH274" s="9"/>
      <c r="CI274" s="9"/>
      <c r="CJ274" s="9"/>
      <c r="CK274" s="13"/>
      <c r="CL274" s="13"/>
      <c r="CM274" s="13">
        <v>366490.11</v>
      </c>
      <c r="CN274" s="13">
        <v>42953.82</v>
      </c>
      <c r="CO274" s="13">
        <v>1.75</v>
      </c>
      <c r="CP274" s="13">
        <v>8764.49</v>
      </c>
      <c r="CQ274" s="13">
        <v>4966.7299999999996</v>
      </c>
      <c r="CR274" s="13">
        <v>336152.41</v>
      </c>
      <c r="CS274" s="13">
        <v>47022.19</v>
      </c>
      <c r="CT274" s="13">
        <v>1245.1500000000001</v>
      </c>
      <c r="CU274" s="13">
        <v>3029.15</v>
      </c>
      <c r="CV274" s="13">
        <v>1911.06</v>
      </c>
      <c r="CW274" s="202">
        <v>12736</v>
      </c>
      <c r="CX274" s="200">
        <v>7307</v>
      </c>
      <c r="CY274" s="202">
        <v>100682</v>
      </c>
      <c r="CZ274" s="202">
        <v>8500</v>
      </c>
      <c r="DA274" s="202">
        <v>5</v>
      </c>
      <c r="DB274" s="202"/>
      <c r="DC274" s="202"/>
      <c r="DD274" s="461"/>
      <c r="DE274" s="256"/>
      <c r="DF274" s="204">
        <v>1811</v>
      </c>
      <c r="DG274" s="204"/>
      <c r="DH274" s="204"/>
      <c r="DI274" s="204"/>
      <c r="DJ274" s="202"/>
      <c r="DK274" s="202">
        <v>30100</v>
      </c>
      <c r="DL274" s="202"/>
      <c r="DM274" s="202"/>
      <c r="DN274" s="202"/>
      <c r="DO274" s="202"/>
      <c r="DP274" s="202"/>
      <c r="DQ274" s="202"/>
      <c r="DR274" s="202"/>
      <c r="DS274" s="202"/>
      <c r="DT274" s="254"/>
      <c r="DU274" s="254"/>
      <c r="DV274" s="202">
        <v>83963</v>
      </c>
      <c r="DW274" s="202"/>
      <c r="DX274" s="202"/>
      <c r="DY274" s="107">
        <v>1365</v>
      </c>
      <c r="DZ274" s="107"/>
      <c r="EA274" s="202">
        <f>2911.88+3816.68+8623.27</f>
        <v>15351.83</v>
      </c>
      <c r="EB274" s="107"/>
      <c r="EC274" s="202"/>
      <c r="ED274" s="202"/>
      <c r="EE274" s="202"/>
      <c r="EF274" s="229"/>
      <c r="EG274" s="202"/>
      <c r="EH274" s="202"/>
      <c r="EI274" s="202"/>
      <c r="EJ274" s="202"/>
      <c r="EK274" s="202">
        <v>43048.01</v>
      </c>
      <c r="EL274" s="202">
        <v>0</v>
      </c>
      <c r="EM274" s="202">
        <v>8782.7999999999993</v>
      </c>
      <c r="EN274" s="202">
        <v>4949.66</v>
      </c>
      <c r="EO274" s="202">
        <v>43048.01</v>
      </c>
      <c r="EP274" s="202"/>
      <c r="EQ274" s="202">
        <v>8782.7999999999993</v>
      </c>
      <c r="ER274" s="202">
        <v>4949.66</v>
      </c>
      <c r="ES274" s="202"/>
      <c r="ET274" s="202"/>
      <c r="EU274" s="202"/>
      <c r="EV274" s="214">
        <v>-60.3</v>
      </c>
      <c r="EW274" s="240">
        <f t="shared" si="204"/>
        <v>31973.24</v>
      </c>
      <c r="EX274" s="209">
        <f t="shared" si="205"/>
        <v>20809.88</v>
      </c>
    </row>
    <row r="275" spans="1:154" ht="12.75" customHeight="1" x14ac:dyDescent="0.2">
      <c r="A275" s="4" t="s">
        <v>751</v>
      </c>
      <c r="B275" s="148" t="s">
        <v>327</v>
      </c>
      <c r="C275" s="149" t="s">
        <v>48</v>
      </c>
      <c r="D275" s="148" t="s">
        <v>522</v>
      </c>
      <c r="E275" s="149"/>
      <c r="F275" s="11">
        <v>9</v>
      </c>
      <c r="G275" s="11">
        <v>23</v>
      </c>
      <c r="H275" s="11">
        <v>776</v>
      </c>
      <c r="I275" s="11">
        <v>790</v>
      </c>
      <c r="J275" s="11">
        <v>3920</v>
      </c>
      <c r="K275" s="11">
        <v>2138</v>
      </c>
      <c r="L275" s="11">
        <v>23</v>
      </c>
      <c r="M275" s="84">
        <v>4856</v>
      </c>
      <c r="N275" s="84">
        <v>5134</v>
      </c>
      <c r="O275" s="84">
        <v>0</v>
      </c>
      <c r="P275" s="139"/>
      <c r="Q275" s="139"/>
      <c r="R275" s="139"/>
      <c r="S275" s="133">
        <f t="shared" si="206"/>
        <v>0</v>
      </c>
      <c r="T275" s="139">
        <v>5083.3</v>
      </c>
      <c r="U275" s="130">
        <v>2.44</v>
      </c>
      <c r="V275" s="131">
        <v>1.9800000000000002E-2</v>
      </c>
      <c r="W275" s="131">
        <v>1.9800000000000002E-2</v>
      </c>
      <c r="X275" s="132">
        <v>1.32E-3</v>
      </c>
      <c r="Y275" s="131">
        <v>3.9699999999999999E-2</v>
      </c>
      <c r="Z275" s="29">
        <v>43382.32</v>
      </c>
      <c r="AA275" s="34">
        <v>52.6</v>
      </c>
      <c r="AB275" s="9">
        <f t="shared" si="176"/>
        <v>43434.92</v>
      </c>
      <c r="AC275" s="9">
        <f t="shared" si="184"/>
        <v>274943.03999999998</v>
      </c>
      <c r="AD275" s="9">
        <v>2.4700000000000002</v>
      </c>
      <c r="AE275" s="9">
        <v>4.46</v>
      </c>
      <c r="AF275" s="21">
        <f>2.47-AJ275</f>
        <v>2.36</v>
      </c>
      <c r="AG275" s="18">
        <f>0.58-AQ275</f>
        <v>0.53</v>
      </c>
      <c r="AH275" s="9">
        <f>2.78</f>
        <v>2.78</v>
      </c>
      <c r="AI275" s="13">
        <v>4927</v>
      </c>
      <c r="AJ275" s="21">
        <f t="shared" si="178"/>
        <v>0.11</v>
      </c>
      <c r="AK275" s="9">
        <v>2.2799999999999998</v>
      </c>
      <c r="AL275" s="9">
        <v>0.62</v>
      </c>
      <c r="AM275" s="9">
        <v>0.04</v>
      </c>
      <c r="AN275" s="13"/>
      <c r="AO275" s="13">
        <v>4857.6000000000004</v>
      </c>
      <c r="AP275" s="13">
        <f t="shared" si="208"/>
        <v>5.58</v>
      </c>
      <c r="AQ275" s="18">
        <f t="shared" si="179"/>
        <v>0.05</v>
      </c>
      <c r="AR275" s="9">
        <v>0.55000000000000004</v>
      </c>
      <c r="AS275" s="9">
        <v>0.16</v>
      </c>
      <c r="AT275" s="9">
        <v>7.0000000000000007E-2</v>
      </c>
      <c r="AU275" s="9">
        <v>3.85</v>
      </c>
      <c r="AV275" s="9">
        <v>0.17</v>
      </c>
      <c r="AW275" s="9">
        <f>1.48+0.34+0.25</f>
        <v>2.0699999999999998</v>
      </c>
      <c r="AX275" s="9">
        <f>2.08+0.45</f>
        <v>2.5299999999999998</v>
      </c>
      <c r="AY275" s="151">
        <f t="shared" si="209"/>
        <v>25.1</v>
      </c>
      <c r="AZ275" s="152"/>
      <c r="BA275" s="152"/>
      <c r="BB275" s="152"/>
      <c r="BC275" s="152">
        <v>25.1</v>
      </c>
      <c r="BD275" s="13">
        <f t="shared" si="207"/>
        <v>0</v>
      </c>
      <c r="BE275" s="9">
        <f t="shared" si="185"/>
        <v>1090216.49</v>
      </c>
      <c r="BF275" s="9">
        <v>25.1</v>
      </c>
      <c r="BG275" s="10">
        <v>44440</v>
      </c>
      <c r="BH275" s="9">
        <f t="shared" si="186"/>
        <v>107284.25</v>
      </c>
      <c r="BI275" s="9">
        <f t="shared" si="187"/>
        <v>193719.74</v>
      </c>
      <c r="BJ275" s="9">
        <f t="shared" si="188"/>
        <v>102506.41</v>
      </c>
      <c r="BK275" s="9">
        <f t="shared" si="189"/>
        <v>23020.51</v>
      </c>
      <c r="BL275" s="9">
        <f t="shared" si="190"/>
        <v>120749.08</v>
      </c>
      <c r="BM275" s="9">
        <f t="shared" si="191"/>
        <v>4777.84</v>
      </c>
      <c r="BN275" s="9">
        <f t="shared" si="192"/>
        <v>99031.62</v>
      </c>
      <c r="BO275" s="9">
        <f t="shared" si="193"/>
        <v>26929.65</v>
      </c>
      <c r="BP275" s="9">
        <f t="shared" si="194"/>
        <v>1737.4</v>
      </c>
      <c r="BQ275" s="9">
        <f t="shared" si="195"/>
        <v>2171.75</v>
      </c>
      <c r="BR275" s="9">
        <f t="shared" si="196"/>
        <v>23889.21</v>
      </c>
      <c r="BS275" s="9">
        <f t="shared" si="197"/>
        <v>6949.59</v>
      </c>
      <c r="BT275" s="9">
        <f t="shared" si="198"/>
        <v>3040.44</v>
      </c>
      <c r="BU275" s="9">
        <f t="shared" si="199"/>
        <v>167224.44</v>
      </c>
      <c r="BV275" s="9">
        <f t="shared" si="200"/>
        <v>7383.94</v>
      </c>
      <c r="BW275" s="9">
        <f t="shared" si="201"/>
        <v>89910.28</v>
      </c>
      <c r="BX275" s="9">
        <f t="shared" si="202"/>
        <v>109890.35</v>
      </c>
      <c r="BY275" s="17">
        <f t="shared" si="203"/>
        <v>1090216.5</v>
      </c>
      <c r="BZ275" s="17">
        <v>2.37</v>
      </c>
      <c r="CA275" s="17">
        <v>0.06</v>
      </c>
      <c r="CB275" s="17">
        <v>0.39</v>
      </c>
      <c r="CC275" s="27">
        <v>7.0000000000000007E-2</v>
      </c>
      <c r="CD275" s="29">
        <v>6.33</v>
      </c>
      <c r="CE275" s="9"/>
      <c r="CF275" s="9"/>
      <c r="CG275" s="9"/>
      <c r="CH275" s="9"/>
      <c r="CI275" s="9"/>
      <c r="CJ275" s="9"/>
      <c r="CK275" s="13"/>
      <c r="CL275" s="13"/>
      <c r="CM275" s="13">
        <v>1088891.26</v>
      </c>
      <c r="CN275" s="13">
        <v>102816.17</v>
      </c>
      <c r="CO275" s="13">
        <v>-7.0000000000000007E-2</v>
      </c>
      <c r="CP275" s="13">
        <v>19955.52</v>
      </c>
      <c r="CQ275" s="13">
        <v>11713.51</v>
      </c>
      <c r="CR275" s="13">
        <v>1072611.32</v>
      </c>
      <c r="CS275" s="13">
        <v>106338.9</v>
      </c>
      <c r="CT275" s="13">
        <v>3364.39</v>
      </c>
      <c r="CU275" s="13">
        <v>10601.36</v>
      </c>
      <c r="CV275" s="13">
        <v>6893.13</v>
      </c>
      <c r="CW275" s="202">
        <v>37835</v>
      </c>
      <c r="CX275" s="200">
        <v>21708</v>
      </c>
      <c r="CY275" s="202">
        <v>294515</v>
      </c>
      <c r="CZ275" s="202">
        <v>5100</v>
      </c>
      <c r="DA275" s="202">
        <v>3</v>
      </c>
      <c r="DB275" s="202"/>
      <c r="DC275" s="202"/>
      <c r="DD275" s="461"/>
      <c r="DE275" s="256"/>
      <c r="DF275" s="204">
        <v>4927</v>
      </c>
      <c r="DG275" s="204"/>
      <c r="DH275" s="204"/>
      <c r="DI275" s="204"/>
      <c r="DJ275" s="202"/>
      <c r="DK275" s="202">
        <v>98900</v>
      </c>
      <c r="DL275" s="202"/>
      <c r="DM275" s="202"/>
      <c r="DN275" s="202"/>
      <c r="DO275" s="202"/>
      <c r="DP275" s="202"/>
      <c r="DQ275" s="202"/>
      <c r="DR275" s="202"/>
      <c r="DS275" s="202"/>
      <c r="DT275" s="254"/>
      <c r="DU275" s="254"/>
      <c r="DV275" s="202">
        <v>250223</v>
      </c>
      <c r="DW275" s="202"/>
      <c r="DX275" s="202"/>
      <c r="DY275" s="107">
        <v>6825</v>
      </c>
      <c r="DZ275" s="107"/>
      <c r="EA275" s="202">
        <f>5266.6+8788.42+3586.51+2432.72+2910.85+4753.44</f>
        <v>27738.54</v>
      </c>
      <c r="EB275" s="202">
        <f>17552+17552+17499+23498+21993</f>
        <v>98094</v>
      </c>
      <c r="EC275" s="202"/>
      <c r="ED275" s="202"/>
      <c r="EE275" s="202"/>
      <c r="EF275" s="229"/>
      <c r="EG275" s="202"/>
      <c r="EH275" s="202"/>
      <c r="EI275" s="202"/>
      <c r="EJ275" s="202"/>
      <c r="EK275" s="202">
        <v>59307.13</v>
      </c>
      <c r="EL275" s="202">
        <v>0</v>
      </c>
      <c r="EM275" s="202">
        <v>19835.62</v>
      </c>
      <c r="EN275" s="202">
        <v>11808.62</v>
      </c>
      <c r="EO275" s="202">
        <v>59307.13</v>
      </c>
      <c r="EP275" s="202"/>
      <c r="EQ275" s="202">
        <v>19835.62</v>
      </c>
      <c r="ER275" s="202">
        <v>11808.62</v>
      </c>
      <c r="ES275" s="202"/>
      <c r="ET275" s="202"/>
      <c r="EU275" s="202"/>
      <c r="EV275" s="214">
        <v>-99.01</v>
      </c>
      <c r="EW275" s="240">
        <f t="shared" si="204"/>
        <v>94999.12</v>
      </c>
      <c r="EX275" s="209">
        <f t="shared" si="205"/>
        <v>61830.48</v>
      </c>
    </row>
    <row r="276" spans="1:154" ht="12.75" customHeight="1" x14ac:dyDescent="0.2">
      <c r="A276" s="4" t="s">
        <v>752</v>
      </c>
      <c r="B276" s="148" t="s">
        <v>327</v>
      </c>
      <c r="C276" s="149" t="s">
        <v>21</v>
      </c>
      <c r="D276" s="150" t="s">
        <v>675</v>
      </c>
      <c r="E276" s="149" t="s">
        <v>12</v>
      </c>
      <c r="F276" s="11">
        <v>9</v>
      </c>
      <c r="G276" s="11">
        <v>4</v>
      </c>
      <c r="H276" s="11">
        <v>144</v>
      </c>
      <c r="I276" s="11">
        <v>144</v>
      </c>
      <c r="J276" s="11">
        <v>366</v>
      </c>
      <c r="K276" s="11">
        <v>409</v>
      </c>
      <c r="L276" s="11">
        <v>4</v>
      </c>
      <c r="M276" s="84">
        <v>925</v>
      </c>
      <c r="N276" s="84">
        <v>1268</v>
      </c>
      <c r="O276" s="84">
        <v>0</v>
      </c>
      <c r="P276" s="135">
        <v>1070.8</v>
      </c>
      <c r="Q276" s="135">
        <v>902.2</v>
      </c>
      <c r="R276" s="133">
        <v>0</v>
      </c>
      <c r="S276" s="133">
        <f t="shared" si="206"/>
        <v>1973</v>
      </c>
      <c r="T276" s="134">
        <v>925</v>
      </c>
      <c r="U276" s="130">
        <v>2.44</v>
      </c>
      <c r="V276" s="131">
        <v>1.9800000000000002E-2</v>
      </c>
      <c r="W276" s="131">
        <v>1.9800000000000002E-2</v>
      </c>
      <c r="X276" s="132">
        <v>1.32E-3</v>
      </c>
      <c r="Y276" s="131">
        <v>3.9699999999999999E-2</v>
      </c>
      <c r="Z276" s="29">
        <v>7841.5</v>
      </c>
      <c r="AA276" s="34"/>
      <c r="AB276" s="9">
        <f t="shared" si="176"/>
        <v>7841.5</v>
      </c>
      <c r="AC276" s="9">
        <f t="shared" si="184"/>
        <v>49636.7</v>
      </c>
      <c r="AD276" s="9">
        <v>2.56</v>
      </c>
      <c r="AE276" s="9">
        <v>5.15</v>
      </c>
      <c r="AF276" s="21">
        <f>2.48-AJ276</f>
        <v>2.3199999999999998</v>
      </c>
      <c r="AG276" s="18">
        <f>0.61-AQ276</f>
        <v>0.56000000000000005</v>
      </c>
      <c r="AH276" s="9">
        <v>2.78</v>
      </c>
      <c r="AI276" s="13">
        <v>1216</v>
      </c>
      <c r="AJ276" s="21">
        <f t="shared" si="178"/>
        <v>0.16</v>
      </c>
      <c r="AK276" s="9">
        <v>2.21</v>
      </c>
      <c r="AL276" s="9">
        <v>0.19</v>
      </c>
      <c r="AM276" s="9">
        <v>7.0000000000000007E-2</v>
      </c>
      <c r="AN276" s="13"/>
      <c r="AO276" s="13">
        <v>844.8</v>
      </c>
      <c r="AP276" s="13">
        <f t="shared" si="208"/>
        <v>5.58</v>
      </c>
      <c r="AQ276" s="18">
        <f t="shared" si="179"/>
        <v>0.05</v>
      </c>
      <c r="AR276" s="9">
        <v>0.56999999999999995</v>
      </c>
      <c r="AS276" s="9">
        <v>0.09</v>
      </c>
      <c r="AT276" s="9">
        <v>7.0000000000000007E-2</v>
      </c>
      <c r="AU276" s="9">
        <v>3.39</v>
      </c>
      <c r="AV276" s="9">
        <v>0.18</v>
      </c>
      <c r="AW276" s="9">
        <f>1.51+0.3+0.25</f>
        <v>2.06</v>
      </c>
      <c r="AX276" s="9">
        <f>2.1+0.4</f>
        <v>2.5</v>
      </c>
      <c r="AY276" s="151">
        <f t="shared" si="209"/>
        <v>24.91</v>
      </c>
      <c r="AZ276" s="152">
        <v>7798.3</v>
      </c>
      <c r="BA276" s="152">
        <v>0</v>
      </c>
      <c r="BB276" s="152">
        <f t="shared" si="177"/>
        <v>7798.3</v>
      </c>
      <c r="BC276" s="152">
        <v>24.91</v>
      </c>
      <c r="BD276" s="13">
        <f t="shared" si="207"/>
        <v>0</v>
      </c>
      <c r="BE276" s="9">
        <f t="shared" si="185"/>
        <v>195331.77</v>
      </c>
      <c r="BF276" s="9">
        <v>24.91</v>
      </c>
      <c r="BG276" s="10">
        <v>44409</v>
      </c>
      <c r="BH276" s="9">
        <f t="shared" si="186"/>
        <v>20074.240000000002</v>
      </c>
      <c r="BI276" s="9">
        <f t="shared" si="187"/>
        <v>40383.730000000003</v>
      </c>
      <c r="BJ276" s="9">
        <f t="shared" si="188"/>
        <v>18192.28</v>
      </c>
      <c r="BK276" s="9">
        <f t="shared" si="189"/>
        <v>4391.24</v>
      </c>
      <c r="BL276" s="9">
        <f t="shared" si="190"/>
        <v>21799.37</v>
      </c>
      <c r="BM276" s="9">
        <f t="shared" si="191"/>
        <v>1254.6400000000001</v>
      </c>
      <c r="BN276" s="9">
        <f t="shared" si="192"/>
        <v>17329.72</v>
      </c>
      <c r="BO276" s="9">
        <f t="shared" si="193"/>
        <v>1489.89</v>
      </c>
      <c r="BP276" s="9">
        <f t="shared" si="194"/>
        <v>548.91</v>
      </c>
      <c r="BQ276" s="9">
        <f t="shared" si="195"/>
        <v>392.08</v>
      </c>
      <c r="BR276" s="9">
        <f t="shared" si="196"/>
        <v>4469.66</v>
      </c>
      <c r="BS276" s="9">
        <f t="shared" si="197"/>
        <v>705.74</v>
      </c>
      <c r="BT276" s="9">
        <f t="shared" si="198"/>
        <v>548.91</v>
      </c>
      <c r="BU276" s="9">
        <f t="shared" si="199"/>
        <v>26582.69</v>
      </c>
      <c r="BV276" s="9">
        <f t="shared" si="200"/>
        <v>1411.47</v>
      </c>
      <c r="BW276" s="9">
        <f t="shared" si="201"/>
        <v>16153.49</v>
      </c>
      <c r="BX276" s="9">
        <f t="shared" si="202"/>
        <v>19603.75</v>
      </c>
      <c r="BY276" s="17">
        <f t="shared" si="203"/>
        <v>195331.81</v>
      </c>
      <c r="BZ276" s="17">
        <v>2.63</v>
      </c>
      <c r="CA276" s="17">
        <v>0.06</v>
      </c>
      <c r="CB276" s="17">
        <v>0.39</v>
      </c>
      <c r="CC276" s="27">
        <v>7.0000000000000007E-2</v>
      </c>
      <c r="CD276" s="29">
        <v>6.33</v>
      </c>
      <c r="CE276" s="9">
        <v>15013.41</v>
      </c>
      <c r="CF276" s="9"/>
      <c r="CG276" s="9">
        <v>0</v>
      </c>
      <c r="CH276" s="9">
        <v>259.12</v>
      </c>
      <c r="CI276" s="9">
        <f>IF(CE276&gt;0,CE276/AB276,0)</f>
        <v>1.91</v>
      </c>
      <c r="CJ276" s="9">
        <f>IF(CF276&gt;0,CF276/AB276,0)</f>
        <v>0</v>
      </c>
      <c r="CK276" s="13">
        <f>IF(CG276&gt;0,CG276/AB276,0)</f>
        <v>0</v>
      </c>
      <c r="CL276" s="13">
        <f>IF(CH276&gt;0,CH276/AB276,0)</f>
        <v>0.03</v>
      </c>
      <c r="CM276" s="13">
        <v>195331.94</v>
      </c>
      <c r="CN276" s="13">
        <v>22661.85</v>
      </c>
      <c r="CO276" s="13">
        <v>76376.179999999993</v>
      </c>
      <c r="CP276" s="13">
        <v>0</v>
      </c>
      <c r="CQ276" s="13">
        <v>235.21</v>
      </c>
      <c r="CR276" s="13">
        <v>224348.2</v>
      </c>
      <c r="CS276" s="13">
        <v>25827.38</v>
      </c>
      <c r="CT276" s="13">
        <v>39254.959999999999</v>
      </c>
      <c r="CU276" s="13">
        <v>107.21</v>
      </c>
      <c r="CV276" s="13">
        <v>322.64999999999998</v>
      </c>
      <c r="CW276" s="202">
        <v>6832</v>
      </c>
      <c r="CX276" s="200">
        <v>3920</v>
      </c>
      <c r="CY276" s="202">
        <v>56005</v>
      </c>
      <c r="CZ276" s="202">
        <v>6800</v>
      </c>
      <c r="DA276" s="202">
        <v>4</v>
      </c>
      <c r="DB276" s="202"/>
      <c r="DC276" s="202"/>
      <c r="DD276" s="461"/>
      <c r="DE276" s="256"/>
      <c r="DF276" s="204">
        <v>1216</v>
      </c>
      <c r="DG276" s="204"/>
      <c r="DH276" s="204"/>
      <c r="DI276" s="204"/>
      <c r="DJ276" s="202"/>
      <c r="DK276" s="202">
        <v>17200</v>
      </c>
      <c r="DL276" s="202"/>
      <c r="DM276" s="202"/>
      <c r="DN276" s="202"/>
      <c r="DO276" s="202"/>
      <c r="DP276" s="202"/>
      <c r="DQ276" s="202"/>
      <c r="DR276" s="202"/>
      <c r="DS276" s="202"/>
      <c r="DT276" s="254"/>
      <c r="DU276" s="254"/>
      <c r="DV276" s="202">
        <v>45207</v>
      </c>
      <c r="DW276" s="202"/>
      <c r="DX276" s="202"/>
      <c r="DY276" s="107"/>
      <c r="DZ276" s="107"/>
      <c r="EA276" s="202"/>
      <c r="EB276" s="107"/>
      <c r="EC276" s="202"/>
      <c r="ED276" s="202"/>
      <c r="EE276" s="202"/>
      <c r="EF276" s="229"/>
      <c r="EG276" s="202"/>
      <c r="EH276" s="202"/>
      <c r="EI276" s="202"/>
      <c r="EJ276" s="202"/>
      <c r="EK276" s="202">
        <v>22625.95</v>
      </c>
      <c r="EL276" s="202">
        <v>46853.06</v>
      </c>
      <c r="EM276" s="202">
        <v>0</v>
      </c>
      <c r="EN276" s="202">
        <v>259.12</v>
      </c>
      <c r="EO276" s="202">
        <v>22625.95</v>
      </c>
      <c r="EP276" s="202"/>
      <c r="EQ276" s="202">
        <v>0</v>
      </c>
      <c r="ER276" s="202">
        <v>259.12</v>
      </c>
      <c r="ES276" s="202"/>
      <c r="ET276" s="202"/>
      <c r="EU276" s="202"/>
      <c r="EV276" s="214">
        <v>-16.260000000000002</v>
      </c>
      <c r="EW276" s="240">
        <f t="shared" si="204"/>
        <v>17150.62</v>
      </c>
      <c r="EX276" s="209">
        <f t="shared" si="205"/>
        <v>11162.53</v>
      </c>
    </row>
    <row r="277" spans="1:154" ht="12.75" customHeight="1" x14ac:dyDescent="0.2">
      <c r="A277" s="4" t="s">
        <v>753</v>
      </c>
      <c r="B277" s="156" t="s">
        <v>327</v>
      </c>
      <c r="C277" s="157" t="s">
        <v>62</v>
      </c>
      <c r="D277" s="158" t="s">
        <v>521</v>
      </c>
      <c r="E277" s="157" t="s">
        <v>12</v>
      </c>
      <c r="F277" s="11">
        <v>9</v>
      </c>
      <c r="G277" s="11">
        <v>4</v>
      </c>
      <c r="H277" s="11">
        <v>140</v>
      </c>
      <c r="I277" s="11">
        <v>141</v>
      </c>
      <c r="J277" s="11">
        <v>352</v>
      </c>
      <c r="K277" s="11">
        <v>376</v>
      </c>
      <c r="L277" s="83">
        <v>4</v>
      </c>
      <c r="M277" s="84">
        <v>313</v>
      </c>
      <c r="N277" s="84">
        <v>1157</v>
      </c>
      <c r="O277" s="84">
        <v>0</v>
      </c>
      <c r="P277" s="139">
        <f>430.4+430.1</f>
        <v>860.5</v>
      </c>
      <c r="Q277" s="135">
        <f>9.2+9.6+58.4+62+51.1+969.2</f>
        <v>1159.5</v>
      </c>
      <c r="R277" s="133">
        <v>0</v>
      </c>
      <c r="S277" s="133">
        <f t="shared" si="206"/>
        <v>2020</v>
      </c>
      <c r="T277" s="139">
        <v>856.4</v>
      </c>
      <c r="U277" s="130">
        <v>2.44</v>
      </c>
      <c r="V277" s="131">
        <v>1.9800000000000002E-2</v>
      </c>
      <c r="W277" s="131">
        <v>1.9800000000000002E-2</v>
      </c>
      <c r="X277" s="132">
        <v>1.32E-3</v>
      </c>
      <c r="Y277" s="131">
        <v>3.9699999999999999E-2</v>
      </c>
      <c r="Z277" s="29">
        <v>7747.06</v>
      </c>
      <c r="AA277" s="34"/>
      <c r="AB277" s="9">
        <f t="shared" si="176"/>
        <v>7747.06</v>
      </c>
      <c r="AC277" s="9">
        <f t="shared" si="184"/>
        <v>49038.89</v>
      </c>
      <c r="AD277" s="9">
        <v>2.46</v>
      </c>
      <c r="AE277" s="9">
        <v>4.33</v>
      </c>
      <c r="AF277" s="21">
        <f>2.49-AJ277</f>
        <v>2.35</v>
      </c>
      <c r="AG277" s="18">
        <f>0.61-AQ277</f>
        <v>0.56000000000000005</v>
      </c>
      <c r="AH277" s="9">
        <v>2.78</v>
      </c>
      <c r="AI277" s="13">
        <v>1111</v>
      </c>
      <c r="AJ277" s="21">
        <f t="shared" si="178"/>
        <v>0.14000000000000001</v>
      </c>
      <c r="AK277" s="9">
        <v>2.2400000000000002</v>
      </c>
      <c r="AL277" s="9">
        <v>0.61</v>
      </c>
      <c r="AM277" s="9">
        <v>0.08</v>
      </c>
      <c r="AN277" s="13"/>
      <c r="AO277" s="13">
        <v>844.8</v>
      </c>
      <c r="AP277" s="13">
        <f t="shared" si="208"/>
        <v>5.58</v>
      </c>
      <c r="AQ277" s="18">
        <f t="shared" si="179"/>
        <v>0.05</v>
      </c>
      <c r="AR277" s="9">
        <v>0.56000000000000005</v>
      </c>
      <c r="AS277" s="9">
        <v>0.18</v>
      </c>
      <c r="AT277" s="9">
        <v>7.0000000000000007E-2</v>
      </c>
      <c r="AU277" s="9">
        <v>3.75</v>
      </c>
      <c r="AV277" s="9">
        <v>0.17</v>
      </c>
      <c r="AW277" s="9">
        <f>1.47+0.33+0.26</f>
        <v>2.06</v>
      </c>
      <c r="AX277" s="9">
        <f>2.07+0.44</f>
        <v>2.5099999999999998</v>
      </c>
      <c r="AY277" s="159">
        <f t="shared" si="209"/>
        <v>24.9</v>
      </c>
      <c r="AZ277" s="160">
        <v>7672.4</v>
      </c>
      <c r="BA277" s="160">
        <v>0</v>
      </c>
      <c r="BB277" s="160">
        <f t="shared" si="177"/>
        <v>7672.4</v>
      </c>
      <c r="BC277" s="160">
        <v>24.9</v>
      </c>
      <c r="BD277" s="13">
        <f t="shared" si="207"/>
        <v>0</v>
      </c>
      <c r="BE277" s="9">
        <f t="shared" si="185"/>
        <v>192901.79</v>
      </c>
      <c r="BF277" s="9">
        <v>24.9</v>
      </c>
      <c r="BG277" s="10">
        <v>44409</v>
      </c>
      <c r="BH277" s="9">
        <f t="shared" si="186"/>
        <v>19057.77</v>
      </c>
      <c r="BI277" s="9">
        <f t="shared" si="187"/>
        <v>33544.769999999997</v>
      </c>
      <c r="BJ277" s="9">
        <f t="shared" si="188"/>
        <v>18205.59</v>
      </c>
      <c r="BK277" s="9">
        <f t="shared" si="189"/>
        <v>4338.3500000000004</v>
      </c>
      <c r="BL277" s="9">
        <f t="shared" si="190"/>
        <v>21536.83</v>
      </c>
      <c r="BM277" s="9">
        <f t="shared" si="191"/>
        <v>1084.5899999999999</v>
      </c>
      <c r="BN277" s="9">
        <f t="shared" si="192"/>
        <v>17353.41</v>
      </c>
      <c r="BO277" s="9">
        <f t="shared" si="193"/>
        <v>4725.71</v>
      </c>
      <c r="BP277" s="9">
        <f t="shared" si="194"/>
        <v>619.76</v>
      </c>
      <c r="BQ277" s="9">
        <f t="shared" si="195"/>
        <v>387.35</v>
      </c>
      <c r="BR277" s="9">
        <f t="shared" si="196"/>
        <v>4338.3500000000004</v>
      </c>
      <c r="BS277" s="9">
        <f t="shared" si="197"/>
        <v>1394.47</v>
      </c>
      <c r="BT277" s="9">
        <f t="shared" si="198"/>
        <v>542.29</v>
      </c>
      <c r="BU277" s="9">
        <f t="shared" si="199"/>
        <v>29051.48</v>
      </c>
      <c r="BV277" s="9">
        <f t="shared" si="200"/>
        <v>1317</v>
      </c>
      <c r="BW277" s="9">
        <f t="shared" si="201"/>
        <v>15958.94</v>
      </c>
      <c r="BX277" s="9">
        <f t="shared" si="202"/>
        <v>19445.12</v>
      </c>
      <c r="BY277" s="17">
        <f t="shared" si="203"/>
        <v>192901.78</v>
      </c>
      <c r="BZ277" s="17">
        <v>2.4500000000000002</v>
      </c>
      <c r="CA277" s="17">
        <v>0.06</v>
      </c>
      <c r="CB277" s="17">
        <v>0.37</v>
      </c>
      <c r="CC277" s="27">
        <v>0.06</v>
      </c>
      <c r="CD277" s="29">
        <v>6.33</v>
      </c>
      <c r="CE277" s="9">
        <v>22085.119999999999</v>
      </c>
      <c r="CF277" s="9"/>
      <c r="CG277" s="9">
        <v>7431.6</v>
      </c>
      <c r="CH277" s="9">
        <v>4130.6000000000004</v>
      </c>
      <c r="CI277" s="9">
        <f>IF(CE277&gt;0,CE277/AB277,0)</f>
        <v>2.85</v>
      </c>
      <c r="CJ277" s="9">
        <f>IF(CF277&gt;0,CF277/AB277,0)</f>
        <v>0</v>
      </c>
      <c r="CK277" s="13">
        <f>IF(CG277&gt;0,CG277/AB277,0)</f>
        <v>0.96</v>
      </c>
      <c r="CL277" s="13">
        <f>IF(CH277&gt;0,CH277/AB277,0)</f>
        <v>0.53</v>
      </c>
      <c r="CM277" s="13">
        <v>192901.83</v>
      </c>
      <c r="CN277" s="13">
        <v>12317.74</v>
      </c>
      <c r="CO277" s="13">
        <v>0</v>
      </c>
      <c r="CP277" s="13">
        <v>774.72</v>
      </c>
      <c r="CQ277" s="13">
        <v>619.78</v>
      </c>
      <c r="CR277" s="13">
        <v>162184.54</v>
      </c>
      <c r="CS277" s="13">
        <v>14326.61</v>
      </c>
      <c r="CT277" s="13">
        <v>359.1</v>
      </c>
      <c r="CU277" s="13">
        <v>1615.42</v>
      </c>
      <c r="CV277" s="13">
        <v>1035.3900000000001</v>
      </c>
      <c r="CW277" s="202">
        <v>6750</v>
      </c>
      <c r="CX277" s="200">
        <v>3872</v>
      </c>
      <c r="CY277" s="202">
        <v>51863</v>
      </c>
      <c r="CZ277" s="202">
        <v>8500</v>
      </c>
      <c r="DA277" s="202">
        <v>5</v>
      </c>
      <c r="DB277" s="202"/>
      <c r="DC277" s="202"/>
      <c r="DD277" s="461"/>
      <c r="DE277" s="256"/>
      <c r="DF277" s="204">
        <v>1111</v>
      </c>
      <c r="DG277" s="204"/>
      <c r="DH277" s="204"/>
      <c r="DI277" s="204"/>
      <c r="DJ277" s="202"/>
      <c r="DK277" s="202">
        <v>17200</v>
      </c>
      <c r="DL277" s="202"/>
      <c r="DM277" s="202"/>
      <c r="DN277" s="202"/>
      <c r="DO277" s="202"/>
      <c r="DP277" s="202"/>
      <c r="DQ277" s="202"/>
      <c r="DR277" s="202"/>
      <c r="DS277" s="202"/>
      <c r="DT277" s="254"/>
      <c r="DU277" s="254"/>
      <c r="DV277" s="202">
        <v>44537</v>
      </c>
      <c r="DW277" s="202"/>
      <c r="DX277" s="202"/>
      <c r="DY277" s="107">
        <v>1365</v>
      </c>
      <c r="DZ277" s="107">
        <v>577</v>
      </c>
      <c r="EA277" s="202"/>
      <c r="EB277" s="107"/>
      <c r="EC277" s="202"/>
      <c r="ED277" s="202"/>
      <c r="EE277" s="202"/>
      <c r="EF277" s="229"/>
      <c r="EG277" s="202"/>
      <c r="EH277" s="202"/>
      <c r="EI277" s="202"/>
      <c r="EJ277" s="202"/>
      <c r="EK277" s="202">
        <v>12335.66</v>
      </c>
      <c r="EL277" s="202">
        <v>0</v>
      </c>
      <c r="EM277" s="202">
        <v>783.7</v>
      </c>
      <c r="EN277" s="202">
        <v>650.20000000000005</v>
      </c>
      <c r="EO277" s="202">
        <v>12335.66</v>
      </c>
      <c r="EP277" s="202"/>
      <c r="EQ277" s="202">
        <v>783.7</v>
      </c>
      <c r="ER277" s="202">
        <v>650.20000000000005</v>
      </c>
      <c r="ES277" s="202"/>
      <c r="ET277" s="202"/>
      <c r="EU277" s="202"/>
      <c r="EV277" s="214">
        <v>-14.89</v>
      </c>
      <c r="EW277" s="240">
        <f t="shared" si="204"/>
        <v>16944.060000000001</v>
      </c>
      <c r="EX277" s="209">
        <f t="shared" si="205"/>
        <v>11028.09</v>
      </c>
    </row>
    <row r="278" spans="1:154" ht="12.75" customHeight="1" x14ac:dyDescent="0.2">
      <c r="A278" s="4" t="s">
        <v>754</v>
      </c>
      <c r="B278" s="156" t="s">
        <v>327</v>
      </c>
      <c r="C278" s="157" t="s">
        <v>62</v>
      </c>
      <c r="D278" s="158" t="s">
        <v>600</v>
      </c>
      <c r="E278" s="157" t="s">
        <v>9</v>
      </c>
      <c r="F278" s="11">
        <v>9</v>
      </c>
      <c r="G278" s="11">
        <v>6</v>
      </c>
      <c r="H278" s="11">
        <v>212</v>
      </c>
      <c r="I278" s="11">
        <v>214</v>
      </c>
      <c r="J278" s="11">
        <v>459</v>
      </c>
      <c r="K278" s="11">
        <v>561</v>
      </c>
      <c r="L278" s="83">
        <v>6</v>
      </c>
      <c r="M278" s="84">
        <v>1515</v>
      </c>
      <c r="N278" s="84">
        <v>1612</v>
      </c>
      <c r="O278" s="84">
        <v>0</v>
      </c>
      <c r="P278" s="135">
        <v>1563.7</v>
      </c>
      <c r="Q278" s="135">
        <v>689.9</v>
      </c>
      <c r="R278" s="133">
        <v>0</v>
      </c>
      <c r="S278" s="133">
        <f t="shared" si="206"/>
        <v>2253.6</v>
      </c>
      <c r="T278" s="134">
        <v>1563.7</v>
      </c>
      <c r="U278" s="130">
        <v>2.44</v>
      </c>
      <c r="V278" s="131">
        <v>1.9800000000000002E-2</v>
      </c>
      <c r="W278" s="131">
        <v>1.9800000000000002E-2</v>
      </c>
      <c r="X278" s="132">
        <v>1.32E-3</v>
      </c>
      <c r="Y278" s="131">
        <v>3.9699999999999999E-2</v>
      </c>
      <c r="Z278" s="29">
        <v>11731.4</v>
      </c>
      <c r="AA278" s="34">
        <v>15.3</v>
      </c>
      <c r="AB278" s="9">
        <f t="shared" si="176"/>
        <v>11746.7</v>
      </c>
      <c r="AC278" s="9">
        <f t="shared" si="184"/>
        <v>74356.61</v>
      </c>
      <c r="AD278" s="9">
        <v>2.38</v>
      </c>
      <c r="AE278" s="9">
        <v>4.8</v>
      </c>
      <c r="AF278" s="21">
        <f>2.49-AJ278</f>
        <v>2.36</v>
      </c>
      <c r="AG278" s="18">
        <f>0.61-AQ278</f>
        <v>0.56000000000000005</v>
      </c>
      <c r="AH278" s="9">
        <v>2.78</v>
      </c>
      <c r="AI278" s="13">
        <v>1548</v>
      </c>
      <c r="AJ278" s="21">
        <f t="shared" si="178"/>
        <v>0.13</v>
      </c>
      <c r="AK278" s="9">
        <v>2.21</v>
      </c>
      <c r="AL278" s="9">
        <v>0.19</v>
      </c>
      <c r="AM278" s="9">
        <v>0.05</v>
      </c>
      <c r="AN278" s="13"/>
      <c r="AO278" s="13">
        <v>1267.2</v>
      </c>
      <c r="AP278" s="13">
        <f t="shared" si="208"/>
        <v>5.58</v>
      </c>
      <c r="AQ278" s="18">
        <f t="shared" si="179"/>
        <v>0.05</v>
      </c>
      <c r="AR278" s="9">
        <v>0.52</v>
      </c>
      <c r="AS278" s="9">
        <v>0.06</v>
      </c>
      <c r="AT278" s="9">
        <v>7.0000000000000007E-2</v>
      </c>
      <c r="AU278" s="9">
        <v>3.72</v>
      </c>
      <c r="AV278" s="9">
        <v>0.17</v>
      </c>
      <c r="AW278" s="9">
        <f>1.45+0.33+0.25</f>
        <v>2.0299999999999998</v>
      </c>
      <c r="AX278" s="9">
        <f>2.02+0.44</f>
        <v>2.46</v>
      </c>
      <c r="AY278" s="159">
        <f t="shared" si="209"/>
        <v>24.54</v>
      </c>
      <c r="AZ278" s="160">
        <v>11657.9</v>
      </c>
      <c r="BA278" s="160">
        <v>0</v>
      </c>
      <c r="BB278" s="160">
        <f t="shared" si="177"/>
        <v>11657.9</v>
      </c>
      <c r="BC278" s="160">
        <v>24.54</v>
      </c>
      <c r="BD278" s="13">
        <f t="shared" si="207"/>
        <v>0</v>
      </c>
      <c r="BE278" s="9">
        <f t="shared" si="185"/>
        <v>288264.02</v>
      </c>
      <c r="BF278" s="9">
        <v>24.54</v>
      </c>
      <c r="BG278" s="10">
        <v>44409</v>
      </c>
      <c r="BH278" s="9">
        <f t="shared" si="186"/>
        <v>27957.15</v>
      </c>
      <c r="BI278" s="9">
        <f t="shared" si="187"/>
        <v>56384.160000000003</v>
      </c>
      <c r="BJ278" s="9">
        <f t="shared" si="188"/>
        <v>27722.21</v>
      </c>
      <c r="BK278" s="9">
        <f t="shared" si="189"/>
        <v>6578.15</v>
      </c>
      <c r="BL278" s="9">
        <f t="shared" si="190"/>
        <v>32655.83</v>
      </c>
      <c r="BM278" s="9">
        <f t="shared" si="191"/>
        <v>1527.07</v>
      </c>
      <c r="BN278" s="9">
        <f t="shared" si="192"/>
        <v>25960.21</v>
      </c>
      <c r="BO278" s="9">
        <f t="shared" si="193"/>
        <v>2231.87</v>
      </c>
      <c r="BP278" s="9">
        <f t="shared" si="194"/>
        <v>587.34</v>
      </c>
      <c r="BQ278" s="9">
        <f t="shared" si="195"/>
        <v>587.34</v>
      </c>
      <c r="BR278" s="9">
        <f t="shared" si="196"/>
        <v>6108.28</v>
      </c>
      <c r="BS278" s="9">
        <f t="shared" si="197"/>
        <v>704.8</v>
      </c>
      <c r="BT278" s="9">
        <f t="shared" si="198"/>
        <v>822.27</v>
      </c>
      <c r="BU278" s="9">
        <f t="shared" si="199"/>
        <v>43697.72</v>
      </c>
      <c r="BV278" s="9">
        <f t="shared" si="200"/>
        <v>1996.94</v>
      </c>
      <c r="BW278" s="9">
        <f t="shared" si="201"/>
        <v>23845.8</v>
      </c>
      <c r="BX278" s="9">
        <f t="shared" si="202"/>
        <v>28896.880000000001</v>
      </c>
      <c r="BY278" s="17">
        <f t="shared" si="203"/>
        <v>288264.02</v>
      </c>
      <c r="BZ278" s="17">
        <v>1.81</v>
      </c>
      <c r="CA278" s="17">
        <v>7.0000000000000007E-2</v>
      </c>
      <c r="CB278" s="17">
        <v>0.45</v>
      </c>
      <c r="CC278" s="27">
        <v>0.08</v>
      </c>
      <c r="CD278" s="29">
        <v>6.33</v>
      </c>
      <c r="CE278" s="9"/>
      <c r="CF278" s="9"/>
      <c r="CG278" s="9"/>
      <c r="CH278" s="9"/>
      <c r="CI278" s="9" t="s">
        <v>382</v>
      </c>
      <c r="CJ278" s="9" t="s">
        <v>382</v>
      </c>
      <c r="CK278" s="13" t="s">
        <v>382</v>
      </c>
      <c r="CL278" s="13" t="s">
        <v>382</v>
      </c>
      <c r="CM278" s="13">
        <v>287731.65000000002</v>
      </c>
      <c r="CN278" s="13">
        <v>21222.33</v>
      </c>
      <c r="CO278" s="13">
        <v>5276.7</v>
      </c>
      <c r="CP278" s="13">
        <v>820.95</v>
      </c>
      <c r="CQ278" s="13">
        <v>937.99</v>
      </c>
      <c r="CR278" s="13">
        <v>294912.95</v>
      </c>
      <c r="CS278" s="13">
        <v>21791.75</v>
      </c>
      <c r="CT278" s="13">
        <v>5418.21</v>
      </c>
      <c r="CU278" s="13">
        <v>842.96</v>
      </c>
      <c r="CV278" s="13">
        <v>963.17</v>
      </c>
      <c r="CW278" s="202">
        <v>10236</v>
      </c>
      <c r="CX278" s="200">
        <v>5872</v>
      </c>
      <c r="CY278" s="202">
        <v>78228</v>
      </c>
      <c r="CZ278" s="202">
        <v>6800</v>
      </c>
      <c r="DA278" s="202">
        <v>4</v>
      </c>
      <c r="DB278" s="202"/>
      <c r="DC278" s="202"/>
      <c r="DD278" s="461"/>
      <c r="DE278" s="256"/>
      <c r="DF278" s="204">
        <v>1548</v>
      </c>
      <c r="DG278" s="204"/>
      <c r="DH278" s="204"/>
      <c r="DI278" s="204"/>
      <c r="DJ278" s="202"/>
      <c r="DK278" s="202">
        <v>25800</v>
      </c>
      <c r="DL278" s="202"/>
      <c r="DM278" s="202"/>
      <c r="DN278" s="202"/>
      <c r="DO278" s="202"/>
      <c r="DP278" s="202"/>
      <c r="DQ278" s="202"/>
      <c r="DR278" s="202"/>
      <c r="DS278" s="202"/>
      <c r="DT278" s="254"/>
      <c r="DU278" s="254"/>
      <c r="DV278" s="202">
        <v>67648</v>
      </c>
      <c r="DW278" s="202"/>
      <c r="DX278" s="202"/>
      <c r="DY278" s="107">
        <v>1365</v>
      </c>
      <c r="DZ278" s="107">
        <v>577</v>
      </c>
      <c r="EA278" s="202">
        <f>8850.78+633.69</f>
        <v>9484.4699999999993</v>
      </c>
      <c r="EB278" s="107"/>
      <c r="EC278" s="202"/>
      <c r="ED278" s="202"/>
      <c r="EE278" s="202"/>
      <c r="EF278" s="229"/>
      <c r="EG278" s="202"/>
      <c r="EH278" s="202"/>
      <c r="EI278" s="202"/>
      <c r="EJ278" s="202"/>
      <c r="EK278" s="202">
        <v>11475.33</v>
      </c>
      <c r="EL278" s="202">
        <v>79204.490000000005</v>
      </c>
      <c r="EM278" s="202">
        <v>0</v>
      </c>
      <c r="EN278" s="202">
        <v>438.04</v>
      </c>
      <c r="EO278" s="202">
        <v>11475.33</v>
      </c>
      <c r="EP278" s="202"/>
      <c r="EQ278" s="202">
        <v>0</v>
      </c>
      <c r="ER278" s="202">
        <v>438.04</v>
      </c>
      <c r="ES278" s="202"/>
      <c r="ET278" s="202"/>
      <c r="EU278" s="202"/>
      <c r="EV278" s="214">
        <v>-28.97</v>
      </c>
      <c r="EW278" s="240">
        <f t="shared" si="204"/>
        <v>25691.91</v>
      </c>
      <c r="EX278" s="209">
        <f t="shared" si="205"/>
        <v>16721.66</v>
      </c>
    </row>
    <row r="279" spans="1:154" ht="12.75" customHeight="1" x14ac:dyDescent="0.2">
      <c r="A279" s="4" t="s">
        <v>755</v>
      </c>
      <c r="B279" s="60" t="s">
        <v>331</v>
      </c>
      <c r="C279" s="61" t="s">
        <v>48</v>
      </c>
      <c r="D279" s="62" t="s">
        <v>676</v>
      </c>
      <c r="E279" s="61" t="s">
        <v>12</v>
      </c>
      <c r="F279" s="11">
        <v>9</v>
      </c>
      <c r="G279" s="11">
        <v>4</v>
      </c>
      <c r="H279" s="11">
        <v>142</v>
      </c>
      <c r="I279" s="11">
        <v>144</v>
      </c>
      <c r="J279" s="11">
        <v>286</v>
      </c>
      <c r="K279" s="11">
        <v>372</v>
      </c>
      <c r="L279" s="11">
        <v>4</v>
      </c>
      <c r="M279" s="84">
        <v>843.3</v>
      </c>
      <c r="N279" s="84">
        <v>1047.5999999999999</v>
      </c>
      <c r="O279" s="84">
        <v>0</v>
      </c>
      <c r="P279" s="139">
        <v>843.3</v>
      </c>
      <c r="Q279" s="139">
        <v>1047.5999999999999</v>
      </c>
      <c r="R279" s="139">
        <v>0</v>
      </c>
      <c r="S279" s="133">
        <f t="shared" si="206"/>
        <v>1890.9</v>
      </c>
      <c r="T279" s="134">
        <v>843.3</v>
      </c>
      <c r="U279" s="130">
        <v>2.44</v>
      </c>
      <c r="V279" s="131">
        <v>1.9800000000000002E-2</v>
      </c>
      <c r="W279" s="131">
        <v>1.9800000000000002E-2</v>
      </c>
      <c r="X279" s="132">
        <v>1.32E-3</v>
      </c>
      <c r="Y279" s="131">
        <v>3.9699999999999999E-2</v>
      </c>
      <c r="Z279" s="29">
        <v>7699.79</v>
      </c>
      <c r="AA279" s="34"/>
      <c r="AB279" s="9">
        <f t="shared" si="176"/>
        <v>7699.79</v>
      </c>
      <c r="AC279" s="9">
        <f t="shared" si="184"/>
        <v>48739.67</v>
      </c>
      <c r="AD279" s="9">
        <v>1.52</v>
      </c>
      <c r="AE279" s="9">
        <v>4.25</v>
      </c>
      <c r="AF279" s="21">
        <f>2.45-AJ279</f>
        <v>2.2999999999999998</v>
      </c>
      <c r="AG279" s="18">
        <f>0.61-AQ279</f>
        <v>0.56000000000000005</v>
      </c>
      <c r="AH279" s="9">
        <v>2.78</v>
      </c>
      <c r="AI279" s="43">
        <v>1117</v>
      </c>
      <c r="AJ279" s="21">
        <f t="shared" si="178"/>
        <v>0.15</v>
      </c>
      <c r="AK279" s="9">
        <v>2.2400000000000002</v>
      </c>
      <c r="AL279" s="9">
        <v>0.2</v>
      </c>
      <c r="AM279" s="9">
        <v>0.12</v>
      </c>
      <c r="AN279" s="13"/>
      <c r="AO279" s="13">
        <v>844.8</v>
      </c>
      <c r="AP279" s="13">
        <f t="shared" si="208"/>
        <v>5.58</v>
      </c>
      <c r="AQ279" s="18">
        <f t="shared" si="179"/>
        <v>0.05</v>
      </c>
      <c r="AR279" s="9">
        <v>0.57999999999999996</v>
      </c>
      <c r="AS279" s="9">
        <v>0.18</v>
      </c>
      <c r="AT279" s="9">
        <v>7.0000000000000007E-2</v>
      </c>
      <c r="AU279" s="9">
        <v>4.8600000000000003</v>
      </c>
      <c r="AV279" s="9">
        <v>0.16</v>
      </c>
      <c r="AW279" s="9">
        <f>1.35+0.26+0.41</f>
        <v>2.02</v>
      </c>
      <c r="AX279" s="9">
        <f>1.89+0.57</f>
        <v>2.46</v>
      </c>
      <c r="AY279" s="63">
        <f t="shared" si="209"/>
        <v>24.5</v>
      </c>
      <c r="AZ279" s="64">
        <v>7687.55</v>
      </c>
      <c r="BA279" s="64">
        <v>0</v>
      </c>
      <c r="BB279" s="64">
        <f t="shared" si="177"/>
        <v>7687.55</v>
      </c>
      <c r="BC279" s="64">
        <v>24.5</v>
      </c>
      <c r="BD279" s="13">
        <f t="shared" si="207"/>
        <v>0</v>
      </c>
      <c r="BE279" s="9">
        <f t="shared" si="185"/>
        <v>188644.86</v>
      </c>
      <c r="BF279" s="9">
        <v>24.5</v>
      </c>
      <c r="BG279" s="10">
        <v>44409</v>
      </c>
      <c r="BH279" s="9">
        <f t="shared" si="186"/>
        <v>11703.68</v>
      </c>
      <c r="BI279" s="9">
        <f t="shared" si="187"/>
        <v>32724.11</v>
      </c>
      <c r="BJ279" s="9">
        <f t="shared" si="188"/>
        <v>17709.52</v>
      </c>
      <c r="BK279" s="9">
        <f t="shared" si="189"/>
        <v>4311.88</v>
      </c>
      <c r="BL279" s="9">
        <f t="shared" si="190"/>
        <v>21405.42</v>
      </c>
      <c r="BM279" s="9">
        <f t="shared" si="191"/>
        <v>1154.97</v>
      </c>
      <c r="BN279" s="9">
        <f t="shared" si="192"/>
        <v>17247.53</v>
      </c>
      <c r="BO279" s="9">
        <f t="shared" si="193"/>
        <v>1539.96</v>
      </c>
      <c r="BP279" s="9">
        <f t="shared" si="194"/>
        <v>923.97</v>
      </c>
      <c r="BQ279" s="9">
        <f t="shared" si="195"/>
        <v>384.99</v>
      </c>
      <c r="BR279" s="9">
        <f t="shared" si="196"/>
        <v>4465.88</v>
      </c>
      <c r="BS279" s="9">
        <f t="shared" si="197"/>
        <v>1385.96</v>
      </c>
      <c r="BT279" s="9">
        <f t="shared" si="198"/>
        <v>538.99</v>
      </c>
      <c r="BU279" s="9">
        <f t="shared" si="199"/>
        <v>37420.980000000003</v>
      </c>
      <c r="BV279" s="9">
        <f t="shared" si="200"/>
        <v>1231.97</v>
      </c>
      <c r="BW279" s="9">
        <f t="shared" si="201"/>
        <v>15553.58</v>
      </c>
      <c r="BX279" s="9">
        <f t="shared" si="202"/>
        <v>18941.48</v>
      </c>
      <c r="BY279" s="17">
        <f t="shared" si="203"/>
        <v>188644.87</v>
      </c>
      <c r="BZ279" s="17">
        <v>2.2999999999999998</v>
      </c>
      <c r="CA279" s="17">
        <v>0.06</v>
      </c>
      <c r="CB279" s="17">
        <v>0.37</v>
      </c>
      <c r="CC279" s="27">
        <v>0.06</v>
      </c>
      <c r="CD279" s="29">
        <v>6.33</v>
      </c>
      <c r="CE279" s="9">
        <v>21623.53</v>
      </c>
      <c r="CF279" s="9"/>
      <c r="CG279" s="9">
        <v>0</v>
      </c>
      <c r="CH279" s="9">
        <v>236.23</v>
      </c>
      <c r="CI279" s="9">
        <f t="shared" ref="CI279:CI287" si="210">IF(CE279&gt;0,CE279/AB279,0)</f>
        <v>2.81</v>
      </c>
      <c r="CJ279" s="9">
        <f t="shared" ref="CJ279:CJ287" si="211">IF(CF279&gt;0,CF279/AB279,0)</f>
        <v>0</v>
      </c>
      <c r="CK279" s="13">
        <f t="shared" ref="CK279:CK287" si="212">IF(CG279&gt;0,CG279/AB279,0)</f>
        <v>0</v>
      </c>
      <c r="CL279" s="13">
        <f t="shared" ref="CL279:CL287" si="213">IF(CH279&gt;0,CH279/AB279,0)</f>
        <v>0.03</v>
      </c>
      <c r="CM279" s="13">
        <v>188301.01</v>
      </c>
      <c r="CN279" s="13">
        <v>17712.740000000002</v>
      </c>
      <c r="CO279" s="13">
        <v>0.52</v>
      </c>
      <c r="CP279" s="13">
        <v>0.08</v>
      </c>
      <c r="CQ279" s="13">
        <v>231.07</v>
      </c>
      <c r="CR279" s="13">
        <v>186506.47</v>
      </c>
      <c r="CS279" s="13">
        <v>14654.8</v>
      </c>
      <c r="CT279" s="13">
        <v>358.8</v>
      </c>
      <c r="CU279" s="13">
        <v>58.15</v>
      </c>
      <c r="CV279" s="13">
        <v>229.78</v>
      </c>
      <c r="CW279" s="202">
        <v>6707</v>
      </c>
      <c r="CX279" s="200">
        <v>3848</v>
      </c>
      <c r="CY279" s="202"/>
      <c r="CZ279" s="202"/>
      <c r="DA279" s="202"/>
      <c r="DB279" s="202"/>
      <c r="DC279" s="202"/>
      <c r="DD279" s="461"/>
      <c r="DE279" s="256"/>
      <c r="DF279" s="202"/>
      <c r="DG279" s="202"/>
      <c r="DH279" s="202"/>
      <c r="DI279" s="204">
        <v>1117</v>
      </c>
      <c r="DJ279" s="107">
        <f>17200</f>
        <v>17200</v>
      </c>
      <c r="DK279" s="202"/>
      <c r="DL279" s="202"/>
      <c r="DM279" s="202"/>
      <c r="DN279" s="202"/>
      <c r="DO279" s="202"/>
      <c r="DP279" s="202">
        <v>43434</v>
      </c>
      <c r="DQ279" s="202">
        <v>1870</v>
      </c>
      <c r="DR279" s="202">
        <v>1.1000000000000001</v>
      </c>
      <c r="DS279" s="202"/>
      <c r="DT279" s="254"/>
      <c r="DU279" s="254"/>
      <c r="DV279" s="202"/>
      <c r="DW279" s="202">
        <v>35949</v>
      </c>
      <c r="DX279" s="202"/>
      <c r="DY279" s="107">
        <v>1365</v>
      </c>
      <c r="DZ279" s="107">
        <v>942</v>
      </c>
      <c r="EA279" s="202">
        <f>484.38+439.55</f>
        <v>923.93</v>
      </c>
      <c r="EB279" s="107"/>
      <c r="EC279" s="202"/>
      <c r="ED279" s="202"/>
      <c r="EE279" s="202"/>
      <c r="EF279" s="229"/>
      <c r="EG279" s="202"/>
      <c r="EH279" s="202"/>
      <c r="EI279" s="202"/>
      <c r="EJ279" s="202"/>
      <c r="EK279" s="202">
        <v>7822.12</v>
      </c>
      <c r="EL279" s="202">
        <v>0</v>
      </c>
      <c r="EM279" s="202">
        <v>0</v>
      </c>
      <c r="EN279" s="202">
        <v>236.23</v>
      </c>
      <c r="EO279" s="202">
        <v>7822.12</v>
      </c>
      <c r="EP279" s="202"/>
      <c r="EQ279" s="202">
        <v>0</v>
      </c>
      <c r="ER279" s="202">
        <v>236.23</v>
      </c>
      <c r="ES279" s="202"/>
      <c r="ET279" s="202"/>
      <c r="EU279" s="202"/>
      <c r="EV279" s="214">
        <v>-14.63</v>
      </c>
      <c r="EW279" s="240">
        <f t="shared" si="204"/>
        <v>16840.669999999998</v>
      </c>
      <c r="EX279" s="209">
        <f t="shared" si="205"/>
        <v>10960.81</v>
      </c>
    </row>
    <row r="280" spans="1:154" ht="12.75" customHeight="1" x14ac:dyDescent="0.2">
      <c r="A280" s="4" t="s">
        <v>756</v>
      </c>
      <c r="B280" s="78" t="s">
        <v>333</v>
      </c>
      <c r="C280" s="79" t="s">
        <v>8</v>
      </c>
      <c r="D280" s="80" t="s">
        <v>528</v>
      </c>
      <c r="E280" s="79" t="s">
        <v>12</v>
      </c>
      <c r="F280" s="11">
        <v>9</v>
      </c>
      <c r="G280" s="11">
        <v>1</v>
      </c>
      <c r="H280" s="11">
        <v>54</v>
      </c>
      <c r="I280" s="11">
        <v>0</v>
      </c>
      <c r="J280" s="11">
        <v>110</v>
      </c>
      <c r="K280" s="11">
        <v>134</v>
      </c>
      <c r="L280" s="83">
        <v>1</v>
      </c>
      <c r="M280" s="84">
        <v>269</v>
      </c>
      <c r="N280" s="84">
        <v>384</v>
      </c>
      <c r="O280" s="84">
        <v>0</v>
      </c>
      <c r="P280" s="139">
        <v>269</v>
      </c>
      <c r="Q280" s="139">
        <v>384</v>
      </c>
      <c r="R280" s="139">
        <v>0</v>
      </c>
      <c r="S280" s="133">
        <f t="shared" si="206"/>
        <v>653</v>
      </c>
      <c r="T280" s="134">
        <v>269</v>
      </c>
      <c r="U280" s="130">
        <v>2.44</v>
      </c>
      <c r="V280" s="131">
        <v>1.9800000000000002E-2</v>
      </c>
      <c r="W280" s="131">
        <v>1.9800000000000002E-2</v>
      </c>
      <c r="X280" s="132">
        <v>1.32E-3</v>
      </c>
      <c r="Y280" s="131">
        <v>3.9699999999999999E-2</v>
      </c>
      <c r="Z280" s="29">
        <v>2303.31</v>
      </c>
      <c r="AA280" s="34"/>
      <c r="AB280" s="9">
        <f t="shared" si="176"/>
        <v>2303.31</v>
      </c>
      <c r="AC280" s="9">
        <f t="shared" si="184"/>
        <v>14579.95</v>
      </c>
      <c r="AD280" s="9">
        <v>1.5</v>
      </c>
      <c r="AE280" s="9">
        <v>4.88</v>
      </c>
      <c r="AF280" s="21">
        <f>2.47-AJ280</f>
        <v>2.31</v>
      </c>
      <c r="AG280" s="18">
        <f>0.6-AQ280</f>
        <v>0.54</v>
      </c>
      <c r="AH280" s="9">
        <v>2.77</v>
      </c>
      <c r="AI280" s="43">
        <v>369</v>
      </c>
      <c r="AJ280" s="21">
        <f t="shared" si="178"/>
        <v>0.16</v>
      </c>
      <c r="AK280" s="9">
        <v>1.87</v>
      </c>
      <c r="AL280" s="9">
        <v>0.16</v>
      </c>
      <c r="AM280" s="9">
        <v>0.25</v>
      </c>
      <c r="AN280" s="13"/>
      <c r="AO280" s="13">
        <v>305.89999999999998</v>
      </c>
      <c r="AP280" s="13">
        <f t="shared" si="208"/>
        <v>5.58</v>
      </c>
      <c r="AQ280" s="18">
        <f t="shared" si="179"/>
        <v>0.06</v>
      </c>
      <c r="AR280" s="9">
        <v>0.76</v>
      </c>
      <c r="AS280" s="9">
        <v>0.59</v>
      </c>
      <c r="AT280" s="9">
        <v>7.0000000000000007E-2</v>
      </c>
      <c r="AU280" s="9">
        <v>3.67</v>
      </c>
      <c r="AV280" s="9">
        <v>0.17</v>
      </c>
      <c r="AW280" s="9">
        <f>1.43+0.32+0.33</f>
        <v>2.08</v>
      </c>
      <c r="AX280" s="9">
        <f>2.02+0.44</f>
        <v>2.46</v>
      </c>
      <c r="AY280" s="81">
        <f t="shared" si="209"/>
        <v>24.3</v>
      </c>
      <c r="AZ280" s="82">
        <v>2303.6</v>
      </c>
      <c r="BA280" s="82">
        <v>0</v>
      </c>
      <c r="BB280" s="82">
        <f t="shared" si="177"/>
        <v>2303.6</v>
      </c>
      <c r="BC280" s="82">
        <v>24.3</v>
      </c>
      <c r="BD280" s="13">
        <f t="shared" si="207"/>
        <v>0</v>
      </c>
      <c r="BE280" s="9">
        <f t="shared" si="185"/>
        <v>55970.43</v>
      </c>
      <c r="BF280" s="9">
        <v>24.3</v>
      </c>
      <c r="BG280" s="10">
        <v>44409</v>
      </c>
      <c r="BH280" s="9">
        <f t="shared" si="186"/>
        <v>3454.97</v>
      </c>
      <c r="BI280" s="9">
        <f t="shared" si="187"/>
        <v>11240.15</v>
      </c>
      <c r="BJ280" s="9">
        <f t="shared" si="188"/>
        <v>5320.65</v>
      </c>
      <c r="BK280" s="9">
        <f t="shared" si="189"/>
        <v>1243.79</v>
      </c>
      <c r="BL280" s="9">
        <f t="shared" si="190"/>
        <v>6380.17</v>
      </c>
      <c r="BM280" s="9">
        <f t="shared" si="191"/>
        <v>368.53</v>
      </c>
      <c r="BN280" s="9">
        <f t="shared" si="192"/>
        <v>4307.1899999999996</v>
      </c>
      <c r="BO280" s="9">
        <f t="shared" si="193"/>
        <v>368.53</v>
      </c>
      <c r="BP280" s="9">
        <f t="shared" si="194"/>
        <v>575.83000000000004</v>
      </c>
      <c r="BQ280" s="9">
        <f t="shared" si="195"/>
        <v>138.19999999999999</v>
      </c>
      <c r="BR280" s="9">
        <f t="shared" si="196"/>
        <v>1750.52</v>
      </c>
      <c r="BS280" s="9">
        <f t="shared" si="197"/>
        <v>1358.95</v>
      </c>
      <c r="BT280" s="9">
        <f t="shared" si="198"/>
        <v>161.22999999999999</v>
      </c>
      <c r="BU280" s="9">
        <f t="shared" si="199"/>
        <v>8453.15</v>
      </c>
      <c r="BV280" s="9">
        <f t="shared" si="200"/>
        <v>391.56</v>
      </c>
      <c r="BW280" s="9">
        <f t="shared" si="201"/>
        <v>4790.88</v>
      </c>
      <c r="BX280" s="9">
        <f t="shared" si="202"/>
        <v>5666.14</v>
      </c>
      <c r="BY280" s="17">
        <f t="shared" si="203"/>
        <v>55970.44</v>
      </c>
      <c r="BZ280" s="17">
        <v>2.65</v>
      </c>
      <c r="CA280" s="17">
        <v>0.06</v>
      </c>
      <c r="CB280" s="17">
        <v>0.39</v>
      </c>
      <c r="CC280" s="27">
        <v>7.0000000000000007E-2</v>
      </c>
      <c r="CD280" s="29">
        <v>6.33</v>
      </c>
      <c r="CE280" s="9">
        <v>1818.22</v>
      </c>
      <c r="CF280" s="9"/>
      <c r="CG280" s="9">
        <v>0</v>
      </c>
      <c r="CH280" s="9">
        <v>75.36</v>
      </c>
      <c r="CI280" s="9">
        <f t="shared" si="210"/>
        <v>0.79</v>
      </c>
      <c r="CJ280" s="9">
        <f t="shared" si="211"/>
        <v>0</v>
      </c>
      <c r="CK280" s="13">
        <f t="shared" si="212"/>
        <v>0</v>
      </c>
      <c r="CL280" s="13">
        <f t="shared" si="213"/>
        <v>0.03</v>
      </c>
      <c r="CM280" s="13">
        <v>55970.43</v>
      </c>
      <c r="CN280" s="13">
        <v>0</v>
      </c>
      <c r="CO280" s="13">
        <v>0</v>
      </c>
      <c r="CP280" s="13">
        <v>207.33</v>
      </c>
      <c r="CQ280" s="13">
        <v>184.25</v>
      </c>
      <c r="CR280" s="13">
        <v>52545.83</v>
      </c>
      <c r="CS280" s="13">
        <v>4300.53</v>
      </c>
      <c r="CT280" s="13">
        <v>142.33000000000001</v>
      </c>
      <c r="CU280" s="13">
        <v>82.45</v>
      </c>
      <c r="CV280" s="13">
        <v>113.64</v>
      </c>
      <c r="CW280" s="202">
        <v>2007</v>
      </c>
      <c r="CX280" s="200">
        <v>1151</v>
      </c>
      <c r="CY280" s="202"/>
      <c r="CZ280" s="202"/>
      <c r="DA280" s="202"/>
      <c r="DB280" s="202"/>
      <c r="DC280" s="202"/>
      <c r="DD280" s="461"/>
      <c r="DE280" s="256"/>
      <c r="DF280" s="202"/>
      <c r="DG280" s="202"/>
      <c r="DH280" s="202"/>
      <c r="DI280" s="204">
        <v>369</v>
      </c>
      <c r="DJ280" s="202">
        <v>4300</v>
      </c>
      <c r="DK280" s="202"/>
      <c r="DL280" s="202"/>
      <c r="DM280" s="202">
        <v>14958</v>
      </c>
      <c r="DN280" s="202">
        <v>1411</v>
      </c>
      <c r="DO280" s="202">
        <v>0.83</v>
      </c>
      <c r="DP280" s="202"/>
      <c r="DQ280" s="202"/>
      <c r="DR280" s="202"/>
      <c r="DS280" s="202"/>
      <c r="DT280" s="254"/>
      <c r="DU280" s="254"/>
      <c r="DV280" s="202"/>
      <c r="DW280" s="202">
        <v>10622</v>
      </c>
      <c r="DX280" s="202"/>
      <c r="DY280" s="107"/>
      <c r="DZ280" s="107"/>
      <c r="EA280" s="202"/>
      <c r="EB280" s="107"/>
      <c r="EC280" s="202"/>
      <c r="ED280" s="202"/>
      <c r="EE280" s="202"/>
      <c r="EF280" s="229"/>
      <c r="EG280" s="202"/>
      <c r="EH280" s="202"/>
      <c r="EI280" s="202"/>
      <c r="EJ280" s="202"/>
      <c r="EK280" s="202">
        <v>0</v>
      </c>
      <c r="EL280" s="202">
        <v>0</v>
      </c>
      <c r="EM280" s="202">
        <v>216.19</v>
      </c>
      <c r="EN280" s="202">
        <v>188.54</v>
      </c>
      <c r="EO280" s="202">
        <v>0</v>
      </c>
      <c r="EP280" s="202"/>
      <c r="EQ280" s="202">
        <v>216.19</v>
      </c>
      <c r="ER280" s="202">
        <v>188.54</v>
      </c>
      <c r="ES280" s="202"/>
      <c r="ET280" s="202"/>
      <c r="EU280" s="202"/>
      <c r="EV280" s="214">
        <v>-3.21</v>
      </c>
      <c r="EW280" s="240">
        <f t="shared" si="204"/>
        <v>5037.71</v>
      </c>
      <c r="EX280" s="209">
        <f t="shared" si="205"/>
        <v>3278.81</v>
      </c>
    </row>
    <row r="281" spans="1:154" ht="12.75" customHeight="1" x14ac:dyDescent="0.2">
      <c r="A281" s="4" t="s">
        <v>757</v>
      </c>
      <c r="B281" s="113" t="s">
        <v>333</v>
      </c>
      <c r="C281" s="114" t="s">
        <v>11</v>
      </c>
      <c r="D281" s="115" t="s">
        <v>678</v>
      </c>
      <c r="E281" s="114" t="s">
        <v>12</v>
      </c>
      <c r="F281" s="11">
        <v>5</v>
      </c>
      <c r="G281" s="11">
        <v>4</v>
      </c>
      <c r="H281" s="11">
        <v>80</v>
      </c>
      <c r="I281" s="11">
        <v>0</v>
      </c>
      <c r="J281" s="11">
        <v>178</v>
      </c>
      <c r="K281" s="11">
        <v>175</v>
      </c>
      <c r="L281" s="11" t="s">
        <v>746</v>
      </c>
      <c r="M281" s="84">
        <v>272</v>
      </c>
      <c r="N281" s="84">
        <v>886</v>
      </c>
      <c r="O281" s="84">
        <v>0</v>
      </c>
      <c r="P281" s="139">
        <v>272</v>
      </c>
      <c r="Q281" s="139">
        <v>886</v>
      </c>
      <c r="R281" s="139">
        <v>0</v>
      </c>
      <c r="S281" s="133">
        <f t="shared" si="206"/>
        <v>1158</v>
      </c>
      <c r="T281" s="134">
        <v>272</v>
      </c>
      <c r="U281" s="130">
        <v>1.53</v>
      </c>
      <c r="V281" s="131">
        <v>1.9800000000000002E-2</v>
      </c>
      <c r="W281" s="131">
        <v>1.9800000000000002E-2</v>
      </c>
      <c r="X281" s="132">
        <v>1.2199999999999999E-3</v>
      </c>
      <c r="Y281" s="131">
        <v>3.95E-2</v>
      </c>
      <c r="Z281" s="29">
        <v>3548.31</v>
      </c>
      <c r="AA281" s="34"/>
      <c r="AB281" s="9">
        <f t="shared" si="176"/>
        <v>3548.31</v>
      </c>
      <c r="AC281" s="9">
        <f t="shared" si="184"/>
        <v>22460.799999999999</v>
      </c>
      <c r="AD281" s="9">
        <v>0.39</v>
      </c>
      <c r="AE281" s="9">
        <v>3.97</v>
      </c>
      <c r="AF281" s="21">
        <f>2.42-AJ281</f>
        <v>2.1800000000000002</v>
      </c>
      <c r="AG281" s="18">
        <f>0.53-AQ281</f>
        <v>0.42</v>
      </c>
      <c r="AH281" s="9">
        <v>2.78</v>
      </c>
      <c r="AI281" s="43">
        <v>851</v>
      </c>
      <c r="AJ281" s="21">
        <f t="shared" si="178"/>
        <v>0.24</v>
      </c>
      <c r="AK281" s="9">
        <v>0</v>
      </c>
      <c r="AL281" s="9">
        <v>0</v>
      </c>
      <c r="AM281" s="9">
        <v>0.32</v>
      </c>
      <c r="AN281" s="13"/>
      <c r="AO281" s="13">
        <v>801.6</v>
      </c>
      <c r="AP281" s="13">
        <f t="shared" si="208"/>
        <v>5.58</v>
      </c>
      <c r="AQ281" s="18">
        <f t="shared" si="179"/>
        <v>0.11</v>
      </c>
      <c r="AR281" s="9">
        <v>0.78</v>
      </c>
      <c r="AS281" s="9">
        <v>0.38</v>
      </c>
      <c r="AT281" s="9">
        <v>7.0000000000000007E-2</v>
      </c>
      <c r="AU281" s="9">
        <v>4.28</v>
      </c>
      <c r="AV281" s="9">
        <v>0.12</v>
      </c>
      <c r="AW281" s="9">
        <f>1.04+0.32+0.38</f>
        <v>1.74</v>
      </c>
      <c r="AX281" s="9">
        <f>1.44+0.5</f>
        <v>1.94</v>
      </c>
      <c r="AY281" s="110">
        <f t="shared" si="209"/>
        <v>19.72</v>
      </c>
      <c r="AZ281" s="111">
        <v>3553.9</v>
      </c>
      <c r="BA281" s="111">
        <v>0</v>
      </c>
      <c r="BB281" s="111">
        <f t="shared" si="177"/>
        <v>3553.9</v>
      </c>
      <c r="BC281" s="111">
        <v>19.72</v>
      </c>
      <c r="BD281" s="13">
        <f t="shared" si="207"/>
        <v>0</v>
      </c>
      <c r="BE281" s="9">
        <f t="shared" si="185"/>
        <v>69972.67</v>
      </c>
      <c r="BF281" s="9">
        <v>19.72</v>
      </c>
      <c r="BG281" s="10">
        <v>44409</v>
      </c>
      <c r="BH281" s="9">
        <f t="shared" si="186"/>
        <v>1383.84</v>
      </c>
      <c r="BI281" s="9">
        <f t="shared" si="187"/>
        <v>14086.79</v>
      </c>
      <c r="BJ281" s="9">
        <f t="shared" si="188"/>
        <v>7735.32</v>
      </c>
      <c r="BK281" s="9">
        <f t="shared" si="189"/>
        <v>1490.29</v>
      </c>
      <c r="BL281" s="9">
        <f t="shared" si="190"/>
        <v>9864.2999999999993</v>
      </c>
      <c r="BM281" s="9">
        <f t="shared" si="191"/>
        <v>851.59</v>
      </c>
      <c r="BN281" s="9">
        <f t="shared" si="192"/>
        <v>0</v>
      </c>
      <c r="BO281" s="9">
        <f t="shared" si="193"/>
        <v>0</v>
      </c>
      <c r="BP281" s="9">
        <f t="shared" si="194"/>
        <v>1135.46</v>
      </c>
      <c r="BQ281" s="9">
        <f t="shared" si="195"/>
        <v>390.31</v>
      </c>
      <c r="BR281" s="9">
        <f t="shared" si="196"/>
        <v>2767.68</v>
      </c>
      <c r="BS281" s="9">
        <f t="shared" si="197"/>
        <v>1348.36</v>
      </c>
      <c r="BT281" s="9">
        <f t="shared" si="198"/>
        <v>248.38</v>
      </c>
      <c r="BU281" s="9">
        <f t="shared" si="199"/>
        <v>15186.77</v>
      </c>
      <c r="BV281" s="9">
        <f t="shared" si="200"/>
        <v>425.8</v>
      </c>
      <c r="BW281" s="9">
        <f t="shared" si="201"/>
        <v>6174.06</v>
      </c>
      <c r="BX281" s="9">
        <f t="shared" si="202"/>
        <v>6883.72</v>
      </c>
      <c r="BY281" s="17">
        <f t="shared" si="203"/>
        <v>69972.67</v>
      </c>
      <c r="BZ281" s="17">
        <v>1.91</v>
      </c>
      <c r="CA281" s="17">
        <v>0.04</v>
      </c>
      <c r="CB281" s="17">
        <v>0.24</v>
      </c>
      <c r="CC281" s="27">
        <v>0.04</v>
      </c>
      <c r="CD281" s="29">
        <v>6.33</v>
      </c>
      <c r="CE281" s="9">
        <v>1090.5899999999999</v>
      </c>
      <c r="CF281" s="9"/>
      <c r="CG281" s="9">
        <v>145.54</v>
      </c>
      <c r="CH281" s="9">
        <v>152.01</v>
      </c>
      <c r="CI281" s="9">
        <f t="shared" si="210"/>
        <v>0.31</v>
      </c>
      <c r="CJ281" s="9">
        <f t="shared" si="211"/>
        <v>0</v>
      </c>
      <c r="CK281" s="13">
        <f t="shared" si="212"/>
        <v>0.04</v>
      </c>
      <c r="CL281" s="13">
        <f t="shared" si="213"/>
        <v>0.04</v>
      </c>
      <c r="CM281" s="13">
        <v>69972.7</v>
      </c>
      <c r="CN281" s="13">
        <v>1206.43</v>
      </c>
      <c r="CO281" s="13">
        <v>0</v>
      </c>
      <c r="CP281" s="13">
        <v>141.94</v>
      </c>
      <c r="CQ281" s="13">
        <v>141.94</v>
      </c>
      <c r="CR281" s="13">
        <v>74192.66</v>
      </c>
      <c r="CS281" s="13">
        <v>8349.94</v>
      </c>
      <c r="CT281" s="13">
        <v>174.61</v>
      </c>
      <c r="CU281" s="13">
        <v>150.47999999999999</v>
      </c>
      <c r="CV281" s="13">
        <v>150.46</v>
      </c>
      <c r="CW281" s="202">
        <v>3087</v>
      </c>
      <c r="CX281" s="200">
        <v>1771</v>
      </c>
      <c r="CY281" s="202"/>
      <c r="CZ281" s="202"/>
      <c r="DA281" s="202"/>
      <c r="DB281" s="202"/>
      <c r="DC281" s="202"/>
      <c r="DD281" s="461"/>
      <c r="DE281" s="256"/>
      <c r="DF281" s="202"/>
      <c r="DG281" s="202"/>
      <c r="DH281" s="202"/>
      <c r="DI281" s="204">
        <v>851</v>
      </c>
      <c r="DJ281" s="202"/>
      <c r="DK281" s="202"/>
      <c r="DL281" s="202"/>
      <c r="DM281" s="202">
        <v>15823</v>
      </c>
      <c r="DN281" s="202">
        <v>2346</v>
      </c>
      <c r="DO281" s="202">
        <v>1.38</v>
      </c>
      <c r="DP281" s="202"/>
      <c r="DQ281" s="202"/>
      <c r="DR281" s="202"/>
      <c r="DS281" s="202">
        <v>16650</v>
      </c>
      <c r="DT281" s="254">
        <v>552</v>
      </c>
      <c r="DU281" s="254">
        <v>285</v>
      </c>
      <c r="DV281" s="202"/>
      <c r="DW281" s="202">
        <v>16136</v>
      </c>
      <c r="DX281" s="202"/>
      <c r="DY281" s="107">
        <v>1365</v>
      </c>
      <c r="DZ281" s="107"/>
      <c r="EA281" s="202"/>
      <c r="EB281" s="107"/>
      <c r="EC281" s="202"/>
      <c r="ED281" s="202"/>
      <c r="EE281" s="202"/>
      <c r="EF281" s="229"/>
      <c r="EG281" s="202"/>
      <c r="EH281" s="202"/>
      <c r="EI281" s="202"/>
      <c r="EJ281" s="202"/>
      <c r="EK281" s="202">
        <v>1218.44</v>
      </c>
      <c r="EL281" s="202">
        <v>0</v>
      </c>
      <c r="EM281" s="202">
        <v>145.54</v>
      </c>
      <c r="EN281" s="202">
        <v>152.01</v>
      </c>
      <c r="EO281" s="202">
        <v>1218.44</v>
      </c>
      <c r="EP281" s="202"/>
      <c r="EQ281" s="202">
        <v>145.54</v>
      </c>
      <c r="ER281" s="202">
        <v>152.01</v>
      </c>
      <c r="ES281" s="202"/>
      <c r="ET281" s="202"/>
      <c r="EU281" s="202"/>
      <c r="EV281" s="214">
        <v>2.15</v>
      </c>
      <c r="EW281" s="240">
        <f t="shared" si="204"/>
        <v>7760.72</v>
      </c>
      <c r="EX281" s="209">
        <f t="shared" si="205"/>
        <v>5051.09</v>
      </c>
    </row>
    <row r="282" spans="1:154" ht="12.75" customHeight="1" x14ac:dyDescent="0.2">
      <c r="A282" s="4" t="s">
        <v>758</v>
      </c>
      <c r="B282" s="117" t="s">
        <v>333</v>
      </c>
      <c r="C282" s="118" t="s">
        <v>67</v>
      </c>
      <c r="D282" s="119" t="s">
        <v>523</v>
      </c>
      <c r="E282" s="118" t="s">
        <v>12</v>
      </c>
      <c r="F282" s="11">
        <v>5</v>
      </c>
      <c r="G282" s="11">
        <v>4</v>
      </c>
      <c r="H282" s="11">
        <v>80</v>
      </c>
      <c r="I282" s="11">
        <v>0</v>
      </c>
      <c r="J282" s="11">
        <v>159</v>
      </c>
      <c r="K282" s="11">
        <v>178</v>
      </c>
      <c r="L282" s="11" t="s">
        <v>746</v>
      </c>
      <c r="M282" s="84">
        <v>272</v>
      </c>
      <c r="N282" s="84">
        <v>886</v>
      </c>
      <c r="O282" s="84">
        <v>0</v>
      </c>
      <c r="P282" s="139">
        <v>272</v>
      </c>
      <c r="Q282" s="139">
        <v>886</v>
      </c>
      <c r="R282" s="139">
        <v>0</v>
      </c>
      <c r="S282" s="133">
        <f t="shared" si="206"/>
        <v>1158</v>
      </c>
      <c r="T282" s="134">
        <v>272</v>
      </c>
      <c r="U282" s="130">
        <v>1.53</v>
      </c>
      <c r="V282" s="131">
        <v>1.9800000000000002E-2</v>
      </c>
      <c r="W282" s="131">
        <v>1.9800000000000002E-2</v>
      </c>
      <c r="X282" s="132">
        <v>1.2199999999999999E-3</v>
      </c>
      <c r="Y282" s="131">
        <v>3.95E-2</v>
      </c>
      <c r="Z282" s="29">
        <v>3533.54</v>
      </c>
      <c r="AA282" s="34"/>
      <c r="AB282" s="9">
        <f t="shared" si="176"/>
        <v>3533.54</v>
      </c>
      <c r="AC282" s="9">
        <f t="shared" si="184"/>
        <v>22367.31</v>
      </c>
      <c r="AD282" s="9">
        <v>0.38</v>
      </c>
      <c r="AE282" s="9">
        <v>3.71</v>
      </c>
      <c r="AF282" s="21">
        <f>2.36-AJ282</f>
        <v>2.12</v>
      </c>
      <c r="AG282" s="18">
        <f>0.53-AQ282</f>
        <v>0.42</v>
      </c>
      <c r="AH282" s="9">
        <v>2.78</v>
      </c>
      <c r="AI282" s="43">
        <v>851</v>
      </c>
      <c r="AJ282" s="21">
        <f t="shared" si="178"/>
        <v>0.24</v>
      </c>
      <c r="AK282" s="9">
        <v>0</v>
      </c>
      <c r="AL282" s="9">
        <v>0</v>
      </c>
      <c r="AM282" s="9">
        <v>0.27</v>
      </c>
      <c r="AN282" s="13"/>
      <c r="AO282" s="13">
        <v>801.6</v>
      </c>
      <c r="AP282" s="13">
        <f t="shared" si="208"/>
        <v>5.58</v>
      </c>
      <c r="AQ282" s="18">
        <f t="shared" si="179"/>
        <v>0.11</v>
      </c>
      <c r="AR282" s="9">
        <v>0.78</v>
      </c>
      <c r="AS282" s="9">
        <v>0.39</v>
      </c>
      <c r="AT282" s="9">
        <v>7.0000000000000007E-2</v>
      </c>
      <c r="AU282" s="9">
        <v>4.7</v>
      </c>
      <c r="AV282" s="9">
        <v>0.12</v>
      </c>
      <c r="AW282" s="9">
        <f>1.01+0.32+0.42</f>
        <v>1.75</v>
      </c>
      <c r="AX282" s="9">
        <f>1.39+0.55</f>
        <v>1.94</v>
      </c>
      <c r="AY282" s="120">
        <f t="shared" si="209"/>
        <v>19.78</v>
      </c>
      <c r="AZ282" s="121">
        <v>3542.5</v>
      </c>
      <c r="BA282" s="121">
        <v>0</v>
      </c>
      <c r="BB282" s="121">
        <f t="shared" si="177"/>
        <v>3542.5</v>
      </c>
      <c r="BC282" s="121">
        <v>19.78</v>
      </c>
      <c r="BD282" s="13">
        <f t="shared" si="207"/>
        <v>0</v>
      </c>
      <c r="BE282" s="9">
        <f t="shared" si="185"/>
        <v>69893.42</v>
      </c>
      <c r="BF282" s="9">
        <v>19.78</v>
      </c>
      <c r="BG282" s="10">
        <v>44409</v>
      </c>
      <c r="BH282" s="9">
        <f t="shared" si="186"/>
        <v>1342.75</v>
      </c>
      <c r="BI282" s="9">
        <f t="shared" si="187"/>
        <v>13109.43</v>
      </c>
      <c r="BJ282" s="9">
        <f t="shared" si="188"/>
        <v>7491.1</v>
      </c>
      <c r="BK282" s="9">
        <f t="shared" si="189"/>
        <v>1484.09</v>
      </c>
      <c r="BL282" s="9">
        <f t="shared" si="190"/>
        <v>9823.24</v>
      </c>
      <c r="BM282" s="9">
        <f t="shared" si="191"/>
        <v>848.05</v>
      </c>
      <c r="BN282" s="9">
        <f t="shared" si="192"/>
        <v>0</v>
      </c>
      <c r="BO282" s="9">
        <f t="shared" si="193"/>
        <v>0</v>
      </c>
      <c r="BP282" s="9">
        <f t="shared" si="194"/>
        <v>954.06</v>
      </c>
      <c r="BQ282" s="9">
        <f t="shared" si="195"/>
        <v>388.69</v>
      </c>
      <c r="BR282" s="9">
        <f t="shared" si="196"/>
        <v>2756.16</v>
      </c>
      <c r="BS282" s="9">
        <f t="shared" si="197"/>
        <v>1378.08</v>
      </c>
      <c r="BT282" s="9">
        <f t="shared" si="198"/>
        <v>247.35</v>
      </c>
      <c r="BU282" s="9">
        <f t="shared" si="199"/>
        <v>16607.64</v>
      </c>
      <c r="BV282" s="9">
        <f t="shared" si="200"/>
        <v>424.02</v>
      </c>
      <c r="BW282" s="9">
        <f t="shared" si="201"/>
        <v>6183.7</v>
      </c>
      <c r="BX282" s="9">
        <f t="shared" si="202"/>
        <v>6855.07</v>
      </c>
      <c r="BY282" s="17">
        <f t="shared" si="203"/>
        <v>69893.429999999993</v>
      </c>
      <c r="BZ282" s="17">
        <v>1.92</v>
      </c>
      <c r="CA282" s="17">
        <v>0.04</v>
      </c>
      <c r="CB282" s="17">
        <v>0.24</v>
      </c>
      <c r="CC282" s="27">
        <v>0.04</v>
      </c>
      <c r="CD282" s="29">
        <v>6.33</v>
      </c>
      <c r="CE282" s="9">
        <v>0</v>
      </c>
      <c r="CF282" s="9"/>
      <c r="CG282" s="9">
        <v>0</v>
      </c>
      <c r="CH282" s="9">
        <v>76.2</v>
      </c>
      <c r="CI282" s="9">
        <f t="shared" si="210"/>
        <v>0</v>
      </c>
      <c r="CJ282" s="9">
        <f t="shared" si="211"/>
        <v>0</v>
      </c>
      <c r="CK282" s="13">
        <f t="shared" si="212"/>
        <v>0</v>
      </c>
      <c r="CL282" s="13">
        <f t="shared" si="213"/>
        <v>0.02</v>
      </c>
      <c r="CM282" s="13">
        <v>69893.45</v>
      </c>
      <c r="CN282" s="13">
        <v>883.2</v>
      </c>
      <c r="CO282" s="13">
        <v>0</v>
      </c>
      <c r="CP282" s="13">
        <v>0</v>
      </c>
      <c r="CQ282" s="13">
        <v>70.650000000000006</v>
      </c>
      <c r="CR282" s="13">
        <v>69007.100000000006</v>
      </c>
      <c r="CS282" s="13">
        <v>4188.87</v>
      </c>
      <c r="CT282" s="13">
        <v>150.71</v>
      </c>
      <c r="CU282" s="13">
        <v>52.01</v>
      </c>
      <c r="CV282" s="13">
        <v>88.16</v>
      </c>
      <c r="CW282" s="202">
        <v>3079</v>
      </c>
      <c r="CX282" s="200">
        <v>1766</v>
      </c>
      <c r="CY282" s="202"/>
      <c r="CZ282" s="202"/>
      <c r="DA282" s="202"/>
      <c r="DB282" s="202"/>
      <c r="DC282" s="202"/>
      <c r="DD282" s="461"/>
      <c r="DE282" s="256"/>
      <c r="DF282" s="202"/>
      <c r="DG282" s="202"/>
      <c r="DH282" s="202"/>
      <c r="DI282" s="204">
        <v>851</v>
      </c>
      <c r="DJ282" s="202"/>
      <c r="DK282" s="202"/>
      <c r="DL282" s="202"/>
      <c r="DM282" s="202">
        <v>14856</v>
      </c>
      <c r="DN282" s="202">
        <v>1411</v>
      </c>
      <c r="DO282" s="202">
        <v>0.83</v>
      </c>
      <c r="DP282" s="202"/>
      <c r="DQ282" s="202"/>
      <c r="DR282" s="202"/>
      <c r="DS282" s="202">
        <v>16650</v>
      </c>
      <c r="DT282" s="254">
        <v>552</v>
      </c>
      <c r="DU282" s="254">
        <v>285</v>
      </c>
      <c r="DV282" s="202"/>
      <c r="DW282" s="202">
        <v>15900</v>
      </c>
      <c r="DX282" s="202"/>
      <c r="DY282" s="107">
        <v>1365</v>
      </c>
      <c r="DZ282" s="107">
        <v>942</v>
      </c>
      <c r="EA282" s="202">
        <v>5354.62</v>
      </c>
      <c r="EB282" s="107"/>
      <c r="EC282" s="202"/>
      <c r="ED282" s="202"/>
      <c r="EE282" s="202"/>
      <c r="EF282" s="229"/>
      <c r="EG282" s="202"/>
      <c r="EH282" s="202"/>
      <c r="EI282" s="202"/>
      <c r="EJ282" s="202"/>
      <c r="EK282" s="202">
        <v>885.73</v>
      </c>
      <c r="EL282" s="202">
        <v>0</v>
      </c>
      <c r="EM282" s="202">
        <v>0</v>
      </c>
      <c r="EN282" s="202">
        <v>76.2</v>
      </c>
      <c r="EO282" s="202">
        <v>885.73</v>
      </c>
      <c r="EP282" s="202"/>
      <c r="EQ282" s="202">
        <v>0</v>
      </c>
      <c r="ER282" s="202">
        <v>76.2</v>
      </c>
      <c r="ES282" s="202"/>
      <c r="ET282" s="202"/>
      <c r="EU282" s="202"/>
      <c r="EV282" s="214">
        <v>-3.21</v>
      </c>
      <c r="EW282" s="240">
        <f t="shared" si="204"/>
        <v>7728.42</v>
      </c>
      <c r="EX282" s="209">
        <f t="shared" si="205"/>
        <v>5030.0600000000004</v>
      </c>
    </row>
    <row r="283" spans="1:154" ht="12.75" customHeight="1" x14ac:dyDescent="0.2">
      <c r="A283" s="4" t="s">
        <v>759</v>
      </c>
      <c r="B283" s="117" t="s">
        <v>333</v>
      </c>
      <c r="C283" s="118" t="s">
        <v>67</v>
      </c>
      <c r="D283" s="119" t="s">
        <v>601</v>
      </c>
      <c r="E283" s="118" t="s">
        <v>9</v>
      </c>
      <c r="F283" s="11">
        <v>5</v>
      </c>
      <c r="G283" s="11">
        <v>4</v>
      </c>
      <c r="H283" s="11">
        <v>80</v>
      </c>
      <c r="I283" s="11">
        <v>0</v>
      </c>
      <c r="J283" s="11">
        <v>163</v>
      </c>
      <c r="K283" s="11">
        <v>177</v>
      </c>
      <c r="L283" s="11" t="s">
        <v>746</v>
      </c>
      <c r="M283" s="84">
        <v>278</v>
      </c>
      <c r="N283" s="84">
        <v>876</v>
      </c>
      <c r="O283" s="84">
        <v>0</v>
      </c>
      <c r="P283" s="139">
        <v>278</v>
      </c>
      <c r="Q283" s="139">
        <v>876</v>
      </c>
      <c r="R283" s="139">
        <v>0</v>
      </c>
      <c r="S283" s="133">
        <f t="shared" si="206"/>
        <v>1154</v>
      </c>
      <c r="T283" s="134">
        <v>278</v>
      </c>
      <c r="U283" s="130">
        <v>1.53</v>
      </c>
      <c r="V283" s="131">
        <v>1.9800000000000002E-2</v>
      </c>
      <c r="W283" s="131">
        <v>1.9800000000000002E-2</v>
      </c>
      <c r="X283" s="132">
        <v>1.2199999999999999E-3</v>
      </c>
      <c r="Y283" s="131">
        <v>3.95E-2</v>
      </c>
      <c r="Z283" s="29">
        <v>3535.23</v>
      </c>
      <c r="AA283" s="34"/>
      <c r="AB283" s="9">
        <f t="shared" si="176"/>
        <v>3535.23</v>
      </c>
      <c r="AC283" s="9">
        <f t="shared" si="184"/>
        <v>22378.01</v>
      </c>
      <c r="AD283" s="9">
        <v>0.39</v>
      </c>
      <c r="AE283" s="9">
        <v>3.63</v>
      </c>
      <c r="AF283" s="21">
        <f>2.41-AJ283</f>
        <v>2.17</v>
      </c>
      <c r="AG283" s="18">
        <f>0.53-AQ283</f>
        <v>0.42</v>
      </c>
      <c r="AH283" s="9">
        <v>2.78</v>
      </c>
      <c r="AI283" s="43">
        <v>841</v>
      </c>
      <c r="AJ283" s="21">
        <f t="shared" si="178"/>
        <v>0.24</v>
      </c>
      <c r="AK283" s="9">
        <v>0</v>
      </c>
      <c r="AL283" s="9">
        <v>0</v>
      </c>
      <c r="AM283" s="9">
        <v>0.27</v>
      </c>
      <c r="AN283" s="13"/>
      <c r="AO283" s="13">
        <v>801.6</v>
      </c>
      <c r="AP283" s="13">
        <f t="shared" si="208"/>
        <v>5.58</v>
      </c>
      <c r="AQ283" s="18">
        <f t="shared" si="179"/>
        <v>0.11</v>
      </c>
      <c r="AR283" s="9">
        <v>0.78</v>
      </c>
      <c r="AS283" s="9">
        <v>0.39</v>
      </c>
      <c r="AT283" s="9">
        <v>7.0000000000000007E-2</v>
      </c>
      <c r="AU283" s="9">
        <v>4.72</v>
      </c>
      <c r="AV283" s="9">
        <f>0.12</f>
        <v>0.12</v>
      </c>
      <c r="AW283" s="9">
        <f>1.01+0.42+0.31</f>
        <v>1.74</v>
      </c>
      <c r="AX283" s="9">
        <f>1.39+0.56</f>
        <v>1.95</v>
      </c>
      <c r="AY283" s="120">
        <f t="shared" si="209"/>
        <v>19.78</v>
      </c>
      <c r="AZ283" s="121">
        <v>3535.9</v>
      </c>
      <c r="BA283" s="121">
        <v>0</v>
      </c>
      <c r="BB283" s="121">
        <f t="shared" si="177"/>
        <v>3535.9</v>
      </c>
      <c r="BC283" s="121">
        <v>19.78</v>
      </c>
      <c r="BD283" s="13">
        <f t="shared" si="207"/>
        <v>0</v>
      </c>
      <c r="BE283" s="9">
        <f t="shared" si="185"/>
        <v>69926.850000000006</v>
      </c>
      <c r="BF283" s="9">
        <v>19.78</v>
      </c>
      <c r="BG283" s="10">
        <v>44409</v>
      </c>
      <c r="BH283" s="9">
        <f t="shared" si="186"/>
        <v>1378.74</v>
      </c>
      <c r="BI283" s="9">
        <f t="shared" si="187"/>
        <v>12832.88</v>
      </c>
      <c r="BJ283" s="9">
        <f t="shared" si="188"/>
        <v>7671.45</v>
      </c>
      <c r="BK283" s="9">
        <f t="shared" si="189"/>
        <v>1484.8</v>
      </c>
      <c r="BL283" s="9">
        <f t="shared" si="190"/>
        <v>9827.94</v>
      </c>
      <c r="BM283" s="9">
        <f t="shared" si="191"/>
        <v>848.46</v>
      </c>
      <c r="BN283" s="9">
        <f t="shared" si="192"/>
        <v>0</v>
      </c>
      <c r="BO283" s="9">
        <f t="shared" si="193"/>
        <v>0</v>
      </c>
      <c r="BP283" s="9">
        <f t="shared" si="194"/>
        <v>954.51</v>
      </c>
      <c r="BQ283" s="9">
        <f t="shared" si="195"/>
        <v>388.88</v>
      </c>
      <c r="BR283" s="9">
        <f t="shared" si="196"/>
        <v>2757.48</v>
      </c>
      <c r="BS283" s="9">
        <f t="shared" si="197"/>
        <v>1378.74</v>
      </c>
      <c r="BT283" s="9">
        <f t="shared" si="198"/>
        <v>247.47</v>
      </c>
      <c r="BU283" s="9">
        <f t="shared" si="199"/>
        <v>16686.29</v>
      </c>
      <c r="BV283" s="9">
        <f t="shared" si="200"/>
        <v>424.23</v>
      </c>
      <c r="BW283" s="9">
        <f t="shared" si="201"/>
        <v>6151.3</v>
      </c>
      <c r="BX283" s="9">
        <f t="shared" si="202"/>
        <v>6893.7</v>
      </c>
      <c r="BY283" s="17">
        <f t="shared" si="203"/>
        <v>69926.87</v>
      </c>
      <c r="BZ283" s="17">
        <v>1.91</v>
      </c>
      <c r="CA283" s="17">
        <v>0.04</v>
      </c>
      <c r="CB283" s="17">
        <v>0.25</v>
      </c>
      <c r="CC283" s="27">
        <v>0.04</v>
      </c>
      <c r="CD283" s="29">
        <v>6.33</v>
      </c>
      <c r="CE283" s="9">
        <v>4669.5</v>
      </c>
      <c r="CF283" s="9"/>
      <c r="CG283" s="9">
        <v>0</v>
      </c>
      <c r="CH283" s="9">
        <v>77.88</v>
      </c>
      <c r="CI283" s="9">
        <f t="shared" si="210"/>
        <v>1.32</v>
      </c>
      <c r="CJ283" s="9">
        <f t="shared" si="211"/>
        <v>0</v>
      </c>
      <c r="CK283" s="13">
        <f t="shared" si="212"/>
        <v>0</v>
      </c>
      <c r="CL283" s="13">
        <f t="shared" si="213"/>
        <v>0.02</v>
      </c>
      <c r="CM283" s="13">
        <v>69926.84</v>
      </c>
      <c r="CN283" s="13">
        <v>3111</v>
      </c>
      <c r="CO283" s="13">
        <v>0</v>
      </c>
      <c r="CP283" s="13">
        <v>0</v>
      </c>
      <c r="CQ283" s="13">
        <v>70.72</v>
      </c>
      <c r="CR283" s="13">
        <v>76140.75</v>
      </c>
      <c r="CS283" s="13">
        <v>7098.57</v>
      </c>
      <c r="CT283" s="13">
        <v>144.65</v>
      </c>
      <c r="CU283" s="13">
        <v>23.1</v>
      </c>
      <c r="CV283" s="13">
        <v>79.650000000000006</v>
      </c>
      <c r="CW283" s="202">
        <v>3080</v>
      </c>
      <c r="CX283" s="200">
        <v>1767</v>
      </c>
      <c r="CY283" s="202"/>
      <c r="CZ283" s="202"/>
      <c r="DA283" s="202"/>
      <c r="DB283" s="202"/>
      <c r="DC283" s="202"/>
      <c r="DD283" s="461"/>
      <c r="DE283" s="256"/>
      <c r="DF283" s="202"/>
      <c r="DG283" s="202"/>
      <c r="DH283" s="202"/>
      <c r="DI283" s="204">
        <v>841</v>
      </c>
      <c r="DJ283" s="202"/>
      <c r="DK283" s="202"/>
      <c r="DL283" s="202"/>
      <c r="DM283" s="202">
        <v>14554</v>
      </c>
      <c r="DN283" s="202">
        <v>2346</v>
      </c>
      <c r="DO283" s="202">
        <v>1.38</v>
      </c>
      <c r="DP283" s="202"/>
      <c r="DQ283" s="202"/>
      <c r="DR283" s="202"/>
      <c r="DS283" s="202">
        <v>8705</v>
      </c>
      <c r="DT283" s="254">
        <v>273</v>
      </c>
      <c r="DU283" s="254">
        <v>188</v>
      </c>
      <c r="DV283" s="202"/>
      <c r="DW283" s="202">
        <v>16019</v>
      </c>
      <c r="DX283" s="202"/>
      <c r="DY283" s="107">
        <v>1365</v>
      </c>
      <c r="DZ283" s="107">
        <v>942</v>
      </c>
      <c r="EA283" s="202"/>
      <c r="EB283" s="107"/>
      <c r="EC283" s="202"/>
      <c r="ED283" s="202"/>
      <c r="EE283" s="202"/>
      <c r="EF283" s="229"/>
      <c r="EG283" s="202"/>
      <c r="EH283" s="202"/>
      <c r="EI283" s="202"/>
      <c r="EJ283" s="202"/>
      <c r="EK283" s="202">
        <v>3116.78</v>
      </c>
      <c r="EL283" s="202">
        <v>0</v>
      </c>
      <c r="EM283" s="202">
        <v>0</v>
      </c>
      <c r="EN283" s="202">
        <v>77.88</v>
      </c>
      <c r="EO283" s="202">
        <v>3116.78</v>
      </c>
      <c r="EP283" s="202"/>
      <c r="EQ283" s="202">
        <v>0</v>
      </c>
      <c r="ER283" s="202">
        <v>77.88</v>
      </c>
      <c r="ES283" s="202"/>
      <c r="ET283" s="202"/>
      <c r="EU283" s="202"/>
      <c r="EV283" s="214">
        <v>-3.33</v>
      </c>
      <c r="EW283" s="240">
        <f t="shared" si="204"/>
        <v>7732.11</v>
      </c>
      <c r="EX283" s="209">
        <f t="shared" si="205"/>
        <v>5032.47</v>
      </c>
    </row>
    <row r="284" spans="1:154" ht="12.75" customHeight="1" x14ac:dyDescent="0.2">
      <c r="A284" s="4" t="s">
        <v>760</v>
      </c>
      <c r="B284" s="117" t="s">
        <v>333</v>
      </c>
      <c r="C284" s="118" t="s">
        <v>48</v>
      </c>
      <c r="D284" s="119" t="s">
        <v>524</v>
      </c>
      <c r="E284" s="118" t="s">
        <v>12</v>
      </c>
      <c r="F284" s="11">
        <v>5</v>
      </c>
      <c r="G284" s="11">
        <v>4</v>
      </c>
      <c r="H284" s="11">
        <v>80</v>
      </c>
      <c r="I284" s="11">
        <v>0</v>
      </c>
      <c r="J284" s="11">
        <v>158</v>
      </c>
      <c r="K284" s="11">
        <v>182</v>
      </c>
      <c r="L284" s="11" t="s">
        <v>746</v>
      </c>
      <c r="M284" s="84">
        <v>218</v>
      </c>
      <c r="N284" s="84">
        <v>892</v>
      </c>
      <c r="O284" s="84">
        <v>0</v>
      </c>
      <c r="P284" s="139">
        <v>218</v>
      </c>
      <c r="Q284" s="135">
        <v>881.8</v>
      </c>
      <c r="R284" s="133">
        <v>0</v>
      </c>
      <c r="S284" s="133">
        <f t="shared" si="206"/>
        <v>1099.8</v>
      </c>
      <c r="T284" s="139">
        <v>272</v>
      </c>
      <c r="U284" s="130">
        <v>1.53</v>
      </c>
      <c r="V284" s="131">
        <v>1.9800000000000002E-2</v>
      </c>
      <c r="W284" s="131">
        <v>1.9800000000000002E-2</v>
      </c>
      <c r="X284" s="132">
        <v>1.32E-3</v>
      </c>
      <c r="Y284" s="131">
        <v>3.95E-2</v>
      </c>
      <c r="Z284" s="29">
        <v>3534.99</v>
      </c>
      <c r="AA284" s="34"/>
      <c r="AB284" s="9">
        <f t="shared" si="176"/>
        <v>3534.99</v>
      </c>
      <c r="AC284" s="9">
        <f t="shared" si="184"/>
        <v>22376.49</v>
      </c>
      <c r="AD284" s="9">
        <v>0.32</v>
      </c>
      <c r="AE284" s="9">
        <v>4.46</v>
      </c>
      <c r="AF284" s="21">
        <f>2.42-AJ284</f>
        <v>2.1800000000000002</v>
      </c>
      <c r="AG284" s="18">
        <f>0.53-AQ284</f>
        <v>0.42</v>
      </c>
      <c r="AH284" s="9">
        <v>2.78</v>
      </c>
      <c r="AI284" s="43">
        <v>856</v>
      </c>
      <c r="AJ284" s="21">
        <f t="shared" si="178"/>
        <v>0.24</v>
      </c>
      <c r="AK284" s="9">
        <v>0</v>
      </c>
      <c r="AL284" s="9">
        <v>0</v>
      </c>
      <c r="AM284" s="9">
        <v>0</v>
      </c>
      <c r="AN284" s="13"/>
      <c r="AO284" s="13">
        <v>801.6</v>
      </c>
      <c r="AP284" s="13">
        <f t="shared" si="208"/>
        <v>5.58</v>
      </c>
      <c r="AQ284" s="18">
        <f t="shared" si="179"/>
        <v>0.11</v>
      </c>
      <c r="AR284" s="9">
        <v>0.78</v>
      </c>
      <c r="AS284" s="9">
        <v>0.39</v>
      </c>
      <c r="AT284" s="9">
        <v>7.0000000000000007E-2</v>
      </c>
      <c r="AU284" s="9">
        <v>4.3</v>
      </c>
      <c r="AV284" s="9">
        <v>0.12</v>
      </c>
      <c r="AW284" s="9">
        <f>1.05+0.38+0.3</f>
        <v>1.73</v>
      </c>
      <c r="AX284" s="9">
        <f>1.44+0.51</f>
        <v>1.95</v>
      </c>
      <c r="AY284" s="120">
        <f t="shared" si="209"/>
        <v>19.850000000000001</v>
      </c>
      <c r="AZ284" s="121">
        <v>3543.1</v>
      </c>
      <c r="BA284" s="121">
        <v>0</v>
      </c>
      <c r="BB284" s="121">
        <f t="shared" si="177"/>
        <v>3543.1</v>
      </c>
      <c r="BC284" s="121">
        <v>19.850000000000001</v>
      </c>
      <c r="BD284" s="13">
        <f t="shared" si="207"/>
        <v>0</v>
      </c>
      <c r="BE284" s="9">
        <f t="shared" si="185"/>
        <v>70169.55</v>
      </c>
      <c r="BF284" s="9">
        <v>19.850000000000001</v>
      </c>
      <c r="BG284" s="10">
        <v>44409</v>
      </c>
      <c r="BH284" s="9">
        <f t="shared" si="186"/>
        <v>1131.2</v>
      </c>
      <c r="BI284" s="9">
        <f t="shared" si="187"/>
        <v>15766.06</v>
      </c>
      <c r="BJ284" s="9">
        <f t="shared" si="188"/>
        <v>7706.28</v>
      </c>
      <c r="BK284" s="9">
        <f t="shared" si="189"/>
        <v>1484.7</v>
      </c>
      <c r="BL284" s="9">
        <f t="shared" si="190"/>
        <v>9827.27</v>
      </c>
      <c r="BM284" s="9">
        <f t="shared" si="191"/>
        <v>848.4</v>
      </c>
      <c r="BN284" s="9">
        <f t="shared" si="192"/>
        <v>0</v>
      </c>
      <c r="BO284" s="9">
        <f t="shared" si="193"/>
        <v>0</v>
      </c>
      <c r="BP284" s="9">
        <f t="shared" si="194"/>
        <v>0</v>
      </c>
      <c r="BQ284" s="9">
        <f t="shared" si="195"/>
        <v>388.85</v>
      </c>
      <c r="BR284" s="9">
        <f t="shared" si="196"/>
        <v>2757.29</v>
      </c>
      <c r="BS284" s="9">
        <f t="shared" si="197"/>
        <v>1378.65</v>
      </c>
      <c r="BT284" s="9">
        <f t="shared" si="198"/>
        <v>247.45</v>
      </c>
      <c r="BU284" s="9">
        <f t="shared" si="199"/>
        <v>15200.46</v>
      </c>
      <c r="BV284" s="9">
        <f t="shared" si="200"/>
        <v>424.2</v>
      </c>
      <c r="BW284" s="9">
        <f t="shared" si="201"/>
        <v>6115.53</v>
      </c>
      <c r="BX284" s="9">
        <f t="shared" si="202"/>
        <v>6893.23</v>
      </c>
      <c r="BY284" s="17">
        <f t="shared" si="203"/>
        <v>70169.570000000007</v>
      </c>
      <c r="BZ284" s="17">
        <v>1.93</v>
      </c>
      <c r="CA284" s="17">
        <v>0.04</v>
      </c>
      <c r="CB284" s="17">
        <v>0.26</v>
      </c>
      <c r="CC284" s="27">
        <v>0.04</v>
      </c>
      <c r="CD284" s="29">
        <v>6.33</v>
      </c>
      <c r="CE284" s="9">
        <v>0</v>
      </c>
      <c r="CF284" s="9"/>
      <c r="CG284" s="9">
        <v>145.54</v>
      </c>
      <c r="CH284" s="9">
        <v>152.01</v>
      </c>
      <c r="CI284" s="9">
        <f t="shared" si="210"/>
        <v>0</v>
      </c>
      <c r="CJ284" s="9">
        <f t="shared" si="211"/>
        <v>0</v>
      </c>
      <c r="CK284" s="13">
        <f t="shared" si="212"/>
        <v>0.04</v>
      </c>
      <c r="CL284" s="13">
        <f t="shared" si="213"/>
        <v>0.04</v>
      </c>
      <c r="CM284" s="13">
        <v>70169.77</v>
      </c>
      <c r="CN284" s="13">
        <v>989.75</v>
      </c>
      <c r="CO284" s="13">
        <v>0</v>
      </c>
      <c r="CP284" s="13">
        <v>141.38</v>
      </c>
      <c r="CQ284" s="13">
        <v>141.38</v>
      </c>
      <c r="CR284" s="13">
        <v>79757.47</v>
      </c>
      <c r="CS284" s="13">
        <v>8183.4</v>
      </c>
      <c r="CT284" s="13">
        <v>186.01</v>
      </c>
      <c r="CU284" s="13">
        <v>160.71</v>
      </c>
      <c r="CV284" s="13">
        <v>160.72</v>
      </c>
      <c r="CW284" s="202">
        <v>3078</v>
      </c>
      <c r="CX284" s="200">
        <v>1766</v>
      </c>
      <c r="CY284" s="202"/>
      <c r="CZ284" s="202"/>
      <c r="DA284" s="202"/>
      <c r="DB284" s="202"/>
      <c r="DC284" s="202"/>
      <c r="DD284" s="461"/>
      <c r="DE284" s="256"/>
      <c r="DF284" s="202"/>
      <c r="DG284" s="202"/>
      <c r="DH284" s="202"/>
      <c r="DI284" s="204">
        <v>856</v>
      </c>
      <c r="DJ284" s="202"/>
      <c r="DK284" s="202"/>
      <c r="DL284" s="202"/>
      <c r="DM284" s="202">
        <v>17294</v>
      </c>
      <c r="DN284" s="202">
        <v>1411</v>
      </c>
      <c r="DO284" s="202">
        <v>0.83</v>
      </c>
      <c r="DP284" s="202"/>
      <c r="DQ284" s="202"/>
      <c r="DR284" s="202"/>
      <c r="DS284" s="202">
        <v>8835</v>
      </c>
      <c r="DT284" s="254">
        <v>277</v>
      </c>
      <c r="DU284" s="254">
        <v>191</v>
      </c>
      <c r="DV284" s="202"/>
      <c r="DW284" s="202">
        <v>16079</v>
      </c>
      <c r="DX284" s="202"/>
      <c r="DY284" s="107">
        <v>1365</v>
      </c>
      <c r="DZ284" s="107"/>
      <c r="EA284" s="202"/>
      <c r="EB284" s="107"/>
      <c r="EC284" s="202"/>
      <c r="ED284" s="202"/>
      <c r="EE284" s="202"/>
      <c r="EF284" s="229"/>
      <c r="EG284" s="202"/>
      <c r="EH284" s="202"/>
      <c r="EI284" s="202"/>
      <c r="EJ284" s="202"/>
      <c r="EK284" s="202">
        <v>1003.27</v>
      </c>
      <c r="EL284" s="202">
        <v>0</v>
      </c>
      <c r="EM284" s="202">
        <v>145.54</v>
      </c>
      <c r="EN284" s="202">
        <v>152.01</v>
      </c>
      <c r="EO284" s="202">
        <v>1003.27</v>
      </c>
      <c r="EP284" s="202"/>
      <c r="EQ284" s="202">
        <v>145.54</v>
      </c>
      <c r="ER284" s="202">
        <v>152.01</v>
      </c>
      <c r="ES284" s="202"/>
      <c r="ET284" s="202"/>
      <c r="EU284" s="202"/>
      <c r="EV284" s="214">
        <v>2.15</v>
      </c>
      <c r="EW284" s="240">
        <f t="shared" si="204"/>
        <v>7731.59</v>
      </c>
      <c r="EX284" s="209">
        <f t="shared" si="205"/>
        <v>5032.13</v>
      </c>
    </row>
    <row r="285" spans="1:154" ht="12.75" customHeight="1" x14ac:dyDescent="0.2">
      <c r="A285" s="4" t="s">
        <v>761</v>
      </c>
      <c r="B285" s="117" t="s">
        <v>333</v>
      </c>
      <c r="C285" s="118" t="s">
        <v>15</v>
      </c>
      <c r="D285" s="119" t="s">
        <v>525</v>
      </c>
      <c r="E285" s="118" t="s">
        <v>12</v>
      </c>
      <c r="F285" s="11">
        <v>5</v>
      </c>
      <c r="G285" s="11">
        <v>4</v>
      </c>
      <c r="H285" s="11">
        <v>80</v>
      </c>
      <c r="I285" s="11">
        <v>0</v>
      </c>
      <c r="J285" s="11">
        <v>177</v>
      </c>
      <c r="K285" s="11">
        <v>193</v>
      </c>
      <c r="L285" s="11" t="s">
        <v>746</v>
      </c>
      <c r="M285" s="84">
        <v>274</v>
      </c>
      <c r="N285" s="84">
        <v>882</v>
      </c>
      <c r="O285" s="84">
        <v>0</v>
      </c>
      <c r="P285" s="139">
        <v>274</v>
      </c>
      <c r="Q285" s="139">
        <v>882</v>
      </c>
      <c r="R285" s="139">
        <v>0</v>
      </c>
      <c r="S285" s="133">
        <f t="shared" si="206"/>
        <v>1156</v>
      </c>
      <c r="T285" s="134">
        <v>274</v>
      </c>
      <c r="U285" s="130">
        <v>1.53</v>
      </c>
      <c r="V285" s="131">
        <v>1.9800000000000002E-2</v>
      </c>
      <c r="W285" s="131">
        <v>1.9800000000000002E-2</v>
      </c>
      <c r="X285" s="132">
        <v>1.2199999999999999E-3</v>
      </c>
      <c r="Y285" s="131">
        <v>3.95E-2</v>
      </c>
      <c r="Z285" s="29">
        <v>3443.86</v>
      </c>
      <c r="AA285" s="34">
        <v>89.9</v>
      </c>
      <c r="AB285" s="9">
        <f t="shared" si="176"/>
        <v>3533.76</v>
      </c>
      <c r="AC285" s="9">
        <f t="shared" si="184"/>
        <v>22368.7</v>
      </c>
      <c r="AD285" s="9">
        <v>0.4</v>
      </c>
      <c r="AE285" s="9">
        <v>4.1100000000000003</v>
      </c>
      <c r="AF285" s="21">
        <f>2.43-AJ285</f>
        <v>2.19</v>
      </c>
      <c r="AG285" s="18">
        <f>0.54-AQ285</f>
        <v>0.43</v>
      </c>
      <c r="AH285" s="9">
        <v>2.78</v>
      </c>
      <c r="AI285" s="43">
        <v>847</v>
      </c>
      <c r="AJ285" s="21">
        <f t="shared" si="178"/>
        <v>0.24</v>
      </c>
      <c r="AK285" s="9">
        <v>0</v>
      </c>
      <c r="AL285" s="9">
        <v>0</v>
      </c>
      <c r="AM285" s="9">
        <v>0.17</v>
      </c>
      <c r="AN285" s="13"/>
      <c r="AO285" s="13">
        <v>801.6</v>
      </c>
      <c r="AP285" s="13">
        <f t="shared" si="208"/>
        <v>5.58</v>
      </c>
      <c r="AQ285" s="18">
        <f t="shared" si="179"/>
        <v>0.11</v>
      </c>
      <c r="AR285" s="9">
        <v>0.79</v>
      </c>
      <c r="AS285" s="9">
        <v>0.4</v>
      </c>
      <c r="AT285" s="9">
        <v>7.0000000000000007E-2</v>
      </c>
      <c r="AU285" s="9">
        <v>4.3099999999999996</v>
      </c>
      <c r="AV285" s="9">
        <v>0.12</v>
      </c>
      <c r="AW285" s="9">
        <f>1.05+0.32+0.37</f>
        <v>1.74</v>
      </c>
      <c r="AX285" s="9">
        <f>1.44+0.51</f>
        <v>1.95</v>
      </c>
      <c r="AY285" s="120">
        <f t="shared" si="209"/>
        <v>19.809999999999999</v>
      </c>
      <c r="AZ285" s="121">
        <v>3441.1</v>
      </c>
      <c r="BA285" s="121">
        <v>0</v>
      </c>
      <c r="BB285" s="121">
        <f t="shared" si="177"/>
        <v>3441.1</v>
      </c>
      <c r="BC285" s="121">
        <v>19.809999999999999</v>
      </c>
      <c r="BD285" s="13">
        <f t="shared" si="207"/>
        <v>0</v>
      </c>
      <c r="BE285" s="9">
        <f t="shared" si="185"/>
        <v>70003.789999999994</v>
      </c>
      <c r="BF285" s="9">
        <v>19.809999999999999</v>
      </c>
      <c r="BG285" s="10">
        <v>44409</v>
      </c>
      <c r="BH285" s="9">
        <f t="shared" si="186"/>
        <v>1413.5</v>
      </c>
      <c r="BI285" s="9">
        <f t="shared" si="187"/>
        <v>14523.75</v>
      </c>
      <c r="BJ285" s="9">
        <f t="shared" si="188"/>
        <v>7738.93</v>
      </c>
      <c r="BK285" s="9">
        <f t="shared" si="189"/>
        <v>1519.52</v>
      </c>
      <c r="BL285" s="9">
        <f t="shared" si="190"/>
        <v>9823.85</v>
      </c>
      <c r="BM285" s="9">
        <f t="shared" si="191"/>
        <v>848.1</v>
      </c>
      <c r="BN285" s="9">
        <f t="shared" si="192"/>
        <v>0</v>
      </c>
      <c r="BO285" s="9">
        <f t="shared" si="193"/>
        <v>0</v>
      </c>
      <c r="BP285" s="9">
        <f t="shared" si="194"/>
        <v>600.74</v>
      </c>
      <c r="BQ285" s="9">
        <f t="shared" si="195"/>
        <v>388.71</v>
      </c>
      <c r="BR285" s="9">
        <f t="shared" si="196"/>
        <v>2791.67</v>
      </c>
      <c r="BS285" s="9">
        <f t="shared" si="197"/>
        <v>1413.5</v>
      </c>
      <c r="BT285" s="9">
        <f t="shared" si="198"/>
        <v>247.36</v>
      </c>
      <c r="BU285" s="9">
        <f t="shared" si="199"/>
        <v>15230.51</v>
      </c>
      <c r="BV285" s="9">
        <f t="shared" si="200"/>
        <v>424.05</v>
      </c>
      <c r="BW285" s="9">
        <f t="shared" si="201"/>
        <v>6148.74</v>
      </c>
      <c r="BX285" s="9">
        <f t="shared" si="202"/>
        <v>6890.83</v>
      </c>
      <c r="BY285" s="17">
        <f t="shared" si="203"/>
        <v>70003.759999999995</v>
      </c>
      <c r="BZ285" s="17">
        <v>1.97</v>
      </c>
      <c r="CA285" s="17">
        <v>0.04</v>
      </c>
      <c r="CB285" s="17">
        <v>0.25</v>
      </c>
      <c r="CC285" s="27">
        <v>0.04</v>
      </c>
      <c r="CD285" s="29">
        <v>6.33</v>
      </c>
      <c r="CE285" s="9">
        <v>2241.4299999999998</v>
      </c>
      <c r="CF285" s="9"/>
      <c r="CG285" s="9">
        <v>0</v>
      </c>
      <c r="CH285" s="9">
        <v>76.760000000000005</v>
      </c>
      <c r="CI285" s="9">
        <f t="shared" si="210"/>
        <v>0.63</v>
      </c>
      <c r="CJ285" s="9">
        <f t="shared" si="211"/>
        <v>0</v>
      </c>
      <c r="CK285" s="13">
        <f t="shared" si="212"/>
        <v>0</v>
      </c>
      <c r="CL285" s="13">
        <f t="shared" si="213"/>
        <v>0.02</v>
      </c>
      <c r="CM285" s="13">
        <v>68222.97</v>
      </c>
      <c r="CN285" s="13">
        <v>2169.58</v>
      </c>
      <c r="CO285" s="13">
        <v>0</v>
      </c>
      <c r="CP285" s="13">
        <v>378.92</v>
      </c>
      <c r="CQ285" s="13">
        <v>275.5</v>
      </c>
      <c r="CR285" s="13">
        <v>71213.83</v>
      </c>
      <c r="CS285" s="13">
        <v>6707.33</v>
      </c>
      <c r="CT285" s="13">
        <v>201.7</v>
      </c>
      <c r="CU285" s="13">
        <v>144.88</v>
      </c>
      <c r="CV285" s="13">
        <v>152.41999999999999</v>
      </c>
      <c r="CW285" s="202">
        <v>3079</v>
      </c>
      <c r="CX285" s="200">
        <v>1766</v>
      </c>
      <c r="CY285" s="202"/>
      <c r="CZ285" s="202"/>
      <c r="DA285" s="202"/>
      <c r="DB285" s="202"/>
      <c r="DC285" s="202"/>
      <c r="DD285" s="461"/>
      <c r="DE285" s="256"/>
      <c r="DF285" s="202"/>
      <c r="DG285" s="202"/>
      <c r="DH285" s="202"/>
      <c r="DI285" s="204">
        <v>847</v>
      </c>
      <c r="DJ285" s="202"/>
      <c r="DK285" s="202"/>
      <c r="DL285" s="202"/>
      <c r="DM285" s="202">
        <v>15871</v>
      </c>
      <c r="DN285" s="202">
        <v>2346</v>
      </c>
      <c r="DO285" s="202">
        <v>1.38</v>
      </c>
      <c r="DP285" s="202"/>
      <c r="DQ285" s="202"/>
      <c r="DR285" s="202"/>
      <c r="DS285" s="202">
        <v>16590</v>
      </c>
      <c r="DT285" s="254">
        <v>550</v>
      </c>
      <c r="DU285" s="254">
        <v>284</v>
      </c>
      <c r="DV285" s="202"/>
      <c r="DW285" s="202">
        <v>15663</v>
      </c>
      <c r="DX285" s="202"/>
      <c r="DY285" s="107">
        <v>1365</v>
      </c>
      <c r="DZ285" s="107">
        <v>577</v>
      </c>
      <c r="EA285" s="202"/>
      <c r="EB285" s="107"/>
      <c r="EC285" s="202"/>
      <c r="ED285" s="202"/>
      <c r="EE285" s="202"/>
      <c r="EF285" s="229"/>
      <c r="EG285" s="202"/>
      <c r="EH285" s="202"/>
      <c r="EI285" s="202"/>
      <c r="EJ285" s="202"/>
      <c r="EK285" s="202">
        <v>2221.48</v>
      </c>
      <c r="EL285" s="202">
        <v>0</v>
      </c>
      <c r="EM285" s="202">
        <v>405.36</v>
      </c>
      <c r="EN285" s="202">
        <v>288.98</v>
      </c>
      <c r="EO285" s="202">
        <v>2221.48</v>
      </c>
      <c r="EP285" s="202"/>
      <c r="EQ285" s="202">
        <v>405.36</v>
      </c>
      <c r="ER285" s="202">
        <v>288.98</v>
      </c>
      <c r="ES285" s="202"/>
      <c r="ET285" s="202"/>
      <c r="EU285" s="202"/>
      <c r="EV285" s="214">
        <v>-3.25</v>
      </c>
      <c r="EW285" s="240">
        <f t="shared" si="204"/>
        <v>7728.9</v>
      </c>
      <c r="EX285" s="209">
        <f t="shared" si="205"/>
        <v>5030.38</v>
      </c>
    </row>
    <row r="286" spans="1:154" ht="12.75" customHeight="1" x14ac:dyDescent="0.2">
      <c r="A286" s="4" t="s">
        <v>762</v>
      </c>
      <c r="B286" s="117" t="s">
        <v>333</v>
      </c>
      <c r="C286" s="118" t="s">
        <v>17</v>
      </c>
      <c r="D286" s="119" t="s">
        <v>526</v>
      </c>
      <c r="E286" s="118" t="s">
        <v>12</v>
      </c>
      <c r="F286" s="11">
        <v>5</v>
      </c>
      <c r="G286" s="11">
        <v>4</v>
      </c>
      <c r="H286" s="11">
        <v>80</v>
      </c>
      <c r="I286" s="11">
        <v>0</v>
      </c>
      <c r="J286" s="11">
        <v>168</v>
      </c>
      <c r="K286" s="11">
        <v>199</v>
      </c>
      <c r="L286" s="11" t="s">
        <v>746</v>
      </c>
      <c r="M286" s="84">
        <v>286</v>
      </c>
      <c r="N286" s="84">
        <v>896</v>
      </c>
      <c r="O286" s="84">
        <v>0</v>
      </c>
      <c r="P286" s="139">
        <v>286</v>
      </c>
      <c r="Q286" s="139">
        <v>896</v>
      </c>
      <c r="R286" s="139">
        <v>0</v>
      </c>
      <c r="S286" s="133">
        <f t="shared" si="206"/>
        <v>1182</v>
      </c>
      <c r="T286" s="134">
        <v>286</v>
      </c>
      <c r="U286" s="130">
        <v>1.53</v>
      </c>
      <c r="V286" s="131">
        <v>1.9800000000000002E-2</v>
      </c>
      <c r="W286" s="131">
        <v>1.9800000000000002E-2</v>
      </c>
      <c r="X286" s="132">
        <v>1.32E-3</v>
      </c>
      <c r="Y286" s="131">
        <v>3.95E-2</v>
      </c>
      <c r="Z286" s="29">
        <v>3625.42</v>
      </c>
      <c r="AA286" s="34"/>
      <c r="AB286" s="9">
        <f t="shared" si="176"/>
        <v>3625.42</v>
      </c>
      <c r="AC286" s="9">
        <f t="shared" si="184"/>
        <v>22948.91</v>
      </c>
      <c r="AD286" s="9">
        <v>0.39</v>
      </c>
      <c r="AE286" s="9">
        <v>3.81</v>
      </c>
      <c r="AF286" s="21">
        <f>2.41-AJ286</f>
        <v>2.17</v>
      </c>
      <c r="AG286" s="18">
        <f>0.53-AQ286</f>
        <v>0.43</v>
      </c>
      <c r="AH286" s="9">
        <v>2.78</v>
      </c>
      <c r="AI286" s="43">
        <v>860</v>
      </c>
      <c r="AJ286" s="21">
        <f t="shared" si="178"/>
        <v>0.24</v>
      </c>
      <c r="AK286" s="9">
        <v>0</v>
      </c>
      <c r="AL286" s="9">
        <v>0</v>
      </c>
      <c r="AM286" s="9">
        <v>0.26</v>
      </c>
      <c r="AN286" s="13"/>
      <c r="AO286" s="13">
        <v>801.6</v>
      </c>
      <c r="AP286" s="13">
        <f t="shared" si="208"/>
        <v>5.58</v>
      </c>
      <c r="AQ286" s="18">
        <f t="shared" si="179"/>
        <v>0.1</v>
      </c>
      <c r="AR286" s="9">
        <v>0.75</v>
      </c>
      <c r="AS286" s="9">
        <v>0.37</v>
      </c>
      <c r="AT286" s="9">
        <v>7.0000000000000007E-2</v>
      </c>
      <c r="AU286" s="9">
        <v>4.6900000000000004</v>
      </c>
      <c r="AV286" s="9">
        <v>0.12</v>
      </c>
      <c r="AW286" s="9">
        <f>1.02+0.41+0.31</f>
        <v>1.74</v>
      </c>
      <c r="AX286" s="9">
        <f>1.4+0.56</f>
        <v>1.96</v>
      </c>
      <c r="AY286" s="120">
        <f t="shared" si="209"/>
        <v>19.88</v>
      </c>
      <c r="AZ286" s="121">
        <v>3667.2</v>
      </c>
      <c r="BA286" s="121">
        <v>0</v>
      </c>
      <c r="BB286" s="121">
        <f t="shared" si="177"/>
        <v>3667.2</v>
      </c>
      <c r="BC286" s="121">
        <v>19.88</v>
      </c>
      <c r="BD286" s="13">
        <f t="shared" si="207"/>
        <v>0</v>
      </c>
      <c r="BE286" s="9">
        <f t="shared" si="185"/>
        <v>72073.350000000006</v>
      </c>
      <c r="BF286" s="9">
        <v>19.88</v>
      </c>
      <c r="BG286" s="10">
        <v>44409</v>
      </c>
      <c r="BH286" s="9">
        <f t="shared" si="186"/>
        <v>1413.91</v>
      </c>
      <c r="BI286" s="9">
        <f t="shared" si="187"/>
        <v>13812.85</v>
      </c>
      <c r="BJ286" s="9">
        <f t="shared" si="188"/>
        <v>7867.16</v>
      </c>
      <c r="BK286" s="9">
        <f t="shared" si="189"/>
        <v>1558.93</v>
      </c>
      <c r="BL286" s="9">
        <f t="shared" si="190"/>
        <v>10078.67</v>
      </c>
      <c r="BM286" s="9">
        <f t="shared" si="191"/>
        <v>870.1</v>
      </c>
      <c r="BN286" s="9">
        <f t="shared" si="192"/>
        <v>0</v>
      </c>
      <c r="BO286" s="9">
        <f t="shared" si="193"/>
        <v>0</v>
      </c>
      <c r="BP286" s="9">
        <f t="shared" si="194"/>
        <v>942.61</v>
      </c>
      <c r="BQ286" s="9">
        <f t="shared" si="195"/>
        <v>362.54</v>
      </c>
      <c r="BR286" s="9">
        <f t="shared" si="196"/>
        <v>2719.07</v>
      </c>
      <c r="BS286" s="9">
        <f t="shared" si="197"/>
        <v>1341.41</v>
      </c>
      <c r="BT286" s="9">
        <f t="shared" si="198"/>
        <v>253.78</v>
      </c>
      <c r="BU286" s="9">
        <f t="shared" si="199"/>
        <v>17003.22</v>
      </c>
      <c r="BV286" s="9">
        <f t="shared" si="200"/>
        <v>435.05</v>
      </c>
      <c r="BW286" s="9">
        <f t="shared" si="201"/>
        <v>6308.23</v>
      </c>
      <c r="BX286" s="9">
        <f t="shared" si="202"/>
        <v>7105.82</v>
      </c>
      <c r="BY286" s="17">
        <f t="shared" si="203"/>
        <v>72073.350000000006</v>
      </c>
      <c r="BZ286" s="17">
        <v>1.91</v>
      </c>
      <c r="CA286" s="17">
        <v>0.04</v>
      </c>
      <c r="CB286" s="17">
        <v>0.26</v>
      </c>
      <c r="CC286" s="27">
        <v>0.04</v>
      </c>
      <c r="CD286" s="29">
        <v>6.33</v>
      </c>
      <c r="CE286" s="9">
        <v>0</v>
      </c>
      <c r="CF286" s="9"/>
      <c r="CG286" s="9">
        <v>0</v>
      </c>
      <c r="CH286" s="9">
        <v>80.12</v>
      </c>
      <c r="CI286" s="9">
        <f t="shared" si="210"/>
        <v>0</v>
      </c>
      <c r="CJ286" s="9">
        <f t="shared" si="211"/>
        <v>0</v>
      </c>
      <c r="CK286" s="13">
        <f t="shared" si="212"/>
        <v>0</v>
      </c>
      <c r="CL286" s="13">
        <f t="shared" si="213"/>
        <v>0.02</v>
      </c>
      <c r="CM286" s="13">
        <v>72073.320000000007</v>
      </c>
      <c r="CN286" s="13">
        <v>1051.3399999999999</v>
      </c>
      <c r="CO286" s="13">
        <v>0</v>
      </c>
      <c r="CP286" s="13">
        <v>217.54</v>
      </c>
      <c r="CQ286" s="13">
        <v>145.01</v>
      </c>
      <c r="CR286" s="13">
        <v>66104.17</v>
      </c>
      <c r="CS286" s="13">
        <v>3184.11</v>
      </c>
      <c r="CT286" s="13">
        <v>161.81</v>
      </c>
      <c r="CU286" s="13">
        <v>156.97</v>
      </c>
      <c r="CV286" s="13">
        <v>121.33</v>
      </c>
      <c r="CW286" s="202">
        <v>3157</v>
      </c>
      <c r="CX286" s="200">
        <v>1811</v>
      </c>
      <c r="CY286" s="202"/>
      <c r="CZ286" s="202"/>
      <c r="DA286" s="202"/>
      <c r="DB286" s="202"/>
      <c r="DC286" s="202"/>
      <c r="DD286" s="461"/>
      <c r="DE286" s="256"/>
      <c r="DF286" s="202"/>
      <c r="DG286" s="202"/>
      <c r="DH286" s="202"/>
      <c r="DI286" s="204">
        <v>860</v>
      </c>
      <c r="DJ286" s="202"/>
      <c r="DK286" s="202"/>
      <c r="DL286" s="202"/>
      <c r="DM286" s="202">
        <v>15760</v>
      </c>
      <c r="DN286" s="202">
        <v>1411</v>
      </c>
      <c r="DO286" s="202">
        <v>0.83</v>
      </c>
      <c r="DP286" s="202"/>
      <c r="DQ286" s="202"/>
      <c r="DR286" s="202"/>
      <c r="DS286" s="202">
        <v>8895</v>
      </c>
      <c r="DT286" s="254">
        <v>279</v>
      </c>
      <c r="DU286" s="254">
        <v>192</v>
      </c>
      <c r="DV286" s="202"/>
      <c r="DW286" s="202">
        <v>16615</v>
      </c>
      <c r="DX286" s="202"/>
      <c r="DY286" s="107">
        <v>1365</v>
      </c>
      <c r="DZ286" s="107"/>
      <c r="EA286" s="202"/>
      <c r="EB286" s="107"/>
      <c r="EC286" s="202"/>
      <c r="ED286" s="202"/>
      <c r="EE286" s="202"/>
      <c r="EF286" s="229"/>
      <c r="EG286" s="202"/>
      <c r="EH286" s="202"/>
      <c r="EI286" s="202"/>
      <c r="EJ286" s="202"/>
      <c r="EK286" s="202">
        <v>1058.8800000000001</v>
      </c>
      <c r="EL286" s="202">
        <v>0</v>
      </c>
      <c r="EM286" s="202">
        <v>229.55</v>
      </c>
      <c r="EN286" s="202">
        <v>159.83000000000001</v>
      </c>
      <c r="EO286" s="202">
        <v>1058.8800000000001</v>
      </c>
      <c r="EP286" s="202"/>
      <c r="EQ286" s="202">
        <v>229.55</v>
      </c>
      <c r="ER286" s="202">
        <v>159.83000000000001</v>
      </c>
      <c r="ES286" s="202"/>
      <c r="ET286" s="202"/>
      <c r="EU286" s="202"/>
      <c r="EV286" s="214">
        <v>2.15</v>
      </c>
      <c r="EW286" s="240">
        <f t="shared" si="204"/>
        <v>7929.37</v>
      </c>
      <c r="EX286" s="209">
        <f t="shared" si="205"/>
        <v>5160.8599999999997</v>
      </c>
    </row>
    <row r="287" spans="1:154" ht="12.75" customHeight="1" x14ac:dyDescent="0.2">
      <c r="A287" s="4" t="s">
        <v>763</v>
      </c>
      <c r="B287" s="78" t="s">
        <v>333</v>
      </c>
      <c r="C287" s="79" t="s">
        <v>17</v>
      </c>
      <c r="D287" s="80" t="s">
        <v>602</v>
      </c>
      <c r="E287" s="79" t="s">
        <v>9</v>
      </c>
      <c r="F287" s="11">
        <v>9</v>
      </c>
      <c r="G287" s="11">
        <v>4</v>
      </c>
      <c r="H287" s="11">
        <v>128</v>
      </c>
      <c r="I287" s="11">
        <v>127</v>
      </c>
      <c r="J287" s="11">
        <v>320</v>
      </c>
      <c r="K287" s="11">
        <v>367</v>
      </c>
      <c r="L287" s="11">
        <v>4</v>
      </c>
      <c r="M287" s="84">
        <v>1187</v>
      </c>
      <c r="N287" s="84">
        <v>1215</v>
      </c>
      <c r="O287" s="84">
        <v>0</v>
      </c>
      <c r="P287" s="135">
        <v>1446.9</v>
      </c>
      <c r="Q287" s="135">
        <v>878.5</v>
      </c>
      <c r="R287" s="133">
        <v>0</v>
      </c>
      <c r="S287" s="133">
        <f t="shared" si="206"/>
        <v>2325.4</v>
      </c>
      <c r="T287" s="134">
        <v>1446.9</v>
      </c>
      <c r="U287" s="130">
        <v>2.44</v>
      </c>
      <c r="V287" s="131">
        <v>1.9800000000000002E-2</v>
      </c>
      <c r="W287" s="131">
        <v>1.9800000000000002E-2</v>
      </c>
      <c r="X287" s="132">
        <v>1.32E-3</v>
      </c>
      <c r="Y287" s="131">
        <v>3.9699999999999999E-2</v>
      </c>
      <c r="Z287" s="29">
        <v>6651.4</v>
      </c>
      <c r="AA287" s="34">
        <v>945.4</v>
      </c>
      <c r="AB287" s="9">
        <f t="shared" si="176"/>
        <v>7596.8</v>
      </c>
      <c r="AC287" s="9">
        <f t="shared" si="184"/>
        <v>48087.74</v>
      </c>
      <c r="AD287" s="9">
        <v>2.1800000000000002</v>
      </c>
      <c r="AE287" s="9">
        <v>4.7699999999999996</v>
      </c>
      <c r="AF287" s="21">
        <f>2.42-AJ287</f>
        <v>2.27</v>
      </c>
      <c r="AG287" s="18">
        <f>0.64-AQ287</f>
        <v>0.59</v>
      </c>
      <c r="AH287" s="9">
        <v>2.78</v>
      </c>
      <c r="AI287" s="43">
        <v>1166</v>
      </c>
      <c r="AJ287" s="21">
        <f t="shared" si="178"/>
        <v>0.15</v>
      </c>
      <c r="AK287" s="9">
        <v>2.2599999999999998</v>
      </c>
      <c r="AL287" s="9">
        <v>0.2</v>
      </c>
      <c r="AM287" s="9">
        <v>0.08</v>
      </c>
      <c r="AN287" s="13"/>
      <c r="AO287" s="13">
        <v>844.8</v>
      </c>
      <c r="AP287" s="13">
        <f t="shared" si="208"/>
        <v>5.58</v>
      </c>
      <c r="AQ287" s="18">
        <f t="shared" si="179"/>
        <v>0.05</v>
      </c>
      <c r="AR287" s="9">
        <v>0.56999999999999995</v>
      </c>
      <c r="AS287" s="9">
        <v>0.18</v>
      </c>
      <c r="AT287" s="9">
        <v>7.0000000000000007E-2</v>
      </c>
      <c r="AU287" s="9">
        <v>3.37</v>
      </c>
      <c r="AV287" s="9">
        <v>0.15</v>
      </c>
      <c r="AW287" s="9">
        <f>1.45+0.3+0.27</f>
        <v>2.02</v>
      </c>
      <c r="AX287" s="9">
        <f>2.03+0.4</f>
        <v>2.4300000000000002</v>
      </c>
      <c r="AY287" s="81">
        <f t="shared" si="209"/>
        <v>24.12</v>
      </c>
      <c r="AZ287" s="82">
        <v>6669.7</v>
      </c>
      <c r="BA287" s="82">
        <v>945.4</v>
      </c>
      <c r="BB287" s="82">
        <f t="shared" si="177"/>
        <v>7615.1</v>
      </c>
      <c r="BC287" s="82">
        <v>24.12</v>
      </c>
      <c r="BD287" s="13">
        <f t="shared" si="207"/>
        <v>0</v>
      </c>
      <c r="BE287" s="9">
        <f t="shared" si="185"/>
        <v>183234.82</v>
      </c>
      <c r="BF287" s="9">
        <v>24.12</v>
      </c>
      <c r="BG287" s="10">
        <v>44409</v>
      </c>
      <c r="BH287" s="9">
        <f t="shared" si="186"/>
        <v>16561.02</v>
      </c>
      <c r="BI287" s="9">
        <f t="shared" si="187"/>
        <v>36236.74</v>
      </c>
      <c r="BJ287" s="9">
        <f t="shared" si="188"/>
        <v>17244.740000000002</v>
      </c>
      <c r="BK287" s="9">
        <f t="shared" si="189"/>
        <v>4482.1099999999997</v>
      </c>
      <c r="BL287" s="9">
        <f t="shared" si="190"/>
        <v>21119.1</v>
      </c>
      <c r="BM287" s="9">
        <f t="shared" si="191"/>
        <v>1139.52</v>
      </c>
      <c r="BN287" s="9">
        <f t="shared" si="192"/>
        <v>17168.77</v>
      </c>
      <c r="BO287" s="9">
        <f t="shared" si="193"/>
        <v>1519.36</v>
      </c>
      <c r="BP287" s="9">
        <f t="shared" si="194"/>
        <v>607.74</v>
      </c>
      <c r="BQ287" s="9">
        <f t="shared" si="195"/>
        <v>379.84</v>
      </c>
      <c r="BR287" s="9">
        <f t="shared" si="196"/>
        <v>4330.18</v>
      </c>
      <c r="BS287" s="9">
        <f t="shared" si="197"/>
        <v>1367.42</v>
      </c>
      <c r="BT287" s="9">
        <f t="shared" si="198"/>
        <v>531.78</v>
      </c>
      <c r="BU287" s="9">
        <f t="shared" si="199"/>
        <v>25601.22</v>
      </c>
      <c r="BV287" s="9">
        <f t="shared" si="200"/>
        <v>1139.52</v>
      </c>
      <c r="BW287" s="9">
        <f t="shared" si="201"/>
        <v>15345.54</v>
      </c>
      <c r="BX287" s="9">
        <f t="shared" si="202"/>
        <v>18460.22</v>
      </c>
      <c r="BY287" s="17">
        <f t="shared" si="203"/>
        <v>183234.82</v>
      </c>
      <c r="BZ287" s="17">
        <v>2.85</v>
      </c>
      <c r="CA287" s="17">
        <v>0.1</v>
      </c>
      <c r="CB287" s="17">
        <v>0.65</v>
      </c>
      <c r="CC287" s="27">
        <v>0.11</v>
      </c>
      <c r="CD287" s="29">
        <v>6.33</v>
      </c>
      <c r="CE287" s="9">
        <v>4421.54</v>
      </c>
      <c r="CF287" s="9"/>
      <c r="CG287" s="9">
        <v>3378</v>
      </c>
      <c r="CH287" s="9">
        <v>2187.9699999999998</v>
      </c>
      <c r="CI287" s="9">
        <f t="shared" si="210"/>
        <v>0.57999999999999996</v>
      </c>
      <c r="CJ287" s="9">
        <f t="shared" si="211"/>
        <v>0</v>
      </c>
      <c r="CK287" s="13">
        <f t="shared" si="212"/>
        <v>0.44</v>
      </c>
      <c r="CL287" s="13">
        <f t="shared" si="213"/>
        <v>0.28999999999999998</v>
      </c>
      <c r="CM287" s="13">
        <v>160477.57999999999</v>
      </c>
      <c r="CN287" s="13">
        <v>13572.71</v>
      </c>
      <c r="CO287" s="13">
        <v>0</v>
      </c>
      <c r="CP287" s="13">
        <v>3193.6</v>
      </c>
      <c r="CQ287" s="13">
        <v>1996</v>
      </c>
      <c r="CR287" s="13">
        <v>150643.89000000001</v>
      </c>
      <c r="CS287" s="13">
        <v>18516.89</v>
      </c>
      <c r="CT287" s="13">
        <v>836.56</v>
      </c>
      <c r="CU287" s="13">
        <v>1664.54</v>
      </c>
      <c r="CV287" s="13">
        <v>1190.25</v>
      </c>
      <c r="CW287" s="202">
        <v>6617</v>
      </c>
      <c r="CX287" s="200">
        <v>3796</v>
      </c>
      <c r="CY287" s="202"/>
      <c r="CZ287" s="202"/>
      <c r="DA287" s="202"/>
      <c r="DB287" s="202"/>
      <c r="DC287" s="202"/>
      <c r="DD287" s="461"/>
      <c r="DE287" s="256"/>
      <c r="DF287" s="202"/>
      <c r="DG287" s="202"/>
      <c r="DH287" s="202"/>
      <c r="DI287" s="204">
        <v>1166</v>
      </c>
      <c r="DJ287" s="202">
        <v>17200</v>
      </c>
      <c r="DK287" s="202"/>
      <c r="DL287" s="202"/>
      <c r="DM287" s="202">
        <v>53868</v>
      </c>
      <c r="DN287" s="202">
        <v>1411</v>
      </c>
      <c r="DO287" s="202">
        <v>0.83</v>
      </c>
      <c r="DP287" s="202"/>
      <c r="DQ287" s="202"/>
      <c r="DR287" s="202"/>
      <c r="DS287" s="202"/>
      <c r="DT287" s="254"/>
      <c r="DU287" s="254"/>
      <c r="DV287" s="202"/>
      <c r="DW287" s="202">
        <v>35156</v>
      </c>
      <c r="DX287" s="202"/>
      <c r="DY287" s="107">
        <v>1365</v>
      </c>
      <c r="DZ287" s="107">
        <v>577</v>
      </c>
      <c r="EA287" s="202"/>
      <c r="EB287" s="107"/>
      <c r="EC287" s="202"/>
      <c r="ED287" s="202"/>
      <c r="EE287" s="202"/>
      <c r="EF287" s="229"/>
      <c r="EG287" s="202"/>
      <c r="EH287" s="202"/>
      <c r="EI287" s="202"/>
      <c r="EJ287" s="202"/>
      <c r="EK287" s="202">
        <v>15482.55</v>
      </c>
      <c r="EL287" s="202">
        <v>0</v>
      </c>
      <c r="EM287" s="202">
        <v>3648.24</v>
      </c>
      <c r="EN287" s="202">
        <v>2315.3000000000002</v>
      </c>
      <c r="EO287" s="202">
        <v>15482.55</v>
      </c>
      <c r="EP287" s="202"/>
      <c r="EQ287" s="202">
        <v>3648.24</v>
      </c>
      <c r="ER287" s="202">
        <v>2315.3000000000002</v>
      </c>
      <c r="ES287" s="202"/>
      <c r="ET287" s="202"/>
      <c r="EU287" s="202"/>
      <c r="EV287" s="214">
        <v>-26.65</v>
      </c>
      <c r="EW287" s="240">
        <f t="shared" si="204"/>
        <v>16615.419999999998</v>
      </c>
      <c r="EX287" s="209">
        <f t="shared" si="205"/>
        <v>10814.2</v>
      </c>
    </row>
    <row r="288" spans="1:154" ht="12.75" customHeight="1" x14ac:dyDescent="0.2">
      <c r="A288" s="4" t="s">
        <v>764</v>
      </c>
      <c r="B288" s="78" t="s">
        <v>333</v>
      </c>
      <c r="C288" s="79" t="s">
        <v>19</v>
      </c>
      <c r="D288" s="78" t="s">
        <v>679</v>
      </c>
      <c r="E288" s="79"/>
      <c r="F288" s="11">
        <v>9</v>
      </c>
      <c r="G288" s="11">
        <v>1</v>
      </c>
      <c r="H288" s="11">
        <v>52</v>
      </c>
      <c r="I288" s="11">
        <v>52</v>
      </c>
      <c r="J288" s="11">
        <v>88</v>
      </c>
      <c r="K288" s="11">
        <v>114</v>
      </c>
      <c r="L288" s="11">
        <v>1</v>
      </c>
      <c r="M288" s="84">
        <v>272</v>
      </c>
      <c r="N288" s="84">
        <v>384</v>
      </c>
      <c r="O288" s="84">
        <v>384</v>
      </c>
      <c r="P288" s="139">
        <v>306.7</v>
      </c>
      <c r="Q288" s="135">
        <v>255</v>
      </c>
      <c r="R288" s="133">
        <v>357.8</v>
      </c>
      <c r="S288" s="133">
        <f t="shared" si="206"/>
        <v>919.5</v>
      </c>
      <c r="T288" s="139">
        <v>272</v>
      </c>
      <c r="U288" s="130">
        <v>2.44</v>
      </c>
      <c r="V288" s="131">
        <v>1.9800000000000002E-2</v>
      </c>
      <c r="W288" s="131">
        <v>1.9800000000000002E-2</v>
      </c>
      <c r="X288" s="132">
        <v>1.32E-3</v>
      </c>
      <c r="Y288" s="131">
        <v>3.9699999999999999E-2</v>
      </c>
      <c r="Z288" s="29">
        <v>2127.81</v>
      </c>
      <c r="AA288" s="34">
        <v>380</v>
      </c>
      <c r="AB288" s="9">
        <f t="shared" si="176"/>
        <v>2507.81</v>
      </c>
      <c r="AC288" s="9">
        <f t="shared" si="184"/>
        <v>15874.44</v>
      </c>
      <c r="AD288" s="9">
        <v>1.46</v>
      </c>
      <c r="AE288" s="9">
        <v>4.91</v>
      </c>
      <c r="AF288" s="21">
        <f>2.41-AJ288</f>
        <v>2.2599999999999998</v>
      </c>
      <c r="AG288" s="18">
        <f>0.59-AQ288</f>
        <v>0.53</v>
      </c>
      <c r="AH288" s="9">
        <v>2.77</v>
      </c>
      <c r="AI288" s="43">
        <v>369</v>
      </c>
      <c r="AJ288" s="21">
        <f t="shared" si="178"/>
        <v>0.15</v>
      </c>
      <c r="AK288" s="9">
        <v>1.71</v>
      </c>
      <c r="AL288" s="9">
        <v>0.15</v>
      </c>
      <c r="AM288" s="9">
        <v>0.23</v>
      </c>
      <c r="AN288" s="13"/>
      <c r="AO288" s="13">
        <v>305.89999999999998</v>
      </c>
      <c r="AP288" s="13">
        <f t="shared" si="208"/>
        <v>5.58</v>
      </c>
      <c r="AQ288" s="18">
        <f t="shared" si="179"/>
        <v>0.06</v>
      </c>
      <c r="AR288" s="9">
        <v>0.65</v>
      </c>
      <c r="AS288" s="9">
        <v>0.54</v>
      </c>
      <c r="AT288" s="9">
        <v>7.0000000000000007E-2</v>
      </c>
      <c r="AU288" s="9">
        <v>4.05</v>
      </c>
      <c r="AV288" s="9">
        <v>0.16</v>
      </c>
      <c r="AW288" s="9">
        <f>1.39+0.33+0.36</f>
        <v>2.08</v>
      </c>
      <c r="AX288" s="9">
        <f>1.95+0.48</f>
        <v>2.4300000000000002</v>
      </c>
      <c r="AY288" s="81">
        <f t="shared" si="209"/>
        <v>24.21</v>
      </c>
      <c r="AZ288" s="82"/>
      <c r="BA288" s="82"/>
      <c r="BB288" s="82"/>
      <c r="BC288" s="82">
        <v>24.21</v>
      </c>
      <c r="BD288" s="13">
        <f t="shared" si="207"/>
        <v>0</v>
      </c>
      <c r="BE288" s="9">
        <f t="shared" si="185"/>
        <v>60714.080000000002</v>
      </c>
      <c r="BF288" s="9">
        <v>24.21</v>
      </c>
      <c r="BG288" s="10">
        <v>44440</v>
      </c>
      <c r="BH288" s="9">
        <f t="shared" si="186"/>
        <v>3661.4</v>
      </c>
      <c r="BI288" s="9">
        <f t="shared" si="187"/>
        <v>12313.35</v>
      </c>
      <c r="BJ288" s="9">
        <f t="shared" si="188"/>
        <v>5667.65</v>
      </c>
      <c r="BK288" s="9">
        <f t="shared" si="189"/>
        <v>1329.14</v>
      </c>
      <c r="BL288" s="9">
        <f t="shared" si="190"/>
        <v>6946.63</v>
      </c>
      <c r="BM288" s="9">
        <f t="shared" si="191"/>
        <v>376.17</v>
      </c>
      <c r="BN288" s="9">
        <f t="shared" si="192"/>
        <v>4288.3599999999997</v>
      </c>
      <c r="BO288" s="9">
        <f t="shared" si="193"/>
        <v>376.17</v>
      </c>
      <c r="BP288" s="9">
        <f t="shared" si="194"/>
        <v>576.79999999999995</v>
      </c>
      <c r="BQ288" s="9">
        <f t="shared" si="195"/>
        <v>150.47</v>
      </c>
      <c r="BR288" s="9">
        <f t="shared" si="196"/>
        <v>1630.08</v>
      </c>
      <c r="BS288" s="9">
        <f t="shared" si="197"/>
        <v>1354.22</v>
      </c>
      <c r="BT288" s="9">
        <f t="shared" si="198"/>
        <v>175.55</v>
      </c>
      <c r="BU288" s="9">
        <f t="shared" si="199"/>
        <v>10156.629999999999</v>
      </c>
      <c r="BV288" s="9">
        <f t="shared" si="200"/>
        <v>401.25</v>
      </c>
      <c r="BW288" s="9">
        <f t="shared" si="201"/>
        <v>5216.24</v>
      </c>
      <c r="BX288" s="9">
        <f t="shared" si="202"/>
        <v>6093.98</v>
      </c>
      <c r="BY288" s="17">
        <f t="shared" si="203"/>
        <v>60714.09</v>
      </c>
      <c r="BZ288" s="17">
        <v>3.73</v>
      </c>
      <c r="CA288" s="17">
        <v>0.06</v>
      </c>
      <c r="CB288" s="17">
        <v>0.37</v>
      </c>
      <c r="CC288" s="27">
        <v>0.06</v>
      </c>
      <c r="CD288" s="29">
        <v>6.33</v>
      </c>
      <c r="CE288" s="9"/>
      <c r="CF288" s="9"/>
      <c r="CG288" s="9"/>
      <c r="CH288" s="9"/>
      <c r="CI288" s="9"/>
      <c r="CJ288" s="9"/>
      <c r="CK288" s="13"/>
      <c r="CL288" s="13"/>
      <c r="CM288" s="13">
        <v>51514.36</v>
      </c>
      <c r="CN288" s="13">
        <v>0</v>
      </c>
      <c r="CO288" s="13">
        <v>382.98</v>
      </c>
      <c r="CP288" s="13">
        <v>0</v>
      </c>
      <c r="CQ288" s="13">
        <v>63.79</v>
      </c>
      <c r="CR288" s="13">
        <v>47679.17</v>
      </c>
      <c r="CS288" s="13">
        <v>1450.99</v>
      </c>
      <c r="CT288" s="13">
        <v>165.24</v>
      </c>
      <c r="CU288" s="13">
        <v>20.36</v>
      </c>
      <c r="CV288" s="13">
        <v>65.239999999999995</v>
      </c>
      <c r="CW288" s="202">
        <v>2185</v>
      </c>
      <c r="CX288" s="200">
        <v>1253</v>
      </c>
      <c r="CY288" s="202"/>
      <c r="CZ288" s="202"/>
      <c r="DA288" s="202"/>
      <c r="DB288" s="202"/>
      <c r="DC288" s="202"/>
      <c r="DD288" s="461"/>
      <c r="DE288" s="256"/>
      <c r="DF288" s="202"/>
      <c r="DG288" s="202"/>
      <c r="DH288" s="202"/>
      <c r="DI288" s="204">
        <v>369</v>
      </c>
      <c r="DJ288" s="202">
        <v>4300</v>
      </c>
      <c r="DK288" s="202"/>
      <c r="DL288" s="202"/>
      <c r="DM288" s="202">
        <v>16326</v>
      </c>
      <c r="DN288" s="202">
        <v>1411</v>
      </c>
      <c r="DO288" s="202">
        <v>0.83</v>
      </c>
      <c r="DP288" s="202"/>
      <c r="DQ288" s="202"/>
      <c r="DR288" s="202"/>
      <c r="DS288" s="202"/>
      <c r="DT288" s="254"/>
      <c r="DU288" s="254"/>
      <c r="DV288" s="202"/>
      <c r="DW288" s="202">
        <v>11497</v>
      </c>
      <c r="DX288" s="202"/>
      <c r="DY288" s="107"/>
      <c r="DZ288" s="107"/>
      <c r="EA288" s="202">
        <f>6462.27+5113.47</f>
        <v>11575.74</v>
      </c>
      <c r="EB288" s="202">
        <v>6635</v>
      </c>
      <c r="EC288" s="202"/>
      <c r="ED288" s="202"/>
      <c r="EE288" s="202"/>
      <c r="EF288" s="229"/>
      <c r="EG288" s="202"/>
      <c r="EH288" s="202"/>
      <c r="EI288" s="202"/>
      <c r="EJ288" s="202"/>
      <c r="EK288" s="202">
        <v>0</v>
      </c>
      <c r="EL288" s="202">
        <v>446.59</v>
      </c>
      <c r="EM288" s="202">
        <v>0</v>
      </c>
      <c r="EN288" s="202">
        <v>76.2</v>
      </c>
      <c r="EO288" s="202">
        <v>0</v>
      </c>
      <c r="EP288" s="202"/>
      <c r="EQ288" s="202">
        <v>0</v>
      </c>
      <c r="ER288" s="202">
        <v>76.2</v>
      </c>
      <c r="ES288" s="202"/>
      <c r="ET288" s="202"/>
      <c r="EU288" s="202"/>
      <c r="EV288" s="214">
        <f>-3.26+13778.94</f>
        <v>13775.68</v>
      </c>
      <c r="EW288" s="240">
        <f t="shared" si="204"/>
        <v>5484.98</v>
      </c>
      <c r="EX288" s="209">
        <f t="shared" si="205"/>
        <v>3569.92</v>
      </c>
    </row>
    <row r="289" spans="1:154" ht="12.75" customHeight="1" x14ac:dyDescent="0.2">
      <c r="A289" s="4" t="s">
        <v>765</v>
      </c>
      <c r="B289" s="117" t="s">
        <v>333</v>
      </c>
      <c r="C289" s="118" t="s">
        <v>62</v>
      </c>
      <c r="D289" s="119" t="s">
        <v>527</v>
      </c>
      <c r="E289" s="118" t="s">
        <v>12</v>
      </c>
      <c r="F289" s="11">
        <v>5</v>
      </c>
      <c r="G289" s="11">
        <v>4</v>
      </c>
      <c r="H289" s="11">
        <v>80</v>
      </c>
      <c r="I289" s="11">
        <v>80</v>
      </c>
      <c r="J289" s="11">
        <v>158</v>
      </c>
      <c r="K289" s="11">
        <v>183</v>
      </c>
      <c r="L289" s="11" t="s">
        <v>746</v>
      </c>
      <c r="M289" s="84">
        <v>274</v>
      </c>
      <c r="N289" s="84">
        <v>877</v>
      </c>
      <c r="O289" s="84">
        <v>0</v>
      </c>
      <c r="P289" s="135">
        <v>274</v>
      </c>
      <c r="Q289" s="135">
        <v>707.2</v>
      </c>
      <c r="R289" s="133">
        <v>0</v>
      </c>
      <c r="S289" s="133">
        <f t="shared" si="206"/>
        <v>981.2</v>
      </c>
      <c r="T289" s="134">
        <v>274</v>
      </c>
      <c r="U289" s="130">
        <v>1.53</v>
      </c>
      <c r="V289" s="131">
        <v>1.9800000000000002E-2</v>
      </c>
      <c r="W289" s="131">
        <v>1.9800000000000002E-2</v>
      </c>
      <c r="X289" s="132">
        <v>1.32E-3</v>
      </c>
      <c r="Y289" s="131">
        <v>3.95E-2</v>
      </c>
      <c r="Z289" s="29">
        <v>3497.02</v>
      </c>
      <c r="AA289" s="34"/>
      <c r="AB289" s="9">
        <f t="shared" si="176"/>
        <v>3497.02</v>
      </c>
      <c r="AC289" s="9">
        <f t="shared" si="184"/>
        <v>22136.14</v>
      </c>
      <c r="AD289" s="9">
        <v>0.39</v>
      </c>
      <c r="AE289" s="9">
        <v>3.88</v>
      </c>
      <c r="AF289" s="21">
        <f>2.43-AJ289</f>
        <v>2.19</v>
      </c>
      <c r="AG289" s="18">
        <f>0.54-AQ289</f>
        <v>0.43</v>
      </c>
      <c r="AH289" s="9">
        <v>2.78</v>
      </c>
      <c r="AI289" s="43">
        <v>842</v>
      </c>
      <c r="AJ289" s="21">
        <f t="shared" si="178"/>
        <v>0.24</v>
      </c>
      <c r="AK289" s="9">
        <v>0</v>
      </c>
      <c r="AL289" s="9">
        <v>0</v>
      </c>
      <c r="AM289" s="9">
        <v>0</v>
      </c>
      <c r="AN289" s="13"/>
      <c r="AO289" s="13">
        <v>801.6</v>
      </c>
      <c r="AP289" s="13">
        <f t="shared" si="208"/>
        <v>5.58</v>
      </c>
      <c r="AQ289" s="18">
        <f t="shared" si="179"/>
        <v>0.11</v>
      </c>
      <c r="AR289" s="9">
        <v>0.79</v>
      </c>
      <c r="AS289" s="9">
        <v>0.39</v>
      </c>
      <c r="AT289" s="9">
        <v>7.0000000000000007E-2</v>
      </c>
      <c r="AU289" s="9">
        <v>4.74</v>
      </c>
      <c r="AV289" s="9">
        <v>0.12</v>
      </c>
      <c r="AW289" s="9">
        <f>1.01+0.32+0.41</f>
        <v>1.74</v>
      </c>
      <c r="AX289" s="9">
        <f>1.38+0.56</f>
        <v>1.94</v>
      </c>
      <c r="AY289" s="120">
        <f t="shared" si="209"/>
        <v>19.809999999999999</v>
      </c>
      <c r="AZ289" s="121">
        <v>3505.2</v>
      </c>
      <c r="BA289" s="121">
        <v>0</v>
      </c>
      <c r="BB289" s="121">
        <f t="shared" si="177"/>
        <v>3505.2</v>
      </c>
      <c r="BC289" s="121">
        <v>19.809999999999999</v>
      </c>
      <c r="BD289" s="13">
        <f t="shared" si="207"/>
        <v>0</v>
      </c>
      <c r="BE289" s="9">
        <f t="shared" si="185"/>
        <v>69275.97</v>
      </c>
      <c r="BF289" s="9">
        <v>19.809999999999999</v>
      </c>
      <c r="BG289" s="10">
        <v>44409</v>
      </c>
      <c r="BH289" s="9">
        <f t="shared" si="186"/>
        <v>1363.84</v>
      </c>
      <c r="BI289" s="9">
        <f t="shared" si="187"/>
        <v>13568.44</v>
      </c>
      <c r="BJ289" s="9">
        <f t="shared" si="188"/>
        <v>7658.47</v>
      </c>
      <c r="BK289" s="9">
        <f t="shared" si="189"/>
        <v>1503.72</v>
      </c>
      <c r="BL289" s="9">
        <f t="shared" si="190"/>
        <v>9721.7199999999993</v>
      </c>
      <c r="BM289" s="9">
        <f t="shared" si="191"/>
        <v>839.28</v>
      </c>
      <c r="BN289" s="9">
        <f t="shared" si="192"/>
        <v>0</v>
      </c>
      <c r="BO289" s="9">
        <f t="shared" si="193"/>
        <v>0</v>
      </c>
      <c r="BP289" s="9">
        <f t="shared" si="194"/>
        <v>0</v>
      </c>
      <c r="BQ289" s="9">
        <f t="shared" si="195"/>
        <v>384.67</v>
      </c>
      <c r="BR289" s="9">
        <f t="shared" si="196"/>
        <v>2762.65</v>
      </c>
      <c r="BS289" s="9">
        <f t="shared" si="197"/>
        <v>1363.84</v>
      </c>
      <c r="BT289" s="9">
        <f t="shared" si="198"/>
        <v>244.79</v>
      </c>
      <c r="BU289" s="9">
        <f t="shared" si="199"/>
        <v>16575.87</v>
      </c>
      <c r="BV289" s="9">
        <f t="shared" si="200"/>
        <v>419.64</v>
      </c>
      <c r="BW289" s="9">
        <f t="shared" si="201"/>
        <v>6084.81</v>
      </c>
      <c r="BX289" s="9">
        <f t="shared" si="202"/>
        <v>6784.22</v>
      </c>
      <c r="BY289" s="17">
        <f t="shared" si="203"/>
        <v>69275.960000000006</v>
      </c>
      <c r="BZ289" s="17">
        <v>1.93</v>
      </c>
      <c r="CA289" s="17">
        <v>0.04</v>
      </c>
      <c r="CB289" s="17">
        <v>0.26</v>
      </c>
      <c r="CC289" s="27">
        <v>0.04</v>
      </c>
      <c r="CD289" s="29">
        <v>6.33</v>
      </c>
      <c r="CE289" s="9">
        <v>15679.98</v>
      </c>
      <c r="CF289" s="9"/>
      <c r="CG289" s="9">
        <v>146.61000000000001</v>
      </c>
      <c r="CH289" s="9">
        <v>153.12</v>
      </c>
      <c r="CI289" s="9">
        <f>IF(CE289&gt;0,CE289/AB289,0)</f>
        <v>4.4800000000000004</v>
      </c>
      <c r="CJ289" s="9">
        <f>IF(CF289&gt;0,CF289/AB289,0)</f>
        <v>0</v>
      </c>
      <c r="CK289" s="13">
        <f>IF(CG289&gt;0,CG289/AB289,0)</f>
        <v>0.04</v>
      </c>
      <c r="CL289" s="13">
        <f>IF(CH289&gt;0,CH289/AB289,0)</f>
        <v>0.04</v>
      </c>
      <c r="CM289" s="13">
        <v>69275.990000000005</v>
      </c>
      <c r="CN289" s="13">
        <v>2972.28</v>
      </c>
      <c r="CO289" s="13">
        <v>0</v>
      </c>
      <c r="CP289" s="13">
        <v>139.91</v>
      </c>
      <c r="CQ289" s="13">
        <v>139.91</v>
      </c>
      <c r="CR289" s="13">
        <v>68033.929999999993</v>
      </c>
      <c r="CS289" s="13">
        <v>5796.29</v>
      </c>
      <c r="CT289" s="13">
        <v>181.2</v>
      </c>
      <c r="CU289" s="13">
        <v>137.43</v>
      </c>
      <c r="CV289" s="13">
        <v>137.41999999999999</v>
      </c>
      <c r="CW289" s="202">
        <v>3046</v>
      </c>
      <c r="CX289" s="200">
        <v>1747</v>
      </c>
      <c r="CY289" s="202"/>
      <c r="CZ289" s="202"/>
      <c r="DA289" s="202"/>
      <c r="DB289" s="202"/>
      <c r="DC289" s="202"/>
      <c r="DD289" s="461"/>
      <c r="DE289" s="256"/>
      <c r="DF289" s="202"/>
      <c r="DG289" s="202"/>
      <c r="DH289" s="202"/>
      <c r="DI289" s="204">
        <v>842</v>
      </c>
      <c r="DJ289" s="202"/>
      <c r="DK289" s="202"/>
      <c r="DL289" s="202"/>
      <c r="DM289" s="202">
        <v>15320</v>
      </c>
      <c r="DN289" s="202">
        <v>2839</v>
      </c>
      <c r="DO289" s="202">
        <v>1.67</v>
      </c>
      <c r="DP289" s="202"/>
      <c r="DQ289" s="202"/>
      <c r="DR289" s="202"/>
      <c r="DS289" s="202">
        <v>8705</v>
      </c>
      <c r="DT289" s="254">
        <v>273</v>
      </c>
      <c r="DU289" s="254">
        <v>188</v>
      </c>
      <c r="DV289" s="202"/>
      <c r="DW289" s="202">
        <v>15936</v>
      </c>
      <c r="DX289" s="202"/>
      <c r="DY289" s="107">
        <v>1365</v>
      </c>
      <c r="DZ289" s="107"/>
      <c r="EA289" s="202"/>
      <c r="EB289" s="107"/>
      <c r="EC289" s="202"/>
      <c r="ED289" s="202"/>
      <c r="EE289" s="202"/>
      <c r="EF289" s="229"/>
      <c r="EG289" s="202"/>
      <c r="EH289" s="202"/>
      <c r="EI289" s="202"/>
      <c r="EJ289" s="202"/>
      <c r="EK289" s="202">
        <v>2974.26</v>
      </c>
      <c r="EL289" s="202">
        <v>0</v>
      </c>
      <c r="EM289" s="202">
        <v>146.61000000000001</v>
      </c>
      <c r="EN289" s="202">
        <v>153.12</v>
      </c>
      <c r="EO289" s="202">
        <v>2974.26</v>
      </c>
      <c r="EP289" s="202"/>
      <c r="EQ289" s="202">
        <v>146.61000000000001</v>
      </c>
      <c r="ER289" s="202">
        <v>153.12</v>
      </c>
      <c r="ES289" s="202"/>
      <c r="ET289" s="202"/>
      <c r="EU289" s="202"/>
      <c r="EV289" s="214">
        <v>2.15</v>
      </c>
      <c r="EW289" s="240">
        <f t="shared" si="204"/>
        <v>7648.54</v>
      </c>
      <c r="EX289" s="209">
        <f t="shared" si="205"/>
        <v>4978.08</v>
      </c>
    </row>
    <row r="290" spans="1:154" ht="12.75" customHeight="1" x14ac:dyDescent="0.2">
      <c r="A290" s="4" t="s">
        <v>766</v>
      </c>
      <c r="B290" s="78" t="s">
        <v>333</v>
      </c>
      <c r="C290" s="79" t="s">
        <v>25</v>
      </c>
      <c r="D290" s="80" t="s">
        <v>677</v>
      </c>
      <c r="E290" s="79"/>
      <c r="F290" s="11">
        <v>9</v>
      </c>
      <c r="G290" s="11">
        <v>1</v>
      </c>
      <c r="H290" s="11">
        <v>52</v>
      </c>
      <c r="I290" s="11">
        <v>52</v>
      </c>
      <c r="J290" s="11">
        <v>95</v>
      </c>
      <c r="K290" s="11">
        <v>119</v>
      </c>
      <c r="L290" s="11">
        <v>1</v>
      </c>
      <c r="M290" s="84">
        <v>254</v>
      </c>
      <c r="N290" s="84">
        <v>380</v>
      </c>
      <c r="O290" s="84">
        <v>380</v>
      </c>
      <c r="P290" s="139">
        <v>243.2</v>
      </c>
      <c r="Q290" s="135">
        <f>14.3+46.7+11.1+242.6</f>
        <v>314.7</v>
      </c>
      <c r="R290" s="133">
        <v>0</v>
      </c>
      <c r="S290" s="133">
        <f t="shared" si="206"/>
        <v>557.9</v>
      </c>
      <c r="T290" s="139">
        <v>254</v>
      </c>
      <c r="U290" s="130">
        <v>2.44</v>
      </c>
      <c r="V290" s="131">
        <v>1.9800000000000002E-2</v>
      </c>
      <c r="W290" s="131">
        <v>1.9800000000000002E-2</v>
      </c>
      <c r="X290" s="132">
        <v>1.32E-3</v>
      </c>
      <c r="Y290" s="131">
        <v>3.9699999999999999E-2</v>
      </c>
      <c r="Z290" s="29">
        <v>2215.1799999999998</v>
      </c>
      <c r="AA290" s="34">
        <v>337.8</v>
      </c>
      <c r="AB290" s="9">
        <f t="shared" si="176"/>
        <v>2552.98</v>
      </c>
      <c r="AC290" s="9">
        <f t="shared" si="184"/>
        <v>16160.36</v>
      </c>
      <c r="AD290" s="9">
        <v>1.32</v>
      </c>
      <c r="AE290" s="9">
        <v>4.34</v>
      </c>
      <c r="AF290" s="21">
        <f>2.39-AJ290</f>
        <v>2.25</v>
      </c>
      <c r="AG290" s="18">
        <f>0.59-AQ290</f>
        <v>0.53</v>
      </c>
      <c r="AH290" s="9">
        <v>2.77</v>
      </c>
      <c r="AI290" s="43">
        <v>365</v>
      </c>
      <c r="AJ290" s="21">
        <f t="shared" si="178"/>
        <v>0.14000000000000001</v>
      </c>
      <c r="AK290" s="9">
        <v>1.68</v>
      </c>
      <c r="AL290" s="9">
        <v>0.15</v>
      </c>
      <c r="AM290" s="9">
        <v>0.23</v>
      </c>
      <c r="AN290" s="13"/>
      <c r="AO290" s="13">
        <v>305.89999999999998</v>
      </c>
      <c r="AP290" s="13">
        <f t="shared" si="208"/>
        <v>5.58</v>
      </c>
      <c r="AQ290" s="18">
        <f t="shared" si="179"/>
        <v>0.06</v>
      </c>
      <c r="AR290" s="9">
        <v>0.64</v>
      </c>
      <c r="AS290" s="9">
        <v>0.53</v>
      </c>
      <c r="AT290" s="9">
        <v>7.0000000000000007E-2</v>
      </c>
      <c r="AU290" s="9">
        <v>5.03</v>
      </c>
      <c r="AV290" s="9">
        <v>0.16</v>
      </c>
      <c r="AW290" s="9">
        <f>1.32+0.33+0.44</f>
        <v>2.09</v>
      </c>
      <c r="AX290" s="9">
        <f>1.87+0.59</f>
        <v>2.46</v>
      </c>
      <c r="AY290" s="81">
        <f t="shared" si="209"/>
        <v>24.45</v>
      </c>
      <c r="AZ290" s="82"/>
      <c r="BA290" s="82"/>
      <c r="BB290" s="82"/>
      <c r="BC290" s="82">
        <v>24.45</v>
      </c>
      <c r="BD290" s="13">
        <f t="shared" si="207"/>
        <v>0</v>
      </c>
      <c r="BE290" s="9">
        <f t="shared" si="185"/>
        <v>62420.36</v>
      </c>
      <c r="BF290" s="9">
        <v>24.45</v>
      </c>
      <c r="BG290" s="10">
        <v>44440</v>
      </c>
      <c r="BH290" s="9">
        <f t="shared" si="186"/>
        <v>3369.93</v>
      </c>
      <c r="BI290" s="9">
        <f t="shared" si="187"/>
        <v>11079.93</v>
      </c>
      <c r="BJ290" s="9">
        <f t="shared" si="188"/>
        <v>5744.21</v>
      </c>
      <c r="BK290" s="9">
        <f t="shared" si="189"/>
        <v>1353.08</v>
      </c>
      <c r="BL290" s="9">
        <f t="shared" si="190"/>
        <v>7071.75</v>
      </c>
      <c r="BM290" s="9">
        <f t="shared" si="191"/>
        <v>357.42</v>
      </c>
      <c r="BN290" s="9">
        <f t="shared" si="192"/>
        <v>4289.01</v>
      </c>
      <c r="BO290" s="9">
        <f t="shared" si="193"/>
        <v>382.95</v>
      </c>
      <c r="BP290" s="9">
        <f t="shared" si="194"/>
        <v>587.19000000000005</v>
      </c>
      <c r="BQ290" s="9">
        <f t="shared" si="195"/>
        <v>153.18</v>
      </c>
      <c r="BR290" s="9">
        <f t="shared" si="196"/>
        <v>1633.91</v>
      </c>
      <c r="BS290" s="9">
        <f t="shared" si="197"/>
        <v>1353.08</v>
      </c>
      <c r="BT290" s="9">
        <f t="shared" si="198"/>
        <v>178.71</v>
      </c>
      <c r="BU290" s="9">
        <f t="shared" si="199"/>
        <v>12841.49</v>
      </c>
      <c r="BV290" s="9">
        <f t="shared" si="200"/>
        <v>408.48</v>
      </c>
      <c r="BW290" s="9">
        <f t="shared" si="201"/>
        <v>5335.73</v>
      </c>
      <c r="BX290" s="9">
        <f t="shared" si="202"/>
        <v>6280.33</v>
      </c>
      <c r="BY290" s="17">
        <f t="shared" si="203"/>
        <v>62420.38</v>
      </c>
      <c r="BZ290" s="17">
        <v>3.57</v>
      </c>
      <c r="CA290" s="17">
        <v>0.05</v>
      </c>
      <c r="CB290" s="17">
        <v>0.34</v>
      </c>
      <c r="CC290" s="27">
        <v>0.06</v>
      </c>
      <c r="CD290" s="29">
        <v>6.33</v>
      </c>
      <c r="CE290" s="9"/>
      <c r="CF290" s="9"/>
      <c r="CG290" s="9"/>
      <c r="CH290" s="9"/>
      <c r="CI290" s="9"/>
      <c r="CJ290" s="9"/>
      <c r="CK290" s="13"/>
      <c r="CL290" s="13"/>
      <c r="CM290" s="13">
        <v>54161.31</v>
      </c>
      <c r="CN290" s="13">
        <v>3012.67</v>
      </c>
      <c r="CO290" s="13">
        <v>0</v>
      </c>
      <c r="CP290" s="13">
        <v>0</v>
      </c>
      <c r="CQ290" s="13">
        <v>66.42</v>
      </c>
      <c r="CR290" s="13">
        <v>53255.59</v>
      </c>
      <c r="CS290" s="13">
        <v>5511.21</v>
      </c>
      <c r="CT290" s="13">
        <v>142.66999999999999</v>
      </c>
      <c r="CU290" s="13">
        <v>21.01</v>
      </c>
      <c r="CV290" s="13">
        <v>72.88</v>
      </c>
      <c r="CW290" s="202">
        <v>2224</v>
      </c>
      <c r="CX290" s="200">
        <v>1276</v>
      </c>
      <c r="CY290" s="202"/>
      <c r="CZ290" s="202"/>
      <c r="DA290" s="202"/>
      <c r="DB290" s="202"/>
      <c r="DC290" s="202"/>
      <c r="DD290" s="461"/>
      <c r="DE290" s="256"/>
      <c r="DF290" s="202"/>
      <c r="DG290" s="202"/>
      <c r="DH290" s="202"/>
      <c r="DI290" s="204">
        <v>365</v>
      </c>
      <c r="DJ290" s="202">
        <v>4300</v>
      </c>
      <c r="DK290" s="202"/>
      <c r="DL290" s="202"/>
      <c r="DM290" s="202">
        <v>14717</v>
      </c>
      <c r="DN290" s="202">
        <v>2346</v>
      </c>
      <c r="DO290" s="202">
        <v>1.38</v>
      </c>
      <c r="DP290" s="202"/>
      <c r="DQ290" s="202"/>
      <c r="DR290" s="202"/>
      <c r="DS290" s="202"/>
      <c r="DT290" s="254"/>
      <c r="DU290" s="254"/>
      <c r="DV290" s="202"/>
      <c r="DW290" s="202">
        <v>11604</v>
      </c>
      <c r="DX290" s="202"/>
      <c r="DY290" s="107">
        <v>1365</v>
      </c>
      <c r="DZ290" s="107">
        <v>577</v>
      </c>
      <c r="EA290" s="202"/>
      <c r="EB290" s="202">
        <v>6635</v>
      </c>
      <c r="EC290" s="202"/>
      <c r="ED290" s="202"/>
      <c r="EE290" s="202"/>
      <c r="EF290" s="229"/>
      <c r="EG290" s="202"/>
      <c r="EH290" s="202"/>
      <c r="EI290" s="202"/>
      <c r="EJ290" s="202"/>
      <c r="EK290" s="202">
        <v>3475.92</v>
      </c>
      <c r="EL290" s="202">
        <v>0</v>
      </c>
      <c r="EM290" s="202">
        <v>0</v>
      </c>
      <c r="EN290" s="202">
        <v>71.150000000000006</v>
      </c>
      <c r="EO290" s="202">
        <v>3475.92</v>
      </c>
      <c r="EP290" s="202"/>
      <c r="EQ290" s="202">
        <v>0</v>
      </c>
      <c r="ER290" s="202">
        <v>71.150000000000006</v>
      </c>
      <c r="ES290" s="202"/>
      <c r="ET290" s="202"/>
      <c r="EU290" s="202"/>
      <c r="EV290" s="214">
        <v>-2.91</v>
      </c>
      <c r="EW290" s="240">
        <f t="shared" si="204"/>
        <v>5583.78</v>
      </c>
      <c r="EX290" s="209">
        <f t="shared" si="205"/>
        <v>3634.22</v>
      </c>
    </row>
    <row r="291" spans="1:154" ht="12.75" customHeight="1" x14ac:dyDescent="0.2">
      <c r="A291" s="4" t="s">
        <v>767</v>
      </c>
      <c r="B291" s="60" t="s">
        <v>343</v>
      </c>
      <c r="C291" s="61" t="s">
        <v>203</v>
      </c>
      <c r="D291" s="62" t="s">
        <v>680</v>
      </c>
      <c r="E291" s="61" t="s">
        <v>12</v>
      </c>
      <c r="F291" s="11">
        <v>10</v>
      </c>
      <c r="G291" s="11">
        <v>4</v>
      </c>
      <c r="H291" s="11">
        <v>160</v>
      </c>
      <c r="I291" s="11">
        <v>161</v>
      </c>
      <c r="J291" s="11">
        <v>363</v>
      </c>
      <c r="K291" s="11">
        <v>425</v>
      </c>
      <c r="L291" s="83">
        <v>4</v>
      </c>
      <c r="M291" s="84">
        <v>860</v>
      </c>
      <c r="N291" s="84">
        <v>1164</v>
      </c>
      <c r="O291" s="84">
        <v>1164</v>
      </c>
      <c r="P291" s="139">
        <f>489.7+486.8</f>
        <v>976.5</v>
      </c>
      <c r="Q291" s="135">
        <v>877.1</v>
      </c>
      <c r="R291" s="133">
        <v>0</v>
      </c>
      <c r="S291" s="133">
        <f t="shared" si="206"/>
        <v>1853.6</v>
      </c>
      <c r="T291" s="139">
        <v>860</v>
      </c>
      <c r="U291" s="130">
        <v>2.74</v>
      </c>
      <c r="V291" s="91">
        <v>1.1299999999999999E-2</v>
      </c>
      <c r="W291" s="91">
        <v>1.1299999999999999E-2</v>
      </c>
      <c r="X291" s="132">
        <v>7.5000000000000002E-4</v>
      </c>
      <c r="Y291" s="91">
        <v>2.2499999999999999E-2</v>
      </c>
      <c r="Z291" s="29">
        <v>8674.32</v>
      </c>
      <c r="AA291" s="34">
        <v>306</v>
      </c>
      <c r="AB291" s="9">
        <f t="shared" si="176"/>
        <v>8980.32</v>
      </c>
      <c r="AC291" s="9">
        <f t="shared" si="184"/>
        <v>56845.43</v>
      </c>
      <c r="AD291" s="9">
        <v>1.5</v>
      </c>
      <c r="AE291" s="9">
        <v>5.1100000000000003</v>
      </c>
      <c r="AF291" s="21">
        <f>2.46-AJ291</f>
        <v>2.34</v>
      </c>
      <c r="AG291" s="18">
        <f>0.6-AQ291</f>
        <v>0.55000000000000004</v>
      </c>
      <c r="AH291" s="9">
        <v>2.4700000000000002</v>
      </c>
      <c r="AI291" s="43">
        <v>1117</v>
      </c>
      <c r="AJ291" s="21">
        <f t="shared" si="178"/>
        <v>0.12</v>
      </c>
      <c r="AK291" s="9">
        <v>1.92</v>
      </c>
      <c r="AL291" s="9">
        <v>0.17</v>
      </c>
      <c r="AM291" s="9">
        <v>0.11</v>
      </c>
      <c r="AN291" s="13"/>
      <c r="AO291" s="13">
        <v>982.4</v>
      </c>
      <c r="AP291" s="13">
        <f t="shared" si="208"/>
        <v>5.58</v>
      </c>
      <c r="AQ291" s="18">
        <f t="shared" si="179"/>
        <v>0.05</v>
      </c>
      <c r="AR291" s="9">
        <v>0.54</v>
      </c>
      <c r="AS291" s="9">
        <v>0.15</v>
      </c>
      <c r="AT291" s="9">
        <v>7.0000000000000007E-2</v>
      </c>
      <c r="AU291" s="9">
        <v>3.82</v>
      </c>
      <c r="AV291" s="9">
        <v>0.14000000000000001</v>
      </c>
      <c r="AW291" s="9">
        <f>1.35+0.34+0.26</f>
        <v>1.95</v>
      </c>
      <c r="AX291" s="9">
        <f>1.89+0.45</f>
        <v>2.34</v>
      </c>
      <c r="AY291" s="63">
        <f t="shared" si="209"/>
        <v>23.35</v>
      </c>
      <c r="AZ291" s="64">
        <v>8662.9</v>
      </c>
      <c r="BA291" s="64">
        <v>306</v>
      </c>
      <c r="BB291" s="64">
        <f t="shared" si="177"/>
        <v>8968.9</v>
      </c>
      <c r="BC291" s="64">
        <v>23.35</v>
      </c>
      <c r="BD291" s="13">
        <f t="shared" si="207"/>
        <v>0</v>
      </c>
      <c r="BE291" s="9">
        <f t="shared" si="185"/>
        <v>209690.47</v>
      </c>
      <c r="BF291" s="9">
        <v>23.35</v>
      </c>
      <c r="BG291" s="10">
        <v>44409</v>
      </c>
      <c r="BH291" s="9">
        <f t="shared" si="186"/>
        <v>13470.48</v>
      </c>
      <c r="BI291" s="9">
        <f t="shared" si="187"/>
        <v>45889.440000000002</v>
      </c>
      <c r="BJ291" s="9">
        <f t="shared" si="188"/>
        <v>21013.95</v>
      </c>
      <c r="BK291" s="9">
        <f t="shared" si="189"/>
        <v>4939.18</v>
      </c>
      <c r="BL291" s="9">
        <f t="shared" si="190"/>
        <v>22181.39</v>
      </c>
      <c r="BM291" s="9">
        <f t="shared" si="191"/>
        <v>1077.6400000000001</v>
      </c>
      <c r="BN291" s="9">
        <f t="shared" si="192"/>
        <v>17242.21</v>
      </c>
      <c r="BO291" s="9">
        <f t="shared" si="193"/>
        <v>1526.65</v>
      </c>
      <c r="BP291" s="9">
        <f t="shared" si="194"/>
        <v>987.84</v>
      </c>
      <c r="BQ291" s="9">
        <f t="shared" si="195"/>
        <v>449.02</v>
      </c>
      <c r="BR291" s="9">
        <f t="shared" si="196"/>
        <v>4849.37</v>
      </c>
      <c r="BS291" s="9">
        <f t="shared" si="197"/>
        <v>1347.05</v>
      </c>
      <c r="BT291" s="9">
        <f t="shared" si="198"/>
        <v>628.62</v>
      </c>
      <c r="BU291" s="9">
        <f t="shared" si="199"/>
        <v>34304.82</v>
      </c>
      <c r="BV291" s="9">
        <f t="shared" si="200"/>
        <v>1257.24</v>
      </c>
      <c r="BW291" s="9">
        <f t="shared" si="201"/>
        <v>17511.62</v>
      </c>
      <c r="BX291" s="9">
        <f t="shared" si="202"/>
        <v>21013.95</v>
      </c>
      <c r="BY291" s="17">
        <f t="shared" si="203"/>
        <v>209690.47</v>
      </c>
      <c r="BZ291" s="17">
        <v>3.6</v>
      </c>
      <c r="CA291" s="17">
        <v>0.03</v>
      </c>
      <c r="CB291" s="17">
        <v>0.18</v>
      </c>
      <c r="CC291" s="27">
        <v>0.03</v>
      </c>
      <c r="CD291" s="29">
        <v>6.33</v>
      </c>
      <c r="CE291" s="9">
        <v>32560.02</v>
      </c>
      <c r="CF291" s="9"/>
      <c r="CG291" s="9">
        <v>262.62</v>
      </c>
      <c r="CH291" s="9">
        <v>273.76</v>
      </c>
      <c r="CI291" s="9">
        <f t="shared" ref="CI291:CI312" si="214">IF(CE291&gt;0,CE291/AB291,0)</f>
        <v>3.63</v>
      </c>
      <c r="CJ291" s="9">
        <f t="shared" ref="CJ291:CJ312" si="215">IF(CF291&gt;0,CF291/AB291,0)</f>
        <v>0</v>
      </c>
      <c r="CK291" s="13">
        <f t="shared" ref="CK291:CK312" si="216">IF(CG291&gt;0,CG291/AB291,0)</f>
        <v>0.03</v>
      </c>
      <c r="CL291" s="13">
        <f t="shared" ref="CL291:CL312" si="217">IF(CH291&gt;0,CH291/AB291,0)</f>
        <v>0.03</v>
      </c>
      <c r="CM291" s="13">
        <v>202545.67</v>
      </c>
      <c r="CN291" s="13">
        <v>0</v>
      </c>
      <c r="CO291" s="13">
        <v>0</v>
      </c>
      <c r="CP291" s="13">
        <v>260.2</v>
      </c>
      <c r="CQ291" s="13">
        <v>260.2</v>
      </c>
      <c r="CR291" s="13">
        <v>232995.85</v>
      </c>
      <c r="CS291" s="13">
        <v>24162.61</v>
      </c>
      <c r="CT291" s="13">
        <v>285.39</v>
      </c>
      <c r="CU291" s="13">
        <v>299.56</v>
      </c>
      <c r="CV291" s="13">
        <v>299.58</v>
      </c>
      <c r="CW291" s="202">
        <v>7827</v>
      </c>
      <c r="CX291" s="200">
        <v>4490</v>
      </c>
      <c r="CY291" s="202"/>
      <c r="CZ291" s="202"/>
      <c r="DA291" s="202"/>
      <c r="DB291" s="202"/>
      <c r="DC291" s="202"/>
      <c r="DD291" s="461"/>
      <c r="DE291" s="256"/>
      <c r="DF291" s="202"/>
      <c r="DG291" s="202"/>
      <c r="DH291" s="202"/>
      <c r="DI291" s="204">
        <v>1117</v>
      </c>
      <c r="DJ291" s="107">
        <f>17200</f>
        <v>17200</v>
      </c>
      <c r="DK291" s="202"/>
      <c r="DL291" s="202"/>
      <c r="DM291" s="202"/>
      <c r="DN291" s="202"/>
      <c r="DO291" s="202"/>
      <c r="DP291" s="202">
        <v>57948</v>
      </c>
      <c r="DQ291" s="202">
        <v>3400</v>
      </c>
      <c r="DR291" s="202">
        <v>2</v>
      </c>
      <c r="DS291" s="202"/>
      <c r="DT291" s="254"/>
      <c r="DU291" s="254"/>
      <c r="DV291" s="202"/>
      <c r="DW291" s="202">
        <v>39826</v>
      </c>
      <c r="DX291" s="202"/>
      <c r="DY291" s="107"/>
      <c r="DZ291" s="107"/>
      <c r="EA291" s="202"/>
      <c r="EB291" s="107"/>
      <c r="EC291" s="202"/>
      <c r="ED291" s="202"/>
      <c r="EE291" s="202"/>
      <c r="EF291" s="229"/>
      <c r="EG291" s="202"/>
      <c r="EH291" s="202"/>
      <c r="EI291" s="202"/>
      <c r="EJ291" s="202"/>
      <c r="EK291" s="202">
        <v>16239.09</v>
      </c>
      <c r="EL291" s="202">
        <v>0</v>
      </c>
      <c r="EM291" s="202">
        <v>262.62</v>
      </c>
      <c r="EN291" s="202">
        <v>273.76</v>
      </c>
      <c r="EO291" s="202">
        <v>16239.09</v>
      </c>
      <c r="EP291" s="202"/>
      <c r="EQ291" s="202">
        <v>262.62</v>
      </c>
      <c r="ER291" s="202">
        <v>273.76</v>
      </c>
      <c r="ES291" s="202"/>
      <c r="ET291" s="202"/>
      <c r="EU291" s="202"/>
      <c r="EV291" s="214">
        <v>2.15</v>
      </c>
      <c r="EW291" s="240">
        <f t="shared" si="204"/>
        <v>19641.400000000001</v>
      </c>
      <c r="EX291" s="209">
        <f t="shared" si="205"/>
        <v>12783.67</v>
      </c>
    </row>
    <row r="292" spans="1:154" ht="12.75" customHeight="1" x14ac:dyDescent="0.2">
      <c r="A292" s="4" t="s">
        <v>768</v>
      </c>
      <c r="B292" s="148" t="s">
        <v>345</v>
      </c>
      <c r="C292" s="149" t="s">
        <v>8</v>
      </c>
      <c r="D292" s="150" t="s">
        <v>681</v>
      </c>
      <c r="E292" s="149" t="s">
        <v>12</v>
      </c>
      <c r="F292" s="11">
        <v>9</v>
      </c>
      <c r="G292" s="11">
        <v>4</v>
      </c>
      <c r="H292" s="11">
        <v>144</v>
      </c>
      <c r="I292" s="11">
        <v>145</v>
      </c>
      <c r="J292" s="11">
        <v>320</v>
      </c>
      <c r="K292" s="11">
        <v>404</v>
      </c>
      <c r="L292" s="83">
        <v>4</v>
      </c>
      <c r="M292" s="84">
        <v>932</v>
      </c>
      <c r="N292" s="84">
        <v>1087</v>
      </c>
      <c r="O292" s="84">
        <v>0</v>
      </c>
      <c r="P292" s="139">
        <v>870</v>
      </c>
      <c r="Q292" s="135">
        <f>11.2+10+58+62.4+989.9</f>
        <v>1131.5</v>
      </c>
      <c r="R292" s="133">
        <v>0</v>
      </c>
      <c r="S292" s="133">
        <f t="shared" si="206"/>
        <v>2001.5</v>
      </c>
      <c r="T292" s="139">
        <v>932</v>
      </c>
      <c r="U292" s="130">
        <v>2.44</v>
      </c>
      <c r="V292" s="131">
        <v>1.9800000000000002E-2</v>
      </c>
      <c r="W292" s="131">
        <v>1.9800000000000002E-2</v>
      </c>
      <c r="X292" s="132">
        <v>1.32E-3</v>
      </c>
      <c r="Y292" s="131">
        <v>3.9699999999999999E-2</v>
      </c>
      <c r="Z292" s="29">
        <v>7826.72</v>
      </c>
      <c r="AA292" s="34">
        <v>29.3</v>
      </c>
      <c r="AB292" s="9">
        <f t="shared" si="176"/>
        <v>7856.02</v>
      </c>
      <c r="AC292" s="9">
        <f t="shared" si="184"/>
        <v>49728.61</v>
      </c>
      <c r="AD292" s="9">
        <v>2.4500000000000002</v>
      </c>
      <c r="AE292" s="9">
        <v>4.83</v>
      </c>
      <c r="AF292" s="21">
        <f>2.49-AJ292</f>
        <v>2.36</v>
      </c>
      <c r="AG292" s="18">
        <f>0.61-AQ292</f>
        <v>0.56000000000000005</v>
      </c>
      <c r="AH292" s="9">
        <v>2.78</v>
      </c>
      <c r="AI292" s="43">
        <v>1044</v>
      </c>
      <c r="AJ292" s="21">
        <f t="shared" si="178"/>
        <v>0.13</v>
      </c>
      <c r="AK292" s="9">
        <v>2.19</v>
      </c>
      <c r="AL292" s="9">
        <v>0.19</v>
      </c>
      <c r="AM292" s="9">
        <v>7.0000000000000007E-2</v>
      </c>
      <c r="AN292" s="13"/>
      <c r="AO292" s="13">
        <v>844.8</v>
      </c>
      <c r="AP292" s="13">
        <f t="shared" si="208"/>
        <v>5.58</v>
      </c>
      <c r="AQ292" s="18">
        <f t="shared" si="179"/>
        <v>0.05</v>
      </c>
      <c r="AR292" s="9">
        <v>0.56000000000000005</v>
      </c>
      <c r="AS292" s="9">
        <v>0.17</v>
      </c>
      <c r="AT292" s="9">
        <v>7.0000000000000007E-2</v>
      </c>
      <c r="AU292" s="9">
        <v>3.39</v>
      </c>
      <c r="AV292" s="9">
        <v>0.17</v>
      </c>
      <c r="AW292" s="9">
        <f>1.47+0.3+0.26</f>
        <v>2.0299999999999998</v>
      </c>
      <c r="AX292" s="9">
        <f>2.06+0.42</f>
        <v>2.48</v>
      </c>
      <c r="AY292" s="151">
        <f t="shared" si="209"/>
        <v>24.48</v>
      </c>
      <c r="AZ292" s="152">
        <v>7817.43</v>
      </c>
      <c r="BA292" s="152">
        <v>0</v>
      </c>
      <c r="BB292" s="152">
        <f t="shared" si="177"/>
        <v>7817.43</v>
      </c>
      <c r="BC292" s="152">
        <v>24.48</v>
      </c>
      <c r="BD292" s="13">
        <f t="shared" si="207"/>
        <v>0</v>
      </c>
      <c r="BE292" s="9">
        <f t="shared" si="185"/>
        <v>192315.37</v>
      </c>
      <c r="BF292" s="9">
        <v>24.48</v>
      </c>
      <c r="BG292" s="10">
        <v>44409</v>
      </c>
      <c r="BH292" s="9">
        <f t="shared" si="186"/>
        <v>19247.25</v>
      </c>
      <c r="BI292" s="9">
        <f t="shared" si="187"/>
        <v>37944.58</v>
      </c>
      <c r="BJ292" s="9">
        <f t="shared" si="188"/>
        <v>18540.21</v>
      </c>
      <c r="BK292" s="9">
        <f t="shared" si="189"/>
        <v>4399.37</v>
      </c>
      <c r="BL292" s="9">
        <f t="shared" si="190"/>
        <v>21839.74</v>
      </c>
      <c r="BM292" s="9">
        <f t="shared" si="191"/>
        <v>1021.28</v>
      </c>
      <c r="BN292" s="9">
        <f t="shared" si="192"/>
        <v>17204.68</v>
      </c>
      <c r="BO292" s="9">
        <f t="shared" si="193"/>
        <v>1492.64</v>
      </c>
      <c r="BP292" s="9">
        <f t="shared" si="194"/>
        <v>549.91999999999996</v>
      </c>
      <c r="BQ292" s="9">
        <f t="shared" si="195"/>
        <v>392.8</v>
      </c>
      <c r="BR292" s="9">
        <f t="shared" si="196"/>
        <v>4399.37</v>
      </c>
      <c r="BS292" s="9">
        <f t="shared" si="197"/>
        <v>1335.52</v>
      </c>
      <c r="BT292" s="9">
        <f t="shared" si="198"/>
        <v>549.91999999999996</v>
      </c>
      <c r="BU292" s="9">
        <f t="shared" si="199"/>
        <v>26631.91</v>
      </c>
      <c r="BV292" s="9">
        <f t="shared" si="200"/>
        <v>1335.52</v>
      </c>
      <c r="BW292" s="9">
        <f t="shared" si="201"/>
        <v>15947.72</v>
      </c>
      <c r="BX292" s="9">
        <f t="shared" si="202"/>
        <v>19482.93</v>
      </c>
      <c r="BY292" s="17">
        <f t="shared" si="203"/>
        <v>192315.36</v>
      </c>
      <c r="BZ292" s="17">
        <v>2.4</v>
      </c>
      <c r="CA292" s="17">
        <v>0.06</v>
      </c>
      <c r="CB292" s="17">
        <v>0.4</v>
      </c>
      <c r="CC292" s="27">
        <v>7.0000000000000007E-2</v>
      </c>
      <c r="CD292" s="29">
        <v>6.33</v>
      </c>
      <c r="CE292" s="9">
        <v>10428.86</v>
      </c>
      <c r="CF292" s="9"/>
      <c r="CG292" s="9">
        <v>7053.26</v>
      </c>
      <c r="CH292" s="9">
        <v>3953.71</v>
      </c>
      <c r="CI292" s="9">
        <f t="shared" si="214"/>
        <v>1.33</v>
      </c>
      <c r="CJ292" s="9">
        <f t="shared" si="215"/>
        <v>0</v>
      </c>
      <c r="CK292" s="13">
        <f t="shared" si="216"/>
        <v>0.9</v>
      </c>
      <c r="CL292" s="13">
        <f t="shared" si="217"/>
        <v>0.5</v>
      </c>
      <c r="CM292" s="13">
        <v>191597.95</v>
      </c>
      <c r="CN292" s="13">
        <v>19019</v>
      </c>
      <c r="CO292" s="13">
        <v>0</v>
      </c>
      <c r="CP292" s="13">
        <v>0</v>
      </c>
      <c r="CQ292" s="13">
        <v>234.74</v>
      </c>
      <c r="CR292" s="13">
        <v>213735.13</v>
      </c>
      <c r="CS292" s="13">
        <v>22293.360000000001</v>
      </c>
      <c r="CT292" s="13">
        <v>543.01</v>
      </c>
      <c r="CU292" s="13">
        <v>1543.12</v>
      </c>
      <c r="CV292" s="13">
        <v>1075.03</v>
      </c>
      <c r="CW292" s="202">
        <v>6841</v>
      </c>
      <c r="CX292" s="200">
        <v>3924</v>
      </c>
      <c r="CY292" s="202"/>
      <c r="CZ292" s="202">
        <v>10200</v>
      </c>
      <c r="DA292" s="202">
        <v>6</v>
      </c>
      <c r="DB292" s="202"/>
      <c r="DC292" s="202"/>
      <c r="DD292" s="461"/>
      <c r="DE292" s="256"/>
      <c r="DF292" s="202"/>
      <c r="DG292" s="202"/>
      <c r="DH292" s="202"/>
      <c r="DI292" s="204">
        <v>1044</v>
      </c>
      <c r="DJ292" s="202">
        <v>17200</v>
      </c>
      <c r="DK292" s="202"/>
      <c r="DL292" s="202">
        <v>56000</v>
      </c>
      <c r="DM292" s="202">
        <v>50479</v>
      </c>
      <c r="DN292" s="202"/>
      <c r="DO292" s="202"/>
      <c r="DP292" s="202"/>
      <c r="DQ292" s="202"/>
      <c r="DR292" s="202"/>
      <c r="DS292" s="202"/>
      <c r="DT292" s="254"/>
      <c r="DU292" s="254"/>
      <c r="DV292" s="202">
        <v>45499</v>
      </c>
      <c r="DW292" s="202"/>
      <c r="DX292" s="202"/>
      <c r="DY292" s="107">
        <v>1365</v>
      </c>
      <c r="DZ292" s="107">
        <v>577</v>
      </c>
      <c r="EA292" s="202"/>
      <c r="EB292" s="202">
        <v>17764</v>
      </c>
      <c r="EC292" s="202"/>
      <c r="ED292" s="202"/>
      <c r="EE292" s="202"/>
      <c r="EF292" s="229"/>
      <c r="EG292" s="202"/>
      <c r="EH292" s="202"/>
      <c r="EI292" s="202"/>
      <c r="EJ292" s="202"/>
      <c r="EK292" s="202">
        <v>19107.03</v>
      </c>
      <c r="EL292" s="202">
        <v>0</v>
      </c>
      <c r="EM292" s="202">
        <v>0</v>
      </c>
      <c r="EN292" s="202">
        <v>261.08</v>
      </c>
      <c r="EO292" s="202">
        <v>19107.03</v>
      </c>
      <c r="EP292" s="202"/>
      <c r="EQ292" s="202">
        <v>0</v>
      </c>
      <c r="ER292" s="202">
        <v>261.08</v>
      </c>
      <c r="ES292" s="202"/>
      <c r="ET292" s="202"/>
      <c r="EU292" s="202"/>
      <c r="EV292" s="214">
        <v>-16.399999999999999</v>
      </c>
      <c r="EW292" s="240">
        <f t="shared" si="204"/>
        <v>17182.37</v>
      </c>
      <c r="EX292" s="209">
        <f t="shared" si="205"/>
        <v>11183.2</v>
      </c>
    </row>
    <row r="293" spans="1:154" ht="12.75" customHeight="1" x14ac:dyDescent="0.2">
      <c r="A293" s="4" t="s">
        <v>769</v>
      </c>
      <c r="B293" s="60" t="s">
        <v>347</v>
      </c>
      <c r="C293" s="61" t="s">
        <v>57</v>
      </c>
      <c r="D293" s="62" t="s">
        <v>682</v>
      </c>
      <c r="E293" s="61" t="s">
        <v>12</v>
      </c>
      <c r="F293" s="11">
        <v>9</v>
      </c>
      <c r="G293" s="11">
        <v>2</v>
      </c>
      <c r="H293" s="11">
        <v>108</v>
      </c>
      <c r="I293" s="11">
        <v>108</v>
      </c>
      <c r="J293" s="11">
        <v>189</v>
      </c>
      <c r="K293" s="11">
        <v>216</v>
      </c>
      <c r="L293" s="83">
        <v>2</v>
      </c>
      <c r="M293" s="84">
        <v>221.4</v>
      </c>
      <c r="N293" s="84">
        <v>771.3</v>
      </c>
      <c r="O293" s="84">
        <v>771.3</v>
      </c>
      <c r="P293" s="135">
        <v>539.9</v>
      </c>
      <c r="Q293" s="135">
        <v>524.20000000000005</v>
      </c>
      <c r="R293" s="135">
        <v>524.20000000000005</v>
      </c>
      <c r="S293" s="133">
        <f t="shared" si="206"/>
        <v>1588.3</v>
      </c>
      <c r="T293" s="134">
        <v>539.9</v>
      </c>
      <c r="U293" s="130">
        <v>2.44</v>
      </c>
      <c r="V293" s="131">
        <v>1.9800000000000002E-2</v>
      </c>
      <c r="W293" s="131">
        <v>1.9800000000000002E-2</v>
      </c>
      <c r="X293" s="132">
        <v>1.2199999999999999E-3</v>
      </c>
      <c r="Y293" s="131">
        <v>3.9699999999999999E-2</v>
      </c>
      <c r="Z293" s="29">
        <v>4783.6000000000004</v>
      </c>
      <c r="AA293" s="34"/>
      <c r="AB293" s="9">
        <f t="shared" si="176"/>
        <v>4783.6000000000004</v>
      </c>
      <c r="AC293" s="9">
        <f t="shared" si="184"/>
        <v>30280.19</v>
      </c>
      <c r="AD293" s="9">
        <v>1.55</v>
      </c>
      <c r="AE293" s="9">
        <v>4.3899999999999997</v>
      </c>
      <c r="AF293" s="21">
        <f>2.4-AJ293</f>
        <v>2.25</v>
      </c>
      <c r="AG293" s="18">
        <f>0.58-AQ293</f>
        <v>0.52</v>
      </c>
      <c r="AH293" s="9">
        <v>2.77</v>
      </c>
      <c r="AI293" s="43">
        <v>706</v>
      </c>
      <c r="AJ293" s="21">
        <f t="shared" si="178"/>
        <v>0.15</v>
      </c>
      <c r="AK293" s="9">
        <v>1.8</v>
      </c>
      <c r="AL293" s="9">
        <v>0.16</v>
      </c>
      <c r="AM293" s="9">
        <v>0.2</v>
      </c>
      <c r="AN293" s="13"/>
      <c r="AO293" s="13">
        <v>611.79999999999995</v>
      </c>
      <c r="AP293" s="13">
        <f t="shared" si="208"/>
        <v>5.58</v>
      </c>
      <c r="AQ293" s="18">
        <f t="shared" si="179"/>
        <v>0.06</v>
      </c>
      <c r="AR293" s="9">
        <v>0.7</v>
      </c>
      <c r="AS293" s="9">
        <v>0.28999999999999998</v>
      </c>
      <c r="AT293" s="9">
        <v>7.0000000000000007E-2</v>
      </c>
      <c r="AU293" s="9">
        <v>4.07</v>
      </c>
      <c r="AV293" s="9">
        <v>0.16</v>
      </c>
      <c r="AW293" s="9">
        <f>0.32+1.34+0.35</f>
        <v>2.0099999999999998</v>
      </c>
      <c r="AX293" s="9">
        <f>1.88+0.48</f>
        <v>2.36</v>
      </c>
      <c r="AY293" s="63">
        <f t="shared" si="209"/>
        <v>23.51</v>
      </c>
      <c r="AZ293" s="64">
        <v>4779.8</v>
      </c>
      <c r="BA293" s="64">
        <v>0</v>
      </c>
      <c r="BB293" s="64">
        <f t="shared" si="177"/>
        <v>4779.8</v>
      </c>
      <c r="BC293" s="64">
        <v>23.51</v>
      </c>
      <c r="BD293" s="13">
        <f t="shared" si="207"/>
        <v>0</v>
      </c>
      <c r="BE293" s="9">
        <f t="shared" si="185"/>
        <v>112462.44</v>
      </c>
      <c r="BF293" s="9">
        <v>23.51</v>
      </c>
      <c r="BG293" s="10">
        <v>44378</v>
      </c>
      <c r="BH293" s="9">
        <f t="shared" si="186"/>
        <v>7414.58</v>
      </c>
      <c r="BI293" s="9">
        <f t="shared" si="187"/>
        <v>21000</v>
      </c>
      <c r="BJ293" s="9">
        <f t="shared" si="188"/>
        <v>10763.1</v>
      </c>
      <c r="BK293" s="9">
        <f t="shared" si="189"/>
        <v>2487.4699999999998</v>
      </c>
      <c r="BL293" s="9">
        <f t="shared" si="190"/>
        <v>13250.57</v>
      </c>
      <c r="BM293" s="9">
        <f t="shared" si="191"/>
        <v>717.54</v>
      </c>
      <c r="BN293" s="9">
        <f t="shared" si="192"/>
        <v>8610.48</v>
      </c>
      <c r="BO293" s="9">
        <f t="shared" si="193"/>
        <v>765.38</v>
      </c>
      <c r="BP293" s="9">
        <f t="shared" si="194"/>
        <v>956.72</v>
      </c>
      <c r="BQ293" s="9">
        <f t="shared" si="195"/>
        <v>287.02</v>
      </c>
      <c r="BR293" s="9">
        <f t="shared" si="196"/>
        <v>3348.52</v>
      </c>
      <c r="BS293" s="9">
        <f t="shared" si="197"/>
        <v>1387.24</v>
      </c>
      <c r="BT293" s="9">
        <f t="shared" si="198"/>
        <v>334.85</v>
      </c>
      <c r="BU293" s="9">
        <f t="shared" si="199"/>
        <v>19469.25</v>
      </c>
      <c r="BV293" s="9">
        <f t="shared" si="200"/>
        <v>765.38</v>
      </c>
      <c r="BW293" s="9">
        <f t="shared" si="201"/>
        <v>9615.0400000000009</v>
      </c>
      <c r="BX293" s="9">
        <f t="shared" si="202"/>
        <v>11289.3</v>
      </c>
      <c r="BY293" s="17">
        <f t="shared" si="203"/>
        <v>112462.44</v>
      </c>
      <c r="BZ293" s="17">
        <v>3.91</v>
      </c>
      <c r="CA293" s="17">
        <v>0.06</v>
      </c>
      <c r="CB293" s="17">
        <v>0.4</v>
      </c>
      <c r="CC293" s="27">
        <v>0.06</v>
      </c>
      <c r="CD293" s="29">
        <v>6.33</v>
      </c>
      <c r="CE293" s="9">
        <v>7530.81</v>
      </c>
      <c r="CF293" s="9"/>
      <c r="CG293" s="9">
        <v>0</v>
      </c>
      <c r="CH293" s="9">
        <v>151.24</v>
      </c>
      <c r="CI293" s="9">
        <f t="shared" si="214"/>
        <v>1.57</v>
      </c>
      <c r="CJ293" s="9">
        <f t="shared" si="215"/>
        <v>0</v>
      </c>
      <c r="CK293" s="13">
        <f t="shared" si="216"/>
        <v>0</v>
      </c>
      <c r="CL293" s="13">
        <f t="shared" si="217"/>
        <v>0.03</v>
      </c>
      <c r="CM293" s="13">
        <v>112481.32</v>
      </c>
      <c r="CN293" s="13">
        <v>16796.27</v>
      </c>
      <c r="CO293" s="13">
        <v>0.32</v>
      </c>
      <c r="CP293" s="13">
        <v>0.04</v>
      </c>
      <c r="CQ293" s="13">
        <v>143.47</v>
      </c>
      <c r="CR293" s="13">
        <v>129028.4</v>
      </c>
      <c r="CS293" s="13">
        <v>24192.13</v>
      </c>
      <c r="CT293" s="13">
        <v>715.8</v>
      </c>
      <c r="CU293" s="13">
        <v>72.17</v>
      </c>
      <c r="CV293" s="13">
        <v>195.27</v>
      </c>
      <c r="CW293" s="202">
        <v>4165</v>
      </c>
      <c r="CX293" s="200">
        <v>2389</v>
      </c>
      <c r="CY293" s="202"/>
      <c r="CZ293" s="202"/>
      <c r="DA293" s="202"/>
      <c r="DB293" s="202"/>
      <c r="DC293" s="202"/>
      <c r="DD293" s="461"/>
      <c r="DE293" s="256"/>
      <c r="DF293" s="202"/>
      <c r="DG293" s="202"/>
      <c r="DH293" s="202"/>
      <c r="DI293" s="204">
        <v>706</v>
      </c>
      <c r="DJ293" s="202">
        <v>8600</v>
      </c>
      <c r="DK293" s="202"/>
      <c r="DL293" s="202"/>
      <c r="DM293" s="202"/>
      <c r="DN293" s="202"/>
      <c r="DO293" s="202"/>
      <c r="DP293" s="202">
        <v>27791</v>
      </c>
      <c r="DQ293" s="202">
        <v>3400</v>
      </c>
      <c r="DR293" s="202">
        <v>2</v>
      </c>
      <c r="DS293" s="202"/>
      <c r="DT293" s="254"/>
      <c r="DU293" s="254"/>
      <c r="DV293" s="202"/>
      <c r="DW293" s="202">
        <v>22009</v>
      </c>
      <c r="DX293" s="202"/>
      <c r="DY293" s="107">
        <v>1365</v>
      </c>
      <c r="DZ293" s="107">
        <v>942</v>
      </c>
      <c r="EA293" s="202">
        <v>3227.58</v>
      </c>
      <c r="EB293" s="202">
        <v>13376</v>
      </c>
      <c r="EC293" s="202"/>
      <c r="ED293" s="202"/>
      <c r="EE293" s="202"/>
      <c r="EF293" s="229"/>
      <c r="EG293" s="202"/>
      <c r="EH293" s="202"/>
      <c r="EI293" s="202"/>
      <c r="EJ293" s="202"/>
      <c r="EK293" s="202">
        <v>9650.11</v>
      </c>
      <c r="EL293" s="202">
        <v>0</v>
      </c>
      <c r="EM293" s="202">
        <v>0</v>
      </c>
      <c r="EN293" s="202">
        <v>151.24</v>
      </c>
      <c r="EO293" s="202">
        <v>9650.11</v>
      </c>
      <c r="EP293" s="202"/>
      <c r="EQ293" s="202">
        <v>0</v>
      </c>
      <c r="ER293" s="202">
        <v>151.24</v>
      </c>
      <c r="ES293" s="202"/>
      <c r="ET293" s="202"/>
      <c r="EU293" s="202"/>
      <c r="EV293" s="214">
        <v>-8.6</v>
      </c>
      <c r="EW293" s="240">
        <f t="shared" si="204"/>
        <v>10462.5</v>
      </c>
      <c r="EX293" s="209">
        <f t="shared" si="205"/>
        <v>6809.55</v>
      </c>
    </row>
    <row r="294" spans="1:154" ht="12.75" customHeight="1" x14ac:dyDescent="0.2">
      <c r="A294" s="4" t="s">
        <v>770</v>
      </c>
      <c r="B294" s="66" t="s">
        <v>347</v>
      </c>
      <c r="C294" s="67" t="s">
        <v>240</v>
      </c>
      <c r="D294" s="68" t="s">
        <v>529</v>
      </c>
      <c r="E294" s="67" t="s">
        <v>12</v>
      </c>
      <c r="F294" s="11">
        <v>5</v>
      </c>
      <c r="G294" s="11">
        <v>4</v>
      </c>
      <c r="H294" s="11">
        <v>80</v>
      </c>
      <c r="I294" s="11">
        <v>80</v>
      </c>
      <c r="J294" s="11">
        <v>132</v>
      </c>
      <c r="K294" s="11">
        <v>181</v>
      </c>
      <c r="L294" s="11" t="s">
        <v>746</v>
      </c>
      <c r="M294" s="84">
        <v>267</v>
      </c>
      <c r="N294" s="84">
        <v>594.4</v>
      </c>
      <c r="O294" s="84">
        <v>0</v>
      </c>
      <c r="P294" s="135">
        <v>282.5</v>
      </c>
      <c r="Q294" s="135">
        <v>725.2</v>
      </c>
      <c r="R294" s="133">
        <v>0</v>
      </c>
      <c r="S294" s="133">
        <f t="shared" si="206"/>
        <v>1007.7</v>
      </c>
      <c r="T294" s="134">
        <v>282.5</v>
      </c>
      <c r="U294" s="130">
        <v>1.53</v>
      </c>
      <c r="V294" s="131">
        <v>1.9800000000000002E-2</v>
      </c>
      <c r="W294" s="131">
        <v>1.9800000000000002E-2</v>
      </c>
      <c r="X294" s="132">
        <v>1.2199999999999999E-3</v>
      </c>
      <c r="Y294" s="131">
        <v>3.95E-2</v>
      </c>
      <c r="Z294" s="29">
        <v>3570</v>
      </c>
      <c r="AA294" s="34"/>
      <c r="AB294" s="9">
        <f t="shared" si="176"/>
        <v>3570</v>
      </c>
      <c r="AC294" s="9">
        <f t="shared" si="184"/>
        <v>22598.1</v>
      </c>
      <c r="AD294" s="9">
        <v>0.4</v>
      </c>
      <c r="AE294" s="9">
        <v>4.58</v>
      </c>
      <c r="AF294" s="21">
        <f>2.46-AJ294</f>
        <v>2.2200000000000002</v>
      </c>
      <c r="AG294" s="18">
        <f>0.53-AQ294</f>
        <v>0.43</v>
      </c>
      <c r="AH294" s="9">
        <v>2.78</v>
      </c>
      <c r="AI294" s="43">
        <v>847</v>
      </c>
      <c r="AJ294" s="21">
        <f t="shared" si="178"/>
        <v>0.24</v>
      </c>
      <c r="AK294" s="9">
        <v>0</v>
      </c>
      <c r="AL294" s="9">
        <v>0</v>
      </c>
      <c r="AM294" s="9">
        <v>0.26</v>
      </c>
      <c r="AN294" s="13"/>
      <c r="AO294" s="13">
        <v>753.6</v>
      </c>
      <c r="AP294" s="13">
        <f t="shared" si="208"/>
        <v>5.58</v>
      </c>
      <c r="AQ294" s="18">
        <f t="shared" si="179"/>
        <v>0.1</v>
      </c>
      <c r="AR294" s="9">
        <v>0.77</v>
      </c>
      <c r="AS294" s="9">
        <v>0.38</v>
      </c>
      <c r="AT294" s="9">
        <v>7.0000000000000007E-2</v>
      </c>
      <c r="AU294" s="9">
        <v>3.79</v>
      </c>
      <c r="AV294" s="9">
        <v>0.12</v>
      </c>
      <c r="AW294" s="9">
        <f>1.1+0.31+0.33</f>
        <v>1.74</v>
      </c>
      <c r="AX294" s="9">
        <f>1.51+0.46</f>
        <v>1.97</v>
      </c>
      <c r="AY294" s="69">
        <f t="shared" si="209"/>
        <v>19.850000000000001</v>
      </c>
      <c r="AZ294" s="70">
        <v>3583.9</v>
      </c>
      <c r="BA294" s="70">
        <v>0</v>
      </c>
      <c r="BB294" s="70">
        <f t="shared" si="177"/>
        <v>3583.9</v>
      </c>
      <c r="BC294" s="70">
        <v>19.850000000000001</v>
      </c>
      <c r="BD294" s="13">
        <f t="shared" si="207"/>
        <v>0</v>
      </c>
      <c r="BE294" s="9">
        <f t="shared" si="185"/>
        <v>70864.5</v>
      </c>
      <c r="BF294" s="9">
        <v>19.850000000000001</v>
      </c>
      <c r="BG294" s="10">
        <v>44409</v>
      </c>
      <c r="BH294" s="9">
        <f t="shared" si="186"/>
        <v>1428</v>
      </c>
      <c r="BI294" s="9">
        <f t="shared" si="187"/>
        <v>16350.6</v>
      </c>
      <c r="BJ294" s="9">
        <f t="shared" si="188"/>
        <v>7925.4</v>
      </c>
      <c r="BK294" s="9">
        <f t="shared" si="189"/>
        <v>1535.1</v>
      </c>
      <c r="BL294" s="9">
        <f t="shared" si="190"/>
        <v>9924.6</v>
      </c>
      <c r="BM294" s="9">
        <f t="shared" si="191"/>
        <v>856.8</v>
      </c>
      <c r="BN294" s="9">
        <f t="shared" si="192"/>
        <v>0</v>
      </c>
      <c r="BO294" s="9">
        <f t="shared" si="193"/>
        <v>0</v>
      </c>
      <c r="BP294" s="9">
        <f t="shared" si="194"/>
        <v>928.2</v>
      </c>
      <c r="BQ294" s="9">
        <f t="shared" si="195"/>
        <v>357</v>
      </c>
      <c r="BR294" s="9">
        <f t="shared" si="196"/>
        <v>2748.9</v>
      </c>
      <c r="BS294" s="9">
        <f t="shared" si="197"/>
        <v>1356.6</v>
      </c>
      <c r="BT294" s="9">
        <f t="shared" si="198"/>
        <v>249.9</v>
      </c>
      <c r="BU294" s="9">
        <f t="shared" si="199"/>
        <v>13530.3</v>
      </c>
      <c r="BV294" s="9">
        <f t="shared" si="200"/>
        <v>428.4</v>
      </c>
      <c r="BW294" s="9">
        <f t="shared" si="201"/>
        <v>6211.8</v>
      </c>
      <c r="BX294" s="9">
        <f t="shared" si="202"/>
        <v>7032.9</v>
      </c>
      <c r="BY294" s="17">
        <f t="shared" si="203"/>
        <v>70864.5</v>
      </c>
      <c r="BZ294" s="17">
        <v>1.65</v>
      </c>
      <c r="CA294" s="17">
        <v>0.04</v>
      </c>
      <c r="CB294" s="17">
        <v>0.25</v>
      </c>
      <c r="CC294" s="27">
        <v>0.04</v>
      </c>
      <c r="CD294" s="29">
        <v>6.33</v>
      </c>
      <c r="CE294" s="9">
        <v>5545.8</v>
      </c>
      <c r="CF294" s="9"/>
      <c r="CG294" s="9">
        <v>1026.9100000000001</v>
      </c>
      <c r="CH294" s="9">
        <v>616.76</v>
      </c>
      <c r="CI294" s="9">
        <f t="shared" si="214"/>
        <v>1.55</v>
      </c>
      <c r="CJ294" s="9">
        <f t="shared" si="215"/>
        <v>0</v>
      </c>
      <c r="CK294" s="13">
        <f t="shared" si="216"/>
        <v>0.28999999999999998</v>
      </c>
      <c r="CL294" s="13">
        <f t="shared" si="217"/>
        <v>0.17</v>
      </c>
      <c r="CM294" s="13">
        <v>70864.710000000006</v>
      </c>
      <c r="CN294" s="13">
        <v>0</v>
      </c>
      <c r="CO294" s="13">
        <v>0</v>
      </c>
      <c r="CP294" s="13">
        <v>0</v>
      </c>
      <c r="CQ294" s="13">
        <v>71.38</v>
      </c>
      <c r="CR294" s="13">
        <v>74426.559999999998</v>
      </c>
      <c r="CS294" s="13">
        <v>1363.17</v>
      </c>
      <c r="CT294" s="13">
        <v>155.21</v>
      </c>
      <c r="CU294" s="13">
        <v>1121.07</v>
      </c>
      <c r="CV294" s="13">
        <v>661.91</v>
      </c>
      <c r="CW294" s="202">
        <v>3110</v>
      </c>
      <c r="CX294" s="200">
        <v>1784</v>
      </c>
      <c r="CY294" s="202"/>
      <c r="CZ294" s="202"/>
      <c r="DA294" s="202"/>
      <c r="DB294" s="202"/>
      <c r="DC294" s="202"/>
      <c r="DD294" s="461"/>
      <c r="DE294" s="256"/>
      <c r="DF294" s="202"/>
      <c r="DG294" s="202"/>
      <c r="DH294" s="202"/>
      <c r="DI294" s="204">
        <v>847</v>
      </c>
      <c r="DJ294" s="202"/>
      <c r="DK294" s="202"/>
      <c r="DL294" s="202"/>
      <c r="DM294" s="202"/>
      <c r="DN294" s="202"/>
      <c r="DO294" s="202"/>
      <c r="DP294" s="202">
        <v>17523</v>
      </c>
      <c r="DQ294" s="202">
        <v>4250</v>
      </c>
      <c r="DR294" s="202">
        <v>2.5</v>
      </c>
      <c r="DS294" s="202">
        <v>16195</v>
      </c>
      <c r="DT294" s="254">
        <v>459</v>
      </c>
      <c r="DU294" s="254">
        <v>472</v>
      </c>
      <c r="DV294" s="202"/>
      <c r="DW294" s="202">
        <v>16170</v>
      </c>
      <c r="DX294" s="202"/>
      <c r="DY294" s="107">
        <v>1365</v>
      </c>
      <c r="DZ294" s="107">
        <v>942</v>
      </c>
      <c r="EA294" s="202"/>
      <c r="EB294" s="202">
        <v>12932</v>
      </c>
      <c r="EC294" s="202"/>
      <c r="ED294" s="202"/>
      <c r="EE294" s="202"/>
      <c r="EF294" s="229"/>
      <c r="EG294" s="202"/>
      <c r="EH294" s="202"/>
      <c r="EI294" s="202"/>
      <c r="EJ294" s="202"/>
      <c r="EK294" s="202">
        <v>0</v>
      </c>
      <c r="EL294" s="202">
        <v>0</v>
      </c>
      <c r="EM294" s="202">
        <v>0</v>
      </c>
      <c r="EN294" s="202">
        <v>79.14</v>
      </c>
      <c r="EO294" s="202">
        <v>0</v>
      </c>
      <c r="EP294" s="202"/>
      <c r="EQ294" s="202">
        <v>0</v>
      </c>
      <c r="ER294" s="202">
        <v>79.14</v>
      </c>
      <c r="ES294" s="202"/>
      <c r="ET294" s="202"/>
      <c r="EU294" s="202"/>
      <c r="EV294" s="214">
        <v>-3.42</v>
      </c>
      <c r="EW294" s="240">
        <f t="shared" si="204"/>
        <v>7808.16</v>
      </c>
      <c r="EX294" s="209">
        <f t="shared" si="205"/>
        <v>5081.97</v>
      </c>
    </row>
    <row r="295" spans="1:154" ht="12.75" customHeight="1" x14ac:dyDescent="0.2">
      <c r="A295" s="4" t="s">
        <v>771</v>
      </c>
      <c r="B295" s="66" t="s">
        <v>347</v>
      </c>
      <c r="C295" s="67" t="s">
        <v>240</v>
      </c>
      <c r="D295" s="68" t="s">
        <v>603</v>
      </c>
      <c r="E295" s="67" t="s">
        <v>9</v>
      </c>
      <c r="F295" s="11">
        <v>5</v>
      </c>
      <c r="G295" s="11">
        <v>4</v>
      </c>
      <c r="H295" s="11">
        <v>66</v>
      </c>
      <c r="I295" s="11">
        <v>66</v>
      </c>
      <c r="J295" s="11">
        <v>122</v>
      </c>
      <c r="K295" s="11">
        <v>168</v>
      </c>
      <c r="L295" s="11" t="s">
        <v>746</v>
      </c>
      <c r="M295" s="84">
        <v>265</v>
      </c>
      <c r="N295" s="84">
        <v>688</v>
      </c>
      <c r="O295" s="84">
        <v>0</v>
      </c>
      <c r="P295" s="135">
        <v>296.39999999999998</v>
      </c>
      <c r="Q295" s="135">
        <v>648.9</v>
      </c>
      <c r="R295" s="133">
        <v>0</v>
      </c>
      <c r="S295" s="133">
        <f t="shared" si="206"/>
        <v>945.3</v>
      </c>
      <c r="T295" s="134">
        <v>296.39999999999998</v>
      </c>
      <c r="U295" s="130">
        <v>1.53</v>
      </c>
      <c r="V295" s="131">
        <v>1.9800000000000002E-2</v>
      </c>
      <c r="W295" s="131">
        <v>1.9800000000000002E-2</v>
      </c>
      <c r="X295" s="132">
        <v>1.2199999999999999E-3</v>
      </c>
      <c r="Y295" s="131">
        <v>3.95E-2</v>
      </c>
      <c r="Z295" s="29">
        <v>3182.5</v>
      </c>
      <c r="AA295" s="34">
        <v>221.7</v>
      </c>
      <c r="AB295" s="9">
        <f t="shared" si="176"/>
        <v>3404.2</v>
      </c>
      <c r="AC295" s="9">
        <f t="shared" si="184"/>
        <v>21548.59</v>
      </c>
      <c r="AD295" s="9">
        <v>0.4</v>
      </c>
      <c r="AE295" s="9">
        <v>4.62</v>
      </c>
      <c r="AF295" s="21">
        <f>2.42-AJ295</f>
        <v>2.16</v>
      </c>
      <c r="AG295" s="18">
        <f>0.53-AQ295</f>
        <v>0.47</v>
      </c>
      <c r="AH295" s="9">
        <v>2.78</v>
      </c>
      <c r="AI295" s="43">
        <v>881</v>
      </c>
      <c r="AJ295" s="21">
        <f t="shared" si="178"/>
        <v>0.26</v>
      </c>
      <c r="AK295" s="9">
        <v>0</v>
      </c>
      <c r="AL295" s="9">
        <v>0</v>
      </c>
      <c r="AM295" s="9">
        <v>0.28000000000000003</v>
      </c>
      <c r="AN295" s="13"/>
      <c r="AO295" s="13">
        <v>424.8</v>
      </c>
      <c r="AP295" s="13">
        <f t="shared" si="208"/>
        <v>5.58</v>
      </c>
      <c r="AQ295" s="18">
        <f t="shared" si="179"/>
        <v>0.06</v>
      </c>
      <c r="AR295" s="9">
        <v>0.71</v>
      </c>
      <c r="AS295" s="9">
        <v>0.4</v>
      </c>
      <c r="AT295" s="9">
        <v>7.0000000000000007E-2</v>
      </c>
      <c r="AU295" s="9">
        <v>3.9</v>
      </c>
      <c r="AV295" s="9">
        <v>0.13</v>
      </c>
      <c r="AW295" s="9">
        <f>1.09+0.29+0.34</f>
        <v>1.72</v>
      </c>
      <c r="AX295" s="9">
        <f>1.5+0.46</f>
        <v>1.96</v>
      </c>
      <c r="AY295" s="69">
        <f t="shared" si="209"/>
        <v>19.920000000000002</v>
      </c>
      <c r="AZ295" s="70">
        <v>3185.1</v>
      </c>
      <c r="BA295" s="70">
        <v>221.7</v>
      </c>
      <c r="BB295" s="70">
        <f t="shared" si="177"/>
        <v>3406.8</v>
      </c>
      <c r="BC295" s="70">
        <v>19.920000000000002</v>
      </c>
      <c r="BD295" s="13">
        <f t="shared" si="207"/>
        <v>0</v>
      </c>
      <c r="BE295" s="9">
        <f t="shared" si="185"/>
        <v>67811.66</v>
      </c>
      <c r="BF295" s="9">
        <v>19.920000000000002</v>
      </c>
      <c r="BG295" s="10">
        <v>44409</v>
      </c>
      <c r="BH295" s="9">
        <f t="shared" si="186"/>
        <v>1361.68</v>
      </c>
      <c r="BI295" s="9">
        <f t="shared" si="187"/>
        <v>15727.4</v>
      </c>
      <c r="BJ295" s="9">
        <f t="shared" si="188"/>
        <v>7353.07</v>
      </c>
      <c r="BK295" s="9">
        <f t="shared" si="189"/>
        <v>1599.97</v>
      </c>
      <c r="BL295" s="9">
        <f t="shared" si="190"/>
        <v>9463.68</v>
      </c>
      <c r="BM295" s="9">
        <f t="shared" si="191"/>
        <v>885.09</v>
      </c>
      <c r="BN295" s="9">
        <f t="shared" si="192"/>
        <v>0</v>
      </c>
      <c r="BO295" s="9">
        <f t="shared" si="193"/>
        <v>0</v>
      </c>
      <c r="BP295" s="9">
        <f t="shared" si="194"/>
        <v>953.18</v>
      </c>
      <c r="BQ295" s="9">
        <f t="shared" si="195"/>
        <v>204.25</v>
      </c>
      <c r="BR295" s="9">
        <f t="shared" si="196"/>
        <v>2416.98</v>
      </c>
      <c r="BS295" s="9">
        <f t="shared" si="197"/>
        <v>1361.68</v>
      </c>
      <c r="BT295" s="9">
        <f t="shared" si="198"/>
        <v>238.29</v>
      </c>
      <c r="BU295" s="9">
        <f t="shared" si="199"/>
        <v>13276.38</v>
      </c>
      <c r="BV295" s="9">
        <f t="shared" si="200"/>
        <v>442.55</v>
      </c>
      <c r="BW295" s="9">
        <f t="shared" si="201"/>
        <v>5855.22</v>
      </c>
      <c r="BX295" s="9">
        <f t="shared" si="202"/>
        <v>6672.23</v>
      </c>
      <c r="BY295" s="17">
        <f t="shared" si="203"/>
        <v>67811.649999999994</v>
      </c>
      <c r="BZ295" s="17">
        <v>1.62</v>
      </c>
      <c r="CA295" s="17">
        <v>0.05</v>
      </c>
      <c r="CB295" s="17">
        <v>0.28000000000000003</v>
      </c>
      <c r="CC295" s="27">
        <v>0.05</v>
      </c>
      <c r="CD295" s="29">
        <v>6.33</v>
      </c>
      <c r="CE295" s="9">
        <v>6940.57</v>
      </c>
      <c r="CF295" s="9"/>
      <c r="CG295" s="9">
        <v>0</v>
      </c>
      <c r="CH295" s="9">
        <v>83.03</v>
      </c>
      <c r="CI295" s="9">
        <f t="shared" si="214"/>
        <v>2.04</v>
      </c>
      <c r="CJ295" s="9">
        <f t="shared" si="215"/>
        <v>0</v>
      </c>
      <c r="CK295" s="13">
        <f t="shared" si="216"/>
        <v>0</v>
      </c>
      <c r="CL295" s="13">
        <f t="shared" si="217"/>
        <v>0.02</v>
      </c>
      <c r="CM295" s="13">
        <v>63395.4</v>
      </c>
      <c r="CN295" s="13">
        <v>2450.4499999999998</v>
      </c>
      <c r="CO295" s="13">
        <v>0</v>
      </c>
      <c r="CP295" s="13">
        <v>0</v>
      </c>
      <c r="CQ295" s="13">
        <v>63.65</v>
      </c>
      <c r="CR295" s="13">
        <v>60695.93</v>
      </c>
      <c r="CS295" s="13">
        <v>3779.64</v>
      </c>
      <c r="CT295" s="13">
        <v>419.46</v>
      </c>
      <c r="CU295" s="13">
        <v>19.62</v>
      </c>
      <c r="CV295" s="13">
        <v>63.93</v>
      </c>
      <c r="CW295" s="202">
        <v>2966</v>
      </c>
      <c r="CX295" s="200">
        <v>1701</v>
      </c>
      <c r="CY295" s="202"/>
      <c r="CZ295" s="202"/>
      <c r="DA295" s="202"/>
      <c r="DB295" s="202"/>
      <c r="DC295" s="202"/>
      <c r="DD295" s="461"/>
      <c r="DE295" s="256"/>
      <c r="DF295" s="202"/>
      <c r="DG295" s="202"/>
      <c r="DH295" s="202"/>
      <c r="DI295" s="204">
        <v>881</v>
      </c>
      <c r="DJ295" s="202"/>
      <c r="DK295" s="202"/>
      <c r="DL295" s="202"/>
      <c r="DM295" s="202"/>
      <c r="DN295" s="202"/>
      <c r="DO295" s="202"/>
      <c r="DP295" s="202">
        <v>16754</v>
      </c>
      <c r="DQ295" s="202">
        <v>4250</v>
      </c>
      <c r="DR295" s="202">
        <v>2.5</v>
      </c>
      <c r="DS295" s="202">
        <v>5910</v>
      </c>
      <c r="DT295" s="254">
        <v>158</v>
      </c>
      <c r="DU295" s="254">
        <v>196</v>
      </c>
      <c r="DV295" s="202"/>
      <c r="DW295" s="202">
        <v>15324</v>
      </c>
      <c r="DX295" s="202"/>
      <c r="DY295" s="107"/>
      <c r="DZ295" s="107">
        <v>942</v>
      </c>
      <c r="EA295" s="202"/>
      <c r="EB295" s="202">
        <v>12190</v>
      </c>
      <c r="EC295" s="202"/>
      <c r="ED295" s="202"/>
      <c r="EE295" s="202"/>
      <c r="EF295" s="229"/>
      <c r="EG295" s="202"/>
      <c r="EH295" s="202"/>
      <c r="EI295" s="202"/>
      <c r="EJ295" s="202"/>
      <c r="EK295" s="202">
        <v>2629.49</v>
      </c>
      <c r="EL295" s="202">
        <v>0</v>
      </c>
      <c r="EM295" s="202">
        <v>0</v>
      </c>
      <c r="EN295" s="202">
        <v>83.03</v>
      </c>
      <c r="EO295" s="202">
        <v>2629.49</v>
      </c>
      <c r="EP295" s="202"/>
      <c r="EQ295" s="202">
        <v>0</v>
      </c>
      <c r="ER295" s="202">
        <v>83.03</v>
      </c>
      <c r="ES295" s="202"/>
      <c r="ET295" s="202"/>
      <c r="EU295" s="202"/>
      <c r="EV295" s="214">
        <f>-3.69+1194.18</f>
        <v>1190.49</v>
      </c>
      <c r="EW295" s="240">
        <f t="shared" si="204"/>
        <v>7445.53</v>
      </c>
      <c r="EX295" s="209">
        <f t="shared" si="205"/>
        <v>4845.95</v>
      </c>
    </row>
    <row r="296" spans="1:154" ht="12.75" customHeight="1" x14ac:dyDescent="0.2">
      <c r="A296" s="4" t="s">
        <v>772</v>
      </c>
      <c r="B296" s="66" t="s">
        <v>347</v>
      </c>
      <c r="C296" s="67" t="s">
        <v>351</v>
      </c>
      <c r="D296" s="68" t="s">
        <v>530</v>
      </c>
      <c r="E296" s="67" t="s">
        <v>12</v>
      </c>
      <c r="F296" s="11">
        <v>5</v>
      </c>
      <c r="G296" s="11">
        <v>4</v>
      </c>
      <c r="H296" s="11">
        <v>66</v>
      </c>
      <c r="I296" s="11">
        <v>67</v>
      </c>
      <c r="J296" s="11">
        <v>140</v>
      </c>
      <c r="K296" s="11">
        <v>180</v>
      </c>
      <c r="L296" s="11" t="s">
        <v>746</v>
      </c>
      <c r="M296" s="84">
        <v>275</v>
      </c>
      <c r="N296" s="84">
        <v>688</v>
      </c>
      <c r="O296" s="84">
        <v>0</v>
      </c>
      <c r="P296" s="139">
        <v>285.7</v>
      </c>
      <c r="Q296" s="135">
        <v>738</v>
      </c>
      <c r="R296" s="133">
        <v>0</v>
      </c>
      <c r="S296" s="133">
        <f t="shared" si="206"/>
        <v>1023.7</v>
      </c>
      <c r="T296" s="139">
        <v>275</v>
      </c>
      <c r="U296" s="130">
        <v>1.53</v>
      </c>
      <c r="V296" s="131">
        <v>1.9800000000000002E-2</v>
      </c>
      <c r="W296" s="131">
        <v>1.9800000000000002E-2</v>
      </c>
      <c r="X296" s="132">
        <v>1.2199999999999999E-3</v>
      </c>
      <c r="Y296" s="131">
        <v>3.95E-2</v>
      </c>
      <c r="Z296" s="29">
        <v>3116.6</v>
      </c>
      <c r="AA296" s="34">
        <v>208.7</v>
      </c>
      <c r="AB296" s="9">
        <f t="shared" si="176"/>
        <v>3325.3</v>
      </c>
      <c r="AC296" s="9">
        <f t="shared" si="184"/>
        <v>21049.15</v>
      </c>
      <c r="AD296" s="9">
        <v>0.42</v>
      </c>
      <c r="AE296" s="9">
        <v>4.58</v>
      </c>
      <c r="AF296" s="21">
        <f>2.42-AJ296</f>
        <v>2.16</v>
      </c>
      <c r="AG296" s="18">
        <f>0.53-AQ296</f>
        <v>0.47</v>
      </c>
      <c r="AH296" s="9">
        <v>2.78</v>
      </c>
      <c r="AI296" s="43">
        <v>881</v>
      </c>
      <c r="AJ296" s="21">
        <f t="shared" si="178"/>
        <v>0.26</v>
      </c>
      <c r="AK296" s="9">
        <v>0</v>
      </c>
      <c r="AL296" s="9">
        <v>0</v>
      </c>
      <c r="AM296" s="9">
        <v>0.17</v>
      </c>
      <c r="AN296" s="13"/>
      <c r="AO296" s="13">
        <v>424.8</v>
      </c>
      <c r="AP296" s="13">
        <f t="shared" si="208"/>
        <v>5.58</v>
      </c>
      <c r="AQ296" s="18">
        <f t="shared" si="179"/>
        <v>0.06</v>
      </c>
      <c r="AR296" s="9">
        <v>0.74</v>
      </c>
      <c r="AS296" s="9">
        <v>0.41</v>
      </c>
      <c r="AT296" s="9">
        <v>7.0000000000000007E-2</v>
      </c>
      <c r="AU296" s="9">
        <v>4.0199999999999996</v>
      </c>
      <c r="AV296" s="9">
        <v>0.12</v>
      </c>
      <c r="AW296" s="9">
        <f>1.08+0.3+0.36</f>
        <v>1.74</v>
      </c>
      <c r="AX296" s="9">
        <f>1.49+0.47</f>
        <v>1.96</v>
      </c>
      <c r="AY296" s="69">
        <f t="shared" si="209"/>
        <v>19.96</v>
      </c>
      <c r="AZ296" s="70">
        <v>3111.4</v>
      </c>
      <c r="BA296" s="70">
        <v>208.7</v>
      </c>
      <c r="BB296" s="70">
        <f t="shared" si="177"/>
        <v>3320.1</v>
      </c>
      <c r="BC296" s="70">
        <v>19.96</v>
      </c>
      <c r="BD296" s="13">
        <f t="shared" si="207"/>
        <v>0</v>
      </c>
      <c r="BE296" s="9">
        <f t="shared" si="185"/>
        <v>66372.990000000005</v>
      </c>
      <c r="BF296" s="9">
        <v>19.96</v>
      </c>
      <c r="BG296" s="10">
        <v>44409</v>
      </c>
      <c r="BH296" s="9">
        <f t="shared" si="186"/>
        <v>1396.63</v>
      </c>
      <c r="BI296" s="9">
        <f t="shared" si="187"/>
        <v>15229.87</v>
      </c>
      <c r="BJ296" s="9">
        <f t="shared" si="188"/>
        <v>7182.65</v>
      </c>
      <c r="BK296" s="9">
        <f t="shared" si="189"/>
        <v>1562.89</v>
      </c>
      <c r="BL296" s="9">
        <f t="shared" si="190"/>
        <v>9244.33</v>
      </c>
      <c r="BM296" s="9">
        <f t="shared" si="191"/>
        <v>864.58</v>
      </c>
      <c r="BN296" s="9">
        <f t="shared" si="192"/>
        <v>0</v>
      </c>
      <c r="BO296" s="9">
        <f t="shared" si="193"/>
        <v>0</v>
      </c>
      <c r="BP296" s="9">
        <f t="shared" si="194"/>
        <v>565.29999999999995</v>
      </c>
      <c r="BQ296" s="9">
        <f t="shared" si="195"/>
        <v>199.52</v>
      </c>
      <c r="BR296" s="9">
        <f t="shared" si="196"/>
        <v>2460.7199999999998</v>
      </c>
      <c r="BS296" s="9">
        <f t="shared" si="197"/>
        <v>1363.37</v>
      </c>
      <c r="BT296" s="9">
        <f t="shared" si="198"/>
        <v>232.77</v>
      </c>
      <c r="BU296" s="9">
        <f t="shared" si="199"/>
        <v>13367.71</v>
      </c>
      <c r="BV296" s="9">
        <f t="shared" si="200"/>
        <v>399.04</v>
      </c>
      <c r="BW296" s="9">
        <f t="shared" si="201"/>
        <v>5786.02</v>
      </c>
      <c r="BX296" s="9">
        <f t="shared" si="202"/>
        <v>6517.59</v>
      </c>
      <c r="BY296" s="17">
        <f t="shared" si="203"/>
        <v>66372.990000000005</v>
      </c>
      <c r="BZ296" s="17">
        <v>1.71</v>
      </c>
      <c r="CA296" s="17">
        <v>0.04</v>
      </c>
      <c r="CB296" s="17">
        <v>0.27</v>
      </c>
      <c r="CC296" s="27">
        <v>0.05</v>
      </c>
      <c r="CD296" s="29">
        <v>6.33</v>
      </c>
      <c r="CE296" s="9">
        <v>9283.42</v>
      </c>
      <c r="CF296" s="9"/>
      <c r="CG296" s="9">
        <v>1567.39</v>
      </c>
      <c r="CH296" s="9">
        <v>897.62</v>
      </c>
      <c r="CI296" s="9">
        <f t="shared" si="214"/>
        <v>2.79</v>
      </c>
      <c r="CJ296" s="9">
        <f t="shared" si="215"/>
        <v>0</v>
      </c>
      <c r="CK296" s="13">
        <f t="shared" si="216"/>
        <v>0.47</v>
      </c>
      <c r="CL296" s="13">
        <f t="shared" si="217"/>
        <v>0.27</v>
      </c>
      <c r="CM296" s="13">
        <v>62207.35</v>
      </c>
      <c r="CN296" s="13">
        <v>0</v>
      </c>
      <c r="CO296" s="13">
        <v>0</v>
      </c>
      <c r="CP296" s="13">
        <v>3116.6</v>
      </c>
      <c r="CQ296" s="13">
        <v>1714.3</v>
      </c>
      <c r="CR296" s="13">
        <v>62898.91</v>
      </c>
      <c r="CS296" s="13">
        <v>6349.16</v>
      </c>
      <c r="CT296" s="13">
        <v>109.89</v>
      </c>
      <c r="CU296" s="13">
        <v>1426.48</v>
      </c>
      <c r="CV296" s="13">
        <v>823.64</v>
      </c>
      <c r="CW296" s="202">
        <v>2897</v>
      </c>
      <c r="CX296" s="200">
        <v>1662</v>
      </c>
      <c r="CY296" s="202"/>
      <c r="CZ296" s="202"/>
      <c r="DA296" s="202"/>
      <c r="DB296" s="202"/>
      <c r="DC296" s="202"/>
      <c r="DD296" s="461"/>
      <c r="DE296" s="256"/>
      <c r="DF296" s="202"/>
      <c r="DG296" s="202"/>
      <c r="DH296" s="202"/>
      <c r="DI296" s="204">
        <v>881</v>
      </c>
      <c r="DJ296" s="202"/>
      <c r="DK296" s="202"/>
      <c r="DL296" s="202"/>
      <c r="DM296" s="202"/>
      <c r="DN296" s="202"/>
      <c r="DO296" s="202"/>
      <c r="DP296" s="202">
        <v>16249</v>
      </c>
      <c r="DQ296" s="202">
        <v>2550</v>
      </c>
      <c r="DR296" s="202">
        <v>1.5</v>
      </c>
      <c r="DS296" s="202">
        <v>6890</v>
      </c>
      <c r="DT296" s="254">
        <v>158</v>
      </c>
      <c r="DU296" s="254">
        <v>294</v>
      </c>
      <c r="DV296" s="202"/>
      <c r="DW296" s="202">
        <v>14898</v>
      </c>
      <c r="DX296" s="202"/>
      <c r="DY296" s="107">
        <v>1365</v>
      </c>
      <c r="DZ296" s="107">
        <v>577</v>
      </c>
      <c r="EA296" s="202"/>
      <c r="EB296" s="202">
        <v>12243</v>
      </c>
      <c r="EC296" s="202"/>
      <c r="ED296" s="202"/>
      <c r="EE296" s="202"/>
      <c r="EF296" s="229"/>
      <c r="EG296" s="202"/>
      <c r="EH296" s="202"/>
      <c r="EI296" s="202"/>
      <c r="EJ296" s="202"/>
      <c r="EK296" s="202">
        <v>0</v>
      </c>
      <c r="EL296" s="202">
        <v>0</v>
      </c>
      <c r="EM296" s="202">
        <v>3323.95</v>
      </c>
      <c r="EN296" s="202">
        <v>1817.24</v>
      </c>
      <c r="EO296" s="202">
        <v>0</v>
      </c>
      <c r="EP296" s="202"/>
      <c r="EQ296" s="202">
        <v>3323.95</v>
      </c>
      <c r="ER296" s="202">
        <v>1817.24</v>
      </c>
      <c r="ES296" s="202"/>
      <c r="ET296" s="202"/>
      <c r="EU296" s="202"/>
      <c r="EV296" s="214">
        <v>7.73</v>
      </c>
      <c r="EW296" s="240">
        <f t="shared" si="204"/>
        <v>7272.96</v>
      </c>
      <c r="EX296" s="209">
        <f t="shared" si="205"/>
        <v>4733.63</v>
      </c>
    </row>
    <row r="297" spans="1:154" ht="12.75" customHeight="1" x14ac:dyDescent="0.2">
      <c r="A297" s="4" t="s">
        <v>773</v>
      </c>
      <c r="B297" s="66" t="s">
        <v>347</v>
      </c>
      <c r="C297" s="67" t="s">
        <v>351</v>
      </c>
      <c r="D297" s="68" t="s">
        <v>604</v>
      </c>
      <c r="E297" s="67" t="s">
        <v>9</v>
      </c>
      <c r="F297" s="11">
        <v>5</v>
      </c>
      <c r="G297" s="11">
        <v>4</v>
      </c>
      <c r="H297" s="11">
        <v>66</v>
      </c>
      <c r="I297" s="11">
        <v>66</v>
      </c>
      <c r="J297" s="11">
        <v>138</v>
      </c>
      <c r="K297" s="11">
        <v>164</v>
      </c>
      <c r="L297" s="11" t="s">
        <v>746</v>
      </c>
      <c r="M297" s="84">
        <v>276</v>
      </c>
      <c r="N297" s="84">
        <v>688</v>
      </c>
      <c r="O297" s="84">
        <v>0</v>
      </c>
      <c r="P297" s="135">
        <v>276</v>
      </c>
      <c r="Q297" s="135">
        <v>594.4</v>
      </c>
      <c r="R297" s="133">
        <v>0</v>
      </c>
      <c r="S297" s="133">
        <f t="shared" si="206"/>
        <v>870.4</v>
      </c>
      <c r="T297" s="134">
        <v>276</v>
      </c>
      <c r="U297" s="130">
        <v>1.53</v>
      </c>
      <c r="V297" s="131">
        <v>1.9800000000000002E-2</v>
      </c>
      <c r="W297" s="131">
        <v>1.9800000000000002E-2</v>
      </c>
      <c r="X297" s="132">
        <v>1.2199999999999999E-3</v>
      </c>
      <c r="Y297" s="131">
        <v>3.95E-2</v>
      </c>
      <c r="Z297" s="29">
        <v>3174.98</v>
      </c>
      <c r="AA297" s="34">
        <v>228.1</v>
      </c>
      <c r="AB297" s="9">
        <f t="shared" si="176"/>
        <v>3403.08</v>
      </c>
      <c r="AC297" s="9">
        <f t="shared" si="184"/>
        <v>21541.5</v>
      </c>
      <c r="AD297" s="9">
        <v>0.4</v>
      </c>
      <c r="AE297" s="9">
        <v>3.72</v>
      </c>
      <c r="AF297" s="21">
        <f>2.42-AJ297</f>
        <v>2.16</v>
      </c>
      <c r="AG297" s="18">
        <f>0.53-AQ297</f>
        <v>0.47</v>
      </c>
      <c r="AH297" s="9">
        <v>2.78</v>
      </c>
      <c r="AI297" s="43">
        <v>881</v>
      </c>
      <c r="AJ297" s="21">
        <f t="shared" si="178"/>
        <v>0.26</v>
      </c>
      <c r="AK297" s="9">
        <v>0</v>
      </c>
      <c r="AL297" s="9">
        <v>0</v>
      </c>
      <c r="AM297" s="9">
        <v>0.28000000000000003</v>
      </c>
      <c r="AN297" s="13"/>
      <c r="AO297" s="13">
        <v>424.8</v>
      </c>
      <c r="AP297" s="13">
        <f t="shared" si="208"/>
        <v>5.58</v>
      </c>
      <c r="AQ297" s="18">
        <f t="shared" si="179"/>
        <v>0.06</v>
      </c>
      <c r="AR297" s="9">
        <v>0.71</v>
      </c>
      <c r="AS297" s="9">
        <v>0.4</v>
      </c>
      <c r="AT297" s="9">
        <v>7.0000000000000007E-2</v>
      </c>
      <c r="AU297" s="9">
        <v>4.99</v>
      </c>
      <c r="AV297" s="9">
        <v>0.12</v>
      </c>
      <c r="AW297" s="9">
        <f>1.01+0.29+0.44</f>
        <v>1.74</v>
      </c>
      <c r="AX297" s="9">
        <f>1.39+0.6</f>
        <v>1.99</v>
      </c>
      <c r="AY297" s="69">
        <f t="shared" si="209"/>
        <v>20.149999999999999</v>
      </c>
      <c r="AZ297" s="70">
        <v>3183.4</v>
      </c>
      <c r="BA297" s="70">
        <v>228.1</v>
      </c>
      <c r="BB297" s="70">
        <f t="shared" si="177"/>
        <v>3411.5</v>
      </c>
      <c r="BC297" s="70">
        <v>20.149999999999999</v>
      </c>
      <c r="BD297" s="13">
        <f t="shared" si="207"/>
        <v>0</v>
      </c>
      <c r="BE297" s="9">
        <f t="shared" si="185"/>
        <v>68572.06</v>
      </c>
      <c r="BF297" s="9">
        <v>20.149999999999999</v>
      </c>
      <c r="BG297" s="10">
        <v>44409</v>
      </c>
      <c r="BH297" s="9">
        <f t="shared" si="186"/>
        <v>1361.23</v>
      </c>
      <c r="BI297" s="9">
        <f t="shared" si="187"/>
        <v>12659.46</v>
      </c>
      <c r="BJ297" s="9">
        <f t="shared" si="188"/>
        <v>7350.65</v>
      </c>
      <c r="BK297" s="9">
        <f t="shared" si="189"/>
        <v>1599.45</v>
      </c>
      <c r="BL297" s="9">
        <f t="shared" si="190"/>
        <v>9460.56</v>
      </c>
      <c r="BM297" s="9">
        <f t="shared" si="191"/>
        <v>884.8</v>
      </c>
      <c r="BN297" s="9">
        <f t="shared" si="192"/>
        <v>0</v>
      </c>
      <c r="BO297" s="9">
        <f t="shared" si="193"/>
        <v>0</v>
      </c>
      <c r="BP297" s="9">
        <f t="shared" si="194"/>
        <v>952.86</v>
      </c>
      <c r="BQ297" s="9">
        <f t="shared" si="195"/>
        <v>204.18</v>
      </c>
      <c r="BR297" s="9">
        <f t="shared" si="196"/>
        <v>2416.19</v>
      </c>
      <c r="BS297" s="9">
        <f t="shared" si="197"/>
        <v>1361.23</v>
      </c>
      <c r="BT297" s="9">
        <f t="shared" si="198"/>
        <v>238.22</v>
      </c>
      <c r="BU297" s="9">
        <f t="shared" si="199"/>
        <v>16981.37</v>
      </c>
      <c r="BV297" s="9">
        <f t="shared" si="200"/>
        <v>408.37</v>
      </c>
      <c r="BW297" s="9">
        <f t="shared" si="201"/>
        <v>5921.36</v>
      </c>
      <c r="BX297" s="9">
        <f t="shared" si="202"/>
        <v>6772.13</v>
      </c>
      <c r="BY297" s="17">
        <f t="shared" si="203"/>
        <v>68572.06</v>
      </c>
      <c r="BZ297" s="17">
        <v>1.66</v>
      </c>
      <c r="CA297" s="17">
        <v>0.04</v>
      </c>
      <c r="CB297" s="17">
        <v>0.26</v>
      </c>
      <c r="CC297" s="27">
        <v>0.05</v>
      </c>
      <c r="CD297" s="29">
        <v>6.33</v>
      </c>
      <c r="CE297" s="9">
        <v>1617.33</v>
      </c>
      <c r="CF297" s="9"/>
      <c r="CG297" s="9">
        <v>0</v>
      </c>
      <c r="CH297" s="9">
        <v>77.319999999999993</v>
      </c>
      <c r="CI297" s="9">
        <f t="shared" si="214"/>
        <v>0.48</v>
      </c>
      <c r="CJ297" s="9">
        <f t="shared" si="215"/>
        <v>0</v>
      </c>
      <c r="CK297" s="13">
        <f t="shared" si="216"/>
        <v>0</v>
      </c>
      <c r="CL297" s="13">
        <f t="shared" si="217"/>
        <v>0.02</v>
      </c>
      <c r="CM297" s="13">
        <v>63976</v>
      </c>
      <c r="CN297" s="13">
        <v>1524.03</v>
      </c>
      <c r="CO297" s="13">
        <v>12064.92</v>
      </c>
      <c r="CP297" s="13">
        <v>0</v>
      </c>
      <c r="CQ297" s="13">
        <v>63.45</v>
      </c>
      <c r="CR297" s="13">
        <v>64644.17</v>
      </c>
      <c r="CS297" s="13">
        <v>1680.26</v>
      </c>
      <c r="CT297" s="13">
        <v>5001.37</v>
      </c>
      <c r="CU297" s="13">
        <v>15.84</v>
      </c>
      <c r="CV297" s="13">
        <v>66</v>
      </c>
      <c r="CW297" s="202">
        <v>2965</v>
      </c>
      <c r="CX297" s="200">
        <v>1701</v>
      </c>
      <c r="CY297" s="202"/>
      <c r="CZ297" s="202"/>
      <c r="DA297" s="202"/>
      <c r="DB297" s="202"/>
      <c r="DC297" s="202"/>
      <c r="DD297" s="461"/>
      <c r="DE297" s="256"/>
      <c r="DF297" s="202"/>
      <c r="DG297" s="202"/>
      <c r="DH297" s="202"/>
      <c r="DI297" s="204">
        <v>881</v>
      </c>
      <c r="DJ297" s="202"/>
      <c r="DK297" s="202"/>
      <c r="DL297" s="202"/>
      <c r="DM297" s="202"/>
      <c r="DN297" s="202"/>
      <c r="DO297" s="202"/>
      <c r="DP297" s="202">
        <v>13829</v>
      </c>
      <c r="DQ297" s="202">
        <v>2550</v>
      </c>
      <c r="DR297" s="202">
        <v>1.5</v>
      </c>
      <c r="DS297" s="202">
        <v>10840</v>
      </c>
      <c r="DT297" s="254">
        <v>316</v>
      </c>
      <c r="DU297" s="254">
        <v>294</v>
      </c>
      <c r="DV297" s="202"/>
      <c r="DW297" s="202">
        <v>15332</v>
      </c>
      <c r="DX297" s="202"/>
      <c r="DY297" s="107">
        <v>1365</v>
      </c>
      <c r="DZ297" s="107"/>
      <c r="EA297" s="202">
        <v>7875.2</v>
      </c>
      <c r="EB297" s="202">
        <v>12190</v>
      </c>
      <c r="EC297" s="202"/>
      <c r="ED297" s="202"/>
      <c r="EE297" s="202"/>
      <c r="EF297" s="229"/>
      <c r="EG297" s="202"/>
      <c r="EH297" s="202"/>
      <c r="EI297" s="202"/>
      <c r="EJ297" s="202"/>
      <c r="EK297" s="202">
        <v>1617.33</v>
      </c>
      <c r="EL297" s="202">
        <v>12938.7</v>
      </c>
      <c r="EM297" s="202">
        <v>0</v>
      </c>
      <c r="EN297" s="202">
        <v>77.319999999999993</v>
      </c>
      <c r="EO297" s="202">
        <v>1617.33</v>
      </c>
      <c r="EP297" s="202"/>
      <c r="EQ297" s="202">
        <v>0</v>
      </c>
      <c r="ER297" s="202">
        <v>77.319999999999993</v>
      </c>
      <c r="ES297" s="202"/>
      <c r="ET297" s="202"/>
      <c r="EU297" s="202"/>
      <c r="EV297" s="214">
        <f>-3.29+2775.74</f>
        <v>2772.45</v>
      </c>
      <c r="EW297" s="240">
        <f t="shared" si="204"/>
        <v>7443.08</v>
      </c>
      <c r="EX297" s="209">
        <f t="shared" si="205"/>
        <v>4844.3500000000004</v>
      </c>
    </row>
    <row r="298" spans="1:154" ht="12.75" customHeight="1" x14ac:dyDescent="0.2">
      <c r="A298" s="4" t="s">
        <v>774</v>
      </c>
      <c r="B298" s="60" t="s">
        <v>347</v>
      </c>
      <c r="C298" s="61" t="s">
        <v>354</v>
      </c>
      <c r="D298" s="62" t="s">
        <v>531</v>
      </c>
      <c r="E298" s="61" t="s">
        <v>12</v>
      </c>
      <c r="F298" s="11">
        <v>9</v>
      </c>
      <c r="G298" s="11">
        <v>1</v>
      </c>
      <c r="H298" s="11">
        <v>54</v>
      </c>
      <c r="I298" s="11">
        <v>0</v>
      </c>
      <c r="J298" s="11">
        <v>94</v>
      </c>
      <c r="K298" s="11">
        <v>117</v>
      </c>
      <c r="L298" s="11">
        <v>1</v>
      </c>
      <c r="M298" s="84">
        <v>285</v>
      </c>
      <c r="N298" s="84">
        <v>87</v>
      </c>
      <c r="O298" s="84">
        <v>0</v>
      </c>
      <c r="P298" s="139">
        <v>285</v>
      </c>
      <c r="Q298" s="139">
        <v>87</v>
      </c>
      <c r="R298" s="139">
        <v>0</v>
      </c>
      <c r="S298" s="133">
        <f t="shared" si="206"/>
        <v>372</v>
      </c>
      <c r="T298" s="134">
        <v>285</v>
      </c>
      <c r="U298" s="130">
        <v>2.44</v>
      </c>
      <c r="V298" s="131">
        <v>1.9800000000000002E-2</v>
      </c>
      <c r="W298" s="131">
        <v>1.9800000000000002E-2</v>
      </c>
      <c r="X298" s="132">
        <v>1.32E-3</v>
      </c>
      <c r="Y298" s="131">
        <v>3.9699999999999999E-2</v>
      </c>
      <c r="Z298" s="29">
        <v>2327.63</v>
      </c>
      <c r="AA298" s="34"/>
      <c r="AB298" s="9">
        <f t="shared" si="176"/>
        <v>2327.63</v>
      </c>
      <c r="AC298" s="9">
        <f t="shared" si="184"/>
        <v>14733.9</v>
      </c>
      <c r="AD298" s="9">
        <v>1.67</v>
      </c>
      <c r="AE298" s="9">
        <v>4.24</v>
      </c>
      <c r="AF298" s="21">
        <f>2.47-AJ298</f>
        <v>2.31</v>
      </c>
      <c r="AG298" s="18">
        <f>0.6-AQ298</f>
        <v>0.54</v>
      </c>
      <c r="AH298" s="9">
        <v>2.77</v>
      </c>
      <c r="AI298" s="43">
        <v>375</v>
      </c>
      <c r="AJ298" s="21">
        <f t="shared" si="178"/>
        <v>0.16</v>
      </c>
      <c r="AK298" s="9">
        <v>1.85</v>
      </c>
      <c r="AL298" s="9">
        <v>0.16</v>
      </c>
      <c r="AM298" s="9">
        <v>0.4</v>
      </c>
      <c r="AN298" s="13"/>
      <c r="AO298" s="13">
        <v>305.89999999999998</v>
      </c>
      <c r="AP298" s="13">
        <f t="shared" si="208"/>
        <v>5.58</v>
      </c>
      <c r="AQ298" s="18">
        <f t="shared" si="179"/>
        <v>0.06</v>
      </c>
      <c r="AR298" s="9">
        <v>0.73</v>
      </c>
      <c r="AS298" s="9">
        <v>0.59</v>
      </c>
      <c r="AT298" s="9">
        <v>7.0000000000000007E-2</v>
      </c>
      <c r="AU298" s="9">
        <v>4.0999999999999996</v>
      </c>
      <c r="AV298" s="9">
        <v>0.17</v>
      </c>
      <c r="AW298" s="9">
        <f>1.4+0.32+0.36</f>
        <v>2.08</v>
      </c>
      <c r="AX298" s="9">
        <f>1.97+0.49</f>
        <v>2.46</v>
      </c>
      <c r="AY298" s="63">
        <f t="shared" si="209"/>
        <v>24.36</v>
      </c>
      <c r="AZ298" s="64">
        <v>2327.4</v>
      </c>
      <c r="BA298" s="64">
        <v>0</v>
      </c>
      <c r="BB298" s="64">
        <f t="shared" si="177"/>
        <v>2327.4</v>
      </c>
      <c r="BC298" s="64">
        <v>24.36</v>
      </c>
      <c r="BD298" s="13">
        <f t="shared" si="207"/>
        <v>0</v>
      </c>
      <c r="BE298" s="9">
        <f t="shared" si="185"/>
        <v>56701.07</v>
      </c>
      <c r="BF298" s="9">
        <v>24.36</v>
      </c>
      <c r="BG298" s="10">
        <v>44409</v>
      </c>
      <c r="BH298" s="9">
        <f t="shared" si="186"/>
        <v>3887.14</v>
      </c>
      <c r="BI298" s="9">
        <f t="shared" si="187"/>
        <v>9869.15</v>
      </c>
      <c r="BJ298" s="9">
        <f t="shared" si="188"/>
        <v>5376.83</v>
      </c>
      <c r="BK298" s="9">
        <f t="shared" si="189"/>
        <v>1256.92</v>
      </c>
      <c r="BL298" s="9">
        <f t="shared" si="190"/>
        <v>6447.54</v>
      </c>
      <c r="BM298" s="9">
        <f t="shared" si="191"/>
        <v>372.42</v>
      </c>
      <c r="BN298" s="9">
        <f t="shared" si="192"/>
        <v>4306.12</v>
      </c>
      <c r="BO298" s="9">
        <f t="shared" si="193"/>
        <v>372.42</v>
      </c>
      <c r="BP298" s="9">
        <f t="shared" si="194"/>
        <v>931.05</v>
      </c>
      <c r="BQ298" s="9">
        <f t="shared" si="195"/>
        <v>139.66</v>
      </c>
      <c r="BR298" s="9">
        <f t="shared" si="196"/>
        <v>1699.17</v>
      </c>
      <c r="BS298" s="9">
        <f t="shared" si="197"/>
        <v>1373.3</v>
      </c>
      <c r="BT298" s="9">
        <f t="shared" si="198"/>
        <v>162.93</v>
      </c>
      <c r="BU298" s="9">
        <f t="shared" si="199"/>
        <v>9543.2800000000007</v>
      </c>
      <c r="BV298" s="9">
        <f t="shared" si="200"/>
        <v>395.7</v>
      </c>
      <c r="BW298" s="9">
        <f t="shared" si="201"/>
        <v>4841.47</v>
      </c>
      <c r="BX298" s="9">
        <f t="shared" si="202"/>
        <v>5725.97</v>
      </c>
      <c r="BY298" s="17">
        <f t="shared" si="203"/>
        <v>56701.07</v>
      </c>
      <c r="BZ298" s="17">
        <v>2.3199999999999998</v>
      </c>
      <c r="CA298" s="17">
        <v>7.0000000000000007E-2</v>
      </c>
      <c r="CB298" s="17">
        <v>0.42</v>
      </c>
      <c r="CC298" s="27">
        <v>7.0000000000000007E-2</v>
      </c>
      <c r="CD298" s="29">
        <v>6.33</v>
      </c>
      <c r="CE298" s="9">
        <v>195.22</v>
      </c>
      <c r="CF298" s="9"/>
      <c r="CG298" s="9">
        <v>0</v>
      </c>
      <c r="CH298" s="9">
        <v>79.84</v>
      </c>
      <c r="CI298" s="9">
        <f t="shared" si="214"/>
        <v>0.08</v>
      </c>
      <c r="CJ298" s="9">
        <f t="shared" si="215"/>
        <v>0</v>
      </c>
      <c r="CK298" s="13">
        <f t="shared" si="216"/>
        <v>0</v>
      </c>
      <c r="CL298" s="13">
        <f t="shared" si="217"/>
        <v>0.03</v>
      </c>
      <c r="CM298" s="13">
        <v>56525.7</v>
      </c>
      <c r="CN298" s="13">
        <v>3698.07</v>
      </c>
      <c r="CO298" s="13">
        <v>0</v>
      </c>
      <c r="CP298" s="13">
        <v>0</v>
      </c>
      <c r="CQ298" s="13">
        <v>69.739999999999995</v>
      </c>
      <c r="CR298" s="13">
        <v>59049.18</v>
      </c>
      <c r="CS298" s="13">
        <v>5538.16</v>
      </c>
      <c r="CT298" s="13">
        <v>144.99</v>
      </c>
      <c r="CU298" s="13">
        <v>24.17</v>
      </c>
      <c r="CV298" s="13">
        <v>72.84</v>
      </c>
      <c r="CW298" s="202">
        <v>2026</v>
      </c>
      <c r="CX298" s="200">
        <v>1163</v>
      </c>
      <c r="CY298" s="202"/>
      <c r="CZ298" s="202"/>
      <c r="DA298" s="202"/>
      <c r="DB298" s="202"/>
      <c r="DC298" s="202"/>
      <c r="DD298" s="461"/>
      <c r="DE298" s="256"/>
      <c r="DF298" s="202"/>
      <c r="DG298" s="202"/>
      <c r="DH298" s="202"/>
      <c r="DI298" s="204">
        <v>375</v>
      </c>
      <c r="DJ298" s="202">
        <f>4300-138.71</f>
        <v>4161.29</v>
      </c>
      <c r="DK298" s="202"/>
      <c r="DL298" s="202"/>
      <c r="DM298" s="202"/>
      <c r="DN298" s="202"/>
      <c r="DO298" s="202"/>
      <c r="DP298" s="202">
        <v>13467</v>
      </c>
      <c r="DQ298" s="202">
        <v>2550</v>
      </c>
      <c r="DR298" s="202">
        <v>1.5</v>
      </c>
      <c r="DS298" s="202"/>
      <c r="DT298" s="254"/>
      <c r="DU298" s="254"/>
      <c r="DV298" s="202"/>
      <c r="DW298" s="202">
        <v>10848</v>
      </c>
      <c r="DX298" s="202"/>
      <c r="DY298" s="107">
        <v>1365</v>
      </c>
      <c r="DZ298" s="107">
        <v>942</v>
      </c>
      <c r="EA298" s="202">
        <v>18431.740000000002</v>
      </c>
      <c r="EB298" s="202">
        <v>6741</v>
      </c>
      <c r="EC298" s="202"/>
      <c r="ED298" s="202"/>
      <c r="EE298" s="202"/>
      <c r="EF298" s="229"/>
      <c r="EG298" s="202"/>
      <c r="EH298" s="202"/>
      <c r="EI298" s="202"/>
      <c r="EJ298" s="202"/>
      <c r="EK298" s="202">
        <v>3704.38</v>
      </c>
      <c r="EL298" s="202">
        <v>0</v>
      </c>
      <c r="EM298" s="202">
        <v>0</v>
      </c>
      <c r="EN298" s="202">
        <v>79.84</v>
      </c>
      <c r="EO298" s="202">
        <v>3704.38</v>
      </c>
      <c r="EP298" s="202"/>
      <c r="EQ298" s="202">
        <v>0</v>
      </c>
      <c r="ER298" s="202">
        <v>79.84</v>
      </c>
      <c r="ES298" s="202"/>
      <c r="ET298" s="202"/>
      <c r="EU298" s="202"/>
      <c r="EV298" s="214">
        <v>-3.52</v>
      </c>
      <c r="EW298" s="240">
        <f t="shared" si="204"/>
        <v>5090.8999999999996</v>
      </c>
      <c r="EX298" s="209">
        <f t="shared" si="205"/>
        <v>3313.43</v>
      </c>
    </row>
    <row r="299" spans="1:154" ht="12.75" customHeight="1" x14ac:dyDescent="0.2">
      <c r="A299" s="4" t="s">
        <v>775</v>
      </c>
      <c r="B299" s="60" t="s">
        <v>347</v>
      </c>
      <c r="C299" s="61" t="s">
        <v>52</v>
      </c>
      <c r="D299" s="62" t="s">
        <v>605</v>
      </c>
      <c r="E299" s="61" t="s">
        <v>9</v>
      </c>
      <c r="F299" s="11">
        <v>9</v>
      </c>
      <c r="G299" s="11">
        <v>8</v>
      </c>
      <c r="H299" s="11">
        <v>288</v>
      </c>
      <c r="I299" s="11">
        <v>287</v>
      </c>
      <c r="J299" s="11">
        <v>563</v>
      </c>
      <c r="K299" s="11">
        <v>735</v>
      </c>
      <c r="L299" s="11">
        <v>8</v>
      </c>
      <c r="M299" s="84">
        <v>1690.5</v>
      </c>
      <c r="N299" s="84">
        <v>2271.4</v>
      </c>
      <c r="O299" s="84">
        <v>0</v>
      </c>
      <c r="P299" s="139">
        <v>2064.5</v>
      </c>
      <c r="Q299" s="135">
        <v>1690.5</v>
      </c>
      <c r="R299" s="133">
        <v>0</v>
      </c>
      <c r="S299" s="133">
        <f t="shared" si="206"/>
        <v>3755</v>
      </c>
      <c r="T299" s="139">
        <v>1690.5</v>
      </c>
      <c r="U299" s="130">
        <v>2.44</v>
      </c>
      <c r="V299" s="131">
        <v>1.9800000000000002E-2</v>
      </c>
      <c r="W299" s="131">
        <v>1.9800000000000002E-2</v>
      </c>
      <c r="X299" s="132">
        <v>1.32E-3</v>
      </c>
      <c r="Y299" s="131">
        <v>3.9699999999999999E-2</v>
      </c>
      <c r="Z299" s="29">
        <v>15453.7</v>
      </c>
      <c r="AA299" s="34">
        <v>483.8</v>
      </c>
      <c r="AB299" s="9">
        <f t="shared" si="176"/>
        <v>15937.5</v>
      </c>
      <c r="AC299" s="9">
        <f t="shared" si="184"/>
        <v>100884.38</v>
      </c>
      <c r="AD299" s="9">
        <v>1.52</v>
      </c>
      <c r="AE299" s="9">
        <v>4.8099999999999996</v>
      </c>
      <c r="AF299" s="21">
        <f>2.44-AJ299</f>
        <v>2.2999999999999998</v>
      </c>
      <c r="AG299" s="18">
        <f>0.61-AQ299</f>
        <v>0.56000000000000005</v>
      </c>
      <c r="AH299" s="9">
        <v>2.78</v>
      </c>
      <c r="AI299" s="43">
        <v>2227</v>
      </c>
      <c r="AJ299" s="21">
        <f t="shared" si="178"/>
        <v>0.14000000000000001</v>
      </c>
      <c r="AK299" s="9">
        <v>2.16</v>
      </c>
      <c r="AL299" s="9">
        <v>0.19</v>
      </c>
      <c r="AM299" s="9">
        <v>0.06</v>
      </c>
      <c r="AN299" s="13"/>
      <c r="AO299" s="13">
        <v>1689.6</v>
      </c>
      <c r="AP299" s="13">
        <f t="shared" si="208"/>
        <v>5.58</v>
      </c>
      <c r="AQ299" s="18">
        <f t="shared" si="179"/>
        <v>0.05</v>
      </c>
      <c r="AR299" s="9">
        <v>0.55000000000000004</v>
      </c>
      <c r="AS299" s="9">
        <v>0.17</v>
      </c>
      <c r="AT299" s="9">
        <v>7.0000000000000007E-2</v>
      </c>
      <c r="AU299" s="9">
        <v>3.84</v>
      </c>
      <c r="AV299" s="9">
        <v>0.16</v>
      </c>
      <c r="AW299" s="9">
        <f>1.38+0.26+0.34</f>
        <v>1.98</v>
      </c>
      <c r="AX299" s="9">
        <f>1.93+0.47</f>
        <v>2.4</v>
      </c>
      <c r="AY299" s="63">
        <f t="shared" si="209"/>
        <v>23.74</v>
      </c>
      <c r="AZ299" s="64">
        <v>15444.4</v>
      </c>
      <c r="BA299" s="64">
        <v>483.8</v>
      </c>
      <c r="BB299" s="64">
        <f t="shared" si="177"/>
        <v>15928.2</v>
      </c>
      <c r="BC299" s="64">
        <v>23.74</v>
      </c>
      <c r="BD299" s="13">
        <f t="shared" si="207"/>
        <v>0</v>
      </c>
      <c r="BE299" s="9">
        <f t="shared" si="185"/>
        <v>378356.25</v>
      </c>
      <c r="BF299" s="9">
        <v>23.74</v>
      </c>
      <c r="BG299" s="10">
        <v>44409</v>
      </c>
      <c r="BH299" s="9">
        <f t="shared" si="186"/>
        <v>24225</v>
      </c>
      <c r="BI299" s="9">
        <f t="shared" si="187"/>
        <v>76659.38</v>
      </c>
      <c r="BJ299" s="9">
        <f t="shared" si="188"/>
        <v>36656.25</v>
      </c>
      <c r="BK299" s="9">
        <f t="shared" si="189"/>
        <v>8925</v>
      </c>
      <c r="BL299" s="9">
        <f t="shared" si="190"/>
        <v>44306.25</v>
      </c>
      <c r="BM299" s="9">
        <f t="shared" si="191"/>
        <v>2231.25</v>
      </c>
      <c r="BN299" s="9">
        <f t="shared" si="192"/>
        <v>34425</v>
      </c>
      <c r="BO299" s="9">
        <f t="shared" si="193"/>
        <v>3028.13</v>
      </c>
      <c r="BP299" s="9">
        <f t="shared" si="194"/>
        <v>956.25</v>
      </c>
      <c r="BQ299" s="9">
        <f t="shared" si="195"/>
        <v>796.88</v>
      </c>
      <c r="BR299" s="9">
        <f t="shared" si="196"/>
        <v>8765.6299999999992</v>
      </c>
      <c r="BS299" s="9">
        <f t="shared" si="197"/>
        <v>2709.38</v>
      </c>
      <c r="BT299" s="9">
        <f t="shared" si="198"/>
        <v>1115.6300000000001</v>
      </c>
      <c r="BU299" s="9">
        <f t="shared" si="199"/>
        <v>61200</v>
      </c>
      <c r="BV299" s="9">
        <f t="shared" si="200"/>
        <v>2550</v>
      </c>
      <c r="BW299" s="9">
        <f t="shared" si="201"/>
        <v>31556.25</v>
      </c>
      <c r="BX299" s="9">
        <f t="shared" si="202"/>
        <v>38250</v>
      </c>
      <c r="BY299" s="17">
        <f t="shared" si="203"/>
        <v>378356.28</v>
      </c>
      <c r="BZ299" s="17">
        <v>2.35</v>
      </c>
      <c r="CA299" s="17">
        <v>0.06</v>
      </c>
      <c r="CB299" s="17">
        <v>0.36</v>
      </c>
      <c r="CC299" s="27">
        <v>0.06</v>
      </c>
      <c r="CD299" s="29">
        <v>6.33</v>
      </c>
      <c r="CE299" s="9">
        <v>37941.74</v>
      </c>
      <c r="CF299" s="9"/>
      <c r="CG299" s="9">
        <v>1356.93</v>
      </c>
      <c r="CH299" s="9">
        <v>949.51</v>
      </c>
      <c r="CI299" s="9">
        <f t="shared" si="214"/>
        <v>2.38</v>
      </c>
      <c r="CJ299" s="9">
        <f t="shared" si="215"/>
        <v>0</v>
      </c>
      <c r="CK299" s="13">
        <f t="shared" si="216"/>
        <v>0.09</v>
      </c>
      <c r="CL299" s="13">
        <f t="shared" si="217"/>
        <v>0.06</v>
      </c>
      <c r="CM299" s="13">
        <v>366870.98</v>
      </c>
      <c r="CN299" s="13">
        <v>31834.48</v>
      </c>
      <c r="CO299" s="13">
        <v>0</v>
      </c>
      <c r="CP299" s="13">
        <v>1390.82</v>
      </c>
      <c r="CQ299" s="13">
        <v>927.08</v>
      </c>
      <c r="CR299" s="13">
        <v>367076.99</v>
      </c>
      <c r="CS299" s="13">
        <v>35736.03</v>
      </c>
      <c r="CT299" s="13">
        <v>902.83</v>
      </c>
      <c r="CU299" s="13">
        <v>1356.96</v>
      </c>
      <c r="CV299" s="13">
        <v>928.84</v>
      </c>
      <c r="CW299" s="202">
        <v>13883</v>
      </c>
      <c r="CX299" s="200">
        <v>7964</v>
      </c>
      <c r="CY299" s="202"/>
      <c r="CZ299" s="202"/>
      <c r="DA299" s="202"/>
      <c r="DB299" s="202"/>
      <c r="DC299" s="202"/>
      <c r="DD299" s="461"/>
      <c r="DE299" s="256"/>
      <c r="DF299" s="202"/>
      <c r="DG299" s="202"/>
      <c r="DH299" s="202"/>
      <c r="DI299" s="204">
        <v>2227</v>
      </c>
      <c r="DJ299" s="202">
        <v>34400</v>
      </c>
      <c r="DK299" s="202"/>
      <c r="DL299" s="202"/>
      <c r="DM299" s="202"/>
      <c r="DN299" s="202"/>
      <c r="DO299" s="202"/>
      <c r="DP299" s="202">
        <v>98644</v>
      </c>
      <c r="DQ299" s="202">
        <v>2550</v>
      </c>
      <c r="DR299" s="202">
        <v>1.5</v>
      </c>
      <c r="DS299" s="202"/>
      <c r="DT299" s="254"/>
      <c r="DU299" s="254"/>
      <c r="DV299" s="202"/>
      <c r="DW299" s="202">
        <v>74580</v>
      </c>
      <c r="DX299" s="202"/>
      <c r="DY299" s="107">
        <v>2730</v>
      </c>
      <c r="DZ299" s="107"/>
      <c r="EA299" s="202">
        <f>7498.74+5831.86+10397.87</f>
        <v>23728.47</v>
      </c>
      <c r="EB299" s="202">
        <v>35475</v>
      </c>
      <c r="EC299" s="202"/>
      <c r="ED299" s="202"/>
      <c r="EE299" s="202"/>
      <c r="EF299" s="229"/>
      <c r="EG299" s="202"/>
      <c r="EH299" s="202"/>
      <c r="EI299" s="202"/>
      <c r="EJ299" s="202"/>
      <c r="EK299" s="202">
        <v>32790.199999999997</v>
      </c>
      <c r="EL299" s="202">
        <v>0</v>
      </c>
      <c r="EM299" s="202">
        <v>1356.28</v>
      </c>
      <c r="EN299" s="202">
        <v>949.51</v>
      </c>
      <c r="EO299" s="202">
        <v>32790.199999999997</v>
      </c>
      <c r="EP299" s="202"/>
      <c r="EQ299" s="202">
        <v>1356.28</v>
      </c>
      <c r="ER299" s="202">
        <v>949.51</v>
      </c>
      <c r="ES299" s="202"/>
      <c r="ET299" s="202"/>
      <c r="EU299" s="202"/>
      <c r="EV299" s="214">
        <v>2.15</v>
      </c>
      <c r="EW299" s="240">
        <f t="shared" si="204"/>
        <v>34857.86</v>
      </c>
      <c r="EX299" s="209">
        <f t="shared" si="205"/>
        <v>22687.35</v>
      </c>
    </row>
    <row r="300" spans="1:154" ht="12.75" customHeight="1" x14ac:dyDescent="0.2">
      <c r="A300" s="4" t="s">
        <v>776</v>
      </c>
      <c r="B300" s="60" t="s">
        <v>347</v>
      </c>
      <c r="C300" s="61" t="s">
        <v>243</v>
      </c>
      <c r="D300" s="62" t="s">
        <v>532</v>
      </c>
      <c r="E300" s="61" t="s">
        <v>12</v>
      </c>
      <c r="F300" s="11">
        <v>9</v>
      </c>
      <c r="G300" s="11">
        <v>2</v>
      </c>
      <c r="H300" s="11">
        <v>72</v>
      </c>
      <c r="I300" s="11">
        <v>73</v>
      </c>
      <c r="J300" s="11">
        <v>167</v>
      </c>
      <c r="K300" s="11">
        <v>195</v>
      </c>
      <c r="L300" s="83">
        <v>2</v>
      </c>
      <c r="M300" s="84">
        <v>589.4</v>
      </c>
      <c r="N300" s="84">
        <v>500.3</v>
      </c>
      <c r="O300" s="84">
        <v>0</v>
      </c>
      <c r="P300" s="139">
        <v>639.70000000000005</v>
      </c>
      <c r="Q300" s="135">
        <v>443.7</v>
      </c>
      <c r="R300" s="133">
        <v>0</v>
      </c>
      <c r="S300" s="133">
        <f t="shared" si="206"/>
        <v>1083.4000000000001</v>
      </c>
      <c r="T300" s="139">
        <v>589.4</v>
      </c>
      <c r="U300" s="130">
        <v>2.44</v>
      </c>
      <c r="V300" s="131">
        <v>1.9800000000000002E-2</v>
      </c>
      <c r="W300" s="131">
        <v>1.9800000000000002E-2</v>
      </c>
      <c r="X300" s="132">
        <v>1.2199999999999999E-3</v>
      </c>
      <c r="Y300" s="131">
        <v>3.9699999999999999E-2</v>
      </c>
      <c r="Z300" s="29">
        <v>3731.1</v>
      </c>
      <c r="AA300" s="34">
        <v>65.900000000000006</v>
      </c>
      <c r="AB300" s="9">
        <f t="shared" si="176"/>
        <v>3797</v>
      </c>
      <c r="AC300" s="9">
        <f t="shared" si="184"/>
        <v>24035.01</v>
      </c>
      <c r="AD300" s="9">
        <v>1.83</v>
      </c>
      <c r="AE300" s="9">
        <v>4.58</v>
      </c>
      <c r="AF300" s="21">
        <f>2.48-AJ300</f>
        <v>2.33</v>
      </c>
      <c r="AG300" s="18">
        <f>0.62-AQ300</f>
        <v>0.56999999999999995</v>
      </c>
      <c r="AH300" s="9">
        <v>2.78</v>
      </c>
      <c r="AI300" s="43">
        <v>559</v>
      </c>
      <c r="AJ300" s="21">
        <f t="shared" si="178"/>
        <v>0.15</v>
      </c>
      <c r="AK300" s="9">
        <v>2.27</v>
      </c>
      <c r="AL300" s="9">
        <v>0.2</v>
      </c>
      <c r="AM300" s="9">
        <v>0.15</v>
      </c>
      <c r="AN300" s="13"/>
      <c r="AO300" s="13">
        <v>422.4</v>
      </c>
      <c r="AP300" s="13">
        <f t="shared" si="208"/>
        <v>5.58</v>
      </c>
      <c r="AQ300" s="18">
        <f t="shared" si="179"/>
        <v>0.05</v>
      </c>
      <c r="AR300" s="9">
        <v>0.57999999999999996</v>
      </c>
      <c r="AS300" s="9">
        <v>0.36</v>
      </c>
      <c r="AT300" s="9">
        <v>7.0000000000000007E-2</v>
      </c>
      <c r="AU300" s="9">
        <v>3.87</v>
      </c>
      <c r="AV300" s="9">
        <v>0.17</v>
      </c>
      <c r="AW300" s="9">
        <f>1.43+0.27+0.34</f>
        <v>2.04</v>
      </c>
      <c r="AX300" s="9">
        <f>2.01+0.46</f>
        <v>2.4700000000000002</v>
      </c>
      <c r="AY300" s="63">
        <f t="shared" si="209"/>
        <v>24.47</v>
      </c>
      <c r="AZ300" s="64">
        <v>3717.6</v>
      </c>
      <c r="BA300" s="64">
        <v>65.900000000000006</v>
      </c>
      <c r="BB300" s="64">
        <f t="shared" si="177"/>
        <v>3783.5</v>
      </c>
      <c r="BC300" s="64">
        <v>24.47</v>
      </c>
      <c r="BD300" s="13">
        <f t="shared" si="207"/>
        <v>0</v>
      </c>
      <c r="BE300" s="9">
        <f t="shared" si="185"/>
        <v>92912.59</v>
      </c>
      <c r="BF300" s="9">
        <v>24.47</v>
      </c>
      <c r="BG300" s="10">
        <v>44378</v>
      </c>
      <c r="BH300" s="9">
        <f t="shared" si="186"/>
        <v>6948.51</v>
      </c>
      <c r="BI300" s="9">
        <f t="shared" si="187"/>
        <v>17390.259999999998</v>
      </c>
      <c r="BJ300" s="9">
        <f t="shared" si="188"/>
        <v>8847.01</v>
      </c>
      <c r="BK300" s="9">
        <f t="shared" si="189"/>
        <v>2164.29</v>
      </c>
      <c r="BL300" s="9">
        <f t="shared" si="190"/>
        <v>10555.66</v>
      </c>
      <c r="BM300" s="9">
        <f t="shared" si="191"/>
        <v>569.54999999999995</v>
      </c>
      <c r="BN300" s="9">
        <f t="shared" si="192"/>
        <v>8619.19</v>
      </c>
      <c r="BO300" s="9">
        <f t="shared" si="193"/>
        <v>759.4</v>
      </c>
      <c r="BP300" s="9">
        <f t="shared" si="194"/>
        <v>569.54999999999995</v>
      </c>
      <c r="BQ300" s="9">
        <f t="shared" si="195"/>
        <v>189.85</v>
      </c>
      <c r="BR300" s="9">
        <f t="shared" si="196"/>
        <v>2202.2600000000002</v>
      </c>
      <c r="BS300" s="9">
        <f t="shared" si="197"/>
        <v>1366.92</v>
      </c>
      <c r="BT300" s="9">
        <f t="shared" si="198"/>
        <v>265.79000000000002</v>
      </c>
      <c r="BU300" s="9">
        <f t="shared" si="199"/>
        <v>14694.39</v>
      </c>
      <c r="BV300" s="9">
        <f t="shared" si="200"/>
        <v>645.49</v>
      </c>
      <c r="BW300" s="9">
        <f t="shared" si="201"/>
        <v>7745.88</v>
      </c>
      <c r="BX300" s="9">
        <f t="shared" si="202"/>
        <v>9378.59</v>
      </c>
      <c r="BY300" s="17">
        <f t="shared" si="203"/>
        <v>92912.59</v>
      </c>
      <c r="BZ300" s="17">
        <v>2.68</v>
      </c>
      <c r="CA300" s="17">
        <v>0.08</v>
      </c>
      <c r="CB300" s="17">
        <v>0.49</v>
      </c>
      <c r="CC300" s="27">
        <v>0.09</v>
      </c>
      <c r="CD300" s="29">
        <v>6.33</v>
      </c>
      <c r="CE300" s="9">
        <v>8957.7199999999993</v>
      </c>
      <c r="CF300" s="9"/>
      <c r="CG300" s="9">
        <v>0</v>
      </c>
      <c r="CH300" s="9">
        <v>165.11</v>
      </c>
      <c r="CI300" s="9">
        <f t="shared" si="214"/>
        <v>2.36</v>
      </c>
      <c r="CJ300" s="9">
        <f t="shared" si="215"/>
        <v>0</v>
      </c>
      <c r="CK300" s="13">
        <f t="shared" si="216"/>
        <v>0</v>
      </c>
      <c r="CL300" s="13">
        <f t="shared" si="217"/>
        <v>0.04</v>
      </c>
      <c r="CM300" s="13">
        <v>91300.03</v>
      </c>
      <c r="CN300" s="13">
        <v>0</v>
      </c>
      <c r="CO300" s="13">
        <v>0</v>
      </c>
      <c r="CP300" s="13">
        <v>0</v>
      </c>
      <c r="CQ300" s="13">
        <v>149.26</v>
      </c>
      <c r="CR300" s="13">
        <v>107223.32</v>
      </c>
      <c r="CS300" s="13">
        <v>4421.21</v>
      </c>
      <c r="CT300" s="13">
        <v>242.41</v>
      </c>
      <c r="CU300" s="13">
        <v>39.57</v>
      </c>
      <c r="CV300" s="13">
        <v>162.26</v>
      </c>
      <c r="CW300" s="202">
        <v>3307</v>
      </c>
      <c r="CX300" s="200">
        <v>1897</v>
      </c>
      <c r="CY300" s="202"/>
      <c r="CZ300" s="202"/>
      <c r="DA300" s="202"/>
      <c r="DB300" s="202"/>
      <c r="DC300" s="202"/>
      <c r="DD300" s="461"/>
      <c r="DE300" s="256"/>
      <c r="DF300" s="202"/>
      <c r="DG300" s="202"/>
      <c r="DH300" s="202"/>
      <c r="DI300" s="204">
        <v>559</v>
      </c>
      <c r="DJ300" s="202">
        <v>8600</v>
      </c>
      <c r="DK300" s="202"/>
      <c r="DL300" s="202"/>
      <c r="DM300" s="202"/>
      <c r="DN300" s="202"/>
      <c r="DO300" s="202"/>
      <c r="DP300" s="202">
        <v>23695</v>
      </c>
      <c r="DQ300" s="202">
        <v>3400</v>
      </c>
      <c r="DR300" s="202">
        <v>2</v>
      </c>
      <c r="DS300" s="202"/>
      <c r="DT300" s="254"/>
      <c r="DU300" s="254"/>
      <c r="DV300" s="202"/>
      <c r="DW300" s="202">
        <v>17827</v>
      </c>
      <c r="DX300" s="202"/>
      <c r="DY300" s="107">
        <v>1365</v>
      </c>
      <c r="DZ300" s="107">
        <v>577</v>
      </c>
      <c r="EA300" s="202">
        <v>3404.4</v>
      </c>
      <c r="EB300" s="202">
        <v>8829</v>
      </c>
      <c r="EC300" s="202"/>
      <c r="ED300" s="202"/>
      <c r="EE300" s="202"/>
      <c r="EF300" s="229"/>
      <c r="EG300" s="202"/>
      <c r="EH300" s="202"/>
      <c r="EI300" s="202"/>
      <c r="EJ300" s="202"/>
      <c r="EK300" s="202">
        <v>0</v>
      </c>
      <c r="EL300" s="202">
        <v>0</v>
      </c>
      <c r="EM300" s="202">
        <v>0</v>
      </c>
      <c r="EN300" s="202">
        <v>165.11</v>
      </c>
      <c r="EO300" s="202">
        <v>0</v>
      </c>
      <c r="EP300" s="202"/>
      <c r="EQ300" s="202">
        <v>0</v>
      </c>
      <c r="ER300" s="202">
        <v>165.11</v>
      </c>
      <c r="ES300" s="202"/>
      <c r="ET300" s="202"/>
      <c r="EU300" s="202"/>
      <c r="EV300" s="214">
        <v>-9.58</v>
      </c>
      <c r="EW300" s="240">
        <f t="shared" si="204"/>
        <v>8304.65</v>
      </c>
      <c r="EX300" s="209">
        <f t="shared" si="205"/>
        <v>5405.11</v>
      </c>
    </row>
    <row r="301" spans="1:154" ht="12.75" customHeight="1" x14ac:dyDescent="0.2">
      <c r="A301" s="4" t="s">
        <v>777</v>
      </c>
      <c r="B301" s="163" t="s">
        <v>358</v>
      </c>
      <c r="C301" s="164" t="s">
        <v>37</v>
      </c>
      <c r="D301" s="165" t="s">
        <v>683</v>
      </c>
      <c r="E301" s="164" t="s">
        <v>12</v>
      </c>
      <c r="F301" s="11">
        <v>5</v>
      </c>
      <c r="G301" s="11">
        <v>4</v>
      </c>
      <c r="H301" s="11">
        <v>80</v>
      </c>
      <c r="I301" s="11">
        <v>80</v>
      </c>
      <c r="J301" s="11">
        <v>164</v>
      </c>
      <c r="K301" s="11">
        <v>196</v>
      </c>
      <c r="L301" s="11" t="s">
        <v>746</v>
      </c>
      <c r="M301" s="84">
        <v>272</v>
      </c>
      <c r="N301" s="84">
        <v>708.5</v>
      </c>
      <c r="O301" s="84">
        <v>0</v>
      </c>
      <c r="P301" s="135">
        <v>278.5</v>
      </c>
      <c r="Q301" s="135">
        <v>708.5</v>
      </c>
      <c r="R301" s="133">
        <v>0</v>
      </c>
      <c r="S301" s="133">
        <f t="shared" si="206"/>
        <v>987</v>
      </c>
      <c r="T301" s="134">
        <v>278.5</v>
      </c>
      <c r="U301" s="130">
        <v>1.53</v>
      </c>
      <c r="V301" s="131">
        <v>1.1299999999999999E-2</v>
      </c>
      <c r="W301" s="131" t="s">
        <v>823</v>
      </c>
      <c r="X301" s="132" t="s">
        <v>823</v>
      </c>
      <c r="Y301" s="131">
        <v>1.1299999999999999E-2</v>
      </c>
      <c r="Z301" s="29">
        <v>3524.3</v>
      </c>
      <c r="AA301" s="34"/>
      <c r="AB301" s="9">
        <f t="shared" si="176"/>
        <v>3524.3</v>
      </c>
      <c r="AC301" s="9">
        <f t="shared" si="184"/>
        <v>22308.82</v>
      </c>
      <c r="AD301" s="9">
        <v>0.43</v>
      </c>
      <c r="AE301" s="9">
        <v>4.71</v>
      </c>
      <c r="AF301" s="21">
        <f>2.68-AJ301</f>
        <v>2.44</v>
      </c>
      <c r="AG301" s="18">
        <f>0.59-AQ301</f>
        <v>0.45</v>
      </c>
      <c r="AH301" s="9">
        <v>2.37</v>
      </c>
      <c r="AI301" s="13">
        <v>846</v>
      </c>
      <c r="AJ301" s="21">
        <f t="shared" si="178"/>
        <v>0.24</v>
      </c>
      <c r="AK301" s="9">
        <v>0</v>
      </c>
      <c r="AL301" s="9">
        <v>0</v>
      </c>
      <c r="AM301" s="9">
        <v>0.16</v>
      </c>
      <c r="AN301" s="13">
        <v>356.3</v>
      </c>
      <c r="AO301" s="13">
        <v>712.5</v>
      </c>
      <c r="AP301" s="13">
        <f t="shared" si="208"/>
        <v>5.58</v>
      </c>
      <c r="AQ301" s="18">
        <f t="shared" si="179"/>
        <v>0.14000000000000001</v>
      </c>
      <c r="AR301" s="9">
        <v>0.82</v>
      </c>
      <c r="AS301" s="9">
        <v>0.39</v>
      </c>
      <c r="AT301" s="9">
        <v>7.0000000000000007E-2</v>
      </c>
      <c r="AU301" s="9">
        <v>3.67</v>
      </c>
      <c r="AV301" s="9">
        <v>0.13</v>
      </c>
      <c r="AW301" s="9">
        <f>1.09+0.32+0.32</f>
        <v>1.73</v>
      </c>
      <c r="AX301" s="9">
        <f>1.5+0.43</f>
        <v>1.93</v>
      </c>
      <c r="AY301" s="166">
        <f t="shared" si="209"/>
        <v>19.68</v>
      </c>
      <c r="AZ301" s="21">
        <v>3525.7</v>
      </c>
      <c r="BA301" s="21">
        <v>0</v>
      </c>
      <c r="BB301" s="21">
        <f t="shared" si="177"/>
        <v>3525.7</v>
      </c>
      <c r="BC301" s="21">
        <v>19.68</v>
      </c>
      <c r="BD301" s="13">
        <f t="shared" si="207"/>
        <v>0</v>
      </c>
      <c r="BE301" s="9">
        <f t="shared" si="185"/>
        <v>69358.22</v>
      </c>
      <c r="BF301" s="9">
        <v>19.68</v>
      </c>
      <c r="BG301" s="10">
        <v>44409</v>
      </c>
      <c r="BH301" s="9">
        <f t="shared" si="186"/>
        <v>1515.45</v>
      </c>
      <c r="BI301" s="9">
        <f t="shared" si="187"/>
        <v>16599.45</v>
      </c>
      <c r="BJ301" s="9">
        <f t="shared" si="188"/>
        <v>8599.2900000000009</v>
      </c>
      <c r="BK301" s="9">
        <f t="shared" si="189"/>
        <v>1585.94</v>
      </c>
      <c r="BL301" s="9">
        <f t="shared" si="190"/>
        <v>8352.59</v>
      </c>
      <c r="BM301" s="9">
        <f t="shared" si="191"/>
        <v>845.83</v>
      </c>
      <c r="BN301" s="9">
        <f t="shared" si="192"/>
        <v>0</v>
      </c>
      <c r="BO301" s="9">
        <f t="shared" si="193"/>
        <v>0</v>
      </c>
      <c r="BP301" s="9">
        <f t="shared" si="194"/>
        <v>563.89</v>
      </c>
      <c r="BQ301" s="9">
        <f t="shared" si="195"/>
        <v>493.4</v>
      </c>
      <c r="BR301" s="9">
        <f t="shared" si="196"/>
        <v>2889.93</v>
      </c>
      <c r="BS301" s="9">
        <f t="shared" si="197"/>
        <v>1374.48</v>
      </c>
      <c r="BT301" s="9">
        <f t="shared" si="198"/>
        <v>246.7</v>
      </c>
      <c r="BU301" s="9">
        <f t="shared" si="199"/>
        <v>12934.18</v>
      </c>
      <c r="BV301" s="9">
        <f t="shared" si="200"/>
        <v>458.16</v>
      </c>
      <c r="BW301" s="9">
        <f t="shared" si="201"/>
        <v>6097.04</v>
      </c>
      <c r="BX301" s="9">
        <f t="shared" si="202"/>
        <v>6801.9</v>
      </c>
      <c r="BY301" s="17">
        <f t="shared" si="203"/>
        <v>69358.23</v>
      </c>
      <c r="BZ301" s="17">
        <v>1.64</v>
      </c>
      <c r="CA301" s="17">
        <v>0.02</v>
      </c>
      <c r="CB301" s="173">
        <v>0</v>
      </c>
      <c r="CC301" s="27">
        <v>0.01</v>
      </c>
      <c r="CD301" s="29">
        <v>6.33</v>
      </c>
      <c r="CE301" s="9">
        <v>0</v>
      </c>
      <c r="CF301" s="9"/>
      <c r="CG301" s="9">
        <v>11133.89</v>
      </c>
      <c r="CH301" s="9">
        <v>5828.98</v>
      </c>
      <c r="CI301" s="9">
        <f t="shared" si="214"/>
        <v>0</v>
      </c>
      <c r="CJ301" s="9">
        <f t="shared" si="215"/>
        <v>0</v>
      </c>
      <c r="CK301" s="13">
        <f t="shared" si="216"/>
        <v>3.16</v>
      </c>
      <c r="CL301" s="13">
        <f t="shared" si="217"/>
        <v>1.65</v>
      </c>
      <c r="CM301" s="13">
        <v>69358.2</v>
      </c>
      <c r="CN301" s="13">
        <v>2326.02</v>
      </c>
      <c r="CO301" s="13">
        <v>0</v>
      </c>
      <c r="CP301" s="13">
        <v>7224.98</v>
      </c>
      <c r="CQ301" s="13">
        <v>3806.22</v>
      </c>
      <c r="CR301" s="13">
        <v>87374.14</v>
      </c>
      <c r="CS301" s="13">
        <v>5776.68</v>
      </c>
      <c r="CT301" s="13">
        <v>0</v>
      </c>
      <c r="CU301" s="13">
        <v>9630.35</v>
      </c>
      <c r="CV301" s="13">
        <v>5056.1899999999996</v>
      </c>
      <c r="CW301" s="202">
        <v>3071</v>
      </c>
      <c r="CX301" s="200">
        <v>1762</v>
      </c>
      <c r="CY301" s="202"/>
      <c r="CZ301" s="202"/>
      <c r="DA301" s="202"/>
      <c r="DB301" s="202"/>
      <c r="DC301" s="202"/>
      <c r="DD301" s="461"/>
      <c r="DE301" s="256"/>
      <c r="DF301" s="204">
        <v>846</v>
      </c>
      <c r="DG301" s="204"/>
      <c r="DH301" s="204"/>
      <c r="DI301" s="204"/>
      <c r="DJ301" s="202"/>
      <c r="DK301" s="202"/>
      <c r="DL301" s="202"/>
      <c r="DM301" s="202"/>
      <c r="DN301" s="202"/>
      <c r="DO301" s="202"/>
      <c r="DP301" s="202">
        <v>15214</v>
      </c>
      <c r="DQ301" s="202">
        <v>5100</v>
      </c>
      <c r="DR301" s="202">
        <v>3</v>
      </c>
      <c r="DS301" s="202"/>
      <c r="DT301" s="254"/>
      <c r="DU301" s="254"/>
      <c r="DV301" s="202">
        <v>19660</v>
      </c>
      <c r="DW301" s="202"/>
      <c r="DX301" s="202"/>
      <c r="DY301" s="107">
        <v>1365</v>
      </c>
      <c r="DZ301" s="107">
        <v>577</v>
      </c>
      <c r="EA301" s="202"/>
      <c r="EB301" s="202">
        <v>14372</v>
      </c>
      <c r="EC301" s="202"/>
      <c r="ED301" s="202"/>
      <c r="EE301" s="202"/>
      <c r="EF301" s="229"/>
      <c r="EG301" s="202"/>
      <c r="EH301" s="202"/>
      <c r="EI301" s="202"/>
      <c r="EJ301" s="202"/>
      <c r="EK301" s="202">
        <v>2322.13</v>
      </c>
      <c r="EL301" s="202">
        <v>0</v>
      </c>
      <c r="EM301" s="202">
        <v>7242.43</v>
      </c>
      <c r="EN301" s="202">
        <v>3791.66</v>
      </c>
      <c r="EO301" s="202">
        <v>2322.13</v>
      </c>
      <c r="EP301" s="202"/>
      <c r="EQ301" s="202">
        <v>7242.43</v>
      </c>
      <c r="ER301" s="202">
        <v>3791.66</v>
      </c>
      <c r="ES301" s="202"/>
      <c r="ET301" s="202"/>
      <c r="EU301" s="202"/>
      <c r="EV301" s="214">
        <v>262</v>
      </c>
      <c r="EW301" s="240">
        <f t="shared" si="204"/>
        <v>7708.21</v>
      </c>
      <c r="EX301" s="209">
        <f t="shared" si="205"/>
        <v>5016.91</v>
      </c>
    </row>
    <row r="302" spans="1:154" ht="12.75" customHeight="1" x14ac:dyDescent="0.2">
      <c r="A302" s="4" t="s">
        <v>778</v>
      </c>
      <c r="B302" s="163" t="s">
        <v>358</v>
      </c>
      <c r="C302" s="164" t="s">
        <v>39</v>
      </c>
      <c r="D302" s="165" t="s">
        <v>684</v>
      </c>
      <c r="E302" s="164" t="s">
        <v>12</v>
      </c>
      <c r="F302" s="11">
        <v>5</v>
      </c>
      <c r="G302" s="11">
        <v>2</v>
      </c>
      <c r="H302" s="11">
        <v>60</v>
      </c>
      <c r="I302" s="11">
        <v>60</v>
      </c>
      <c r="J302" s="11">
        <v>114</v>
      </c>
      <c r="K302" s="11">
        <v>139</v>
      </c>
      <c r="L302" s="11" t="s">
        <v>746</v>
      </c>
      <c r="M302" s="84">
        <v>193</v>
      </c>
      <c r="N302" s="84">
        <v>858</v>
      </c>
      <c r="O302" s="84">
        <v>0</v>
      </c>
      <c r="P302" s="139">
        <v>277.60000000000002</v>
      </c>
      <c r="Q302" s="135">
        <f>525+15.6+107.9</f>
        <v>648.5</v>
      </c>
      <c r="R302" s="133">
        <v>812.6</v>
      </c>
      <c r="S302" s="133">
        <f t="shared" si="206"/>
        <v>1738.7</v>
      </c>
      <c r="T302" s="139">
        <v>293.2</v>
      </c>
      <c r="U302" s="130">
        <v>1.53</v>
      </c>
      <c r="V302" s="91">
        <v>1.9800000000000002E-2</v>
      </c>
      <c r="W302" s="91">
        <v>1.9800000000000002E-2</v>
      </c>
      <c r="X302" s="132">
        <v>1.32E-3</v>
      </c>
      <c r="Y302" s="91">
        <v>3.95E-2</v>
      </c>
      <c r="Z302" s="29">
        <v>2845.8</v>
      </c>
      <c r="AA302" s="34">
        <v>318.39999999999998</v>
      </c>
      <c r="AB302" s="9">
        <f t="shared" si="176"/>
        <v>3164.2</v>
      </c>
      <c r="AC302" s="9">
        <f t="shared" si="184"/>
        <v>20029.39</v>
      </c>
      <c r="AD302" s="9">
        <v>0.42</v>
      </c>
      <c r="AE302" s="9">
        <v>4.3099999999999996</v>
      </c>
      <c r="AF302" s="21">
        <f>2.65-AJ302</f>
        <v>2.38</v>
      </c>
      <c r="AG302" s="18">
        <f>0.59-AQ302</f>
        <v>0.4</v>
      </c>
      <c r="AH302" s="9">
        <v>3.05</v>
      </c>
      <c r="AI302" s="13">
        <v>862</v>
      </c>
      <c r="AJ302" s="21">
        <f t="shared" si="178"/>
        <v>0.27</v>
      </c>
      <c r="AK302" s="9">
        <v>0</v>
      </c>
      <c r="AL302" s="9">
        <v>0</v>
      </c>
      <c r="AM302" s="9">
        <v>0.27</v>
      </c>
      <c r="AN302" s="13"/>
      <c r="AO302" s="13">
        <v>1260</v>
      </c>
      <c r="AP302" s="13">
        <f t="shared" si="208"/>
        <v>5.58</v>
      </c>
      <c r="AQ302" s="18">
        <f t="shared" si="179"/>
        <v>0.19</v>
      </c>
      <c r="AR302" s="9">
        <v>0.61</v>
      </c>
      <c r="AS302" s="9">
        <v>0.4</v>
      </c>
      <c r="AT302" s="9">
        <v>7.0000000000000007E-2</v>
      </c>
      <c r="AU302" s="9">
        <v>5.1100000000000003</v>
      </c>
      <c r="AV302" s="9">
        <v>0.13</v>
      </c>
      <c r="AW302" s="9">
        <f>1.11+0.45+0.29</f>
        <v>1.85</v>
      </c>
      <c r="AX302" s="9">
        <f>1.52+0.6</f>
        <v>2.12</v>
      </c>
      <c r="AY302" s="166">
        <f t="shared" si="209"/>
        <v>21.58</v>
      </c>
      <c r="AZ302" s="21">
        <v>2818.8</v>
      </c>
      <c r="BA302" s="21">
        <v>619.1</v>
      </c>
      <c r="BB302" s="21">
        <f t="shared" si="177"/>
        <v>3437.9</v>
      </c>
      <c r="BC302" s="21">
        <v>21.58</v>
      </c>
      <c r="BD302" s="13">
        <f t="shared" si="207"/>
        <v>0</v>
      </c>
      <c r="BE302" s="9">
        <f t="shared" si="185"/>
        <v>68283.44</v>
      </c>
      <c r="BF302" s="9">
        <v>21.58</v>
      </c>
      <c r="BG302" s="10">
        <v>44409</v>
      </c>
      <c r="BH302" s="9">
        <f t="shared" si="186"/>
        <v>1328.96</v>
      </c>
      <c r="BI302" s="9">
        <f t="shared" si="187"/>
        <v>13637.7</v>
      </c>
      <c r="BJ302" s="9">
        <f t="shared" si="188"/>
        <v>7530.8</v>
      </c>
      <c r="BK302" s="9">
        <f t="shared" si="189"/>
        <v>1265.68</v>
      </c>
      <c r="BL302" s="9">
        <f t="shared" si="190"/>
        <v>9650.81</v>
      </c>
      <c r="BM302" s="9">
        <f t="shared" si="191"/>
        <v>854.33</v>
      </c>
      <c r="BN302" s="9">
        <f t="shared" si="192"/>
        <v>0</v>
      </c>
      <c r="BO302" s="9">
        <f t="shared" si="193"/>
        <v>0</v>
      </c>
      <c r="BP302" s="9">
        <f t="shared" si="194"/>
        <v>854.33</v>
      </c>
      <c r="BQ302" s="9">
        <f t="shared" si="195"/>
        <v>601.20000000000005</v>
      </c>
      <c r="BR302" s="9">
        <f t="shared" si="196"/>
        <v>1930.16</v>
      </c>
      <c r="BS302" s="9">
        <f t="shared" si="197"/>
        <v>1265.68</v>
      </c>
      <c r="BT302" s="9">
        <f t="shared" si="198"/>
        <v>221.49</v>
      </c>
      <c r="BU302" s="9">
        <f t="shared" si="199"/>
        <v>16169.06</v>
      </c>
      <c r="BV302" s="9">
        <f t="shared" si="200"/>
        <v>411.35</v>
      </c>
      <c r="BW302" s="9">
        <f t="shared" si="201"/>
        <v>5853.77</v>
      </c>
      <c r="BX302" s="9">
        <f t="shared" si="202"/>
        <v>6708.1</v>
      </c>
      <c r="BY302" s="17">
        <f t="shared" si="203"/>
        <v>68283.42</v>
      </c>
      <c r="BZ302" s="17">
        <v>2.96</v>
      </c>
      <c r="CA302" s="17">
        <v>0.04</v>
      </c>
      <c r="CB302" s="17">
        <v>0.27</v>
      </c>
      <c r="CC302" s="27">
        <v>0.05</v>
      </c>
      <c r="CD302" s="29">
        <v>6.33</v>
      </c>
      <c r="CE302" s="9">
        <v>1130.96</v>
      </c>
      <c r="CF302" s="9"/>
      <c r="CG302" s="9">
        <v>3675.26</v>
      </c>
      <c r="CH302" s="9">
        <v>2001.89</v>
      </c>
      <c r="CI302" s="9">
        <f t="shared" si="214"/>
        <v>0.36</v>
      </c>
      <c r="CJ302" s="9">
        <f t="shared" si="215"/>
        <v>0</v>
      </c>
      <c r="CK302" s="13">
        <f t="shared" si="216"/>
        <v>1.1599999999999999</v>
      </c>
      <c r="CL302" s="13">
        <f t="shared" si="217"/>
        <v>0.63</v>
      </c>
      <c r="CM302" s="13">
        <v>61412.37</v>
      </c>
      <c r="CN302" s="13">
        <v>1024.52</v>
      </c>
      <c r="CO302" s="13">
        <v>739.94</v>
      </c>
      <c r="CP302" s="13">
        <v>1109.92</v>
      </c>
      <c r="CQ302" s="13">
        <v>654.59</v>
      </c>
      <c r="CR302" s="13">
        <v>71887.94</v>
      </c>
      <c r="CS302" s="13">
        <v>2674.9</v>
      </c>
      <c r="CT302" s="13">
        <v>2387.71</v>
      </c>
      <c r="CU302" s="13">
        <v>2216.25</v>
      </c>
      <c r="CV302" s="13">
        <v>1250.46</v>
      </c>
      <c r="CW302" s="202">
        <v>2757</v>
      </c>
      <c r="CX302" s="200">
        <v>1582</v>
      </c>
      <c r="CY302" s="202"/>
      <c r="CZ302" s="202"/>
      <c r="DA302" s="202"/>
      <c r="DB302" s="202"/>
      <c r="DC302" s="202"/>
      <c r="DD302" s="461"/>
      <c r="DE302" s="256"/>
      <c r="DF302" s="204">
        <v>862</v>
      </c>
      <c r="DG302" s="204"/>
      <c r="DH302" s="204"/>
      <c r="DI302" s="204"/>
      <c r="DJ302" s="202"/>
      <c r="DK302" s="202"/>
      <c r="DL302" s="202"/>
      <c r="DM302" s="202"/>
      <c r="DN302" s="202"/>
      <c r="DO302" s="202"/>
      <c r="DP302" s="202">
        <v>10501</v>
      </c>
      <c r="DQ302" s="202">
        <v>5100</v>
      </c>
      <c r="DR302" s="202">
        <v>3</v>
      </c>
      <c r="DS302" s="202"/>
      <c r="DT302" s="254"/>
      <c r="DU302" s="254"/>
      <c r="DV302" s="202">
        <v>21450</v>
      </c>
      <c r="DW302" s="202"/>
      <c r="DX302" s="202"/>
      <c r="DY302" s="107">
        <v>1365</v>
      </c>
      <c r="DZ302" s="107">
        <v>942</v>
      </c>
      <c r="EA302" s="202"/>
      <c r="EB302" s="202">
        <v>9752</v>
      </c>
      <c r="EC302" s="202"/>
      <c r="ED302" s="202"/>
      <c r="EE302" s="202"/>
      <c r="EF302" s="229"/>
      <c r="EG302" s="202"/>
      <c r="EH302" s="202"/>
      <c r="EI302" s="202"/>
      <c r="EJ302" s="202"/>
      <c r="EK302" s="202">
        <v>1130.96</v>
      </c>
      <c r="EL302" s="202">
        <v>828.63</v>
      </c>
      <c r="EM302" s="202">
        <v>1243.0999999999999</v>
      </c>
      <c r="EN302" s="202">
        <v>732.94</v>
      </c>
      <c r="EO302" s="202">
        <v>1130.96</v>
      </c>
      <c r="EP302" s="202"/>
      <c r="EQ302" s="202">
        <v>1243.0999999999999</v>
      </c>
      <c r="ER302" s="202">
        <v>732.94</v>
      </c>
      <c r="ES302" s="202"/>
      <c r="ET302" s="202"/>
      <c r="EU302" s="202"/>
      <c r="EV302" s="214">
        <v>79.37</v>
      </c>
      <c r="EW302" s="240">
        <f t="shared" si="204"/>
        <v>6920.61</v>
      </c>
      <c r="EX302" s="209">
        <f t="shared" si="205"/>
        <v>4504.3</v>
      </c>
    </row>
    <row r="303" spans="1:154" ht="12.75" customHeight="1" x14ac:dyDescent="0.2">
      <c r="A303" s="4" t="s">
        <v>779</v>
      </c>
      <c r="B303" s="163" t="s">
        <v>358</v>
      </c>
      <c r="C303" s="164" t="s">
        <v>179</v>
      </c>
      <c r="D303" s="165" t="s">
        <v>533</v>
      </c>
      <c r="E303" s="164" t="s">
        <v>12</v>
      </c>
      <c r="F303" s="11">
        <v>5</v>
      </c>
      <c r="G303" s="11">
        <v>2</v>
      </c>
      <c r="H303" s="11">
        <v>108</v>
      </c>
      <c r="I303" s="11">
        <v>0</v>
      </c>
      <c r="J303" s="11">
        <v>120</v>
      </c>
      <c r="K303" s="11">
        <v>175</v>
      </c>
      <c r="L303" s="11" t="s">
        <v>746</v>
      </c>
      <c r="M303" s="84">
        <v>193</v>
      </c>
      <c r="N303" s="84">
        <v>898</v>
      </c>
      <c r="O303" s="84">
        <v>0</v>
      </c>
      <c r="P303" s="135">
        <v>384.2</v>
      </c>
      <c r="Q303" s="135">
        <v>948.7</v>
      </c>
      <c r="R303" s="133">
        <v>0</v>
      </c>
      <c r="S303" s="133">
        <f t="shared" si="206"/>
        <v>1332.9</v>
      </c>
      <c r="T303" s="134">
        <v>384.2</v>
      </c>
      <c r="U303" s="130">
        <v>1.53</v>
      </c>
      <c r="V303" s="131">
        <v>1.9800000000000002E-2</v>
      </c>
      <c r="W303" s="131">
        <v>1.9800000000000002E-2</v>
      </c>
      <c r="X303" s="132">
        <v>1.32E-3</v>
      </c>
      <c r="Y303" s="131">
        <v>3.95E-2</v>
      </c>
      <c r="Z303" s="29">
        <v>3014.6</v>
      </c>
      <c r="AA303" s="34">
        <v>324.89999999999998</v>
      </c>
      <c r="AB303" s="9">
        <f t="shared" si="176"/>
        <v>3339.5</v>
      </c>
      <c r="AC303" s="9">
        <f t="shared" si="184"/>
        <v>21139.040000000001</v>
      </c>
      <c r="AD303" s="9">
        <v>0.57999999999999996</v>
      </c>
      <c r="AE303" s="9">
        <v>3.68</v>
      </c>
      <c r="AF303" s="21">
        <f>2.66-AJ303</f>
        <v>2.4</v>
      </c>
      <c r="AG303" s="18">
        <f>0.57-AQ303</f>
        <v>0.41</v>
      </c>
      <c r="AH303" s="9">
        <v>3.04</v>
      </c>
      <c r="AI303" s="13">
        <v>862</v>
      </c>
      <c r="AJ303" s="21">
        <f t="shared" si="178"/>
        <v>0.26</v>
      </c>
      <c r="AK303" s="9">
        <v>0</v>
      </c>
      <c r="AL303" s="9">
        <v>0</v>
      </c>
      <c r="AM303" s="9">
        <v>0.28000000000000003</v>
      </c>
      <c r="AN303" s="13"/>
      <c r="AO303" s="13">
        <v>1155</v>
      </c>
      <c r="AP303" s="13">
        <f t="shared" si="208"/>
        <v>5.58</v>
      </c>
      <c r="AQ303" s="18">
        <f t="shared" si="179"/>
        <v>0.16</v>
      </c>
      <c r="AR303" s="9">
        <v>1.26</v>
      </c>
      <c r="AS303" s="9">
        <v>0.41</v>
      </c>
      <c r="AT303" s="9">
        <v>7.0000000000000007E-2</v>
      </c>
      <c r="AU303" s="9">
        <v>5.22</v>
      </c>
      <c r="AV303" s="9">
        <v>0.13</v>
      </c>
      <c r="AW303" s="9">
        <f>1.12+0.46+0.5</f>
        <v>2.08</v>
      </c>
      <c r="AX303" s="9">
        <f>1.56+0.62</f>
        <v>2.1800000000000002</v>
      </c>
      <c r="AY303" s="166">
        <f t="shared" si="209"/>
        <v>22.16</v>
      </c>
      <c r="AZ303" s="21">
        <v>3015.6</v>
      </c>
      <c r="BA303" s="21">
        <v>324.89999999999998</v>
      </c>
      <c r="BB303" s="21">
        <f t="shared" si="177"/>
        <v>3340.5</v>
      </c>
      <c r="BC303" s="21">
        <v>22.16</v>
      </c>
      <c r="BD303" s="13">
        <f t="shared" si="207"/>
        <v>0</v>
      </c>
      <c r="BE303" s="9">
        <f t="shared" si="185"/>
        <v>74003.320000000007</v>
      </c>
      <c r="BF303" s="9">
        <v>22.16</v>
      </c>
      <c r="BG303" s="10">
        <v>44378</v>
      </c>
      <c r="BH303" s="9">
        <f t="shared" si="186"/>
        <v>1936.91</v>
      </c>
      <c r="BI303" s="9">
        <f t="shared" si="187"/>
        <v>12289.36</v>
      </c>
      <c r="BJ303" s="9">
        <f t="shared" si="188"/>
        <v>8014.8</v>
      </c>
      <c r="BK303" s="9">
        <f t="shared" si="189"/>
        <v>1369.2</v>
      </c>
      <c r="BL303" s="9">
        <f t="shared" si="190"/>
        <v>10152.08</v>
      </c>
      <c r="BM303" s="9">
        <f t="shared" si="191"/>
        <v>868.27</v>
      </c>
      <c r="BN303" s="9">
        <f t="shared" si="192"/>
        <v>0</v>
      </c>
      <c r="BO303" s="9">
        <f t="shared" si="193"/>
        <v>0</v>
      </c>
      <c r="BP303" s="9">
        <f t="shared" si="194"/>
        <v>935.06</v>
      </c>
      <c r="BQ303" s="9">
        <f t="shared" si="195"/>
        <v>534.32000000000005</v>
      </c>
      <c r="BR303" s="9">
        <f t="shared" si="196"/>
        <v>4207.7700000000004</v>
      </c>
      <c r="BS303" s="9">
        <f t="shared" si="197"/>
        <v>1369.2</v>
      </c>
      <c r="BT303" s="9">
        <f t="shared" si="198"/>
        <v>233.77</v>
      </c>
      <c r="BU303" s="9">
        <f t="shared" si="199"/>
        <v>17432.189999999999</v>
      </c>
      <c r="BV303" s="9">
        <f t="shared" si="200"/>
        <v>434.14</v>
      </c>
      <c r="BW303" s="9">
        <f t="shared" si="201"/>
        <v>6946.16</v>
      </c>
      <c r="BX303" s="9">
        <f t="shared" si="202"/>
        <v>7280.11</v>
      </c>
      <c r="BY303" s="17">
        <f t="shared" si="203"/>
        <v>74003.34</v>
      </c>
      <c r="BZ303" s="17">
        <v>2.34</v>
      </c>
      <c r="CA303" s="17">
        <v>0.06</v>
      </c>
      <c r="CB303" s="17">
        <v>0.39</v>
      </c>
      <c r="CC303" s="27">
        <v>0.06</v>
      </c>
      <c r="CD303" s="29">
        <v>6.33</v>
      </c>
      <c r="CE303" s="9">
        <v>2052.88</v>
      </c>
      <c r="CF303" s="9"/>
      <c r="CG303" s="9">
        <v>999.89</v>
      </c>
      <c r="CH303" s="9">
        <v>646.9</v>
      </c>
      <c r="CI303" s="9">
        <f t="shared" si="214"/>
        <v>0.61</v>
      </c>
      <c r="CJ303" s="9">
        <f t="shared" si="215"/>
        <v>0</v>
      </c>
      <c r="CK303" s="13">
        <f t="shared" si="216"/>
        <v>0.3</v>
      </c>
      <c r="CL303" s="13">
        <f t="shared" si="217"/>
        <v>0.19</v>
      </c>
      <c r="CM303" s="13">
        <v>66803.53</v>
      </c>
      <c r="CN303" s="13">
        <v>1447</v>
      </c>
      <c r="CO303" s="13">
        <v>0</v>
      </c>
      <c r="CP303" s="13">
        <v>0</v>
      </c>
      <c r="CQ303" s="13">
        <v>90.38</v>
      </c>
      <c r="CR303" s="13">
        <v>59813.75</v>
      </c>
      <c r="CS303" s="13">
        <v>1753.21</v>
      </c>
      <c r="CT303" s="13">
        <v>164.42</v>
      </c>
      <c r="CU303" s="13">
        <v>57.72</v>
      </c>
      <c r="CV303" s="13">
        <v>101.2</v>
      </c>
      <c r="CW303" s="202">
        <v>2910</v>
      </c>
      <c r="CX303" s="200">
        <v>1669</v>
      </c>
      <c r="CY303" s="202"/>
      <c r="CZ303" s="202"/>
      <c r="DA303" s="202"/>
      <c r="DB303" s="202"/>
      <c r="DC303" s="202"/>
      <c r="DD303" s="461"/>
      <c r="DE303" s="256"/>
      <c r="DF303" s="204">
        <v>862</v>
      </c>
      <c r="DG303" s="204"/>
      <c r="DH303" s="204"/>
      <c r="DI303" s="204"/>
      <c r="DJ303" s="202"/>
      <c r="DK303" s="202"/>
      <c r="DL303" s="202"/>
      <c r="DM303" s="202"/>
      <c r="DN303" s="202"/>
      <c r="DO303" s="202"/>
      <c r="DP303" s="202">
        <v>13086</v>
      </c>
      <c r="DQ303" s="202">
        <v>5100</v>
      </c>
      <c r="DR303" s="202">
        <v>3</v>
      </c>
      <c r="DS303" s="202"/>
      <c r="DT303" s="254"/>
      <c r="DU303" s="254"/>
      <c r="DV303" s="202">
        <v>20710</v>
      </c>
      <c r="DW303" s="202"/>
      <c r="DX303" s="202"/>
      <c r="DY303" s="107">
        <v>1365</v>
      </c>
      <c r="DZ303" s="107">
        <v>942</v>
      </c>
      <c r="EA303" s="202"/>
      <c r="EB303" s="202">
        <v>19716</v>
      </c>
      <c r="EC303" s="202"/>
      <c r="ED303" s="202"/>
      <c r="EE303" s="202"/>
      <c r="EF303" s="229"/>
      <c r="EG303" s="202"/>
      <c r="EH303" s="202"/>
      <c r="EI303" s="202"/>
      <c r="EJ303" s="202"/>
      <c r="EK303" s="202">
        <v>1604.77</v>
      </c>
      <c r="EL303" s="202">
        <v>0</v>
      </c>
      <c r="EM303" s="202">
        <v>0</v>
      </c>
      <c r="EN303" s="202">
        <v>107.63</v>
      </c>
      <c r="EO303" s="202">
        <v>1604.77</v>
      </c>
      <c r="EP303" s="202"/>
      <c r="EQ303" s="202">
        <v>0</v>
      </c>
      <c r="ER303" s="202">
        <v>107.63</v>
      </c>
      <c r="ES303" s="202"/>
      <c r="ET303" s="202">
        <v>-31.59</v>
      </c>
      <c r="EU303" s="202"/>
      <c r="EV303" s="214">
        <v>-5.42</v>
      </c>
      <c r="EW303" s="240">
        <f t="shared" si="204"/>
        <v>7304.02</v>
      </c>
      <c r="EX303" s="209">
        <f t="shared" si="205"/>
        <v>4753.8500000000004</v>
      </c>
    </row>
    <row r="304" spans="1:154" ht="12.75" customHeight="1" x14ac:dyDescent="0.2">
      <c r="A304" s="4" t="s">
        <v>780</v>
      </c>
      <c r="B304" s="163" t="s">
        <v>358</v>
      </c>
      <c r="C304" s="164" t="s">
        <v>179</v>
      </c>
      <c r="D304" s="165" t="s">
        <v>606</v>
      </c>
      <c r="E304" s="164" t="s">
        <v>9</v>
      </c>
      <c r="F304" s="11">
        <v>5</v>
      </c>
      <c r="G304" s="11">
        <v>6</v>
      </c>
      <c r="H304" s="11">
        <v>90</v>
      </c>
      <c r="I304" s="11">
        <v>90</v>
      </c>
      <c r="J304" s="11">
        <v>198</v>
      </c>
      <c r="K304" s="11">
        <v>233</v>
      </c>
      <c r="L304" s="11" t="s">
        <v>746</v>
      </c>
      <c r="M304" s="84">
        <v>407.7</v>
      </c>
      <c r="N304" s="84">
        <v>1004</v>
      </c>
      <c r="O304" s="84">
        <v>0</v>
      </c>
      <c r="P304" s="139"/>
      <c r="Q304" s="135">
        <v>1018.7</v>
      </c>
      <c r="R304" s="139"/>
      <c r="S304" s="133">
        <f t="shared" si="206"/>
        <v>1018.7</v>
      </c>
      <c r="T304" s="139">
        <v>404</v>
      </c>
      <c r="U304" s="130">
        <v>1.53</v>
      </c>
      <c r="V304" s="91">
        <v>1.1299999999999999E-2</v>
      </c>
      <c r="W304" s="91" t="s">
        <v>823</v>
      </c>
      <c r="X304" s="132" t="s">
        <v>823</v>
      </c>
      <c r="Y304" s="91">
        <v>1.1299999999999999E-2</v>
      </c>
      <c r="Z304" s="29">
        <v>3986</v>
      </c>
      <c r="AA304" s="34"/>
      <c r="AB304" s="9">
        <f t="shared" si="176"/>
        <v>3986</v>
      </c>
      <c r="AC304" s="9">
        <f t="shared" si="184"/>
        <v>25231.38</v>
      </c>
      <c r="AD304" s="9">
        <v>0.56000000000000005</v>
      </c>
      <c r="AE304" s="9">
        <v>4.3600000000000003</v>
      </c>
      <c r="AF304" s="21">
        <f>2.69-AJ304</f>
        <v>2.44</v>
      </c>
      <c r="AG304" s="18">
        <f>0.62-AQ304</f>
        <v>0.43</v>
      </c>
      <c r="AH304" s="9">
        <v>2.37</v>
      </c>
      <c r="AI304" s="13">
        <v>978</v>
      </c>
      <c r="AJ304" s="21">
        <f t="shared" ref="AJ304:AJ316" si="218">SUM(AI304/AB304)</f>
        <v>0.25</v>
      </c>
      <c r="AK304" s="9">
        <v>0</v>
      </c>
      <c r="AL304" s="9">
        <v>0</v>
      </c>
      <c r="AM304" s="9">
        <v>0.15</v>
      </c>
      <c r="AN304" s="13">
        <v>534.4</v>
      </c>
      <c r="AO304" s="13">
        <v>1068.8</v>
      </c>
      <c r="AP304" s="13">
        <f t="shared" si="208"/>
        <v>5.58</v>
      </c>
      <c r="AQ304" s="18">
        <f t="shared" ref="AQ304:AQ316" si="219">SUM(AN304:AO304)*AP304/AB304/12</f>
        <v>0.19</v>
      </c>
      <c r="AR304" s="9">
        <v>0.83</v>
      </c>
      <c r="AS304" s="9">
        <v>0.34</v>
      </c>
      <c r="AT304" s="9">
        <v>7.0000000000000007E-2</v>
      </c>
      <c r="AU304" s="9">
        <v>3.97</v>
      </c>
      <c r="AV304" s="9">
        <v>0.12</v>
      </c>
      <c r="AW304" s="9">
        <f>1.07+0.35+0.31</f>
        <v>1.73</v>
      </c>
      <c r="AX304" s="9">
        <f>1.47+0.47</f>
        <v>1.94</v>
      </c>
      <c r="AY304" s="166">
        <f t="shared" si="209"/>
        <v>19.75</v>
      </c>
      <c r="AZ304" s="21">
        <v>3964.5</v>
      </c>
      <c r="BA304" s="21">
        <v>0</v>
      </c>
      <c r="BB304" s="21">
        <f t="shared" si="177"/>
        <v>3964.5</v>
      </c>
      <c r="BC304" s="21">
        <v>19.75</v>
      </c>
      <c r="BD304" s="13">
        <f t="shared" si="207"/>
        <v>0</v>
      </c>
      <c r="BE304" s="9">
        <f t="shared" si="185"/>
        <v>78723.5</v>
      </c>
      <c r="BF304" s="9">
        <v>19.75</v>
      </c>
      <c r="BG304" s="10">
        <v>44409</v>
      </c>
      <c r="BH304" s="9">
        <f t="shared" si="186"/>
        <v>2232.16</v>
      </c>
      <c r="BI304" s="9">
        <f t="shared" si="187"/>
        <v>17378.96</v>
      </c>
      <c r="BJ304" s="9">
        <f t="shared" si="188"/>
        <v>9725.84</v>
      </c>
      <c r="BK304" s="9">
        <f t="shared" si="189"/>
        <v>1713.98</v>
      </c>
      <c r="BL304" s="9">
        <f t="shared" si="190"/>
        <v>9446.82</v>
      </c>
      <c r="BM304" s="9">
        <f t="shared" si="191"/>
        <v>996.5</v>
      </c>
      <c r="BN304" s="9">
        <f t="shared" si="192"/>
        <v>0</v>
      </c>
      <c r="BO304" s="9">
        <f t="shared" si="193"/>
        <v>0</v>
      </c>
      <c r="BP304" s="9">
        <f t="shared" si="194"/>
        <v>597.9</v>
      </c>
      <c r="BQ304" s="9">
        <f t="shared" si="195"/>
        <v>757.34</v>
      </c>
      <c r="BR304" s="9">
        <f t="shared" si="196"/>
        <v>3308.38</v>
      </c>
      <c r="BS304" s="9">
        <f t="shared" si="197"/>
        <v>1355.24</v>
      </c>
      <c r="BT304" s="9">
        <f t="shared" si="198"/>
        <v>279.02</v>
      </c>
      <c r="BU304" s="9">
        <f t="shared" si="199"/>
        <v>15824.42</v>
      </c>
      <c r="BV304" s="9">
        <f t="shared" si="200"/>
        <v>478.32</v>
      </c>
      <c r="BW304" s="9">
        <f t="shared" si="201"/>
        <v>6895.78</v>
      </c>
      <c r="BX304" s="9">
        <f t="shared" si="202"/>
        <v>7732.84</v>
      </c>
      <c r="BY304" s="17">
        <f t="shared" si="203"/>
        <v>78723.5</v>
      </c>
      <c r="BZ304" s="17">
        <v>2.08</v>
      </c>
      <c r="CA304" s="17">
        <v>0.03</v>
      </c>
      <c r="CB304" s="173">
        <v>0</v>
      </c>
      <c r="CC304" s="27">
        <v>0.02</v>
      </c>
      <c r="CD304" s="29">
        <v>6.33</v>
      </c>
      <c r="CE304" s="9">
        <v>2389.08</v>
      </c>
      <c r="CF304" s="9"/>
      <c r="CG304" s="9">
        <v>13214.74</v>
      </c>
      <c r="CH304" s="9">
        <v>6918.37</v>
      </c>
      <c r="CI304" s="9">
        <f t="shared" si="214"/>
        <v>0.6</v>
      </c>
      <c r="CJ304" s="9">
        <f t="shared" si="215"/>
        <v>0</v>
      </c>
      <c r="CK304" s="13">
        <f t="shared" si="216"/>
        <v>3.32</v>
      </c>
      <c r="CL304" s="13">
        <f t="shared" si="217"/>
        <v>1.74</v>
      </c>
      <c r="CM304" s="13">
        <v>78723.66</v>
      </c>
      <c r="CN304" s="13">
        <v>2391.6</v>
      </c>
      <c r="CO304" s="13">
        <v>0</v>
      </c>
      <c r="CP304" s="13">
        <v>8011.88</v>
      </c>
      <c r="CQ304" s="13">
        <v>4185.46</v>
      </c>
      <c r="CR304" s="13">
        <v>78105.5</v>
      </c>
      <c r="CS304" s="13">
        <v>2404.85</v>
      </c>
      <c r="CT304" s="13">
        <v>0</v>
      </c>
      <c r="CU304" s="13">
        <v>8723.83</v>
      </c>
      <c r="CV304" s="13">
        <v>4556.67</v>
      </c>
      <c r="CW304" s="202">
        <v>3473</v>
      </c>
      <c r="CX304" s="200">
        <v>1992</v>
      </c>
      <c r="CY304" s="202"/>
      <c r="CZ304" s="202"/>
      <c r="DA304" s="202"/>
      <c r="DB304" s="202"/>
      <c r="DC304" s="202"/>
      <c r="DD304" s="461"/>
      <c r="DE304" s="256"/>
      <c r="DF304" s="204">
        <v>978</v>
      </c>
      <c r="DG304" s="204"/>
      <c r="DH304" s="204"/>
      <c r="DI304" s="204"/>
      <c r="DJ304" s="202"/>
      <c r="DK304" s="202"/>
      <c r="DL304" s="202"/>
      <c r="DM304" s="202"/>
      <c r="DN304" s="202"/>
      <c r="DO304" s="202"/>
      <c r="DP304" s="202">
        <v>16144</v>
      </c>
      <c r="DQ304" s="202">
        <v>5100</v>
      </c>
      <c r="DR304" s="202">
        <v>3</v>
      </c>
      <c r="DS304" s="202"/>
      <c r="DT304" s="254"/>
      <c r="DU304" s="254"/>
      <c r="DV304" s="202">
        <v>22300</v>
      </c>
      <c r="DW304" s="202"/>
      <c r="DX304" s="202"/>
      <c r="DY304" s="107">
        <v>1365</v>
      </c>
      <c r="DZ304" s="107">
        <v>942</v>
      </c>
      <c r="EA304" s="202"/>
      <c r="EB304" s="202">
        <v>16248</v>
      </c>
      <c r="EC304" s="202"/>
      <c r="ED304" s="202"/>
      <c r="EE304" s="202"/>
      <c r="EF304" s="229"/>
      <c r="EG304" s="202"/>
      <c r="EH304" s="202"/>
      <c r="EI304" s="202"/>
      <c r="EJ304" s="202"/>
      <c r="EK304" s="202">
        <v>2389.08</v>
      </c>
      <c r="EL304" s="202">
        <v>0</v>
      </c>
      <c r="EM304" s="202">
        <v>8026.13</v>
      </c>
      <c r="EN304" s="202">
        <v>4201.96</v>
      </c>
      <c r="EO304" s="202">
        <v>2389.08</v>
      </c>
      <c r="EP304" s="202"/>
      <c r="EQ304" s="202">
        <v>8026.13</v>
      </c>
      <c r="ER304" s="202">
        <v>4201.96</v>
      </c>
      <c r="ES304" s="202"/>
      <c r="ET304" s="202"/>
      <c r="EU304" s="202"/>
      <c r="EV304" s="214">
        <v>262.58</v>
      </c>
      <c r="EW304" s="240">
        <f t="shared" si="204"/>
        <v>8718.02</v>
      </c>
      <c r="EX304" s="209">
        <f t="shared" si="205"/>
        <v>5674.15</v>
      </c>
    </row>
    <row r="305" spans="1:157" ht="12.75" customHeight="1" x14ac:dyDescent="0.2">
      <c r="A305" s="4" t="s">
        <v>781</v>
      </c>
      <c r="B305" s="156" t="s">
        <v>363</v>
      </c>
      <c r="C305" s="157" t="s">
        <v>44</v>
      </c>
      <c r="D305" s="158" t="s">
        <v>690</v>
      </c>
      <c r="E305" s="157" t="s">
        <v>12</v>
      </c>
      <c r="F305" s="11">
        <v>9</v>
      </c>
      <c r="G305" s="11">
        <v>2</v>
      </c>
      <c r="H305" s="11">
        <v>72</v>
      </c>
      <c r="I305" s="11">
        <v>72</v>
      </c>
      <c r="J305" s="11">
        <v>148</v>
      </c>
      <c r="K305" s="11">
        <v>175</v>
      </c>
      <c r="L305" s="11">
        <v>2</v>
      </c>
      <c r="M305" s="84">
        <v>501</v>
      </c>
      <c r="N305" s="84">
        <v>571</v>
      </c>
      <c r="O305" s="84">
        <v>0</v>
      </c>
      <c r="P305" s="135">
        <v>500.8</v>
      </c>
      <c r="Q305" s="135">
        <v>496.6</v>
      </c>
      <c r="R305" s="133">
        <v>0</v>
      </c>
      <c r="S305" s="133">
        <f t="shared" si="206"/>
        <v>997.4</v>
      </c>
      <c r="T305" s="134">
        <v>501</v>
      </c>
      <c r="U305" s="130">
        <v>2.44</v>
      </c>
      <c r="V305" s="131">
        <v>1.9800000000000002E-2</v>
      </c>
      <c r="W305" s="131">
        <v>1.9800000000000002E-2</v>
      </c>
      <c r="X305" s="132">
        <v>1.32E-3</v>
      </c>
      <c r="Y305" s="131">
        <v>3.9699999999999999E-2</v>
      </c>
      <c r="Z305" s="29">
        <v>3948.79</v>
      </c>
      <c r="AA305" s="34">
        <v>15.4</v>
      </c>
      <c r="AB305" s="9">
        <f t="shared" si="176"/>
        <v>3964.19</v>
      </c>
      <c r="AC305" s="9">
        <f t="shared" si="184"/>
        <v>25093.32</v>
      </c>
      <c r="AD305" s="9">
        <v>2.35</v>
      </c>
      <c r="AE305" s="9">
        <v>4.74</v>
      </c>
      <c r="AF305" s="21">
        <f>2.47-AJ305</f>
        <v>2.33</v>
      </c>
      <c r="AG305" s="18">
        <f>0.61-AQ305</f>
        <v>0.56000000000000005</v>
      </c>
      <c r="AH305" s="9">
        <v>2.4700000000000002</v>
      </c>
      <c r="AI305" s="13">
        <v>548</v>
      </c>
      <c r="AJ305" s="21">
        <f t="shared" si="218"/>
        <v>0.14000000000000001</v>
      </c>
      <c r="AK305" s="9">
        <v>2.1800000000000002</v>
      </c>
      <c r="AL305" s="9">
        <v>0.19</v>
      </c>
      <c r="AM305" s="9">
        <v>0.15</v>
      </c>
      <c r="AN305" s="13"/>
      <c r="AO305" s="13">
        <v>422.4</v>
      </c>
      <c r="AP305" s="13">
        <f t="shared" si="208"/>
        <v>5.58</v>
      </c>
      <c r="AQ305" s="18">
        <f t="shared" si="219"/>
        <v>0.05</v>
      </c>
      <c r="AR305" s="9">
        <v>0.56000000000000005</v>
      </c>
      <c r="AS305" s="9">
        <v>0.35</v>
      </c>
      <c r="AT305" s="9">
        <v>7.0000000000000007E-2</v>
      </c>
      <c r="AU305" s="9">
        <v>3.86</v>
      </c>
      <c r="AV305" s="9">
        <v>0.17</v>
      </c>
      <c r="AW305" s="9">
        <f>1.45+0.34+0.26</f>
        <v>2.0499999999999998</v>
      </c>
      <c r="AX305" s="9">
        <f>2.04+0.46</f>
        <v>2.5</v>
      </c>
      <c r="AY305" s="159">
        <f t="shared" si="209"/>
        <v>24.72</v>
      </c>
      <c r="AZ305" s="160">
        <v>3941</v>
      </c>
      <c r="BA305" s="160">
        <v>0</v>
      </c>
      <c r="BB305" s="160">
        <f t="shared" si="177"/>
        <v>3941</v>
      </c>
      <c r="BC305" s="160">
        <v>24.72</v>
      </c>
      <c r="BD305" s="13">
        <f t="shared" si="207"/>
        <v>0</v>
      </c>
      <c r="BE305" s="9">
        <f t="shared" si="185"/>
        <v>97994.78</v>
      </c>
      <c r="BF305" s="9">
        <v>24.72</v>
      </c>
      <c r="BG305" s="10">
        <v>44409</v>
      </c>
      <c r="BH305" s="9">
        <f t="shared" si="186"/>
        <v>9315.85</v>
      </c>
      <c r="BI305" s="9">
        <f t="shared" si="187"/>
        <v>18790.259999999998</v>
      </c>
      <c r="BJ305" s="9">
        <f t="shared" si="188"/>
        <v>9236.56</v>
      </c>
      <c r="BK305" s="9">
        <f t="shared" si="189"/>
        <v>2219.9499999999998</v>
      </c>
      <c r="BL305" s="9">
        <f t="shared" si="190"/>
        <v>9791.5499999999993</v>
      </c>
      <c r="BM305" s="9">
        <f t="shared" si="191"/>
        <v>554.99</v>
      </c>
      <c r="BN305" s="9">
        <f t="shared" si="192"/>
        <v>8641.93</v>
      </c>
      <c r="BO305" s="9">
        <f t="shared" si="193"/>
        <v>753.2</v>
      </c>
      <c r="BP305" s="9">
        <f t="shared" si="194"/>
        <v>594.63</v>
      </c>
      <c r="BQ305" s="9">
        <f t="shared" si="195"/>
        <v>198.21</v>
      </c>
      <c r="BR305" s="9">
        <f t="shared" si="196"/>
        <v>2219.9499999999998</v>
      </c>
      <c r="BS305" s="9">
        <f t="shared" si="197"/>
        <v>1387.47</v>
      </c>
      <c r="BT305" s="9">
        <f t="shared" si="198"/>
        <v>277.49</v>
      </c>
      <c r="BU305" s="9">
        <f t="shared" si="199"/>
        <v>15301.77</v>
      </c>
      <c r="BV305" s="9">
        <f t="shared" si="200"/>
        <v>673.91</v>
      </c>
      <c r="BW305" s="9">
        <f t="shared" si="201"/>
        <v>8126.59</v>
      </c>
      <c r="BX305" s="9">
        <f t="shared" si="202"/>
        <v>9910.48</v>
      </c>
      <c r="BY305" s="17">
        <f t="shared" si="203"/>
        <v>97994.79</v>
      </c>
      <c r="BZ305" s="17">
        <v>2.5299999999999998</v>
      </c>
      <c r="CA305" s="17">
        <v>7.0000000000000007E-2</v>
      </c>
      <c r="CB305" s="17">
        <v>0.43</v>
      </c>
      <c r="CC305" s="27">
        <v>7.0000000000000007E-2</v>
      </c>
      <c r="CD305" s="29">
        <v>6.33</v>
      </c>
      <c r="CE305" s="9">
        <v>11891.96</v>
      </c>
      <c r="CF305" s="9"/>
      <c r="CG305" s="9">
        <v>0</v>
      </c>
      <c r="CH305" s="9">
        <v>140.35</v>
      </c>
      <c r="CI305" s="9">
        <f t="shared" si="214"/>
        <v>3</v>
      </c>
      <c r="CJ305" s="9">
        <f t="shared" si="215"/>
        <v>0</v>
      </c>
      <c r="CK305" s="13">
        <f t="shared" si="216"/>
        <v>0</v>
      </c>
      <c r="CL305" s="13">
        <f t="shared" si="217"/>
        <v>0.04</v>
      </c>
      <c r="CM305" s="13">
        <v>97614.02</v>
      </c>
      <c r="CN305" s="13">
        <v>15400.28</v>
      </c>
      <c r="CO305" s="13">
        <v>21836.87</v>
      </c>
      <c r="CP305" s="13">
        <v>0</v>
      </c>
      <c r="CQ305" s="13">
        <v>157.97999999999999</v>
      </c>
      <c r="CR305" s="13">
        <v>108537.24</v>
      </c>
      <c r="CS305" s="13">
        <v>16460.810000000001</v>
      </c>
      <c r="CT305" s="13">
        <v>17548.82</v>
      </c>
      <c r="CU305" s="13">
        <v>461.92</v>
      </c>
      <c r="CV305" s="13">
        <v>403.23</v>
      </c>
      <c r="CW305" s="202">
        <v>3456</v>
      </c>
      <c r="CX305" s="200">
        <v>1983</v>
      </c>
      <c r="CY305" s="202">
        <v>26003</v>
      </c>
      <c r="CZ305" s="202">
        <v>6800</v>
      </c>
      <c r="DA305" s="202">
        <v>4</v>
      </c>
      <c r="DB305" s="202"/>
      <c r="DC305" s="202"/>
      <c r="DD305" s="461"/>
      <c r="DE305" s="256"/>
      <c r="DF305" s="204">
        <v>548</v>
      </c>
      <c r="DG305" s="204"/>
      <c r="DH305" s="204"/>
      <c r="DI305" s="204"/>
      <c r="DJ305" s="202"/>
      <c r="DK305" s="202">
        <v>8600</v>
      </c>
      <c r="DL305" s="202"/>
      <c r="DM305" s="202"/>
      <c r="DN305" s="202"/>
      <c r="DO305" s="202"/>
      <c r="DP305" s="202"/>
      <c r="DQ305" s="202"/>
      <c r="DR305" s="202"/>
      <c r="DS305" s="202"/>
      <c r="DT305" s="254"/>
      <c r="DU305" s="254"/>
      <c r="DV305" s="202">
        <v>21628</v>
      </c>
      <c r="DW305" s="202"/>
      <c r="DX305" s="202"/>
      <c r="DY305" s="107">
        <v>1365</v>
      </c>
      <c r="DZ305" s="107"/>
      <c r="EA305" s="202">
        <v>15023.62</v>
      </c>
      <c r="EB305" s="202">
        <v>8882</v>
      </c>
      <c r="EC305" s="202"/>
      <c r="ED305" s="202"/>
      <c r="EE305" s="202"/>
      <c r="EF305" s="229"/>
      <c r="EG305" s="202"/>
      <c r="EH305" s="202"/>
      <c r="EI305" s="202"/>
      <c r="EJ305" s="202"/>
      <c r="EK305" s="202">
        <v>15477.8</v>
      </c>
      <c r="EL305" s="202">
        <v>52836.04</v>
      </c>
      <c r="EM305" s="202">
        <v>0</v>
      </c>
      <c r="EN305" s="202">
        <v>140.35</v>
      </c>
      <c r="EO305" s="202">
        <v>15477.8</v>
      </c>
      <c r="EP305" s="202"/>
      <c r="EQ305" s="202">
        <v>0</v>
      </c>
      <c r="ER305" s="202">
        <v>140.35</v>
      </c>
      <c r="ES305" s="202"/>
      <c r="ET305" s="202"/>
      <c r="EU305" s="202"/>
      <c r="EV305" s="214">
        <f>-7.82+406.19</f>
        <v>398.37</v>
      </c>
      <c r="EW305" s="240">
        <f t="shared" si="204"/>
        <v>8670.32</v>
      </c>
      <c r="EX305" s="209">
        <f t="shared" si="205"/>
        <v>5643.1</v>
      </c>
    </row>
    <row r="306" spans="1:157" ht="12.75" customHeight="1" x14ac:dyDescent="0.2">
      <c r="A306" s="4" t="s">
        <v>782</v>
      </c>
      <c r="B306" s="156" t="s">
        <v>363</v>
      </c>
      <c r="C306" s="157" t="s">
        <v>46</v>
      </c>
      <c r="D306" s="158" t="s">
        <v>691</v>
      </c>
      <c r="E306" s="157" t="s">
        <v>12</v>
      </c>
      <c r="F306" s="11">
        <v>10</v>
      </c>
      <c r="G306" s="11">
        <v>3</v>
      </c>
      <c r="H306" s="11">
        <v>120</v>
      </c>
      <c r="I306" s="11">
        <v>121</v>
      </c>
      <c r="J306" s="11">
        <v>259</v>
      </c>
      <c r="K306" s="11">
        <v>313</v>
      </c>
      <c r="L306" s="11">
        <v>3</v>
      </c>
      <c r="M306" s="84">
        <v>721</v>
      </c>
      <c r="N306" s="84">
        <v>833</v>
      </c>
      <c r="O306" s="84">
        <v>833</v>
      </c>
      <c r="P306" s="135">
        <v>720.9</v>
      </c>
      <c r="Q306" s="135">
        <v>785</v>
      </c>
      <c r="R306" s="133">
        <v>785</v>
      </c>
      <c r="S306" s="133">
        <f t="shared" si="206"/>
        <v>2290.9</v>
      </c>
      <c r="T306" s="134">
        <v>721</v>
      </c>
      <c r="U306" s="130">
        <v>2.74</v>
      </c>
      <c r="V306" s="131">
        <v>1.1299999999999999E-2</v>
      </c>
      <c r="W306" s="131">
        <v>1.1299999999999999E-2</v>
      </c>
      <c r="X306" s="132">
        <v>7.5000000000000002E-4</v>
      </c>
      <c r="Y306" s="131">
        <v>2.2499999999999999E-2</v>
      </c>
      <c r="Z306" s="29">
        <v>6558.18</v>
      </c>
      <c r="AA306" s="34"/>
      <c r="AB306" s="9">
        <f t="shared" si="176"/>
        <v>6558.18</v>
      </c>
      <c r="AC306" s="9">
        <f t="shared" si="184"/>
        <v>41513.279999999999</v>
      </c>
      <c r="AD306" s="9">
        <v>2.33</v>
      </c>
      <c r="AE306" s="9">
        <v>5.16</v>
      </c>
      <c r="AF306" s="21">
        <f>2.49-AJ306</f>
        <v>2.37</v>
      </c>
      <c r="AG306" s="18">
        <f>0.62-AQ306</f>
        <v>0.56999999999999995</v>
      </c>
      <c r="AH306" s="9">
        <v>2.4700000000000002</v>
      </c>
      <c r="AI306" s="13">
        <v>800</v>
      </c>
      <c r="AJ306" s="21">
        <f t="shared" si="218"/>
        <v>0.12</v>
      </c>
      <c r="AK306" s="9">
        <v>1.97</v>
      </c>
      <c r="AL306" s="9">
        <v>0.17</v>
      </c>
      <c r="AM306" s="9">
        <v>0.09</v>
      </c>
      <c r="AN306" s="13"/>
      <c r="AO306" s="13">
        <v>736.8</v>
      </c>
      <c r="AP306" s="13">
        <f t="shared" si="208"/>
        <v>5.58</v>
      </c>
      <c r="AQ306" s="18">
        <f t="shared" si="219"/>
        <v>0.05</v>
      </c>
      <c r="AR306" s="9">
        <v>0.55000000000000004</v>
      </c>
      <c r="AS306" s="9">
        <v>0.21</v>
      </c>
      <c r="AT306" s="9">
        <v>7.0000000000000007E-2</v>
      </c>
      <c r="AU306" s="9">
        <v>3.87</v>
      </c>
      <c r="AV306" s="9">
        <v>0.17</v>
      </c>
      <c r="AW306" s="9">
        <f>1.45+0.34+0.25</f>
        <v>2.04</v>
      </c>
      <c r="AX306" s="9">
        <f>2.02+0.46</f>
        <v>2.48</v>
      </c>
      <c r="AY306" s="159">
        <f t="shared" si="209"/>
        <v>24.69</v>
      </c>
      <c r="AZ306" s="160">
        <v>6535.8</v>
      </c>
      <c r="BA306" s="160">
        <v>0</v>
      </c>
      <c r="BB306" s="160">
        <f t="shared" si="177"/>
        <v>6535.8</v>
      </c>
      <c r="BC306" s="160">
        <v>24.69</v>
      </c>
      <c r="BD306" s="13">
        <f t="shared" si="207"/>
        <v>0</v>
      </c>
      <c r="BE306" s="9">
        <f t="shared" si="185"/>
        <v>161921.46</v>
      </c>
      <c r="BF306" s="9">
        <v>24.69</v>
      </c>
      <c r="BG306" s="10">
        <v>44409</v>
      </c>
      <c r="BH306" s="9">
        <f t="shared" si="186"/>
        <v>15280.56</v>
      </c>
      <c r="BI306" s="9">
        <f t="shared" si="187"/>
        <v>33840.21</v>
      </c>
      <c r="BJ306" s="9">
        <f t="shared" si="188"/>
        <v>15542.89</v>
      </c>
      <c r="BK306" s="9">
        <f t="shared" si="189"/>
        <v>3738.16</v>
      </c>
      <c r="BL306" s="9">
        <f t="shared" si="190"/>
        <v>16198.7</v>
      </c>
      <c r="BM306" s="9">
        <f t="shared" si="191"/>
        <v>786.98</v>
      </c>
      <c r="BN306" s="9">
        <f t="shared" si="192"/>
        <v>12919.61</v>
      </c>
      <c r="BO306" s="9">
        <f t="shared" si="193"/>
        <v>1114.8900000000001</v>
      </c>
      <c r="BP306" s="9">
        <f t="shared" si="194"/>
        <v>590.24</v>
      </c>
      <c r="BQ306" s="9">
        <f t="shared" si="195"/>
        <v>327.91</v>
      </c>
      <c r="BR306" s="9">
        <f t="shared" si="196"/>
        <v>3607</v>
      </c>
      <c r="BS306" s="9">
        <f t="shared" si="197"/>
        <v>1377.22</v>
      </c>
      <c r="BT306" s="9">
        <f t="shared" si="198"/>
        <v>459.07</v>
      </c>
      <c r="BU306" s="9">
        <f t="shared" si="199"/>
        <v>25380.16</v>
      </c>
      <c r="BV306" s="9">
        <f t="shared" si="200"/>
        <v>1114.8900000000001</v>
      </c>
      <c r="BW306" s="9">
        <f t="shared" si="201"/>
        <v>13378.69</v>
      </c>
      <c r="BX306" s="9">
        <f t="shared" si="202"/>
        <v>16264.29</v>
      </c>
      <c r="BY306" s="17">
        <f t="shared" si="203"/>
        <v>161921.47</v>
      </c>
      <c r="BZ306" s="17">
        <v>3.67</v>
      </c>
      <c r="CA306" s="17">
        <v>0.03</v>
      </c>
      <c r="CB306" s="17">
        <v>0.21</v>
      </c>
      <c r="CC306" s="27">
        <v>0.04</v>
      </c>
      <c r="CD306" s="29">
        <v>6.33</v>
      </c>
      <c r="CE306" s="9">
        <v>27079.71</v>
      </c>
      <c r="CF306" s="9"/>
      <c r="CG306" s="9">
        <v>0</v>
      </c>
      <c r="CH306" s="9">
        <v>115.27</v>
      </c>
      <c r="CI306" s="9">
        <f t="shared" si="214"/>
        <v>4.13</v>
      </c>
      <c r="CJ306" s="9">
        <f t="shared" si="215"/>
        <v>0</v>
      </c>
      <c r="CK306" s="13">
        <f t="shared" si="216"/>
        <v>0</v>
      </c>
      <c r="CL306" s="13">
        <f t="shared" si="217"/>
        <v>0.02</v>
      </c>
      <c r="CM306" s="13">
        <v>162027.72</v>
      </c>
      <c r="CN306" s="13">
        <v>22131.3</v>
      </c>
      <c r="CO306" s="13">
        <v>1182.1400000000001</v>
      </c>
      <c r="CP306" s="13">
        <v>0.13</v>
      </c>
      <c r="CQ306" s="13">
        <v>131.43</v>
      </c>
      <c r="CR306" s="13">
        <v>157066</v>
      </c>
      <c r="CS306" s="13">
        <v>11568.16</v>
      </c>
      <c r="CT306" s="13">
        <v>1990.76</v>
      </c>
      <c r="CU306" s="13">
        <v>28.57</v>
      </c>
      <c r="CV306" s="13">
        <v>134.62</v>
      </c>
      <c r="CW306" s="202">
        <v>5714</v>
      </c>
      <c r="CX306" s="200">
        <v>3278</v>
      </c>
      <c r="CY306" s="202">
        <v>44992</v>
      </c>
      <c r="CZ306" s="202">
        <v>5100</v>
      </c>
      <c r="DA306" s="202">
        <v>3</v>
      </c>
      <c r="DB306" s="202"/>
      <c r="DC306" s="202"/>
      <c r="DD306" s="461"/>
      <c r="DE306" s="256"/>
      <c r="DF306" s="204">
        <v>800</v>
      </c>
      <c r="DG306" s="204"/>
      <c r="DH306" s="204"/>
      <c r="DI306" s="204"/>
      <c r="DJ306" s="202"/>
      <c r="DK306" s="202">
        <v>12900</v>
      </c>
      <c r="DL306" s="202"/>
      <c r="DM306" s="202"/>
      <c r="DN306" s="202"/>
      <c r="DO306" s="202"/>
      <c r="DP306" s="202"/>
      <c r="DQ306" s="202"/>
      <c r="DR306" s="202"/>
      <c r="DS306" s="202"/>
      <c r="DT306" s="254"/>
      <c r="DU306" s="254"/>
      <c r="DV306" s="202">
        <v>35953</v>
      </c>
      <c r="DW306" s="202"/>
      <c r="DX306" s="202"/>
      <c r="DY306" s="107">
        <v>1365</v>
      </c>
      <c r="DZ306" s="107"/>
      <c r="EA306" s="202">
        <f>2230.25+2826.3</f>
        <v>5056.55</v>
      </c>
      <c r="EB306" s="202">
        <v>13959</v>
      </c>
      <c r="EC306" s="202"/>
      <c r="ED306" s="202"/>
      <c r="EE306" s="202"/>
      <c r="EF306" s="229"/>
      <c r="EG306" s="202"/>
      <c r="EH306" s="202"/>
      <c r="EI306" s="202"/>
      <c r="EJ306" s="202"/>
      <c r="EK306" s="202">
        <v>22115.8</v>
      </c>
      <c r="EL306" s="202">
        <v>1182.4100000000001</v>
      </c>
      <c r="EM306" s="202">
        <v>0</v>
      </c>
      <c r="EN306" s="202">
        <v>115.27</v>
      </c>
      <c r="EO306" s="202">
        <v>22115.8</v>
      </c>
      <c r="EP306" s="202"/>
      <c r="EQ306" s="202">
        <v>0</v>
      </c>
      <c r="ER306" s="202">
        <v>115.27</v>
      </c>
      <c r="ES306" s="202"/>
      <c r="ET306" s="202"/>
      <c r="EU306" s="202"/>
      <c r="EV306" s="214">
        <f>-5.93+49022.14</f>
        <v>49016.21</v>
      </c>
      <c r="EW306" s="240">
        <f t="shared" si="204"/>
        <v>14343.79</v>
      </c>
      <c r="EX306" s="209">
        <f t="shared" si="205"/>
        <v>9335.7000000000007</v>
      </c>
    </row>
    <row r="307" spans="1:157" ht="12.75" customHeight="1" x14ac:dyDescent="0.2">
      <c r="A307" s="4" t="s">
        <v>783</v>
      </c>
      <c r="B307" s="156" t="s">
        <v>363</v>
      </c>
      <c r="C307" s="157" t="s">
        <v>48</v>
      </c>
      <c r="D307" s="158" t="s">
        <v>534</v>
      </c>
      <c r="E307" s="157" t="s">
        <v>12</v>
      </c>
      <c r="F307" s="11">
        <v>9</v>
      </c>
      <c r="G307" s="11">
        <v>2</v>
      </c>
      <c r="H307" s="11">
        <v>72</v>
      </c>
      <c r="I307" s="11">
        <v>72</v>
      </c>
      <c r="J307" s="11">
        <v>157</v>
      </c>
      <c r="K307" s="11">
        <v>201</v>
      </c>
      <c r="L307" s="83">
        <v>2</v>
      </c>
      <c r="M307" s="84">
        <v>501</v>
      </c>
      <c r="N307" s="84">
        <v>571</v>
      </c>
      <c r="O307" s="84">
        <v>0</v>
      </c>
      <c r="P307" s="135">
        <f>215.8+285</f>
        <v>500.8</v>
      </c>
      <c r="Q307" s="133">
        <v>579</v>
      </c>
      <c r="R307" s="133">
        <v>0</v>
      </c>
      <c r="S307" s="133">
        <f t="shared" si="206"/>
        <v>1079.8</v>
      </c>
      <c r="T307" s="134">
        <v>500.8</v>
      </c>
      <c r="U307" s="130">
        <v>2.44</v>
      </c>
      <c r="V307" s="91">
        <v>1.9800000000000002E-2</v>
      </c>
      <c r="W307" s="91">
        <v>1.9800000000000002E-2</v>
      </c>
      <c r="X307" s="132">
        <v>1.32E-3</v>
      </c>
      <c r="Y307" s="91">
        <v>3.9699999999999999E-2</v>
      </c>
      <c r="Z307" s="29">
        <v>3876.72</v>
      </c>
      <c r="AA307" s="34"/>
      <c r="AB307" s="9">
        <f t="shared" si="176"/>
        <v>3876.72</v>
      </c>
      <c r="AC307" s="9">
        <f t="shared" si="184"/>
        <v>24539.64</v>
      </c>
      <c r="AD307" s="9">
        <v>2.4300000000000002</v>
      </c>
      <c r="AE307" s="9">
        <v>4.7699999999999996</v>
      </c>
      <c r="AF307" s="21">
        <f>2.47-AJ307</f>
        <v>2.33</v>
      </c>
      <c r="AG307" s="18">
        <f>0.62-AQ307</f>
        <v>0.56999999999999995</v>
      </c>
      <c r="AH307" s="9">
        <v>2.4700000000000002</v>
      </c>
      <c r="AI307" s="13">
        <v>547</v>
      </c>
      <c r="AJ307" s="21">
        <f t="shared" si="218"/>
        <v>0.14000000000000001</v>
      </c>
      <c r="AK307" s="9">
        <v>2.2200000000000002</v>
      </c>
      <c r="AL307" s="9">
        <v>0.19</v>
      </c>
      <c r="AM307" s="9">
        <v>0.15</v>
      </c>
      <c r="AN307" s="13"/>
      <c r="AO307" s="13">
        <v>422.4</v>
      </c>
      <c r="AP307" s="13">
        <f t="shared" si="208"/>
        <v>5.58</v>
      </c>
      <c r="AQ307" s="18">
        <f t="shared" si="219"/>
        <v>0.05</v>
      </c>
      <c r="AR307" s="9">
        <v>0.56999999999999995</v>
      </c>
      <c r="AS307" s="9">
        <v>0.35</v>
      </c>
      <c r="AT307" s="9">
        <v>7.0000000000000007E-2</v>
      </c>
      <c r="AU307" s="9">
        <v>3.86</v>
      </c>
      <c r="AV307" s="9">
        <v>0.17</v>
      </c>
      <c r="AW307" s="9">
        <f>1.46+0.34+0.26</f>
        <v>2.06</v>
      </c>
      <c r="AX307" s="9">
        <f>2.06+0.45</f>
        <v>2.5099999999999998</v>
      </c>
      <c r="AY307" s="159">
        <f t="shared" si="209"/>
        <v>24.91</v>
      </c>
      <c r="AZ307" s="160">
        <v>3874.8</v>
      </c>
      <c r="BA307" s="160">
        <v>0</v>
      </c>
      <c r="BB307" s="160">
        <f t="shared" si="177"/>
        <v>3874.8</v>
      </c>
      <c r="BC307" s="160">
        <v>24.91</v>
      </c>
      <c r="BD307" s="13">
        <f t="shared" si="207"/>
        <v>0</v>
      </c>
      <c r="BE307" s="9">
        <f t="shared" si="185"/>
        <v>96569.1</v>
      </c>
      <c r="BF307" s="9">
        <v>24.91</v>
      </c>
      <c r="BG307" s="10">
        <v>44409</v>
      </c>
      <c r="BH307" s="9">
        <f t="shared" si="186"/>
        <v>9420.43</v>
      </c>
      <c r="BI307" s="9">
        <f t="shared" si="187"/>
        <v>18491.95</v>
      </c>
      <c r="BJ307" s="9">
        <f t="shared" si="188"/>
        <v>9032.76</v>
      </c>
      <c r="BK307" s="9">
        <f t="shared" si="189"/>
        <v>2209.73</v>
      </c>
      <c r="BL307" s="9">
        <f t="shared" si="190"/>
        <v>9575.5</v>
      </c>
      <c r="BM307" s="9">
        <f t="shared" si="191"/>
        <v>542.74</v>
      </c>
      <c r="BN307" s="9">
        <f t="shared" si="192"/>
        <v>8606.32</v>
      </c>
      <c r="BO307" s="9">
        <f t="shared" si="193"/>
        <v>736.58</v>
      </c>
      <c r="BP307" s="9">
        <f t="shared" si="194"/>
        <v>581.51</v>
      </c>
      <c r="BQ307" s="9">
        <f t="shared" si="195"/>
        <v>193.84</v>
      </c>
      <c r="BR307" s="9">
        <f t="shared" si="196"/>
        <v>2209.73</v>
      </c>
      <c r="BS307" s="9">
        <f t="shared" si="197"/>
        <v>1356.85</v>
      </c>
      <c r="BT307" s="9">
        <f t="shared" si="198"/>
        <v>271.37</v>
      </c>
      <c r="BU307" s="9">
        <f t="shared" si="199"/>
        <v>14964.14</v>
      </c>
      <c r="BV307" s="9">
        <f t="shared" si="200"/>
        <v>659.04</v>
      </c>
      <c r="BW307" s="9">
        <f t="shared" si="201"/>
        <v>7986.04</v>
      </c>
      <c r="BX307" s="9">
        <f t="shared" si="202"/>
        <v>9730.57</v>
      </c>
      <c r="BY307" s="17">
        <f t="shared" si="203"/>
        <v>96569.1</v>
      </c>
      <c r="BZ307" s="17">
        <v>2.6</v>
      </c>
      <c r="CA307" s="17">
        <v>7.0000000000000007E-2</v>
      </c>
      <c r="CB307" s="17">
        <v>0.43</v>
      </c>
      <c r="CC307" s="27">
        <v>7.0000000000000007E-2</v>
      </c>
      <c r="CD307" s="29">
        <v>6.33</v>
      </c>
      <c r="CE307" s="9">
        <v>19244.830000000002</v>
      </c>
      <c r="CF307" s="9"/>
      <c r="CG307" s="9">
        <v>0</v>
      </c>
      <c r="CH307" s="9">
        <v>140.35</v>
      </c>
      <c r="CI307" s="9">
        <f t="shared" si="214"/>
        <v>4.96</v>
      </c>
      <c r="CJ307" s="9">
        <f t="shared" si="215"/>
        <v>0</v>
      </c>
      <c r="CK307" s="13">
        <f t="shared" si="216"/>
        <v>0</v>
      </c>
      <c r="CL307" s="13">
        <f t="shared" si="217"/>
        <v>0.04</v>
      </c>
      <c r="CM307" s="13">
        <v>96621.43</v>
      </c>
      <c r="CN307" s="13">
        <v>7680.08</v>
      </c>
      <c r="CO307" s="13">
        <v>0</v>
      </c>
      <c r="CP307" s="13">
        <v>0</v>
      </c>
      <c r="CQ307" s="13">
        <v>155.16</v>
      </c>
      <c r="CR307" s="13">
        <v>94744.94</v>
      </c>
      <c r="CS307" s="13">
        <v>13127.46</v>
      </c>
      <c r="CT307" s="13">
        <v>282</v>
      </c>
      <c r="CU307" s="13">
        <v>45.9</v>
      </c>
      <c r="CV307" s="13">
        <v>157.9</v>
      </c>
      <c r="CW307" s="202">
        <v>3378</v>
      </c>
      <c r="CX307" s="200">
        <v>1938</v>
      </c>
      <c r="CY307" s="202">
        <v>25561</v>
      </c>
      <c r="CZ307" s="202">
        <v>6800</v>
      </c>
      <c r="DA307" s="202">
        <v>4</v>
      </c>
      <c r="DB307" s="202"/>
      <c r="DC307" s="202"/>
      <c r="DD307" s="461"/>
      <c r="DE307" s="256"/>
      <c r="DF307" s="204">
        <v>547</v>
      </c>
      <c r="DG307" s="204"/>
      <c r="DH307" s="204"/>
      <c r="DI307" s="204"/>
      <c r="DJ307" s="202"/>
      <c r="DK307" s="202">
        <v>8600</v>
      </c>
      <c r="DL307" s="202"/>
      <c r="DM307" s="202"/>
      <c r="DN307" s="202"/>
      <c r="DO307" s="202"/>
      <c r="DP307" s="202"/>
      <c r="DQ307" s="202"/>
      <c r="DR307" s="202"/>
      <c r="DS307" s="202"/>
      <c r="DT307" s="254"/>
      <c r="DU307" s="254"/>
      <c r="DV307" s="202">
        <v>21250</v>
      </c>
      <c r="DW307" s="202"/>
      <c r="DX307" s="202"/>
      <c r="DY307" s="107">
        <v>1365</v>
      </c>
      <c r="DZ307" s="107"/>
      <c r="EA307" s="202"/>
      <c r="EB307" s="202">
        <v>8882</v>
      </c>
      <c r="EC307" s="202"/>
      <c r="ED307" s="202"/>
      <c r="EE307" s="202"/>
      <c r="EF307" s="229"/>
      <c r="EG307" s="202"/>
      <c r="EH307" s="202"/>
      <c r="EI307" s="202"/>
      <c r="EJ307" s="202"/>
      <c r="EK307" s="202">
        <v>7680.15</v>
      </c>
      <c r="EL307" s="202">
        <v>0</v>
      </c>
      <c r="EM307" s="202">
        <v>0</v>
      </c>
      <c r="EN307" s="202">
        <v>140.29</v>
      </c>
      <c r="EO307" s="202">
        <v>7680.15</v>
      </c>
      <c r="EP307" s="202"/>
      <c r="EQ307" s="202">
        <v>0</v>
      </c>
      <c r="ER307" s="202">
        <v>140.29</v>
      </c>
      <c r="ES307" s="202"/>
      <c r="ET307" s="202"/>
      <c r="EU307" s="202"/>
      <c r="EV307" s="214">
        <v>-7.82</v>
      </c>
      <c r="EW307" s="240">
        <f t="shared" si="204"/>
        <v>8479.01</v>
      </c>
      <c r="EX307" s="209">
        <f t="shared" si="205"/>
        <v>5518.59</v>
      </c>
    </row>
    <row r="308" spans="1:157" ht="12.75" customHeight="1" x14ac:dyDescent="0.2">
      <c r="A308" s="4" t="s">
        <v>784</v>
      </c>
      <c r="B308" s="156" t="s">
        <v>363</v>
      </c>
      <c r="C308" s="157" t="s">
        <v>17</v>
      </c>
      <c r="D308" s="158" t="s">
        <v>535</v>
      </c>
      <c r="E308" s="157" t="s">
        <v>12</v>
      </c>
      <c r="F308" s="11">
        <v>10</v>
      </c>
      <c r="G308" s="11">
        <v>3</v>
      </c>
      <c r="H308" s="11">
        <v>120</v>
      </c>
      <c r="I308" s="11">
        <v>121</v>
      </c>
      <c r="J308" s="11">
        <v>266</v>
      </c>
      <c r="K308" s="11">
        <v>326</v>
      </c>
      <c r="L308" s="83">
        <v>3</v>
      </c>
      <c r="M308" s="84">
        <v>721</v>
      </c>
      <c r="N308" s="84">
        <v>833</v>
      </c>
      <c r="O308" s="84">
        <v>833</v>
      </c>
      <c r="P308" s="135">
        <v>720.9</v>
      </c>
      <c r="Q308" s="135">
        <f>6.9+7.2+47.4+30.4+15.2785</f>
        <v>107.2</v>
      </c>
      <c r="R308" s="133">
        <v>0</v>
      </c>
      <c r="S308" s="133">
        <f t="shared" si="206"/>
        <v>828.1</v>
      </c>
      <c r="T308" s="134">
        <v>721</v>
      </c>
      <c r="U308" s="130">
        <v>2.74</v>
      </c>
      <c r="V308" s="131">
        <v>1.1299999999999999E-2</v>
      </c>
      <c r="W308" s="131">
        <v>1.1299999999999999E-2</v>
      </c>
      <c r="X308" s="132">
        <v>7.5000000000000002E-4</v>
      </c>
      <c r="Y308" s="131">
        <v>2.2499999999999999E-2</v>
      </c>
      <c r="Z308" s="29">
        <v>6550.44</v>
      </c>
      <c r="AA308" s="34">
        <v>14.8</v>
      </c>
      <c r="AB308" s="9">
        <f t="shared" si="176"/>
        <v>6565.24</v>
      </c>
      <c r="AC308" s="9">
        <f t="shared" si="184"/>
        <v>41557.97</v>
      </c>
      <c r="AD308" s="9">
        <v>2.33</v>
      </c>
      <c r="AE308" s="9">
        <v>5.21</v>
      </c>
      <c r="AF308" s="21">
        <f>2.47-AJ308</f>
        <v>2.35</v>
      </c>
      <c r="AG308" s="18">
        <f>0.62-AQ308</f>
        <v>0.56999999999999995</v>
      </c>
      <c r="AH308" s="9">
        <v>2.4700000000000002</v>
      </c>
      <c r="AI308" s="13">
        <v>800</v>
      </c>
      <c r="AJ308" s="21">
        <f t="shared" si="218"/>
        <v>0.12</v>
      </c>
      <c r="AK308" s="9">
        <v>1.96</v>
      </c>
      <c r="AL308" s="9">
        <v>0.17</v>
      </c>
      <c r="AM308" s="9">
        <v>0.09</v>
      </c>
      <c r="AN308" s="13"/>
      <c r="AO308" s="13">
        <v>736.8</v>
      </c>
      <c r="AP308" s="13">
        <f t="shared" si="208"/>
        <v>5.58</v>
      </c>
      <c r="AQ308" s="18">
        <f t="shared" si="219"/>
        <v>0.05</v>
      </c>
      <c r="AR308" s="9">
        <v>0.55000000000000004</v>
      </c>
      <c r="AS308" s="9">
        <v>0.21</v>
      </c>
      <c r="AT308" s="9">
        <v>7.0000000000000007E-2</v>
      </c>
      <c r="AU308" s="9">
        <v>3.85</v>
      </c>
      <c r="AV308" s="9">
        <v>0.17</v>
      </c>
      <c r="AW308" s="9">
        <f>1.45+0.34+0.26</f>
        <v>2.0499999999999998</v>
      </c>
      <c r="AX308" s="9">
        <f>2.02+0.45</f>
        <v>2.4700000000000002</v>
      </c>
      <c r="AY308" s="159">
        <f t="shared" si="209"/>
        <v>24.69</v>
      </c>
      <c r="AZ308" s="160">
        <v>6591.1</v>
      </c>
      <c r="BA308" s="160">
        <v>0</v>
      </c>
      <c r="BB308" s="160">
        <f t="shared" si="177"/>
        <v>6591.1</v>
      </c>
      <c r="BC308" s="160">
        <v>24.69</v>
      </c>
      <c r="BD308" s="13">
        <f t="shared" si="207"/>
        <v>0</v>
      </c>
      <c r="BE308" s="9">
        <f t="shared" si="185"/>
        <v>162095.78</v>
      </c>
      <c r="BF308" s="9">
        <v>24.69</v>
      </c>
      <c r="BG308" s="10">
        <v>44409</v>
      </c>
      <c r="BH308" s="9">
        <f t="shared" si="186"/>
        <v>15297.01</v>
      </c>
      <c r="BI308" s="9">
        <f t="shared" si="187"/>
        <v>34204.9</v>
      </c>
      <c r="BJ308" s="9">
        <f t="shared" si="188"/>
        <v>15428.31</v>
      </c>
      <c r="BK308" s="9">
        <f t="shared" si="189"/>
        <v>3742.19</v>
      </c>
      <c r="BL308" s="9">
        <f t="shared" si="190"/>
        <v>16216.14</v>
      </c>
      <c r="BM308" s="9">
        <f t="shared" si="191"/>
        <v>787.83</v>
      </c>
      <c r="BN308" s="9">
        <f t="shared" si="192"/>
        <v>12867.87</v>
      </c>
      <c r="BO308" s="9">
        <f t="shared" si="193"/>
        <v>1116.0899999999999</v>
      </c>
      <c r="BP308" s="9">
        <f t="shared" si="194"/>
        <v>590.87</v>
      </c>
      <c r="BQ308" s="9">
        <f t="shared" si="195"/>
        <v>328.26</v>
      </c>
      <c r="BR308" s="9">
        <f t="shared" si="196"/>
        <v>3610.88</v>
      </c>
      <c r="BS308" s="9">
        <f t="shared" si="197"/>
        <v>1378.7</v>
      </c>
      <c r="BT308" s="9">
        <f t="shared" si="198"/>
        <v>459.57</v>
      </c>
      <c r="BU308" s="9">
        <f t="shared" si="199"/>
        <v>25276.17</v>
      </c>
      <c r="BV308" s="9">
        <f t="shared" si="200"/>
        <v>1116.0899999999999</v>
      </c>
      <c r="BW308" s="9">
        <f t="shared" si="201"/>
        <v>13458.74</v>
      </c>
      <c r="BX308" s="9">
        <f t="shared" si="202"/>
        <v>16216.14</v>
      </c>
      <c r="BY308" s="17">
        <f t="shared" si="203"/>
        <v>162095.76</v>
      </c>
      <c r="BZ308" s="17">
        <v>3.67</v>
      </c>
      <c r="CA308" s="17">
        <v>0.03</v>
      </c>
      <c r="CB308" s="17">
        <v>0.21</v>
      </c>
      <c r="CC308" s="27">
        <v>0.04</v>
      </c>
      <c r="CD308" s="29">
        <v>6.33</v>
      </c>
      <c r="CE308" s="9">
        <v>23041.59</v>
      </c>
      <c r="CF308" s="9"/>
      <c r="CG308" s="9">
        <v>3459.07</v>
      </c>
      <c r="CH308" s="9">
        <v>1926.21</v>
      </c>
      <c r="CI308" s="9">
        <f t="shared" si="214"/>
        <v>3.51</v>
      </c>
      <c r="CJ308" s="9">
        <f t="shared" si="215"/>
        <v>0</v>
      </c>
      <c r="CK308" s="13">
        <f t="shared" si="216"/>
        <v>0.53</v>
      </c>
      <c r="CL308" s="13">
        <f t="shared" si="217"/>
        <v>0.28999999999999998</v>
      </c>
      <c r="CM308" s="13">
        <v>161718.87</v>
      </c>
      <c r="CN308" s="13">
        <v>-1.72</v>
      </c>
      <c r="CO308" s="13">
        <v>-0.1</v>
      </c>
      <c r="CP308" s="13">
        <v>3144.02</v>
      </c>
      <c r="CQ308" s="13">
        <v>1768.45</v>
      </c>
      <c r="CR308" s="13">
        <v>179996.16</v>
      </c>
      <c r="CS308" s="13">
        <v>19182.830000000002</v>
      </c>
      <c r="CT308" s="13">
        <v>200.46</v>
      </c>
      <c r="CU308" s="13">
        <v>1713.05</v>
      </c>
      <c r="CV308" s="13">
        <v>1031.58</v>
      </c>
      <c r="CW308" s="202">
        <v>5720</v>
      </c>
      <c r="CX308" s="200">
        <v>3281</v>
      </c>
      <c r="CY308" s="202">
        <v>45096</v>
      </c>
      <c r="CZ308" s="202">
        <v>5100</v>
      </c>
      <c r="DA308" s="202">
        <v>3</v>
      </c>
      <c r="DB308" s="202"/>
      <c r="DC308" s="202"/>
      <c r="DD308" s="461"/>
      <c r="DE308" s="256"/>
      <c r="DF308" s="204">
        <v>800</v>
      </c>
      <c r="DG308" s="204"/>
      <c r="DH308" s="204"/>
      <c r="DI308" s="204"/>
      <c r="DJ308" s="202"/>
      <c r="DK308" s="202">
        <v>12900</v>
      </c>
      <c r="DL308" s="202"/>
      <c r="DM308" s="202"/>
      <c r="DN308" s="202"/>
      <c r="DO308" s="202"/>
      <c r="DP308" s="202"/>
      <c r="DQ308" s="202"/>
      <c r="DR308" s="202"/>
      <c r="DS308" s="202"/>
      <c r="DT308" s="254"/>
      <c r="DU308" s="254"/>
      <c r="DV308" s="202">
        <v>36152</v>
      </c>
      <c r="DW308" s="202"/>
      <c r="DX308" s="202"/>
      <c r="DY308" s="107">
        <v>1365</v>
      </c>
      <c r="DZ308" s="107">
        <v>577</v>
      </c>
      <c r="EA308" s="202">
        <f>4577.12+7549.25</f>
        <v>12126.37</v>
      </c>
      <c r="EB308" s="202">
        <v>13959</v>
      </c>
      <c r="EC308" s="202"/>
      <c r="ED308" s="202"/>
      <c r="EE308" s="202"/>
      <c r="EF308" s="229"/>
      <c r="EG308" s="202"/>
      <c r="EH308" s="202"/>
      <c r="EI308" s="202"/>
      <c r="EJ308" s="202"/>
      <c r="EK308" s="202">
        <v>0</v>
      </c>
      <c r="EL308" s="202">
        <v>0</v>
      </c>
      <c r="EM308" s="202">
        <v>3161.6</v>
      </c>
      <c r="EN308" s="202">
        <v>1770.58</v>
      </c>
      <c r="EO308" s="202">
        <v>0</v>
      </c>
      <c r="EP308" s="202"/>
      <c r="EQ308" s="202">
        <v>3161.6</v>
      </c>
      <c r="ER308" s="202">
        <v>1770.58</v>
      </c>
      <c r="ES308" s="202"/>
      <c r="ET308" s="202"/>
      <c r="EU308" s="202"/>
      <c r="EV308" s="214">
        <v>-5.93</v>
      </c>
      <c r="EW308" s="240">
        <f t="shared" si="204"/>
        <v>14359.23</v>
      </c>
      <c r="EX308" s="209">
        <f t="shared" si="205"/>
        <v>9345.75</v>
      </c>
    </row>
    <row r="309" spans="1:157" ht="12.75" customHeight="1" x14ac:dyDescent="0.2">
      <c r="A309" s="4" t="s">
        <v>785</v>
      </c>
      <c r="B309" s="156" t="s">
        <v>363</v>
      </c>
      <c r="C309" s="157" t="s">
        <v>21</v>
      </c>
      <c r="D309" s="158" t="s">
        <v>536</v>
      </c>
      <c r="E309" s="157" t="s">
        <v>12</v>
      </c>
      <c r="F309" s="11">
        <v>9</v>
      </c>
      <c r="G309" s="11">
        <v>2</v>
      </c>
      <c r="H309" s="11">
        <v>72</v>
      </c>
      <c r="I309" s="11">
        <v>72</v>
      </c>
      <c r="J309" s="11">
        <v>144</v>
      </c>
      <c r="K309" s="11">
        <v>184</v>
      </c>
      <c r="L309" s="83">
        <v>2</v>
      </c>
      <c r="M309" s="84">
        <v>501</v>
      </c>
      <c r="N309" s="84">
        <v>571</v>
      </c>
      <c r="O309" s="84">
        <v>0</v>
      </c>
      <c r="P309" s="135">
        <v>500.8</v>
      </c>
      <c r="Q309" s="135">
        <v>497.2</v>
      </c>
      <c r="R309" s="133">
        <v>0</v>
      </c>
      <c r="S309" s="133">
        <f t="shared" si="206"/>
        <v>998</v>
      </c>
      <c r="T309" s="134">
        <v>501</v>
      </c>
      <c r="U309" s="130">
        <v>2.44</v>
      </c>
      <c r="V309" s="131">
        <v>1.9800000000000002E-2</v>
      </c>
      <c r="W309" s="131">
        <v>1.9800000000000002E-2</v>
      </c>
      <c r="X309" s="132">
        <v>1.32E-3</v>
      </c>
      <c r="Y309" s="131">
        <v>3.9699999999999999E-2</v>
      </c>
      <c r="Z309" s="29">
        <v>3903.21</v>
      </c>
      <c r="AA309" s="34">
        <v>53.7</v>
      </c>
      <c r="AB309" s="9">
        <f t="shared" ref="AB309:AB316" si="220">Z309+AA309</f>
        <v>3956.91</v>
      </c>
      <c r="AC309" s="9">
        <f t="shared" si="184"/>
        <v>25047.24</v>
      </c>
      <c r="AD309" s="9">
        <v>2.3199999999999998</v>
      </c>
      <c r="AE309" s="9">
        <v>4.3600000000000003</v>
      </c>
      <c r="AF309" s="21">
        <f>2.47-AJ309</f>
        <v>2.33</v>
      </c>
      <c r="AG309" s="18">
        <f>0.61-AQ309</f>
        <v>0.56000000000000005</v>
      </c>
      <c r="AH309" s="9">
        <v>2.4700000000000002</v>
      </c>
      <c r="AI309" s="13">
        <v>548</v>
      </c>
      <c r="AJ309" s="21">
        <f t="shared" si="218"/>
        <v>0.14000000000000001</v>
      </c>
      <c r="AK309" s="9">
        <v>2.19</v>
      </c>
      <c r="AL309" s="9">
        <v>0.19</v>
      </c>
      <c r="AM309" s="9">
        <v>0.15</v>
      </c>
      <c r="AN309" s="13"/>
      <c r="AO309" s="13">
        <v>422.4</v>
      </c>
      <c r="AP309" s="13">
        <f t="shared" si="208"/>
        <v>5.58</v>
      </c>
      <c r="AQ309" s="18">
        <f t="shared" si="219"/>
        <v>0.05</v>
      </c>
      <c r="AR309" s="9">
        <v>0.56000000000000005</v>
      </c>
      <c r="AS309" s="9">
        <v>0.35</v>
      </c>
      <c r="AT309" s="9">
        <v>7.0000000000000007E-2</v>
      </c>
      <c r="AU309" s="9">
        <v>4.4000000000000004</v>
      </c>
      <c r="AV309" s="9">
        <v>0.17</v>
      </c>
      <c r="AW309" s="9">
        <f>1.41+0.39+0.23</f>
        <v>2.0299999999999998</v>
      </c>
      <c r="AX309" s="9">
        <f>1.99+0.52</f>
        <v>2.5099999999999998</v>
      </c>
      <c r="AY309" s="159">
        <f t="shared" si="209"/>
        <v>24.85</v>
      </c>
      <c r="AZ309" s="160">
        <v>3933.3</v>
      </c>
      <c r="BA309" s="160">
        <v>0</v>
      </c>
      <c r="BB309" s="160">
        <f t="shared" ref="BB309:BB316" si="221">AZ309+BA309</f>
        <v>3933.3</v>
      </c>
      <c r="BC309" s="160">
        <v>24.85</v>
      </c>
      <c r="BD309" s="13">
        <f t="shared" si="207"/>
        <v>0</v>
      </c>
      <c r="BE309" s="9">
        <f t="shared" si="185"/>
        <v>98329.21</v>
      </c>
      <c r="BF309" s="9">
        <v>24.85</v>
      </c>
      <c r="BG309" s="10">
        <v>44409</v>
      </c>
      <c r="BH309" s="9">
        <f t="shared" si="186"/>
        <v>9180.0300000000007</v>
      </c>
      <c r="BI309" s="9">
        <f t="shared" si="187"/>
        <v>17252.13</v>
      </c>
      <c r="BJ309" s="9">
        <f t="shared" si="188"/>
        <v>9219.6</v>
      </c>
      <c r="BK309" s="9">
        <f t="shared" si="189"/>
        <v>2215.87</v>
      </c>
      <c r="BL309" s="9">
        <f t="shared" si="190"/>
        <v>9773.57</v>
      </c>
      <c r="BM309" s="9">
        <f t="shared" si="191"/>
        <v>553.97</v>
      </c>
      <c r="BN309" s="9">
        <f t="shared" si="192"/>
        <v>8665.6299999999992</v>
      </c>
      <c r="BO309" s="9">
        <f t="shared" si="193"/>
        <v>751.81</v>
      </c>
      <c r="BP309" s="9">
        <f t="shared" si="194"/>
        <v>593.54</v>
      </c>
      <c r="BQ309" s="9">
        <f t="shared" si="195"/>
        <v>197.85</v>
      </c>
      <c r="BR309" s="9">
        <f t="shared" si="196"/>
        <v>2215.87</v>
      </c>
      <c r="BS309" s="9">
        <f t="shared" si="197"/>
        <v>1384.92</v>
      </c>
      <c r="BT309" s="9">
        <f t="shared" si="198"/>
        <v>276.98</v>
      </c>
      <c r="BU309" s="9">
        <f t="shared" si="199"/>
        <v>17410.400000000001</v>
      </c>
      <c r="BV309" s="9">
        <f t="shared" si="200"/>
        <v>672.67</v>
      </c>
      <c r="BW309" s="9">
        <f t="shared" si="201"/>
        <v>8032.53</v>
      </c>
      <c r="BX309" s="9">
        <f t="shared" si="202"/>
        <v>9931.84</v>
      </c>
      <c r="BY309" s="17">
        <f t="shared" si="203"/>
        <v>98329.21</v>
      </c>
      <c r="BZ309" s="17">
        <v>2.5299999999999998</v>
      </c>
      <c r="CA309" s="17">
        <v>7.0000000000000007E-2</v>
      </c>
      <c r="CB309" s="17">
        <v>0.43</v>
      </c>
      <c r="CC309" s="27">
        <v>7.0000000000000007E-2</v>
      </c>
      <c r="CD309" s="29">
        <v>6.33</v>
      </c>
      <c r="CE309" s="9">
        <v>0</v>
      </c>
      <c r="CF309" s="9"/>
      <c r="CG309" s="9">
        <v>0</v>
      </c>
      <c r="CH309" s="9">
        <v>140.35</v>
      </c>
      <c r="CI309" s="9">
        <f t="shared" si="214"/>
        <v>0</v>
      </c>
      <c r="CJ309" s="9">
        <f t="shared" si="215"/>
        <v>0</v>
      </c>
      <c r="CK309" s="13">
        <f t="shared" si="216"/>
        <v>0</v>
      </c>
      <c r="CL309" s="13">
        <f t="shared" si="217"/>
        <v>0.04</v>
      </c>
      <c r="CM309" s="13">
        <v>96994.91</v>
      </c>
      <c r="CN309" s="13">
        <v>0</v>
      </c>
      <c r="CO309" s="13">
        <v>0</v>
      </c>
      <c r="CP309" s="13">
        <v>0</v>
      </c>
      <c r="CQ309" s="13">
        <v>156.1</v>
      </c>
      <c r="CR309" s="13">
        <v>91423.58</v>
      </c>
      <c r="CS309" s="13">
        <v>3423.22</v>
      </c>
      <c r="CT309" s="13">
        <v>1970.34</v>
      </c>
      <c r="CU309" s="13">
        <v>35.18</v>
      </c>
      <c r="CV309" s="13">
        <v>155.04</v>
      </c>
      <c r="CW309" s="202">
        <v>3447</v>
      </c>
      <c r="CX309" s="200">
        <v>1977</v>
      </c>
      <c r="CY309" s="202">
        <v>24316</v>
      </c>
      <c r="CZ309" s="202">
        <v>5100</v>
      </c>
      <c r="DA309" s="202">
        <v>3</v>
      </c>
      <c r="DB309" s="202"/>
      <c r="DC309" s="202"/>
      <c r="DD309" s="461"/>
      <c r="DE309" s="256"/>
      <c r="DF309" s="204">
        <v>548</v>
      </c>
      <c r="DG309" s="204"/>
      <c r="DH309" s="204"/>
      <c r="DI309" s="204"/>
      <c r="DJ309" s="202"/>
      <c r="DK309" s="202">
        <v>8600</v>
      </c>
      <c r="DL309" s="202"/>
      <c r="DM309" s="202"/>
      <c r="DN309" s="202"/>
      <c r="DO309" s="202"/>
      <c r="DP309" s="202"/>
      <c r="DQ309" s="202"/>
      <c r="DR309" s="202"/>
      <c r="DS309" s="202"/>
      <c r="DT309" s="254"/>
      <c r="DU309" s="254"/>
      <c r="DV309" s="202">
        <v>21565</v>
      </c>
      <c r="DW309" s="202"/>
      <c r="DX309" s="202"/>
      <c r="DY309" s="107">
        <v>1365</v>
      </c>
      <c r="DZ309" s="107">
        <v>577</v>
      </c>
      <c r="EA309" s="202"/>
      <c r="EB309" s="202">
        <v>8829</v>
      </c>
      <c r="EC309" s="202"/>
      <c r="ED309" s="202"/>
      <c r="EE309" s="202"/>
      <c r="EF309" s="229"/>
      <c r="EG309" s="202"/>
      <c r="EH309" s="202"/>
      <c r="EI309" s="202"/>
      <c r="EJ309" s="202"/>
      <c r="EK309" s="202">
        <v>0</v>
      </c>
      <c r="EL309" s="202">
        <v>0</v>
      </c>
      <c r="EM309" s="202">
        <v>0</v>
      </c>
      <c r="EN309" s="202">
        <v>140.35</v>
      </c>
      <c r="EO309" s="202">
        <v>0</v>
      </c>
      <c r="EP309" s="202"/>
      <c r="EQ309" s="202">
        <v>0</v>
      </c>
      <c r="ER309" s="202">
        <v>140.35</v>
      </c>
      <c r="ES309" s="202"/>
      <c r="ET309" s="202"/>
      <c r="EU309" s="202"/>
      <c r="EV309" s="214">
        <f>-7.82+5622.44</f>
        <v>5614.62</v>
      </c>
      <c r="EW309" s="240">
        <f t="shared" si="204"/>
        <v>8654.4</v>
      </c>
      <c r="EX309" s="209">
        <f t="shared" si="205"/>
        <v>5632.74</v>
      </c>
    </row>
    <row r="310" spans="1:157" ht="12.75" customHeight="1" x14ac:dyDescent="0.2">
      <c r="A310" s="4" t="s">
        <v>786</v>
      </c>
      <c r="B310" s="156" t="s">
        <v>363</v>
      </c>
      <c r="C310" s="157" t="s">
        <v>62</v>
      </c>
      <c r="D310" s="158" t="s">
        <v>537</v>
      </c>
      <c r="E310" s="157" t="s">
        <v>12</v>
      </c>
      <c r="F310" s="11">
        <v>10</v>
      </c>
      <c r="G310" s="11">
        <v>3</v>
      </c>
      <c r="H310" s="11">
        <v>120</v>
      </c>
      <c r="I310" s="11">
        <v>118</v>
      </c>
      <c r="J310" s="11">
        <v>274</v>
      </c>
      <c r="K310" s="11">
        <v>324</v>
      </c>
      <c r="L310" s="83">
        <v>3</v>
      </c>
      <c r="M310" s="84">
        <v>721</v>
      </c>
      <c r="N310" s="84">
        <v>833</v>
      </c>
      <c r="O310" s="84">
        <v>833</v>
      </c>
      <c r="P310" s="139">
        <v>828</v>
      </c>
      <c r="Q310" s="135">
        <v>785</v>
      </c>
      <c r="R310" s="135">
        <v>785</v>
      </c>
      <c r="S310" s="133">
        <f t="shared" si="206"/>
        <v>2398</v>
      </c>
      <c r="T310" s="139">
        <v>721</v>
      </c>
      <c r="U310" s="130">
        <v>2.74</v>
      </c>
      <c r="V310" s="131">
        <v>1.1299999999999999E-2</v>
      </c>
      <c r="W310" s="131">
        <v>1.1299999999999999E-2</v>
      </c>
      <c r="X310" s="132">
        <v>7.5000000000000002E-4</v>
      </c>
      <c r="Y310" s="131">
        <v>2.2499999999999999E-2</v>
      </c>
      <c r="Z310" s="29">
        <v>6545.71</v>
      </c>
      <c r="AA310" s="34"/>
      <c r="AB310" s="9">
        <f t="shared" si="220"/>
        <v>6545.71</v>
      </c>
      <c r="AC310" s="9">
        <f t="shared" si="184"/>
        <v>41434.339999999997</v>
      </c>
      <c r="AD310" s="9">
        <v>2.38</v>
      </c>
      <c r="AE310" s="9">
        <v>5.15</v>
      </c>
      <c r="AF310" s="21">
        <f>2.49-AJ310</f>
        <v>2.37</v>
      </c>
      <c r="AG310" s="18">
        <f>0.62-AQ310</f>
        <v>0.56999999999999995</v>
      </c>
      <c r="AH310" s="9">
        <v>2.4700000000000002</v>
      </c>
      <c r="AI310" s="13">
        <v>800</v>
      </c>
      <c r="AJ310" s="21">
        <f t="shared" si="218"/>
        <v>0.12</v>
      </c>
      <c r="AK310" s="9">
        <v>1.97</v>
      </c>
      <c r="AL310" s="9">
        <v>0.17</v>
      </c>
      <c r="AM310" s="9">
        <v>0.09</v>
      </c>
      <c r="AN310" s="13"/>
      <c r="AO310" s="13">
        <v>736.8</v>
      </c>
      <c r="AP310" s="13">
        <f t="shared" si="208"/>
        <v>5.58</v>
      </c>
      <c r="AQ310" s="18">
        <f t="shared" si="219"/>
        <v>0.05</v>
      </c>
      <c r="AR310" s="9">
        <v>0.55000000000000004</v>
      </c>
      <c r="AS310" s="9">
        <v>0.21</v>
      </c>
      <c r="AT310" s="9">
        <v>7.0000000000000007E-2</v>
      </c>
      <c r="AU310" s="9">
        <v>3.86</v>
      </c>
      <c r="AV310" s="9">
        <v>0.17</v>
      </c>
      <c r="AW310" s="9">
        <f>1.45+0.34+0.26</f>
        <v>2.0499999999999998</v>
      </c>
      <c r="AX310" s="9">
        <f>2.02+0.46</f>
        <v>2.48</v>
      </c>
      <c r="AY310" s="159">
        <f t="shared" si="209"/>
        <v>24.73</v>
      </c>
      <c r="AZ310" s="160">
        <v>6535.6</v>
      </c>
      <c r="BA310" s="160">
        <v>0</v>
      </c>
      <c r="BB310" s="160">
        <f t="shared" si="221"/>
        <v>6535.6</v>
      </c>
      <c r="BC310" s="160">
        <v>24.73</v>
      </c>
      <c r="BD310" s="13">
        <f t="shared" si="207"/>
        <v>0</v>
      </c>
      <c r="BE310" s="9">
        <f t="shared" si="185"/>
        <v>161875.41</v>
      </c>
      <c r="BF310" s="9">
        <v>24.73</v>
      </c>
      <c r="BG310" s="10">
        <v>44409</v>
      </c>
      <c r="BH310" s="9">
        <f t="shared" si="186"/>
        <v>15578.79</v>
      </c>
      <c r="BI310" s="9">
        <f t="shared" si="187"/>
        <v>33710.410000000003</v>
      </c>
      <c r="BJ310" s="9">
        <f t="shared" si="188"/>
        <v>15513.33</v>
      </c>
      <c r="BK310" s="9">
        <f t="shared" si="189"/>
        <v>3731.05</v>
      </c>
      <c r="BL310" s="9">
        <f t="shared" si="190"/>
        <v>16167.9</v>
      </c>
      <c r="BM310" s="9">
        <f t="shared" si="191"/>
        <v>785.49</v>
      </c>
      <c r="BN310" s="9">
        <f t="shared" si="192"/>
        <v>12895.05</v>
      </c>
      <c r="BO310" s="9">
        <f t="shared" si="193"/>
        <v>1112.77</v>
      </c>
      <c r="BP310" s="9">
        <f t="shared" si="194"/>
        <v>589.11</v>
      </c>
      <c r="BQ310" s="9">
        <f t="shared" si="195"/>
        <v>327.29000000000002</v>
      </c>
      <c r="BR310" s="9">
        <f t="shared" si="196"/>
        <v>3600.14</v>
      </c>
      <c r="BS310" s="9">
        <f t="shared" si="197"/>
        <v>1374.6</v>
      </c>
      <c r="BT310" s="9">
        <f t="shared" si="198"/>
        <v>458.2</v>
      </c>
      <c r="BU310" s="9">
        <f t="shared" si="199"/>
        <v>25266.44</v>
      </c>
      <c r="BV310" s="9">
        <f t="shared" si="200"/>
        <v>1112.77</v>
      </c>
      <c r="BW310" s="9">
        <f t="shared" si="201"/>
        <v>13418.71</v>
      </c>
      <c r="BX310" s="9">
        <f t="shared" si="202"/>
        <v>16233.36</v>
      </c>
      <c r="BY310" s="17">
        <f t="shared" si="203"/>
        <v>161875.41</v>
      </c>
      <c r="BZ310" s="17">
        <v>3.68</v>
      </c>
      <c r="CA310" s="17">
        <v>0.03</v>
      </c>
      <c r="CB310" s="17">
        <v>0.21</v>
      </c>
      <c r="CC310" s="27">
        <v>0.04</v>
      </c>
      <c r="CD310" s="29">
        <v>6.33</v>
      </c>
      <c r="CE310" s="9">
        <v>19988.54</v>
      </c>
      <c r="CF310" s="9"/>
      <c r="CG310" s="9">
        <v>621.54999999999995</v>
      </c>
      <c r="CH310" s="9">
        <v>440.67</v>
      </c>
      <c r="CI310" s="9">
        <f t="shared" si="214"/>
        <v>3.05</v>
      </c>
      <c r="CJ310" s="9">
        <f t="shared" si="215"/>
        <v>0</v>
      </c>
      <c r="CK310" s="13">
        <f t="shared" si="216"/>
        <v>0.09</v>
      </c>
      <c r="CL310" s="13">
        <f t="shared" si="217"/>
        <v>7.0000000000000007E-2</v>
      </c>
      <c r="CM310" s="13">
        <v>161875.49</v>
      </c>
      <c r="CN310" s="13">
        <v>14727.53</v>
      </c>
      <c r="CO310" s="13">
        <v>0</v>
      </c>
      <c r="CP310" s="13">
        <v>0</v>
      </c>
      <c r="CQ310" s="13">
        <v>130.91</v>
      </c>
      <c r="CR310" s="13">
        <v>153831.85999999999</v>
      </c>
      <c r="CS310" s="13">
        <v>15258.61</v>
      </c>
      <c r="CT310" s="13">
        <v>215.21</v>
      </c>
      <c r="CU310" s="13">
        <v>1334.64</v>
      </c>
      <c r="CV310" s="13">
        <v>825.48</v>
      </c>
      <c r="CW310" s="202">
        <v>5702</v>
      </c>
      <c r="CX310" s="200">
        <v>3271</v>
      </c>
      <c r="CY310" s="202">
        <v>45093</v>
      </c>
      <c r="CZ310" s="202">
        <v>10200</v>
      </c>
      <c r="DA310" s="202">
        <v>6</v>
      </c>
      <c r="DB310" s="202"/>
      <c r="DC310" s="202"/>
      <c r="DD310" s="461"/>
      <c r="DE310" s="256"/>
      <c r="DF310" s="204">
        <v>800</v>
      </c>
      <c r="DG310" s="204"/>
      <c r="DH310" s="204"/>
      <c r="DI310" s="204"/>
      <c r="DJ310" s="202"/>
      <c r="DK310" s="202">
        <v>12900</v>
      </c>
      <c r="DL310" s="202"/>
      <c r="DM310" s="202"/>
      <c r="DN310" s="202"/>
      <c r="DO310" s="202"/>
      <c r="DP310" s="202"/>
      <c r="DQ310" s="202"/>
      <c r="DR310" s="202"/>
      <c r="DS310" s="202"/>
      <c r="DT310" s="254"/>
      <c r="DU310" s="254"/>
      <c r="DV310" s="202">
        <v>35953</v>
      </c>
      <c r="DW310" s="202"/>
      <c r="DX310" s="202"/>
      <c r="DY310" s="107">
        <v>1365</v>
      </c>
      <c r="DZ310" s="107">
        <v>577</v>
      </c>
      <c r="EA310" s="202"/>
      <c r="EB310" s="202">
        <v>13959</v>
      </c>
      <c r="EC310" s="202"/>
      <c r="ED310" s="202"/>
      <c r="EE310" s="202"/>
      <c r="EF310" s="229"/>
      <c r="EG310" s="202"/>
      <c r="EH310" s="202"/>
      <c r="EI310" s="202"/>
      <c r="EJ310" s="202"/>
      <c r="EK310" s="202">
        <v>14747.42</v>
      </c>
      <c r="EL310" s="202">
        <v>0</v>
      </c>
      <c r="EM310" s="202">
        <v>0</v>
      </c>
      <c r="EN310" s="202">
        <v>115.27</v>
      </c>
      <c r="EO310" s="202">
        <v>14747.42</v>
      </c>
      <c r="EP310" s="202"/>
      <c r="EQ310" s="202">
        <v>0</v>
      </c>
      <c r="ER310" s="202">
        <v>115.27</v>
      </c>
      <c r="ES310" s="202"/>
      <c r="ET310" s="202"/>
      <c r="EU310" s="202"/>
      <c r="EV310" s="214">
        <f>-5.93+28372.28</f>
        <v>28366.35</v>
      </c>
      <c r="EW310" s="240">
        <f t="shared" si="204"/>
        <v>14316.52</v>
      </c>
      <c r="EX310" s="209">
        <f t="shared" si="205"/>
        <v>9317.9500000000007</v>
      </c>
    </row>
    <row r="311" spans="1:157" ht="12.75" customHeight="1" x14ac:dyDescent="0.2">
      <c r="A311" s="4" t="s">
        <v>787</v>
      </c>
      <c r="B311" s="123" t="s">
        <v>370</v>
      </c>
      <c r="C311" s="124" t="s">
        <v>48</v>
      </c>
      <c r="D311" s="125" t="s">
        <v>687</v>
      </c>
      <c r="E311" s="124" t="s">
        <v>12</v>
      </c>
      <c r="F311" s="11">
        <v>9</v>
      </c>
      <c r="G311" s="11">
        <v>6</v>
      </c>
      <c r="H311" s="11">
        <v>216</v>
      </c>
      <c r="I311" s="11">
        <v>217</v>
      </c>
      <c r="J311" s="11">
        <v>485</v>
      </c>
      <c r="K311" s="11">
        <v>600</v>
      </c>
      <c r="L311" s="11">
        <v>6</v>
      </c>
      <c r="M311" s="84">
        <v>1926</v>
      </c>
      <c r="N311" s="84">
        <v>1807</v>
      </c>
      <c r="O311" s="84">
        <v>0</v>
      </c>
      <c r="P311" s="139">
        <f>767.7+772.8</f>
        <v>1540.5</v>
      </c>
      <c r="Q311" s="135">
        <f>1800+14.4+9.7+28.3</f>
        <v>1852.4</v>
      </c>
      <c r="R311" s="133">
        <v>0</v>
      </c>
      <c r="S311" s="133">
        <f t="shared" si="206"/>
        <v>3392.9</v>
      </c>
      <c r="T311" s="139">
        <v>1926</v>
      </c>
      <c r="U311" s="130">
        <v>2.44</v>
      </c>
      <c r="V311" s="91">
        <v>1.9800000000000002E-2</v>
      </c>
      <c r="W311" s="91">
        <v>1.9800000000000002E-2</v>
      </c>
      <c r="X311" s="132">
        <v>1.32E-3</v>
      </c>
      <c r="Y311" s="91">
        <v>3.9699999999999999E-2</v>
      </c>
      <c r="Z311" s="29">
        <v>11240.45</v>
      </c>
      <c r="AA311" s="34">
        <v>13.1</v>
      </c>
      <c r="AB311" s="9">
        <f t="shared" si="220"/>
        <v>11253.55</v>
      </c>
      <c r="AC311" s="9">
        <f t="shared" si="184"/>
        <v>71234.97</v>
      </c>
      <c r="AD311" s="9">
        <v>1.89</v>
      </c>
      <c r="AE311" s="9">
        <v>5.07</v>
      </c>
      <c r="AF311" s="21">
        <f>2.5-AJ311</f>
        <v>2.35</v>
      </c>
      <c r="AG311" s="18">
        <f>0.63-AQ311</f>
        <v>0.57999999999999996</v>
      </c>
      <c r="AH311" s="9">
        <v>2.78</v>
      </c>
      <c r="AI311" s="43">
        <v>1735</v>
      </c>
      <c r="AJ311" s="21">
        <f t="shared" si="218"/>
        <v>0.15</v>
      </c>
      <c r="AK311" s="9">
        <v>2.2999999999999998</v>
      </c>
      <c r="AL311" s="9">
        <v>0.2</v>
      </c>
      <c r="AM311" s="9">
        <v>0.05</v>
      </c>
      <c r="AN311" s="13"/>
      <c r="AO311" s="13">
        <v>1267.2</v>
      </c>
      <c r="AP311" s="13">
        <f t="shared" si="208"/>
        <v>5.58</v>
      </c>
      <c r="AQ311" s="18">
        <f t="shared" si="219"/>
        <v>0.05</v>
      </c>
      <c r="AR311" s="9">
        <v>0.59</v>
      </c>
      <c r="AS311" s="9">
        <v>0.36</v>
      </c>
      <c r="AT311" s="9">
        <v>7.0000000000000007E-2</v>
      </c>
      <c r="AU311" s="9">
        <v>3.45</v>
      </c>
      <c r="AV311" s="9">
        <v>0.17</v>
      </c>
      <c r="AW311" s="9">
        <f>1.48+0.27+0.3</f>
        <v>2.0499999999999998</v>
      </c>
      <c r="AX311" s="9">
        <f>2.07+0.41</f>
        <v>2.48</v>
      </c>
      <c r="AY311" s="126">
        <f t="shared" si="209"/>
        <v>24.59</v>
      </c>
      <c r="AZ311" s="127">
        <v>11209.2</v>
      </c>
      <c r="BA311" s="127">
        <v>13.1</v>
      </c>
      <c r="BB311" s="127">
        <f t="shared" si="221"/>
        <v>11222.3</v>
      </c>
      <c r="BC311" s="127">
        <v>24.59</v>
      </c>
      <c r="BD311" s="13">
        <f t="shared" si="207"/>
        <v>0</v>
      </c>
      <c r="BE311" s="9">
        <f t="shared" si="185"/>
        <v>276724.78999999998</v>
      </c>
      <c r="BF311" s="9">
        <v>24.59</v>
      </c>
      <c r="BG311" s="10">
        <v>44409</v>
      </c>
      <c r="BH311" s="9">
        <f t="shared" si="186"/>
        <v>21269.21</v>
      </c>
      <c r="BI311" s="9">
        <f t="shared" si="187"/>
        <v>57055.5</v>
      </c>
      <c r="BJ311" s="9">
        <f t="shared" si="188"/>
        <v>26445.84</v>
      </c>
      <c r="BK311" s="9">
        <f t="shared" si="189"/>
        <v>6527.06</v>
      </c>
      <c r="BL311" s="9">
        <f t="shared" si="190"/>
        <v>31284.87</v>
      </c>
      <c r="BM311" s="9">
        <f t="shared" si="191"/>
        <v>1688.03</v>
      </c>
      <c r="BN311" s="9">
        <f t="shared" si="192"/>
        <v>25883.17</v>
      </c>
      <c r="BO311" s="9">
        <f t="shared" si="193"/>
        <v>2250.71</v>
      </c>
      <c r="BP311" s="9">
        <f t="shared" si="194"/>
        <v>562.67999999999995</v>
      </c>
      <c r="BQ311" s="9">
        <f t="shared" si="195"/>
        <v>562.67999999999995</v>
      </c>
      <c r="BR311" s="9">
        <f t="shared" si="196"/>
        <v>6639.59</v>
      </c>
      <c r="BS311" s="9">
        <f t="shared" si="197"/>
        <v>4051.28</v>
      </c>
      <c r="BT311" s="9">
        <f t="shared" si="198"/>
        <v>787.75</v>
      </c>
      <c r="BU311" s="9">
        <f t="shared" si="199"/>
        <v>38824.75</v>
      </c>
      <c r="BV311" s="9">
        <f t="shared" si="200"/>
        <v>1913.1</v>
      </c>
      <c r="BW311" s="9">
        <f t="shared" si="201"/>
        <v>23069.78</v>
      </c>
      <c r="BX311" s="9">
        <f t="shared" si="202"/>
        <v>27908.799999999999</v>
      </c>
      <c r="BY311" s="17">
        <f t="shared" si="203"/>
        <v>276724.8</v>
      </c>
      <c r="BZ311" s="17">
        <v>3.11</v>
      </c>
      <c r="CA311" s="17">
        <v>0.09</v>
      </c>
      <c r="CB311" s="17">
        <v>0.57999999999999996</v>
      </c>
      <c r="CC311" s="27">
        <v>0.1</v>
      </c>
      <c r="CD311" s="29">
        <v>6.33</v>
      </c>
      <c r="CE311" s="9">
        <v>35157.519999999997</v>
      </c>
      <c r="CF311" s="9"/>
      <c r="CG311" s="9">
        <v>5918.26</v>
      </c>
      <c r="CH311" s="9">
        <v>3637.94</v>
      </c>
      <c r="CI311" s="9">
        <f t="shared" si="214"/>
        <v>3.12</v>
      </c>
      <c r="CJ311" s="9">
        <f t="shared" si="215"/>
        <v>0</v>
      </c>
      <c r="CK311" s="13">
        <f t="shared" si="216"/>
        <v>0.53</v>
      </c>
      <c r="CL311" s="13">
        <f t="shared" si="217"/>
        <v>0.32</v>
      </c>
      <c r="CM311" s="13">
        <v>276402.82</v>
      </c>
      <c r="CN311" s="13">
        <v>20682.43</v>
      </c>
      <c r="CO311" s="13">
        <v>0</v>
      </c>
      <c r="CP311" s="13">
        <v>224.77</v>
      </c>
      <c r="CQ311" s="13">
        <v>674.43</v>
      </c>
      <c r="CR311" s="13">
        <v>274681.15999999997</v>
      </c>
      <c r="CS311" s="13">
        <v>20569.689999999999</v>
      </c>
      <c r="CT311" s="13">
        <v>955.83</v>
      </c>
      <c r="CU311" s="13">
        <v>2403.91</v>
      </c>
      <c r="CV311" s="13">
        <v>1806.67</v>
      </c>
      <c r="CW311" s="202">
        <v>9792</v>
      </c>
      <c r="CX311" s="200">
        <v>5618</v>
      </c>
      <c r="CY311" s="202"/>
      <c r="CZ311" s="202"/>
      <c r="DA311" s="202"/>
      <c r="DB311" s="202"/>
      <c r="DC311" s="202"/>
      <c r="DD311" s="461"/>
      <c r="DE311" s="256"/>
      <c r="DF311" s="202"/>
      <c r="DG311" s="202"/>
      <c r="DH311" s="202"/>
      <c r="DI311" s="204">
        <v>1735</v>
      </c>
      <c r="DJ311" s="202">
        <v>25800</v>
      </c>
      <c r="DK311" s="202"/>
      <c r="DL311" s="202"/>
      <c r="DM311" s="202">
        <v>79393</v>
      </c>
      <c r="DN311" s="202">
        <v>1700</v>
      </c>
      <c r="DO311" s="202">
        <v>1</v>
      </c>
      <c r="DP311" s="202"/>
      <c r="DQ311" s="202"/>
      <c r="DR311" s="202"/>
      <c r="DS311" s="202"/>
      <c r="DT311" s="254"/>
      <c r="DU311" s="254"/>
      <c r="DV311" s="202">
        <v>52298</v>
      </c>
      <c r="DW311" s="202"/>
      <c r="DX311" s="202"/>
      <c r="DY311" s="107">
        <v>4095</v>
      </c>
      <c r="DZ311" s="107">
        <v>577</v>
      </c>
      <c r="EA311" s="202"/>
      <c r="EB311" s="202">
        <v>26646</v>
      </c>
      <c r="EC311" s="202"/>
      <c r="ED311" s="202"/>
      <c r="EE311" s="202"/>
      <c r="EF311" s="229"/>
      <c r="EG311" s="202"/>
      <c r="EH311" s="202"/>
      <c r="EI311" s="202"/>
      <c r="EJ311" s="202"/>
      <c r="EK311" s="202">
        <v>20750.560000000001</v>
      </c>
      <c r="EL311" s="202">
        <v>0</v>
      </c>
      <c r="EM311" s="202">
        <v>189.17</v>
      </c>
      <c r="EN311" s="202">
        <v>638.57000000000005</v>
      </c>
      <c r="EO311" s="202">
        <v>20750.560000000001</v>
      </c>
      <c r="EP311" s="202"/>
      <c r="EQ311" s="202">
        <v>189.17</v>
      </c>
      <c r="ER311" s="202">
        <v>638.57000000000005</v>
      </c>
      <c r="ES311" s="202"/>
      <c r="ET311" s="202"/>
      <c r="EU311" s="202"/>
      <c r="EV311" s="214">
        <v>-36.18</v>
      </c>
      <c r="EW311" s="240">
        <f t="shared" si="204"/>
        <v>24613.31</v>
      </c>
      <c r="EX311" s="209">
        <f t="shared" si="205"/>
        <v>16019.65</v>
      </c>
    </row>
    <row r="312" spans="1:157" ht="12.75" customHeight="1" x14ac:dyDescent="0.2">
      <c r="A312" s="4" t="s">
        <v>788</v>
      </c>
      <c r="B312" s="35" t="s">
        <v>370</v>
      </c>
      <c r="C312" s="36" t="s">
        <v>15</v>
      </c>
      <c r="D312" s="37" t="s">
        <v>689</v>
      </c>
      <c r="E312" s="36" t="s">
        <v>9</v>
      </c>
      <c r="F312" s="11">
        <v>9</v>
      </c>
      <c r="G312" s="11">
        <v>1</v>
      </c>
      <c r="H312" s="11">
        <v>171</v>
      </c>
      <c r="I312" s="11">
        <v>170</v>
      </c>
      <c r="J312" s="11">
        <v>172</v>
      </c>
      <c r="K312" s="11">
        <v>217</v>
      </c>
      <c r="L312" s="83">
        <v>1</v>
      </c>
      <c r="M312" s="84">
        <v>975</v>
      </c>
      <c r="N312" s="84">
        <v>888</v>
      </c>
      <c r="O312" s="84">
        <v>0</v>
      </c>
      <c r="P312" s="135">
        <v>974.8</v>
      </c>
      <c r="Q312" s="135">
        <f>555+16.7+34.4</f>
        <v>606.1</v>
      </c>
      <c r="R312" s="133">
        <v>0</v>
      </c>
      <c r="S312" s="133">
        <f t="shared" si="206"/>
        <v>1580.9</v>
      </c>
      <c r="T312" s="134">
        <v>975</v>
      </c>
      <c r="U312" s="130">
        <v>2.44</v>
      </c>
      <c r="V312" s="131">
        <v>1.9800000000000002E-2</v>
      </c>
      <c r="W312" s="131">
        <v>1.9800000000000002E-2</v>
      </c>
      <c r="X312" s="132">
        <v>1.32E-3</v>
      </c>
      <c r="Y312" s="131">
        <v>3.9699999999999999E-2</v>
      </c>
      <c r="Z312" s="29">
        <v>4386.0200000000004</v>
      </c>
      <c r="AA312" s="34"/>
      <c r="AB312" s="9">
        <f t="shared" si="220"/>
        <v>4386.0200000000004</v>
      </c>
      <c r="AC312" s="9">
        <f>SUM(AB312*6.33)</f>
        <v>27763.51</v>
      </c>
      <c r="AD312" s="9">
        <v>2.99</v>
      </c>
      <c r="AE312" s="9">
        <v>3.32</v>
      </c>
      <c r="AF312" s="21">
        <f>2.43-AJ312</f>
        <v>2.2400000000000002</v>
      </c>
      <c r="AG312" s="18">
        <f>0.66-AQ312</f>
        <v>0.55000000000000004</v>
      </c>
      <c r="AH312" s="9">
        <v>2.77</v>
      </c>
      <c r="AI312" s="43">
        <v>852</v>
      </c>
      <c r="AJ312" s="21">
        <f t="shared" si="218"/>
        <v>0.19</v>
      </c>
      <c r="AK312" s="9">
        <v>0.98</v>
      </c>
      <c r="AL312" s="9">
        <v>0.09</v>
      </c>
      <c r="AM312" s="9">
        <v>0.13</v>
      </c>
      <c r="AN312" s="13"/>
      <c r="AO312" s="13">
        <v>1014.6</v>
      </c>
      <c r="AP312" s="13">
        <f t="shared" si="208"/>
        <v>5.58</v>
      </c>
      <c r="AQ312" s="18">
        <f t="shared" si="219"/>
        <v>0.11</v>
      </c>
      <c r="AR312" s="9">
        <v>1.24</v>
      </c>
      <c r="AS312" s="9">
        <v>0.31</v>
      </c>
      <c r="AT312" s="9">
        <v>7.0000000000000007E-2</v>
      </c>
      <c r="AU312" s="9">
        <v>4.3600000000000003</v>
      </c>
      <c r="AV312" s="9">
        <v>0.16</v>
      </c>
      <c r="AW312" s="9">
        <f>1.35+0.39+0.54</f>
        <v>2.2799999999999998</v>
      </c>
      <c r="AX312" s="9">
        <f>1.88+0.51</f>
        <v>2.39</v>
      </c>
      <c r="AY312" s="126">
        <f t="shared" si="209"/>
        <v>24.18</v>
      </c>
      <c r="AZ312" s="127">
        <v>11201.9</v>
      </c>
      <c r="BA312" s="127">
        <v>0</v>
      </c>
      <c r="BB312" s="127">
        <f t="shared" si="221"/>
        <v>11201.9</v>
      </c>
      <c r="BC312" s="127">
        <v>24.18</v>
      </c>
      <c r="BD312" s="13">
        <f t="shared" si="207"/>
        <v>0</v>
      </c>
      <c r="BE312" s="9">
        <f t="shared" si="185"/>
        <v>106053.96</v>
      </c>
      <c r="BF312" s="9">
        <v>24.18</v>
      </c>
      <c r="BG312" s="10">
        <v>44409</v>
      </c>
      <c r="BH312" s="9">
        <f t="shared" si="186"/>
        <v>13114.2</v>
      </c>
      <c r="BI312" s="9">
        <f t="shared" si="187"/>
        <v>14561.59</v>
      </c>
      <c r="BJ312" s="9">
        <f t="shared" si="188"/>
        <v>9824.68</v>
      </c>
      <c r="BK312" s="9">
        <f t="shared" si="189"/>
        <v>2412.31</v>
      </c>
      <c r="BL312" s="9">
        <f t="shared" si="190"/>
        <v>12149.28</v>
      </c>
      <c r="BM312" s="9">
        <f t="shared" si="191"/>
        <v>833.34</v>
      </c>
      <c r="BN312" s="9">
        <f t="shared" si="192"/>
        <v>4298.3</v>
      </c>
      <c r="BO312" s="9">
        <f t="shared" si="193"/>
        <v>394.74</v>
      </c>
      <c r="BP312" s="9">
        <f t="shared" si="194"/>
        <v>570.17999999999995</v>
      </c>
      <c r="BQ312" s="9">
        <f t="shared" si="195"/>
        <v>482.46</v>
      </c>
      <c r="BR312" s="9">
        <f t="shared" si="196"/>
        <v>5438.66</v>
      </c>
      <c r="BS312" s="9">
        <f t="shared" si="197"/>
        <v>1359.67</v>
      </c>
      <c r="BT312" s="9">
        <f t="shared" si="198"/>
        <v>307.02</v>
      </c>
      <c r="BU312" s="9">
        <f t="shared" si="199"/>
        <v>19123.05</v>
      </c>
      <c r="BV312" s="9">
        <f t="shared" si="200"/>
        <v>701.76</v>
      </c>
      <c r="BW312" s="9">
        <f t="shared" si="201"/>
        <v>10000.129999999999</v>
      </c>
      <c r="BX312" s="9">
        <f t="shared" si="202"/>
        <v>10482.59</v>
      </c>
      <c r="BY312" s="17">
        <f t="shared" si="203"/>
        <v>106053.96</v>
      </c>
      <c r="BZ312" s="17">
        <v>3.98</v>
      </c>
      <c r="CA312" s="17">
        <v>0.12</v>
      </c>
      <c r="CB312" s="17">
        <v>0.75</v>
      </c>
      <c r="CC312" s="27">
        <v>0.13</v>
      </c>
      <c r="CD312" s="29">
        <v>6.33</v>
      </c>
      <c r="CE312" s="9">
        <v>25900.799999999999</v>
      </c>
      <c r="CF312" s="9"/>
      <c r="CG312" s="9">
        <v>0</v>
      </c>
      <c r="CH312" s="9">
        <v>505.08</v>
      </c>
      <c r="CI312" s="9">
        <f t="shared" si="214"/>
        <v>5.91</v>
      </c>
      <c r="CJ312" s="9">
        <f t="shared" si="215"/>
        <v>0</v>
      </c>
      <c r="CK312" s="13">
        <f t="shared" si="216"/>
        <v>0</v>
      </c>
      <c r="CL312" s="13">
        <f t="shared" si="217"/>
        <v>0.12</v>
      </c>
      <c r="CM312" s="13">
        <v>105935.64</v>
      </c>
      <c r="CN312" s="13">
        <v>0</v>
      </c>
      <c r="CO312" s="13">
        <v>0</v>
      </c>
      <c r="CP312" s="13">
        <v>6886.01</v>
      </c>
      <c r="CQ312" s="13">
        <v>3859.78</v>
      </c>
      <c r="CR312" s="13">
        <v>89597.75</v>
      </c>
      <c r="CS312" s="13">
        <v>3155.18</v>
      </c>
      <c r="CT312" s="13">
        <v>594.65</v>
      </c>
      <c r="CU312" s="13">
        <v>4777.43</v>
      </c>
      <c r="CV312" s="13">
        <v>2723.73</v>
      </c>
      <c r="CW312" s="202">
        <v>3819</v>
      </c>
      <c r="CX312" s="200">
        <v>2191</v>
      </c>
      <c r="CY312" s="202"/>
      <c r="CZ312" s="202"/>
      <c r="DA312" s="202"/>
      <c r="DB312" s="202"/>
      <c r="DC312" s="202"/>
      <c r="DD312" s="461"/>
      <c r="DE312" s="256"/>
      <c r="DF312" s="202"/>
      <c r="DG312" s="202"/>
      <c r="DH312" s="202"/>
      <c r="DI312" s="204">
        <v>852</v>
      </c>
      <c r="DJ312" s="202">
        <v>4300</v>
      </c>
      <c r="DK312" s="202"/>
      <c r="DL312" s="202">
        <v>4500</v>
      </c>
      <c r="DM312" s="202">
        <v>28099</v>
      </c>
      <c r="DN312" s="202">
        <v>1258</v>
      </c>
      <c r="DO312" s="202">
        <v>0.74</v>
      </c>
      <c r="DP312" s="202"/>
      <c r="DQ312" s="202"/>
      <c r="DR312" s="202"/>
      <c r="DS312" s="202"/>
      <c r="DT312" s="254"/>
      <c r="DU312" s="254"/>
      <c r="DV312" s="202">
        <v>20224</v>
      </c>
      <c r="DW312" s="202"/>
      <c r="DX312" s="202"/>
      <c r="DY312" s="107"/>
      <c r="DZ312" s="107">
        <v>577</v>
      </c>
      <c r="EA312" s="202"/>
      <c r="EB312" s="202">
        <v>21585</v>
      </c>
      <c r="EC312" s="202"/>
      <c r="ED312" s="202"/>
      <c r="EE312" s="202"/>
      <c r="EF312" s="229"/>
      <c r="EG312" s="202"/>
      <c r="EH312" s="202"/>
      <c r="EI312" s="202"/>
      <c r="EJ312" s="202"/>
      <c r="EK312" s="202">
        <v>0</v>
      </c>
      <c r="EL312" s="202">
        <v>0</v>
      </c>
      <c r="EM312" s="202">
        <v>6891.06</v>
      </c>
      <c r="EN312" s="202">
        <v>3880.87</v>
      </c>
      <c r="EO312" s="202">
        <v>0</v>
      </c>
      <c r="EP312" s="202"/>
      <c r="EQ312" s="202">
        <v>6891.06</v>
      </c>
      <c r="ER312" s="202">
        <v>3880.87</v>
      </c>
      <c r="ES312" s="202"/>
      <c r="ET312" s="202"/>
      <c r="EU312" s="202"/>
      <c r="EV312" s="214">
        <v>149.75</v>
      </c>
      <c r="EW312" s="240">
        <f t="shared" si="204"/>
        <v>9592.93</v>
      </c>
      <c r="EX312" s="209">
        <f t="shared" si="205"/>
        <v>6243.59</v>
      </c>
    </row>
    <row r="313" spans="1:157" ht="12.75" customHeight="1" x14ac:dyDescent="0.2">
      <c r="A313" s="4" t="s">
        <v>789</v>
      </c>
      <c r="B313" s="123" t="s">
        <v>370</v>
      </c>
      <c r="C313" s="36" t="s">
        <v>15</v>
      </c>
      <c r="D313" s="37" t="s">
        <v>688</v>
      </c>
      <c r="E313" s="36"/>
      <c r="F313" s="11">
        <v>9</v>
      </c>
      <c r="G313" s="11">
        <v>6</v>
      </c>
      <c r="H313" s="11">
        <v>216</v>
      </c>
      <c r="I313" s="11">
        <v>217</v>
      </c>
      <c r="J313" s="11">
        <v>508</v>
      </c>
      <c r="K313" s="11">
        <v>590</v>
      </c>
      <c r="L313" s="83">
        <v>6</v>
      </c>
      <c r="M313" s="84">
        <v>1803</v>
      </c>
      <c r="N313" s="84">
        <v>1807</v>
      </c>
      <c r="O313" s="84">
        <v>0</v>
      </c>
      <c r="P313" s="135">
        <v>1803.9</v>
      </c>
      <c r="Q313" s="135">
        <v>1486.5</v>
      </c>
      <c r="R313" s="133">
        <v>0</v>
      </c>
      <c r="S313" s="133">
        <f t="shared" si="206"/>
        <v>3290.4</v>
      </c>
      <c r="T313" s="134">
        <v>1803</v>
      </c>
      <c r="U313" s="130">
        <v>2.44</v>
      </c>
      <c r="V313" s="131">
        <v>1.9800000000000002E-2</v>
      </c>
      <c r="W313" s="131">
        <v>1.9800000000000002E-2</v>
      </c>
      <c r="X313" s="132">
        <v>1.32E-3</v>
      </c>
      <c r="Y313" s="131">
        <v>3.9699999999999999E-2</v>
      </c>
      <c r="Z313" s="29">
        <v>11223.99</v>
      </c>
      <c r="AA313" s="34"/>
      <c r="AB313" s="9">
        <f t="shared" si="220"/>
        <v>11223.99</v>
      </c>
      <c r="AC313" s="9">
        <f>SUM(AB313*6.33)</f>
        <v>71047.86</v>
      </c>
      <c r="AD313" s="9">
        <v>2.21</v>
      </c>
      <c r="AE313" s="9">
        <v>4.47</v>
      </c>
      <c r="AF313" s="21">
        <f>2.51-AJ313</f>
        <v>2.36</v>
      </c>
      <c r="AG313" s="18">
        <f>0.63-AQ313</f>
        <v>0.57999999999999996</v>
      </c>
      <c r="AH313" s="9">
        <v>2.78</v>
      </c>
      <c r="AI313" s="43">
        <v>1735</v>
      </c>
      <c r="AJ313" s="21">
        <f t="shared" si="218"/>
        <v>0.15</v>
      </c>
      <c r="AK313" s="9">
        <v>2.2999999999999998</v>
      </c>
      <c r="AL313" s="9">
        <v>0.2</v>
      </c>
      <c r="AM313" s="9">
        <v>0.05</v>
      </c>
      <c r="AN313" s="13"/>
      <c r="AO313" s="13">
        <v>1267.2</v>
      </c>
      <c r="AP313" s="13">
        <f t="shared" si="208"/>
        <v>5.58</v>
      </c>
      <c r="AQ313" s="18">
        <f t="shared" si="219"/>
        <v>0.05</v>
      </c>
      <c r="AR313" s="9">
        <v>0.59</v>
      </c>
      <c r="AS313" s="9">
        <v>0.37</v>
      </c>
      <c r="AT313" s="9">
        <v>7.0000000000000007E-2</v>
      </c>
      <c r="AU313" s="9">
        <v>3.86</v>
      </c>
      <c r="AV313" s="9">
        <v>0.17</v>
      </c>
      <c r="AW313" s="9">
        <f>1.45+0.34+0.27</f>
        <v>2.06</v>
      </c>
      <c r="AX313" s="9">
        <f>2.04+0.46</f>
        <v>2.5</v>
      </c>
      <c r="AY313" s="126">
        <f t="shared" si="209"/>
        <v>24.77</v>
      </c>
      <c r="AZ313" s="127"/>
      <c r="BA313" s="127"/>
      <c r="BB313" s="127"/>
      <c r="BC313" s="127">
        <v>24.77</v>
      </c>
      <c r="BD313" s="13">
        <f t="shared" si="207"/>
        <v>0</v>
      </c>
      <c r="BE313" s="9">
        <f t="shared" si="185"/>
        <v>278018.23</v>
      </c>
      <c r="BF313" s="9">
        <v>24.77</v>
      </c>
      <c r="BG313" s="10">
        <v>44440</v>
      </c>
      <c r="BH313" s="9">
        <f t="shared" si="186"/>
        <v>24805.02</v>
      </c>
      <c r="BI313" s="9">
        <f t="shared" si="187"/>
        <v>50171.24</v>
      </c>
      <c r="BJ313" s="9">
        <f t="shared" si="188"/>
        <v>26488.62</v>
      </c>
      <c r="BK313" s="9">
        <f t="shared" si="189"/>
        <v>6509.91</v>
      </c>
      <c r="BL313" s="9">
        <f t="shared" si="190"/>
        <v>31202.69</v>
      </c>
      <c r="BM313" s="9">
        <f t="shared" si="191"/>
        <v>1683.6</v>
      </c>
      <c r="BN313" s="9">
        <f t="shared" si="192"/>
        <v>25815.18</v>
      </c>
      <c r="BO313" s="9">
        <f t="shared" si="193"/>
        <v>2244.8000000000002</v>
      </c>
      <c r="BP313" s="9">
        <f t="shared" si="194"/>
        <v>561.20000000000005</v>
      </c>
      <c r="BQ313" s="9">
        <f t="shared" si="195"/>
        <v>561.20000000000005</v>
      </c>
      <c r="BR313" s="9">
        <f t="shared" si="196"/>
        <v>6622.15</v>
      </c>
      <c r="BS313" s="9">
        <f t="shared" si="197"/>
        <v>4152.88</v>
      </c>
      <c r="BT313" s="9">
        <f t="shared" si="198"/>
        <v>785.68</v>
      </c>
      <c r="BU313" s="9">
        <f t="shared" si="199"/>
        <v>43324.6</v>
      </c>
      <c r="BV313" s="9">
        <f t="shared" si="200"/>
        <v>1908.08</v>
      </c>
      <c r="BW313" s="9">
        <f t="shared" si="201"/>
        <v>23121.42</v>
      </c>
      <c r="BX313" s="9">
        <f t="shared" si="202"/>
        <v>28059.98</v>
      </c>
      <c r="BY313" s="17">
        <f t="shared" si="203"/>
        <v>278018.25</v>
      </c>
      <c r="BZ313" s="17">
        <v>3.01</v>
      </c>
      <c r="CA313" s="17">
        <v>0.09</v>
      </c>
      <c r="CB313" s="17">
        <v>0.54</v>
      </c>
      <c r="CC313" s="27">
        <v>0.09</v>
      </c>
      <c r="CD313" s="29">
        <v>6.33</v>
      </c>
      <c r="CE313" s="9"/>
      <c r="CF313" s="9"/>
      <c r="CG313" s="9"/>
      <c r="CH313" s="9"/>
      <c r="CI313" s="9"/>
      <c r="CJ313" s="9"/>
      <c r="CK313" s="13"/>
      <c r="CL313" s="13"/>
      <c r="CM313" s="13">
        <v>278025.78000000003</v>
      </c>
      <c r="CN313" s="13">
        <v>27836.1</v>
      </c>
      <c r="CO313" s="13">
        <v>0</v>
      </c>
      <c r="CP313" s="13">
        <v>0</v>
      </c>
      <c r="CQ313" s="13">
        <v>448.96</v>
      </c>
      <c r="CR313" s="13">
        <v>275428.25</v>
      </c>
      <c r="CS313" s="13">
        <v>29273.439999999999</v>
      </c>
      <c r="CT313" s="13">
        <v>968.46</v>
      </c>
      <c r="CU313" s="13">
        <v>161.52000000000001</v>
      </c>
      <c r="CV313" s="13">
        <v>548.53</v>
      </c>
      <c r="CW313" s="202">
        <v>9781</v>
      </c>
      <c r="CX313" s="200">
        <v>5612</v>
      </c>
      <c r="CY313" s="202"/>
      <c r="CZ313" s="202"/>
      <c r="DA313" s="202"/>
      <c r="DB313" s="202"/>
      <c r="DC313" s="202"/>
      <c r="DD313" s="461"/>
      <c r="DE313" s="256"/>
      <c r="DF313" s="202"/>
      <c r="DG313" s="202"/>
      <c r="DH313" s="202"/>
      <c r="DI313" s="204">
        <v>1735</v>
      </c>
      <c r="DJ313" s="202">
        <v>25800</v>
      </c>
      <c r="DK313" s="202"/>
      <c r="DL313" s="202"/>
      <c r="DM313" s="202">
        <v>76084</v>
      </c>
      <c r="DN313" s="202">
        <v>1258</v>
      </c>
      <c r="DO313" s="202">
        <v>0.74</v>
      </c>
      <c r="DP313" s="202"/>
      <c r="DQ313" s="202"/>
      <c r="DR313" s="202"/>
      <c r="DS313" s="202">
        <v>2000</v>
      </c>
      <c r="DT313" s="254">
        <v>80</v>
      </c>
      <c r="DU313" s="254"/>
      <c r="DV313" s="202">
        <v>52287</v>
      </c>
      <c r="DW313" s="202"/>
      <c r="DX313" s="202"/>
      <c r="DY313" s="107">
        <v>4095</v>
      </c>
      <c r="DZ313" s="107"/>
      <c r="EA313" s="202">
        <v>32716.51</v>
      </c>
      <c r="EB313" s="202">
        <v>26646</v>
      </c>
      <c r="EC313" s="202"/>
      <c r="ED313" s="202"/>
      <c r="EE313" s="202"/>
      <c r="EF313" s="229"/>
      <c r="EG313" s="202"/>
      <c r="EH313" s="202"/>
      <c r="EI313" s="202"/>
      <c r="EJ313" s="202"/>
      <c r="EK313" s="202">
        <v>27868.57</v>
      </c>
      <c r="EL313" s="202">
        <v>0</v>
      </c>
      <c r="EM313" s="202">
        <v>0</v>
      </c>
      <c r="EN313" s="202">
        <v>505.08</v>
      </c>
      <c r="EO313" s="202">
        <v>27868.57</v>
      </c>
      <c r="EP313" s="202"/>
      <c r="EQ313" s="202">
        <v>0</v>
      </c>
      <c r="ER313" s="202">
        <v>505.08</v>
      </c>
      <c r="ES313" s="202"/>
      <c r="ET313" s="202"/>
      <c r="EU313" s="202"/>
      <c r="EV313" s="214">
        <v>-33.729999999999997</v>
      </c>
      <c r="EW313" s="240">
        <f t="shared" si="204"/>
        <v>24548.66</v>
      </c>
      <c r="EX313" s="209">
        <f t="shared" si="205"/>
        <v>15977.57</v>
      </c>
    </row>
    <row r="314" spans="1:157" ht="12.75" customHeight="1" x14ac:dyDescent="0.2">
      <c r="A314" s="4" t="s">
        <v>790</v>
      </c>
      <c r="B314" s="123" t="s">
        <v>370</v>
      </c>
      <c r="C314" s="124" t="s">
        <v>21</v>
      </c>
      <c r="D314" s="125" t="s">
        <v>538</v>
      </c>
      <c r="E314" s="124" t="s">
        <v>12</v>
      </c>
      <c r="F314" s="11">
        <v>9</v>
      </c>
      <c r="G314" s="11">
        <v>2</v>
      </c>
      <c r="H314" s="11">
        <v>100</v>
      </c>
      <c r="I314" s="11">
        <v>100</v>
      </c>
      <c r="J314" s="11">
        <v>179</v>
      </c>
      <c r="K314" s="11">
        <v>208</v>
      </c>
      <c r="L314" s="83">
        <v>2</v>
      </c>
      <c r="M314" s="84">
        <v>646</v>
      </c>
      <c r="N314" s="84">
        <v>827</v>
      </c>
      <c r="O314" s="84">
        <v>827</v>
      </c>
      <c r="P314" s="139">
        <v>659.9</v>
      </c>
      <c r="Q314" s="135">
        <v>771.4</v>
      </c>
      <c r="R314" s="133">
        <v>771.4</v>
      </c>
      <c r="S314" s="133">
        <f t="shared" si="206"/>
        <v>2202.6999999999998</v>
      </c>
      <c r="T314" s="139">
        <v>646</v>
      </c>
      <c r="U314" s="130">
        <v>2.44</v>
      </c>
      <c r="V314" s="131">
        <v>1.9800000000000002E-2</v>
      </c>
      <c r="W314" s="131">
        <v>1.9800000000000002E-2</v>
      </c>
      <c r="X314" s="132">
        <v>1.32E-3</v>
      </c>
      <c r="Y314" s="131">
        <v>3.9699999999999999E-2</v>
      </c>
      <c r="Z314" s="29">
        <v>4374.3999999999996</v>
      </c>
      <c r="AA314" s="34">
        <v>1280.8</v>
      </c>
      <c r="AB314" s="9">
        <f t="shared" si="220"/>
        <v>5655.2</v>
      </c>
      <c r="AC314" s="9">
        <f>SUM(AB314*6.33)</f>
        <v>35797.42</v>
      </c>
      <c r="AD314" s="9">
        <v>1.57</v>
      </c>
      <c r="AE314" s="9">
        <v>5</v>
      </c>
      <c r="AF314" s="21">
        <f>2.49-AJ314</f>
        <v>2.35</v>
      </c>
      <c r="AG314" s="18">
        <f>0.59-AQ314</f>
        <v>0.54</v>
      </c>
      <c r="AH314" s="9">
        <v>2.77</v>
      </c>
      <c r="AI314" s="43">
        <v>794</v>
      </c>
      <c r="AJ314" s="21">
        <f t="shared" si="218"/>
        <v>0.14000000000000001</v>
      </c>
      <c r="AK314" s="9">
        <v>1.52</v>
      </c>
      <c r="AL314" s="9">
        <v>0.41</v>
      </c>
      <c r="AM314" s="9">
        <v>0.1</v>
      </c>
      <c r="AN314" s="13"/>
      <c r="AO314" s="13">
        <v>611.79999999999995</v>
      </c>
      <c r="AP314" s="13">
        <f t="shared" si="208"/>
        <v>5.58</v>
      </c>
      <c r="AQ314" s="18">
        <f t="shared" si="219"/>
        <v>0.05</v>
      </c>
      <c r="AR314" s="9">
        <v>0.55000000000000004</v>
      </c>
      <c r="AS314" s="9">
        <v>0.24</v>
      </c>
      <c r="AT314" s="9">
        <v>7.0000000000000007E-2</v>
      </c>
      <c r="AU314" s="9">
        <v>3.62</v>
      </c>
      <c r="AV314" s="9">
        <v>0.16</v>
      </c>
      <c r="AW314" s="9">
        <f>1.37+0.32+0.32</f>
        <v>2.0099999999999998</v>
      </c>
      <c r="AX314" s="9">
        <f>1.92+0.43</f>
        <v>2.35</v>
      </c>
      <c r="AY314" s="126">
        <f t="shared" si="209"/>
        <v>23.45</v>
      </c>
      <c r="AZ314" s="127">
        <v>4373.2</v>
      </c>
      <c r="BA314" s="127">
        <v>1280.8</v>
      </c>
      <c r="BB314" s="127">
        <f t="shared" si="221"/>
        <v>5654</v>
      </c>
      <c r="BC314" s="127">
        <v>23.45</v>
      </c>
      <c r="BD314" s="13">
        <f t="shared" si="207"/>
        <v>0</v>
      </c>
      <c r="BE314" s="9">
        <f t="shared" si="185"/>
        <v>132614.44</v>
      </c>
      <c r="BF314" s="9">
        <v>23.45</v>
      </c>
      <c r="BG314" s="10">
        <v>44409</v>
      </c>
      <c r="BH314" s="9">
        <f t="shared" si="186"/>
        <v>8878.66</v>
      </c>
      <c r="BI314" s="9">
        <f t="shared" si="187"/>
        <v>28276</v>
      </c>
      <c r="BJ314" s="9">
        <f t="shared" si="188"/>
        <v>13289.72</v>
      </c>
      <c r="BK314" s="9">
        <f t="shared" si="189"/>
        <v>3053.81</v>
      </c>
      <c r="BL314" s="9">
        <f t="shared" si="190"/>
        <v>15664.9</v>
      </c>
      <c r="BM314" s="9">
        <f t="shared" si="191"/>
        <v>791.73</v>
      </c>
      <c r="BN314" s="9">
        <f t="shared" si="192"/>
        <v>8595.9</v>
      </c>
      <c r="BO314" s="9">
        <f t="shared" si="193"/>
        <v>2318.63</v>
      </c>
      <c r="BP314" s="9">
        <f t="shared" si="194"/>
        <v>565.52</v>
      </c>
      <c r="BQ314" s="9">
        <f t="shared" si="195"/>
        <v>282.76</v>
      </c>
      <c r="BR314" s="9">
        <f t="shared" si="196"/>
        <v>3110.36</v>
      </c>
      <c r="BS314" s="9">
        <f t="shared" si="197"/>
        <v>1357.25</v>
      </c>
      <c r="BT314" s="9">
        <f t="shared" si="198"/>
        <v>395.86</v>
      </c>
      <c r="BU314" s="9">
        <f t="shared" si="199"/>
        <v>20471.82</v>
      </c>
      <c r="BV314" s="9">
        <f t="shared" si="200"/>
        <v>904.83</v>
      </c>
      <c r="BW314" s="9">
        <f t="shared" si="201"/>
        <v>11366.95</v>
      </c>
      <c r="BX314" s="9">
        <f t="shared" si="202"/>
        <v>13289.72</v>
      </c>
      <c r="BY314" s="17">
        <f t="shared" si="203"/>
        <v>132614.42000000001</v>
      </c>
      <c r="BZ314" s="17">
        <v>3.65</v>
      </c>
      <c r="CA314" s="17">
        <v>0.06</v>
      </c>
      <c r="CB314" s="17">
        <v>0.38</v>
      </c>
      <c r="CC314" s="27">
        <v>0.06</v>
      </c>
      <c r="CD314" s="29">
        <v>6.33</v>
      </c>
      <c r="CE314" s="9">
        <v>16158.16</v>
      </c>
      <c r="CF314" s="9"/>
      <c r="CG314" s="9">
        <v>0</v>
      </c>
      <c r="CH314" s="9">
        <v>180.96</v>
      </c>
      <c r="CI314" s="9">
        <f>IF(CE314&gt;0,CE314/AB314,0)</f>
        <v>2.86</v>
      </c>
      <c r="CJ314" s="9">
        <f>IF(CF314&gt;0,CF314/AB314,0)</f>
        <v>0</v>
      </c>
      <c r="CK314" s="13">
        <f>IF(CG314&gt;0,CG314/AB314,0)</f>
        <v>0</v>
      </c>
      <c r="CL314" s="13">
        <f>IF(CH314&gt;0,CH314/AB314,0)</f>
        <v>0.03</v>
      </c>
      <c r="CM314" s="13">
        <v>69071.78</v>
      </c>
      <c r="CN314" s="13">
        <v>15966.78</v>
      </c>
      <c r="CO314" s="13">
        <v>0</v>
      </c>
      <c r="CP314" s="13">
        <v>0</v>
      </c>
      <c r="CQ314" s="13">
        <v>131.16</v>
      </c>
      <c r="CR314" s="13">
        <v>74404.17</v>
      </c>
      <c r="CS314" s="13">
        <v>5496.91</v>
      </c>
      <c r="CT314" s="13">
        <v>804.13</v>
      </c>
      <c r="CU314" s="13">
        <v>255.23</v>
      </c>
      <c r="CV314" s="13">
        <v>273.26</v>
      </c>
      <c r="CW314" s="202">
        <v>4927</v>
      </c>
      <c r="CX314" s="200">
        <v>2827</v>
      </c>
      <c r="CY314" s="202"/>
      <c r="CZ314" s="202"/>
      <c r="DA314" s="202"/>
      <c r="DB314" s="202"/>
      <c r="DC314" s="202"/>
      <c r="DD314" s="461"/>
      <c r="DE314" s="256"/>
      <c r="DF314" s="202"/>
      <c r="DG314" s="202"/>
      <c r="DH314" s="202"/>
      <c r="DI314" s="204">
        <v>794</v>
      </c>
      <c r="DJ314" s="202">
        <v>8600</v>
      </c>
      <c r="DK314" s="202"/>
      <c r="DL314" s="202"/>
      <c r="DM314" s="202">
        <v>37750</v>
      </c>
      <c r="DN314" s="202">
        <v>1122</v>
      </c>
      <c r="DO314" s="258">
        <v>0.66</v>
      </c>
      <c r="DP314" s="202"/>
      <c r="DQ314" s="202"/>
      <c r="DR314" s="202"/>
      <c r="DS314" s="202">
        <v>2500</v>
      </c>
      <c r="DT314" s="254">
        <v>100</v>
      </c>
      <c r="DU314" s="254"/>
      <c r="DV314" s="202">
        <v>26161</v>
      </c>
      <c r="DW314" s="202"/>
      <c r="DX314" s="202"/>
      <c r="DY314" s="107"/>
      <c r="DZ314" s="107">
        <v>577</v>
      </c>
      <c r="EA314" s="202"/>
      <c r="EB314" s="202">
        <v>12846</v>
      </c>
      <c r="EC314" s="202"/>
      <c r="ED314" s="202"/>
      <c r="EE314" s="202"/>
      <c r="EF314" s="229"/>
      <c r="EG314" s="202"/>
      <c r="EH314" s="202"/>
      <c r="EI314" s="202"/>
      <c r="EJ314" s="202"/>
      <c r="EK314" s="202">
        <v>0</v>
      </c>
      <c r="EL314" s="202">
        <v>0</v>
      </c>
      <c r="EM314" s="202">
        <v>0</v>
      </c>
      <c r="EN314" s="202">
        <v>180.96</v>
      </c>
      <c r="EO314" s="202">
        <v>0</v>
      </c>
      <c r="EP314" s="202"/>
      <c r="EQ314" s="202">
        <v>0</v>
      </c>
      <c r="ER314" s="202">
        <v>180.96</v>
      </c>
      <c r="ES314" s="202"/>
      <c r="ET314" s="202"/>
      <c r="EU314" s="202"/>
      <c r="EV314" s="214">
        <v>4.29</v>
      </c>
      <c r="EW314" s="240">
        <f t="shared" si="204"/>
        <v>12368.83</v>
      </c>
      <c r="EX314" s="209">
        <f t="shared" si="205"/>
        <v>8050.29</v>
      </c>
    </row>
    <row r="315" spans="1:157" ht="12.75" customHeight="1" x14ac:dyDescent="0.2">
      <c r="A315" s="4" t="s">
        <v>791</v>
      </c>
      <c r="B315" s="123" t="s">
        <v>370</v>
      </c>
      <c r="C315" s="124" t="s">
        <v>21</v>
      </c>
      <c r="D315" s="125" t="s">
        <v>685</v>
      </c>
      <c r="E315" s="124" t="s">
        <v>9</v>
      </c>
      <c r="F315" s="11">
        <v>10</v>
      </c>
      <c r="G315" s="11">
        <v>3</v>
      </c>
      <c r="H315" s="11">
        <v>120</v>
      </c>
      <c r="I315" s="11">
        <v>120</v>
      </c>
      <c r="J315" s="11">
        <v>253</v>
      </c>
      <c r="K315" s="11">
        <v>325</v>
      </c>
      <c r="L315" s="83">
        <v>3</v>
      </c>
      <c r="M315" s="84">
        <v>727</v>
      </c>
      <c r="N315" s="84">
        <v>897</v>
      </c>
      <c r="O315" s="84">
        <v>897</v>
      </c>
      <c r="P315" s="135">
        <v>830.8</v>
      </c>
      <c r="Q315" s="135">
        <v>695.1</v>
      </c>
      <c r="R315" s="135">
        <v>695.1</v>
      </c>
      <c r="S315" s="133">
        <f t="shared" si="206"/>
        <v>2221</v>
      </c>
      <c r="T315" s="134">
        <v>830.8</v>
      </c>
      <c r="U315" s="130">
        <v>2.74</v>
      </c>
      <c r="V315" s="131">
        <v>1.1299999999999999E-2</v>
      </c>
      <c r="W315" s="131">
        <v>1.1299999999999999E-2</v>
      </c>
      <c r="X315" s="132">
        <v>7.5000000000000002E-4</v>
      </c>
      <c r="Y315" s="131">
        <v>2.2499999999999999E-2</v>
      </c>
      <c r="Z315" s="29">
        <v>6495.95</v>
      </c>
      <c r="AA315" s="34"/>
      <c r="AB315" s="9">
        <f t="shared" si="220"/>
        <v>6495.95</v>
      </c>
      <c r="AC315" s="9">
        <f>SUM(AB315*6.33)</f>
        <v>41119.360000000001</v>
      </c>
      <c r="AD315" s="9">
        <v>0.98</v>
      </c>
      <c r="AE315" s="9">
        <v>3.2</v>
      </c>
      <c r="AF315" s="21">
        <f>1.55-AJ315</f>
        <v>1.42</v>
      </c>
      <c r="AG315" s="18">
        <f>0.39-AQ315</f>
        <v>0.34</v>
      </c>
      <c r="AH315" s="9">
        <f>1.57</f>
        <v>1.57</v>
      </c>
      <c r="AI315" s="43">
        <v>861</v>
      </c>
      <c r="AJ315" s="21">
        <f t="shared" si="218"/>
        <v>0.13</v>
      </c>
      <c r="AK315" s="9">
        <v>1.26</v>
      </c>
      <c r="AL315" s="9">
        <v>0.11</v>
      </c>
      <c r="AM315" s="9">
        <v>0.09</v>
      </c>
      <c r="AN315" s="13"/>
      <c r="AO315" s="13">
        <v>736.8</v>
      </c>
      <c r="AP315" s="13">
        <f t="shared" si="208"/>
        <v>5.58</v>
      </c>
      <c r="AQ315" s="18">
        <f t="shared" si="219"/>
        <v>0.05</v>
      </c>
      <c r="AR315" s="9">
        <v>0.35</v>
      </c>
      <c r="AS315" s="9">
        <v>0.13</v>
      </c>
      <c r="AT315" s="9">
        <v>0.04</v>
      </c>
      <c r="AU315" s="9">
        <v>2.96</v>
      </c>
      <c r="AV315" s="9">
        <v>0.1</v>
      </c>
      <c r="AW315" s="9">
        <f>0.87+0.34+0.16</f>
        <v>1.37</v>
      </c>
      <c r="AX315" s="9">
        <f>1.22+0.47</f>
        <v>1.69</v>
      </c>
      <c r="AY315" s="126">
        <f t="shared" si="209"/>
        <v>15.79</v>
      </c>
      <c r="AZ315" s="127"/>
      <c r="BA315" s="127"/>
      <c r="BB315" s="127"/>
      <c r="BC315" s="127">
        <v>15.79</v>
      </c>
      <c r="BD315" s="13">
        <f t="shared" si="207"/>
        <v>0</v>
      </c>
      <c r="BE315" s="9">
        <f t="shared" si="185"/>
        <v>102571.05</v>
      </c>
      <c r="BF315" s="9">
        <v>15.79</v>
      </c>
      <c r="BG315" s="10">
        <v>44440</v>
      </c>
      <c r="BH315" s="9">
        <f t="shared" si="186"/>
        <v>6366.03</v>
      </c>
      <c r="BI315" s="9">
        <f t="shared" si="187"/>
        <v>20787.04</v>
      </c>
      <c r="BJ315" s="9">
        <f t="shared" si="188"/>
        <v>9224.25</v>
      </c>
      <c r="BK315" s="9">
        <f t="shared" si="189"/>
        <v>2208.62</v>
      </c>
      <c r="BL315" s="9">
        <f t="shared" si="190"/>
        <v>10198.64</v>
      </c>
      <c r="BM315" s="9">
        <f t="shared" si="191"/>
        <v>844.47</v>
      </c>
      <c r="BN315" s="9">
        <f t="shared" si="192"/>
        <v>8184.9</v>
      </c>
      <c r="BO315" s="9">
        <f t="shared" si="193"/>
        <v>714.55</v>
      </c>
      <c r="BP315" s="9">
        <f t="shared" si="194"/>
        <v>584.64</v>
      </c>
      <c r="BQ315" s="9">
        <f t="shared" si="195"/>
        <v>324.8</v>
      </c>
      <c r="BR315" s="9">
        <f t="shared" si="196"/>
        <v>2273.58</v>
      </c>
      <c r="BS315" s="9">
        <f t="shared" si="197"/>
        <v>844.47</v>
      </c>
      <c r="BT315" s="9">
        <f t="shared" si="198"/>
        <v>259.83999999999997</v>
      </c>
      <c r="BU315" s="9">
        <f t="shared" si="199"/>
        <v>19228.009999999998</v>
      </c>
      <c r="BV315" s="9">
        <f t="shared" si="200"/>
        <v>649.6</v>
      </c>
      <c r="BW315" s="9">
        <f t="shared" si="201"/>
        <v>8899.4500000000007</v>
      </c>
      <c r="BX315" s="9">
        <f t="shared" si="202"/>
        <v>10978.16</v>
      </c>
      <c r="BY315" s="17">
        <f t="shared" si="203"/>
        <v>102571.05</v>
      </c>
      <c r="BZ315" s="17">
        <v>3.59</v>
      </c>
      <c r="CA315" s="17">
        <v>0.04</v>
      </c>
      <c r="CB315" s="17">
        <v>0.24</v>
      </c>
      <c r="CC315" s="27">
        <v>0.04</v>
      </c>
      <c r="CD315" s="29">
        <v>6.33</v>
      </c>
      <c r="CE315" s="9"/>
      <c r="CF315" s="9"/>
      <c r="CG315" s="9"/>
      <c r="CH315" s="9"/>
      <c r="CI315" s="9"/>
      <c r="CJ315" s="9"/>
      <c r="CK315" s="13"/>
      <c r="CL315" s="13"/>
      <c r="CM315" s="13">
        <v>102571</v>
      </c>
      <c r="CN315" s="13">
        <v>7080.51</v>
      </c>
      <c r="CO315" s="13">
        <v>0</v>
      </c>
      <c r="CP315" s="13">
        <v>0</v>
      </c>
      <c r="CQ315" s="13">
        <v>130.01</v>
      </c>
      <c r="CR315" s="13">
        <v>105492.2</v>
      </c>
      <c r="CS315" s="13">
        <v>9135.5400000000009</v>
      </c>
      <c r="CT315" s="13">
        <v>316.94</v>
      </c>
      <c r="CU315" s="13">
        <v>52.82</v>
      </c>
      <c r="CV315" s="13">
        <v>148.87</v>
      </c>
      <c r="CW315" s="202">
        <v>5660</v>
      </c>
      <c r="CX315" s="200">
        <v>3247</v>
      </c>
      <c r="CY315" s="202"/>
      <c r="CZ315" s="202"/>
      <c r="DA315" s="202"/>
      <c r="DB315" s="202"/>
      <c r="DC315" s="202"/>
      <c r="DD315" s="461"/>
      <c r="DE315" s="256"/>
      <c r="DF315" s="202"/>
      <c r="DG315" s="202"/>
      <c r="DH315" s="202"/>
      <c r="DI315" s="204">
        <v>861</v>
      </c>
      <c r="DJ315" s="202">
        <v>12900</v>
      </c>
      <c r="DK315" s="202"/>
      <c r="DL315" s="202"/>
      <c r="DM315" s="202">
        <v>20880</v>
      </c>
      <c r="DN315" s="202">
        <v>1122</v>
      </c>
      <c r="DO315" s="202">
        <v>0.66</v>
      </c>
      <c r="DP315" s="202"/>
      <c r="DQ315" s="202"/>
      <c r="DR315" s="202"/>
      <c r="DS315" s="202"/>
      <c r="DT315" s="254"/>
      <c r="DU315" s="254"/>
      <c r="DV315" s="202">
        <v>15752</v>
      </c>
      <c r="DW315" s="202"/>
      <c r="DX315" s="202"/>
      <c r="DY315" s="107">
        <v>1365</v>
      </c>
      <c r="DZ315" s="107">
        <v>942</v>
      </c>
      <c r="EA315" s="202"/>
      <c r="EB315" s="202">
        <v>13959</v>
      </c>
      <c r="EC315" s="202"/>
      <c r="ED315" s="202"/>
      <c r="EE315" s="202"/>
      <c r="EF315" s="229"/>
      <c r="EG315" s="202">
        <v>0</v>
      </c>
      <c r="EH315" s="202">
        <v>0</v>
      </c>
      <c r="EI315" s="202">
        <v>0</v>
      </c>
      <c r="EJ315" s="202">
        <v>0</v>
      </c>
      <c r="EK315" s="202">
        <v>7077.84</v>
      </c>
      <c r="EL315" s="202">
        <v>0</v>
      </c>
      <c r="EM315" s="202">
        <v>0</v>
      </c>
      <c r="EN315" s="202">
        <v>132.82</v>
      </c>
      <c r="EO315" s="202">
        <v>7077.84</v>
      </c>
      <c r="EP315" s="202"/>
      <c r="EQ315" s="202">
        <v>0</v>
      </c>
      <c r="ER315" s="202">
        <v>132.82</v>
      </c>
      <c r="ES315" s="202"/>
      <c r="ET315" s="202"/>
      <c r="EU315" s="202"/>
      <c r="EV315" s="214">
        <v>-7.16</v>
      </c>
      <c r="EW315" s="240">
        <f t="shared" si="204"/>
        <v>14207.68</v>
      </c>
      <c r="EX315" s="209">
        <f t="shared" si="205"/>
        <v>9247.11</v>
      </c>
    </row>
    <row r="316" spans="1:157" ht="12.75" customHeight="1" x14ac:dyDescent="0.2">
      <c r="A316" s="4" t="s">
        <v>792</v>
      </c>
      <c r="B316" s="123" t="s">
        <v>370</v>
      </c>
      <c r="C316" s="124" t="s">
        <v>62</v>
      </c>
      <c r="D316" s="125" t="s">
        <v>686</v>
      </c>
      <c r="E316" s="124" t="s">
        <v>19</v>
      </c>
      <c r="F316" s="11">
        <v>9</v>
      </c>
      <c r="G316" s="11">
        <v>4</v>
      </c>
      <c r="H316" s="11">
        <v>144</v>
      </c>
      <c r="I316" s="11">
        <v>147</v>
      </c>
      <c r="J316" s="11">
        <v>344</v>
      </c>
      <c r="K316" s="11">
        <v>385</v>
      </c>
      <c r="L316" s="11">
        <v>4</v>
      </c>
      <c r="M316" s="84">
        <v>1391</v>
      </c>
      <c r="N316" s="84">
        <v>1230</v>
      </c>
      <c r="O316" s="84">
        <v>0</v>
      </c>
      <c r="S316" s="133">
        <f t="shared" si="206"/>
        <v>0</v>
      </c>
      <c r="T316" s="89">
        <v>1391</v>
      </c>
      <c r="U316" s="130">
        <v>2.44</v>
      </c>
      <c r="V316" s="131">
        <v>1.9800000000000002E-2</v>
      </c>
      <c r="W316" s="131">
        <v>1.9800000000000002E-2</v>
      </c>
      <c r="X316" s="132">
        <v>1.32E-3</v>
      </c>
      <c r="Y316" s="131">
        <v>3.9699999999999999E-2</v>
      </c>
      <c r="Z316" s="29">
        <v>7421.47</v>
      </c>
      <c r="AA316" s="34"/>
      <c r="AB316" s="9">
        <f t="shared" si="220"/>
        <v>7421.47</v>
      </c>
      <c r="AC316" s="9">
        <f>SUM(AB316*6.33)</f>
        <v>46977.91</v>
      </c>
      <c r="AD316" s="9">
        <v>1.9</v>
      </c>
      <c r="AE316" s="9">
        <v>4.17</v>
      </c>
      <c r="AF316" s="21">
        <f>2.48-AJ316</f>
        <v>2.3199999999999998</v>
      </c>
      <c r="AG316" s="18">
        <f>0.65-AQ316</f>
        <v>0.6</v>
      </c>
      <c r="AH316" s="9">
        <v>2.78</v>
      </c>
      <c r="AI316" s="43">
        <v>1181</v>
      </c>
      <c r="AJ316" s="21">
        <f t="shared" si="218"/>
        <v>0.16</v>
      </c>
      <c r="AK316" s="9">
        <v>2.33</v>
      </c>
      <c r="AL316" s="9">
        <v>0.2</v>
      </c>
      <c r="AM316" s="9">
        <v>0.08</v>
      </c>
      <c r="AN316" s="13"/>
      <c r="AO316" s="13">
        <v>844.8</v>
      </c>
      <c r="AP316" s="13">
        <f t="shared" si="208"/>
        <v>5.58</v>
      </c>
      <c r="AQ316" s="18">
        <f t="shared" si="219"/>
        <v>0.05</v>
      </c>
      <c r="AR316" s="9">
        <v>0.61</v>
      </c>
      <c r="AS316" s="9">
        <v>0.18</v>
      </c>
      <c r="AT316" s="9">
        <v>7.0000000000000007E-2</v>
      </c>
      <c r="AU316" s="9">
        <v>4.57</v>
      </c>
      <c r="AV316" s="9">
        <v>0.16</v>
      </c>
      <c r="AW316" s="9">
        <f>1.39+0.4+0.27</f>
        <v>2.06</v>
      </c>
      <c r="AX316" s="9">
        <f>1.95+0.54</f>
        <v>2.4900000000000002</v>
      </c>
      <c r="AY316" s="126">
        <f t="shared" si="209"/>
        <v>24.73</v>
      </c>
      <c r="AZ316" s="127">
        <v>7381.9</v>
      </c>
      <c r="BA316" s="127">
        <v>0</v>
      </c>
      <c r="BB316" s="127">
        <f t="shared" si="221"/>
        <v>7381.9</v>
      </c>
      <c r="BC316" s="127">
        <v>24.73</v>
      </c>
      <c r="BD316" s="13">
        <f t="shared" si="207"/>
        <v>0</v>
      </c>
      <c r="BE316" s="9">
        <f t="shared" si="185"/>
        <v>183532.95</v>
      </c>
      <c r="BF316" s="9">
        <v>24.73</v>
      </c>
      <c r="BG316" s="10">
        <v>44409</v>
      </c>
      <c r="BH316" s="9">
        <f t="shared" si="186"/>
        <v>14100.79</v>
      </c>
      <c r="BI316" s="9">
        <f t="shared" si="187"/>
        <v>30947.53</v>
      </c>
      <c r="BJ316" s="9">
        <f t="shared" si="188"/>
        <v>17217.810000000001</v>
      </c>
      <c r="BK316" s="9">
        <f t="shared" si="189"/>
        <v>4452.88</v>
      </c>
      <c r="BL316" s="9">
        <f t="shared" si="190"/>
        <v>20631.689999999999</v>
      </c>
      <c r="BM316" s="9">
        <f t="shared" si="191"/>
        <v>1187.44</v>
      </c>
      <c r="BN316" s="9">
        <f t="shared" si="192"/>
        <v>17292.03</v>
      </c>
      <c r="BO316" s="9">
        <f t="shared" si="193"/>
        <v>1484.29</v>
      </c>
      <c r="BP316" s="9">
        <f t="shared" si="194"/>
        <v>593.72</v>
      </c>
      <c r="BQ316" s="9">
        <f t="shared" si="195"/>
        <v>371.07</v>
      </c>
      <c r="BR316" s="9">
        <f t="shared" si="196"/>
        <v>4527.1000000000004</v>
      </c>
      <c r="BS316" s="9">
        <f t="shared" si="197"/>
        <v>1335.86</v>
      </c>
      <c r="BT316" s="9">
        <f t="shared" si="198"/>
        <v>519.5</v>
      </c>
      <c r="BU316" s="9">
        <f t="shared" si="199"/>
        <v>33916.120000000003</v>
      </c>
      <c r="BV316" s="9">
        <f t="shared" si="200"/>
        <v>1187.44</v>
      </c>
      <c r="BW316" s="9">
        <f t="shared" si="201"/>
        <v>15288.23</v>
      </c>
      <c r="BX316" s="9">
        <f t="shared" si="202"/>
        <v>18479.46</v>
      </c>
      <c r="BY316" s="17">
        <f t="shared" si="203"/>
        <v>183532.96</v>
      </c>
      <c r="BZ316" s="17">
        <v>3.3</v>
      </c>
      <c r="CA316" s="17">
        <v>0.1</v>
      </c>
      <c r="CB316" s="17">
        <v>0.63</v>
      </c>
      <c r="CC316" s="27">
        <v>0.11</v>
      </c>
      <c r="CD316" s="29">
        <v>6.33</v>
      </c>
      <c r="CE316" s="9">
        <v>28704.43</v>
      </c>
      <c r="CF316" s="9"/>
      <c r="CG316" s="9">
        <v>14971.3</v>
      </c>
      <c r="CH316" s="9">
        <v>8213.51</v>
      </c>
      <c r="CI316" s="9">
        <f>IF(CE316&gt;0,CE316/AB316,0)</f>
        <v>3.87</v>
      </c>
      <c r="CJ316" s="9">
        <f>IF(CF316&gt;0,CF316/AB316,0)</f>
        <v>0</v>
      </c>
      <c r="CK316" s="13">
        <f>IF(CG316&gt;0,CG316/AB316,0)</f>
        <v>2.02</v>
      </c>
      <c r="CL316" s="13">
        <f>IF(CH316&gt;0,CH316/AB316,0)</f>
        <v>1.1100000000000001</v>
      </c>
      <c r="CM316" s="13">
        <v>183533.02</v>
      </c>
      <c r="CN316" s="13">
        <v>37404.19</v>
      </c>
      <c r="CO316" s="13">
        <v>0</v>
      </c>
      <c r="CP316" s="13">
        <v>0</v>
      </c>
      <c r="CQ316" s="13">
        <v>370.72</v>
      </c>
      <c r="CR316" s="13">
        <v>188311.83</v>
      </c>
      <c r="CS316" s="13">
        <v>41643.69</v>
      </c>
      <c r="CT316" s="13">
        <v>798.27</v>
      </c>
      <c r="CU316" s="13">
        <v>2681.66</v>
      </c>
      <c r="CV316" s="13">
        <v>1771.24</v>
      </c>
      <c r="CW316" s="202">
        <v>6464</v>
      </c>
      <c r="CX316" s="200">
        <v>3709</v>
      </c>
      <c r="CY316" s="202"/>
      <c r="CZ316" s="202"/>
      <c r="DA316" s="202"/>
      <c r="DB316" s="202"/>
      <c r="DC316" s="202"/>
      <c r="DD316" s="461"/>
      <c r="DE316" s="256"/>
      <c r="DF316" s="202"/>
      <c r="DG316" s="202"/>
      <c r="DH316" s="202"/>
      <c r="DI316" s="204">
        <v>1181</v>
      </c>
      <c r="DJ316" s="202">
        <v>17200</v>
      </c>
      <c r="DK316" s="202"/>
      <c r="DL316" s="202"/>
      <c r="DM316" s="202">
        <v>45579</v>
      </c>
      <c r="DN316" s="202">
        <v>3400</v>
      </c>
      <c r="DO316" s="202">
        <v>2</v>
      </c>
      <c r="DP316" s="202"/>
      <c r="DQ316" s="202"/>
      <c r="DR316" s="202"/>
      <c r="DS316" s="202"/>
      <c r="DT316" s="254"/>
      <c r="DU316" s="254"/>
      <c r="DV316" s="202">
        <v>34391</v>
      </c>
      <c r="DW316" s="202"/>
      <c r="DX316" s="202"/>
      <c r="DY316" s="107">
        <v>1365</v>
      </c>
      <c r="DZ316" s="107">
        <v>577</v>
      </c>
      <c r="EA316" s="202"/>
      <c r="EB316" s="202">
        <v>17976</v>
      </c>
      <c r="EC316" s="202"/>
      <c r="ED316" s="202"/>
      <c r="EE316" s="202"/>
      <c r="EF316" s="229"/>
      <c r="EG316" s="202"/>
      <c r="EH316" s="202"/>
      <c r="EI316" s="202"/>
      <c r="EJ316" s="202"/>
      <c r="EK316" s="202">
        <v>37432.35</v>
      </c>
      <c r="EL316" s="202">
        <v>0</v>
      </c>
      <c r="EM316" s="202">
        <v>0</v>
      </c>
      <c r="EN316" s="202">
        <v>389.61</v>
      </c>
      <c r="EO316" s="202">
        <v>37432.35</v>
      </c>
      <c r="EP316" s="202"/>
      <c r="EQ316" s="202">
        <v>0</v>
      </c>
      <c r="ER316" s="202">
        <v>389.61</v>
      </c>
      <c r="ES316" s="202"/>
      <c r="ET316" s="202"/>
      <c r="EU316" s="202"/>
      <c r="EV316" s="214">
        <v>-25.61</v>
      </c>
      <c r="EW316" s="240">
        <f>SUM(AB316*2.18716)+2.95</f>
        <v>16234.89</v>
      </c>
      <c r="EX316" s="209">
        <f>SUM(AB316*1.42352)+5.01</f>
        <v>10569.62</v>
      </c>
    </row>
    <row r="317" spans="1:157" s="95" customFormat="1" ht="12.75" customHeight="1" x14ac:dyDescent="0.2">
      <c r="A317" s="45"/>
      <c r="B317" s="191" t="s">
        <v>5</v>
      </c>
      <c r="C317" s="45"/>
      <c r="D317" s="192"/>
      <c r="E317" s="45"/>
      <c r="F317" s="45"/>
      <c r="G317" s="45"/>
      <c r="H317" s="45"/>
      <c r="I317" s="45"/>
      <c r="J317" s="42"/>
      <c r="K317" s="42">
        <f>SUM(K7:K316)</f>
        <v>85996</v>
      </c>
      <c r="L317" s="45"/>
      <c r="M317" s="84"/>
      <c r="N317" s="84"/>
      <c r="O317" s="84"/>
      <c r="P317" s="42">
        <f>SUM(P7:P316)</f>
        <v>212650.2</v>
      </c>
      <c r="Q317" s="42">
        <f>SUM(Q7:Q316)</f>
        <v>245851.17</v>
      </c>
      <c r="R317" s="42">
        <f>SUM(R7:R316)</f>
        <v>73057.95</v>
      </c>
      <c r="S317" s="42">
        <f>SUM(S7:S316)</f>
        <v>531559.31999999995</v>
      </c>
      <c r="T317" s="42">
        <f>SUM(T7:T316)</f>
        <v>218316.5</v>
      </c>
      <c r="U317" s="90"/>
      <c r="V317" s="91"/>
      <c r="W317" s="91"/>
      <c r="X317" s="193"/>
      <c r="Y317" s="193"/>
      <c r="Z317" s="42">
        <f>SUM(Z7:Z316)</f>
        <v>1701077.41</v>
      </c>
      <c r="AA317" s="42">
        <f>SUM(AA7:AA316)</f>
        <v>49607</v>
      </c>
      <c r="AB317" s="42">
        <f>SUM(AB7:AB316)</f>
        <v>1750684.41</v>
      </c>
      <c r="AC317" s="42">
        <f>SUM(AC7:AC316)</f>
        <v>10914768.48</v>
      </c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>
        <f>SUM(AZ7:AZ316)</f>
        <v>1250297.54</v>
      </c>
      <c r="BA317" s="42">
        <f>SUM(BA7:BA316)</f>
        <v>44034.7</v>
      </c>
      <c r="BB317" s="42">
        <f>SUM(BB7:BB316)</f>
        <v>1294357.8</v>
      </c>
      <c r="BC317" s="42"/>
      <c r="BD317" s="42">
        <f>SUM(BD7:BD316)</f>
        <v>0</v>
      </c>
      <c r="BE317" s="194">
        <f>SUM(BE7:BE316)</f>
        <v>40192852.770000003</v>
      </c>
      <c r="BF317" s="42">
        <f>SUM(BF7:BF316)</f>
        <v>51291.59</v>
      </c>
      <c r="BG317" s="195"/>
      <c r="BH317" s="179">
        <f t="shared" ref="BH317:BY317" si="222">SUM(BH7:BH316)</f>
        <v>2916452.4</v>
      </c>
      <c r="BI317" s="179">
        <f t="shared" si="222"/>
        <v>7568316.1699999999</v>
      </c>
      <c r="BJ317" s="181">
        <f t="shared" si="222"/>
        <v>3955293.11</v>
      </c>
      <c r="BK317" s="181">
        <f t="shared" si="222"/>
        <v>919782.92</v>
      </c>
      <c r="BL317" s="181">
        <f t="shared" si="222"/>
        <v>4690206.71</v>
      </c>
      <c r="BM317" s="23">
        <f t="shared" si="222"/>
        <v>312968.12</v>
      </c>
      <c r="BN317" s="182">
        <f t="shared" si="222"/>
        <v>2576299.11</v>
      </c>
      <c r="BO317" s="182">
        <f t="shared" si="222"/>
        <v>343501.74</v>
      </c>
      <c r="BP317" s="185">
        <f t="shared" si="222"/>
        <v>197361.42</v>
      </c>
      <c r="BQ317" s="25">
        <f t="shared" si="222"/>
        <v>114375.5</v>
      </c>
      <c r="BR317" s="187">
        <f t="shared" si="222"/>
        <v>1094278.03</v>
      </c>
      <c r="BS317" s="185">
        <f t="shared" si="222"/>
        <v>484034.54</v>
      </c>
      <c r="BT317" s="179">
        <f t="shared" si="222"/>
        <v>120890.51</v>
      </c>
      <c r="BU317" s="188">
        <f t="shared" si="222"/>
        <v>7195036.5999999996</v>
      </c>
      <c r="BV317" s="186">
        <f t="shared" si="222"/>
        <v>262957.09000000003</v>
      </c>
      <c r="BW317" s="190">
        <f t="shared" si="222"/>
        <v>3407127.58</v>
      </c>
      <c r="BX317" s="186">
        <f t="shared" si="222"/>
        <v>4033972.24</v>
      </c>
      <c r="BY317" s="42">
        <f t="shared" si="222"/>
        <v>40192853.789999999</v>
      </c>
      <c r="BZ317" s="195">
        <f t="shared" ref="BZ317:CH317" si="223">SUM(BZ7:BZ316)</f>
        <v>844.86</v>
      </c>
      <c r="CA317" s="195">
        <f t="shared" si="223"/>
        <v>17.53</v>
      </c>
      <c r="CB317" s="195">
        <f t="shared" si="223"/>
        <v>99.87</v>
      </c>
      <c r="CC317" s="195">
        <f t="shared" si="223"/>
        <v>17.559999999999999</v>
      </c>
      <c r="CD317" s="195">
        <f t="shared" si="223"/>
        <v>1911.66</v>
      </c>
      <c r="CE317" s="195">
        <f t="shared" si="223"/>
        <v>3182155.91</v>
      </c>
      <c r="CF317" s="195">
        <f t="shared" si="223"/>
        <v>57008.21</v>
      </c>
      <c r="CG317" s="195">
        <f t="shared" si="223"/>
        <v>823848.34</v>
      </c>
      <c r="CH317" s="195">
        <f t="shared" si="223"/>
        <v>462510.87</v>
      </c>
      <c r="CI317" s="107"/>
      <c r="CJ317" s="107"/>
      <c r="CK317" s="107"/>
      <c r="CL317" s="107"/>
      <c r="CM317" s="243">
        <f t="shared" ref="CM317:CV317" si="224">SUM(CM7:CM316)</f>
        <v>39086626.170000002</v>
      </c>
      <c r="CN317" s="243">
        <f t="shared" si="224"/>
        <v>2968080.53</v>
      </c>
      <c r="CO317" s="243">
        <f t="shared" si="224"/>
        <v>688624.56</v>
      </c>
      <c r="CP317" s="243">
        <f t="shared" si="224"/>
        <v>590782.6</v>
      </c>
      <c r="CQ317" s="243">
        <f t="shared" si="224"/>
        <v>351814.99</v>
      </c>
      <c r="CR317" s="243">
        <f t="shared" si="224"/>
        <v>39793190.700000003</v>
      </c>
      <c r="CS317" s="243">
        <f t="shared" si="224"/>
        <v>3918747.34</v>
      </c>
      <c r="CT317" s="243">
        <f t="shared" si="224"/>
        <v>620271.56999999995</v>
      </c>
      <c r="CU317" s="243">
        <f t="shared" si="224"/>
        <v>495243.57</v>
      </c>
      <c r="CV317" s="243">
        <f t="shared" si="224"/>
        <v>302969.01</v>
      </c>
      <c r="CW317" s="42">
        <f t="shared" ref="CW317:EB317" si="225">SUM(CW7:CW316)</f>
        <v>1524937</v>
      </c>
      <c r="CX317" s="42">
        <f t="shared" si="225"/>
        <v>874846</v>
      </c>
      <c r="CY317" s="42">
        <f t="shared" si="225"/>
        <v>3135170</v>
      </c>
      <c r="CZ317" s="42">
        <f t="shared" si="225"/>
        <v>266900</v>
      </c>
      <c r="DA317" s="259">
        <f t="shared" si="225"/>
        <v>157</v>
      </c>
      <c r="DB317" s="42">
        <f t="shared" si="225"/>
        <v>242401.3</v>
      </c>
      <c r="DC317" s="42">
        <f t="shared" si="225"/>
        <v>0</v>
      </c>
      <c r="DD317" s="42">
        <f t="shared" si="225"/>
        <v>6328</v>
      </c>
      <c r="DE317" s="42">
        <f t="shared" si="225"/>
        <v>10249.030000000001</v>
      </c>
      <c r="DF317" s="42">
        <f t="shared" si="225"/>
        <v>137678</v>
      </c>
      <c r="DG317" s="42">
        <f t="shared" si="225"/>
        <v>0</v>
      </c>
      <c r="DH317" s="42">
        <f t="shared" si="225"/>
        <v>0</v>
      </c>
      <c r="DI317" s="42">
        <f t="shared" si="225"/>
        <v>175545</v>
      </c>
      <c r="DJ317" s="42">
        <f t="shared" si="225"/>
        <v>1378358.06</v>
      </c>
      <c r="DK317" s="42">
        <f t="shared" si="225"/>
        <v>1224112.8999999999</v>
      </c>
      <c r="DL317" s="42">
        <f t="shared" si="225"/>
        <v>352500</v>
      </c>
      <c r="DM317" s="42">
        <f t="shared" si="225"/>
        <v>3590646</v>
      </c>
      <c r="DN317" s="42">
        <f t="shared" si="225"/>
        <v>297500</v>
      </c>
      <c r="DO317" s="42">
        <f t="shared" si="225"/>
        <v>175</v>
      </c>
      <c r="DP317" s="42">
        <f t="shared" si="225"/>
        <v>3473184</v>
      </c>
      <c r="DQ317" s="42">
        <f t="shared" si="225"/>
        <v>401200</v>
      </c>
      <c r="DR317" s="42">
        <f t="shared" si="225"/>
        <v>236</v>
      </c>
      <c r="DS317" s="42">
        <f>SUM(DS7:DS316)</f>
        <v>972525</v>
      </c>
      <c r="DT317" s="42">
        <f t="shared" si="225"/>
        <v>31835</v>
      </c>
      <c r="DU317" s="42">
        <f t="shared" si="225"/>
        <v>17665</v>
      </c>
      <c r="DV317" s="42">
        <f t="shared" si="225"/>
        <v>4033232</v>
      </c>
      <c r="DW317" s="42">
        <f t="shared" si="225"/>
        <v>3471693</v>
      </c>
      <c r="DX317" s="42">
        <f t="shared" si="225"/>
        <v>1065247.24</v>
      </c>
      <c r="DY317" s="42">
        <f t="shared" si="225"/>
        <v>432705</v>
      </c>
      <c r="DZ317" s="42">
        <f t="shared" si="225"/>
        <v>131766</v>
      </c>
      <c r="EA317" s="42">
        <f t="shared" si="225"/>
        <v>2374396.27</v>
      </c>
      <c r="EB317" s="42">
        <f t="shared" si="225"/>
        <v>598328</v>
      </c>
      <c r="EC317" s="107"/>
      <c r="ED317" s="107"/>
      <c r="EE317" s="107"/>
      <c r="EF317" s="230"/>
      <c r="EG317" s="107">
        <v>0</v>
      </c>
      <c r="EH317" s="107">
        <v>0</v>
      </c>
      <c r="EI317" s="107">
        <v>0</v>
      </c>
      <c r="EJ317" s="107">
        <v>0</v>
      </c>
      <c r="EK317" s="237">
        <f>SUM(EK7:EK316)</f>
        <v>2827432.28</v>
      </c>
      <c r="EL317" s="237">
        <f t="shared" ref="EL317:EU317" si="226">SUM(EL7:EL316)</f>
        <v>945850.8</v>
      </c>
      <c r="EM317" s="237">
        <f t="shared" si="226"/>
        <v>604655.86</v>
      </c>
      <c r="EN317" s="237">
        <f t="shared" si="226"/>
        <v>363180.09</v>
      </c>
      <c r="EO317" s="237">
        <f t="shared" si="226"/>
        <v>2827432.28</v>
      </c>
      <c r="EP317" s="237">
        <f t="shared" si="226"/>
        <v>0</v>
      </c>
      <c r="EQ317" s="237">
        <f t="shared" si="226"/>
        <v>604655.86</v>
      </c>
      <c r="ER317" s="237">
        <f t="shared" si="226"/>
        <v>363180.09</v>
      </c>
      <c r="ES317" s="237">
        <f t="shared" si="226"/>
        <v>8108.77</v>
      </c>
      <c r="ET317" s="237">
        <f t="shared" si="226"/>
        <v>4645.29</v>
      </c>
      <c r="EU317" s="237">
        <f t="shared" si="226"/>
        <v>-27231.07</v>
      </c>
      <c r="EV317" s="195">
        <f>SUM(EV7:EV316)</f>
        <v>575727.15</v>
      </c>
      <c r="EW317" s="195">
        <f>SUM(EW7:EW316)</f>
        <v>3829029.9</v>
      </c>
      <c r="EX317" s="195">
        <f>SUM(EX7:EX316)</f>
        <v>2492139.2599999998</v>
      </c>
    </row>
    <row r="318" spans="1:157" s="6" customFormat="1" ht="12.75" customHeight="1" x14ac:dyDescent="0.2">
      <c r="A318" s="216"/>
      <c r="B318" s="217"/>
      <c r="C318" s="216"/>
      <c r="D318" s="218"/>
      <c r="E318" s="216"/>
      <c r="F318" s="216"/>
      <c r="G318" s="216"/>
      <c r="H318" s="216"/>
      <c r="I318" s="216"/>
      <c r="J318" s="216"/>
      <c r="K318" s="219">
        <f>SUM(K317-J317)</f>
        <v>85996</v>
      </c>
      <c r="L318" s="216"/>
      <c r="M318" s="220"/>
      <c r="N318" s="220"/>
      <c r="O318" s="220"/>
      <c r="P318" s="221"/>
      <c r="Q318" s="221"/>
      <c r="R318" s="221"/>
      <c r="S318" s="221"/>
      <c r="T318" s="222"/>
      <c r="U318" s="223"/>
      <c r="V318" s="223"/>
      <c r="W318" s="223"/>
      <c r="X318" s="223"/>
      <c r="Y318" s="223"/>
      <c r="Z318" s="224">
        <v>1674440.37</v>
      </c>
      <c r="AA318" s="224"/>
      <c r="AB318" s="224"/>
      <c r="AC318" s="224"/>
      <c r="AD318" s="224"/>
      <c r="AE318" s="224"/>
      <c r="AF318" s="225"/>
      <c r="AG318" s="226"/>
      <c r="AH318" s="224"/>
      <c r="AI318" s="227">
        <v>175545</v>
      </c>
      <c r="AJ318" s="225"/>
      <c r="AK318" s="224"/>
      <c r="AL318" s="224"/>
      <c r="AM318" s="224"/>
      <c r="AN318" s="227"/>
      <c r="AO318" s="227">
        <v>236688.3</v>
      </c>
      <c r="AP318" s="227"/>
      <c r="AQ318" s="226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5"/>
      <c r="BK318" s="226"/>
      <c r="BL318" s="224"/>
      <c r="BM318" s="225"/>
      <c r="BN318" s="224"/>
      <c r="BO318" s="224"/>
      <c r="BP318" s="224"/>
      <c r="BQ318" s="226"/>
      <c r="BR318" s="224"/>
      <c r="BS318" s="224"/>
      <c r="BT318" s="224"/>
      <c r="BU318" s="224"/>
      <c r="BV318" s="224"/>
      <c r="BW318" s="224"/>
      <c r="BX318" s="224"/>
      <c r="BY318" s="224">
        <f>SUM(BH317:BX317)</f>
        <v>40192853.789999999</v>
      </c>
      <c r="BZ318" s="224"/>
      <c r="CA318" s="224"/>
      <c r="CB318" s="224"/>
      <c r="CC318" s="227"/>
      <c r="CD318" s="227"/>
      <c r="CE318" s="224"/>
      <c r="CF318" s="224"/>
      <c r="CG318" s="224"/>
      <c r="CH318" s="224"/>
      <c r="CK318" s="105"/>
      <c r="CL318" s="105"/>
      <c r="CM318" s="105"/>
      <c r="CN318" s="105"/>
      <c r="CO318" s="105"/>
      <c r="CP318" s="105"/>
      <c r="CQ318" s="244">
        <f>SUM(CM317:CQ317)</f>
        <v>43685928.850000001</v>
      </c>
      <c r="CR318" s="244"/>
      <c r="CS318" s="244"/>
      <c r="CT318" s="244"/>
      <c r="CU318" s="244"/>
      <c r="CV318" s="244">
        <f>SUM(CR317:CV317)</f>
        <v>45130422.189999998</v>
      </c>
      <c r="CW318" s="261">
        <v>1524937</v>
      </c>
      <c r="CX318" s="262">
        <v>874846</v>
      </c>
      <c r="CY318" s="252">
        <v>3135170</v>
      </c>
      <c r="CZ318" s="252">
        <v>266900</v>
      </c>
      <c r="DA318" s="252">
        <v>157</v>
      </c>
      <c r="DB318" s="260">
        <v>242401.3</v>
      </c>
      <c r="DC318" s="248"/>
      <c r="DD318" s="251">
        <v>6328</v>
      </c>
      <c r="DE318" s="251"/>
      <c r="DF318" s="251">
        <v>137678</v>
      </c>
      <c r="DG318" s="248"/>
      <c r="DH318" s="248"/>
      <c r="DI318" s="261">
        <v>175545</v>
      </c>
      <c r="DJ318" s="252">
        <v>1378358.06</v>
      </c>
      <c r="DK318" s="250">
        <v>1224112.8999999999</v>
      </c>
      <c r="DL318" s="263">
        <v>352500</v>
      </c>
      <c r="DM318" s="250">
        <v>3590646</v>
      </c>
      <c r="DN318" s="250">
        <v>297500</v>
      </c>
      <c r="DO318" s="248"/>
      <c r="DP318" s="250">
        <f>2596+3470588</f>
        <v>3473184</v>
      </c>
      <c r="DQ318" s="250">
        <v>401200</v>
      </c>
      <c r="DR318" s="250">
        <v>236</v>
      </c>
      <c r="DS318" s="263">
        <v>972525</v>
      </c>
      <c r="DT318" s="250">
        <v>31835</v>
      </c>
      <c r="DU318" s="250">
        <v>17665</v>
      </c>
      <c r="DV318" s="263">
        <v>4033232</v>
      </c>
      <c r="DW318" s="263">
        <v>3471693</v>
      </c>
      <c r="DX318" s="263">
        <v>1065247.24</v>
      </c>
      <c r="DY318" s="250">
        <v>432705</v>
      </c>
      <c r="DZ318" s="250">
        <v>131766</v>
      </c>
      <c r="EA318" s="252">
        <v>2374396.27</v>
      </c>
      <c r="EB318" s="105"/>
      <c r="EC318" s="105"/>
      <c r="ED318" s="105"/>
      <c r="EE318" s="105"/>
      <c r="EF318" s="105"/>
      <c r="EG318" s="95"/>
      <c r="EH318" s="95"/>
      <c r="EI318" s="95"/>
      <c r="EJ318" s="95"/>
      <c r="EK318" s="28"/>
      <c r="EL318" s="28"/>
      <c r="EM318" s="28">
        <v>791203.8</v>
      </c>
      <c r="EN318" s="28">
        <v>458996.06</v>
      </c>
      <c r="EO318" s="95">
        <f>3449959.52+689991.71</f>
        <v>4139951.23</v>
      </c>
      <c r="EP318" s="95">
        <f>846826.4+538485.07+23786.63</f>
        <v>1409098.1</v>
      </c>
      <c r="EQ318" s="247">
        <f>SUM(EQ317:ER317)</f>
        <v>967835.95</v>
      </c>
      <c r="ER318" s="95"/>
      <c r="ES318" s="95">
        <v>8108.77</v>
      </c>
      <c r="ET318" s="95">
        <v>4645.29</v>
      </c>
      <c r="EU318" s="95">
        <f>-1669.34-25561.72</f>
        <v>-27231.06</v>
      </c>
      <c r="EV318" s="28">
        <f>10006.32+7125.04+1188.45+445613.92+53111.58+17058.94+406.19+41040+176.71</f>
        <v>575727.15</v>
      </c>
      <c r="EW318" s="95">
        <v>3829029.9</v>
      </c>
      <c r="EX318" s="238">
        <v>2492139.2599999998</v>
      </c>
      <c r="EY318" s="105"/>
      <c r="EZ318" s="105"/>
      <c r="FA318" s="105"/>
    </row>
    <row r="319" spans="1:157" ht="12.75" customHeight="1" x14ac:dyDescent="0.2">
      <c r="K319" s="76"/>
      <c r="M319" s="45"/>
      <c r="N319" s="45"/>
      <c r="O319" s="45"/>
      <c r="P319" s="4"/>
      <c r="Q319" s="4"/>
      <c r="R319" s="4"/>
      <c r="S319" s="4"/>
      <c r="T319" s="4"/>
      <c r="Z319" s="5">
        <f>SUM(Z317-Z318)</f>
        <v>26637.040000000001</v>
      </c>
      <c r="AI319" s="28">
        <f>SUM(AI317-AI318)</f>
        <v>-175545</v>
      </c>
      <c r="AO319" s="28">
        <f>SUM(AO317-AO318)</f>
        <v>-236688.3</v>
      </c>
      <c r="BI319" s="178">
        <f>SUM(BH317+BI317+BT317)</f>
        <v>10605659.08</v>
      </c>
      <c r="BL319" s="180">
        <f>SUM(BK317+BL317+BJ317)</f>
        <v>9565282.7400000002</v>
      </c>
      <c r="BM319" s="22" t="s">
        <v>829</v>
      </c>
      <c r="BN319" s="176">
        <f>SUM(BN317:BO317)</f>
        <v>2919800.85</v>
      </c>
      <c r="BP319" s="184">
        <f>SUM(BP317+BS317)</f>
        <v>681395.96</v>
      </c>
      <c r="BQ319" s="24" t="s">
        <v>830</v>
      </c>
      <c r="BR319" s="189" t="s">
        <v>832</v>
      </c>
      <c r="BU319" s="183"/>
      <c r="BW319" s="196" t="s">
        <v>833</v>
      </c>
      <c r="BX319" s="177">
        <f>SUM(BV317+BX317)</f>
        <v>4296929.33</v>
      </c>
      <c r="BY319" s="5">
        <f>SUM(BI319+BL319+BN319+BP319+BR317+BU317+BW317+BX319+BM317+BQ317)</f>
        <v>40192853.789999999</v>
      </c>
      <c r="CQ319" s="245"/>
      <c r="CR319" s="245"/>
      <c r="CW319" s="248">
        <f t="shared" ref="CW319:DZ319" si="227">CW317-CW318</f>
        <v>0</v>
      </c>
      <c r="CX319" s="248">
        <f t="shared" si="227"/>
        <v>0</v>
      </c>
      <c r="CY319" s="248">
        <f t="shared" si="227"/>
        <v>0</v>
      </c>
      <c r="CZ319" s="248"/>
      <c r="DA319" s="248"/>
      <c r="DB319" s="248"/>
      <c r="DC319" s="248"/>
      <c r="DD319" s="248"/>
      <c r="DE319" s="248"/>
      <c r="DF319" s="248">
        <f t="shared" si="227"/>
        <v>0</v>
      </c>
      <c r="DG319" s="248"/>
      <c r="DH319" s="248"/>
      <c r="DI319" s="248">
        <f t="shared" si="227"/>
        <v>0</v>
      </c>
      <c r="DJ319" s="248">
        <f t="shared" si="227"/>
        <v>0</v>
      </c>
      <c r="DK319" s="248">
        <f t="shared" si="227"/>
        <v>0</v>
      </c>
      <c r="DL319" s="248"/>
      <c r="DM319" s="248">
        <f t="shared" si="227"/>
        <v>0</v>
      </c>
      <c r="DN319" s="248"/>
      <c r="DO319" s="248"/>
      <c r="DP319" s="248">
        <f>DP317-DP318</f>
        <v>0</v>
      </c>
      <c r="DQ319" s="248">
        <f t="shared" si="227"/>
        <v>0</v>
      </c>
      <c r="DR319" s="248">
        <f t="shared" si="227"/>
        <v>0</v>
      </c>
      <c r="DS319" s="248">
        <f>DS317-DS318</f>
        <v>0</v>
      </c>
      <c r="DT319" s="248">
        <f t="shared" si="227"/>
        <v>0</v>
      </c>
      <c r="DU319" s="248">
        <f t="shared" si="227"/>
        <v>0</v>
      </c>
      <c r="DV319" s="248">
        <f t="shared" si="227"/>
        <v>0</v>
      </c>
      <c r="DW319" s="248">
        <f t="shared" si="227"/>
        <v>0</v>
      </c>
      <c r="DX319" s="248">
        <f t="shared" si="227"/>
        <v>0</v>
      </c>
      <c r="DY319" s="248">
        <f>DY318-DY317</f>
        <v>0</v>
      </c>
      <c r="DZ319" s="248">
        <f t="shared" si="227"/>
        <v>0</v>
      </c>
      <c r="EA319" s="248">
        <f>EA317-EA318</f>
        <v>0</v>
      </c>
      <c r="EB319" s="248">
        <f>EB317-EB318</f>
        <v>598328</v>
      </c>
      <c r="EC319" s="95"/>
      <c r="ED319" s="95"/>
      <c r="EE319" s="95"/>
      <c r="EF319" s="95"/>
      <c r="EG319" s="95"/>
      <c r="EH319" s="95"/>
      <c r="EI319" s="95"/>
      <c r="EJ319" s="95"/>
      <c r="EK319" s="95"/>
      <c r="EL319" s="95"/>
      <c r="EM319" s="95"/>
      <c r="EN319" s="95"/>
      <c r="EO319" s="247">
        <f>SUM(EO317-EO318)</f>
        <v>-1312518.95</v>
      </c>
      <c r="EP319" s="247">
        <f>SUM(EP317-EP318)</f>
        <v>-1409098.1</v>
      </c>
      <c r="EQ319" s="247"/>
      <c r="ER319" s="95"/>
      <c r="ES319" s="247">
        <f>SUM(ES318:ET318)</f>
        <v>12754.06</v>
      </c>
      <c r="ET319" s="247">
        <f>SUM(ES317:ET317)</f>
        <v>12754.06</v>
      </c>
      <c r="EU319" s="247">
        <f>SUM(EU317-EU318)</f>
        <v>-0.01</v>
      </c>
      <c r="EV319" s="247">
        <f>SUM(EV317-EV318)</f>
        <v>0</v>
      </c>
      <c r="EW319" s="239">
        <f>SUM(EW318/EW320)</f>
        <v>2.18716</v>
      </c>
      <c r="EX319" s="239">
        <f>SUM(EX318/EX320)</f>
        <v>1.4235199999999999</v>
      </c>
      <c r="EY319" s="95"/>
      <c r="EZ319" s="95"/>
      <c r="FA319" s="95"/>
    </row>
    <row r="320" spans="1:157" ht="12.75" customHeight="1" x14ac:dyDescent="0.2">
      <c r="B320" s="20" t="s">
        <v>794</v>
      </c>
      <c r="K320" s="76"/>
      <c r="BI320" s="5" t="s">
        <v>826</v>
      </c>
      <c r="BL320" s="5" t="s">
        <v>827</v>
      </c>
      <c r="BN320" s="5" t="s">
        <v>828</v>
      </c>
      <c r="BP320" s="5" t="s">
        <v>831</v>
      </c>
      <c r="BY320" s="5">
        <f>SUM(BY317-BY319)</f>
        <v>0</v>
      </c>
      <c r="CW320" s="95"/>
      <c r="CX320" s="249"/>
      <c r="CY320" s="95"/>
      <c r="CZ320" s="95"/>
      <c r="DA320" s="95"/>
      <c r="DB320" s="95"/>
      <c r="DC320" s="95"/>
      <c r="DD320" s="95"/>
      <c r="DE320" s="95"/>
      <c r="DF320" s="95"/>
      <c r="DG320" s="95"/>
      <c r="DH320" s="95"/>
      <c r="DI320" s="95"/>
      <c r="DJ320" s="95"/>
      <c r="DK320" s="175"/>
      <c r="DL320" s="175"/>
      <c r="DM320" s="175"/>
      <c r="DN320" s="175"/>
      <c r="DO320" s="175"/>
      <c r="DP320" s="95"/>
      <c r="DQ320" s="95"/>
      <c r="DR320" s="95"/>
      <c r="DS320" s="175"/>
      <c r="DT320" s="175"/>
      <c r="DU320" s="175"/>
      <c r="DV320" s="175"/>
      <c r="DW320" s="175"/>
      <c r="DX320" s="175"/>
      <c r="DY320" s="175"/>
      <c r="DZ320" s="175"/>
      <c r="EA320" s="95"/>
      <c r="EB320" s="95"/>
      <c r="EC320" s="95"/>
      <c r="ED320" s="95"/>
      <c r="EE320" s="95"/>
      <c r="EF320" s="95"/>
      <c r="EG320" s="95"/>
      <c r="EH320" s="95"/>
      <c r="EI320" s="95"/>
      <c r="EJ320" s="95"/>
      <c r="EK320" s="95"/>
      <c r="EL320" s="95"/>
      <c r="EM320" s="95"/>
      <c r="EN320" s="95"/>
      <c r="EO320" s="95"/>
      <c r="EP320" s="95">
        <f>23786.63+445420.05+89084.01+243509.68+52053.72+48701.94+41045.57+260268.62+205227.88</f>
        <v>1409098.1</v>
      </c>
      <c r="EQ320" s="95">
        <f>481773.8+96354.76+14276.13+2855.23</f>
        <v>595259.92000000004</v>
      </c>
      <c r="ER320" s="247">
        <f>SUM(EQ317:ET317)</f>
        <v>980590.01</v>
      </c>
      <c r="ES320" s="95"/>
      <c r="ET320" s="95"/>
      <c r="EU320" s="95"/>
      <c r="EV320" s="212">
        <f>246273.45+312322.34+10006.32+7125.04</f>
        <v>575727.15</v>
      </c>
      <c r="EW320" s="95">
        <v>1750684.41</v>
      </c>
      <c r="EX320" s="95">
        <v>1750684.41</v>
      </c>
      <c r="EY320" s="95"/>
      <c r="EZ320" s="95"/>
      <c r="FA320" s="95"/>
    </row>
    <row r="321" spans="1:157" ht="18.75" customHeight="1" x14ac:dyDescent="0.2">
      <c r="A321" s="427" t="s">
        <v>383</v>
      </c>
      <c r="B321" s="427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27"/>
      <c r="N321" s="427"/>
      <c r="O321" s="427"/>
      <c r="P321" s="427"/>
      <c r="Q321" s="427"/>
      <c r="R321" s="427"/>
      <c r="S321" s="427"/>
      <c r="T321" s="427"/>
      <c r="U321" s="427"/>
      <c r="V321" s="427"/>
      <c r="W321" s="427"/>
      <c r="X321" s="427"/>
      <c r="Y321" s="427"/>
      <c r="Z321" s="427"/>
      <c r="AA321" s="427"/>
      <c r="AB321" s="427"/>
      <c r="AC321" s="427"/>
      <c r="AD321" s="427"/>
      <c r="AE321" s="427"/>
      <c r="AF321" s="427"/>
      <c r="AG321" s="427"/>
      <c r="AH321" s="427"/>
      <c r="AI321" s="427"/>
      <c r="AJ321" s="427"/>
      <c r="AK321" s="427"/>
      <c r="AL321" s="427"/>
      <c r="AM321" s="427"/>
      <c r="AN321" s="427"/>
      <c r="AO321" s="427"/>
      <c r="AP321" s="427"/>
      <c r="AQ321" s="427"/>
      <c r="AR321" s="427"/>
      <c r="AS321" s="427"/>
      <c r="AT321" s="427"/>
      <c r="AU321" s="427"/>
      <c r="AV321" s="427"/>
      <c r="AW321" s="427"/>
      <c r="AX321" s="427"/>
      <c r="AY321" s="427"/>
      <c r="AZ321" s="427"/>
      <c r="BA321" s="427"/>
      <c r="BB321" s="427"/>
      <c r="BC321" s="427"/>
      <c r="BD321" s="427"/>
      <c r="BE321" s="427"/>
      <c r="BF321" s="427"/>
      <c r="BG321" s="427"/>
      <c r="BH321" s="427"/>
      <c r="BI321" s="427"/>
      <c r="BJ321" s="427"/>
      <c r="BK321" s="427"/>
      <c r="BL321" s="427"/>
      <c r="BM321" s="427"/>
      <c r="BN321" s="427"/>
      <c r="BO321" s="427"/>
      <c r="BP321" s="427"/>
      <c r="BQ321" s="427"/>
      <c r="BR321" s="427"/>
      <c r="BS321" s="427"/>
      <c r="BT321" s="427"/>
      <c r="BU321" s="427"/>
      <c r="BV321" s="427"/>
      <c r="BW321" s="427"/>
      <c r="BX321" s="427"/>
      <c r="BY321" s="427"/>
      <c r="BZ321" s="427"/>
      <c r="CA321" s="427"/>
      <c r="CB321" s="427"/>
      <c r="CC321" s="427"/>
      <c r="CD321" s="427"/>
      <c r="CE321" s="427"/>
      <c r="CF321" s="427"/>
      <c r="CG321" s="427"/>
      <c r="CH321" s="427"/>
      <c r="CI321" s="427"/>
      <c r="CJ321" s="427"/>
      <c r="CK321" s="427"/>
      <c r="CL321" s="427"/>
      <c r="CM321" s="205"/>
      <c r="CN321" s="205"/>
      <c r="CO321" s="205"/>
      <c r="CP321" s="205"/>
      <c r="CQ321" s="205"/>
      <c r="CR321" s="205"/>
      <c r="CS321" s="205"/>
      <c r="CT321" s="205"/>
      <c r="CU321" s="205"/>
      <c r="CV321" s="205"/>
      <c r="CW321" s="95"/>
      <c r="CX321" s="249"/>
      <c r="CY321" s="95"/>
      <c r="CZ321" s="95"/>
      <c r="DA321" s="95"/>
      <c r="DB321" s="95"/>
      <c r="DC321" s="95"/>
      <c r="DD321" s="95"/>
      <c r="DE321" s="95"/>
      <c r="DF321" s="95"/>
      <c r="DG321" s="95"/>
      <c r="DH321" s="95"/>
      <c r="DI321" s="95"/>
      <c r="DJ321" s="95"/>
      <c r="DK321" s="175"/>
      <c r="DL321" s="175"/>
      <c r="DM321" s="175"/>
      <c r="DN321" s="175"/>
      <c r="DO321" s="175"/>
      <c r="DP321" s="95"/>
      <c r="DQ321" s="95"/>
      <c r="DR321" s="95"/>
      <c r="DS321" s="175"/>
      <c r="DT321" s="175"/>
      <c r="DU321" s="175"/>
      <c r="DV321" s="175"/>
      <c r="DW321" s="175"/>
      <c r="DX321" s="175"/>
      <c r="DY321" s="175"/>
      <c r="DZ321" s="175"/>
      <c r="EA321" s="95"/>
      <c r="EB321" s="95"/>
      <c r="EC321" s="95"/>
      <c r="ED321" s="95"/>
      <c r="EE321" s="95"/>
      <c r="EF321" s="95"/>
      <c r="EG321" s="95"/>
      <c r="EH321" s="95"/>
      <c r="EI321" s="95"/>
      <c r="EJ321" s="95"/>
      <c r="EK321" s="95"/>
      <c r="EL321" s="95"/>
      <c r="EM321" s="95"/>
      <c r="EN321" s="95"/>
      <c r="EO321" s="95"/>
      <c r="EP321" s="95">
        <f>SUM(EP317-EP320)</f>
        <v>-1409098.1</v>
      </c>
      <c r="EQ321" s="247">
        <f>SUM(EQ318-EQ320)</f>
        <v>372576.03</v>
      </c>
      <c r="ER321" s="95"/>
      <c r="ES321" s="95"/>
      <c r="ET321" s="95"/>
      <c r="EU321" s="95"/>
      <c r="EV321" s="95"/>
      <c r="EW321" s="95"/>
      <c r="EX321" s="247">
        <f>SUM(EX317-EX318)</f>
        <v>0</v>
      </c>
      <c r="EY321" s="95"/>
      <c r="EZ321" s="95"/>
      <c r="FA321" s="95"/>
    </row>
    <row r="322" spans="1:157" ht="12.75" customHeight="1" x14ac:dyDescent="0.2">
      <c r="B322" s="75" t="s">
        <v>799</v>
      </c>
      <c r="U322" s="3"/>
      <c r="V322" s="3"/>
      <c r="W322" s="3"/>
      <c r="X322" s="3"/>
      <c r="Y322" s="3"/>
      <c r="BG322" s="176"/>
      <c r="CW322" s="95"/>
      <c r="CX322" s="249"/>
      <c r="CY322" s="95">
        <f>44964571.78+318824.64</f>
        <v>45283396.420000002</v>
      </c>
      <c r="CZ322" s="95"/>
      <c r="DA322" s="95"/>
      <c r="DB322" s="95"/>
      <c r="DC322" s="95"/>
      <c r="DD322" s="95"/>
      <c r="DE322" s="95"/>
      <c r="DF322" s="95"/>
      <c r="DG322" s="95"/>
      <c r="DH322" s="95"/>
      <c r="DI322" s="95"/>
      <c r="DJ322" s="95"/>
      <c r="DK322" s="95"/>
      <c r="DL322" s="175"/>
      <c r="DM322" s="175"/>
      <c r="DN322" s="175"/>
      <c r="DO322" s="175"/>
      <c r="DP322" s="175"/>
      <c r="DQ322" s="175"/>
      <c r="DR322" s="175"/>
      <c r="DS322" s="95"/>
      <c r="DT322" s="95"/>
      <c r="DU322" s="95"/>
      <c r="DV322" s="95"/>
      <c r="DW322" s="175"/>
      <c r="DX322" s="175"/>
      <c r="DY322" s="175"/>
      <c r="DZ322" s="175"/>
      <c r="EA322" s="175"/>
      <c r="EB322" s="175"/>
      <c r="EC322" s="175"/>
      <c r="ED322" s="95"/>
      <c r="EE322" s="95"/>
      <c r="EF322" s="95"/>
      <c r="EG322" s="95"/>
      <c r="EH322" s="95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W322" s="95"/>
      <c r="EX322" s="95"/>
      <c r="EY322" s="95"/>
      <c r="EZ322" s="95"/>
      <c r="FA322" s="95"/>
    </row>
    <row r="323" spans="1:157" ht="12.75" customHeight="1" x14ac:dyDescent="0.2">
      <c r="B323" s="74" t="s">
        <v>798</v>
      </c>
      <c r="CW323" s="95"/>
      <c r="CX323" s="249"/>
      <c r="CY323" s="247" t="e">
        <f>CW317+CX317+CY317+DF317+DI317+DJ317+DK317+DM317+DP317+DV317+DW317+DX317+DZ317+#REF!+EA317+EB317+EO317+EP317+EQ317+ER317+EW317+EX317</f>
        <v>#REF!</v>
      </c>
      <c r="CZ323" s="247"/>
      <c r="DA323" s="247"/>
      <c r="DB323" s="247"/>
      <c r="DC323" s="247"/>
      <c r="DD323" s="247"/>
      <c r="DE323" s="247"/>
      <c r="DF323" s="95"/>
      <c r="DG323" s="95"/>
      <c r="DH323" s="95"/>
      <c r="DI323" s="95"/>
      <c r="DJ323" s="95"/>
      <c r="DK323" s="175"/>
      <c r="DL323" s="175"/>
      <c r="DM323" s="175"/>
      <c r="DN323" s="175"/>
      <c r="DO323" s="175"/>
      <c r="DP323" s="95"/>
      <c r="DQ323" s="95"/>
      <c r="DR323" s="95"/>
      <c r="DS323" s="175"/>
      <c r="DT323" s="175"/>
      <c r="DU323" s="175"/>
      <c r="DV323" s="175"/>
      <c r="DW323" s="175"/>
      <c r="DX323" s="175"/>
      <c r="DY323" s="175"/>
      <c r="DZ323" s="175"/>
      <c r="EA323" s="95"/>
      <c r="EB323" s="95"/>
      <c r="EC323" s="95"/>
      <c r="ED323" s="95"/>
      <c r="EE323" s="95"/>
      <c r="EF323" s="95"/>
      <c r="EG323" s="95"/>
      <c r="EH323" s="95"/>
      <c r="EI323" s="95"/>
      <c r="EJ323" s="95"/>
      <c r="EK323" s="95"/>
      <c r="EL323" s="95"/>
      <c r="EM323" s="95"/>
      <c r="EN323" s="95"/>
      <c r="EO323" s="95"/>
      <c r="EP323" s="95"/>
      <c r="EQ323" s="95"/>
      <c r="ER323" s="95"/>
      <c r="ES323" s="95"/>
      <c r="ET323" s="95"/>
      <c r="EU323" s="95"/>
      <c r="EW323" s="247">
        <f>SUM(EW317-EW318)</f>
        <v>0</v>
      </c>
      <c r="EX323" s="247">
        <f>SUM(EX317-EX318)</f>
        <v>0</v>
      </c>
      <c r="EY323" s="95"/>
      <c r="EZ323" s="95"/>
      <c r="FA323" s="95"/>
    </row>
    <row r="324" spans="1:157" ht="12.75" customHeight="1" x14ac:dyDescent="0.2">
      <c r="B324" s="72" t="s">
        <v>797</v>
      </c>
      <c r="CW324" s="95"/>
      <c r="CX324" s="249"/>
      <c r="CY324" s="247" t="e">
        <f>SUM(CY322-CY323)</f>
        <v>#REF!</v>
      </c>
      <c r="CZ324" s="247"/>
      <c r="DA324" s="247"/>
      <c r="DB324" s="247"/>
      <c r="DC324" s="247"/>
      <c r="DD324" s="247"/>
      <c r="DE324" s="247"/>
      <c r="DF324" s="95"/>
      <c r="DG324" s="95"/>
      <c r="DH324" s="95"/>
      <c r="DI324" s="95"/>
      <c r="DJ324" s="95"/>
      <c r="DK324" s="175"/>
      <c r="DL324" s="175"/>
      <c r="DM324" s="175"/>
      <c r="DN324" s="175"/>
      <c r="DO324" s="175"/>
      <c r="DP324" s="95"/>
      <c r="DQ324" s="95"/>
      <c r="DR324" s="95"/>
      <c r="DS324" s="175"/>
      <c r="DT324" s="175"/>
      <c r="DU324" s="175"/>
      <c r="DV324" s="175"/>
      <c r="DW324" s="175"/>
      <c r="DX324" s="175"/>
      <c r="DY324" s="175"/>
      <c r="DZ324" s="175"/>
      <c r="EA324" s="95"/>
      <c r="EB324" s="95"/>
      <c r="EC324" s="95"/>
      <c r="ED324" s="95"/>
      <c r="EE324" s="95"/>
      <c r="EF324" s="95"/>
      <c r="EG324" s="95"/>
      <c r="EH324" s="95"/>
      <c r="EI324" s="95"/>
      <c r="EJ324" s="95"/>
      <c r="EK324" s="95"/>
      <c r="EL324" s="95"/>
      <c r="EM324" s="95"/>
      <c r="EN324" s="95"/>
      <c r="EO324" s="95"/>
      <c r="EP324" s="95"/>
      <c r="EQ324" s="95"/>
      <c r="ER324" s="95"/>
      <c r="ES324" s="95"/>
      <c r="ET324" s="95"/>
      <c r="EU324" s="95"/>
      <c r="EW324" s="95"/>
      <c r="EX324" s="95"/>
      <c r="EY324" s="95"/>
      <c r="EZ324" s="95"/>
      <c r="FA324" s="95"/>
    </row>
    <row r="325" spans="1:157" ht="12.75" customHeight="1" x14ac:dyDescent="0.2">
      <c r="B325" s="73" t="s">
        <v>796</v>
      </c>
      <c r="CW325" s="95"/>
      <c r="CX325" s="249"/>
      <c r="CY325" s="95"/>
      <c r="CZ325" s="95"/>
      <c r="DA325" s="95"/>
      <c r="DB325" s="95"/>
      <c r="DC325" s="95"/>
      <c r="DD325" s="95"/>
      <c r="DE325" s="95"/>
      <c r="DF325" s="95"/>
      <c r="DG325" s="95"/>
      <c r="DH325" s="95"/>
      <c r="DI325" s="95"/>
      <c r="DJ325" s="95"/>
      <c r="DK325" s="175"/>
      <c r="DL325" s="175"/>
      <c r="DM325" s="175"/>
      <c r="DN325" s="175"/>
      <c r="DO325" s="175"/>
      <c r="DP325" s="95"/>
      <c r="DQ325" s="95"/>
      <c r="DR325" s="95"/>
      <c r="DS325" s="175"/>
      <c r="DT325" s="175"/>
      <c r="DU325" s="175"/>
      <c r="DV325" s="175"/>
      <c r="DW325" s="175"/>
      <c r="DX325" s="175"/>
      <c r="DY325" s="175"/>
      <c r="DZ325" s="175"/>
      <c r="EA325" s="95"/>
      <c r="EB325" s="95"/>
      <c r="EC325" s="95"/>
      <c r="ED325" s="95"/>
      <c r="EE325" s="95"/>
      <c r="EF325" s="95"/>
      <c r="EG325" s="95"/>
      <c r="EH325" s="95"/>
      <c r="EI325" s="95"/>
      <c r="EJ325" s="95"/>
      <c r="EK325" s="95"/>
      <c r="EL325" s="95"/>
      <c r="EM325" s="95"/>
      <c r="EN325" s="95"/>
      <c r="EO325" s="95"/>
      <c r="EP325" s="95"/>
      <c r="EQ325" s="95"/>
      <c r="ER325" s="95"/>
      <c r="ES325" s="95"/>
      <c r="ET325" s="95"/>
      <c r="EU325" s="95"/>
      <c r="EW325" s="95"/>
      <c r="EX325" s="95"/>
      <c r="EY325" s="95"/>
      <c r="EZ325" s="95"/>
      <c r="FA325" s="95"/>
    </row>
    <row r="326" spans="1:157" ht="12.75" customHeight="1" x14ac:dyDescent="0.2">
      <c r="B326" s="71" t="s">
        <v>795</v>
      </c>
      <c r="CW326" s="95"/>
      <c r="CX326" s="249"/>
      <c r="CY326" s="95"/>
      <c r="CZ326" s="95"/>
      <c r="DA326" s="95"/>
      <c r="DB326" s="95"/>
      <c r="DC326" s="95"/>
      <c r="DD326" s="95"/>
      <c r="DE326" s="95"/>
      <c r="DF326" s="95"/>
      <c r="DG326" s="95"/>
      <c r="DH326" s="95"/>
      <c r="DI326" s="95"/>
      <c r="DJ326" s="95"/>
      <c r="DK326" s="175"/>
      <c r="DL326" s="175"/>
      <c r="DM326" s="175"/>
      <c r="DN326" s="175"/>
      <c r="DO326" s="175"/>
      <c r="DP326" s="95"/>
      <c r="DQ326" s="95"/>
      <c r="DR326" s="95"/>
      <c r="DS326" s="175"/>
      <c r="DT326" s="175"/>
      <c r="DU326" s="175"/>
      <c r="DV326" s="175"/>
      <c r="DW326" s="175"/>
      <c r="DX326" s="175"/>
      <c r="DY326" s="175"/>
      <c r="DZ326" s="175"/>
      <c r="EA326" s="95"/>
      <c r="EB326" s="95"/>
      <c r="EC326" s="95"/>
      <c r="ED326" s="95"/>
      <c r="EE326" s="95"/>
      <c r="EF326" s="95"/>
      <c r="EG326" s="95"/>
      <c r="EH326" s="95"/>
      <c r="EI326" s="95"/>
      <c r="EJ326" s="95"/>
      <c r="EK326" s="95"/>
      <c r="EL326" s="95"/>
      <c r="EM326" s="95"/>
      <c r="EN326" s="95"/>
      <c r="EO326" s="95"/>
      <c r="EP326" s="95"/>
      <c r="EQ326" s="95"/>
      <c r="ER326" s="95"/>
      <c r="ES326" s="95"/>
      <c r="ET326" s="95"/>
      <c r="EU326" s="95"/>
      <c r="EW326" s="95"/>
      <c r="EX326" s="95"/>
      <c r="EY326" s="95"/>
      <c r="EZ326" s="95"/>
      <c r="FA326" s="95"/>
    </row>
    <row r="327" spans="1:157" ht="12.75" customHeight="1" x14ac:dyDescent="0.2">
      <c r="B327" s="77" t="s">
        <v>800</v>
      </c>
      <c r="CW327" s="95"/>
      <c r="CX327" s="249"/>
      <c r="CY327" s="95"/>
      <c r="CZ327" s="95"/>
      <c r="DA327" s="95"/>
      <c r="DB327" s="95"/>
      <c r="DC327" s="95"/>
      <c r="DD327" s="95"/>
      <c r="DE327" s="95"/>
      <c r="DF327" s="95"/>
      <c r="DG327" s="95"/>
      <c r="DH327" s="95"/>
      <c r="DI327" s="95"/>
      <c r="DJ327" s="95"/>
      <c r="DK327" s="175"/>
      <c r="DL327" s="175"/>
      <c r="DM327" s="175"/>
      <c r="DN327" s="175"/>
      <c r="DO327" s="175"/>
      <c r="DP327" s="95"/>
      <c r="DQ327" s="95"/>
      <c r="DR327" s="95"/>
      <c r="DS327" s="175"/>
      <c r="DT327" s="175"/>
      <c r="DU327" s="175"/>
      <c r="DV327" s="175"/>
      <c r="DW327" s="175"/>
      <c r="DX327" s="175"/>
      <c r="DY327" s="175"/>
      <c r="DZ327" s="175"/>
      <c r="EA327" s="95"/>
      <c r="EB327" s="95"/>
      <c r="EC327" s="95"/>
      <c r="ED327" s="95"/>
      <c r="EE327" s="95"/>
      <c r="EF327" s="95"/>
      <c r="EG327" s="95"/>
      <c r="EH327" s="95"/>
      <c r="EI327" s="95"/>
      <c r="EJ327" s="95"/>
      <c r="EK327" s="95"/>
      <c r="EL327" s="95"/>
      <c r="EM327" s="95"/>
      <c r="EN327" s="95"/>
      <c r="EO327" s="95"/>
      <c r="EP327" s="95"/>
      <c r="EQ327" s="95"/>
      <c r="ER327" s="95"/>
      <c r="ES327" s="95"/>
      <c r="ET327" s="95"/>
      <c r="EU327" s="95"/>
      <c r="EW327" s="95"/>
      <c r="EX327" s="95"/>
      <c r="EY327" s="95"/>
      <c r="EZ327" s="95"/>
      <c r="FA327" s="95"/>
    </row>
    <row r="328" spans="1:157" ht="12.75" customHeight="1" x14ac:dyDescent="0.2">
      <c r="B328" s="98" t="s">
        <v>810</v>
      </c>
      <c r="CW328" s="95"/>
      <c r="CX328" s="249"/>
      <c r="CY328" s="95"/>
      <c r="CZ328" s="95"/>
      <c r="DA328" s="95"/>
      <c r="DB328" s="95"/>
      <c r="DC328" s="95"/>
      <c r="DD328" s="95"/>
      <c r="DE328" s="95"/>
      <c r="DF328" s="95"/>
      <c r="DG328" s="95"/>
      <c r="DH328" s="95"/>
      <c r="DI328" s="95"/>
      <c r="DJ328" s="95"/>
      <c r="DK328" s="175"/>
      <c r="DL328" s="175"/>
      <c r="DM328" s="175"/>
      <c r="DN328" s="175"/>
      <c r="DO328" s="175"/>
      <c r="DP328" s="95"/>
      <c r="DQ328" s="95"/>
      <c r="DR328" s="95"/>
      <c r="DS328" s="175"/>
      <c r="DT328" s="175"/>
      <c r="DU328" s="175"/>
      <c r="DV328" s="175"/>
      <c r="DW328" s="175"/>
      <c r="DX328" s="175"/>
      <c r="DY328" s="175"/>
      <c r="DZ328" s="175"/>
      <c r="EA328" s="95"/>
      <c r="EB328" s="95"/>
      <c r="EC328" s="95"/>
      <c r="ED328" s="95"/>
      <c r="EE328" s="95"/>
      <c r="EF328" s="95"/>
      <c r="EG328" s="95"/>
      <c r="EH328" s="95"/>
      <c r="EI328" s="95"/>
      <c r="EJ328" s="95"/>
      <c r="EK328" s="95"/>
      <c r="EL328" s="95"/>
      <c r="EM328" s="95"/>
      <c r="EN328" s="95"/>
      <c r="EO328" s="95"/>
      <c r="EP328" s="95"/>
      <c r="EQ328" s="95"/>
      <c r="ER328" s="95"/>
      <c r="ES328" s="95"/>
      <c r="ET328" s="95"/>
      <c r="EU328" s="95"/>
      <c r="EW328" s="95"/>
      <c r="EX328" s="95"/>
      <c r="EY328" s="95"/>
      <c r="EZ328" s="95"/>
      <c r="FA328" s="95"/>
    </row>
    <row r="329" spans="1:157" ht="12.75" customHeight="1" x14ac:dyDescent="0.2">
      <c r="B329" s="112" t="s">
        <v>811</v>
      </c>
      <c r="CW329" s="95"/>
      <c r="CX329" s="249"/>
      <c r="CY329" s="95"/>
      <c r="CZ329" s="95"/>
      <c r="DA329" s="95"/>
      <c r="DB329" s="95"/>
      <c r="DC329" s="95"/>
      <c r="DD329" s="95"/>
      <c r="DE329" s="95"/>
      <c r="DF329" s="95"/>
      <c r="DG329" s="95"/>
      <c r="DH329" s="95"/>
      <c r="DI329" s="95"/>
      <c r="DJ329" s="95"/>
      <c r="DK329" s="175"/>
      <c r="DL329" s="175"/>
      <c r="DM329" s="175"/>
      <c r="DN329" s="175"/>
      <c r="DO329" s="175"/>
      <c r="DP329" s="95"/>
      <c r="DQ329" s="95"/>
      <c r="DR329" s="95"/>
      <c r="DS329" s="175"/>
      <c r="DT329" s="175"/>
      <c r="DU329" s="175"/>
      <c r="DV329" s="175"/>
      <c r="DW329" s="175"/>
      <c r="DX329" s="175"/>
      <c r="DY329" s="175"/>
      <c r="DZ329" s="175"/>
      <c r="EA329" s="95"/>
      <c r="EB329" s="95"/>
      <c r="EC329" s="95"/>
      <c r="ED329" s="95"/>
      <c r="EE329" s="95"/>
      <c r="EF329" s="95"/>
      <c r="EG329" s="95"/>
      <c r="EH329" s="95"/>
      <c r="EI329" s="95"/>
      <c r="EJ329" s="95"/>
      <c r="EK329" s="95"/>
      <c r="EL329" s="95"/>
      <c r="EM329" s="95"/>
      <c r="EN329" s="95"/>
      <c r="EO329" s="95"/>
      <c r="EP329" s="95"/>
      <c r="EQ329" s="95"/>
      <c r="ER329" s="95"/>
      <c r="ES329" s="95"/>
      <c r="ET329" s="95"/>
      <c r="EU329" s="95"/>
      <c r="EW329" s="95"/>
      <c r="EX329" s="95"/>
      <c r="EY329" s="95"/>
      <c r="EZ329" s="95"/>
      <c r="FA329" s="95"/>
    </row>
    <row r="330" spans="1:157" ht="12.75" customHeight="1" x14ac:dyDescent="0.2">
      <c r="B330" s="116" t="s">
        <v>812</v>
      </c>
      <c r="BM330" s="22" t="e">
        <f>SUM(BY317-#REF!)</f>
        <v>#REF!</v>
      </c>
      <c r="CX330" s="198"/>
      <c r="DK330"/>
      <c r="DL330"/>
      <c r="DM330"/>
      <c r="DN330"/>
      <c r="DO330"/>
      <c r="DS330"/>
      <c r="DT330"/>
      <c r="DU330"/>
      <c r="DV330"/>
      <c r="DW330"/>
      <c r="DX330"/>
      <c r="DY330"/>
      <c r="DZ330"/>
    </row>
    <row r="331" spans="1:157" ht="12.75" customHeight="1" x14ac:dyDescent="0.2">
      <c r="B331" s="122" t="s">
        <v>813</v>
      </c>
      <c r="CX331" s="198"/>
      <c r="DK331"/>
      <c r="DL331"/>
      <c r="DM331"/>
      <c r="DN331"/>
      <c r="DO331"/>
      <c r="DS331"/>
      <c r="DT331"/>
      <c r="DU331"/>
      <c r="DV331"/>
      <c r="DW331"/>
      <c r="DX331"/>
      <c r="DY331"/>
      <c r="DZ331"/>
    </row>
    <row r="332" spans="1:157" ht="12.75" customHeight="1" x14ac:dyDescent="0.2">
      <c r="B332" s="140" t="s">
        <v>818</v>
      </c>
      <c r="CX332" s="198"/>
      <c r="DK332"/>
      <c r="DL332"/>
      <c r="DM332"/>
      <c r="DN332"/>
      <c r="DO332"/>
      <c r="DS332"/>
      <c r="DT332"/>
      <c r="DU332"/>
      <c r="DV332"/>
      <c r="DW332"/>
      <c r="DX332"/>
      <c r="DY332"/>
      <c r="DZ332"/>
    </row>
    <row r="333" spans="1:157" ht="12.75" customHeight="1" x14ac:dyDescent="0.2">
      <c r="B333" s="147" t="s">
        <v>819</v>
      </c>
      <c r="CX333" s="198"/>
      <c r="DK333"/>
      <c r="DL333"/>
      <c r="DM333"/>
      <c r="DN333"/>
      <c r="DO333"/>
      <c r="DS333"/>
      <c r="DT333"/>
      <c r="DU333"/>
      <c r="DV333"/>
      <c r="DW333"/>
      <c r="DX333"/>
      <c r="DY333"/>
      <c r="DZ333"/>
    </row>
    <row r="334" spans="1:157" ht="12.75" customHeight="1" x14ac:dyDescent="0.2">
      <c r="B334" s="155" t="s">
        <v>820</v>
      </c>
      <c r="CX334" s="198"/>
      <c r="DK334"/>
      <c r="DL334"/>
      <c r="DM334"/>
      <c r="DN334"/>
      <c r="DO334"/>
      <c r="DS334"/>
      <c r="DT334"/>
      <c r="DU334"/>
      <c r="DV334"/>
      <c r="DW334"/>
      <c r="DX334"/>
      <c r="DY334"/>
      <c r="DZ334"/>
    </row>
    <row r="335" spans="1:157" ht="12.75" customHeight="1" x14ac:dyDescent="0.2">
      <c r="B335" s="162" t="s">
        <v>3</v>
      </c>
      <c r="CX335" s="198"/>
      <c r="DK335"/>
      <c r="DL335"/>
      <c r="DM335"/>
      <c r="DN335"/>
      <c r="DO335"/>
      <c r="DS335"/>
      <c r="DT335"/>
      <c r="DU335"/>
      <c r="DV335"/>
      <c r="DW335"/>
      <c r="DX335"/>
      <c r="DY335"/>
      <c r="DZ335"/>
    </row>
    <row r="336" spans="1:157" ht="12.75" customHeight="1" x14ac:dyDescent="0.2">
      <c r="B336" s="71" t="s">
        <v>821</v>
      </c>
      <c r="CX336" s="198"/>
      <c r="DK336"/>
      <c r="DL336"/>
      <c r="DM336"/>
      <c r="DN336"/>
      <c r="DO336"/>
      <c r="DS336"/>
      <c r="DT336"/>
      <c r="DU336"/>
      <c r="DV336"/>
      <c r="DW336"/>
      <c r="DX336"/>
      <c r="DY336"/>
      <c r="DZ336"/>
    </row>
    <row r="337" spans="102:130" ht="12.75" customHeight="1" x14ac:dyDescent="0.2">
      <c r="CX337" s="199">
        <f>CX317-CX33-CX133</f>
        <v>861496</v>
      </c>
      <c r="DK337"/>
      <c r="DL337"/>
      <c r="DM337"/>
      <c r="DN337"/>
      <c r="DO337"/>
      <c r="DS337"/>
      <c r="DT337"/>
      <c r="DU337"/>
      <c r="DV337"/>
      <c r="DW337"/>
      <c r="DX337"/>
      <c r="DY337"/>
      <c r="DZ337"/>
    </row>
    <row r="338" spans="102:130" x14ac:dyDescent="0.2">
      <c r="DL338"/>
      <c r="DM338"/>
      <c r="DN338"/>
      <c r="DO338"/>
      <c r="DP338"/>
      <c r="DQ338"/>
      <c r="DR338"/>
      <c r="DV338"/>
    </row>
    <row r="339" spans="102:130" x14ac:dyDescent="0.2">
      <c r="DL339"/>
      <c r="DM339"/>
      <c r="DN339"/>
      <c r="DO339"/>
      <c r="DP339"/>
      <c r="DQ339"/>
      <c r="DR339"/>
      <c r="DV339"/>
    </row>
    <row r="340" spans="102:130" x14ac:dyDescent="0.2">
      <c r="DL340"/>
      <c r="DM340"/>
      <c r="DN340"/>
      <c r="DO340"/>
      <c r="DP340"/>
      <c r="DQ340"/>
      <c r="DR340"/>
    </row>
  </sheetData>
  <autoFilter ref="A6:FW337"/>
  <mergeCells count="66">
    <mergeCell ref="DD7:DD316"/>
    <mergeCell ref="CI2:CL2"/>
    <mergeCell ref="CI3:CL3"/>
    <mergeCell ref="A5:A6"/>
    <mergeCell ref="B5:E5"/>
    <mergeCell ref="M5:O5"/>
    <mergeCell ref="P5:S5"/>
    <mergeCell ref="U5:Y5"/>
    <mergeCell ref="Z5:AB5"/>
    <mergeCell ref="AC5:AC6"/>
    <mergeCell ref="AD5:AD6"/>
    <mergeCell ref="AE5:AE6"/>
    <mergeCell ref="AF5:AF6"/>
    <mergeCell ref="AG5:AG6"/>
    <mergeCell ref="AH5:AH6"/>
    <mergeCell ref="AJ5:AJ6"/>
    <mergeCell ref="AK5:AL5"/>
    <mergeCell ref="AM5:AM6"/>
    <mergeCell ref="AQ5:AQ6"/>
    <mergeCell ref="AR5:AR6"/>
    <mergeCell ref="AS5:AS6"/>
    <mergeCell ref="AT5:AT6"/>
    <mergeCell ref="AU5:AU6"/>
    <mergeCell ref="AV5:AV6"/>
    <mergeCell ref="AW5:AW6"/>
    <mergeCell ref="AX5:AX6"/>
    <mergeCell ref="AY5:AY6"/>
    <mergeCell ref="AZ5:BA5"/>
    <mergeCell ref="BB5:BB6"/>
    <mergeCell ref="BC5:BC6"/>
    <mergeCell ref="BF5:BF6"/>
    <mergeCell ref="BG5:BG6"/>
    <mergeCell ref="BH5:BH6"/>
    <mergeCell ref="BI5:BI6"/>
    <mergeCell ref="BJ5:BJ6"/>
    <mergeCell ref="BK5:BK6"/>
    <mergeCell ref="BL5:BL6"/>
    <mergeCell ref="BM5:BM6"/>
    <mergeCell ref="BN5:BO5"/>
    <mergeCell ref="BP5:BP6"/>
    <mergeCell ref="BQ5:BQ6"/>
    <mergeCell ref="CF5:CF6"/>
    <mergeCell ref="CG5:CG6"/>
    <mergeCell ref="BR5:BR6"/>
    <mergeCell ref="BS5:BS6"/>
    <mergeCell ref="BT5:BT6"/>
    <mergeCell ref="BU5:BU6"/>
    <mergeCell ref="BV5:BV6"/>
    <mergeCell ref="BW5:BW6"/>
    <mergeCell ref="EW5:EX5"/>
    <mergeCell ref="CH5:CH6"/>
    <mergeCell ref="CI5:CI6"/>
    <mergeCell ref="CJ5:CJ6"/>
    <mergeCell ref="CK5:CK6"/>
    <mergeCell ref="CL5:CL6"/>
    <mergeCell ref="CM5:CQ5"/>
    <mergeCell ref="A321:CL321"/>
    <mergeCell ref="CR5:CV5"/>
    <mergeCell ref="EG5:EJ5"/>
    <mergeCell ref="EK5:EN5"/>
    <mergeCell ref="EO5:ER5"/>
    <mergeCell ref="ES5:EU5"/>
    <mergeCell ref="BX5:BX6"/>
    <mergeCell ref="BY5:BY6"/>
    <mergeCell ref="BZ5:CD5"/>
    <mergeCell ref="CE5:CE6"/>
  </mergeCells>
  <conditionalFormatting sqref="CI1:CI1048576">
    <cfRule type="cellIs" dxfId="6" priority="2" stopIfTrue="1" operator="greaterThan">
      <formula>5.75</formula>
    </cfRule>
  </conditionalFormatting>
  <conditionalFormatting sqref="CK1:CV4 CK319:CV65536 CK5:CL318">
    <cfRule type="cellIs" dxfId="5" priority="1" stopIfTrue="1" operator="greaterThan">
      <formula>2</formula>
    </cfRule>
  </conditionalFormatting>
  <pageMargins left="0.70866141732283472" right="0.70866141732283472" top="0" bottom="0" header="0.31496062992125984" footer="0.31496062992125984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S65536"/>
  <sheetViews>
    <sheetView topLeftCell="A5" zoomScaleNormal="100" workbookViewId="0">
      <pane xSplit="5" ySplit="2" topLeftCell="Z289" activePane="bottomRight" state="frozen"/>
      <selection activeCell="C107" sqref="C107"/>
      <selection pane="topRight" activeCell="C107" sqref="C107"/>
      <selection pane="bottomLeft" activeCell="C107" sqref="C107"/>
      <selection pane="bottomRight" activeCell="C107" sqref="C107"/>
    </sheetView>
  </sheetViews>
  <sheetFormatPr defaultRowHeight="12.75" x14ac:dyDescent="0.2"/>
  <cols>
    <col min="1" max="1" width="4.5703125" style="3" customWidth="1"/>
    <col min="2" max="2" width="16.7109375" style="2" hidden="1" customWidth="1"/>
    <col min="3" max="3" width="8.7109375" style="3" hidden="1" customWidth="1"/>
    <col min="4" max="4" width="22.7109375" style="301" bestFit="1" customWidth="1"/>
    <col min="5" max="5" width="4.5703125" style="3" hidden="1" customWidth="1"/>
    <col min="6" max="6" width="13.42578125" style="3" hidden="1" customWidth="1"/>
    <col min="7" max="7" width="19.42578125" style="3" hidden="1" customWidth="1"/>
    <col min="8" max="8" width="13.28515625" style="3" hidden="1" customWidth="1"/>
    <col min="9" max="9" width="18.42578125" style="3" hidden="1" customWidth="1"/>
    <col min="10" max="10" width="16.42578125" style="3" hidden="1" customWidth="1"/>
    <col min="11" max="11" width="20.42578125" style="3" hidden="1" customWidth="1"/>
    <col min="12" max="12" width="17.28515625" style="3" hidden="1" customWidth="1"/>
    <col min="13" max="13" width="15.42578125" style="104" hidden="1" customWidth="1"/>
    <col min="14" max="15" width="19.7109375" style="104" hidden="1" customWidth="1"/>
    <col min="16" max="16" width="15.42578125" style="3" hidden="1" customWidth="1"/>
    <col min="17" max="18" width="19.7109375" style="3" hidden="1" customWidth="1"/>
    <col min="19" max="19" width="10.140625" style="3" hidden="1" customWidth="1"/>
    <col min="20" max="20" width="10.7109375" style="3" hidden="1" customWidth="1"/>
    <col min="21" max="21" width="13" style="5" hidden="1" customWidth="1"/>
    <col min="22" max="22" width="11.7109375" style="5" hidden="1" customWidth="1"/>
    <col min="23" max="23" width="11.140625" style="5" hidden="1" customWidth="1"/>
    <col min="24" max="24" width="9.42578125" style="5" hidden="1" customWidth="1"/>
    <col min="25" max="25" width="11.28515625" style="5" hidden="1" customWidth="1"/>
    <col min="26" max="27" width="14.7109375" style="28" bestFit="1" customWidth="1"/>
    <col min="28" max="28" width="10.5703125" style="5" bestFit="1" customWidth="1"/>
    <col min="29" max="29" width="11.42578125" style="5" bestFit="1" customWidth="1"/>
    <col min="30" max="30" width="19.140625" style="5" bestFit="1" customWidth="1"/>
    <col min="31" max="31" width="28.28515625" style="5" bestFit="1" customWidth="1"/>
    <col min="32" max="32" width="21.42578125" style="22" bestFit="1" customWidth="1"/>
    <col min="33" max="33" width="19.140625" style="24" bestFit="1" customWidth="1"/>
    <col min="34" max="34" width="21.42578125" style="5" bestFit="1" customWidth="1"/>
    <col min="35" max="35" width="11.28515625" style="28" bestFit="1" customWidth="1"/>
    <col min="36" max="36" width="7.85546875" style="22" bestFit="1" customWidth="1"/>
    <col min="37" max="37" width="17.140625" style="5" bestFit="1" customWidth="1"/>
    <col min="38" max="38" width="23.140625" style="5" bestFit="1" customWidth="1"/>
    <col min="39" max="39" width="28.28515625" style="5" bestFit="1" customWidth="1"/>
    <col min="40" max="40" width="8.42578125" style="28" bestFit="1" customWidth="1"/>
    <col min="41" max="41" width="9.5703125" style="28" bestFit="1" customWidth="1"/>
    <col min="42" max="42" width="7.42578125" style="28" bestFit="1" customWidth="1"/>
    <col min="43" max="43" width="10" style="24" bestFit="1" customWidth="1"/>
    <col min="44" max="45" width="26" style="5" bestFit="1" customWidth="1"/>
    <col min="46" max="46" width="12.28515625" style="5" bestFit="1" customWidth="1"/>
    <col min="47" max="47" width="10" style="5" bestFit="1" customWidth="1"/>
    <col min="48" max="48" width="19.140625" style="5" bestFit="1" customWidth="1"/>
    <col min="49" max="49" width="14.5703125" style="5" bestFit="1" customWidth="1"/>
    <col min="50" max="50" width="7.7109375" style="5" bestFit="1" customWidth="1"/>
    <col min="51" max="51" width="7.85546875" style="5" bestFit="1" customWidth="1"/>
    <col min="52" max="52" width="8.5703125" style="28" bestFit="1" customWidth="1"/>
    <col min="53" max="53" width="11" style="5" bestFit="1" customWidth="1"/>
    <col min="54" max="54" width="12.5703125" style="5" bestFit="1" customWidth="1"/>
    <col min="55" max="55" width="8.7109375" style="5" bestFit="1" customWidth="1"/>
    <col min="56" max="56" width="11.42578125" style="5" bestFit="1" customWidth="1"/>
    <col min="57" max="57" width="19.140625" style="5" bestFit="1" customWidth="1"/>
    <col min="58" max="58" width="28.28515625" style="5" bestFit="1" customWidth="1"/>
    <col min="59" max="59" width="21.42578125" style="22" bestFit="1" customWidth="1"/>
    <col min="60" max="60" width="19.140625" style="24" bestFit="1" customWidth="1"/>
    <col min="61" max="61" width="21.42578125" style="5" bestFit="1" customWidth="1"/>
    <col min="62" max="62" width="9.5703125" style="22" bestFit="1" customWidth="1"/>
    <col min="63" max="63" width="17.140625" style="5" bestFit="1" customWidth="1"/>
    <col min="64" max="64" width="23.140625" style="5" bestFit="1" customWidth="1"/>
    <col min="65" max="65" width="28.28515625" style="5" bestFit="1" customWidth="1"/>
    <col min="66" max="66" width="11.7109375" style="24" bestFit="1" customWidth="1"/>
    <col min="67" max="68" width="26" style="5" bestFit="1" customWidth="1"/>
    <col min="69" max="69" width="12.28515625" style="5" bestFit="1" customWidth="1"/>
    <col min="70" max="70" width="11.28515625" style="5" bestFit="1" customWidth="1"/>
    <col min="71" max="71" width="19.140625" style="5" bestFit="1" customWidth="1"/>
    <col min="72" max="72" width="14.5703125" style="5" bestFit="1" customWidth="1"/>
    <col min="73" max="73" width="12.5703125" style="5" bestFit="1" customWidth="1"/>
    <col min="74" max="74" width="9.140625" style="5" bestFit="1" customWidth="1"/>
    <col min="75" max="75" width="14.85546875" style="5" bestFit="1" customWidth="1"/>
    <col min="76" max="76" width="12.7109375" style="5" bestFit="1" customWidth="1"/>
    <col min="77" max="77" width="11.140625" style="5" bestFit="1" customWidth="1"/>
    <col min="78" max="78" width="16.140625" style="28" bestFit="1" customWidth="1"/>
    <col min="79" max="79" width="20" style="28" bestFit="1" customWidth="1"/>
    <col min="80" max="80" width="3.140625" style="28" hidden="1" customWidth="1"/>
    <col min="81" max="81" width="15.7109375" style="5" bestFit="1" customWidth="1"/>
    <col min="82" max="82" width="18.7109375" style="5" bestFit="1" customWidth="1"/>
    <col min="83" max="83" width="18" style="5" bestFit="1" customWidth="1"/>
    <col min="84" max="84" width="19.28515625" style="5" bestFit="1" customWidth="1"/>
    <col min="85" max="85" width="18" style="8" bestFit="1" customWidth="1"/>
    <col min="86" max="86" width="18.85546875" style="95" bestFit="1" customWidth="1"/>
    <col min="87" max="87" width="13.85546875" style="8" bestFit="1" customWidth="1"/>
    <col min="88" max="88" width="15.7109375" style="8" bestFit="1" customWidth="1"/>
    <col min="89" max="89" width="12.28515625" style="95" bestFit="1" customWidth="1"/>
    <col min="90" max="90" width="21.28515625" style="95" bestFit="1" customWidth="1"/>
    <col min="91" max="91" width="25.85546875" style="95" bestFit="1" customWidth="1"/>
    <col min="92" max="92" width="23.42578125" style="95" bestFit="1" customWidth="1"/>
    <col min="93" max="93" width="29.5703125" style="95" bestFit="1" customWidth="1"/>
    <col min="94" max="94" width="25.140625" style="95" bestFit="1" customWidth="1"/>
    <col min="95" max="95" width="17.42578125" style="95" bestFit="1" customWidth="1"/>
    <col min="96" max="96" width="15.85546875" style="95" bestFit="1" customWidth="1"/>
    <col min="97" max="97" width="25.85546875" style="95" bestFit="1" customWidth="1"/>
    <col min="98" max="98" width="23.42578125" style="95" bestFit="1" customWidth="1"/>
    <col min="99" max="99" width="24.7109375" style="95" bestFit="1" customWidth="1"/>
    <col min="100" max="100" width="25.140625" style="95" bestFit="1" customWidth="1"/>
    <col min="101" max="101" width="17.42578125" style="95" bestFit="1" customWidth="1"/>
    <col min="102" max="102" width="15.7109375" style="95" bestFit="1" customWidth="1"/>
    <col min="103" max="103" width="25.85546875" style="95" bestFit="1" customWidth="1"/>
    <col min="104" max="104" width="23.42578125" style="95" bestFit="1" customWidth="1"/>
    <col min="105" max="105" width="24.7109375" style="95" bestFit="1" customWidth="1"/>
    <col min="106" max="106" width="25.140625" style="95" bestFit="1" customWidth="1"/>
    <col min="107" max="107" width="17.42578125" style="95" bestFit="1" customWidth="1"/>
    <col min="108" max="108" width="19.140625" style="95" bestFit="1" customWidth="1"/>
    <col min="109" max="109" width="18.28515625" style="95" bestFit="1" customWidth="1"/>
    <col min="110" max="110" width="17.42578125" style="95" bestFit="1" customWidth="1"/>
    <col min="111" max="111" width="14.85546875" style="95" bestFit="1" customWidth="1"/>
    <col min="112" max="113" width="14.85546875" style="8" bestFit="1" customWidth="1"/>
    <col min="114" max="114" width="16.5703125" style="95" bestFit="1" customWidth="1"/>
    <col min="115" max="116" width="20.28515625" style="95" bestFit="1" customWidth="1"/>
    <col min="117" max="117" width="17.28515625" style="95" bestFit="1" customWidth="1"/>
    <col min="118" max="118" width="16" style="95" bestFit="1" customWidth="1"/>
    <col min="119" max="119" width="18.7109375" style="95" bestFit="1" customWidth="1"/>
    <col min="120" max="120" width="14.5703125" style="95" bestFit="1" customWidth="1"/>
    <col min="121" max="121" width="14.85546875" style="8" bestFit="1" customWidth="1"/>
    <col min="122" max="122" width="16" style="8" bestFit="1" customWidth="1"/>
    <col min="123" max="123" width="15.85546875" style="8" bestFit="1" customWidth="1"/>
    <col min="124" max="124" width="17" style="8" bestFit="1" customWidth="1"/>
    <col min="125" max="125" width="17.28515625" style="95" bestFit="1" customWidth="1"/>
    <col min="126" max="126" width="15.42578125" style="95" bestFit="1" customWidth="1"/>
    <col min="127" max="127" width="11.42578125" style="95" bestFit="1" customWidth="1"/>
    <col min="128" max="128" width="13.5703125" style="95" bestFit="1" customWidth="1"/>
    <col min="129" max="129" width="15.140625" style="95" bestFit="1" customWidth="1"/>
    <col min="130" max="130" width="17.7109375" style="95" bestFit="1" customWidth="1"/>
    <col min="131" max="131" width="13.5703125" style="95" bestFit="1" customWidth="1"/>
    <col min="132" max="132" width="15.5703125" style="95" bestFit="1" customWidth="1"/>
    <col min="133" max="133" width="15.140625" style="95" bestFit="1" customWidth="1"/>
    <col min="134" max="134" width="13.5703125" style="95" bestFit="1" customWidth="1"/>
    <col min="135" max="135" width="15.5703125" style="95" bestFit="1" customWidth="1"/>
    <col min="136" max="136" width="15.140625" style="95" bestFit="1" customWidth="1"/>
    <col min="137" max="139" width="16.140625" style="95" bestFit="1" customWidth="1"/>
    <col min="140" max="140" width="17.42578125" style="95" bestFit="1" customWidth="1"/>
    <col min="141" max="141" width="16.5703125" style="95" bestFit="1" customWidth="1"/>
    <col min="142" max="142" width="13.85546875" style="95" bestFit="1" customWidth="1"/>
    <col min="143" max="143" width="17" style="95" bestFit="1" customWidth="1"/>
    <col min="144" max="144" width="14.42578125" style="95" bestFit="1" customWidth="1"/>
    <col min="145" max="145" width="16.85546875" style="95" bestFit="1" customWidth="1"/>
    <col min="146" max="146" width="15.28515625" style="95" bestFit="1" customWidth="1"/>
    <col min="147" max="147" width="17.42578125" style="95" bestFit="1" customWidth="1"/>
    <col min="148" max="148" width="14.7109375" style="95" bestFit="1" customWidth="1"/>
    <col min="149" max="149" width="13.7109375" style="95" bestFit="1" customWidth="1"/>
    <col min="150" max="150" width="13.42578125" style="95" bestFit="1" customWidth="1"/>
    <col min="151" max="151" width="16.28515625" style="95" bestFit="1" customWidth="1"/>
    <col min="152" max="152" width="18.85546875" style="95" bestFit="1" customWidth="1"/>
    <col min="153" max="153" width="4.42578125" style="8" bestFit="1" customWidth="1"/>
    <col min="154" max="154" width="14.42578125" style="8" bestFit="1" customWidth="1"/>
    <col min="155" max="156" width="4.42578125" style="8" bestFit="1" customWidth="1"/>
    <col min="157" max="157" width="22.85546875" style="8" bestFit="1" customWidth="1"/>
    <col min="158" max="158" width="22.28515625" style="8" bestFit="1" customWidth="1"/>
    <col min="159" max="160" width="18.140625" style="8" bestFit="1" customWidth="1"/>
    <col min="161" max="161" width="20.140625" style="8" bestFit="1" customWidth="1"/>
    <col min="162" max="162" width="22.28515625" style="8" bestFit="1" customWidth="1"/>
    <col min="163" max="163" width="18.140625" style="8" bestFit="1" customWidth="1"/>
    <col min="164" max="164" width="22.28515625" style="8" bestFit="1" customWidth="1"/>
    <col min="165" max="165" width="12.5703125" style="8" bestFit="1" customWidth="1"/>
    <col min="166" max="166" width="22.85546875" style="8" bestFit="1" customWidth="1"/>
    <col min="167" max="167" width="21.42578125" style="8" bestFit="1" customWidth="1"/>
    <col min="168" max="168" width="14.7109375" style="28" bestFit="1" customWidth="1"/>
    <col min="169" max="170" width="14.85546875" style="8" bestFit="1" customWidth="1"/>
    <col min="171" max="171" width="15.85546875" style="8" bestFit="1" customWidth="1"/>
    <col min="172" max="172" width="14.85546875" style="8" bestFit="1" customWidth="1"/>
    <col min="173" max="173" width="15.85546875" style="8" bestFit="1" customWidth="1"/>
    <col min="174" max="174" width="15.7109375" style="95" bestFit="1" customWidth="1"/>
    <col min="175" max="175" width="12.5703125" style="95" bestFit="1" customWidth="1"/>
    <col min="176" max="176" width="13.5703125" style="95" bestFit="1" customWidth="1"/>
    <col min="177" max="177" width="15.140625" style="95" bestFit="1" customWidth="1"/>
    <col min="178" max="178" width="13.5703125" style="95" bestFit="1" customWidth="1"/>
    <col min="179" max="179" width="14.42578125" style="95" bestFit="1" customWidth="1"/>
    <col min="180" max="180" width="15.140625" style="95" bestFit="1" customWidth="1"/>
    <col min="181" max="182" width="13.5703125" style="95" bestFit="1" customWidth="1"/>
    <col min="183" max="183" width="15.7109375" style="95" bestFit="1" customWidth="1"/>
    <col min="184" max="184" width="11.42578125" style="95" bestFit="1" customWidth="1"/>
    <col min="185" max="185" width="12.5703125" style="95" bestFit="1" customWidth="1"/>
    <col min="186" max="186" width="12.85546875" style="95" bestFit="1" customWidth="1"/>
    <col min="187" max="187" width="13.42578125" style="95" bestFit="1" customWidth="1"/>
    <col min="188" max="188" width="14.140625" style="95" bestFit="1" customWidth="1"/>
    <col min="189" max="189" width="25.42578125" style="8" customWidth="1"/>
    <col min="190" max="190" width="8.42578125" style="8" bestFit="1" customWidth="1"/>
    <col min="191" max="191" width="17.5703125" style="320" customWidth="1"/>
    <col min="192" max="192" width="11.42578125" style="8" bestFit="1" customWidth="1"/>
    <col min="193" max="193" width="10.42578125" style="95" bestFit="1" customWidth="1"/>
    <col min="194" max="194" width="10.42578125" style="8" bestFit="1" customWidth="1"/>
    <col min="195" max="195" width="9.5703125" style="8" bestFit="1" customWidth="1"/>
    <col min="196" max="196" width="12.85546875" style="8" bestFit="1" customWidth="1"/>
    <col min="197" max="197" width="13.42578125" style="8" bestFit="1" customWidth="1"/>
    <col min="198" max="198" width="14.140625" style="8" bestFit="1" customWidth="1"/>
    <col min="199" max="199" width="12.85546875" style="8" bestFit="1" customWidth="1"/>
    <col min="200" max="200" width="13.42578125" style="8" bestFit="1" customWidth="1"/>
    <col min="201" max="201" width="14.140625" style="8" bestFit="1" customWidth="1"/>
    <col min="202" max="16384" width="9.140625" style="8"/>
  </cols>
  <sheetData>
    <row r="1" spans="1:201" ht="12.75" hidden="1" customHeight="1" x14ac:dyDescent="0.2">
      <c r="CG1" s="6"/>
      <c r="CH1" s="105"/>
      <c r="CI1" s="6"/>
      <c r="CJ1" s="6"/>
      <c r="CK1" s="105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GI1" s="422"/>
    </row>
    <row r="2" spans="1:201" ht="60.75" hidden="1" customHeight="1" x14ac:dyDescent="0.2">
      <c r="CG2" s="462"/>
      <c r="CH2" s="462"/>
      <c r="CI2" s="462"/>
      <c r="CJ2" s="462"/>
      <c r="CK2" s="462"/>
      <c r="CL2" s="242"/>
      <c r="CM2" s="242"/>
      <c r="CN2" s="242"/>
      <c r="CO2" s="242"/>
      <c r="CP2" s="242"/>
      <c r="CQ2" s="242"/>
      <c r="CR2" s="242"/>
      <c r="CS2" s="242"/>
      <c r="CT2" s="242"/>
      <c r="CU2" s="242"/>
      <c r="CV2" s="242"/>
      <c r="CW2" s="242"/>
      <c r="CX2" s="242"/>
      <c r="CY2" s="242"/>
      <c r="CZ2" s="242"/>
      <c r="DA2" s="242"/>
      <c r="DB2" s="242"/>
      <c r="DC2" s="242"/>
      <c r="DD2" s="242"/>
      <c r="DE2" s="242"/>
      <c r="DF2" s="242"/>
      <c r="DG2" s="242"/>
      <c r="GI2" s="422"/>
    </row>
    <row r="3" spans="1:201" ht="12.75" hidden="1" customHeight="1" x14ac:dyDescent="0.2">
      <c r="CG3" s="462"/>
      <c r="CH3" s="462"/>
      <c r="CI3" s="462"/>
      <c r="CJ3" s="462"/>
      <c r="CK3" s="46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GI3" s="422"/>
    </row>
    <row r="4" spans="1:201" ht="12.75" hidden="1" customHeight="1" x14ac:dyDescent="0.2">
      <c r="FA4" s="322"/>
      <c r="FB4" s="322"/>
      <c r="FC4" s="322"/>
      <c r="FD4" s="322"/>
      <c r="FE4" s="322"/>
      <c r="FF4" s="322"/>
      <c r="FG4" s="202"/>
      <c r="FH4" s="202"/>
      <c r="FI4" s="202"/>
      <c r="FJ4" s="202"/>
      <c r="FK4" s="322"/>
      <c r="GI4" s="422"/>
    </row>
    <row r="5" spans="1:201" s="1" customFormat="1" ht="46.5" customHeight="1" thickBot="1" x14ac:dyDescent="0.25">
      <c r="A5" s="463" t="s">
        <v>4</v>
      </c>
      <c r="B5" s="463" t="s">
        <v>1</v>
      </c>
      <c r="C5" s="463"/>
      <c r="D5" s="463"/>
      <c r="E5" s="463"/>
      <c r="F5" s="33"/>
      <c r="G5" s="33"/>
      <c r="H5" s="33"/>
      <c r="I5" s="33"/>
      <c r="J5" s="33"/>
      <c r="K5" s="33"/>
      <c r="L5" s="33"/>
      <c r="M5" s="464" t="s">
        <v>801</v>
      </c>
      <c r="N5" s="465"/>
      <c r="O5" s="466"/>
      <c r="P5" s="467" t="s">
        <v>805</v>
      </c>
      <c r="Q5" s="468"/>
      <c r="R5" s="468"/>
      <c r="S5" s="468"/>
      <c r="T5" s="88" t="s">
        <v>806</v>
      </c>
      <c r="U5" s="469" t="s">
        <v>814</v>
      </c>
      <c r="V5" s="470"/>
      <c r="W5" s="470"/>
      <c r="X5" s="470"/>
      <c r="Y5" s="471"/>
      <c r="Z5" s="472" t="s">
        <v>704</v>
      </c>
      <c r="AA5" s="473"/>
      <c r="AB5" s="474"/>
      <c r="AC5" s="440" t="s">
        <v>825</v>
      </c>
      <c r="AD5" s="440" t="s">
        <v>703</v>
      </c>
      <c r="AE5" s="440" t="s">
        <v>707</v>
      </c>
      <c r="AF5" s="451" t="s">
        <v>708</v>
      </c>
      <c r="AG5" s="449" t="s">
        <v>710</v>
      </c>
      <c r="AH5" s="440" t="s">
        <v>711</v>
      </c>
      <c r="AI5" s="40"/>
      <c r="AJ5" s="451" t="s">
        <v>713</v>
      </c>
      <c r="AK5" s="453" t="s">
        <v>714</v>
      </c>
      <c r="AL5" s="454"/>
      <c r="AM5" s="440" t="s">
        <v>717</v>
      </c>
      <c r="AN5" s="40"/>
      <c r="AO5" s="40"/>
      <c r="AP5" s="40"/>
      <c r="AQ5" s="449" t="s">
        <v>718</v>
      </c>
      <c r="AR5" s="440" t="s">
        <v>719</v>
      </c>
      <c r="AS5" s="440" t="s">
        <v>720</v>
      </c>
      <c r="AT5" s="440" t="s">
        <v>721</v>
      </c>
      <c r="AU5" s="440" t="s">
        <v>693</v>
      </c>
      <c r="AV5" s="440" t="s">
        <v>724</v>
      </c>
      <c r="AW5" s="440" t="s">
        <v>725</v>
      </c>
      <c r="AX5" s="440" t="s">
        <v>694</v>
      </c>
      <c r="AY5" s="440" t="s">
        <v>726</v>
      </c>
      <c r="AZ5" s="506" t="s">
        <v>388</v>
      </c>
      <c r="BA5" s="38"/>
      <c r="BB5" s="38" t="s">
        <v>695</v>
      </c>
      <c r="BC5" s="458" t="s">
        <v>899</v>
      </c>
      <c r="BD5" s="445" t="s">
        <v>389</v>
      </c>
      <c r="BE5" s="440" t="s">
        <v>703</v>
      </c>
      <c r="BF5" s="440" t="s">
        <v>707</v>
      </c>
      <c r="BG5" s="451" t="s">
        <v>708</v>
      </c>
      <c r="BH5" s="449" t="s">
        <v>710</v>
      </c>
      <c r="BI5" s="440" t="s">
        <v>711</v>
      </c>
      <c r="BJ5" s="451" t="s">
        <v>713</v>
      </c>
      <c r="BK5" s="453" t="s">
        <v>714</v>
      </c>
      <c r="BL5" s="454"/>
      <c r="BM5" s="440" t="s">
        <v>717</v>
      </c>
      <c r="BN5" s="449" t="s">
        <v>718</v>
      </c>
      <c r="BO5" s="440" t="s">
        <v>719</v>
      </c>
      <c r="BP5" s="440" t="s">
        <v>720</v>
      </c>
      <c r="BQ5" s="440" t="s">
        <v>721</v>
      </c>
      <c r="BR5" s="440" t="s">
        <v>693</v>
      </c>
      <c r="BS5" s="440" t="s">
        <v>724</v>
      </c>
      <c r="BT5" s="440" t="s">
        <v>725</v>
      </c>
      <c r="BU5" s="440" t="s">
        <v>694</v>
      </c>
      <c r="BV5" s="440" t="s">
        <v>726</v>
      </c>
      <c r="BW5" s="442" t="s">
        <v>728</v>
      </c>
      <c r="BX5" s="443"/>
      <c r="BY5" s="443"/>
      <c r="BZ5" s="443"/>
      <c r="CA5" s="444"/>
      <c r="CB5" s="407"/>
      <c r="CC5" s="498" t="s">
        <v>928</v>
      </c>
      <c r="CD5" s="498"/>
      <c r="CE5" s="498"/>
      <c r="CF5" s="498"/>
      <c r="CG5" s="498"/>
      <c r="CH5" s="498"/>
      <c r="CI5" s="499"/>
      <c r="CJ5" s="409" t="s">
        <v>929</v>
      </c>
      <c r="CK5" s="500" t="s">
        <v>932</v>
      </c>
      <c r="CL5" s="501" t="s">
        <v>862</v>
      </c>
      <c r="CM5" s="502"/>
      <c r="CN5" s="502"/>
      <c r="CO5" s="502"/>
      <c r="CP5" s="502"/>
      <c r="CQ5" s="502"/>
      <c r="CR5" s="503" t="s">
        <v>867</v>
      </c>
      <c r="CS5" s="504"/>
      <c r="CT5" s="504"/>
      <c r="CU5" s="504"/>
      <c r="CV5" s="504"/>
      <c r="CW5" s="505"/>
      <c r="CX5" s="503" t="s">
        <v>936</v>
      </c>
      <c r="CY5" s="504"/>
      <c r="CZ5" s="504"/>
      <c r="DA5" s="504"/>
      <c r="DB5" s="504"/>
      <c r="DC5" s="505"/>
      <c r="DD5" s="344"/>
      <c r="DE5" s="345"/>
      <c r="DF5" s="346"/>
      <c r="DG5" s="408"/>
      <c r="DH5" s="299">
        <v>1</v>
      </c>
      <c r="DI5" s="299">
        <v>2</v>
      </c>
      <c r="DJ5" s="299">
        <v>3</v>
      </c>
      <c r="DK5" s="299">
        <v>4</v>
      </c>
      <c r="DL5" s="299">
        <v>5</v>
      </c>
      <c r="DM5" s="299">
        <v>6</v>
      </c>
      <c r="DN5" s="299">
        <v>7</v>
      </c>
      <c r="DO5" s="299">
        <v>8</v>
      </c>
      <c r="DP5" s="299">
        <v>9</v>
      </c>
      <c r="DQ5" s="299">
        <v>10</v>
      </c>
      <c r="DR5" s="299">
        <v>11</v>
      </c>
      <c r="DS5" s="299">
        <v>12</v>
      </c>
      <c r="DT5" s="299">
        <v>13</v>
      </c>
      <c r="DU5" s="299">
        <v>14</v>
      </c>
      <c r="DV5" s="299">
        <v>15</v>
      </c>
      <c r="DW5" s="299">
        <v>16</v>
      </c>
      <c r="DX5" s="299">
        <v>17</v>
      </c>
      <c r="DY5" s="299">
        <v>18</v>
      </c>
      <c r="DZ5" s="299">
        <v>19</v>
      </c>
      <c r="EA5" s="299">
        <v>20</v>
      </c>
      <c r="EB5" s="299">
        <v>21</v>
      </c>
      <c r="EC5" s="299">
        <v>22</v>
      </c>
      <c r="ED5" s="299">
        <v>23</v>
      </c>
      <c r="EE5" s="299">
        <v>24</v>
      </c>
      <c r="EF5" s="299">
        <v>25</v>
      </c>
      <c r="EG5" s="299">
        <v>26</v>
      </c>
      <c r="EH5" s="299">
        <v>27</v>
      </c>
      <c r="EI5" s="299">
        <v>28</v>
      </c>
      <c r="EJ5" s="299">
        <v>29</v>
      </c>
      <c r="EK5" s="299">
        <v>30</v>
      </c>
      <c r="EL5" s="299">
        <v>31</v>
      </c>
      <c r="EM5" s="299">
        <v>32</v>
      </c>
      <c r="EN5" s="299">
        <v>33</v>
      </c>
      <c r="EO5" s="299">
        <v>34</v>
      </c>
      <c r="EP5" s="299">
        <v>35</v>
      </c>
      <c r="EQ5" s="299">
        <v>36</v>
      </c>
      <c r="ER5" s="299">
        <v>37</v>
      </c>
      <c r="ES5" s="299">
        <v>38</v>
      </c>
      <c r="ET5" s="299">
        <v>39</v>
      </c>
      <c r="EU5" s="299">
        <v>40</v>
      </c>
      <c r="EV5" s="366">
        <v>41</v>
      </c>
      <c r="FA5" s="490" t="s">
        <v>939</v>
      </c>
      <c r="FB5" s="491"/>
      <c r="FC5" s="491"/>
      <c r="FD5" s="491"/>
      <c r="FE5" s="491"/>
      <c r="FF5" s="492"/>
      <c r="FG5" s="493" t="s">
        <v>859</v>
      </c>
      <c r="FH5" s="477"/>
      <c r="FI5" s="477"/>
      <c r="FJ5" s="477"/>
      <c r="FK5" s="494" t="s">
        <v>940</v>
      </c>
      <c r="FL5" s="495"/>
      <c r="FM5" s="478" t="s">
        <v>845</v>
      </c>
      <c r="FN5" s="496"/>
      <c r="FO5" s="496" t="s">
        <v>953</v>
      </c>
      <c r="FP5" s="496"/>
      <c r="FQ5" s="497" t="s">
        <v>726</v>
      </c>
      <c r="FR5" s="483" t="s">
        <v>951</v>
      </c>
      <c r="FS5" s="483"/>
      <c r="FT5" s="483"/>
      <c r="FU5" s="484" t="s">
        <v>912</v>
      </c>
      <c r="FV5" s="485"/>
      <c r="FW5" s="411" t="s">
        <v>944</v>
      </c>
      <c r="FX5" s="486" t="s">
        <v>913</v>
      </c>
      <c r="FY5" s="487"/>
      <c r="FZ5" s="383" t="s">
        <v>947</v>
      </c>
      <c r="GA5" s="488" t="s">
        <v>952</v>
      </c>
      <c r="GB5" s="488"/>
      <c r="GC5" s="488"/>
      <c r="GD5" s="489" t="s">
        <v>958</v>
      </c>
      <c r="GE5" s="489"/>
      <c r="GF5" s="489"/>
      <c r="GG5" s="412" t="s">
        <v>962</v>
      </c>
      <c r="GI5" s="413" t="s">
        <v>961</v>
      </c>
      <c r="GJ5" s="439" t="s">
        <v>950</v>
      </c>
      <c r="GK5" s="475" t="s">
        <v>948</v>
      </c>
      <c r="GL5" s="475"/>
      <c r="GM5" s="475"/>
      <c r="GN5" s="476" t="s">
        <v>959</v>
      </c>
      <c r="GO5" s="477"/>
      <c r="GP5" s="478"/>
      <c r="GQ5" s="476" t="s">
        <v>960</v>
      </c>
      <c r="GR5" s="477"/>
      <c r="GS5" s="478"/>
    </row>
    <row r="6" spans="1:201" s="1" customFormat="1" ht="94.5" customHeight="1" thickBot="1" x14ac:dyDescent="0.25">
      <c r="A6" s="463"/>
      <c r="B6" s="14" t="s">
        <v>0</v>
      </c>
      <c r="C6" s="14" t="s">
        <v>3</v>
      </c>
      <c r="D6" s="305"/>
      <c r="E6" s="14" t="s">
        <v>2</v>
      </c>
      <c r="F6" s="14" t="s">
        <v>747</v>
      </c>
      <c r="G6" s="14" t="s">
        <v>741</v>
      </c>
      <c r="H6" s="14" t="s">
        <v>743</v>
      </c>
      <c r="I6" s="14" t="s">
        <v>742</v>
      </c>
      <c r="J6" s="14" t="s">
        <v>858</v>
      </c>
      <c r="K6" s="14" t="s">
        <v>744</v>
      </c>
      <c r="L6" s="14" t="s">
        <v>745</v>
      </c>
      <c r="M6" s="106" t="s">
        <v>802</v>
      </c>
      <c r="N6" s="106" t="s">
        <v>803</v>
      </c>
      <c r="O6" s="106" t="s">
        <v>804</v>
      </c>
      <c r="P6" s="88" t="s">
        <v>802</v>
      </c>
      <c r="Q6" s="88" t="s">
        <v>803</v>
      </c>
      <c r="R6" s="88" t="s">
        <v>804</v>
      </c>
      <c r="S6" s="88" t="s">
        <v>695</v>
      </c>
      <c r="T6" s="88" t="s">
        <v>807</v>
      </c>
      <c r="U6" s="129" t="s">
        <v>729</v>
      </c>
      <c r="V6" s="129" t="s">
        <v>815</v>
      </c>
      <c r="W6" s="31" t="s">
        <v>731</v>
      </c>
      <c r="X6" s="31" t="s">
        <v>816</v>
      </c>
      <c r="Y6" s="129" t="s">
        <v>817</v>
      </c>
      <c r="Z6" s="326" t="s">
        <v>705</v>
      </c>
      <c r="AA6" s="326" t="s">
        <v>706</v>
      </c>
      <c r="AB6" s="15" t="s">
        <v>695</v>
      </c>
      <c r="AC6" s="441"/>
      <c r="AD6" s="441"/>
      <c r="AE6" s="441"/>
      <c r="AF6" s="452"/>
      <c r="AG6" s="450"/>
      <c r="AH6" s="441"/>
      <c r="AI6" s="41"/>
      <c r="AJ6" s="452" t="s">
        <v>712</v>
      </c>
      <c r="AK6" s="26" t="s">
        <v>715</v>
      </c>
      <c r="AL6" s="26" t="s">
        <v>716</v>
      </c>
      <c r="AM6" s="441"/>
      <c r="AN6" s="41"/>
      <c r="AO6" s="41"/>
      <c r="AP6" s="41"/>
      <c r="AQ6" s="450"/>
      <c r="AR6" s="441" t="s">
        <v>722</v>
      </c>
      <c r="AS6" s="441"/>
      <c r="AT6" s="441"/>
      <c r="AU6" s="441" t="s">
        <v>723</v>
      </c>
      <c r="AV6" s="441"/>
      <c r="AW6" s="441"/>
      <c r="AX6" s="441"/>
      <c r="AY6" s="441"/>
      <c r="AZ6" s="507"/>
      <c r="BA6" s="161" t="s">
        <v>822</v>
      </c>
      <c r="BB6" s="39" t="s">
        <v>793</v>
      </c>
      <c r="BC6" s="459"/>
      <c r="BD6" s="446"/>
      <c r="BE6" s="441"/>
      <c r="BF6" s="441"/>
      <c r="BG6" s="452"/>
      <c r="BH6" s="450"/>
      <c r="BI6" s="441"/>
      <c r="BJ6" s="452" t="s">
        <v>712</v>
      </c>
      <c r="BK6" s="26" t="s">
        <v>715</v>
      </c>
      <c r="BL6" s="26" t="s">
        <v>716</v>
      </c>
      <c r="BM6" s="441"/>
      <c r="BN6" s="450"/>
      <c r="BO6" s="441" t="s">
        <v>722</v>
      </c>
      <c r="BP6" s="441"/>
      <c r="BQ6" s="441"/>
      <c r="BR6" s="441" t="s">
        <v>723</v>
      </c>
      <c r="BS6" s="441"/>
      <c r="BT6" s="441"/>
      <c r="BU6" s="441"/>
      <c r="BV6" s="441"/>
      <c r="BW6" s="31" t="s">
        <v>729</v>
      </c>
      <c r="BX6" s="31" t="s">
        <v>730</v>
      </c>
      <c r="BY6" s="31" t="s">
        <v>731</v>
      </c>
      <c r="BZ6" s="31" t="s">
        <v>732</v>
      </c>
      <c r="CA6" s="32" t="s">
        <v>738</v>
      </c>
      <c r="CB6" s="393"/>
      <c r="CC6" s="241" t="s">
        <v>861</v>
      </c>
      <c r="CD6" s="241" t="s">
        <v>863</v>
      </c>
      <c r="CE6" s="241" t="s">
        <v>865</v>
      </c>
      <c r="CF6" s="241" t="s">
        <v>866</v>
      </c>
      <c r="CG6" s="241" t="s">
        <v>864</v>
      </c>
      <c r="CH6" s="241" t="s">
        <v>930</v>
      </c>
      <c r="CI6" s="241" t="s">
        <v>926</v>
      </c>
      <c r="CJ6" s="241" t="s">
        <v>861</v>
      </c>
      <c r="CK6" s="500"/>
      <c r="CL6" s="340" t="s">
        <v>861</v>
      </c>
      <c r="CM6" s="340" t="s">
        <v>863</v>
      </c>
      <c r="CN6" s="340" t="s">
        <v>865</v>
      </c>
      <c r="CO6" s="340" t="s">
        <v>866</v>
      </c>
      <c r="CP6" s="340" t="s">
        <v>864</v>
      </c>
      <c r="CQ6" s="341" t="s">
        <v>910</v>
      </c>
      <c r="CR6" s="342" t="s">
        <v>861</v>
      </c>
      <c r="CS6" s="340" t="s">
        <v>863</v>
      </c>
      <c r="CT6" s="340" t="s">
        <v>865</v>
      </c>
      <c r="CU6" s="340" t="s">
        <v>866</v>
      </c>
      <c r="CV6" s="340" t="s">
        <v>864</v>
      </c>
      <c r="CW6" s="343" t="s">
        <v>910</v>
      </c>
      <c r="CX6" s="342" t="s">
        <v>861</v>
      </c>
      <c r="CY6" s="340" t="s">
        <v>863</v>
      </c>
      <c r="CZ6" s="340" t="s">
        <v>865</v>
      </c>
      <c r="DA6" s="340" t="s">
        <v>866</v>
      </c>
      <c r="DB6" s="340" t="s">
        <v>864</v>
      </c>
      <c r="DC6" s="343" t="s">
        <v>910</v>
      </c>
      <c r="DD6" s="347" t="s">
        <v>933</v>
      </c>
      <c r="DE6" s="348" t="s">
        <v>934</v>
      </c>
      <c r="DF6" s="349" t="s">
        <v>935</v>
      </c>
      <c r="DG6" s="339"/>
      <c r="DH6" s="361" t="s">
        <v>835</v>
      </c>
      <c r="DI6" s="361" t="s">
        <v>836</v>
      </c>
      <c r="DJ6" s="361" t="s">
        <v>874</v>
      </c>
      <c r="DK6" s="410" t="s">
        <v>885</v>
      </c>
      <c r="DL6" s="253" t="s">
        <v>886</v>
      </c>
      <c r="DM6" s="361" t="s">
        <v>880</v>
      </c>
      <c r="DN6" s="361" t="s">
        <v>927</v>
      </c>
      <c r="DO6" s="410" t="s">
        <v>916</v>
      </c>
      <c r="DP6" s="361" t="s">
        <v>837</v>
      </c>
      <c r="DQ6" s="410" t="s">
        <v>900</v>
      </c>
      <c r="DR6" s="253" t="s">
        <v>901</v>
      </c>
      <c r="DS6" s="410" t="s">
        <v>903</v>
      </c>
      <c r="DT6" s="253" t="s">
        <v>902</v>
      </c>
      <c r="DU6" s="410" t="s">
        <v>914</v>
      </c>
      <c r="DV6" s="410" t="s">
        <v>915</v>
      </c>
      <c r="DW6" s="361" t="s">
        <v>839</v>
      </c>
      <c r="DX6" s="361" t="s">
        <v>840</v>
      </c>
      <c r="DY6" s="361" t="s">
        <v>905</v>
      </c>
      <c r="DZ6" s="410" t="s">
        <v>941</v>
      </c>
      <c r="EA6" s="361" t="s">
        <v>873</v>
      </c>
      <c r="EB6" s="410" t="s">
        <v>884</v>
      </c>
      <c r="EC6" s="253" t="s">
        <v>883</v>
      </c>
      <c r="ED6" s="361" t="s">
        <v>875</v>
      </c>
      <c r="EE6" s="410" t="s">
        <v>887</v>
      </c>
      <c r="EF6" s="253" t="s">
        <v>888</v>
      </c>
      <c r="EG6" s="410" t="s">
        <v>838</v>
      </c>
      <c r="EH6" s="410" t="s">
        <v>889</v>
      </c>
      <c r="EI6" s="299" t="s">
        <v>890</v>
      </c>
      <c r="EJ6" s="410" t="s">
        <v>904</v>
      </c>
      <c r="EK6" s="299" t="s">
        <v>891</v>
      </c>
      <c r="EL6" s="361" t="s">
        <v>919</v>
      </c>
      <c r="EM6" s="410" t="s">
        <v>920</v>
      </c>
      <c r="EN6" s="361" t="s">
        <v>906</v>
      </c>
      <c r="EO6" s="410" t="s">
        <v>917</v>
      </c>
      <c r="EP6" s="410" t="s">
        <v>907</v>
      </c>
      <c r="EQ6" s="410" t="s">
        <v>918</v>
      </c>
      <c r="ER6" s="410" t="s">
        <v>909</v>
      </c>
      <c r="ES6" s="410" t="s">
        <v>908</v>
      </c>
      <c r="ET6" s="410" t="s">
        <v>921</v>
      </c>
      <c r="EU6" s="410" t="s">
        <v>937</v>
      </c>
      <c r="EV6" s="410" t="s">
        <v>834</v>
      </c>
      <c r="EW6" s="299"/>
      <c r="EX6" s="299"/>
      <c r="EY6" s="299"/>
      <c r="EZ6" s="366"/>
      <c r="FA6" s="329" t="s">
        <v>850</v>
      </c>
      <c r="FB6" s="330" t="s">
        <v>851</v>
      </c>
      <c r="FC6" s="330" t="s">
        <v>923</v>
      </c>
      <c r="FD6" s="330" t="s">
        <v>924</v>
      </c>
      <c r="FE6" s="330" t="s">
        <v>852</v>
      </c>
      <c r="FF6" s="331" t="s">
        <v>853</v>
      </c>
      <c r="FG6" s="328" t="s">
        <v>938</v>
      </c>
      <c r="FH6" s="328" t="s">
        <v>853</v>
      </c>
      <c r="FI6" s="367" t="s">
        <v>931</v>
      </c>
      <c r="FJ6" s="327" t="s">
        <v>850</v>
      </c>
      <c r="FK6" s="367" t="s">
        <v>922</v>
      </c>
      <c r="FL6" s="367" t="s">
        <v>860</v>
      </c>
      <c r="FM6" s="410" t="s">
        <v>854</v>
      </c>
      <c r="FN6" s="410" t="s">
        <v>855</v>
      </c>
      <c r="FO6" s="410" t="s">
        <v>954</v>
      </c>
      <c r="FP6" s="410" t="s">
        <v>942</v>
      </c>
      <c r="FQ6" s="497"/>
      <c r="FR6" s="378" t="s">
        <v>861</v>
      </c>
      <c r="FS6" s="379" t="s">
        <v>942</v>
      </c>
      <c r="FT6" s="379" t="s">
        <v>943</v>
      </c>
      <c r="FU6" s="380" t="s">
        <v>945</v>
      </c>
      <c r="FV6" s="381" t="s">
        <v>946</v>
      </c>
      <c r="FW6" s="382" t="s">
        <v>925</v>
      </c>
      <c r="FX6" s="384" t="s">
        <v>945</v>
      </c>
      <c r="FY6" s="385" t="s">
        <v>946</v>
      </c>
      <c r="FZ6" s="386" t="s">
        <v>925</v>
      </c>
      <c r="GA6" s="398" t="s">
        <v>861</v>
      </c>
      <c r="GB6" s="399" t="s">
        <v>942</v>
      </c>
      <c r="GC6" s="399" t="s">
        <v>943</v>
      </c>
      <c r="GD6" s="401" t="s">
        <v>955</v>
      </c>
      <c r="GE6" s="401" t="s">
        <v>956</v>
      </c>
      <c r="GF6" s="402" t="s">
        <v>957</v>
      </c>
      <c r="GG6" s="413" t="s">
        <v>949</v>
      </c>
      <c r="GI6" s="413" t="s">
        <v>949</v>
      </c>
      <c r="GJ6" s="439"/>
      <c r="GK6" s="387" t="s">
        <v>949</v>
      </c>
      <c r="GL6" s="384" t="s">
        <v>945</v>
      </c>
      <c r="GM6" s="400" t="s">
        <v>946</v>
      </c>
      <c r="GN6" s="403" t="s">
        <v>955</v>
      </c>
      <c r="GO6" s="403" t="s">
        <v>956</v>
      </c>
      <c r="GP6" s="404" t="s">
        <v>957</v>
      </c>
      <c r="GQ6" s="403" t="s">
        <v>955</v>
      </c>
      <c r="GR6" s="403" t="s">
        <v>956</v>
      </c>
      <c r="GS6" s="404" t="s">
        <v>957</v>
      </c>
    </row>
    <row r="7" spans="1:201" ht="12.75" customHeight="1" x14ac:dyDescent="0.2">
      <c r="A7" s="45" t="s">
        <v>6</v>
      </c>
      <c r="B7" s="113" t="s">
        <v>7</v>
      </c>
      <c r="C7" s="114" t="s">
        <v>8</v>
      </c>
      <c r="D7" s="388" t="s">
        <v>539</v>
      </c>
      <c r="E7" s="114" t="s">
        <v>9</v>
      </c>
      <c r="F7" s="11">
        <v>5</v>
      </c>
      <c r="G7" s="11">
        <v>4</v>
      </c>
      <c r="H7" s="11">
        <v>80</v>
      </c>
      <c r="I7" s="11">
        <v>80</v>
      </c>
      <c r="J7" s="11">
        <v>176</v>
      </c>
      <c r="K7" s="11">
        <v>195</v>
      </c>
      <c r="L7" s="11" t="s">
        <v>746</v>
      </c>
      <c r="M7" s="84">
        <v>222.8</v>
      </c>
      <c r="N7" s="84">
        <v>717.6</v>
      </c>
      <c r="O7" s="84">
        <v>0</v>
      </c>
      <c r="P7" s="133">
        <v>222.8</v>
      </c>
      <c r="Q7" s="133">
        <v>717.6</v>
      </c>
      <c r="R7" s="133">
        <v>0</v>
      </c>
      <c r="S7" s="133">
        <f>SUM(P7:R7)</f>
        <v>940.4</v>
      </c>
      <c r="T7" s="134">
        <v>222.8</v>
      </c>
      <c r="U7" s="130">
        <v>1.53</v>
      </c>
      <c r="V7" s="131">
        <v>1.9800000000000002E-2</v>
      </c>
      <c r="W7" s="131">
        <v>1.9800000000000002E-2</v>
      </c>
      <c r="X7" s="132">
        <v>1.32E-3</v>
      </c>
      <c r="Y7" s="131">
        <v>3.95E-2</v>
      </c>
      <c r="Z7" s="29">
        <v>3515.25</v>
      </c>
      <c r="AA7" s="29"/>
      <c r="AB7" s="9">
        <f t="shared" ref="AB7:AB70" si="0">Z7+AA7</f>
        <v>3515.25</v>
      </c>
      <c r="AC7" s="9">
        <f>SUM(AB7*6.33)</f>
        <v>22251.53</v>
      </c>
      <c r="AD7" s="9">
        <v>0.39</v>
      </c>
      <c r="AE7" s="9">
        <v>3.88</v>
      </c>
      <c r="AF7" s="21">
        <f>2.42-AJ7</f>
        <v>2.1800000000000002</v>
      </c>
      <c r="AG7" s="18">
        <f>0.54-AQ7</f>
        <v>0.43</v>
      </c>
      <c r="AH7" s="9">
        <v>2.78</v>
      </c>
      <c r="AI7" s="43">
        <v>841</v>
      </c>
      <c r="AJ7" s="21">
        <f t="shared" ref="AJ7:AJ70" si="1">SUM(AI7/AB7)</f>
        <v>0.24</v>
      </c>
      <c r="AK7" s="9">
        <v>0</v>
      </c>
      <c r="AL7" s="9">
        <v>0</v>
      </c>
      <c r="AM7" s="9">
        <v>0.27</v>
      </c>
      <c r="AN7" s="13"/>
      <c r="AO7" s="13">
        <v>801.6</v>
      </c>
      <c r="AP7" s="13">
        <f>5.58</f>
        <v>5.58</v>
      </c>
      <c r="AQ7" s="18">
        <f t="shared" ref="AQ7:AQ70" si="2">SUM(AN7:AO7)*AP7/AB7/12</f>
        <v>0.11</v>
      </c>
      <c r="AR7" s="9">
        <v>0.78</v>
      </c>
      <c r="AS7" s="9">
        <v>0.39</v>
      </c>
      <c r="AT7" s="9">
        <v>7.0000000000000007E-2</v>
      </c>
      <c r="AU7" s="9">
        <v>4.7300000000000004</v>
      </c>
      <c r="AV7" s="9">
        <v>0.12</v>
      </c>
      <c r="AW7" s="9">
        <f>1.03+0.32+0.41</f>
        <v>1.76</v>
      </c>
      <c r="AX7" s="9">
        <f>1.42+0.56</f>
        <v>1.98</v>
      </c>
      <c r="AY7" s="110">
        <f>SUM(AD7:AH7,AJ7:AM7,AQ7:AX7)</f>
        <v>20.11</v>
      </c>
      <c r="AZ7" s="13">
        <v>20.11</v>
      </c>
      <c r="BA7" s="13">
        <f t="shared" ref="BA7:BA70" si="3">SUM(AY7-AZ7)</f>
        <v>0</v>
      </c>
      <c r="BB7" s="9">
        <f t="shared" ref="BB7:BB70" si="4">SUM(AB7*AZ7)</f>
        <v>70691.679999999993</v>
      </c>
      <c r="BC7" s="9">
        <v>20.11</v>
      </c>
      <c r="BD7" s="10">
        <v>44378</v>
      </c>
      <c r="BE7" s="9">
        <f t="shared" ref="BE7:BE70" si="5">SUM(AB7*AD7)</f>
        <v>1370.95</v>
      </c>
      <c r="BF7" s="9">
        <f t="shared" ref="BF7:BF70" si="6">SUM(AB7*AE7)</f>
        <v>13639.17</v>
      </c>
      <c r="BG7" s="9">
        <f t="shared" ref="BG7:BG70" si="7">SUM(AB7*AF7)</f>
        <v>7663.25</v>
      </c>
      <c r="BH7" s="9">
        <f t="shared" ref="BH7:BH70" si="8">SUM(AB7*AG7)</f>
        <v>1511.56</v>
      </c>
      <c r="BI7" s="9">
        <f t="shared" ref="BI7:BI70" si="9">SUM(AB7*AH7)</f>
        <v>9772.4</v>
      </c>
      <c r="BJ7" s="9">
        <f t="shared" ref="BJ7:BJ70" si="10">SUM(AB7*AJ7)</f>
        <v>843.66</v>
      </c>
      <c r="BK7" s="9">
        <f t="shared" ref="BK7:BK70" si="11">SUM(AB7*AK7)</f>
        <v>0</v>
      </c>
      <c r="BL7" s="9">
        <f t="shared" ref="BL7:BL70" si="12">SUM(AB7*AL7)</f>
        <v>0</v>
      </c>
      <c r="BM7" s="9">
        <f t="shared" ref="BM7:BM70" si="13">SUM(AB7*AM7)</f>
        <v>949.12</v>
      </c>
      <c r="BN7" s="9">
        <f t="shared" ref="BN7:BN70" si="14">SUM(AB7*AQ7)</f>
        <v>386.68</v>
      </c>
      <c r="BO7" s="9">
        <f t="shared" ref="BO7:BO70" si="15">SUM(AB7*AR7)</f>
        <v>2741.9</v>
      </c>
      <c r="BP7" s="9">
        <f t="shared" ref="BP7:BP70" si="16">SUM(AB7*AS7)</f>
        <v>1370.95</v>
      </c>
      <c r="BQ7" s="9">
        <f t="shared" ref="BQ7:BQ70" si="17">SUM(AB7*AT7)</f>
        <v>246.07</v>
      </c>
      <c r="BR7" s="9">
        <f t="shared" ref="BR7:BR70" si="18">SUM(AB7*AU7)</f>
        <v>16627.13</v>
      </c>
      <c r="BS7" s="9">
        <f t="shared" ref="BS7:BS70" si="19">SUM(AB7*AV7)</f>
        <v>421.83</v>
      </c>
      <c r="BT7" s="9">
        <f t="shared" ref="BT7:BT70" si="20">SUM(AB7*AW7)</f>
        <v>6186.84</v>
      </c>
      <c r="BU7" s="9">
        <f t="shared" ref="BU7:BU70" si="21">SUM(AB7*AX7)</f>
        <v>6960.2</v>
      </c>
      <c r="BV7" s="17">
        <f t="shared" ref="BV7:BV70" si="22">SUM(BE7:BU7)</f>
        <v>70691.710000000006</v>
      </c>
      <c r="BW7" s="17">
        <v>1.65</v>
      </c>
      <c r="BX7" s="17">
        <v>0.04</v>
      </c>
      <c r="BY7" s="17">
        <v>0.23</v>
      </c>
      <c r="BZ7" s="17">
        <v>0.04</v>
      </c>
      <c r="CA7" s="29">
        <v>6.33</v>
      </c>
      <c r="CB7" s="325"/>
      <c r="CC7" s="13">
        <v>7263.72</v>
      </c>
      <c r="CD7" s="13">
        <v>547.79999999999995</v>
      </c>
      <c r="CE7" s="13">
        <v>75.52</v>
      </c>
      <c r="CF7" s="13">
        <v>12.61</v>
      </c>
      <c r="CG7" s="13">
        <v>62.89</v>
      </c>
      <c r="CH7" s="13">
        <v>0</v>
      </c>
      <c r="CI7" s="13">
        <v>1387.8</v>
      </c>
      <c r="CJ7" s="13">
        <v>28192</v>
      </c>
      <c r="CK7" s="13">
        <v>1351.93</v>
      </c>
      <c r="CL7" s="13">
        <v>841641.51</v>
      </c>
      <c r="CM7" s="13">
        <v>60529.97</v>
      </c>
      <c r="CN7" s="13">
        <v>35032.269999999997</v>
      </c>
      <c r="CO7" s="13">
        <v>2368.7399999999998</v>
      </c>
      <c r="CP7" s="13">
        <v>2127.13</v>
      </c>
      <c r="CQ7" s="13">
        <v>0</v>
      </c>
      <c r="CR7" s="13">
        <v>789152.76</v>
      </c>
      <c r="CS7" s="13">
        <v>34393.75</v>
      </c>
      <c r="CT7" s="13">
        <v>31322.639999999999</v>
      </c>
      <c r="CU7" s="13">
        <v>2718.73</v>
      </c>
      <c r="CV7" s="13">
        <v>2060.63</v>
      </c>
      <c r="CW7" s="13">
        <v>0</v>
      </c>
      <c r="CX7" s="13">
        <v>145519.75</v>
      </c>
      <c r="CY7" s="13">
        <v>15125.69</v>
      </c>
      <c r="CZ7" s="13">
        <v>4786.6400000000003</v>
      </c>
      <c r="DA7" s="13">
        <v>621.45000000000005</v>
      </c>
      <c r="DB7" s="13">
        <v>424.92</v>
      </c>
      <c r="DC7" s="13"/>
      <c r="DD7" s="315">
        <v>941699.62</v>
      </c>
      <c r="DE7" s="317">
        <v>859648.51</v>
      </c>
      <c r="DF7" s="317">
        <v>91.29</v>
      </c>
      <c r="DG7" s="318">
        <v>166478.45000000001</v>
      </c>
      <c r="DH7" s="310">
        <v>36936.300000000003</v>
      </c>
      <c r="DI7" s="310">
        <v>21124.2</v>
      </c>
      <c r="DJ7" s="312">
        <v>0</v>
      </c>
      <c r="DK7" s="362">
        <v>0</v>
      </c>
      <c r="DL7" s="362"/>
      <c r="DM7" s="362">
        <v>0</v>
      </c>
      <c r="DN7" s="362">
        <v>0</v>
      </c>
      <c r="DO7" s="362">
        <v>0</v>
      </c>
      <c r="DP7" s="362">
        <v>0</v>
      </c>
      <c r="DQ7" s="362">
        <v>0</v>
      </c>
      <c r="DR7" s="362">
        <v>0</v>
      </c>
      <c r="DS7" s="362">
        <v>0</v>
      </c>
      <c r="DT7" s="362">
        <v>0</v>
      </c>
      <c r="DU7" s="362">
        <v>0</v>
      </c>
      <c r="DV7" s="362">
        <v>0</v>
      </c>
      <c r="DW7" s="362">
        <v>0</v>
      </c>
      <c r="DX7" s="362">
        <v>0</v>
      </c>
      <c r="DY7" s="362">
        <v>0</v>
      </c>
      <c r="DZ7" s="375">
        <v>3800</v>
      </c>
      <c r="EA7" s="362">
        <v>208728</v>
      </c>
      <c r="EB7" s="362">
        <v>11339</v>
      </c>
      <c r="EC7" s="362"/>
      <c r="ED7" s="362">
        <v>0</v>
      </c>
      <c r="EE7" s="362">
        <v>0</v>
      </c>
      <c r="EF7" s="362">
        <v>0</v>
      </c>
      <c r="EG7" s="362">
        <v>13386</v>
      </c>
      <c r="EH7" s="362">
        <v>31710</v>
      </c>
      <c r="EI7" s="362"/>
      <c r="EJ7" s="362">
        <v>12060</v>
      </c>
      <c r="EK7" s="362"/>
      <c r="EL7" s="362">
        <v>0</v>
      </c>
      <c r="EM7" s="362">
        <v>4472.9399999999996</v>
      </c>
      <c r="EN7" s="362">
        <v>0</v>
      </c>
      <c r="EO7" s="362">
        <v>0</v>
      </c>
      <c r="EP7" s="362">
        <v>217524</v>
      </c>
      <c r="EQ7" s="362">
        <v>0</v>
      </c>
      <c r="ER7" s="362">
        <v>15015</v>
      </c>
      <c r="ES7" s="362">
        <v>0</v>
      </c>
      <c r="ET7" s="362">
        <v>12932</v>
      </c>
      <c r="EU7" s="362">
        <v>0</v>
      </c>
      <c r="EV7" s="362">
        <v>89932.92</v>
      </c>
      <c r="EW7" s="362"/>
      <c r="EX7" s="202"/>
      <c r="EY7" s="202"/>
      <c r="EZ7" s="229"/>
      <c r="FA7" s="368">
        <v>63531.98</v>
      </c>
      <c r="FB7" s="368">
        <v>23168.95</v>
      </c>
      <c r="FC7" s="368">
        <v>0</v>
      </c>
      <c r="FD7" s="368">
        <v>0</v>
      </c>
      <c r="FE7" s="368">
        <v>3036.44</v>
      </c>
      <c r="FF7" s="368">
        <v>2172.98</v>
      </c>
      <c r="FG7" s="368">
        <v>0</v>
      </c>
      <c r="FH7" s="368">
        <v>-899.38</v>
      </c>
      <c r="FI7" s="368">
        <v>0</v>
      </c>
      <c r="FJ7" s="368">
        <v>0</v>
      </c>
      <c r="FK7" s="368">
        <v>0</v>
      </c>
      <c r="FL7" s="368">
        <v>0</v>
      </c>
      <c r="FM7" s="368">
        <v>93980.41</v>
      </c>
      <c r="FN7" s="368">
        <v>59757.14</v>
      </c>
      <c r="FO7" s="323">
        <v>832697.91</v>
      </c>
      <c r="FP7" s="323">
        <v>91010.97</v>
      </c>
      <c r="FQ7" s="323">
        <v>923708.88</v>
      </c>
      <c r="FR7" s="338">
        <v>84375.82</v>
      </c>
      <c r="FS7" s="376">
        <v>1781.35</v>
      </c>
      <c r="FT7" s="377">
        <v>86157.17</v>
      </c>
      <c r="FU7" s="377">
        <v>878485.03</v>
      </c>
      <c r="FV7" s="377">
        <v>102108.86</v>
      </c>
      <c r="FW7" s="362">
        <v>980593.89</v>
      </c>
      <c r="FX7" s="362">
        <v>817341.1</v>
      </c>
      <c r="FY7" s="362">
        <v>82931.509999999995</v>
      </c>
      <c r="FZ7" s="362">
        <v>900272.61</v>
      </c>
      <c r="GA7" s="362">
        <v>145519.75</v>
      </c>
      <c r="GB7" s="362">
        <v>20958.7</v>
      </c>
      <c r="GC7" s="362">
        <v>166478.45000000001</v>
      </c>
      <c r="GD7" s="362">
        <v>100710.55</v>
      </c>
      <c r="GE7" s="362">
        <v>-12098.21</v>
      </c>
      <c r="GF7" s="362">
        <v>88612.34</v>
      </c>
      <c r="GG7" s="202"/>
      <c r="GH7" s="416">
        <v>91</v>
      </c>
      <c r="GI7" s="414">
        <v>2455</v>
      </c>
      <c r="GJ7" s="419">
        <v>7962.54</v>
      </c>
      <c r="GK7" s="396">
        <v>0</v>
      </c>
      <c r="GL7" s="202">
        <v>0</v>
      </c>
      <c r="GM7" s="202">
        <v>0</v>
      </c>
      <c r="GN7" s="323">
        <v>45787.12</v>
      </c>
      <c r="GO7" s="323">
        <v>11097.89</v>
      </c>
      <c r="GP7" s="323">
        <v>56885.01</v>
      </c>
      <c r="GQ7" s="323">
        <v>146497.67000000001</v>
      </c>
      <c r="GR7" s="323">
        <v>-1000.32</v>
      </c>
      <c r="GS7" s="323">
        <v>145497.35</v>
      </c>
    </row>
    <row r="8" spans="1:201" ht="12.75" customHeight="1" x14ac:dyDescent="0.2">
      <c r="A8" s="45" t="s">
        <v>10</v>
      </c>
      <c r="B8" s="113" t="s">
        <v>7</v>
      </c>
      <c r="C8" s="114" t="s">
        <v>11</v>
      </c>
      <c r="D8" s="388" t="s">
        <v>390</v>
      </c>
      <c r="E8" s="114" t="s">
        <v>12</v>
      </c>
      <c r="F8" s="11">
        <v>5</v>
      </c>
      <c r="G8" s="11">
        <v>4</v>
      </c>
      <c r="H8" s="11">
        <v>80</v>
      </c>
      <c r="I8" s="11">
        <v>84</v>
      </c>
      <c r="J8" s="11">
        <v>156</v>
      </c>
      <c r="K8" s="11">
        <v>185</v>
      </c>
      <c r="L8" s="11" t="s">
        <v>746</v>
      </c>
      <c r="M8" s="84">
        <v>281</v>
      </c>
      <c r="N8" s="84">
        <v>920</v>
      </c>
      <c r="O8" s="84">
        <v>0</v>
      </c>
      <c r="P8" s="133">
        <v>281</v>
      </c>
      <c r="Q8" s="133">
        <f>1199.7-P8</f>
        <v>918.7</v>
      </c>
      <c r="R8" s="133">
        <v>0</v>
      </c>
      <c r="S8" s="133">
        <f t="shared" ref="S8:S71" si="23">SUM(P8:R8)</f>
        <v>1199.7</v>
      </c>
      <c r="T8" s="134">
        <v>281</v>
      </c>
      <c r="U8" s="130">
        <v>1.53</v>
      </c>
      <c r="V8" s="131">
        <v>1.9800000000000002E-2</v>
      </c>
      <c r="W8" s="131">
        <v>1.9800000000000002E-2</v>
      </c>
      <c r="X8" s="132">
        <v>1.32E-3</v>
      </c>
      <c r="Y8" s="131">
        <v>3.95E-2</v>
      </c>
      <c r="Z8" s="29">
        <v>3430.42</v>
      </c>
      <c r="AA8" s="29">
        <v>110.6</v>
      </c>
      <c r="AB8" s="9">
        <f t="shared" si="0"/>
        <v>3541.02</v>
      </c>
      <c r="AC8" s="9">
        <f>SUM(AB8*6.33)</f>
        <v>22414.66</v>
      </c>
      <c r="AD8" s="9">
        <v>0.39</v>
      </c>
      <c r="AE8" s="9">
        <v>3.82</v>
      </c>
      <c r="AF8" s="21">
        <f>2.42-AJ8</f>
        <v>2.17</v>
      </c>
      <c r="AG8" s="18">
        <f>0.53-AQ8</f>
        <v>0.42</v>
      </c>
      <c r="AH8" s="9">
        <v>2.78</v>
      </c>
      <c r="AI8" s="43">
        <v>883</v>
      </c>
      <c r="AJ8" s="21">
        <f t="shared" si="1"/>
        <v>0.25</v>
      </c>
      <c r="AK8" s="9">
        <v>0</v>
      </c>
      <c r="AL8" s="9">
        <v>0</v>
      </c>
      <c r="AM8" s="9">
        <v>0.27</v>
      </c>
      <c r="AN8" s="13"/>
      <c r="AO8" s="13">
        <v>801.6</v>
      </c>
      <c r="AP8" s="13">
        <f t="shared" ref="AP8:AP71" si="24">5.58</f>
        <v>5.58</v>
      </c>
      <c r="AQ8" s="18">
        <f t="shared" si="2"/>
        <v>0.11</v>
      </c>
      <c r="AR8" s="9">
        <v>0.76</v>
      </c>
      <c r="AS8" s="9">
        <v>0.38</v>
      </c>
      <c r="AT8" s="9">
        <v>7.0000000000000007E-2</v>
      </c>
      <c r="AU8" s="9">
        <v>4.58</v>
      </c>
      <c r="AV8" s="9">
        <v>0.12</v>
      </c>
      <c r="AW8" s="9">
        <f>1.02+0.33+0.4</f>
        <v>1.75</v>
      </c>
      <c r="AX8" s="9">
        <f>1.41+0.56</f>
        <v>1.97</v>
      </c>
      <c r="AY8" s="110">
        <f t="shared" ref="AY8:AY71" si="25">SUM(AD8:AH8,AJ8:AM8,AQ8:AX8)</f>
        <v>19.84</v>
      </c>
      <c r="AZ8" s="13">
        <v>19.84</v>
      </c>
      <c r="BA8" s="13">
        <f t="shared" si="3"/>
        <v>0</v>
      </c>
      <c r="BB8" s="9">
        <f t="shared" si="4"/>
        <v>70253.84</v>
      </c>
      <c r="BC8" s="9">
        <v>19.84</v>
      </c>
      <c r="BD8" s="10">
        <v>44409</v>
      </c>
      <c r="BE8" s="9">
        <f t="shared" si="5"/>
        <v>1381</v>
      </c>
      <c r="BF8" s="9">
        <f t="shared" si="6"/>
        <v>13526.7</v>
      </c>
      <c r="BG8" s="9">
        <f t="shared" si="7"/>
        <v>7684.01</v>
      </c>
      <c r="BH8" s="9">
        <f t="shared" si="8"/>
        <v>1487.23</v>
      </c>
      <c r="BI8" s="9">
        <f t="shared" si="9"/>
        <v>9844.0400000000009</v>
      </c>
      <c r="BJ8" s="9">
        <f t="shared" si="10"/>
        <v>885.26</v>
      </c>
      <c r="BK8" s="9">
        <f t="shared" si="11"/>
        <v>0</v>
      </c>
      <c r="BL8" s="9">
        <f t="shared" si="12"/>
        <v>0</v>
      </c>
      <c r="BM8" s="9">
        <f t="shared" si="13"/>
        <v>956.08</v>
      </c>
      <c r="BN8" s="9">
        <f t="shared" si="14"/>
        <v>389.51</v>
      </c>
      <c r="BO8" s="9">
        <f t="shared" si="15"/>
        <v>2691.18</v>
      </c>
      <c r="BP8" s="9">
        <f t="shared" si="16"/>
        <v>1345.59</v>
      </c>
      <c r="BQ8" s="9">
        <f t="shared" si="17"/>
        <v>247.87</v>
      </c>
      <c r="BR8" s="9">
        <f t="shared" si="18"/>
        <v>16217.87</v>
      </c>
      <c r="BS8" s="9">
        <f t="shared" si="19"/>
        <v>424.92</v>
      </c>
      <c r="BT8" s="9">
        <f t="shared" si="20"/>
        <v>6196.79</v>
      </c>
      <c r="BU8" s="9">
        <f t="shared" si="21"/>
        <v>6975.81</v>
      </c>
      <c r="BV8" s="17">
        <f t="shared" si="22"/>
        <v>70253.86</v>
      </c>
      <c r="BW8" s="17">
        <v>1.72</v>
      </c>
      <c r="BX8" s="17">
        <v>0.04</v>
      </c>
      <c r="BY8" s="17">
        <v>0.26</v>
      </c>
      <c r="BZ8" s="17">
        <v>0.05</v>
      </c>
      <c r="CA8" s="29">
        <v>6.33</v>
      </c>
      <c r="CB8" s="325"/>
      <c r="CC8" s="13">
        <v>26331.72</v>
      </c>
      <c r="CD8" s="13">
        <v>422.5</v>
      </c>
      <c r="CE8" s="13">
        <v>7.74</v>
      </c>
      <c r="CF8" s="13">
        <v>2.7</v>
      </c>
      <c r="CG8" s="13">
        <v>34.369999999999997</v>
      </c>
      <c r="CH8" s="13">
        <v>0</v>
      </c>
      <c r="CI8" s="13">
        <v>4496.8900000000003</v>
      </c>
      <c r="CJ8" s="13">
        <v>27684</v>
      </c>
      <c r="CK8" s="13">
        <v>1361.84</v>
      </c>
      <c r="CL8" s="13">
        <v>819700.5</v>
      </c>
      <c r="CM8" s="13">
        <v>6839.58</v>
      </c>
      <c r="CN8" s="13">
        <v>47.53</v>
      </c>
      <c r="CO8" s="13">
        <v>245.63</v>
      </c>
      <c r="CP8" s="13">
        <v>1070.0899999999999</v>
      </c>
      <c r="CQ8" s="13">
        <v>0</v>
      </c>
      <c r="CR8" s="13">
        <v>738754.75</v>
      </c>
      <c r="CS8" s="13">
        <v>10975.7</v>
      </c>
      <c r="CT8" s="13">
        <v>714.6</v>
      </c>
      <c r="CU8" s="13">
        <v>5915.57</v>
      </c>
      <c r="CV8" s="13">
        <v>3454.65</v>
      </c>
      <c r="CW8" s="13">
        <v>0</v>
      </c>
      <c r="CX8" s="13">
        <v>164915.25</v>
      </c>
      <c r="CY8" s="13">
        <v>-5644.2</v>
      </c>
      <c r="CZ8" s="13">
        <v>-1011.54</v>
      </c>
      <c r="DA8" s="13">
        <v>1543.91</v>
      </c>
      <c r="DB8" s="13">
        <v>838.06</v>
      </c>
      <c r="DC8" s="13"/>
      <c r="DD8" s="315">
        <v>827903.33</v>
      </c>
      <c r="DE8" s="317">
        <v>759815.27</v>
      </c>
      <c r="DF8" s="317">
        <v>91.78</v>
      </c>
      <c r="DG8" s="318">
        <v>160641.48000000001</v>
      </c>
      <c r="DH8" s="310">
        <v>35706.6</v>
      </c>
      <c r="DI8" s="310">
        <v>20421</v>
      </c>
      <c r="DJ8" s="312">
        <v>0</v>
      </c>
      <c r="DK8" s="362">
        <v>0</v>
      </c>
      <c r="DL8" s="362"/>
      <c r="DM8" s="362">
        <v>0</v>
      </c>
      <c r="DN8" s="362">
        <v>0</v>
      </c>
      <c r="DO8" s="362">
        <v>0</v>
      </c>
      <c r="DP8" s="362">
        <v>0</v>
      </c>
      <c r="DQ8" s="362">
        <v>0</v>
      </c>
      <c r="DR8" s="362"/>
      <c r="DS8" s="362">
        <v>0</v>
      </c>
      <c r="DT8" s="362"/>
      <c r="DU8" s="362">
        <v>0</v>
      </c>
      <c r="DV8" s="362">
        <v>0</v>
      </c>
      <c r="DW8" s="362">
        <v>0</v>
      </c>
      <c r="DX8" s="362">
        <v>0</v>
      </c>
      <c r="DY8" s="362">
        <v>0</v>
      </c>
      <c r="DZ8" s="375">
        <v>0</v>
      </c>
      <c r="EA8" s="362">
        <v>208452</v>
      </c>
      <c r="EB8" s="362">
        <v>18139</v>
      </c>
      <c r="EC8" s="362"/>
      <c r="ED8" s="362">
        <v>0</v>
      </c>
      <c r="EE8" s="362">
        <v>0</v>
      </c>
      <c r="EF8" s="362"/>
      <c r="EG8" s="362">
        <v>14052</v>
      </c>
      <c r="EH8" s="362">
        <v>32025</v>
      </c>
      <c r="EI8" s="362"/>
      <c r="EJ8" s="362">
        <v>16800</v>
      </c>
      <c r="EK8" s="362"/>
      <c r="EL8" s="362">
        <v>0</v>
      </c>
      <c r="EM8" s="362">
        <v>4472.9399999999996</v>
      </c>
      <c r="EN8" s="362">
        <v>0</v>
      </c>
      <c r="EO8" s="362">
        <v>0</v>
      </c>
      <c r="EP8" s="362">
        <v>219636</v>
      </c>
      <c r="EQ8" s="362">
        <v>0</v>
      </c>
      <c r="ER8" s="362">
        <v>12285</v>
      </c>
      <c r="ES8" s="362">
        <v>0</v>
      </c>
      <c r="ET8" s="362">
        <v>12826</v>
      </c>
      <c r="EU8" s="362">
        <v>0</v>
      </c>
      <c r="EV8" s="362">
        <v>89454.46</v>
      </c>
      <c r="EW8" s="362"/>
      <c r="EX8" s="202"/>
      <c r="EY8" s="202"/>
      <c r="EZ8" s="229"/>
      <c r="FA8" s="368">
        <v>0</v>
      </c>
      <c r="FB8" s="368">
        <v>0</v>
      </c>
      <c r="FC8" s="368">
        <v>0</v>
      </c>
      <c r="FD8" s="368">
        <v>0</v>
      </c>
      <c r="FE8" s="368">
        <v>2630.03</v>
      </c>
      <c r="FF8" s="368">
        <v>1994.19</v>
      </c>
      <c r="FG8" s="368">
        <v>-1459.3</v>
      </c>
      <c r="FH8" s="368">
        <v>-1669.96</v>
      </c>
      <c r="FI8" s="368">
        <v>0</v>
      </c>
      <c r="FJ8" s="368">
        <v>0</v>
      </c>
      <c r="FK8" s="368">
        <v>0</v>
      </c>
      <c r="FL8" s="368">
        <v>0</v>
      </c>
      <c r="FM8" s="368">
        <v>94669.38</v>
      </c>
      <c r="FN8" s="368">
        <v>60195.23</v>
      </c>
      <c r="FO8" s="323">
        <v>839134.61</v>
      </c>
      <c r="FP8" s="323">
        <v>1494.96</v>
      </c>
      <c r="FQ8" s="323">
        <v>840629.57</v>
      </c>
      <c r="FR8" s="338">
        <v>88102.06</v>
      </c>
      <c r="FS8" s="376">
        <v>6332.94</v>
      </c>
      <c r="FT8" s="377">
        <v>94435</v>
      </c>
      <c r="FU8" s="377">
        <v>878213.11</v>
      </c>
      <c r="FV8" s="377">
        <v>10031.98</v>
      </c>
      <c r="FW8" s="362">
        <v>888245.09</v>
      </c>
      <c r="FX8" s="362">
        <v>806174.77</v>
      </c>
      <c r="FY8" s="362">
        <v>20736.14</v>
      </c>
      <c r="FZ8" s="362">
        <v>826910.91</v>
      </c>
      <c r="GA8" s="362">
        <v>160140.4</v>
      </c>
      <c r="GB8" s="362">
        <v>-4371.22</v>
      </c>
      <c r="GC8" s="362">
        <v>155769.18</v>
      </c>
      <c r="GD8" s="362">
        <v>34449.360000000001</v>
      </c>
      <c r="GE8" s="362">
        <v>18066.53</v>
      </c>
      <c r="GF8" s="362">
        <v>52515.89</v>
      </c>
      <c r="GG8" s="202">
        <v>-4872.3</v>
      </c>
      <c r="GH8" s="416">
        <v>98</v>
      </c>
      <c r="GI8" s="414">
        <v>2455</v>
      </c>
      <c r="GJ8" s="419">
        <v>26799.03</v>
      </c>
      <c r="GK8" s="396">
        <v>-4872.3</v>
      </c>
      <c r="GL8" s="202">
        <v>-4774.8540000000003</v>
      </c>
      <c r="GM8" s="202">
        <v>-97.445999999999898</v>
      </c>
      <c r="GN8" s="323">
        <v>39078.5</v>
      </c>
      <c r="GO8" s="323">
        <v>8537.02</v>
      </c>
      <c r="GP8" s="323">
        <v>47615.519999999997</v>
      </c>
      <c r="GQ8" s="323">
        <v>73527.86</v>
      </c>
      <c r="GR8" s="323">
        <v>26603.55</v>
      </c>
      <c r="GS8" s="323">
        <v>100131.41</v>
      </c>
    </row>
    <row r="9" spans="1:201" ht="12.75" customHeight="1" x14ac:dyDescent="0.2">
      <c r="A9" s="45" t="s">
        <v>13</v>
      </c>
      <c r="B9" s="113" t="s">
        <v>7</v>
      </c>
      <c r="C9" s="114" t="s">
        <v>11</v>
      </c>
      <c r="D9" s="388" t="s">
        <v>540</v>
      </c>
      <c r="E9" s="114" t="s">
        <v>9</v>
      </c>
      <c r="F9" s="11">
        <v>5</v>
      </c>
      <c r="G9" s="11">
        <v>4</v>
      </c>
      <c r="H9" s="11">
        <v>80</v>
      </c>
      <c r="I9" s="11">
        <v>80</v>
      </c>
      <c r="J9" s="11">
        <v>170</v>
      </c>
      <c r="K9" s="11">
        <v>194</v>
      </c>
      <c r="L9" s="11" t="s">
        <v>746</v>
      </c>
      <c r="M9" s="84">
        <v>252</v>
      </c>
      <c r="N9" s="84">
        <v>732.1</v>
      </c>
      <c r="O9" s="84">
        <v>0</v>
      </c>
      <c r="P9" s="133">
        <v>252</v>
      </c>
      <c r="Q9" s="133">
        <v>732.1</v>
      </c>
      <c r="R9" s="133">
        <v>0</v>
      </c>
      <c r="S9" s="133">
        <f t="shared" si="23"/>
        <v>984.1</v>
      </c>
      <c r="T9" s="136">
        <v>226.4</v>
      </c>
      <c r="U9" s="130">
        <v>1.53</v>
      </c>
      <c r="V9" s="131">
        <v>1.9800000000000002E-2</v>
      </c>
      <c r="W9" s="131">
        <v>1.9800000000000002E-2</v>
      </c>
      <c r="X9" s="132">
        <v>1.32E-3</v>
      </c>
      <c r="Y9" s="131">
        <v>3.95E-2</v>
      </c>
      <c r="Z9" s="29">
        <v>3559.76</v>
      </c>
      <c r="AA9" s="29"/>
      <c r="AB9" s="9">
        <f t="shared" si="0"/>
        <v>3559.76</v>
      </c>
      <c r="AC9" s="9">
        <f>SUM(AB9*6.33)</f>
        <v>22533.279999999999</v>
      </c>
      <c r="AD9" s="9">
        <v>0.36</v>
      </c>
      <c r="AE9" s="9">
        <v>5.07</v>
      </c>
      <c r="AF9" s="21">
        <f>2.43-AJ9</f>
        <v>2.1800000000000002</v>
      </c>
      <c r="AG9" s="18">
        <f>0.53-AQ9</f>
        <v>0.43</v>
      </c>
      <c r="AH9" s="9">
        <v>2.78</v>
      </c>
      <c r="AI9" s="43">
        <v>883</v>
      </c>
      <c r="AJ9" s="21">
        <f t="shared" si="1"/>
        <v>0.25</v>
      </c>
      <c r="AK9" s="9">
        <v>0</v>
      </c>
      <c r="AL9" s="9">
        <v>0</v>
      </c>
      <c r="AM9" s="9">
        <v>0.26</v>
      </c>
      <c r="AN9" s="13"/>
      <c r="AO9" s="13">
        <v>801.6</v>
      </c>
      <c r="AP9" s="13">
        <f t="shared" si="24"/>
        <v>5.58</v>
      </c>
      <c r="AQ9" s="18">
        <f t="shared" si="2"/>
        <v>0.1</v>
      </c>
      <c r="AR9" s="9">
        <v>0.77</v>
      </c>
      <c r="AS9" s="9">
        <v>0.38</v>
      </c>
      <c r="AT9" s="9">
        <v>7.0000000000000007E-2</v>
      </c>
      <c r="AU9" s="9">
        <v>3.31</v>
      </c>
      <c r="AV9" s="9">
        <v>0.13</v>
      </c>
      <c r="AW9" s="9">
        <f>1.13+0.31+0.29</f>
        <v>1.73</v>
      </c>
      <c r="AX9" s="9">
        <f>1.56+0.42</f>
        <v>1.98</v>
      </c>
      <c r="AY9" s="110">
        <f t="shared" si="25"/>
        <v>19.8</v>
      </c>
      <c r="AZ9" s="13">
        <v>19.8</v>
      </c>
      <c r="BA9" s="13">
        <f t="shared" si="3"/>
        <v>0</v>
      </c>
      <c r="BB9" s="9">
        <f t="shared" si="4"/>
        <v>70483.25</v>
      </c>
      <c r="BC9" s="9">
        <v>19.8</v>
      </c>
      <c r="BD9" s="10">
        <v>44409</v>
      </c>
      <c r="BE9" s="9">
        <f t="shared" si="5"/>
        <v>1281.51</v>
      </c>
      <c r="BF9" s="9">
        <f t="shared" si="6"/>
        <v>18047.98</v>
      </c>
      <c r="BG9" s="9">
        <f t="shared" si="7"/>
        <v>7760.28</v>
      </c>
      <c r="BH9" s="9">
        <f t="shared" si="8"/>
        <v>1530.7</v>
      </c>
      <c r="BI9" s="9">
        <f t="shared" si="9"/>
        <v>9896.1299999999992</v>
      </c>
      <c r="BJ9" s="9">
        <f t="shared" si="10"/>
        <v>889.94</v>
      </c>
      <c r="BK9" s="9">
        <f t="shared" si="11"/>
        <v>0</v>
      </c>
      <c r="BL9" s="9">
        <f t="shared" si="12"/>
        <v>0</v>
      </c>
      <c r="BM9" s="9">
        <f t="shared" si="13"/>
        <v>925.54</v>
      </c>
      <c r="BN9" s="9">
        <f t="shared" si="14"/>
        <v>355.98</v>
      </c>
      <c r="BO9" s="9">
        <f t="shared" si="15"/>
        <v>2741.02</v>
      </c>
      <c r="BP9" s="9">
        <f t="shared" si="16"/>
        <v>1352.71</v>
      </c>
      <c r="BQ9" s="9">
        <f t="shared" si="17"/>
        <v>249.18</v>
      </c>
      <c r="BR9" s="9">
        <f t="shared" si="18"/>
        <v>11782.81</v>
      </c>
      <c r="BS9" s="9">
        <f t="shared" si="19"/>
        <v>462.77</v>
      </c>
      <c r="BT9" s="9">
        <f t="shared" si="20"/>
        <v>6158.38</v>
      </c>
      <c r="BU9" s="9">
        <f t="shared" si="21"/>
        <v>7048.32</v>
      </c>
      <c r="BV9" s="17">
        <f t="shared" si="22"/>
        <v>70483.25</v>
      </c>
      <c r="BW9" s="17">
        <v>1.7</v>
      </c>
      <c r="BX9" s="17">
        <v>0.04</v>
      </c>
      <c r="BY9" s="17">
        <v>0.25</v>
      </c>
      <c r="BZ9" s="17">
        <v>0.04</v>
      </c>
      <c r="CA9" s="29">
        <v>6.33</v>
      </c>
      <c r="CB9" s="325"/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5208</v>
      </c>
      <c r="CI9" s="13">
        <v>985.36</v>
      </c>
      <c r="CJ9" s="13">
        <v>27684</v>
      </c>
      <c r="CK9" s="13">
        <v>1369.33</v>
      </c>
      <c r="CL9" s="13">
        <v>845862.24</v>
      </c>
      <c r="CM9" s="13">
        <v>75612.61</v>
      </c>
      <c r="CN9" s="13">
        <v>7.0000000000000007E-2</v>
      </c>
      <c r="CO9" s="13">
        <v>24711.57</v>
      </c>
      <c r="CP9" s="13">
        <v>13850.95</v>
      </c>
      <c r="CQ9" s="13">
        <v>0</v>
      </c>
      <c r="CR9" s="13">
        <v>763663</v>
      </c>
      <c r="CS9" s="13">
        <v>77463.42</v>
      </c>
      <c r="CT9" s="13">
        <v>1104.08</v>
      </c>
      <c r="CU9" s="13">
        <v>32151.599999999999</v>
      </c>
      <c r="CV9" s="13">
        <v>17352.349999999999</v>
      </c>
      <c r="CW9" s="13">
        <v>0</v>
      </c>
      <c r="CX9" s="13">
        <v>174791.6</v>
      </c>
      <c r="CY9" s="13">
        <v>20122.43</v>
      </c>
      <c r="CZ9" s="13">
        <v>-1338.81</v>
      </c>
      <c r="DA9" s="13">
        <v>3967.54</v>
      </c>
      <c r="DB9" s="13">
        <v>2159.85</v>
      </c>
      <c r="DC9" s="13"/>
      <c r="DD9" s="315">
        <v>960037.44</v>
      </c>
      <c r="DE9" s="317">
        <v>891734.45</v>
      </c>
      <c r="DF9" s="317">
        <v>92.89</v>
      </c>
      <c r="DG9" s="318">
        <v>199702.61</v>
      </c>
      <c r="DH9" s="310">
        <v>37413.360000000001</v>
      </c>
      <c r="DI9" s="310">
        <v>21397.08</v>
      </c>
      <c r="DJ9" s="312">
        <v>0</v>
      </c>
      <c r="DK9" s="362">
        <v>0</v>
      </c>
      <c r="DL9" s="362"/>
      <c r="DM9" s="362">
        <v>0</v>
      </c>
      <c r="DN9" s="362">
        <v>0</v>
      </c>
      <c r="DO9" s="362">
        <v>0</v>
      </c>
      <c r="DP9" s="362">
        <v>0</v>
      </c>
      <c r="DQ9" s="362">
        <v>0</v>
      </c>
      <c r="DR9" s="362"/>
      <c r="DS9" s="362">
        <v>0</v>
      </c>
      <c r="DT9" s="362"/>
      <c r="DU9" s="362">
        <v>0</v>
      </c>
      <c r="DV9" s="362">
        <v>0</v>
      </c>
      <c r="DW9" s="362">
        <v>0</v>
      </c>
      <c r="DX9" s="362">
        <v>0</v>
      </c>
      <c r="DY9" s="362">
        <v>0</v>
      </c>
      <c r="DZ9" s="375">
        <v>0</v>
      </c>
      <c r="EA9" s="362">
        <v>269742</v>
      </c>
      <c r="EB9" s="362">
        <v>4250</v>
      </c>
      <c r="EC9" s="362"/>
      <c r="ED9" s="362">
        <v>0</v>
      </c>
      <c r="EE9" s="362">
        <v>0</v>
      </c>
      <c r="EF9" s="362"/>
      <c r="EG9" s="362">
        <v>14052</v>
      </c>
      <c r="EH9" s="362">
        <v>47600</v>
      </c>
      <c r="EI9" s="362"/>
      <c r="EJ9" s="362">
        <v>21000</v>
      </c>
      <c r="EK9" s="362"/>
      <c r="EL9" s="362">
        <v>0</v>
      </c>
      <c r="EM9" s="362">
        <v>4472.9399999999996</v>
      </c>
      <c r="EN9" s="362">
        <v>0</v>
      </c>
      <c r="EO9" s="362">
        <v>2604</v>
      </c>
      <c r="EP9" s="362">
        <v>221544</v>
      </c>
      <c r="EQ9" s="362">
        <v>0</v>
      </c>
      <c r="ER9" s="362">
        <v>16380</v>
      </c>
      <c r="ES9" s="362">
        <v>0</v>
      </c>
      <c r="ET9" s="362">
        <v>12932</v>
      </c>
      <c r="EU9" s="362">
        <v>0</v>
      </c>
      <c r="EV9" s="362">
        <v>0</v>
      </c>
      <c r="EW9" s="362"/>
      <c r="EX9" s="202"/>
      <c r="EY9" s="202"/>
      <c r="EZ9" s="229"/>
      <c r="FA9" s="368">
        <v>82362.39</v>
      </c>
      <c r="FB9" s="368">
        <v>0</v>
      </c>
      <c r="FC9" s="368">
        <v>0</v>
      </c>
      <c r="FD9" s="368">
        <v>0</v>
      </c>
      <c r="FE9" s="368">
        <v>17240.43</v>
      </c>
      <c r="FF9" s="368">
        <v>9587.31</v>
      </c>
      <c r="FG9" s="368">
        <v>-1621.44</v>
      </c>
      <c r="FH9" s="368">
        <v>-1759.85</v>
      </c>
      <c r="FI9" s="368">
        <v>0</v>
      </c>
      <c r="FJ9" s="368">
        <v>0</v>
      </c>
      <c r="FK9" s="368">
        <v>68501.509999999995</v>
      </c>
      <c r="FL9" s="368">
        <v>0</v>
      </c>
      <c r="FM9" s="368">
        <v>95179.38</v>
      </c>
      <c r="FN9" s="368">
        <v>60519.69</v>
      </c>
      <c r="FO9" s="323">
        <v>829086.45</v>
      </c>
      <c r="FP9" s="323">
        <v>174310.35</v>
      </c>
      <c r="FQ9" s="323">
        <v>1003396.8</v>
      </c>
      <c r="FR9" s="338">
        <v>89483.29</v>
      </c>
      <c r="FS9" s="362">
        <v>29344.080000000002</v>
      </c>
      <c r="FT9" s="377">
        <v>118827.37</v>
      </c>
      <c r="FU9" s="377">
        <v>874531.6</v>
      </c>
      <c r="FV9" s="377">
        <v>120752.53</v>
      </c>
      <c r="FW9" s="362">
        <v>995284.13</v>
      </c>
      <c r="FX9" s="362">
        <v>789223.29</v>
      </c>
      <c r="FY9" s="362">
        <v>125185.60000000001</v>
      </c>
      <c r="FZ9" s="362">
        <v>914408.89</v>
      </c>
      <c r="GA9" s="362">
        <v>174791.6</v>
      </c>
      <c r="GB9" s="362">
        <v>24911.01</v>
      </c>
      <c r="GC9" s="362">
        <v>199702.61</v>
      </c>
      <c r="GD9" s="362">
        <v>58892.32</v>
      </c>
      <c r="GE9" s="362">
        <v>-8547.59</v>
      </c>
      <c r="GF9" s="362">
        <v>50344.73</v>
      </c>
      <c r="GG9" s="202"/>
      <c r="GH9" s="416">
        <v>0</v>
      </c>
      <c r="GI9" s="414">
        <v>2455</v>
      </c>
      <c r="GJ9" s="419">
        <v>5208</v>
      </c>
      <c r="GK9" s="396"/>
      <c r="GL9" s="202">
        <v>0</v>
      </c>
      <c r="GM9" s="202">
        <v>0</v>
      </c>
      <c r="GN9" s="323">
        <v>45445.15</v>
      </c>
      <c r="GO9" s="323">
        <v>-53557.82</v>
      </c>
      <c r="GP9" s="323">
        <v>-8112.67</v>
      </c>
      <c r="GQ9" s="323">
        <v>104337.47</v>
      </c>
      <c r="GR9" s="323">
        <v>-62105.41</v>
      </c>
      <c r="GS9" s="323">
        <v>42232.06</v>
      </c>
    </row>
    <row r="10" spans="1:201" ht="12.75" customHeight="1" x14ac:dyDescent="0.2">
      <c r="A10" s="45" t="s">
        <v>14</v>
      </c>
      <c r="B10" s="113" t="s">
        <v>7</v>
      </c>
      <c r="C10" s="114" t="s">
        <v>15</v>
      </c>
      <c r="D10" s="388" t="s">
        <v>541</v>
      </c>
      <c r="E10" s="114" t="s">
        <v>9</v>
      </c>
      <c r="F10" s="11">
        <v>5</v>
      </c>
      <c r="G10" s="11">
        <v>4</v>
      </c>
      <c r="H10" s="11">
        <v>80</v>
      </c>
      <c r="I10" s="11">
        <v>81</v>
      </c>
      <c r="J10" s="11">
        <v>188</v>
      </c>
      <c r="K10" s="11">
        <v>178</v>
      </c>
      <c r="L10" s="11" t="s">
        <v>746</v>
      </c>
      <c r="M10" s="84">
        <v>281</v>
      </c>
      <c r="N10" s="137">
        <v>920</v>
      </c>
      <c r="O10" s="137">
        <v>0</v>
      </c>
      <c r="P10" s="133">
        <v>281</v>
      </c>
      <c r="Q10" s="137">
        <v>920</v>
      </c>
      <c r="R10" s="137">
        <v>0</v>
      </c>
      <c r="S10" s="133">
        <f t="shared" si="23"/>
        <v>1201</v>
      </c>
      <c r="T10" s="134">
        <v>281</v>
      </c>
      <c r="U10" s="130">
        <v>1.53</v>
      </c>
      <c r="V10" s="131">
        <v>1.9800000000000002E-2</v>
      </c>
      <c r="W10" s="131">
        <v>1.9800000000000002E-2</v>
      </c>
      <c r="X10" s="132">
        <v>1.32E-3</v>
      </c>
      <c r="Y10" s="131">
        <v>3.95E-2</v>
      </c>
      <c r="Z10" s="29">
        <v>3551.86</v>
      </c>
      <c r="AA10" s="29"/>
      <c r="AB10" s="9">
        <f t="shared" si="0"/>
        <v>3551.86</v>
      </c>
      <c r="AC10" s="174">
        <v>0</v>
      </c>
      <c r="AD10" s="9">
        <v>0.4</v>
      </c>
      <c r="AE10" s="9">
        <v>4.5199999999999996</v>
      </c>
      <c r="AF10" s="21">
        <f>2.35-AJ10</f>
        <v>2.1</v>
      </c>
      <c r="AG10" s="18">
        <f>0.53-AQ10</f>
        <v>0.43</v>
      </c>
      <c r="AH10" s="9">
        <f>2.78</f>
        <v>2.78</v>
      </c>
      <c r="AI10" s="43">
        <v>883</v>
      </c>
      <c r="AJ10" s="21">
        <f t="shared" si="1"/>
        <v>0.25</v>
      </c>
      <c r="AK10" s="9">
        <v>0</v>
      </c>
      <c r="AL10" s="9">
        <v>0</v>
      </c>
      <c r="AM10" s="9">
        <v>0.16</v>
      </c>
      <c r="AN10" s="13"/>
      <c r="AO10" s="13">
        <v>801.6</v>
      </c>
      <c r="AP10" s="13">
        <f t="shared" si="24"/>
        <v>5.58</v>
      </c>
      <c r="AQ10" s="18">
        <f t="shared" si="2"/>
        <v>0.1</v>
      </c>
      <c r="AR10" s="9">
        <v>0.78</v>
      </c>
      <c r="AS10" s="9">
        <v>0.38</v>
      </c>
      <c r="AT10" s="9">
        <v>7.0000000000000007E-2</v>
      </c>
      <c r="AU10" s="9">
        <v>4.26</v>
      </c>
      <c r="AV10" s="9">
        <v>0.12</v>
      </c>
      <c r="AW10" s="9">
        <f>1.07+0.38+0.32</f>
        <v>1.77</v>
      </c>
      <c r="AX10" s="9">
        <f>1.47+0.5</f>
        <v>1.97</v>
      </c>
      <c r="AY10" s="110">
        <f t="shared" si="25"/>
        <v>20.09</v>
      </c>
      <c r="AZ10" s="13">
        <v>20.09</v>
      </c>
      <c r="BA10" s="13">
        <f t="shared" si="3"/>
        <v>0</v>
      </c>
      <c r="BB10" s="9">
        <f t="shared" si="4"/>
        <v>71356.87</v>
      </c>
      <c r="BC10" s="9">
        <v>20.09</v>
      </c>
      <c r="BD10" s="10">
        <v>44409</v>
      </c>
      <c r="BE10" s="9">
        <f t="shared" si="5"/>
        <v>1420.74</v>
      </c>
      <c r="BF10" s="9">
        <f t="shared" si="6"/>
        <v>16054.41</v>
      </c>
      <c r="BG10" s="9">
        <f t="shared" si="7"/>
        <v>7458.91</v>
      </c>
      <c r="BH10" s="9">
        <f t="shared" si="8"/>
        <v>1527.3</v>
      </c>
      <c r="BI10" s="9">
        <f t="shared" si="9"/>
        <v>9874.17</v>
      </c>
      <c r="BJ10" s="9">
        <f t="shared" si="10"/>
        <v>887.97</v>
      </c>
      <c r="BK10" s="9">
        <f t="shared" si="11"/>
        <v>0</v>
      </c>
      <c r="BL10" s="9">
        <f t="shared" si="12"/>
        <v>0</v>
      </c>
      <c r="BM10" s="9">
        <f t="shared" si="13"/>
        <v>568.29999999999995</v>
      </c>
      <c r="BN10" s="9">
        <f t="shared" si="14"/>
        <v>355.19</v>
      </c>
      <c r="BO10" s="9">
        <f t="shared" si="15"/>
        <v>2770.45</v>
      </c>
      <c r="BP10" s="9">
        <f t="shared" si="16"/>
        <v>1349.71</v>
      </c>
      <c r="BQ10" s="9">
        <f t="shared" si="17"/>
        <v>248.63</v>
      </c>
      <c r="BR10" s="9">
        <f t="shared" si="18"/>
        <v>15130.92</v>
      </c>
      <c r="BS10" s="9">
        <f t="shared" si="19"/>
        <v>426.22</v>
      </c>
      <c r="BT10" s="9">
        <f t="shared" si="20"/>
        <v>6286.79</v>
      </c>
      <c r="BU10" s="9">
        <f t="shared" si="21"/>
        <v>6997.16</v>
      </c>
      <c r="BV10" s="17">
        <f t="shared" si="22"/>
        <v>71356.87</v>
      </c>
      <c r="BW10" s="17">
        <v>1.8</v>
      </c>
      <c r="BX10" s="17">
        <v>0.04</v>
      </c>
      <c r="BY10" s="17">
        <v>0.28000000000000003</v>
      </c>
      <c r="BZ10" s="17">
        <v>0.05</v>
      </c>
      <c r="CA10" s="29" t="s">
        <v>739</v>
      </c>
      <c r="CB10" s="325"/>
      <c r="CC10" s="13">
        <v>0</v>
      </c>
      <c r="CD10" s="13">
        <v>0</v>
      </c>
      <c r="CE10" s="13">
        <v>0</v>
      </c>
      <c r="CF10" s="13">
        <v>0</v>
      </c>
      <c r="CG10" s="13">
        <v>0</v>
      </c>
      <c r="CH10" s="13">
        <v>1488</v>
      </c>
      <c r="CI10" s="13">
        <v>2280.83</v>
      </c>
      <c r="CJ10" s="13">
        <v>21588</v>
      </c>
      <c r="CK10" s="13">
        <v>1366.01</v>
      </c>
      <c r="CL10" s="13">
        <v>856358.83</v>
      </c>
      <c r="CM10" s="13">
        <v>74699.09</v>
      </c>
      <c r="CN10" s="13">
        <v>23621.3</v>
      </c>
      <c r="CO10" s="13">
        <v>41027.410000000003</v>
      </c>
      <c r="CP10" s="13">
        <v>22981.56</v>
      </c>
      <c r="CQ10" s="13">
        <v>0</v>
      </c>
      <c r="CR10" s="13">
        <v>789934.56</v>
      </c>
      <c r="CS10" s="13">
        <v>65995.899999999994</v>
      </c>
      <c r="CT10" s="13">
        <v>25754.13</v>
      </c>
      <c r="CU10" s="13">
        <v>32517.66</v>
      </c>
      <c r="CV10" s="13">
        <v>19078.32</v>
      </c>
      <c r="CW10" s="13">
        <v>0</v>
      </c>
      <c r="CX10" s="13">
        <v>138561.09</v>
      </c>
      <c r="CY10" s="13">
        <v>14429.71</v>
      </c>
      <c r="CZ10" s="13">
        <v>4543.97</v>
      </c>
      <c r="DA10" s="13">
        <v>9628.34</v>
      </c>
      <c r="DB10" s="13">
        <v>5101.2700000000004</v>
      </c>
      <c r="DC10" s="13"/>
      <c r="DD10" s="315">
        <v>1018688.19</v>
      </c>
      <c r="DE10" s="317">
        <v>933280.57</v>
      </c>
      <c r="DF10" s="317">
        <v>91.62</v>
      </c>
      <c r="DG10" s="318">
        <v>172264.38</v>
      </c>
      <c r="DH10" s="310">
        <v>37333.56</v>
      </c>
      <c r="DI10" s="310">
        <v>21351.48</v>
      </c>
      <c r="DJ10" s="312">
        <v>0</v>
      </c>
      <c r="DK10" s="362">
        <v>0</v>
      </c>
      <c r="DL10" s="362"/>
      <c r="DM10" s="362">
        <v>0</v>
      </c>
      <c r="DN10" s="362">
        <v>0</v>
      </c>
      <c r="DO10" s="362">
        <v>0</v>
      </c>
      <c r="DP10" s="362">
        <v>0</v>
      </c>
      <c r="DQ10" s="362">
        <v>0</v>
      </c>
      <c r="DR10" s="362"/>
      <c r="DS10" s="362">
        <v>0</v>
      </c>
      <c r="DT10" s="362"/>
      <c r="DU10" s="362">
        <v>0</v>
      </c>
      <c r="DV10" s="362">
        <v>0</v>
      </c>
      <c r="DW10" s="362">
        <v>0</v>
      </c>
      <c r="DX10" s="362">
        <v>0</v>
      </c>
      <c r="DY10" s="362">
        <v>0</v>
      </c>
      <c r="DZ10" s="375">
        <v>0</v>
      </c>
      <c r="EA10" s="362">
        <v>242532</v>
      </c>
      <c r="EB10" s="362">
        <v>14450</v>
      </c>
      <c r="EC10" s="362"/>
      <c r="ED10" s="362">
        <v>0</v>
      </c>
      <c r="EE10" s="362">
        <v>0</v>
      </c>
      <c r="EF10" s="362"/>
      <c r="EG10" s="362">
        <v>14052</v>
      </c>
      <c r="EH10" s="362">
        <v>57050</v>
      </c>
      <c r="EI10" s="362"/>
      <c r="EJ10" s="362">
        <v>21000</v>
      </c>
      <c r="EK10" s="362"/>
      <c r="EL10" s="362">
        <v>0</v>
      </c>
      <c r="EM10" s="362">
        <v>4472.9399999999996</v>
      </c>
      <c r="EN10" s="362">
        <v>0</v>
      </c>
      <c r="EO10" s="362">
        <v>744</v>
      </c>
      <c r="EP10" s="362">
        <v>216708</v>
      </c>
      <c r="EQ10" s="362">
        <v>0</v>
      </c>
      <c r="ER10" s="362">
        <v>16380</v>
      </c>
      <c r="ES10" s="362">
        <v>6924</v>
      </c>
      <c r="ET10" s="362">
        <v>12932</v>
      </c>
      <c r="EU10" s="362">
        <v>0</v>
      </c>
      <c r="EV10" s="362">
        <v>2028.5</v>
      </c>
      <c r="EW10" s="362"/>
      <c r="EX10" s="202"/>
      <c r="EY10" s="202"/>
      <c r="EZ10" s="229"/>
      <c r="FA10" s="368">
        <v>67623.23</v>
      </c>
      <c r="FB10" s="368">
        <v>23662.74</v>
      </c>
      <c r="FC10" s="368">
        <v>0</v>
      </c>
      <c r="FD10" s="368">
        <v>0</v>
      </c>
      <c r="FE10" s="368">
        <v>44102.9</v>
      </c>
      <c r="FF10" s="368">
        <v>24772.43</v>
      </c>
      <c r="FG10" s="368">
        <v>-1540.37</v>
      </c>
      <c r="FH10" s="368">
        <v>-1741.73</v>
      </c>
      <c r="FI10" s="368">
        <v>0</v>
      </c>
      <c r="FJ10" s="368">
        <v>0</v>
      </c>
      <c r="FK10" s="368">
        <v>212.55</v>
      </c>
      <c r="FL10" s="368">
        <v>0</v>
      </c>
      <c r="FM10" s="368">
        <v>94964.56</v>
      </c>
      <c r="FN10" s="368">
        <v>60382.69</v>
      </c>
      <c r="FO10" s="323">
        <v>823305.73</v>
      </c>
      <c r="FP10" s="323">
        <v>157091.75</v>
      </c>
      <c r="FQ10" s="323">
        <v>980397.48</v>
      </c>
      <c r="FR10" s="338">
        <v>73234.3</v>
      </c>
      <c r="FS10" s="362">
        <v>14291.17</v>
      </c>
      <c r="FT10" s="377">
        <v>87525.47</v>
      </c>
      <c r="FU10" s="377">
        <v>880227.66</v>
      </c>
      <c r="FV10" s="377">
        <v>165183.37</v>
      </c>
      <c r="FW10" s="362">
        <v>1045411.03</v>
      </c>
      <c r="FX10" s="362">
        <v>814900.87</v>
      </c>
      <c r="FY10" s="362">
        <v>145771.25</v>
      </c>
      <c r="FZ10" s="362">
        <v>960672.12</v>
      </c>
      <c r="GA10" s="362">
        <v>138561.09</v>
      </c>
      <c r="GB10" s="362">
        <v>33703.29</v>
      </c>
      <c r="GC10" s="362">
        <v>172264.38</v>
      </c>
      <c r="GD10" s="362">
        <v>67226.13</v>
      </c>
      <c r="GE10" s="362">
        <v>15065.51</v>
      </c>
      <c r="GF10" s="362">
        <v>82291.64</v>
      </c>
      <c r="GG10" s="202"/>
      <c r="GH10" s="416">
        <v>0</v>
      </c>
      <c r="GI10" s="414">
        <v>1947</v>
      </c>
      <c r="GJ10" s="419">
        <v>1488</v>
      </c>
      <c r="GK10" s="396"/>
      <c r="GL10" s="202">
        <v>0</v>
      </c>
      <c r="GM10" s="202">
        <v>0</v>
      </c>
      <c r="GN10" s="323">
        <v>56921.93</v>
      </c>
      <c r="GO10" s="323">
        <v>8091.62</v>
      </c>
      <c r="GP10" s="323">
        <v>65013.55</v>
      </c>
      <c r="GQ10" s="323">
        <v>124148.06</v>
      </c>
      <c r="GR10" s="323">
        <v>23157.13</v>
      </c>
      <c r="GS10" s="323">
        <v>147305.19</v>
      </c>
    </row>
    <row r="11" spans="1:201" ht="12.75" customHeight="1" x14ac:dyDescent="0.2">
      <c r="A11" s="45" t="s">
        <v>16</v>
      </c>
      <c r="B11" s="60" t="s">
        <v>7</v>
      </c>
      <c r="C11" s="61" t="s">
        <v>17</v>
      </c>
      <c r="D11" s="388" t="s">
        <v>391</v>
      </c>
      <c r="E11" s="61" t="s">
        <v>12</v>
      </c>
      <c r="F11" s="11">
        <v>9</v>
      </c>
      <c r="G11" s="11">
        <v>4</v>
      </c>
      <c r="H11" s="11">
        <v>204</v>
      </c>
      <c r="I11" s="11">
        <v>202</v>
      </c>
      <c r="J11" s="11">
        <v>467</v>
      </c>
      <c r="K11" s="11">
        <v>559</v>
      </c>
      <c r="L11" s="84">
        <v>4</v>
      </c>
      <c r="M11" s="84">
        <v>937</v>
      </c>
      <c r="N11" s="84">
        <v>1432</v>
      </c>
      <c r="O11" s="84">
        <v>1432</v>
      </c>
      <c r="P11" s="133">
        <f>484.8+968.6+436.4</f>
        <v>1889.8</v>
      </c>
      <c r="Q11" s="133">
        <v>1155.8</v>
      </c>
      <c r="R11" s="133">
        <v>1435.5</v>
      </c>
      <c r="S11" s="133">
        <f t="shared" si="23"/>
        <v>4481.1000000000004</v>
      </c>
      <c r="T11" s="134">
        <v>1889.8</v>
      </c>
      <c r="U11" s="130">
        <v>2.44</v>
      </c>
      <c r="V11" s="91">
        <v>1.9800000000000002E-2</v>
      </c>
      <c r="W11" s="91">
        <v>1.9800000000000002E-2</v>
      </c>
      <c r="X11" s="132">
        <v>1.32E-3</v>
      </c>
      <c r="Y11" s="91">
        <v>3.9699999999999999E-2</v>
      </c>
      <c r="Z11" s="29">
        <v>10365.77</v>
      </c>
      <c r="AA11" s="29">
        <v>1264.9000000000001</v>
      </c>
      <c r="AB11" s="9">
        <f t="shared" si="0"/>
        <v>11630.67</v>
      </c>
      <c r="AC11" s="9">
        <f>SUM(AB11*6.33)</f>
        <v>73622.14</v>
      </c>
      <c r="AD11" s="9">
        <v>1.79</v>
      </c>
      <c r="AE11" s="9">
        <v>3.84</v>
      </c>
      <c r="AF11" s="21">
        <f>2.42-AJ11</f>
        <v>2.2999999999999998</v>
      </c>
      <c r="AG11" s="18">
        <f>0.57-AQ11</f>
        <v>0.52</v>
      </c>
      <c r="AH11" s="9">
        <v>2.4700000000000002</v>
      </c>
      <c r="AI11" s="43">
        <v>1375</v>
      </c>
      <c r="AJ11" s="21">
        <f t="shared" si="1"/>
        <v>0.12</v>
      </c>
      <c r="AK11" s="9">
        <v>1.49</v>
      </c>
      <c r="AL11" s="9">
        <v>0.27</v>
      </c>
      <c r="AM11" s="9">
        <v>0.05</v>
      </c>
      <c r="AN11" s="13"/>
      <c r="AO11" s="13">
        <v>1223.5999999999999</v>
      </c>
      <c r="AP11" s="13">
        <f t="shared" si="24"/>
        <v>5.58</v>
      </c>
      <c r="AQ11" s="18">
        <f t="shared" si="2"/>
        <v>0.05</v>
      </c>
      <c r="AR11" s="9">
        <v>0.55000000000000004</v>
      </c>
      <c r="AS11" s="9">
        <v>0.12</v>
      </c>
      <c r="AT11" s="9">
        <v>7.0000000000000007E-2</v>
      </c>
      <c r="AU11" s="9">
        <v>4.9800000000000004</v>
      </c>
      <c r="AV11" s="9">
        <v>0.13</v>
      </c>
      <c r="AW11" s="9">
        <f>1.22+0.27+0.44</f>
        <v>1.93</v>
      </c>
      <c r="AX11" s="9">
        <f>1.7+0.59</f>
        <v>2.29</v>
      </c>
      <c r="AY11" s="63">
        <f>SUM(AD11:AH11,AJ11:AM11,AQ11:AX11)</f>
        <v>22.97</v>
      </c>
      <c r="AZ11" s="13">
        <v>22.97</v>
      </c>
      <c r="BA11" s="13">
        <f t="shared" si="3"/>
        <v>0</v>
      </c>
      <c r="BB11" s="9">
        <f t="shared" si="4"/>
        <v>267156.49</v>
      </c>
      <c r="BC11" s="9">
        <v>22.97</v>
      </c>
      <c r="BD11" s="10">
        <v>44409</v>
      </c>
      <c r="BE11" s="9">
        <f t="shared" si="5"/>
        <v>20818.900000000001</v>
      </c>
      <c r="BF11" s="9">
        <f t="shared" si="6"/>
        <v>44661.77</v>
      </c>
      <c r="BG11" s="9">
        <f t="shared" si="7"/>
        <v>26750.54</v>
      </c>
      <c r="BH11" s="9">
        <f t="shared" si="8"/>
        <v>6047.95</v>
      </c>
      <c r="BI11" s="9">
        <f t="shared" si="9"/>
        <v>28727.75</v>
      </c>
      <c r="BJ11" s="9">
        <f t="shared" si="10"/>
        <v>1395.68</v>
      </c>
      <c r="BK11" s="9">
        <f t="shared" si="11"/>
        <v>17329.7</v>
      </c>
      <c r="BL11" s="9">
        <f t="shared" si="12"/>
        <v>3140.28</v>
      </c>
      <c r="BM11" s="9">
        <f t="shared" si="13"/>
        <v>581.53</v>
      </c>
      <c r="BN11" s="9">
        <f t="shared" si="14"/>
        <v>581.53</v>
      </c>
      <c r="BO11" s="9">
        <f t="shared" si="15"/>
        <v>6396.87</v>
      </c>
      <c r="BP11" s="9">
        <f t="shared" si="16"/>
        <v>1395.68</v>
      </c>
      <c r="BQ11" s="9">
        <f t="shared" si="17"/>
        <v>814.15</v>
      </c>
      <c r="BR11" s="9">
        <f t="shared" si="18"/>
        <v>57920.74</v>
      </c>
      <c r="BS11" s="9">
        <f t="shared" si="19"/>
        <v>1511.99</v>
      </c>
      <c r="BT11" s="9">
        <f t="shared" si="20"/>
        <v>22447.19</v>
      </c>
      <c r="BU11" s="9">
        <f t="shared" si="21"/>
        <v>26634.23</v>
      </c>
      <c r="BV11" s="17">
        <f t="shared" si="22"/>
        <v>267156.47999999998</v>
      </c>
      <c r="BW11" s="17">
        <v>4.1399999999999997</v>
      </c>
      <c r="BX11" s="17">
        <v>0.09</v>
      </c>
      <c r="BY11" s="17">
        <v>0.57999999999999996</v>
      </c>
      <c r="BZ11" s="17">
        <v>0.1</v>
      </c>
      <c r="CA11" s="29">
        <v>6.33</v>
      </c>
      <c r="CB11" s="325"/>
      <c r="CC11" s="13">
        <v>351731.68</v>
      </c>
      <c r="CD11" s="13">
        <v>17654.740000000002</v>
      </c>
      <c r="CE11" s="13">
        <v>18986.16</v>
      </c>
      <c r="CF11" s="13">
        <v>10296.11</v>
      </c>
      <c r="CG11" s="13">
        <v>6073.16</v>
      </c>
      <c r="CH11" s="13">
        <v>10416</v>
      </c>
      <c r="CI11" s="13">
        <v>11452.38</v>
      </c>
      <c r="CJ11" s="13">
        <v>57576</v>
      </c>
      <c r="CK11" s="13">
        <v>4475.57</v>
      </c>
      <c r="CL11" s="13">
        <v>2857875.34</v>
      </c>
      <c r="CM11" s="13">
        <v>143597.06</v>
      </c>
      <c r="CN11" s="13">
        <v>156956.22</v>
      </c>
      <c r="CO11" s="13">
        <v>83784.03</v>
      </c>
      <c r="CP11" s="13">
        <v>50186.21</v>
      </c>
      <c r="CQ11" s="13">
        <v>0</v>
      </c>
      <c r="CR11" s="13">
        <v>2747874.52</v>
      </c>
      <c r="CS11" s="13">
        <v>144766.96</v>
      </c>
      <c r="CT11" s="13">
        <v>140520.5</v>
      </c>
      <c r="CU11" s="13">
        <v>79985.100000000006</v>
      </c>
      <c r="CV11" s="13">
        <v>48121.89</v>
      </c>
      <c r="CW11" s="13">
        <v>0</v>
      </c>
      <c r="CX11" s="13">
        <v>369306.34</v>
      </c>
      <c r="CY11" s="13">
        <v>1344.06</v>
      </c>
      <c r="CZ11" s="13">
        <v>18441.29</v>
      </c>
      <c r="DA11" s="13">
        <v>9605.74</v>
      </c>
      <c r="DB11" s="13">
        <v>5977.02</v>
      </c>
      <c r="DC11" s="13"/>
      <c r="DD11" s="315">
        <v>3292398.86</v>
      </c>
      <c r="DE11" s="317">
        <v>3161268.97</v>
      </c>
      <c r="DF11" s="317">
        <v>96.02</v>
      </c>
      <c r="DG11" s="318">
        <v>404674.45</v>
      </c>
      <c r="DH11" s="310">
        <v>108977.4</v>
      </c>
      <c r="DI11" s="310">
        <v>62325.36</v>
      </c>
      <c r="DJ11" s="312">
        <v>0</v>
      </c>
      <c r="DK11" s="362">
        <v>0</v>
      </c>
      <c r="DL11" s="362"/>
      <c r="DM11" s="362">
        <v>0</v>
      </c>
      <c r="DN11" s="362">
        <v>0</v>
      </c>
      <c r="DO11" s="362">
        <v>0</v>
      </c>
      <c r="DP11" s="362">
        <v>0</v>
      </c>
      <c r="DQ11" s="362">
        <v>0</v>
      </c>
      <c r="DR11" s="362"/>
      <c r="DS11" s="362">
        <v>0</v>
      </c>
      <c r="DT11" s="362"/>
      <c r="DU11" s="362">
        <v>0</v>
      </c>
      <c r="DV11" s="362">
        <v>0</v>
      </c>
      <c r="DW11" s="362">
        <v>206400</v>
      </c>
      <c r="DX11" s="362">
        <v>0</v>
      </c>
      <c r="DY11" s="362">
        <v>56000</v>
      </c>
      <c r="DZ11" s="375">
        <v>0</v>
      </c>
      <c r="EA11" s="362">
        <v>0</v>
      </c>
      <c r="EB11" s="362">
        <v>0</v>
      </c>
      <c r="EC11" s="362">
        <v>0</v>
      </c>
      <c r="ED11" s="362">
        <v>867362.46</v>
      </c>
      <c r="EE11" s="362">
        <v>12750</v>
      </c>
      <c r="EF11" s="362"/>
      <c r="EG11" s="362">
        <v>21882</v>
      </c>
      <c r="EH11" s="362">
        <v>1750</v>
      </c>
      <c r="EI11" s="362"/>
      <c r="EJ11" s="362">
        <v>0</v>
      </c>
      <c r="EK11" s="362"/>
      <c r="EL11" s="362">
        <v>0</v>
      </c>
      <c r="EM11" s="362">
        <v>6827.7</v>
      </c>
      <c r="EN11" s="362">
        <v>0</v>
      </c>
      <c r="EO11" s="362">
        <v>5208</v>
      </c>
      <c r="EP11" s="362">
        <v>691584</v>
      </c>
      <c r="EQ11" s="362">
        <v>0</v>
      </c>
      <c r="ER11" s="362">
        <v>10920</v>
      </c>
      <c r="ES11" s="362">
        <v>6924</v>
      </c>
      <c r="ET11" s="362">
        <v>25904</v>
      </c>
      <c r="EU11" s="362">
        <v>0</v>
      </c>
      <c r="EV11" s="362">
        <v>70035.289999999994</v>
      </c>
      <c r="EW11" s="362"/>
      <c r="EX11" s="202"/>
      <c r="EY11" s="202"/>
      <c r="EZ11" s="229"/>
      <c r="FA11" s="368">
        <v>175167.27</v>
      </c>
      <c r="FB11" s="368">
        <v>183474.96</v>
      </c>
      <c r="FC11" s="368">
        <v>0</v>
      </c>
      <c r="FD11" s="368">
        <v>0</v>
      </c>
      <c r="FE11" s="368">
        <v>89640.83</v>
      </c>
      <c r="FF11" s="368">
        <v>54721.19</v>
      </c>
      <c r="FG11" s="368">
        <v>-6242.54</v>
      </c>
      <c r="FH11" s="368">
        <v>-6421.81</v>
      </c>
      <c r="FI11" s="368">
        <v>0</v>
      </c>
      <c r="FJ11" s="368">
        <v>0</v>
      </c>
      <c r="FK11" s="368">
        <v>246423.83</v>
      </c>
      <c r="FL11" s="368">
        <v>0</v>
      </c>
      <c r="FM11" s="368">
        <v>311010.62</v>
      </c>
      <c r="FN11" s="368">
        <v>197856.44</v>
      </c>
      <c r="FO11" s="323">
        <v>2663717.27</v>
      </c>
      <c r="FP11" s="323">
        <v>736763.73</v>
      </c>
      <c r="FQ11" s="323">
        <v>3400481</v>
      </c>
      <c r="FR11" s="338">
        <v>341321.78</v>
      </c>
      <c r="FS11" s="362">
        <v>18108.34</v>
      </c>
      <c r="FT11" s="377">
        <v>359430.12</v>
      </c>
      <c r="FU11" s="377">
        <v>3278635.4</v>
      </c>
      <c r="FV11" s="377">
        <v>502425.26</v>
      </c>
      <c r="FW11" s="362">
        <v>3781060.66</v>
      </c>
      <c r="FX11" s="362">
        <v>3009552.87</v>
      </c>
      <c r="FY11" s="362">
        <v>442618.79</v>
      </c>
      <c r="FZ11" s="362">
        <v>3452171.66</v>
      </c>
      <c r="GA11" s="362">
        <v>610404.31000000006</v>
      </c>
      <c r="GB11" s="362">
        <v>77914.81</v>
      </c>
      <c r="GC11" s="362">
        <v>688319.12</v>
      </c>
      <c r="GD11" s="362">
        <v>326080.69</v>
      </c>
      <c r="GE11" s="362">
        <v>21930.78</v>
      </c>
      <c r="GF11" s="362">
        <v>348011.47</v>
      </c>
      <c r="GG11" s="202">
        <v>283644.67</v>
      </c>
      <c r="GH11" s="416">
        <v>85</v>
      </c>
      <c r="GI11" s="414">
        <v>3894</v>
      </c>
      <c r="GJ11" s="419">
        <v>415157.85</v>
      </c>
      <c r="GK11" s="396">
        <v>283644.67</v>
      </c>
      <c r="GL11" s="202">
        <v>241097.96950000001</v>
      </c>
      <c r="GM11" s="202">
        <v>42546.700499999999</v>
      </c>
      <c r="GN11" s="323">
        <v>614918.13</v>
      </c>
      <c r="GO11" s="323">
        <v>-234338.47</v>
      </c>
      <c r="GP11" s="323">
        <v>380579.66</v>
      </c>
      <c r="GQ11" s="323">
        <v>940998.82</v>
      </c>
      <c r="GR11" s="323">
        <v>-212407.69</v>
      </c>
      <c r="GS11" s="323">
        <v>728591.13</v>
      </c>
    </row>
    <row r="12" spans="1:201" ht="12.75" customHeight="1" x14ac:dyDescent="0.2">
      <c r="A12" s="45" t="s">
        <v>18</v>
      </c>
      <c r="B12" s="113" t="s">
        <v>7</v>
      </c>
      <c r="C12" s="114" t="s">
        <v>19</v>
      </c>
      <c r="D12" s="388" t="s">
        <v>542</v>
      </c>
      <c r="E12" s="114" t="s">
        <v>9</v>
      </c>
      <c r="F12" s="11">
        <v>5</v>
      </c>
      <c r="G12" s="11">
        <v>4</v>
      </c>
      <c r="H12" s="11">
        <v>80</v>
      </c>
      <c r="I12" s="11">
        <v>0</v>
      </c>
      <c r="J12" s="11">
        <v>179</v>
      </c>
      <c r="K12" s="11">
        <v>196</v>
      </c>
      <c r="L12" s="84" t="s">
        <v>746</v>
      </c>
      <c r="M12" s="84">
        <v>281</v>
      </c>
      <c r="N12" s="84">
        <v>920</v>
      </c>
      <c r="O12" s="84">
        <v>0</v>
      </c>
      <c r="P12" s="133">
        <v>281</v>
      </c>
      <c r="Q12" s="133">
        <v>729.9</v>
      </c>
      <c r="R12" s="133">
        <v>0</v>
      </c>
      <c r="S12" s="133">
        <f t="shared" si="23"/>
        <v>1010.9</v>
      </c>
      <c r="T12" s="134">
        <v>281</v>
      </c>
      <c r="U12" s="130">
        <v>1.53</v>
      </c>
      <c r="V12" s="131">
        <v>1.9800000000000002E-2</v>
      </c>
      <c r="W12" s="91">
        <v>1.9800000000000002E-2</v>
      </c>
      <c r="X12" s="132">
        <v>1.2199999999999999E-3</v>
      </c>
      <c r="Y12" s="131">
        <v>3.95E-2</v>
      </c>
      <c r="Z12" s="29">
        <v>3593.2</v>
      </c>
      <c r="AA12" s="29"/>
      <c r="AB12" s="9">
        <f t="shared" si="0"/>
        <v>3593.2</v>
      </c>
      <c r="AC12" s="174">
        <v>0</v>
      </c>
      <c r="AD12" s="9">
        <v>0.39</v>
      </c>
      <c r="AE12" s="9">
        <v>4.46</v>
      </c>
      <c r="AF12" s="21">
        <f>2.35-AJ12</f>
        <v>2.1</v>
      </c>
      <c r="AG12" s="18">
        <f>0.53-AQ12</f>
        <v>0.43</v>
      </c>
      <c r="AH12" s="9">
        <v>2.78</v>
      </c>
      <c r="AI12" s="43">
        <v>883</v>
      </c>
      <c r="AJ12" s="21">
        <f t="shared" si="1"/>
        <v>0.25</v>
      </c>
      <c r="AK12" s="9">
        <v>0</v>
      </c>
      <c r="AL12" s="9">
        <v>0</v>
      </c>
      <c r="AM12" s="9">
        <v>0</v>
      </c>
      <c r="AN12" s="13"/>
      <c r="AO12" s="13">
        <v>801.6</v>
      </c>
      <c r="AP12" s="13">
        <f t="shared" si="24"/>
        <v>5.58</v>
      </c>
      <c r="AQ12" s="18">
        <f t="shared" si="2"/>
        <v>0.1</v>
      </c>
      <c r="AR12" s="9">
        <v>0.77</v>
      </c>
      <c r="AS12" s="9">
        <v>0.38</v>
      </c>
      <c r="AT12" s="9">
        <v>7.0000000000000007E-2</v>
      </c>
      <c r="AU12" s="9">
        <v>4.43</v>
      </c>
      <c r="AV12" s="9">
        <v>0.12</v>
      </c>
      <c r="AW12" s="9">
        <f>1.05+0.39+0.31</f>
        <v>1.75</v>
      </c>
      <c r="AX12" s="9">
        <f>1.44+0.53</f>
        <v>1.97</v>
      </c>
      <c r="AY12" s="110">
        <f t="shared" si="25"/>
        <v>20</v>
      </c>
      <c r="AZ12" s="13">
        <v>20</v>
      </c>
      <c r="BA12" s="13">
        <f t="shared" si="3"/>
        <v>0</v>
      </c>
      <c r="BB12" s="9">
        <f t="shared" si="4"/>
        <v>71864</v>
      </c>
      <c r="BC12" s="9">
        <v>20</v>
      </c>
      <c r="BD12" s="10">
        <v>44409</v>
      </c>
      <c r="BE12" s="9">
        <f t="shared" si="5"/>
        <v>1401.35</v>
      </c>
      <c r="BF12" s="9">
        <f t="shared" si="6"/>
        <v>16025.67</v>
      </c>
      <c r="BG12" s="9">
        <f t="shared" si="7"/>
        <v>7545.72</v>
      </c>
      <c r="BH12" s="9">
        <f t="shared" si="8"/>
        <v>1545.08</v>
      </c>
      <c r="BI12" s="9">
        <f t="shared" si="9"/>
        <v>9989.1</v>
      </c>
      <c r="BJ12" s="9">
        <f t="shared" si="10"/>
        <v>898.3</v>
      </c>
      <c r="BK12" s="9">
        <f t="shared" si="11"/>
        <v>0</v>
      </c>
      <c r="BL12" s="9">
        <f t="shared" si="12"/>
        <v>0</v>
      </c>
      <c r="BM12" s="9">
        <f t="shared" si="13"/>
        <v>0</v>
      </c>
      <c r="BN12" s="9">
        <f t="shared" si="14"/>
        <v>359.32</v>
      </c>
      <c r="BO12" s="9">
        <f t="shared" si="15"/>
        <v>2766.76</v>
      </c>
      <c r="BP12" s="9">
        <f t="shared" si="16"/>
        <v>1365.42</v>
      </c>
      <c r="BQ12" s="9">
        <f t="shared" si="17"/>
        <v>251.52</v>
      </c>
      <c r="BR12" s="9">
        <f t="shared" si="18"/>
        <v>15917.88</v>
      </c>
      <c r="BS12" s="9">
        <f t="shared" si="19"/>
        <v>431.18</v>
      </c>
      <c r="BT12" s="9">
        <f t="shared" si="20"/>
        <v>6288.1</v>
      </c>
      <c r="BU12" s="9">
        <f t="shared" si="21"/>
        <v>7078.6</v>
      </c>
      <c r="BV12" s="17">
        <f t="shared" si="22"/>
        <v>71864</v>
      </c>
      <c r="BW12" s="17">
        <v>1.73</v>
      </c>
      <c r="BX12" s="17">
        <v>0.04</v>
      </c>
      <c r="BY12" s="17">
        <v>0.24</v>
      </c>
      <c r="BZ12" s="17">
        <v>0.05</v>
      </c>
      <c r="CA12" s="29" t="s">
        <v>739</v>
      </c>
      <c r="CB12" s="325"/>
      <c r="CC12" s="13">
        <v>0</v>
      </c>
      <c r="CD12" s="13">
        <v>0</v>
      </c>
      <c r="CE12" s="13">
        <v>0</v>
      </c>
      <c r="CF12" s="13">
        <v>0</v>
      </c>
      <c r="CG12" s="13">
        <v>0</v>
      </c>
      <c r="CH12" s="13">
        <v>0</v>
      </c>
      <c r="CI12" s="13">
        <v>1199.95</v>
      </c>
      <c r="CJ12" s="13">
        <v>21588</v>
      </c>
      <c r="CK12" s="13">
        <v>1381.91</v>
      </c>
      <c r="CL12" s="13">
        <v>862368</v>
      </c>
      <c r="CM12" s="13">
        <v>28638.080000000002</v>
      </c>
      <c r="CN12" s="13">
        <v>20517.39</v>
      </c>
      <c r="CO12" s="13">
        <v>1725.48</v>
      </c>
      <c r="CP12" s="13">
        <v>1905.61</v>
      </c>
      <c r="CQ12" s="13">
        <v>0</v>
      </c>
      <c r="CR12" s="13">
        <v>797285</v>
      </c>
      <c r="CS12" s="13">
        <v>27697.78</v>
      </c>
      <c r="CT12" s="13">
        <v>19205.46</v>
      </c>
      <c r="CU12" s="13">
        <v>1592.89</v>
      </c>
      <c r="CV12" s="13">
        <v>1766.51</v>
      </c>
      <c r="CW12" s="13">
        <v>0</v>
      </c>
      <c r="CX12" s="13">
        <v>123421.72</v>
      </c>
      <c r="CY12" s="13">
        <v>7843.73</v>
      </c>
      <c r="CZ12" s="13">
        <v>1103.29</v>
      </c>
      <c r="DA12" s="13">
        <v>266.36</v>
      </c>
      <c r="DB12" s="13">
        <v>308.17</v>
      </c>
      <c r="DC12" s="13"/>
      <c r="DD12" s="315">
        <v>915154.56</v>
      </c>
      <c r="DE12" s="317">
        <v>847547.64</v>
      </c>
      <c r="DF12" s="317">
        <v>92.61</v>
      </c>
      <c r="DG12" s="318">
        <v>132943.26999999999</v>
      </c>
      <c r="DH12" s="310">
        <v>37755.24</v>
      </c>
      <c r="DI12" s="310">
        <v>21592.68</v>
      </c>
      <c r="DJ12" s="312">
        <v>0</v>
      </c>
      <c r="DK12" s="362">
        <v>0</v>
      </c>
      <c r="DL12" s="362"/>
      <c r="DM12" s="362">
        <v>0</v>
      </c>
      <c r="DN12" s="362">
        <v>0</v>
      </c>
      <c r="DO12" s="362">
        <v>0</v>
      </c>
      <c r="DP12" s="362">
        <v>0</v>
      </c>
      <c r="DQ12" s="362">
        <v>0</v>
      </c>
      <c r="DR12" s="362"/>
      <c r="DS12" s="362">
        <v>0</v>
      </c>
      <c r="DT12" s="362"/>
      <c r="DU12" s="362">
        <v>0</v>
      </c>
      <c r="DV12" s="362">
        <v>0</v>
      </c>
      <c r="DW12" s="362">
        <v>0</v>
      </c>
      <c r="DX12" s="362">
        <v>0</v>
      </c>
      <c r="DY12" s="362">
        <v>0</v>
      </c>
      <c r="DZ12" s="375">
        <v>3800</v>
      </c>
      <c r="EA12" s="362">
        <v>243198</v>
      </c>
      <c r="EB12" s="362">
        <v>14450</v>
      </c>
      <c r="EC12" s="362"/>
      <c r="ED12" s="362">
        <v>0</v>
      </c>
      <c r="EE12" s="362">
        <v>0</v>
      </c>
      <c r="EF12" s="362"/>
      <c r="EG12" s="362">
        <v>14052</v>
      </c>
      <c r="EH12" s="362">
        <v>53375</v>
      </c>
      <c r="EI12" s="362"/>
      <c r="EJ12" s="362">
        <v>21000</v>
      </c>
      <c r="EK12" s="362"/>
      <c r="EL12" s="362">
        <v>0</v>
      </c>
      <c r="EM12" s="362">
        <v>4472.9399999999996</v>
      </c>
      <c r="EN12" s="362">
        <v>0</v>
      </c>
      <c r="EO12" s="362">
        <v>0</v>
      </c>
      <c r="EP12" s="362">
        <v>220032</v>
      </c>
      <c r="EQ12" s="362">
        <v>0</v>
      </c>
      <c r="ER12" s="362">
        <v>10920</v>
      </c>
      <c r="ES12" s="362">
        <v>0</v>
      </c>
      <c r="ET12" s="362">
        <v>12932</v>
      </c>
      <c r="EU12" s="362">
        <v>0</v>
      </c>
      <c r="EV12" s="362">
        <v>213583.96</v>
      </c>
      <c r="EW12" s="362"/>
      <c r="EX12" s="202"/>
      <c r="EY12" s="202"/>
      <c r="EZ12" s="229"/>
      <c r="FA12" s="368">
        <v>24271.91</v>
      </c>
      <c r="FB12" s="368">
        <v>20545.88</v>
      </c>
      <c r="FC12" s="368">
        <v>0</v>
      </c>
      <c r="FD12" s="368">
        <v>0</v>
      </c>
      <c r="FE12" s="368">
        <v>1863.71</v>
      </c>
      <c r="FF12" s="368">
        <v>1994.19</v>
      </c>
      <c r="FG12" s="368">
        <v>0</v>
      </c>
      <c r="FH12" s="368">
        <v>-919.32</v>
      </c>
      <c r="FI12" s="368">
        <v>0</v>
      </c>
      <c r="FJ12" s="368">
        <v>0</v>
      </c>
      <c r="FK12" s="368">
        <v>0</v>
      </c>
      <c r="FL12" s="368">
        <v>0</v>
      </c>
      <c r="FM12" s="368">
        <v>96064.42</v>
      </c>
      <c r="FN12" s="368">
        <v>61082.239999999998</v>
      </c>
      <c r="FO12" s="323">
        <v>1028310.48</v>
      </c>
      <c r="FP12" s="323">
        <v>47756.37</v>
      </c>
      <c r="FQ12" s="323">
        <v>1076066.8500000001</v>
      </c>
      <c r="FR12" s="338">
        <v>61245.03</v>
      </c>
      <c r="FS12" s="362">
        <v>3522.06</v>
      </c>
      <c r="FT12" s="377">
        <v>64767.09</v>
      </c>
      <c r="FU12" s="377">
        <v>885155.95</v>
      </c>
      <c r="FV12" s="377">
        <v>54168.47</v>
      </c>
      <c r="FW12" s="362">
        <v>939324.42</v>
      </c>
      <c r="FX12" s="362">
        <v>822979.26</v>
      </c>
      <c r="FY12" s="362">
        <v>48168.98</v>
      </c>
      <c r="FZ12" s="362">
        <v>871148.24</v>
      </c>
      <c r="GA12" s="362">
        <v>123421.72</v>
      </c>
      <c r="GB12" s="362">
        <v>9521.5499999999993</v>
      </c>
      <c r="GC12" s="362">
        <v>132943.26999999999</v>
      </c>
      <c r="GD12" s="362">
        <v>-189352.77</v>
      </c>
      <c r="GE12" s="362">
        <v>3419.61</v>
      </c>
      <c r="GF12" s="362">
        <v>-185933.16</v>
      </c>
      <c r="GG12" s="202"/>
      <c r="GH12" s="416"/>
      <c r="GI12" s="414">
        <v>1947</v>
      </c>
      <c r="GJ12" s="419">
        <v>0</v>
      </c>
      <c r="GK12" s="396"/>
      <c r="GL12" s="202">
        <v>0</v>
      </c>
      <c r="GM12" s="202">
        <v>0</v>
      </c>
      <c r="GN12" s="323">
        <v>-143154.53</v>
      </c>
      <c r="GO12" s="323">
        <v>6412.1</v>
      </c>
      <c r="GP12" s="323">
        <v>-136742.43</v>
      </c>
      <c r="GQ12" s="323">
        <v>-332507.3</v>
      </c>
      <c r="GR12" s="323">
        <v>9831.7099999999991</v>
      </c>
      <c r="GS12" s="323">
        <v>-322675.59000000003</v>
      </c>
    </row>
    <row r="13" spans="1:201" ht="12.75" customHeight="1" x14ac:dyDescent="0.2">
      <c r="A13" s="45" t="s">
        <v>20</v>
      </c>
      <c r="B13" s="60" t="s">
        <v>7</v>
      </c>
      <c r="C13" s="61" t="s">
        <v>21</v>
      </c>
      <c r="D13" s="388" t="s">
        <v>392</v>
      </c>
      <c r="E13" s="61" t="s">
        <v>12</v>
      </c>
      <c r="F13" s="11">
        <v>9</v>
      </c>
      <c r="G13" s="11">
        <v>4</v>
      </c>
      <c r="H13" s="11">
        <v>141</v>
      </c>
      <c r="I13" s="11">
        <v>141</v>
      </c>
      <c r="J13" s="11">
        <v>327</v>
      </c>
      <c r="K13" s="11">
        <v>396</v>
      </c>
      <c r="L13" s="83">
        <v>4</v>
      </c>
      <c r="M13" s="84">
        <v>503</v>
      </c>
      <c r="N13" s="84">
        <v>1164</v>
      </c>
      <c r="O13" s="84">
        <v>1164</v>
      </c>
      <c r="P13" s="133">
        <v>1193</v>
      </c>
      <c r="Q13" s="133">
        <v>1158</v>
      </c>
      <c r="R13" s="133">
        <v>1225.4000000000001</v>
      </c>
      <c r="S13" s="133">
        <f t="shared" si="23"/>
        <v>3576.4</v>
      </c>
      <c r="T13" s="134">
        <v>1193</v>
      </c>
      <c r="U13" s="130">
        <v>2.44</v>
      </c>
      <c r="V13" s="91">
        <v>1.9800000000000002E-2</v>
      </c>
      <c r="W13" s="91">
        <v>1.9800000000000002E-2</v>
      </c>
      <c r="X13" s="132">
        <v>1.32E-3</v>
      </c>
      <c r="Y13" s="91">
        <v>3.9699999999999999E-2</v>
      </c>
      <c r="Z13" s="29">
        <v>7394.65</v>
      </c>
      <c r="AA13" s="29">
        <v>228.6</v>
      </c>
      <c r="AB13" s="9">
        <f t="shared" si="0"/>
        <v>7623.25</v>
      </c>
      <c r="AC13" s="9">
        <f t="shared" ref="AC13:AC19" si="26">SUM(AB13*6.33)</f>
        <v>48255.17</v>
      </c>
      <c r="AD13" s="9">
        <v>2.09</v>
      </c>
      <c r="AE13" s="9">
        <v>4.6900000000000004</v>
      </c>
      <c r="AF13" s="21">
        <f>2.4-AJ13</f>
        <v>2.25</v>
      </c>
      <c r="AG13" s="18">
        <f>0.64-AQ13</f>
        <v>0.59</v>
      </c>
      <c r="AH13" s="9">
        <v>2.78</v>
      </c>
      <c r="AI13" s="43">
        <v>1117</v>
      </c>
      <c r="AJ13" s="21">
        <f t="shared" si="1"/>
        <v>0.15</v>
      </c>
      <c r="AK13" s="9">
        <v>2.25</v>
      </c>
      <c r="AL13" s="9">
        <v>0.2</v>
      </c>
      <c r="AM13" s="9">
        <v>0.12</v>
      </c>
      <c r="AN13" s="13"/>
      <c r="AO13" s="13">
        <v>892.8</v>
      </c>
      <c r="AP13" s="13">
        <f t="shared" si="24"/>
        <v>5.58</v>
      </c>
      <c r="AQ13" s="18">
        <f t="shared" si="2"/>
        <v>0.05</v>
      </c>
      <c r="AR13" s="9">
        <v>0.56999999999999995</v>
      </c>
      <c r="AS13" s="9">
        <v>0.18</v>
      </c>
      <c r="AT13" s="9">
        <v>7.0000000000000007E-2</v>
      </c>
      <c r="AU13" s="9">
        <v>3.85</v>
      </c>
      <c r="AV13" s="9">
        <v>0.17</v>
      </c>
      <c r="AW13" s="9">
        <f>1.43+0.27+0.34</f>
        <v>2.04</v>
      </c>
      <c r="AX13" s="9">
        <f>2.01+0.46</f>
        <v>2.4700000000000002</v>
      </c>
      <c r="AY13" s="63">
        <f t="shared" si="25"/>
        <v>24.52</v>
      </c>
      <c r="AZ13" s="13">
        <v>24.52</v>
      </c>
      <c r="BA13" s="13">
        <f t="shared" si="3"/>
        <v>0</v>
      </c>
      <c r="BB13" s="9">
        <f t="shared" si="4"/>
        <v>186922.09</v>
      </c>
      <c r="BC13" s="9">
        <v>24.52</v>
      </c>
      <c r="BD13" s="10">
        <v>44378</v>
      </c>
      <c r="BE13" s="9">
        <f t="shared" si="5"/>
        <v>15932.59</v>
      </c>
      <c r="BF13" s="9">
        <f t="shared" si="6"/>
        <v>35753.040000000001</v>
      </c>
      <c r="BG13" s="9">
        <f t="shared" si="7"/>
        <v>17152.310000000001</v>
      </c>
      <c r="BH13" s="9">
        <f t="shared" si="8"/>
        <v>4497.72</v>
      </c>
      <c r="BI13" s="9">
        <f t="shared" si="9"/>
        <v>21192.639999999999</v>
      </c>
      <c r="BJ13" s="9">
        <f t="shared" si="10"/>
        <v>1143.49</v>
      </c>
      <c r="BK13" s="9">
        <f t="shared" si="11"/>
        <v>17152.310000000001</v>
      </c>
      <c r="BL13" s="9">
        <f t="shared" si="12"/>
        <v>1524.65</v>
      </c>
      <c r="BM13" s="9">
        <f t="shared" si="13"/>
        <v>914.79</v>
      </c>
      <c r="BN13" s="9">
        <f t="shared" si="14"/>
        <v>381.16</v>
      </c>
      <c r="BO13" s="9">
        <f t="shared" si="15"/>
        <v>4345.25</v>
      </c>
      <c r="BP13" s="9">
        <f t="shared" si="16"/>
        <v>1372.19</v>
      </c>
      <c r="BQ13" s="9">
        <f t="shared" si="17"/>
        <v>533.63</v>
      </c>
      <c r="BR13" s="9">
        <f t="shared" si="18"/>
        <v>29349.51</v>
      </c>
      <c r="BS13" s="9">
        <f t="shared" si="19"/>
        <v>1295.95</v>
      </c>
      <c r="BT13" s="9">
        <f t="shared" si="20"/>
        <v>15551.43</v>
      </c>
      <c r="BU13" s="9">
        <f t="shared" si="21"/>
        <v>18829.43</v>
      </c>
      <c r="BV13" s="17">
        <f t="shared" si="22"/>
        <v>186922.09</v>
      </c>
      <c r="BW13" s="17">
        <v>4.72</v>
      </c>
      <c r="BX13" s="17">
        <v>0.09</v>
      </c>
      <c r="BY13" s="17">
        <v>0.56000000000000005</v>
      </c>
      <c r="BZ13" s="17">
        <v>0.1</v>
      </c>
      <c r="CA13" s="29">
        <v>6.33</v>
      </c>
      <c r="CB13" s="325"/>
      <c r="CC13" s="13">
        <v>60526.32</v>
      </c>
      <c r="CD13" s="13">
        <v>6532.25</v>
      </c>
      <c r="CE13" s="13">
        <v>128.02000000000001</v>
      </c>
      <c r="CF13" s="13">
        <v>364.63</v>
      </c>
      <c r="CG13" s="13">
        <v>368.04</v>
      </c>
      <c r="CH13" s="13">
        <v>2232</v>
      </c>
      <c r="CI13" s="13">
        <v>4616.91</v>
      </c>
      <c r="CJ13" s="13">
        <v>56982.95</v>
      </c>
      <c r="CK13" s="13">
        <v>2931.83</v>
      </c>
      <c r="CL13" s="13">
        <v>2161643.38</v>
      </c>
      <c r="CM13" s="13">
        <v>246302.84</v>
      </c>
      <c r="CN13" s="13">
        <v>0</v>
      </c>
      <c r="CO13" s="13">
        <v>22701.42</v>
      </c>
      <c r="CP13" s="13">
        <v>15899.28</v>
      </c>
      <c r="CQ13" s="13">
        <v>0</v>
      </c>
      <c r="CR13" s="13">
        <v>2098352.35</v>
      </c>
      <c r="CS13" s="13">
        <v>244069</v>
      </c>
      <c r="CT13" s="13">
        <v>1355.68</v>
      </c>
      <c r="CU13" s="13">
        <v>19909.39</v>
      </c>
      <c r="CV13" s="13">
        <v>14371.09</v>
      </c>
      <c r="CW13" s="13">
        <v>0</v>
      </c>
      <c r="CX13" s="13">
        <v>259470.94</v>
      </c>
      <c r="CY13" s="13">
        <v>20737.96</v>
      </c>
      <c r="CZ13" s="13">
        <v>-4385.1499999999996</v>
      </c>
      <c r="DA13" s="13">
        <v>4472.83</v>
      </c>
      <c r="DB13" s="13">
        <v>2907.15</v>
      </c>
      <c r="DC13" s="13"/>
      <c r="DD13" s="315">
        <v>2446546.92</v>
      </c>
      <c r="DE13" s="317">
        <v>2378057.5099999998</v>
      </c>
      <c r="DF13" s="317">
        <v>97.2</v>
      </c>
      <c r="DG13" s="318">
        <v>283203.73</v>
      </c>
      <c r="DH13" s="310">
        <v>77676.72</v>
      </c>
      <c r="DI13" s="310">
        <v>44424.12</v>
      </c>
      <c r="DJ13" s="312">
        <v>0</v>
      </c>
      <c r="DK13" s="362">
        <v>0</v>
      </c>
      <c r="DL13" s="362"/>
      <c r="DM13" s="362">
        <v>0</v>
      </c>
      <c r="DN13" s="362">
        <v>0</v>
      </c>
      <c r="DO13" s="362">
        <v>0</v>
      </c>
      <c r="DP13" s="362">
        <v>0</v>
      </c>
      <c r="DQ13" s="362">
        <v>0</v>
      </c>
      <c r="DR13" s="362"/>
      <c r="DS13" s="362">
        <v>0</v>
      </c>
      <c r="DT13" s="362"/>
      <c r="DU13" s="362">
        <v>0</v>
      </c>
      <c r="DV13" s="362">
        <v>0</v>
      </c>
      <c r="DW13" s="362">
        <v>194163.83</v>
      </c>
      <c r="DX13" s="362">
        <v>0</v>
      </c>
      <c r="DY13" s="362">
        <v>13500</v>
      </c>
      <c r="DZ13" s="375">
        <v>0</v>
      </c>
      <c r="EA13" s="362">
        <v>0</v>
      </c>
      <c r="EB13" s="362">
        <v>0</v>
      </c>
      <c r="EC13" s="362"/>
      <c r="ED13" s="362">
        <v>688395.66</v>
      </c>
      <c r="EE13" s="362">
        <v>10540</v>
      </c>
      <c r="EF13" s="362"/>
      <c r="EG13" s="362">
        <v>17778</v>
      </c>
      <c r="EH13" s="362">
        <v>0</v>
      </c>
      <c r="EI13" s="362"/>
      <c r="EJ13" s="362">
        <v>0</v>
      </c>
      <c r="EK13" s="362"/>
      <c r="EL13" s="362">
        <v>0</v>
      </c>
      <c r="EM13" s="362">
        <v>4981.83</v>
      </c>
      <c r="EN13" s="362">
        <v>0</v>
      </c>
      <c r="EO13" s="362">
        <v>1116</v>
      </c>
      <c r="EP13" s="362">
        <v>484326</v>
      </c>
      <c r="EQ13" s="362">
        <v>0</v>
      </c>
      <c r="ER13" s="362">
        <v>10920</v>
      </c>
      <c r="ES13" s="362">
        <v>11304</v>
      </c>
      <c r="ET13" s="362">
        <v>17552</v>
      </c>
      <c r="EU13" s="362">
        <v>0</v>
      </c>
      <c r="EV13" s="362">
        <v>6651.68</v>
      </c>
      <c r="EW13" s="362"/>
      <c r="EX13" s="202"/>
      <c r="EY13" s="202"/>
      <c r="EZ13" s="229"/>
      <c r="FA13" s="368">
        <v>277519.69</v>
      </c>
      <c r="FB13" s="368">
        <v>0</v>
      </c>
      <c r="FC13" s="368">
        <v>0</v>
      </c>
      <c r="FD13" s="368">
        <v>0</v>
      </c>
      <c r="FE13" s="368">
        <v>25482.49</v>
      </c>
      <c r="FF13" s="368">
        <v>17871.77</v>
      </c>
      <c r="FG13" s="368">
        <v>-162.13999999999999</v>
      </c>
      <c r="FH13" s="368">
        <v>-2146.16</v>
      </c>
      <c r="FI13" s="368">
        <v>0</v>
      </c>
      <c r="FJ13" s="368">
        <v>0</v>
      </c>
      <c r="FK13" s="368">
        <v>14531.34</v>
      </c>
      <c r="FL13" s="368">
        <v>0</v>
      </c>
      <c r="FM13" s="368">
        <v>203798.67</v>
      </c>
      <c r="FN13" s="368">
        <v>129585.1</v>
      </c>
      <c r="FO13" s="323">
        <v>1916713.61</v>
      </c>
      <c r="FP13" s="323">
        <v>333096.99</v>
      </c>
      <c r="FQ13" s="323">
        <v>2249810.6</v>
      </c>
      <c r="FR13" s="338">
        <v>194332.26</v>
      </c>
      <c r="FS13" s="362">
        <v>12992.08</v>
      </c>
      <c r="FT13" s="377">
        <v>207324.34</v>
      </c>
      <c r="FU13" s="377">
        <v>2283769.56</v>
      </c>
      <c r="FV13" s="377">
        <v>297460.31</v>
      </c>
      <c r="FW13" s="362">
        <v>2581229.87</v>
      </c>
      <c r="FX13" s="362">
        <v>2172818.64</v>
      </c>
      <c r="FY13" s="362">
        <v>279261.78999999998</v>
      </c>
      <c r="FZ13" s="362">
        <v>2452080.4300000002</v>
      </c>
      <c r="GA13" s="362">
        <v>305283.18</v>
      </c>
      <c r="GB13" s="362">
        <v>31190.6</v>
      </c>
      <c r="GC13" s="362">
        <v>336473.78</v>
      </c>
      <c r="GD13" s="362">
        <v>194178.75</v>
      </c>
      <c r="GE13" s="362">
        <v>22577.37</v>
      </c>
      <c r="GF13" s="362">
        <v>216756.12</v>
      </c>
      <c r="GG13" s="202">
        <v>53270.05</v>
      </c>
      <c r="GH13" s="416">
        <v>86</v>
      </c>
      <c r="GI13" s="414">
        <v>2878</v>
      </c>
      <c r="GJ13" s="419">
        <v>70151.259999999995</v>
      </c>
      <c r="GK13" s="396">
        <v>53270.05</v>
      </c>
      <c r="GL13" s="202">
        <v>45812.243000000002</v>
      </c>
      <c r="GM13" s="202">
        <v>7457.8069999999998</v>
      </c>
      <c r="GN13" s="323">
        <v>367055.95</v>
      </c>
      <c r="GO13" s="323">
        <v>-35636.68</v>
      </c>
      <c r="GP13" s="323">
        <v>331419.27</v>
      </c>
      <c r="GQ13" s="323">
        <v>561234.69999999995</v>
      </c>
      <c r="GR13" s="323">
        <v>-13059.31</v>
      </c>
      <c r="GS13" s="323">
        <v>548175.39</v>
      </c>
    </row>
    <row r="14" spans="1:201" ht="12.75" customHeight="1" x14ac:dyDescent="0.2">
      <c r="A14" s="45" t="s">
        <v>22</v>
      </c>
      <c r="B14" s="123" t="s">
        <v>7</v>
      </c>
      <c r="C14" s="124" t="s">
        <v>23</v>
      </c>
      <c r="D14" s="388" t="s">
        <v>393</v>
      </c>
      <c r="E14" s="124" t="s">
        <v>12</v>
      </c>
      <c r="F14" s="11">
        <v>9</v>
      </c>
      <c r="G14" s="11">
        <v>2</v>
      </c>
      <c r="H14" s="11">
        <v>72</v>
      </c>
      <c r="I14" s="11">
        <v>73</v>
      </c>
      <c r="J14" s="11">
        <v>187</v>
      </c>
      <c r="K14" s="11">
        <v>194</v>
      </c>
      <c r="L14" s="84">
        <v>2</v>
      </c>
      <c r="M14" s="137">
        <v>638</v>
      </c>
      <c r="N14" s="137">
        <v>616</v>
      </c>
      <c r="O14" s="137">
        <v>0</v>
      </c>
      <c r="P14" s="133">
        <v>638</v>
      </c>
      <c r="Q14" s="137">
        <v>616</v>
      </c>
      <c r="R14" s="137">
        <v>0</v>
      </c>
      <c r="S14" s="133">
        <f t="shared" si="23"/>
        <v>1254</v>
      </c>
      <c r="T14" s="134">
        <v>638</v>
      </c>
      <c r="U14" s="130">
        <v>2.44</v>
      </c>
      <c r="V14" s="131">
        <v>1.9800000000000002E-2</v>
      </c>
      <c r="W14" s="91">
        <v>1.9800000000000002E-2</v>
      </c>
      <c r="X14" s="132">
        <v>1.32E-3</v>
      </c>
      <c r="Y14" s="131">
        <v>3.9699999999999999E-2</v>
      </c>
      <c r="Z14" s="29">
        <v>3849.73</v>
      </c>
      <c r="AA14" s="29"/>
      <c r="AB14" s="9">
        <f t="shared" si="0"/>
        <v>3849.73</v>
      </c>
      <c r="AC14" s="9">
        <f t="shared" si="26"/>
        <v>24368.79</v>
      </c>
      <c r="AD14" s="9">
        <v>2.27</v>
      </c>
      <c r="AE14" s="9">
        <v>4.21</v>
      </c>
      <c r="AF14" s="21">
        <f>2.48-AJ14</f>
        <v>2.33</v>
      </c>
      <c r="AG14" s="18">
        <f>0.62-AQ14</f>
        <v>0.56999999999999995</v>
      </c>
      <c r="AH14" s="9">
        <v>2.78</v>
      </c>
      <c r="AI14" s="43">
        <v>591</v>
      </c>
      <c r="AJ14" s="21">
        <f t="shared" si="1"/>
        <v>0.15</v>
      </c>
      <c r="AK14" s="9">
        <v>2.2400000000000002</v>
      </c>
      <c r="AL14" s="9">
        <v>0.2</v>
      </c>
      <c r="AM14" s="9">
        <v>0.15</v>
      </c>
      <c r="AN14" s="13"/>
      <c r="AO14" s="13">
        <v>422.4</v>
      </c>
      <c r="AP14" s="13">
        <f t="shared" si="24"/>
        <v>5.58</v>
      </c>
      <c r="AQ14" s="18">
        <f t="shared" si="2"/>
        <v>0.05</v>
      </c>
      <c r="AR14" s="9">
        <v>0.57999999999999996</v>
      </c>
      <c r="AS14" s="9">
        <v>0.36</v>
      </c>
      <c r="AT14" s="9">
        <v>7.0000000000000007E-2</v>
      </c>
      <c r="AU14" s="9">
        <v>3.88</v>
      </c>
      <c r="AV14" s="9">
        <v>0.17</v>
      </c>
      <c r="AW14" s="9">
        <f>1.43+0.34+0.26</f>
        <v>2.0299999999999998</v>
      </c>
      <c r="AX14" s="9">
        <f>2.01+0.46</f>
        <v>2.4700000000000002</v>
      </c>
      <c r="AY14" s="126">
        <f t="shared" si="25"/>
        <v>24.51</v>
      </c>
      <c r="AZ14" s="13">
        <v>24.51</v>
      </c>
      <c r="BA14" s="13">
        <f t="shared" si="3"/>
        <v>0</v>
      </c>
      <c r="BB14" s="9">
        <f t="shared" si="4"/>
        <v>94356.88</v>
      </c>
      <c r="BC14" s="9">
        <v>24.51</v>
      </c>
      <c r="BD14" s="10">
        <v>44378</v>
      </c>
      <c r="BE14" s="9">
        <f t="shared" si="5"/>
        <v>8738.89</v>
      </c>
      <c r="BF14" s="9">
        <f t="shared" si="6"/>
        <v>16207.36</v>
      </c>
      <c r="BG14" s="9">
        <f t="shared" si="7"/>
        <v>8969.8700000000008</v>
      </c>
      <c r="BH14" s="9">
        <f t="shared" si="8"/>
        <v>2194.35</v>
      </c>
      <c r="BI14" s="9">
        <f t="shared" si="9"/>
        <v>10702.25</v>
      </c>
      <c r="BJ14" s="9">
        <f t="shared" si="10"/>
        <v>577.46</v>
      </c>
      <c r="BK14" s="9">
        <f t="shared" si="11"/>
        <v>8623.4</v>
      </c>
      <c r="BL14" s="9">
        <f t="shared" si="12"/>
        <v>769.95</v>
      </c>
      <c r="BM14" s="9">
        <f t="shared" si="13"/>
        <v>577.46</v>
      </c>
      <c r="BN14" s="9">
        <f t="shared" si="14"/>
        <v>192.49</v>
      </c>
      <c r="BO14" s="9">
        <f t="shared" si="15"/>
        <v>2232.84</v>
      </c>
      <c r="BP14" s="9">
        <f t="shared" si="16"/>
        <v>1385.9</v>
      </c>
      <c r="BQ14" s="9">
        <f t="shared" si="17"/>
        <v>269.48</v>
      </c>
      <c r="BR14" s="9">
        <f t="shared" si="18"/>
        <v>14936.95</v>
      </c>
      <c r="BS14" s="9">
        <f t="shared" si="19"/>
        <v>654.45000000000005</v>
      </c>
      <c r="BT14" s="9">
        <f t="shared" si="20"/>
        <v>7814.95</v>
      </c>
      <c r="BU14" s="9">
        <f t="shared" si="21"/>
        <v>9508.83</v>
      </c>
      <c r="BV14" s="17">
        <f t="shared" si="22"/>
        <v>94356.88</v>
      </c>
      <c r="BW14" s="17">
        <v>1.75</v>
      </c>
      <c r="BX14" s="17">
        <v>0.1</v>
      </c>
      <c r="BY14" s="17">
        <v>0.59</v>
      </c>
      <c r="BZ14" s="17">
        <v>0.11</v>
      </c>
      <c r="CA14" s="29">
        <v>6.33</v>
      </c>
      <c r="CB14" s="325"/>
      <c r="CC14" s="13">
        <v>0</v>
      </c>
      <c r="CD14" s="13">
        <v>0</v>
      </c>
      <c r="CE14" s="13">
        <v>0</v>
      </c>
      <c r="CF14" s="13">
        <v>0</v>
      </c>
      <c r="CG14" s="13">
        <v>0</v>
      </c>
      <c r="CH14" s="13">
        <v>9672</v>
      </c>
      <c r="CI14" s="13">
        <v>4828.1099999999997</v>
      </c>
      <c r="CJ14" s="13">
        <v>24468</v>
      </c>
      <c r="CK14" s="13">
        <v>1480.57</v>
      </c>
      <c r="CL14" s="13">
        <v>1132283.1599999999</v>
      </c>
      <c r="CM14" s="13">
        <v>91392.960000000006</v>
      </c>
      <c r="CN14" s="13">
        <v>0</v>
      </c>
      <c r="CO14" s="13">
        <v>4928.03</v>
      </c>
      <c r="CP14" s="13">
        <v>4812.07</v>
      </c>
      <c r="CQ14" s="13">
        <v>0</v>
      </c>
      <c r="CR14" s="13">
        <v>1054244.27</v>
      </c>
      <c r="CS14" s="13">
        <v>76339.89</v>
      </c>
      <c r="CT14" s="13">
        <v>774.88</v>
      </c>
      <c r="CU14" s="13">
        <v>6662.61</v>
      </c>
      <c r="CV14" s="13">
        <v>4925.8599999999997</v>
      </c>
      <c r="CW14" s="13">
        <v>0</v>
      </c>
      <c r="CX14" s="13">
        <v>220744.14</v>
      </c>
      <c r="CY14" s="13">
        <v>18873.580000000002</v>
      </c>
      <c r="CZ14" s="13">
        <v>-1959.54</v>
      </c>
      <c r="DA14" s="13">
        <v>1561.32</v>
      </c>
      <c r="DB14" s="13">
        <v>1041.6400000000001</v>
      </c>
      <c r="DC14" s="13"/>
      <c r="DD14" s="315">
        <v>1233416.22</v>
      </c>
      <c r="DE14" s="317">
        <v>1142947.51</v>
      </c>
      <c r="DF14" s="317">
        <v>92.67</v>
      </c>
      <c r="DG14" s="318">
        <v>240261.14</v>
      </c>
      <c r="DH14" s="310">
        <v>40450.800000000003</v>
      </c>
      <c r="DI14" s="310">
        <v>23134.2</v>
      </c>
      <c r="DJ14" s="312">
        <v>0</v>
      </c>
      <c r="DK14" s="362">
        <v>0</v>
      </c>
      <c r="DL14" s="362"/>
      <c r="DM14" s="362">
        <v>0</v>
      </c>
      <c r="DN14" s="362">
        <v>0</v>
      </c>
      <c r="DO14" s="362">
        <v>0</v>
      </c>
      <c r="DP14" s="362">
        <v>0</v>
      </c>
      <c r="DQ14" s="362">
        <v>0</v>
      </c>
      <c r="DR14" s="362"/>
      <c r="DS14" s="362">
        <v>0</v>
      </c>
      <c r="DT14" s="362"/>
      <c r="DU14" s="362">
        <v>0</v>
      </c>
      <c r="DV14" s="362">
        <v>0</v>
      </c>
      <c r="DW14" s="362">
        <v>103200</v>
      </c>
      <c r="DX14" s="362">
        <v>0</v>
      </c>
      <c r="DY14" s="362">
        <v>9000</v>
      </c>
      <c r="DZ14" s="375">
        <v>0</v>
      </c>
      <c r="EA14" s="362">
        <v>345432</v>
      </c>
      <c r="EB14" s="362">
        <v>5603</v>
      </c>
      <c r="EC14" s="362"/>
      <c r="ED14" s="362">
        <v>0</v>
      </c>
      <c r="EE14" s="362">
        <v>0</v>
      </c>
      <c r="EF14" s="362"/>
      <c r="EG14" s="362">
        <v>9402</v>
      </c>
      <c r="EH14" s="362">
        <v>700</v>
      </c>
      <c r="EI14" s="362"/>
      <c r="EJ14" s="362">
        <v>0</v>
      </c>
      <c r="EK14" s="362"/>
      <c r="EL14" s="362">
        <v>0</v>
      </c>
      <c r="EM14" s="362">
        <v>2356.98</v>
      </c>
      <c r="EN14" s="362">
        <v>243048.9</v>
      </c>
      <c r="EO14" s="362">
        <v>4464</v>
      </c>
      <c r="EP14" s="362">
        <v>0</v>
      </c>
      <c r="EQ14" s="362">
        <v>0</v>
      </c>
      <c r="ER14" s="362">
        <v>16380</v>
      </c>
      <c r="ES14" s="362">
        <v>0</v>
      </c>
      <c r="ET14" s="362">
        <v>8882</v>
      </c>
      <c r="EU14" s="362">
        <v>0</v>
      </c>
      <c r="EV14" s="362">
        <v>7660</v>
      </c>
      <c r="EW14" s="362"/>
      <c r="EX14" s="202"/>
      <c r="EY14" s="202"/>
      <c r="EZ14" s="229"/>
      <c r="FA14" s="368">
        <v>91395.43</v>
      </c>
      <c r="FB14" s="368">
        <v>0</v>
      </c>
      <c r="FC14" s="368">
        <v>0</v>
      </c>
      <c r="FD14" s="368">
        <v>0</v>
      </c>
      <c r="FE14" s="368">
        <v>5034.18</v>
      </c>
      <c r="FF14" s="368">
        <v>4118.46</v>
      </c>
      <c r="FG14" s="368">
        <v>63.68</v>
      </c>
      <c r="FH14" s="368">
        <v>-933.55</v>
      </c>
      <c r="FI14" s="368">
        <v>0</v>
      </c>
      <c r="FJ14" s="368">
        <v>0</v>
      </c>
      <c r="FK14" s="368">
        <v>562.54999999999995</v>
      </c>
      <c r="FL14" s="368">
        <v>0</v>
      </c>
      <c r="FM14" s="368">
        <v>102922.77</v>
      </c>
      <c r="FN14" s="368">
        <v>65443.1</v>
      </c>
      <c r="FO14" s="323">
        <v>988079.75</v>
      </c>
      <c r="FP14" s="323">
        <v>100240.75</v>
      </c>
      <c r="FQ14" s="323">
        <v>1088320.5</v>
      </c>
      <c r="FR14" s="338">
        <v>129169.23</v>
      </c>
      <c r="FS14" s="362">
        <v>6509.53</v>
      </c>
      <c r="FT14" s="377">
        <v>135678.76</v>
      </c>
      <c r="FU14" s="377">
        <v>1161579.27</v>
      </c>
      <c r="FV14" s="377">
        <v>112285.63</v>
      </c>
      <c r="FW14" s="362">
        <v>1273864.8999999999</v>
      </c>
      <c r="FX14" s="362">
        <v>1070004.3600000001</v>
      </c>
      <c r="FY14" s="362">
        <v>99278.16</v>
      </c>
      <c r="FZ14" s="362">
        <v>1169282.52</v>
      </c>
      <c r="GA14" s="362">
        <v>220744.14</v>
      </c>
      <c r="GB14" s="362">
        <v>19517</v>
      </c>
      <c r="GC14" s="362">
        <v>240261.14</v>
      </c>
      <c r="GD14" s="362">
        <v>132781.96</v>
      </c>
      <c r="GE14" s="362">
        <v>9436.69</v>
      </c>
      <c r="GF14" s="362">
        <v>142218.65</v>
      </c>
      <c r="GG14" s="202"/>
      <c r="GH14" s="416">
        <v>0</v>
      </c>
      <c r="GI14" s="414">
        <v>1947</v>
      </c>
      <c r="GJ14" s="419">
        <v>9672</v>
      </c>
      <c r="GK14" s="396"/>
      <c r="GL14" s="202">
        <v>0</v>
      </c>
      <c r="GM14" s="202">
        <v>0</v>
      </c>
      <c r="GN14" s="323">
        <v>173499.51999999999</v>
      </c>
      <c r="GO14" s="323">
        <v>12044.88</v>
      </c>
      <c r="GP14" s="323">
        <v>185544.4</v>
      </c>
      <c r="GQ14" s="323">
        <v>306281.48</v>
      </c>
      <c r="GR14" s="323">
        <v>21481.57</v>
      </c>
      <c r="GS14" s="323">
        <v>327763.05</v>
      </c>
    </row>
    <row r="15" spans="1:201" ht="12.75" customHeight="1" x14ac:dyDescent="0.2">
      <c r="A15" s="45" t="s">
        <v>24</v>
      </c>
      <c r="B15" s="141" t="s">
        <v>7</v>
      </c>
      <c r="C15" s="142" t="s">
        <v>25</v>
      </c>
      <c r="D15" s="388" t="s">
        <v>394</v>
      </c>
      <c r="E15" s="142" t="s">
        <v>12</v>
      </c>
      <c r="F15" s="11">
        <v>5</v>
      </c>
      <c r="G15" s="11">
        <v>6</v>
      </c>
      <c r="H15" s="11">
        <v>90</v>
      </c>
      <c r="I15" s="11">
        <v>90</v>
      </c>
      <c r="J15" s="11">
        <v>180</v>
      </c>
      <c r="K15" s="11">
        <v>188</v>
      </c>
      <c r="L15" s="84" t="s">
        <v>746</v>
      </c>
      <c r="M15" s="84">
        <v>416</v>
      </c>
      <c r="N15" s="84">
        <v>1264</v>
      </c>
      <c r="O15" s="84">
        <v>0</v>
      </c>
      <c r="P15" s="133">
        <v>414.5</v>
      </c>
      <c r="Q15" s="133">
        <v>1117.0999999999999</v>
      </c>
      <c r="R15" s="133">
        <v>0</v>
      </c>
      <c r="S15" s="133">
        <f t="shared" si="23"/>
        <v>1531.6</v>
      </c>
      <c r="T15" s="134">
        <v>414.5</v>
      </c>
      <c r="U15" s="130">
        <v>1.53</v>
      </c>
      <c r="V15" s="91">
        <v>1.9800000000000002E-2</v>
      </c>
      <c r="W15" s="91">
        <v>1.9800000000000002E-2</v>
      </c>
      <c r="X15" s="132">
        <v>1.2199999999999999E-3</v>
      </c>
      <c r="Y15" s="91">
        <v>3.95E-2</v>
      </c>
      <c r="Z15" s="29">
        <v>3972.44</v>
      </c>
      <c r="AA15" s="29"/>
      <c r="AB15" s="9">
        <f t="shared" si="0"/>
        <v>3972.44</v>
      </c>
      <c r="AC15" s="9">
        <f t="shared" si="26"/>
        <v>25145.55</v>
      </c>
      <c r="AD15" s="9">
        <v>0.52</v>
      </c>
      <c r="AE15" s="9">
        <v>4.4800000000000004</v>
      </c>
      <c r="AF15" s="21">
        <f>2.49-AJ15</f>
        <v>2.1800000000000002</v>
      </c>
      <c r="AG15" s="18">
        <f>0.56-AQ15</f>
        <v>0.45</v>
      </c>
      <c r="AH15" s="9">
        <v>2.78</v>
      </c>
      <c r="AI15" s="43">
        <v>1213</v>
      </c>
      <c r="AJ15" s="21">
        <f t="shared" si="1"/>
        <v>0.31</v>
      </c>
      <c r="AK15" s="9">
        <v>0</v>
      </c>
      <c r="AL15" s="9">
        <v>0</v>
      </c>
      <c r="AM15" s="9">
        <v>0.15</v>
      </c>
      <c r="AN15" s="13"/>
      <c r="AO15" s="13">
        <v>901.8</v>
      </c>
      <c r="AP15" s="13">
        <f t="shared" si="24"/>
        <v>5.58</v>
      </c>
      <c r="AQ15" s="18">
        <f t="shared" si="2"/>
        <v>0.11</v>
      </c>
      <c r="AR15" s="9">
        <v>0.79</v>
      </c>
      <c r="AS15" s="9">
        <v>0.34</v>
      </c>
      <c r="AT15" s="9">
        <v>7.0000000000000007E-2</v>
      </c>
      <c r="AU15" s="9">
        <v>4.05</v>
      </c>
      <c r="AV15" s="9">
        <v>0.13</v>
      </c>
      <c r="AW15" s="9">
        <f>1.09+0.32+0.36</f>
        <v>1.77</v>
      </c>
      <c r="AX15" s="9">
        <f>1.5+0.49</f>
        <v>1.99</v>
      </c>
      <c r="AY15" s="144">
        <f t="shared" si="25"/>
        <v>20.12</v>
      </c>
      <c r="AZ15" s="13">
        <v>20.12</v>
      </c>
      <c r="BA15" s="13">
        <f t="shared" si="3"/>
        <v>0</v>
      </c>
      <c r="BB15" s="9">
        <f t="shared" si="4"/>
        <v>79925.490000000005</v>
      </c>
      <c r="BC15" s="9">
        <v>20.12</v>
      </c>
      <c r="BD15" s="10">
        <v>44409</v>
      </c>
      <c r="BE15" s="9">
        <f t="shared" si="5"/>
        <v>2065.67</v>
      </c>
      <c r="BF15" s="9">
        <f t="shared" si="6"/>
        <v>17796.53</v>
      </c>
      <c r="BG15" s="9">
        <f t="shared" si="7"/>
        <v>8659.92</v>
      </c>
      <c r="BH15" s="9">
        <f t="shared" si="8"/>
        <v>1787.6</v>
      </c>
      <c r="BI15" s="9">
        <f t="shared" si="9"/>
        <v>11043.38</v>
      </c>
      <c r="BJ15" s="9">
        <f t="shared" si="10"/>
        <v>1231.46</v>
      </c>
      <c r="BK15" s="9">
        <f t="shared" si="11"/>
        <v>0</v>
      </c>
      <c r="BL15" s="9">
        <f t="shared" si="12"/>
        <v>0</v>
      </c>
      <c r="BM15" s="9">
        <f t="shared" si="13"/>
        <v>595.87</v>
      </c>
      <c r="BN15" s="9">
        <f t="shared" si="14"/>
        <v>436.97</v>
      </c>
      <c r="BO15" s="9">
        <f t="shared" si="15"/>
        <v>3138.23</v>
      </c>
      <c r="BP15" s="9">
        <f t="shared" si="16"/>
        <v>1350.63</v>
      </c>
      <c r="BQ15" s="9">
        <f t="shared" si="17"/>
        <v>278.07</v>
      </c>
      <c r="BR15" s="9">
        <f t="shared" si="18"/>
        <v>16088.38</v>
      </c>
      <c r="BS15" s="9">
        <f t="shared" si="19"/>
        <v>516.41999999999996</v>
      </c>
      <c r="BT15" s="9">
        <f t="shared" si="20"/>
        <v>7031.22</v>
      </c>
      <c r="BU15" s="9">
        <f t="shared" si="21"/>
        <v>7905.16</v>
      </c>
      <c r="BV15" s="17">
        <f t="shared" si="22"/>
        <v>79925.509999999995</v>
      </c>
      <c r="BW15" s="17">
        <v>0.64</v>
      </c>
      <c r="BX15" s="17">
        <v>0.06</v>
      </c>
      <c r="BY15" s="17">
        <v>0.32</v>
      </c>
      <c r="BZ15" s="17">
        <v>0.06</v>
      </c>
      <c r="CA15" s="29">
        <v>6.33</v>
      </c>
      <c r="CB15" s="325"/>
      <c r="CC15" s="13">
        <v>0</v>
      </c>
      <c r="CD15" s="13">
        <v>0</v>
      </c>
      <c r="CE15" s="13">
        <v>0</v>
      </c>
      <c r="CF15" s="13">
        <v>0</v>
      </c>
      <c r="CG15" s="13">
        <v>0</v>
      </c>
      <c r="CH15" s="13">
        <v>5208</v>
      </c>
      <c r="CI15" s="13">
        <v>6018.46</v>
      </c>
      <c r="CJ15" s="13">
        <v>51048</v>
      </c>
      <c r="CK15" s="13">
        <v>1527.76</v>
      </c>
      <c r="CL15" s="13">
        <v>959106.12</v>
      </c>
      <c r="CM15" s="13">
        <v>83659.839999999997</v>
      </c>
      <c r="CN15" s="13">
        <v>0.01</v>
      </c>
      <c r="CO15" s="13">
        <v>5481.89</v>
      </c>
      <c r="CP15" s="13">
        <v>4329.96</v>
      </c>
      <c r="CQ15" s="13">
        <v>0</v>
      </c>
      <c r="CR15" s="13">
        <v>847501.63</v>
      </c>
      <c r="CS15" s="13">
        <v>65581.09</v>
      </c>
      <c r="CT15" s="13">
        <v>9012.1</v>
      </c>
      <c r="CU15" s="13">
        <v>11125.93</v>
      </c>
      <c r="CV15" s="13">
        <v>6600.19</v>
      </c>
      <c r="CW15" s="13">
        <v>0</v>
      </c>
      <c r="CX15" s="13">
        <v>199737.27</v>
      </c>
      <c r="CY15" s="13">
        <v>22042.74</v>
      </c>
      <c r="CZ15" s="13">
        <v>-9646.67</v>
      </c>
      <c r="DA15" s="13">
        <v>2485.52</v>
      </c>
      <c r="DB15" s="13">
        <v>1403.16</v>
      </c>
      <c r="DC15" s="13"/>
      <c r="DD15" s="315">
        <v>1052577.82</v>
      </c>
      <c r="DE15" s="317">
        <v>939820.94</v>
      </c>
      <c r="DF15" s="317">
        <v>89.29</v>
      </c>
      <c r="DG15" s="318">
        <v>216022.02</v>
      </c>
      <c r="DH15" s="310">
        <v>41740.080000000002</v>
      </c>
      <c r="DI15" s="310">
        <v>23871.599999999999</v>
      </c>
      <c r="DJ15" s="312">
        <v>0</v>
      </c>
      <c r="DK15" s="362">
        <v>0</v>
      </c>
      <c r="DL15" s="362"/>
      <c r="DM15" s="362">
        <v>0</v>
      </c>
      <c r="DN15" s="362">
        <v>0</v>
      </c>
      <c r="DO15" s="362">
        <v>0</v>
      </c>
      <c r="DP15" s="362">
        <v>0</v>
      </c>
      <c r="DQ15" s="362">
        <v>0</v>
      </c>
      <c r="DR15" s="362"/>
      <c r="DS15" s="362">
        <v>0</v>
      </c>
      <c r="DT15" s="362"/>
      <c r="DU15" s="362">
        <v>0</v>
      </c>
      <c r="DV15" s="362">
        <v>0</v>
      </c>
      <c r="DW15" s="362">
        <v>0</v>
      </c>
      <c r="DX15" s="362">
        <v>0</v>
      </c>
      <c r="DY15" s="362">
        <v>0</v>
      </c>
      <c r="DZ15" s="375">
        <v>0</v>
      </c>
      <c r="EA15" s="362">
        <v>275532</v>
      </c>
      <c r="EB15" s="362">
        <v>5603</v>
      </c>
      <c r="EC15" s="362"/>
      <c r="ED15" s="362">
        <v>0</v>
      </c>
      <c r="EE15" s="362">
        <v>0</v>
      </c>
      <c r="EF15" s="362"/>
      <c r="EG15" s="362">
        <v>19302</v>
      </c>
      <c r="EH15" s="362">
        <v>89110</v>
      </c>
      <c r="EI15" s="362"/>
      <c r="EJ15" s="362">
        <v>44800</v>
      </c>
      <c r="EK15" s="362"/>
      <c r="EL15" s="362">
        <v>0</v>
      </c>
      <c r="EM15" s="362">
        <v>5032.05</v>
      </c>
      <c r="EN15" s="362">
        <v>249341.34</v>
      </c>
      <c r="EO15" s="362">
        <v>2604</v>
      </c>
      <c r="EP15" s="362">
        <v>0</v>
      </c>
      <c r="EQ15" s="362">
        <v>0</v>
      </c>
      <c r="ER15" s="362">
        <v>16380</v>
      </c>
      <c r="ES15" s="362">
        <v>577</v>
      </c>
      <c r="ET15" s="362">
        <v>14628</v>
      </c>
      <c r="EU15" s="362">
        <v>0</v>
      </c>
      <c r="EV15" s="362">
        <v>8907.9599999999991</v>
      </c>
      <c r="EW15" s="362"/>
      <c r="EX15" s="202"/>
      <c r="EY15" s="202"/>
      <c r="EZ15" s="229"/>
      <c r="FA15" s="368">
        <v>87911.7</v>
      </c>
      <c r="FB15" s="368">
        <v>3186.56</v>
      </c>
      <c r="FC15" s="368">
        <v>0</v>
      </c>
      <c r="FD15" s="368">
        <v>0</v>
      </c>
      <c r="FE15" s="368">
        <v>3546.79</v>
      </c>
      <c r="FF15" s="368">
        <v>2826.08</v>
      </c>
      <c r="FG15" s="368">
        <v>-1243.0999999999999</v>
      </c>
      <c r="FH15" s="368">
        <v>-1667.15</v>
      </c>
      <c r="FI15" s="368">
        <v>0</v>
      </c>
      <c r="FJ15" s="368">
        <v>0</v>
      </c>
      <c r="FK15" s="368">
        <v>59466.66</v>
      </c>
      <c r="FL15" s="368">
        <v>0</v>
      </c>
      <c r="FM15" s="368">
        <v>106203.43</v>
      </c>
      <c r="FN15" s="368">
        <v>67529.100000000006</v>
      </c>
      <c r="FO15" s="323">
        <v>971161.56</v>
      </c>
      <c r="FP15" s="323">
        <v>154027.54</v>
      </c>
      <c r="FQ15" s="323">
        <v>1125189.1000000001</v>
      </c>
      <c r="FR15" s="338">
        <v>108293.23</v>
      </c>
      <c r="FS15" s="362">
        <v>10815.12</v>
      </c>
      <c r="FT15" s="377">
        <v>119108.35</v>
      </c>
      <c r="FU15" s="377">
        <v>1016172.58</v>
      </c>
      <c r="FV15" s="377">
        <v>100207.46</v>
      </c>
      <c r="FW15" s="362">
        <v>1116380.04</v>
      </c>
      <c r="FX15" s="362">
        <v>924728.54</v>
      </c>
      <c r="FY15" s="362">
        <v>94737.83</v>
      </c>
      <c r="FZ15" s="362">
        <v>1019466.37</v>
      </c>
      <c r="GA15" s="362">
        <v>199737.27</v>
      </c>
      <c r="GB15" s="362">
        <v>16284.75</v>
      </c>
      <c r="GC15" s="362">
        <v>216022.02</v>
      </c>
      <c r="GD15" s="362">
        <v>44075.87</v>
      </c>
      <c r="GE15" s="362">
        <v>-9456.5499999999993</v>
      </c>
      <c r="GF15" s="362">
        <v>34619.32</v>
      </c>
      <c r="GG15" s="202"/>
      <c r="GH15" s="416">
        <v>0</v>
      </c>
      <c r="GI15" s="414">
        <v>4910</v>
      </c>
      <c r="GJ15" s="419">
        <v>5208</v>
      </c>
      <c r="GK15" s="396"/>
      <c r="GL15" s="202">
        <v>0</v>
      </c>
      <c r="GM15" s="202">
        <v>0</v>
      </c>
      <c r="GN15" s="323">
        <v>45011.02</v>
      </c>
      <c r="GO15" s="323">
        <v>-53820.08</v>
      </c>
      <c r="GP15" s="323">
        <v>-8809.06</v>
      </c>
      <c r="GQ15" s="323">
        <v>89086.89</v>
      </c>
      <c r="GR15" s="323">
        <v>-63276.63</v>
      </c>
      <c r="GS15" s="323">
        <v>25810.26</v>
      </c>
    </row>
    <row r="16" spans="1:201" ht="12.75" customHeight="1" x14ac:dyDescent="0.2">
      <c r="A16" s="45" t="s">
        <v>26</v>
      </c>
      <c r="B16" s="141" t="s">
        <v>7</v>
      </c>
      <c r="C16" s="142" t="s">
        <v>27</v>
      </c>
      <c r="D16" s="388" t="s">
        <v>395</v>
      </c>
      <c r="E16" s="142" t="s">
        <v>12</v>
      </c>
      <c r="F16" s="11">
        <v>5</v>
      </c>
      <c r="G16" s="11">
        <v>6</v>
      </c>
      <c r="H16" s="11">
        <v>90</v>
      </c>
      <c r="I16" s="11">
        <v>90</v>
      </c>
      <c r="J16" s="11">
        <v>191</v>
      </c>
      <c r="K16" s="11">
        <v>214</v>
      </c>
      <c r="L16" s="84" t="s">
        <v>746</v>
      </c>
      <c r="M16" s="137">
        <v>415</v>
      </c>
      <c r="N16" s="137">
        <v>1264</v>
      </c>
      <c r="O16" s="137">
        <v>0</v>
      </c>
      <c r="P16" s="133">
        <v>415</v>
      </c>
      <c r="Q16" s="137">
        <v>1264</v>
      </c>
      <c r="R16" s="137">
        <v>0</v>
      </c>
      <c r="S16" s="133">
        <f t="shared" si="23"/>
        <v>1679</v>
      </c>
      <c r="T16" s="134">
        <v>415</v>
      </c>
      <c r="U16" s="130">
        <v>1.53</v>
      </c>
      <c r="V16" s="131">
        <v>1.9800000000000002E-2</v>
      </c>
      <c r="W16" s="91">
        <v>1.9800000000000002E-2</v>
      </c>
      <c r="X16" s="132">
        <v>1.2199999999999999E-3</v>
      </c>
      <c r="Y16" s="131">
        <v>3.95E-2</v>
      </c>
      <c r="Z16" s="29">
        <v>3973.46</v>
      </c>
      <c r="AA16" s="29"/>
      <c r="AB16" s="9">
        <f t="shared" si="0"/>
        <v>3973.46</v>
      </c>
      <c r="AC16" s="9">
        <f t="shared" si="26"/>
        <v>25152</v>
      </c>
      <c r="AD16" s="9">
        <v>0.52</v>
      </c>
      <c r="AE16" s="9">
        <f>5.1</f>
        <v>5.0999999999999996</v>
      </c>
      <c r="AF16" s="21">
        <f>2.5-AJ16</f>
        <v>2.19</v>
      </c>
      <c r="AG16" s="18">
        <f>0.56-AQ16</f>
        <v>0.45</v>
      </c>
      <c r="AH16" s="9">
        <v>2.78</v>
      </c>
      <c r="AI16" s="43">
        <v>1213</v>
      </c>
      <c r="AJ16" s="21">
        <f t="shared" si="1"/>
        <v>0.31</v>
      </c>
      <c r="AK16" s="9">
        <v>0</v>
      </c>
      <c r="AL16" s="9">
        <v>0</v>
      </c>
      <c r="AM16" s="9">
        <v>0</v>
      </c>
      <c r="AN16" s="13"/>
      <c r="AO16" s="13">
        <v>901.8</v>
      </c>
      <c r="AP16" s="13">
        <f t="shared" si="24"/>
        <v>5.58</v>
      </c>
      <c r="AQ16" s="18">
        <f t="shared" si="2"/>
        <v>0.11</v>
      </c>
      <c r="AR16" s="9">
        <v>0.79</v>
      </c>
      <c r="AS16" s="9">
        <v>0.34</v>
      </c>
      <c r="AT16" s="9">
        <v>7.0000000000000007E-2</v>
      </c>
      <c r="AU16" s="9">
        <v>3.58</v>
      </c>
      <c r="AV16" s="9">
        <v>0.13</v>
      </c>
      <c r="AW16" s="9">
        <f>1.13+0.32+0.32</f>
        <v>1.77</v>
      </c>
      <c r="AX16" s="9">
        <f>1.55+0.43</f>
        <v>1.98</v>
      </c>
      <c r="AY16" s="144">
        <f t="shared" si="25"/>
        <v>20.12</v>
      </c>
      <c r="AZ16" s="13">
        <v>20.12</v>
      </c>
      <c r="BA16" s="13">
        <f t="shared" si="3"/>
        <v>0</v>
      </c>
      <c r="BB16" s="9">
        <f t="shared" si="4"/>
        <v>79946.02</v>
      </c>
      <c r="BC16" s="9">
        <v>20.12</v>
      </c>
      <c r="BD16" s="10">
        <v>44409</v>
      </c>
      <c r="BE16" s="9">
        <f t="shared" si="5"/>
        <v>2066.1999999999998</v>
      </c>
      <c r="BF16" s="9">
        <f t="shared" si="6"/>
        <v>20264.650000000001</v>
      </c>
      <c r="BG16" s="9">
        <f t="shared" si="7"/>
        <v>8701.8799999999992</v>
      </c>
      <c r="BH16" s="9">
        <f t="shared" si="8"/>
        <v>1788.06</v>
      </c>
      <c r="BI16" s="9">
        <f t="shared" si="9"/>
        <v>11046.22</v>
      </c>
      <c r="BJ16" s="9">
        <f t="shared" si="10"/>
        <v>1231.77</v>
      </c>
      <c r="BK16" s="9">
        <f t="shared" si="11"/>
        <v>0</v>
      </c>
      <c r="BL16" s="9">
        <f t="shared" si="12"/>
        <v>0</v>
      </c>
      <c r="BM16" s="9">
        <f t="shared" si="13"/>
        <v>0</v>
      </c>
      <c r="BN16" s="9">
        <f t="shared" si="14"/>
        <v>437.08</v>
      </c>
      <c r="BO16" s="9">
        <f t="shared" si="15"/>
        <v>3139.03</v>
      </c>
      <c r="BP16" s="9">
        <f t="shared" si="16"/>
        <v>1350.98</v>
      </c>
      <c r="BQ16" s="9">
        <f t="shared" si="17"/>
        <v>278.14</v>
      </c>
      <c r="BR16" s="9">
        <f t="shared" si="18"/>
        <v>14224.99</v>
      </c>
      <c r="BS16" s="9">
        <f t="shared" si="19"/>
        <v>516.54999999999995</v>
      </c>
      <c r="BT16" s="9">
        <f t="shared" si="20"/>
        <v>7033.02</v>
      </c>
      <c r="BU16" s="9">
        <f t="shared" si="21"/>
        <v>7867.45</v>
      </c>
      <c r="BV16" s="17">
        <f t="shared" si="22"/>
        <v>79946.02</v>
      </c>
      <c r="BW16" s="17">
        <v>0.64</v>
      </c>
      <c r="BX16" s="17">
        <v>0.06</v>
      </c>
      <c r="BY16" s="17">
        <v>0.32</v>
      </c>
      <c r="BZ16" s="17">
        <v>0.06</v>
      </c>
      <c r="CA16" s="29">
        <v>6.33</v>
      </c>
      <c r="CB16" s="325"/>
      <c r="CC16" s="13">
        <v>0</v>
      </c>
      <c r="CD16" s="13">
        <v>0</v>
      </c>
      <c r="CE16" s="13">
        <v>0</v>
      </c>
      <c r="CF16" s="13">
        <v>0</v>
      </c>
      <c r="CG16" s="13">
        <v>0</v>
      </c>
      <c r="CH16" s="13">
        <v>3720</v>
      </c>
      <c r="CI16" s="13">
        <v>6511.16</v>
      </c>
      <c r="CJ16" s="13">
        <v>38856</v>
      </c>
      <c r="CK16" s="13">
        <v>1527.88</v>
      </c>
      <c r="CL16" s="13">
        <v>959212.94</v>
      </c>
      <c r="CM16" s="13">
        <v>91658.37</v>
      </c>
      <c r="CN16" s="13">
        <v>0.28000000000000003</v>
      </c>
      <c r="CO16" s="13">
        <v>2860.76</v>
      </c>
      <c r="CP16" s="13">
        <v>2860.76</v>
      </c>
      <c r="CQ16" s="13">
        <v>0</v>
      </c>
      <c r="CR16" s="13">
        <v>918425.82</v>
      </c>
      <c r="CS16" s="13">
        <v>71815.22</v>
      </c>
      <c r="CT16" s="13">
        <v>782.45</v>
      </c>
      <c r="CU16" s="13">
        <v>2666.25</v>
      </c>
      <c r="CV16" s="13">
        <v>2742.55</v>
      </c>
      <c r="CW16" s="13">
        <v>0</v>
      </c>
      <c r="CX16" s="13">
        <v>138353.63</v>
      </c>
      <c r="CY16" s="13">
        <v>22889.91</v>
      </c>
      <c r="CZ16" s="13">
        <v>-1192.02</v>
      </c>
      <c r="DA16" s="13">
        <v>416.07</v>
      </c>
      <c r="DB16" s="13">
        <v>416.07</v>
      </c>
      <c r="DC16" s="13"/>
      <c r="DD16" s="315">
        <v>1056593.1100000001</v>
      </c>
      <c r="DE16" s="317">
        <v>996432.29</v>
      </c>
      <c r="DF16" s="317">
        <v>94.31</v>
      </c>
      <c r="DG16" s="318">
        <v>160883.66</v>
      </c>
      <c r="DH16" s="310">
        <v>41742.839999999997</v>
      </c>
      <c r="DI16" s="310">
        <v>23873.16</v>
      </c>
      <c r="DJ16" s="312">
        <v>0</v>
      </c>
      <c r="DK16" s="362">
        <v>0</v>
      </c>
      <c r="DL16" s="362"/>
      <c r="DM16" s="362">
        <v>0</v>
      </c>
      <c r="DN16" s="362">
        <v>0</v>
      </c>
      <c r="DO16" s="362">
        <v>0</v>
      </c>
      <c r="DP16" s="362">
        <v>0</v>
      </c>
      <c r="DQ16" s="362">
        <v>0</v>
      </c>
      <c r="DR16" s="362"/>
      <c r="DS16" s="362">
        <v>0</v>
      </c>
      <c r="DT16" s="362"/>
      <c r="DU16" s="362">
        <v>0</v>
      </c>
      <c r="DV16" s="362">
        <v>0</v>
      </c>
      <c r="DW16" s="362">
        <v>0</v>
      </c>
      <c r="DX16" s="362">
        <v>0</v>
      </c>
      <c r="DY16" s="362">
        <v>0</v>
      </c>
      <c r="DZ16" s="375">
        <v>0</v>
      </c>
      <c r="EA16" s="362">
        <v>309240</v>
      </c>
      <c r="EB16" s="362">
        <v>5603</v>
      </c>
      <c r="EC16" s="362"/>
      <c r="ED16" s="362">
        <v>0</v>
      </c>
      <c r="EE16" s="362">
        <v>0</v>
      </c>
      <c r="EF16" s="362"/>
      <c r="EG16" s="362">
        <v>19302</v>
      </c>
      <c r="EH16" s="362">
        <v>43155</v>
      </c>
      <c r="EI16" s="362"/>
      <c r="EJ16" s="362">
        <v>22400</v>
      </c>
      <c r="EK16" s="362"/>
      <c r="EL16" s="362">
        <v>0</v>
      </c>
      <c r="EM16" s="362">
        <v>5032.05</v>
      </c>
      <c r="EN16" s="362">
        <v>249845.28</v>
      </c>
      <c r="EO16" s="362">
        <v>2232</v>
      </c>
      <c r="EP16" s="362">
        <v>0</v>
      </c>
      <c r="EQ16" s="362">
        <v>0</v>
      </c>
      <c r="ER16" s="362">
        <v>16380</v>
      </c>
      <c r="ES16" s="362">
        <v>0</v>
      </c>
      <c r="ET16" s="362">
        <v>14628</v>
      </c>
      <c r="EU16" s="362">
        <v>0</v>
      </c>
      <c r="EV16" s="362">
        <v>15641.86</v>
      </c>
      <c r="EW16" s="362"/>
      <c r="EX16" s="202"/>
      <c r="EY16" s="202"/>
      <c r="EZ16" s="229"/>
      <c r="FA16" s="368">
        <v>90586.89</v>
      </c>
      <c r="FB16" s="368">
        <v>0</v>
      </c>
      <c r="FC16" s="368">
        <v>0</v>
      </c>
      <c r="FD16" s="368">
        <v>0</v>
      </c>
      <c r="FE16" s="368">
        <v>2752.46</v>
      </c>
      <c r="FF16" s="368">
        <v>2945.12</v>
      </c>
      <c r="FG16" s="368">
        <v>0</v>
      </c>
      <c r="FH16" s="368">
        <v>-1016.42</v>
      </c>
      <c r="FI16" s="368">
        <v>0</v>
      </c>
      <c r="FJ16" s="368">
        <v>0</v>
      </c>
      <c r="FK16" s="368">
        <v>2913.88</v>
      </c>
      <c r="FL16" s="368">
        <v>0</v>
      </c>
      <c r="FM16" s="368">
        <v>106216.99</v>
      </c>
      <c r="FN16" s="368">
        <v>67538.38</v>
      </c>
      <c r="FO16" s="323">
        <v>942830.56</v>
      </c>
      <c r="FP16" s="323">
        <v>98181.93</v>
      </c>
      <c r="FQ16" s="323">
        <v>1041012.49</v>
      </c>
      <c r="FR16" s="338">
        <v>83213.52</v>
      </c>
      <c r="FS16" s="362">
        <v>853.9</v>
      </c>
      <c r="FT16" s="377">
        <v>84067.42</v>
      </c>
      <c r="FU16" s="377">
        <v>1004580.1</v>
      </c>
      <c r="FV16" s="377">
        <v>102628.05</v>
      </c>
      <c r="FW16" s="362">
        <v>1107208.1499999999</v>
      </c>
      <c r="FX16" s="362">
        <v>949439.99</v>
      </c>
      <c r="FY16" s="362">
        <v>80951.92</v>
      </c>
      <c r="FZ16" s="362">
        <v>1030391.91</v>
      </c>
      <c r="GA16" s="362">
        <v>138353.63</v>
      </c>
      <c r="GB16" s="362">
        <v>22530.03</v>
      </c>
      <c r="GC16" s="362">
        <v>160883.66</v>
      </c>
      <c r="GD16" s="362">
        <v>77349.14</v>
      </c>
      <c r="GE16" s="362">
        <v>10263.49</v>
      </c>
      <c r="GF16" s="362">
        <v>87612.63</v>
      </c>
      <c r="GG16" s="202"/>
      <c r="GH16" s="416">
        <v>0</v>
      </c>
      <c r="GI16" s="414">
        <v>3386</v>
      </c>
      <c r="GJ16" s="419">
        <v>3720</v>
      </c>
      <c r="GK16" s="396"/>
      <c r="GL16" s="202">
        <v>0</v>
      </c>
      <c r="GM16" s="202">
        <v>0</v>
      </c>
      <c r="GN16" s="323">
        <v>61749.54</v>
      </c>
      <c r="GO16" s="323">
        <v>4446.12</v>
      </c>
      <c r="GP16" s="323">
        <v>66195.66</v>
      </c>
      <c r="GQ16" s="323">
        <v>139098.68</v>
      </c>
      <c r="GR16" s="323">
        <v>14709.61</v>
      </c>
      <c r="GS16" s="323">
        <v>153808.29</v>
      </c>
    </row>
    <row r="17" spans="1:201" ht="12.75" customHeight="1" x14ac:dyDescent="0.2">
      <c r="A17" s="45" t="s">
        <v>28</v>
      </c>
      <c r="B17" s="141" t="s">
        <v>7</v>
      </c>
      <c r="C17" s="142" t="s">
        <v>27</v>
      </c>
      <c r="D17" s="388" t="s">
        <v>543</v>
      </c>
      <c r="E17" s="142" t="s">
        <v>9</v>
      </c>
      <c r="F17" s="11">
        <v>5</v>
      </c>
      <c r="G17" s="11">
        <v>4</v>
      </c>
      <c r="H17" s="11">
        <v>80</v>
      </c>
      <c r="I17" s="11">
        <v>80</v>
      </c>
      <c r="J17" s="11">
        <v>160</v>
      </c>
      <c r="K17" s="11">
        <v>192</v>
      </c>
      <c r="L17" s="84" t="s">
        <v>746</v>
      </c>
      <c r="M17" s="84">
        <v>279</v>
      </c>
      <c r="N17" s="84">
        <v>970</v>
      </c>
      <c r="O17" s="84">
        <v>0</v>
      </c>
      <c r="P17" s="133">
        <v>278.5</v>
      </c>
      <c r="Q17" s="133">
        <v>870.1</v>
      </c>
      <c r="R17" s="133">
        <v>0</v>
      </c>
      <c r="S17" s="133">
        <f t="shared" si="23"/>
        <v>1148.5999999999999</v>
      </c>
      <c r="T17" s="134">
        <v>278.5</v>
      </c>
      <c r="U17" s="130">
        <v>1.53</v>
      </c>
      <c r="V17" s="131">
        <v>1.9800000000000002E-2</v>
      </c>
      <c r="W17" s="131">
        <v>1.9800000000000002E-2</v>
      </c>
      <c r="X17" s="132">
        <v>1.2199999999999999E-3</v>
      </c>
      <c r="Y17" s="131">
        <v>3.95E-2</v>
      </c>
      <c r="Z17" s="29">
        <v>3526.68</v>
      </c>
      <c r="AA17" s="29"/>
      <c r="AB17" s="9">
        <f t="shared" si="0"/>
        <v>3526.68</v>
      </c>
      <c r="AC17" s="9">
        <f t="shared" si="26"/>
        <v>22323.88</v>
      </c>
      <c r="AD17" s="9">
        <v>0.4</v>
      </c>
      <c r="AE17" s="9">
        <v>4.2699999999999996</v>
      </c>
      <c r="AF17" s="21">
        <f>2.44-AJ17</f>
        <v>2.1800000000000002</v>
      </c>
      <c r="AG17" s="18">
        <f>0.54-AQ17</f>
        <v>0.43</v>
      </c>
      <c r="AH17" s="9">
        <v>2.78</v>
      </c>
      <c r="AI17" s="43">
        <v>931</v>
      </c>
      <c r="AJ17" s="21">
        <f t="shared" si="1"/>
        <v>0.26</v>
      </c>
      <c r="AK17" s="9">
        <v>0</v>
      </c>
      <c r="AL17" s="9">
        <v>0</v>
      </c>
      <c r="AM17" s="9">
        <v>0.16</v>
      </c>
      <c r="AN17" s="13"/>
      <c r="AO17" s="13">
        <v>801.6</v>
      </c>
      <c r="AP17" s="13">
        <f t="shared" si="24"/>
        <v>5.58</v>
      </c>
      <c r="AQ17" s="18">
        <f t="shared" si="2"/>
        <v>0.11</v>
      </c>
      <c r="AR17" s="9">
        <v>0.81</v>
      </c>
      <c r="AS17" s="9">
        <v>0.39</v>
      </c>
      <c r="AT17" s="9">
        <v>7.0000000000000007E-2</v>
      </c>
      <c r="AU17" s="9">
        <v>4.32</v>
      </c>
      <c r="AV17" s="9">
        <v>0.12</v>
      </c>
      <c r="AW17" s="9">
        <f>1.06+0.38+0.31</f>
        <v>1.75</v>
      </c>
      <c r="AX17" s="9">
        <f>1.46+0.51</f>
        <v>1.97</v>
      </c>
      <c r="AY17" s="144">
        <f t="shared" si="25"/>
        <v>20.02</v>
      </c>
      <c r="AZ17" s="13">
        <v>20.02</v>
      </c>
      <c r="BA17" s="13">
        <f t="shared" si="3"/>
        <v>0</v>
      </c>
      <c r="BB17" s="9">
        <f t="shared" si="4"/>
        <v>70604.13</v>
      </c>
      <c r="BC17" s="9">
        <v>20.02</v>
      </c>
      <c r="BD17" s="10">
        <v>44409</v>
      </c>
      <c r="BE17" s="9">
        <f t="shared" si="5"/>
        <v>1410.67</v>
      </c>
      <c r="BF17" s="9">
        <f t="shared" si="6"/>
        <v>15058.92</v>
      </c>
      <c r="BG17" s="9">
        <f t="shared" si="7"/>
        <v>7688.16</v>
      </c>
      <c r="BH17" s="9">
        <f t="shared" si="8"/>
        <v>1516.47</v>
      </c>
      <c r="BI17" s="9">
        <f t="shared" si="9"/>
        <v>9804.17</v>
      </c>
      <c r="BJ17" s="9">
        <f t="shared" si="10"/>
        <v>916.94</v>
      </c>
      <c r="BK17" s="9">
        <f t="shared" si="11"/>
        <v>0</v>
      </c>
      <c r="BL17" s="9">
        <f t="shared" si="12"/>
        <v>0</v>
      </c>
      <c r="BM17" s="9">
        <f t="shared" si="13"/>
        <v>564.27</v>
      </c>
      <c r="BN17" s="9">
        <f t="shared" si="14"/>
        <v>387.93</v>
      </c>
      <c r="BO17" s="9">
        <f t="shared" si="15"/>
        <v>2856.61</v>
      </c>
      <c r="BP17" s="9">
        <f t="shared" si="16"/>
        <v>1375.41</v>
      </c>
      <c r="BQ17" s="9">
        <f t="shared" si="17"/>
        <v>246.87</v>
      </c>
      <c r="BR17" s="9">
        <f t="shared" si="18"/>
        <v>15235.26</v>
      </c>
      <c r="BS17" s="9">
        <f t="shared" si="19"/>
        <v>423.2</v>
      </c>
      <c r="BT17" s="9">
        <f t="shared" si="20"/>
        <v>6171.69</v>
      </c>
      <c r="BU17" s="9">
        <f t="shared" si="21"/>
        <v>6947.56</v>
      </c>
      <c r="BV17" s="17">
        <f t="shared" si="22"/>
        <v>70604.13</v>
      </c>
      <c r="BW17" s="17">
        <v>1.71</v>
      </c>
      <c r="BX17" s="17">
        <v>0.04</v>
      </c>
      <c r="BY17" s="17">
        <v>0.24</v>
      </c>
      <c r="BZ17" s="17">
        <v>0.05</v>
      </c>
      <c r="CA17" s="29">
        <v>6.33</v>
      </c>
      <c r="CB17" s="325"/>
      <c r="CC17" s="13">
        <v>1581.16</v>
      </c>
      <c r="CD17" s="13">
        <v>149.96</v>
      </c>
      <c r="CE17" s="13">
        <v>21.16</v>
      </c>
      <c r="CF17" s="13">
        <v>3.68</v>
      </c>
      <c r="CG17" s="13">
        <v>3.68</v>
      </c>
      <c r="CH17" s="13">
        <v>5952</v>
      </c>
      <c r="CI17" s="13">
        <v>3686.75</v>
      </c>
      <c r="CJ17" s="13">
        <v>27684</v>
      </c>
      <c r="CK17" s="13">
        <v>1356.03</v>
      </c>
      <c r="CL17" s="13">
        <v>845489.54</v>
      </c>
      <c r="CM17" s="13">
        <v>49256.22</v>
      </c>
      <c r="CN17" s="13">
        <v>800.37</v>
      </c>
      <c r="CO17" s="13">
        <v>10697.74</v>
      </c>
      <c r="CP17" s="13">
        <v>6651.19</v>
      </c>
      <c r="CQ17" s="13">
        <v>0</v>
      </c>
      <c r="CR17" s="13">
        <v>815578.17</v>
      </c>
      <c r="CS17" s="13">
        <v>32386.39</v>
      </c>
      <c r="CT17" s="13">
        <v>20408.349999999999</v>
      </c>
      <c r="CU17" s="13">
        <v>9628.39</v>
      </c>
      <c r="CV17" s="13">
        <v>6064.47</v>
      </c>
      <c r="CW17" s="13">
        <v>0</v>
      </c>
      <c r="CX17" s="13">
        <v>135477.79999999999</v>
      </c>
      <c r="CY17" s="13">
        <v>5910.27</v>
      </c>
      <c r="CZ17" s="13">
        <v>-7067.87</v>
      </c>
      <c r="DA17" s="13">
        <v>1629.52</v>
      </c>
      <c r="DB17" s="13">
        <v>1009.09</v>
      </c>
      <c r="DC17" s="13"/>
      <c r="DD17" s="315">
        <v>912895.06</v>
      </c>
      <c r="DE17" s="317">
        <v>884065.77</v>
      </c>
      <c r="DF17" s="317">
        <v>96.84</v>
      </c>
      <c r="DG17" s="318">
        <v>136958.81</v>
      </c>
      <c r="DH17" s="310">
        <v>37047.96</v>
      </c>
      <c r="DI17" s="310">
        <v>21188.16</v>
      </c>
      <c r="DJ17" s="312">
        <v>0</v>
      </c>
      <c r="DK17" s="362">
        <v>0</v>
      </c>
      <c r="DL17" s="362"/>
      <c r="DM17" s="362">
        <v>0</v>
      </c>
      <c r="DN17" s="362">
        <v>0</v>
      </c>
      <c r="DO17" s="362">
        <v>0</v>
      </c>
      <c r="DP17" s="362">
        <v>0</v>
      </c>
      <c r="DQ17" s="362">
        <v>0</v>
      </c>
      <c r="DR17" s="362"/>
      <c r="DS17" s="362">
        <v>0</v>
      </c>
      <c r="DT17" s="362"/>
      <c r="DU17" s="362">
        <v>0</v>
      </c>
      <c r="DV17" s="362">
        <v>0</v>
      </c>
      <c r="DW17" s="362">
        <v>0</v>
      </c>
      <c r="DX17" s="362">
        <v>0</v>
      </c>
      <c r="DY17" s="362">
        <v>0</v>
      </c>
      <c r="DZ17" s="375">
        <v>0</v>
      </c>
      <c r="EA17" s="362">
        <v>228828</v>
      </c>
      <c r="EB17" s="362">
        <v>5603</v>
      </c>
      <c r="EC17" s="362"/>
      <c r="ED17" s="362">
        <v>0</v>
      </c>
      <c r="EE17" s="362">
        <v>0</v>
      </c>
      <c r="EF17" s="362"/>
      <c r="EG17" s="362">
        <v>14814</v>
      </c>
      <c r="EH17" s="362">
        <v>13335</v>
      </c>
      <c r="EI17" s="362"/>
      <c r="EJ17" s="362">
        <v>8800</v>
      </c>
      <c r="EK17" s="362"/>
      <c r="EL17" s="362">
        <v>0</v>
      </c>
      <c r="EM17" s="362">
        <v>4472.9399999999996</v>
      </c>
      <c r="EN17" s="362">
        <v>218396.7</v>
      </c>
      <c r="EO17" s="362">
        <v>1860</v>
      </c>
      <c r="EP17" s="362">
        <v>0</v>
      </c>
      <c r="EQ17" s="362">
        <v>0</v>
      </c>
      <c r="ER17" s="362">
        <v>15015</v>
      </c>
      <c r="ES17" s="362">
        <v>6924</v>
      </c>
      <c r="ET17" s="362">
        <v>13992</v>
      </c>
      <c r="EU17" s="362">
        <v>0</v>
      </c>
      <c r="EV17" s="362">
        <v>59034.2</v>
      </c>
      <c r="EW17" s="362"/>
      <c r="EX17" s="202"/>
      <c r="EY17" s="202"/>
      <c r="EZ17" s="229"/>
      <c r="FA17" s="368">
        <v>59681.81</v>
      </c>
      <c r="FB17" s="368">
        <v>806.1</v>
      </c>
      <c r="FC17" s="368">
        <v>0</v>
      </c>
      <c r="FD17" s="368">
        <v>0</v>
      </c>
      <c r="FE17" s="368">
        <v>13228.31</v>
      </c>
      <c r="FF17" s="368">
        <v>8174.2</v>
      </c>
      <c r="FG17" s="368">
        <v>0</v>
      </c>
      <c r="FH17" s="368">
        <v>-928.11</v>
      </c>
      <c r="FI17" s="368">
        <v>0</v>
      </c>
      <c r="FJ17" s="368">
        <v>0</v>
      </c>
      <c r="FK17" s="368">
        <v>30434.04</v>
      </c>
      <c r="FL17" s="368">
        <v>0</v>
      </c>
      <c r="FM17" s="368">
        <v>94275.09</v>
      </c>
      <c r="FN17" s="368">
        <v>59944.38</v>
      </c>
      <c r="FO17" s="323">
        <v>803530.43</v>
      </c>
      <c r="FP17" s="323">
        <v>111396.35</v>
      </c>
      <c r="FQ17" s="323">
        <v>914926.78</v>
      </c>
      <c r="FR17" s="338">
        <v>98385.43</v>
      </c>
      <c r="FS17" s="362">
        <v>10015.74</v>
      </c>
      <c r="FT17" s="377">
        <v>108401.17</v>
      </c>
      <c r="FU17" s="377">
        <v>878441.45</v>
      </c>
      <c r="FV17" s="377">
        <v>74892.03</v>
      </c>
      <c r="FW17" s="362">
        <v>953333.48</v>
      </c>
      <c r="FX17" s="362">
        <v>841349.08</v>
      </c>
      <c r="FY17" s="362">
        <v>83426.759999999995</v>
      </c>
      <c r="FZ17" s="362">
        <v>924775.84</v>
      </c>
      <c r="GA17" s="362">
        <v>135477.79999999999</v>
      </c>
      <c r="GB17" s="362">
        <v>1481.01</v>
      </c>
      <c r="GC17" s="362">
        <v>136958.81</v>
      </c>
      <c r="GD17" s="362">
        <v>87362.74</v>
      </c>
      <c r="GE17" s="362">
        <v>15997.18</v>
      </c>
      <c r="GF17" s="362">
        <v>103359.92</v>
      </c>
      <c r="GG17" s="202"/>
      <c r="GH17" s="416">
        <v>21</v>
      </c>
      <c r="GI17" s="414">
        <v>2455</v>
      </c>
      <c r="GJ17" s="419">
        <v>7711.64</v>
      </c>
      <c r="GK17" s="396"/>
      <c r="GL17" s="202">
        <v>0</v>
      </c>
      <c r="GM17" s="202">
        <v>0</v>
      </c>
      <c r="GN17" s="323">
        <v>74911.02</v>
      </c>
      <c r="GO17" s="323">
        <v>-36504.32</v>
      </c>
      <c r="GP17" s="323">
        <v>38406.699999999997</v>
      </c>
      <c r="GQ17" s="323">
        <v>162273.76</v>
      </c>
      <c r="GR17" s="323">
        <v>-20507.14</v>
      </c>
      <c r="GS17" s="323">
        <v>141766.62</v>
      </c>
    </row>
    <row r="18" spans="1:201" ht="12.75" customHeight="1" x14ac:dyDescent="0.2">
      <c r="A18" s="45" t="s">
        <v>29</v>
      </c>
      <c r="B18" s="141" t="s">
        <v>7</v>
      </c>
      <c r="C18" s="142" t="s">
        <v>27</v>
      </c>
      <c r="D18" s="388" t="s">
        <v>544</v>
      </c>
      <c r="E18" s="142" t="s">
        <v>30</v>
      </c>
      <c r="F18" s="11">
        <v>5</v>
      </c>
      <c r="G18" s="11">
        <v>4</v>
      </c>
      <c r="H18" s="11">
        <v>80</v>
      </c>
      <c r="I18" s="11">
        <v>81</v>
      </c>
      <c r="J18" s="11">
        <v>156</v>
      </c>
      <c r="K18" s="11">
        <v>187</v>
      </c>
      <c r="L18" s="84" t="s">
        <v>746</v>
      </c>
      <c r="M18" s="137">
        <v>277</v>
      </c>
      <c r="N18" s="137">
        <v>1040</v>
      </c>
      <c r="O18" s="137">
        <v>0</v>
      </c>
      <c r="P18" s="133">
        <v>277</v>
      </c>
      <c r="Q18" s="137">
        <v>1040</v>
      </c>
      <c r="R18" s="137">
        <v>0</v>
      </c>
      <c r="S18" s="133">
        <f t="shared" si="23"/>
        <v>1317</v>
      </c>
      <c r="T18" s="134">
        <v>277</v>
      </c>
      <c r="U18" s="130">
        <v>1.53</v>
      </c>
      <c r="V18" s="131">
        <v>1.9800000000000002E-2</v>
      </c>
      <c r="W18" s="131">
        <v>1.9800000000000002E-2</v>
      </c>
      <c r="X18" s="132">
        <v>1.2199999999999999E-3</v>
      </c>
      <c r="Y18" s="131">
        <v>3.95E-2</v>
      </c>
      <c r="Z18" s="29">
        <v>3536.02</v>
      </c>
      <c r="AA18" s="29"/>
      <c r="AB18" s="9">
        <f t="shared" si="0"/>
        <v>3536.02</v>
      </c>
      <c r="AC18" s="9">
        <f t="shared" si="26"/>
        <v>22383.01</v>
      </c>
      <c r="AD18" s="9">
        <v>0.39</v>
      </c>
      <c r="AE18" s="9">
        <v>3.97</v>
      </c>
      <c r="AF18" s="21">
        <f>2.42-AJ18</f>
        <v>2.14</v>
      </c>
      <c r="AG18" s="18">
        <f>0.54-AQ18</f>
        <v>0.43</v>
      </c>
      <c r="AH18" s="9">
        <v>2.78</v>
      </c>
      <c r="AI18" s="43">
        <v>998</v>
      </c>
      <c r="AJ18" s="21">
        <f t="shared" si="1"/>
        <v>0.28000000000000003</v>
      </c>
      <c r="AK18" s="9">
        <v>0</v>
      </c>
      <c r="AL18" s="9">
        <v>0</v>
      </c>
      <c r="AM18" s="9">
        <v>0.16</v>
      </c>
      <c r="AN18" s="13"/>
      <c r="AO18" s="13">
        <v>801.6</v>
      </c>
      <c r="AP18" s="13">
        <f t="shared" si="24"/>
        <v>5.58</v>
      </c>
      <c r="AQ18" s="18">
        <f t="shared" si="2"/>
        <v>0.11</v>
      </c>
      <c r="AR18" s="9">
        <v>0.81</v>
      </c>
      <c r="AS18" s="9">
        <v>0.39</v>
      </c>
      <c r="AT18" s="9">
        <v>7.0000000000000007E-2</v>
      </c>
      <c r="AU18" s="9">
        <v>4.7300000000000004</v>
      </c>
      <c r="AV18" s="9">
        <v>0.12</v>
      </c>
      <c r="AW18" s="9">
        <f>1.03+0.42+0.31</f>
        <v>1.76</v>
      </c>
      <c r="AX18" s="9">
        <f>1.42+0.56</f>
        <v>1.98</v>
      </c>
      <c r="AY18" s="144">
        <f t="shared" si="25"/>
        <v>20.12</v>
      </c>
      <c r="AZ18" s="13">
        <v>20.12</v>
      </c>
      <c r="BA18" s="13">
        <f t="shared" si="3"/>
        <v>0</v>
      </c>
      <c r="BB18" s="9">
        <f t="shared" si="4"/>
        <v>71144.72</v>
      </c>
      <c r="BC18" s="9">
        <v>20.12</v>
      </c>
      <c r="BD18" s="10">
        <v>44409</v>
      </c>
      <c r="BE18" s="9">
        <f t="shared" si="5"/>
        <v>1379.05</v>
      </c>
      <c r="BF18" s="9">
        <f t="shared" si="6"/>
        <v>14038</v>
      </c>
      <c r="BG18" s="9">
        <f t="shared" si="7"/>
        <v>7567.08</v>
      </c>
      <c r="BH18" s="9">
        <f t="shared" si="8"/>
        <v>1520.49</v>
      </c>
      <c r="BI18" s="9">
        <f t="shared" si="9"/>
        <v>9830.14</v>
      </c>
      <c r="BJ18" s="9">
        <f t="shared" si="10"/>
        <v>990.09</v>
      </c>
      <c r="BK18" s="9">
        <f t="shared" si="11"/>
        <v>0</v>
      </c>
      <c r="BL18" s="9">
        <f t="shared" si="12"/>
        <v>0</v>
      </c>
      <c r="BM18" s="9">
        <f t="shared" si="13"/>
        <v>565.76</v>
      </c>
      <c r="BN18" s="9">
        <f t="shared" si="14"/>
        <v>388.96</v>
      </c>
      <c r="BO18" s="9">
        <f t="shared" si="15"/>
        <v>2864.18</v>
      </c>
      <c r="BP18" s="9">
        <f t="shared" si="16"/>
        <v>1379.05</v>
      </c>
      <c r="BQ18" s="9">
        <f t="shared" si="17"/>
        <v>247.52</v>
      </c>
      <c r="BR18" s="9">
        <f t="shared" si="18"/>
        <v>16725.37</v>
      </c>
      <c r="BS18" s="9">
        <f t="shared" si="19"/>
        <v>424.32</v>
      </c>
      <c r="BT18" s="9">
        <f t="shared" si="20"/>
        <v>6223.4</v>
      </c>
      <c r="BU18" s="9">
        <f t="shared" si="21"/>
        <v>7001.32</v>
      </c>
      <c r="BV18" s="17">
        <f t="shared" si="22"/>
        <v>71144.73</v>
      </c>
      <c r="BW18" s="17">
        <v>1.71</v>
      </c>
      <c r="BX18" s="17">
        <v>0.04</v>
      </c>
      <c r="BY18" s="17">
        <v>0.24</v>
      </c>
      <c r="BZ18" s="17">
        <v>0.05</v>
      </c>
      <c r="CA18" s="29">
        <v>6.33</v>
      </c>
      <c r="CB18" s="325"/>
      <c r="CC18" s="13">
        <v>0</v>
      </c>
      <c r="CD18" s="13">
        <v>0</v>
      </c>
      <c r="CE18" s="13">
        <v>0</v>
      </c>
      <c r="CF18" s="13">
        <v>0</v>
      </c>
      <c r="CG18" s="13">
        <v>0</v>
      </c>
      <c r="CH18" s="13">
        <v>7440</v>
      </c>
      <c r="CI18" s="13">
        <v>4777.8</v>
      </c>
      <c r="CJ18" s="13">
        <v>27684</v>
      </c>
      <c r="CK18" s="13">
        <v>1360.21</v>
      </c>
      <c r="CL18" s="13">
        <v>853821.02</v>
      </c>
      <c r="CM18" s="13">
        <v>25323.360000000001</v>
      </c>
      <c r="CN18" s="13">
        <v>0</v>
      </c>
      <c r="CO18" s="13">
        <v>28118.05</v>
      </c>
      <c r="CP18" s="13">
        <v>15668.85</v>
      </c>
      <c r="CQ18" s="13">
        <v>0</v>
      </c>
      <c r="CR18" s="13">
        <v>747765.68</v>
      </c>
      <c r="CS18" s="13">
        <v>24787.37</v>
      </c>
      <c r="CT18" s="13">
        <v>635.79999999999995</v>
      </c>
      <c r="CU18" s="13">
        <v>41140.01</v>
      </c>
      <c r="CV18" s="13">
        <v>22014.47</v>
      </c>
      <c r="CW18" s="13">
        <v>0</v>
      </c>
      <c r="CX18" s="13">
        <v>176156.54</v>
      </c>
      <c r="CY18" s="13">
        <v>-2062.29</v>
      </c>
      <c r="CZ18" s="13">
        <v>-966.94</v>
      </c>
      <c r="DA18" s="13">
        <v>8839.24</v>
      </c>
      <c r="DB18" s="13">
        <v>4705.8900000000003</v>
      </c>
      <c r="DC18" s="13"/>
      <c r="DD18" s="315">
        <v>922931.28</v>
      </c>
      <c r="DE18" s="317">
        <v>836343.33</v>
      </c>
      <c r="DF18" s="317">
        <v>90.62</v>
      </c>
      <c r="DG18" s="318">
        <v>186672.44</v>
      </c>
      <c r="DH18" s="310">
        <v>37163.279999999999</v>
      </c>
      <c r="DI18" s="310">
        <v>21254.04</v>
      </c>
      <c r="DJ18" s="312">
        <v>0</v>
      </c>
      <c r="DK18" s="362">
        <v>0</v>
      </c>
      <c r="DL18" s="362"/>
      <c r="DM18" s="362">
        <v>0</v>
      </c>
      <c r="DN18" s="362">
        <v>0</v>
      </c>
      <c r="DO18" s="362">
        <v>0</v>
      </c>
      <c r="DP18" s="362">
        <v>0</v>
      </c>
      <c r="DQ18" s="362">
        <v>0</v>
      </c>
      <c r="DR18" s="362"/>
      <c r="DS18" s="362">
        <v>0</v>
      </c>
      <c r="DT18" s="362"/>
      <c r="DU18" s="362">
        <v>0</v>
      </c>
      <c r="DV18" s="362">
        <v>0</v>
      </c>
      <c r="DW18" s="362">
        <v>0</v>
      </c>
      <c r="DX18" s="362">
        <v>0</v>
      </c>
      <c r="DY18" s="362">
        <v>0</v>
      </c>
      <c r="DZ18" s="375">
        <v>0</v>
      </c>
      <c r="EA18" s="362">
        <v>214284</v>
      </c>
      <c r="EB18" s="362">
        <v>5603</v>
      </c>
      <c r="EC18" s="362"/>
      <c r="ED18" s="362">
        <v>0</v>
      </c>
      <c r="EE18" s="362">
        <v>0</v>
      </c>
      <c r="EF18" s="362"/>
      <c r="EG18" s="362">
        <v>15882</v>
      </c>
      <c r="EH18" s="362">
        <v>38010</v>
      </c>
      <c r="EI18" s="362"/>
      <c r="EJ18" s="362">
        <v>18720</v>
      </c>
      <c r="EK18" s="362"/>
      <c r="EL18" s="362">
        <v>0</v>
      </c>
      <c r="EM18" s="362">
        <v>4472.9399999999996</v>
      </c>
      <c r="EN18" s="362">
        <v>217960.86</v>
      </c>
      <c r="EO18" s="362">
        <v>3720</v>
      </c>
      <c r="EP18" s="362">
        <v>0</v>
      </c>
      <c r="EQ18" s="362">
        <v>0</v>
      </c>
      <c r="ER18" s="362">
        <v>15015</v>
      </c>
      <c r="ES18" s="362">
        <v>577</v>
      </c>
      <c r="ET18" s="362">
        <v>13992</v>
      </c>
      <c r="EU18" s="362">
        <v>0</v>
      </c>
      <c r="EV18" s="362">
        <v>36084.769999999997</v>
      </c>
      <c r="EW18" s="362"/>
      <c r="EX18" s="202"/>
      <c r="EY18" s="202"/>
      <c r="EZ18" s="229"/>
      <c r="FA18" s="368">
        <v>16857.14</v>
      </c>
      <c r="FB18" s="368">
        <v>0</v>
      </c>
      <c r="FC18" s="368">
        <v>0</v>
      </c>
      <c r="FD18" s="368">
        <v>0</v>
      </c>
      <c r="FE18" s="368">
        <v>16847.599999999999</v>
      </c>
      <c r="FF18" s="368">
        <v>9464.26</v>
      </c>
      <c r="FG18" s="368">
        <v>-1162.04</v>
      </c>
      <c r="FH18" s="368">
        <v>-1513.28</v>
      </c>
      <c r="FI18" s="368">
        <v>0</v>
      </c>
      <c r="FJ18" s="368">
        <v>0</v>
      </c>
      <c r="FK18" s="368">
        <v>16043.38</v>
      </c>
      <c r="FL18" s="368">
        <v>0</v>
      </c>
      <c r="FM18" s="368">
        <v>94545.15</v>
      </c>
      <c r="FN18" s="368">
        <v>60116.41</v>
      </c>
      <c r="FO18" s="323">
        <v>797400.45</v>
      </c>
      <c r="FP18" s="323">
        <v>56537.06</v>
      </c>
      <c r="FQ18" s="323">
        <v>853937.51</v>
      </c>
      <c r="FR18" s="338">
        <v>73753.929999999993</v>
      </c>
      <c r="FS18" s="362">
        <v>26975.05</v>
      </c>
      <c r="FT18" s="377">
        <v>100728.98</v>
      </c>
      <c r="FU18" s="377">
        <v>886282.82</v>
      </c>
      <c r="FV18" s="377">
        <v>77910.47</v>
      </c>
      <c r="FW18" s="362">
        <v>964193.29</v>
      </c>
      <c r="FX18" s="362">
        <v>783880.21</v>
      </c>
      <c r="FY18" s="362">
        <v>94369.62</v>
      </c>
      <c r="FZ18" s="362">
        <v>878249.83</v>
      </c>
      <c r="GA18" s="362">
        <v>176156.54</v>
      </c>
      <c r="GB18" s="362">
        <v>10515.9</v>
      </c>
      <c r="GC18" s="362">
        <v>186672.44</v>
      </c>
      <c r="GD18" s="362">
        <v>44559.43</v>
      </c>
      <c r="GE18" s="362">
        <v>-19680.39</v>
      </c>
      <c r="GF18" s="362">
        <v>24879.040000000001</v>
      </c>
      <c r="GG18" s="202"/>
      <c r="GH18" s="416">
        <v>0</v>
      </c>
      <c r="GI18" s="414">
        <v>2455</v>
      </c>
      <c r="GJ18" s="419">
        <v>7440</v>
      </c>
      <c r="GK18" s="396"/>
      <c r="GL18" s="202">
        <v>0</v>
      </c>
      <c r="GM18" s="202">
        <v>0</v>
      </c>
      <c r="GN18" s="323">
        <v>88882.37</v>
      </c>
      <c r="GO18" s="323">
        <v>21373.41</v>
      </c>
      <c r="GP18" s="323">
        <v>110255.78</v>
      </c>
      <c r="GQ18" s="323">
        <v>133441.79999999999</v>
      </c>
      <c r="GR18" s="323">
        <v>1693.02</v>
      </c>
      <c r="GS18" s="323">
        <v>135134.82</v>
      </c>
    </row>
    <row r="19" spans="1:201" ht="12.75" customHeight="1" x14ac:dyDescent="0.2">
      <c r="A19" s="45" t="s">
        <v>31</v>
      </c>
      <c r="B19" s="141" t="s">
        <v>7</v>
      </c>
      <c r="C19" s="142" t="s">
        <v>32</v>
      </c>
      <c r="D19" s="388" t="s">
        <v>396</v>
      </c>
      <c r="E19" s="142" t="s">
        <v>12</v>
      </c>
      <c r="F19" s="11">
        <v>5</v>
      </c>
      <c r="G19" s="11">
        <v>3</v>
      </c>
      <c r="H19" s="11">
        <v>60</v>
      </c>
      <c r="I19" s="11">
        <v>0</v>
      </c>
      <c r="J19" s="11">
        <v>128</v>
      </c>
      <c r="K19" s="11">
        <v>154</v>
      </c>
      <c r="L19" s="84" t="s">
        <v>746</v>
      </c>
      <c r="M19" s="84">
        <v>209</v>
      </c>
      <c r="N19" s="84">
        <v>750</v>
      </c>
      <c r="O19" s="84">
        <v>0</v>
      </c>
      <c r="P19" s="133">
        <v>208.5</v>
      </c>
      <c r="Q19" s="133">
        <v>504.6</v>
      </c>
      <c r="R19" s="133">
        <v>0</v>
      </c>
      <c r="S19" s="133">
        <f t="shared" si="23"/>
        <v>713.1</v>
      </c>
      <c r="T19" s="134">
        <v>209</v>
      </c>
      <c r="U19" s="130">
        <v>1.53</v>
      </c>
      <c r="V19" s="91">
        <v>1.9800000000000002E-2</v>
      </c>
      <c r="W19" s="91">
        <v>1.9800000000000002E-2</v>
      </c>
      <c r="X19" s="132">
        <v>1.2199999999999999E-3</v>
      </c>
      <c r="Y19" s="91">
        <v>3.95E-2</v>
      </c>
      <c r="Z19" s="29">
        <v>2588.02</v>
      </c>
      <c r="AA19" s="29"/>
      <c r="AB19" s="9">
        <f t="shared" si="0"/>
        <v>2588.02</v>
      </c>
      <c r="AC19" s="9">
        <f t="shared" si="26"/>
        <v>16382.17</v>
      </c>
      <c r="AD19" s="9">
        <v>0.4</v>
      </c>
      <c r="AE19" s="9">
        <v>5.08</v>
      </c>
      <c r="AF19" s="21">
        <f>2.44-AJ19</f>
        <v>2.16</v>
      </c>
      <c r="AG19" s="18">
        <f>0.54-AQ19</f>
        <v>0.43</v>
      </c>
      <c r="AH19" s="9">
        <v>2.78</v>
      </c>
      <c r="AI19" s="43">
        <v>720</v>
      </c>
      <c r="AJ19" s="21">
        <f t="shared" si="1"/>
        <v>0.28000000000000003</v>
      </c>
      <c r="AK19" s="9">
        <v>0</v>
      </c>
      <c r="AL19" s="9">
        <v>0</v>
      </c>
      <c r="AM19" s="9">
        <v>0.22</v>
      </c>
      <c r="AN19" s="13"/>
      <c r="AO19" s="13">
        <v>601.20000000000005</v>
      </c>
      <c r="AP19" s="13">
        <f t="shared" si="24"/>
        <v>5.58</v>
      </c>
      <c r="AQ19" s="18">
        <f t="shared" si="2"/>
        <v>0.11</v>
      </c>
      <c r="AR19" s="9">
        <v>0.8</v>
      </c>
      <c r="AS19" s="9">
        <v>0.53</v>
      </c>
      <c r="AT19" s="9">
        <v>7.0000000000000007E-2</v>
      </c>
      <c r="AU19" s="9">
        <v>3.35</v>
      </c>
      <c r="AV19" s="9">
        <v>0.13</v>
      </c>
      <c r="AW19" s="9">
        <f>1.15+0.3+0.32</f>
        <v>1.77</v>
      </c>
      <c r="AX19" s="9">
        <f>1.58+0.41</f>
        <v>1.99</v>
      </c>
      <c r="AY19" s="144">
        <f t="shared" si="25"/>
        <v>20.100000000000001</v>
      </c>
      <c r="AZ19" s="13">
        <v>20.100000000000001</v>
      </c>
      <c r="BA19" s="13">
        <f t="shared" si="3"/>
        <v>0</v>
      </c>
      <c r="BB19" s="9">
        <f t="shared" si="4"/>
        <v>52019.199999999997</v>
      </c>
      <c r="BC19" s="9">
        <v>20.100000000000001</v>
      </c>
      <c r="BD19" s="10">
        <v>44378</v>
      </c>
      <c r="BE19" s="9">
        <f t="shared" si="5"/>
        <v>1035.21</v>
      </c>
      <c r="BF19" s="9">
        <f t="shared" si="6"/>
        <v>13147.14</v>
      </c>
      <c r="BG19" s="9">
        <f t="shared" si="7"/>
        <v>5590.12</v>
      </c>
      <c r="BH19" s="9">
        <f t="shared" si="8"/>
        <v>1112.8499999999999</v>
      </c>
      <c r="BI19" s="9">
        <f t="shared" si="9"/>
        <v>7194.7</v>
      </c>
      <c r="BJ19" s="9">
        <f t="shared" si="10"/>
        <v>724.65</v>
      </c>
      <c r="BK19" s="9">
        <f t="shared" si="11"/>
        <v>0</v>
      </c>
      <c r="BL19" s="9">
        <f t="shared" si="12"/>
        <v>0</v>
      </c>
      <c r="BM19" s="9">
        <f t="shared" si="13"/>
        <v>569.36</v>
      </c>
      <c r="BN19" s="9">
        <f t="shared" si="14"/>
        <v>284.68</v>
      </c>
      <c r="BO19" s="9">
        <f t="shared" si="15"/>
        <v>2070.42</v>
      </c>
      <c r="BP19" s="9">
        <f t="shared" si="16"/>
        <v>1371.65</v>
      </c>
      <c r="BQ19" s="9">
        <f t="shared" si="17"/>
        <v>181.16</v>
      </c>
      <c r="BR19" s="9">
        <f t="shared" si="18"/>
        <v>8669.8700000000008</v>
      </c>
      <c r="BS19" s="9">
        <f t="shared" si="19"/>
        <v>336.44</v>
      </c>
      <c r="BT19" s="9">
        <f t="shared" si="20"/>
        <v>4580.8</v>
      </c>
      <c r="BU19" s="9">
        <f t="shared" si="21"/>
        <v>5150.16</v>
      </c>
      <c r="BV19" s="17">
        <f t="shared" si="22"/>
        <v>52019.21</v>
      </c>
      <c r="BW19" s="17">
        <v>1.69</v>
      </c>
      <c r="BX19" s="17">
        <v>0.05</v>
      </c>
      <c r="BY19" s="17">
        <v>0.27</v>
      </c>
      <c r="BZ19" s="17">
        <v>0.05</v>
      </c>
      <c r="CA19" s="29">
        <v>6.33</v>
      </c>
      <c r="CB19" s="325"/>
      <c r="CC19" s="13">
        <v>0</v>
      </c>
      <c r="CD19" s="13">
        <v>0</v>
      </c>
      <c r="CE19" s="13">
        <v>0</v>
      </c>
      <c r="CF19" s="13">
        <v>0</v>
      </c>
      <c r="CG19" s="13">
        <v>0</v>
      </c>
      <c r="CH19" s="13">
        <v>2976</v>
      </c>
      <c r="CI19" s="13">
        <v>5532.26</v>
      </c>
      <c r="CJ19" s="13">
        <v>27684</v>
      </c>
      <c r="CK19" s="13">
        <v>995.33</v>
      </c>
      <c r="CL19" s="13">
        <v>624230.40000000002</v>
      </c>
      <c r="CM19" s="13">
        <v>37759.410000000003</v>
      </c>
      <c r="CN19" s="13">
        <v>0</v>
      </c>
      <c r="CO19" s="13">
        <v>1785.92</v>
      </c>
      <c r="CP19" s="13">
        <v>1708.65</v>
      </c>
      <c r="CQ19" s="13">
        <v>0</v>
      </c>
      <c r="CR19" s="13">
        <v>586139.93000000005</v>
      </c>
      <c r="CS19" s="13">
        <v>37223.11</v>
      </c>
      <c r="CT19" s="13">
        <v>968.43</v>
      </c>
      <c r="CU19" s="13">
        <v>1846.83</v>
      </c>
      <c r="CV19" s="13">
        <v>1708.73</v>
      </c>
      <c r="CW19" s="13">
        <v>0</v>
      </c>
      <c r="CX19" s="13">
        <v>97023.35</v>
      </c>
      <c r="CY19" s="13">
        <v>4995.88</v>
      </c>
      <c r="CZ19" s="13">
        <v>-1501.63</v>
      </c>
      <c r="DA19" s="13">
        <v>464.46</v>
      </c>
      <c r="DB19" s="13">
        <v>375.42</v>
      </c>
      <c r="DC19" s="13"/>
      <c r="DD19" s="315">
        <v>665484.38</v>
      </c>
      <c r="DE19" s="317">
        <v>627887.03</v>
      </c>
      <c r="DF19" s="317">
        <v>94.35</v>
      </c>
      <c r="DG19" s="318">
        <v>101357.48</v>
      </c>
      <c r="DH19" s="310">
        <v>27193.439999999999</v>
      </c>
      <c r="DI19" s="310">
        <v>15552.24</v>
      </c>
      <c r="DJ19" s="312">
        <v>0</v>
      </c>
      <c r="DK19" s="362">
        <v>0</v>
      </c>
      <c r="DL19" s="362"/>
      <c r="DM19" s="362">
        <v>0</v>
      </c>
      <c r="DN19" s="362">
        <v>0</v>
      </c>
      <c r="DO19" s="362">
        <v>0</v>
      </c>
      <c r="DP19" s="362">
        <v>0</v>
      </c>
      <c r="DQ19" s="362">
        <v>0</v>
      </c>
      <c r="DR19" s="362"/>
      <c r="DS19" s="362">
        <v>0</v>
      </c>
      <c r="DT19" s="362"/>
      <c r="DU19" s="362">
        <v>0</v>
      </c>
      <c r="DV19" s="362">
        <v>0</v>
      </c>
      <c r="DW19" s="362">
        <v>0</v>
      </c>
      <c r="DX19" s="362">
        <v>0</v>
      </c>
      <c r="DY19" s="362">
        <v>0</v>
      </c>
      <c r="DZ19" s="375">
        <v>0</v>
      </c>
      <c r="EA19" s="362">
        <v>196824</v>
      </c>
      <c r="EB19" s="362">
        <v>5603</v>
      </c>
      <c r="EC19" s="362"/>
      <c r="ED19" s="362">
        <v>0</v>
      </c>
      <c r="EE19" s="362">
        <v>0</v>
      </c>
      <c r="EF19" s="362"/>
      <c r="EG19" s="362">
        <v>11460</v>
      </c>
      <c r="EH19" s="362">
        <v>43610</v>
      </c>
      <c r="EI19" s="362"/>
      <c r="EJ19" s="362">
        <v>17600</v>
      </c>
      <c r="EK19" s="362"/>
      <c r="EL19" s="362">
        <v>0</v>
      </c>
      <c r="EM19" s="362">
        <v>3354.69</v>
      </c>
      <c r="EN19" s="362">
        <v>160484.46</v>
      </c>
      <c r="EO19" s="362">
        <v>1860</v>
      </c>
      <c r="EP19" s="362">
        <v>0</v>
      </c>
      <c r="EQ19" s="362">
        <v>0</v>
      </c>
      <c r="ER19" s="362">
        <v>16380</v>
      </c>
      <c r="ES19" s="362">
        <v>5193</v>
      </c>
      <c r="ET19" s="362">
        <v>9699</v>
      </c>
      <c r="EU19" s="362">
        <v>0</v>
      </c>
      <c r="EV19" s="362">
        <v>15258.44</v>
      </c>
      <c r="EW19" s="362"/>
      <c r="EX19" s="202"/>
      <c r="EY19" s="202"/>
      <c r="EZ19" s="229"/>
      <c r="FA19" s="368">
        <v>34680.1</v>
      </c>
      <c r="FB19" s="368">
        <v>0</v>
      </c>
      <c r="FC19" s="368">
        <v>0</v>
      </c>
      <c r="FD19" s="368">
        <v>0</v>
      </c>
      <c r="FE19" s="368">
        <v>3293.11</v>
      </c>
      <c r="FF19" s="368">
        <v>2497.4</v>
      </c>
      <c r="FG19" s="368">
        <v>0</v>
      </c>
      <c r="FH19" s="368">
        <v>-681.66</v>
      </c>
      <c r="FI19" s="368">
        <v>-975.34</v>
      </c>
      <c r="FJ19" s="368">
        <v>0</v>
      </c>
      <c r="FK19" s="368">
        <v>10289.6</v>
      </c>
      <c r="FL19" s="368">
        <v>0</v>
      </c>
      <c r="FM19" s="368">
        <v>69190.87</v>
      </c>
      <c r="FN19" s="368">
        <v>43994.79</v>
      </c>
      <c r="FO19" s="323">
        <v>643257.93000000005</v>
      </c>
      <c r="FP19" s="323">
        <v>49103.21</v>
      </c>
      <c r="FQ19" s="323">
        <v>692361.14</v>
      </c>
      <c r="FR19" s="338">
        <v>63289.87</v>
      </c>
      <c r="FS19" s="362">
        <v>3407.8</v>
      </c>
      <c r="FT19" s="377">
        <v>66697.67</v>
      </c>
      <c r="FU19" s="377">
        <v>657446.66</v>
      </c>
      <c r="FV19" s="377">
        <v>45225.31</v>
      </c>
      <c r="FW19" s="362">
        <v>702671.97</v>
      </c>
      <c r="FX19" s="362">
        <v>623713.18000000005</v>
      </c>
      <c r="FY19" s="362">
        <v>44298.98</v>
      </c>
      <c r="FZ19" s="362">
        <v>668012.16</v>
      </c>
      <c r="GA19" s="362">
        <v>97023.35</v>
      </c>
      <c r="GB19" s="362">
        <v>4334.13</v>
      </c>
      <c r="GC19" s="362">
        <v>101357.48</v>
      </c>
      <c r="GD19" s="362">
        <v>69650.31</v>
      </c>
      <c r="GE19" s="362">
        <v>3100.62</v>
      </c>
      <c r="GF19" s="362">
        <v>72750.929999999993</v>
      </c>
      <c r="GG19" s="202"/>
      <c r="GH19" s="416">
        <v>0</v>
      </c>
      <c r="GI19" s="414">
        <v>2455</v>
      </c>
      <c r="GJ19" s="419">
        <v>2976</v>
      </c>
      <c r="GK19" s="396"/>
      <c r="GL19" s="202">
        <v>0</v>
      </c>
      <c r="GM19" s="202">
        <v>0</v>
      </c>
      <c r="GN19" s="323">
        <v>14188.73</v>
      </c>
      <c r="GO19" s="323">
        <v>-3877.9</v>
      </c>
      <c r="GP19" s="323">
        <v>10310.83</v>
      </c>
      <c r="GQ19" s="323">
        <v>83839.039999999994</v>
      </c>
      <c r="GR19" s="323">
        <v>-777.28</v>
      </c>
      <c r="GS19" s="323">
        <v>83061.759999999995</v>
      </c>
    </row>
    <row r="20" spans="1:201" ht="12.75" customHeight="1" x14ac:dyDescent="0.2">
      <c r="A20" s="45" t="s">
        <v>33</v>
      </c>
      <c r="B20" s="141" t="s">
        <v>7</v>
      </c>
      <c r="C20" s="142" t="s">
        <v>34</v>
      </c>
      <c r="D20" s="388" t="s">
        <v>545</v>
      </c>
      <c r="E20" s="142" t="s">
        <v>9</v>
      </c>
      <c r="F20" s="11">
        <v>5</v>
      </c>
      <c r="G20" s="11">
        <v>6</v>
      </c>
      <c r="H20" s="11">
        <v>90</v>
      </c>
      <c r="I20" s="11">
        <v>0</v>
      </c>
      <c r="J20" s="11">
        <v>192</v>
      </c>
      <c r="K20" s="11">
        <v>216</v>
      </c>
      <c r="L20" s="84" t="s">
        <v>746</v>
      </c>
      <c r="M20" s="84">
        <v>416</v>
      </c>
      <c r="N20" s="84">
        <v>1264</v>
      </c>
      <c r="O20" s="84">
        <v>0</v>
      </c>
      <c r="P20" s="133">
        <v>417</v>
      </c>
      <c r="Q20" s="133">
        <v>1025</v>
      </c>
      <c r="R20" s="133">
        <v>0</v>
      </c>
      <c r="S20" s="133">
        <f t="shared" si="23"/>
        <v>1442</v>
      </c>
      <c r="T20" s="134">
        <v>416</v>
      </c>
      <c r="U20" s="130">
        <v>1.53</v>
      </c>
      <c r="V20" s="131">
        <v>1.9800000000000002E-2</v>
      </c>
      <c r="W20" s="131">
        <v>1.9800000000000002E-2</v>
      </c>
      <c r="X20" s="132">
        <v>1.2199999999999999E-3</v>
      </c>
      <c r="Y20" s="131">
        <v>3.95E-2</v>
      </c>
      <c r="Z20" s="29">
        <v>4001.99</v>
      </c>
      <c r="AA20" s="29"/>
      <c r="AB20" s="9">
        <f t="shared" si="0"/>
        <v>4001.99</v>
      </c>
      <c r="AC20" s="174">
        <v>0</v>
      </c>
      <c r="AD20" s="9">
        <v>0.52</v>
      </c>
      <c r="AE20" s="9">
        <v>4.2</v>
      </c>
      <c r="AF20" s="21">
        <f>2.49-AJ20</f>
        <v>2.19</v>
      </c>
      <c r="AG20" s="18">
        <f>0.56-AQ20</f>
        <v>0.46</v>
      </c>
      <c r="AH20" s="9">
        <v>2.78</v>
      </c>
      <c r="AI20" s="43">
        <v>1213</v>
      </c>
      <c r="AJ20" s="21">
        <f t="shared" si="1"/>
        <v>0.3</v>
      </c>
      <c r="AK20" s="9">
        <v>0</v>
      </c>
      <c r="AL20" s="9">
        <v>0</v>
      </c>
      <c r="AM20" s="9">
        <v>0</v>
      </c>
      <c r="AN20" s="13"/>
      <c r="AO20" s="13">
        <v>901.8</v>
      </c>
      <c r="AP20" s="13">
        <f t="shared" si="24"/>
        <v>5.58</v>
      </c>
      <c r="AQ20" s="18">
        <f t="shared" si="2"/>
        <v>0.1</v>
      </c>
      <c r="AR20" s="9">
        <v>0.71</v>
      </c>
      <c r="AS20" s="9">
        <v>0.34</v>
      </c>
      <c r="AT20" s="9">
        <v>7.0000000000000007E-2</v>
      </c>
      <c r="AU20" s="9">
        <v>4.5199999999999996</v>
      </c>
      <c r="AV20" s="9">
        <v>0.12</v>
      </c>
      <c r="AW20" s="9">
        <f>1.05+0.4+0.32</f>
        <v>1.77</v>
      </c>
      <c r="AX20" s="9">
        <f>1.43+0.55</f>
        <v>1.98</v>
      </c>
      <c r="AY20" s="144">
        <f t="shared" si="25"/>
        <v>20.059999999999999</v>
      </c>
      <c r="AZ20" s="13">
        <v>20.059999999999999</v>
      </c>
      <c r="BA20" s="13">
        <f t="shared" si="3"/>
        <v>0</v>
      </c>
      <c r="BB20" s="9">
        <f t="shared" si="4"/>
        <v>80279.92</v>
      </c>
      <c r="BC20" s="9">
        <v>20.059999999999999</v>
      </c>
      <c r="BD20" s="10">
        <v>44409</v>
      </c>
      <c r="BE20" s="9">
        <f t="shared" si="5"/>
        <v>2081.0300000000002</v>
      </c>
      <c r="BF20" s="9">
        <f t="shared" si="6"/>
        <v>16808.36</v>
      </c>
      <c r="BG20" s="9">
        <f t="shared" si="7"/>
        <v>8764.36</v>
      </c>
      <c r="BH20" s="9">
        <f t="shared" si="8"/>
        <v>1840.92</v>
      </c>
      <c r="BI20" s="9">
        <f t="shared" si="9"/>
        <v>11125.53</v>
      </c>
      <c r="BJ20" s="9">
        <f t="shared" si="10"/>
        <v>1200.5999999999999</v>
      </c>
      <c r="BK20" s="9">
        <f t="shared" si="11"/>
        <v>0</v>
      </c>
      <c r="BL20" s="9">
        <f t="shared" si="12"/>
        <v>0</v>
      </c>
      <c r="BM20" s="9">
        <f t="shared" si="13"/>
        <v>0</v>
      </c>
      <c r="BN20" s="9">
        <f t="shared" si="14"/>
        <v>400.2</v>
      </c>
      <c r="BO20" s="9">
        <f t="shared" si="15"/>
        <v>2841.41</v>
      </c>
      <c r="BP20" s="9">
        <f t="shared" si="16"/>
        <v>1360.68</v>
      </c>
      <c r="BQ20" s="9">
        <f t="shared" si="17"/>
        <v>280.14</v>
      </c>
      <c r="BR20" s="9">
        <f t="shared" si="18"/>
        <v>18088.990000000002</v>
      </c>
      <c r="BS20" s="9">
        <f t="shared" si="19"/>
        <v>480.24</v>
      </c>
      <c r="BT20" s="9">
        <f t="shared" si="20"/>
        <v>7083.52</v>
      </c>
      <c r="BU20" s="9">
        <f t="shared" si="21"/>
        <v>7923.94</v>
      </c>
      <c r="BV20" s="17">
        <f t="shared" si="22"/>
        <v>80279.92</v>
      </c>
      <c r="BW20" s="17">
        <v>0.64</v>
      </c>
      <c r="BX20" s="17">
        <v>0.06</v>
      </c>
      <c r="BY20" s="17">
        <v>0.35</v>
      </c>
      <c r="BZ20" s="17">
        <v>0.06</v>
      </c>
      <c r="CA20" s="29" t="s">
        <v>739</v>
      </c>
      <c r="CB20" s="325"/>
      <c r="CC20" s="13">
        <v>0</v>
      </c>
      <c r="CD20" s="13">
        <v>0</v>
      </c>
      <c r="CE20" s="13">
        <v>0</v>
      </c>
      <c r="CF20" s="13">
        <v>0</v>
      </c>
      <c r="CG20" s="13">
        <v>0</v>
      </c>
      <c r="CH20" s="13">
        <v>6696</v>
      </c>
      <c r="CI20" s="13">
        <v>5562.28</v>
      </c>
      <c r="CJ20" s="13">
        <v>16248</v>
      </c>
      <c r="CK20" s="13">
        <v>1539.05</v>
      </c>
      <c r="CL20" s="13">
        <v>963322.59</v>
      </c>
      <c r="CM20" s="13">
        <v>52024.57</v>
      </c>
      <c r="CN20" s="13">
        <v>74073.77</v>
      </c>
      <c r="CO20" s="13">
        <v>2881</v>
      </c>
      <c r="CP20" s="13">
        <v>2881</v>
      </c>
      <c r="CQ20" s="13">
        <v>0</v>
      </c>
      <c r="CR20" s="13">
        <v>904960.18</v>
      </c>
      <c r="CS20" s="13">
        <v>41199.46</v>
      </c>
      <c r="CT20" s="13">
        <v>62006.77</v>
      </c>
      <c r="CU20" s="13">
        <v>2647.89</v>
      </c>
      <c r="CV20" s="13">
        <v>2706.25</v>
      </c>
      <c r="CW20" s="13">
        <v>0</v>
      </c>
      <c r="CX20" s="13">
        <v>187238.41</v>
      </c>
      <c r="CY20" s="13">
        <v>13739.43</v>
      </c>
      <c r="CZ20" s="13">
        <v>6380.77</v>
      </c>
      <c r="DA20" s="13">
        <v>563.25</v>
      </c>
      <c r="DB20" s="13">
        <v>563.26</v>
      </c>
      <c r="DC20" s="13"/>
      <c r="DD20" s="315">
        <v>1095182.93</v>
      </c>
      <c r="DE20" s="317">
        <v>1013520.55</v>
      </c>
      <c r="DF20" s="317">
        <v>92.54</v>
      </c>
      <c r="DG20" s="318">
        <v>208485.12</v>
      </c>
      <c r="DH20" s="310">
        <v>42048.480000000003</v>
      </c>
      <c r="DI20" s="310">
        <v>24048</v>
      </c>
      <c r="DJ20" s="312">
        <v>0</v>
      </c>
      <c r="DK20" s="362">
        <v>0</v>
      </c>
      <c r="DL20" s="362"/>
      <c r="DM20" s="362">
        <v>0</v>
      </c>
      <c r="DN20" s="362">
        <v>0</v>
      </c>
      <c r="DO20" s="362">
        <v>0</v>
      </c>
      <c r="DP20" s="362">
        <v>0</v>
      </c>
      <c r="DQ20" s="362">
        <v>0</v>
      </c>
      <c r="DR20" s="362"/>
      <c r="DS20" s="362">
        <v>0</v>
      </c>
      <c r="DT20" s="362"/>
      <c r="DU20" s="362">
        <v>0</v>
      </c>
      <c r="DV20" s="362">
        <v>0</v>
      </c>
      <c r="DW20" s="362">
        <v>0</v>
      </c>
      <c r="DX20" s="362">
        <v>0</v>
      </c>
      <c r="DY20" s="362">
        <v>0</v>
      </c>
      <c r="DZ20" s="375">
        <v>3800</v>
      </c>
      <c r="EA20" s="362">
        <v>262188</v>
      </c>
      <c r="EB20" s="362">
        <v>8180</v>
      </c>
      <c r="EC20" s="362"/>
      <c r="ED20" s="362">
        <v>0</v>
      </c>
      <c r="EE20" s="362">
        <v>0</v>
      </c>
      <c r="EF20" s="362"/>
      <c r="EG20" s="362">
        <v>19302</v>
      </c>
      <c r="EH20" s="362">
        <v>114415</v>
      </c>
      <c r="EI20" s="362"/>
      <c r="EJ20" s="362">
        <v>39200</v>
      </c>
      <c r="EK20" s="362"/>
      <c r="EL20" s="362">
        <v>0</v>
      </c>
      <c r="EM20" s="362">
        <v>5032.05</v>
      </c>
      <c r="EN20" s="362">
        <v>251384.34</v>
      </c>
      <c r="EO20" s="362">
        <v>3720</v>
      </c>
      <c r="EP20" s="362">
        <v>0</v>
      </c>
      <c r="EQ20" s="362">
        <v>0</v>
      </c>
      <c r="ER20" s="362">
        <v>16380</v>
      </c>
      <c r="ES20" s="362">
        <v>0</v>
      </c>
      <c r="ET20" s="362">
        <v>11448</v>
      </c>
      <c r="EU20" s="362">
        <v>112400.42</v>
      </c>
      <c r="EV20" s="362">
        <v>18745.53</v>
      </c>
      <c r="EW20" s="362"/>
      <c r="EX20" s="202"/>
      <c r="EY20" s="202"/>
      <c r="EZ20" s="229"/>
      <c r="FA20" s="368">
        <v>50681.49</v>
      </c>
      <c r="FB20" s="368">
        <v>103826.76</v>
      </c>
      <c r="FC20" s="368">
        <v>0</v>
      </c>
      <c r="FD20" s="368">
        <v>0</v>
      </c>
      <c r="FE20" s="368">
        <v>2759.05</v>
      </c>
      <c r="FF20" s="368">
        <v>2952.25</v>
      </c>
      <c r="FG20" s="368">
        <v>0</v>
      </c>
      <c r="FH20" s="368">
        <v>-1023.86</v>
      </c>
      <c r="FI20" s="368">
        <v>0</v>
      </c>
      <c r="FJ20" s="368">
        <v>0</v>
      </c>
      <c r="FK20" s="368">
        <v>36293.910000000003</v>
      </c>
      <c r="FL20" s="368">
        <v>0</v>
      </c>
      <c r="FM20" s="368">
        <v>106989.41</v>
      </c>
      <c r="FN20" s="368">
        <v>68029.11</v>
      </c>
      <c r="FO20" s="323">
        <v>1107310.3400000001</v>
      </c>
      <c r="FP20" s="323">
        <v>195489.6</v>
      </c>
      <c r="FQ20" s="323">
        <v>1302799.94</v>
      </c>
      <c r="FR20" s="338">
        <v>102829.05</v>
      </c>
      <c r="FS20" s="362">
        <v>3550.74</v>
      </c>
      <c r="FT20" s="377">
        <v>106379.79</v>
      </c>
      <c r="FU20" s="377">
        <v>985132.87</v>
      </c>
      <c r="FV20" s="377">
        <v>140095.39000000001</v>
      </c>
      <c r="FW20" s="362">
        <v>1125228.26</v>
      </c>
      <c r="FX20" s="362">
        <v>900723.51</v>
      </c>
      <c r="FY20" s="362">
        <v>122399.42</v>
      </c>
      <c r="FZ20" s="362">
        <v>1023122.93</v>
      </c>
      <c r="GA20" s="362">
        <v>187238.41</v>
      </c>
      <c r="GB20" s="362">
        <v>21246.71</v>
      </c>
      <c r="GC20" s="362">
        <v>208485.12</v>
      </c>
      <c r="GD20" s="362">
        <v>84472.8</v>
      </c>
      <c r="GE20" s="362">
        <v>10013.629999999999</v>
      </c>
      <c r="GF20" s="362">
        <v>94486.43</v>
      </c>
      <c r="GG20" s="202"/>
      <c r="GH20" s="416">
        <v>0</v>
      </c>
      <c r="GI20" s="414">
        <v>1862</v>
      </c>
      <c r="GJ20" s="419">
        <v>6696</v>
      </c>
      <c r="GK20" s="396"/>
      <c r="GL20" s="202">
        <v>0</v>
      </c>
      <c r="GM20" s="202">
        <v>0</v>
      </c>
      <c r="GN20" s="323">
        <v>-122177.47</v>
      </c>
      <c r="GO20" s="323">
        <v>-55394.21</v>
      </c>
      <c r="GP20" s="323">
        <v>-177571.68</v>
      </c>
      <c r="GQ20" s="323">
        <v>-37704.67</v>
      </c>
      <c r="GR20" s="323">
        <v>-45380.58</v>
      </c>
      <c r="GS20" s="323">
        <v>-83085.25</v>
      </c>
    </row>
    <row r="21" spans="1:201" ht="12.75" customHeight="1" x14ac:dyDescent="0.2">
      <c r="A21" s="45" t="s">
        <v>35</v>
      </c>
      <c r="B21" s="141" t="s">
        <v>7</v>
      </c>
      <c r="C21" s="142" t="s">
        <v>34</v>
      </c>
      <c r="D21" s="388" t="s">
        <v>546</v>
      </c>
      <c r="E21" s="142" t="s">
        <v>30</v>
      </c>
      <c r="F21" s="11">
        <v>5</v>
      </c>
      <c r="G21" s="11">
        <v>4</v>
      </c>
      <c r="H21" s="11">
        <v>80</v>
      </c>
      <c r="I21" s="11">
        <v>0</v>
      </c>
      <c r="J21" s="11">
        <v>176</v>
      </c>
      <c r="K21" s="11">
        <v>184</v>
      </c>
      <c r="L21" s="84" t="s">
        <v>746</v>
      </c>
      <c r="M21" s="84">
        <v>274</v>
      </c>
      <c r="N21" s="84">
        <v>1040</v>
      </c>
      <c r="O21" s="84">
        <v>0</v>
      </c>
      <c r="P21" s="133">
        <v>222.4</v>
      </c>
      <c r="Q21" s="133">
        <v>710</v>
      </c>
      <c r="R21" s="133">
        <v>0</v>
      </c>
      <c r="S21" s="133">
        <f t="shared" si="23"/>
        <v>932.4</v>
      </c>
      <c r="T21" s="134">
        <v>274</v>
      </c>
      <c r="U21" s="130">
        <v>1.53</v>
      </c>
      <c r="V21" s="131">
        <v>1.9800000000000002E-2</v>
      </c>
      <c r="W21" s="131">
        <v>1.9800000000000002E-2</v>
      </c>
      <c r="X21" s="132">
        <v>1.2199999999999999E-3</v>
      </c>
      <c r="Y21" s="131">
        <v>3.95E-2</v>
      </c>
      <c r="Z21" s="29">
        <v>3546.2</v>
      </c>
      <c r="AA21" s="29"/>
      <c r="AB21" s="9">
        <f t="shared" si="0"/>
        <v>3546.2</v>
      </c>
      <c r="AC21" s="9">
        <f t="shared" ref="AC21:AC35" si="27">SUM(AB21*6.33)</f>
        <v>22447.45</v>
      </c>
      <c r="AD21" s="9">
        <v>0.33</v>
      </c>
      <c r="AE21" s="9">
        <v>4.75</v>
      </c>
      <c r="AF21" s="21">
        <f>2.43-AJ21</f>
        <v>2.15</v>
      </c>
      <c r="AG21" s="18">
        <f>0.54-AQ21</f>
        <v>0.43</v>
      </c>
      <c r="AH21" s="9">
        <v>2.78</v>
      </c>
      <c r="AI21" s="43">
        <v>998</v>
      </c>
      <c r="AJ21" s="21">
        <f t="shared" si="1"/>
        <v>0.28000000000000003</v>
      </c>
      <c r="AK21" s="9">
        <v>0</v>
      </c>
      <c r="AL21" s="9">
        <v>0</v>
      </c>
      <c r="AM21" s="9">
        <v>0.16</v>
      </c>
      <c r="AN21" s="13"/>
      <c r="AO21" s="13">
        <v>801.6</v>
      </c>
      <c r="AP21" s="13">
        <f t="shared" si="24"/>
        <v>5.58</v>
      </c>
      <c r="AQ21" s="18">
        <f t="shared" si="2"/>
        <v>0.11</v>
      </c>
      <c r="AR21" s="9">
        <v>0.78</v>
      </c>
      <c r="AS21" s="9">
        <v>0.39</v>
      </c>
      <c r="AT21" s="9">
        <v>7.0000000000000007E-2</v>
      </c>
      <c r="AU21" s="9">
        <v>3.77</v>
      </c>
      <c r="AV21" s="9">
        <v>0.13</v>
      </c>
      <c r="AW21" s="9">
        <f>1.09+0.32+0.33</f>
        <v>1.74</v>
      </c>
      <c r="AX21" s="9">
        <f>1.5+0.44</f>
        <v>1.94</v>
      </c>
      <c r="AY21" s="144">
        <f t="shared" si="25"/>
        <v>19.809999999999999</v>
      </c>
      <c r="AZ21" s="13">
        <v>19.809999999999999</v>
      </c>
      <c r="BA21" s="13">
        <f t="shared" si="3"/>
        <v>0</v>
      </c>
      <c r="BB21" s="9">
        <f t="shared" si="4"/>
        <v>70250.22</v>
      </c>
      <c r="BC21" s="9">
        <v>19.809999999999999</v>
      </c>
      <c r="BD21" s="10">
        <v>44409</v>
      </c>
      <c r="BE21" s="9">
        <f t="shared" si="5"/>
        <v>1170.25</v>
      </c>
      <c r="BF21" s="9">
        <f t="shared" si="6"/>
        <v>16844.45</v>
      </c>
      <c r="BG21" s="9">
        <f t="shared" si="7"/>
        <v>7624.33</v>
      </c>
      <c r="BH21" s="9">
        <f t="shared" si="8"/>
        <v>1524.87</v>
      </c>
      <c r="BI21" s="9">
        <f t="shared" si="9"/>
        <v>9858.44</v>
      </c>
      <c r="BJ21" s="9">
        <f t="shared" si="10"/>
        <v>992.94</v>
      </c>
      <c r="BK21" s="9">
        <f t="shared" si="11"/>
        <v>0</v>
      </c>
      <c r="BL21" s="9">
        <f t="shared" si="12"/>
        <v>0</v>
      </c>
      <c r="BM21" s="9">
        <f t="shared" si="13"/>
        <v>567.39</v>
      </c>
      <c r="BN21" s="9">
        <f t="shared" si="14"/>
        <v>390.08</v>
      </c>
      <c r="BO21" s="9">
        <f t="shared" si="15"/>
        <v>2766.04</v>
      </c>
      <c r="BP21" s="9">
        <f t="shared" si="16"/>
        <v>1383.02</v>
      </c>
      <c r="BQ21" s="9">
        <f t="shared" si="17"/>
        <v>248.23</v>
      </c>
      <c r="BR21" s="9">
        <f t="shared" si="18"/>
        <v>13369.17</v>
      </c>
      <c r="BS21" s="9">
        <f t="shared" si="19"/>
        <v>461.01</v>
      </c>
      <c r="BT21" s="9">
        <f t="shared" si="20"/>
        <v>6170.39</v>
      </c>
      <c r="BU21" s="9">
        <f t="shared" si="21"/>
        <v>6879.63</v>
      </c>
      <c r="BV21" s="17">
        <f t="shared" si="22"/>
        <v>70250.240000000005</v>
      </c>
      <c r="BW21" s="17">
        <v>1.63</v>
      </c>
      <c r="BX21" s="17">
        <v>0.04</v>
      </c>
      <c r="BY21" s="17">
        <v>0.19</v>
      </c>
      <c r="BZ21" s="17">
        <v>0.04</v>
      </c>
      <c r="CA21" s="29">
        <v>6.33</v>
      </c>
      <c r="CB21" s="325"/>
      <c r="CC21" s="13">
        <v>0</v>
      </c>
      <c r="CD21" s="13">
        <v>0</v>
      </c>
      <c r="CE21" s="13">
        <v>0</v>
      </c>
      <c r="CF21" s="13">
        <v>0</v>
      </c>
      <c r="CG21" s="13">
        <v>0</v>
      </c>
      <c r="CH21" s="13">
        <v>0</v>
      </c>
      <c r="CI21" s="13">
        <v>3929.4</v>
      </c>
      <c r="CJ21" s="13">
        <v>23364</v>
      </c>
      <c r="CK21" s="13">
        <v>1363.83</v>
      </c>
      <c r="CL21" s="13">
        <v>843003.36</v>
      </c>
      <c r="CM21" s="13">
        <v>27411.95</v>
      </c>
      <c r="CN21" s="13">
        <v>0</v>
      </c>
      <c r="CO21" s="13">
        <v>18795.21</v>
      </c>
      <c r="CP21" s="13">
        <v>9113.8700000000008</v>
      </c>
      <c r="CQ21" s="13">
        <v>0</v>
      </c>
      <c r="CR21" s="13">
        <v>790497.23</v>
      </c>
      <c r="CS21" s="13">
        <v>27187.09</v>
      </c>
      <c r="CT21" s="13">
        <v>528.91</v>
      </c>
      <c r="CU21" s="13">
        <v>17572.310000000001</v>
      </c>
      <c r="CV21" s="13">
        <v>8510.6</v>
      </c>
      <c r="CW21" s="13">
        <v>0</v>
      </c>
      <c r="CX21" s="13">
        <v>118947.84</v>
      </c>
      <c r="CY21" s="13">
        <v>3330.33</v>
      </c>
      <c r="CZ21" s="13">
        <v>-892.8</v>
      </c>
      <c r="DA21" s="13">
        <v>1575.87</v>
      </c>
      <c r="DB21" s="13">
        <v>862.37</v>
      </c>
      <c r="DC21" s="13"/>
      <c r="DD21" s="315">
        <v>898324.39</v>
      </c>
      <c r="DE21" s="317">
        <v>844296.14</v>
      </c>
      <c r="DF21" s="317">
        <v>93.99</v>
      </c>
      <c r="DG21" s="318">
        <v>123823.61</v>
      </c>
      <c r="DH21" s="310">
        <v>37261.440000000002</v>
      </c>
      <c r="DI21" s="310">
        <v>21310.2</v>
      </c>
      <c r="DJ21" s="312">
        <v>0</v>
      </c>
      <c r="DK21" s="362">
        <v>0</v>
      </c>
      <c r="DL21" s="362"/>
      <c r="DM21" s="362">
        <v>0</v>
      </c>
      <c r="DN21" s="362">
        <v>0</v>
      </c>
      <c r="DO21" s="362">
        <v>0</v>
      </c>
      <c r="DP21" s="362">
        <v>0</v>
      </c>
      <c r="DQ21" s="362">
        <v>0</v>
      </c>
      <c r="DR21" s="362"/>
      <c r="DS21" s="362">
        <v>0</v>
      </c>
      <c r="DT21" s="362"/>
      <c r="DU21" s="362">
        <v>0</v>
      </c>
      <c r="DV21" s="362">
        <v>0</v>
      </c>
      <c r="DW21" s="362">
        <v>0</v>
      </c>
      <c r="DX21" s="362">
        <v>0</v>
      </c>
      <c r="DY21" s="362">
        <v>0</v>
      </c>
      <c r="DZ21" s="375">
        <v>0</v>
      </c>
      <c r="EA21" s="362">
        <v>249030</v>
      </c>
      <c r="EB21" s="362">
        <v>8180</v>
      </c>
      <c r="EC21" s="362"/>
      <c r="ED21" s="362">
        <v>0</v>
      </c>
      <c r="EE21" s="362">
        <v>0</v>
      </c>
      <c r="EF21" s="362"/>
      <c r="EG21" s="362">
        <v>15882</v>
      </c>
      <c r="EH21" s="362">
        <v>141750</v>
      </c>
      <c r="EI21" s="362"/>
      <c r="EJ21" s="362">
        <v>30420</v>
      </c>
      <c r="EK21" s="362"/>
      <c r="EL21" s="362">
        <v>0</v>
      </c>
      <c r="EM21" s="362">
        <v>4472.9399999999996</v>
      </c>
      <c r="EN21" s="362">
        <v>218560.14</v>
      </c>
      <c r="EO21" s="362">
        <v>0</v>
      </c>
      <c r="EP21" s="362">
        <v>0</v>
      </c>
      <c r="EQ21" s="362">
        <v>0</v>
      </c>
      <c r="ER21" s="362">
        <v>16380</v>
      </c>
      <c r="ES21" s="362">
        <v>6924</v>
      </c>
      <c r="ET21" s="362">
        <v>12932</v>
      </c>
      <c r="EU21" s="362">
        <v>0</v>
      </c>
      <c r="EV21" s="362">
        <v>0</v>
      </c>
      <c r="EW21" s="362"/>
      <c r="EX21" s="202"/>
      <c r="EY21" s="202"/>
      <c r="EZ21" s="229"/>
      <c r="FA21" s="368">
        <v>27434.67</v>
      </c>
      <c r="FB21" s="368">
        <v>0</v>
      </c>
      <c r="FC21" s="368">
        <v>0</v>
      </c>
      <c r="FD21" s="368">
        <v>0</v>
      </c>
      <c r="FE21" s="368">
        <v>16938.82</v>
      </c>
      <c r="FF21" s="368">
        <v>8156.3</v>
      </c>
      <c r="FG21" s="368">
        <v>0</v>
      </c>
      <c r="FH21" s="368">
        <v>-932.89</v>
      </c>
      <c r="FI21" s="368">
        <v>0</v>
      </c>
      <c r="FJ21" s="368">
        <v>0</v>
      </c>
      <c r="FK21" s="368">
        <v>0</v>
      </c>
      <c r="FL21" s="368">
        <v>0</v>
      </c>
      <c r="FM21" s="368">
        <v>94807.87</v>
      </c>
      <c r="FN21" s="368">
        <v>60283.27</v>
      </c>
      <c r="FO21" s="323">
        <v>918193.86</v>
      </c>
      <c r="FP21" s="323">
        <v>51596.9</v>
      </c>
      <c r="FQ21" s="323">
        <v>969790.76</v>
      </c>
      <c r="FR21" s="338">
        <v>61017.02</v>
      </c>
      <c r="FS21" s="362">
        <v>-82.1</v>
      </c>
      <c r="FT21" s="377">
        <v>60934.92</v>
      </c>
      <c r="FU21" s="377">
        <v>870296.76</v>
      </c>
      <c r="FV21" s="377">
        <v>56684.86</v>
      </c>
      <c r="FW21" s="362">
        <v>926981.62</v>
      </c>
      <c r="FX21" s="362">
        <v>812365.94</v>
      </c>
      <c r="FY21" s="362">
        <v>51726.99</v>
      </c>
      <c r="FZ21" s="362">
        <v>864092.93</v>
      </c>
      <c r="GA21" s="362">
        <v>118947.84</v>
      </c>
      <c r="GB21" s="362">
        <v>4875.7700000000004</v>
      </c>
      <c r="GC21" s="362">
        <v>123823.61</v>
      </c>
      <c r="GD21" s="362">
        <v>40673.19</v>
      </c>
      <c r="GE21" s="362">
        <v>5908.2</v>
      </c>
      <c r="GF21" s="362">
        <v>46581.39</v>
      </c>
      <c r="GG21" s="202"/>
      <c r="GH21" s="416"/>
      <c r="GI21" s="414">
        <v>2455</v>
      </c>
      <c r="GJ21" s="419">
        <v>0</v>
      </c>
      <c r="GK21" s="396"/>
      <c r="GL21" s="202">
        <v>0</v>
      </c>
      <c r="GM21" s="202">
        <v>0</v>
      </c>
      <c r="GN21" s="323">
        <v>-47897.1</v>
      </c>
      <c r="GO21" s="323">
        <v>5087.96</v>
      </c>
      <c r="GP21" s="323">
        <v>-42809.14</v>
      </c>
      <c r="GQ21" s="323">
        <v>-7223.91</v>
      </c>
      <c r="GR21" s="323">
        <v>10996.16</v>
      </c>
      <c r="GS21" s="323">
        <v>3772.25</v>
      </c>
    </row>
    <row r="22" spans="1:201" ht="12.75" customHeight="1" x14ac:dyDescent="0.2">
      <c r="A22" s="45" t="s">
        <v>36</v>
      </c>
      <c r="B22" s="141" t="s">
        <v>7</v>
      </c>
      <c r="C22" s="142" t="s">
        <v>37</v>
      </c>
      <c r="D22" s="388" t="s">
        <v>397</v>
      </c>
      <c r="E22" s="142" t="s">
        <v>12</v>
      </c>
      <c r="F22" s="11">
        <v>5</v>
      </c>
      <c r="G22" s="11">
        <v>6</v>
      </c>
      <c r="H22" s="11">
        <v>90</v>
      </c>
      <c r="I22" s="11">
        <v>0</v>
      </c>
      <c r="J22" s="11">
        <v>191</v>
      </c>
      <c r="K22" s="11">
        <v>225</v>
      </c>
      <c r="L22" s="84" t="s">
        <v>746</v>
      </c>
      <c r="M22" s="84">
        <v>417</v>
      </c>
      <c r="N22" s="84">
        <v>1264</v>
      </c>
      <c r="O22" s="84">
        <v>0</v>
      </c>
      <c r="P22" s="133">
        <v>417</v>
      </c>
      <c r="Q22" s="133">
        <v>1010.27</v>
      </c>
      <c r="R22" s="133">
        <v>0</v>
      </c>
      <c r="S22" s="133">
        <f t="shared" si="23"/>
        <v>1427.27</v>
      </c>
      <c r="T22" s="134">
        <v>417</v>
      </c>
      <c r="U22" s="130">
        <v>1.53</v>
      </c>
      <c r="V22" s="131">
        <v>1.9800000000000002E-2</v>
      </c>
      <c r="W22" s="131">
        <v>1.9800000000000002E-2</v>
      </c>
      <c r="X22" s="132">
        <v>1.2199999999999999E-3</v>
      </c>
      <c r="Y22" s="131">
        <v>3.95E-2</v>
      </c>
      <c r="Z22" s="29">
        <v>4004.64</v>
      </c>
      <c r="AA22" s="29"/>
      <c r="AB22" s="9">
        <f t="shared" si="0"/>
        <v>4004.64</v>
      </c>
      <c r="AC22" s="9">
        <f t="shared" si="27"/>
        <v>25349.37</v>
      </c>
      <c r="AD22" s="9">
        <v>0.52</v>
      </c>
      <c r="AE22" s="9">
        <v>5.1100000000000003</v>
      </c>
      <c r="AF22" s="21">
        <f>2.43-AJ22</f>
        <v>2.13</v>
      </c>
      <c r="AG22" s="18">
        <f>0.56-AQ22</f>
        <v>0.46</v>
      </c>
      <c r="AH22" s="9">
        <v>2.78</v>
      </c>
      <c r="AI22" s="43">
        <v>1213</v>
      </c>
      <c r="AJ22" s="21">
        <f t="shared" si="1"/>
        <v>0.3</v>
      </c>
      <c r="AK22" s="9">
        <v>0</v>
      </c>
      <c r="AL22" s="9">
        <v>0</v>
      </c>
      <c r="AM22" s="9">
        <v>0</v>
      </c>
      <c r="AN22" s="13"/>
      <c r="AO22" s="13">
        <v>901.8</v>
      </c>
      <c r="AP22" s="13">
        <f t="shared" si="24"/>
        <v>5.58</v>
      </c>
      <c r="AQ22" s="18">
        <f t="shared" si="2"/>
        <v>0.1</v>
      </c>
      <c r="AR22" s="9">
        <v>0.78</v>
      </c>
      <c r="AS22" s="9">
        <v>0.34</v>
      </c>
      <c r="AT22" s="9">
        <v>7.0000000000000007E-2</v>
      </c>
      <c r="AU22" s="9">
        <v>3.52</v>
      </c>
      <c r="AV22" s="9">
        <v>0.13</v>
      </c>
      <c r="AW22" s="9">
        <f>1.13+0.31+0.31</f>
        <v>1.75</v>
      </c>
      <c r="AX22" s="9">
        <f>1.54+0.42</f>
        <v>1.96</v>
      </c>
      <c r="AY22" s="144">
        <f t="shared" si="25"/>
        <v>19.95</v>
      </c>
      <c r="AZ22" s="13">
        <v>19.95</v>
      </c>
      <c r="BA22" s="13">
        <f t="shared" si="3"/>
        <v>0</v>
      </c>
      <c r="BB22" s="9">
        <f t="shared" si="4"/>
        <v>79892.570000000007</v>
      </c>
      <c r="BC22" s="9">
        <v>19.95</v>
      </c>
      <c r="BD22" s="10">
        <v>44409</v>
      </c>
      <c r="BE22" s="9">
        <f t="shared" si="5"/>
        <v>2082.41</v>
      </c>
      <c r="BF22" s="9">
        <f t="shared" si="6"/>
        <v>20463.71</v>
      </c>
      <c r="BG22" s="9">
        <f t="shared" si="7"/>
        <v>8529.8799999999992</v>
      </c>
      <c r="BH22" s="9">
        <f t="shared" si="8"/>
        <v>1842.13</v>
      </c>
      <c r="BI22" s="9">
        <f t="shared" si="9"/>
        <v>11132.9</v>
      </c>
      <c r="BJ22" s="9">
        <f t="shared" si="10"/>
        <v>1201.3900000000001</v>
      </c>
      <c r="BK22" s="9">
        <f t="shared" si="11"/>
        <v>0</v>
      </c>
      <c r="BL22" s="9">
        <f t="shared" si="12"/>
        <v>0</v>
      </c>
      <c r="BM22" s="9">
        <f t="shared" si="13"/>
        <v>0</v>
      </c>
      <c r="BN22" s="9">
        <f t="shared" si="14"/>
        <v>400.46</v>
      </c>
      <c r="BO22" s="9">
        <f t="shared" si="15"/>
        <v>3123.62</v>
      </c>
      <c r="BP22" s="9">
        <f t="shared" si="16"/>
        <v>1361.58</v>
      </c>
      <c r="BQ22" s="9">
        <f t="shared" si="17"/>
        <v>280.32</v>
      </c>
      <c r="BR22" s="9">
        <f t="shared" si="18"/>
        <v>14096.33</v>
      </c>
      <c r="BS22" s="9">
        <f t="shared" si="19"/>
        <v>520.6</v>
      </c>
      <c r="BT22" s="9">
        <f t="shared" si="20"/>
        <v>7008.12</v>
      </c>
      <c r="BU22" s="9">
        <f t="shared" si="21"/>
        <v>7849.09</v>
      </c>
      <c r="BV22" s="17">
        <f t="shared" si="22"/>
        <v>79892.539999999994</v>
      </c>
      <c r="BW22" s="17">
        <v>0.64</v>
      </c>
      <c r="BX22" s="17">
        <v>0.06</v>
      </c>
      <c r="BY22" s="17">
        <v>0.32</v>
      </c>
      <c r="BZ22" s="17">
        <v>0.06</v>
      </c>
      <c r="CA22" s="29">
        <v>6.33</v>
      </c>
      <c r="CB22" s="325"/>
      <c r="CC22" s="13">
        <v>0</v>
      </c>
      <c r="CD22" s="13">
        <v>0</v>
      </c>
      <c r="CE22" s="13">
        <v>0</v>
      </c>
      <c r="CF22" s="13">
        <v>0</v>
      </c>
      <c r="CG22" s="13">
        <v>0</v>
      </c>
      <c r="CH22" s="13">
        <v>2232</v>
      </c>
      <c r="CI22" s="13">
        <v>1687.4</v>
      </c>
      <c r="CJ22" s="13">
        <v>38856</v>
      </c>
      <c r="CK22" s="13">
        <v>1540.14</v>
      </c>
      <c r="CL22" s="13">
        <v>958712.64</v>
      </c>
      <c r="CM22" s="13">
        <v>9851.39</v>
      </c>
      <c r="CN22" s="13">
        <v>0</v>
      </c>
      <c r="CO22" s="13">
        <v>2883</v>
      </c>
      <c r="CP22" s="13">
        <v>2883</v>
      </c>
      <c r="CQ22" s="13">
        <v>0</v>
      </c>
      <c r="CR22" s="13">
        <v>878357.22</v>
      </c>
      <c r="CS22" s="13">
        <v>13712.38</v>
      </c>
      <c r="CT22" s="13">
        <v>5531.04</v>
      </c>
      <c r="CU22" s="13">
        <v>2580.84</v>
      </c>
      <c r="CV22" s="13">
        <v>2641.04</v>
      </c>
      <c r="CW22" s="13">
        <v>0</v>
      </c>
      <c r="CX22" s="13">
        <v>180024.66</v>
      </c>
      <c r="CY22" s="13">
        <v>-5859.53</v>
      </c>
      <c r="CZ22" s="13">
        <v>-6117.75</v>
      </c>
      <c r="DA22" s="13">
        <v>541.54999999999995</v>
      </c>
      <c r="DB22" s="13">
        <v>541.55999999999995</v>
      </c>
      <c r="DC22" s="13"/>
      <c r="DD22" s="315">
        <v>974330.03</v>
      </c>
      <c r="DE22" s="317">
        <v>902822.52</v>
      </c>
      <c r="DF22" s="317">
        <v>92.66</v>
      </c>
      <c r="DG22" s="318">
        <v>169130.49</v>
      </c>
      <c r="DH22" s="310">
        <v>42078.48</v>
      </c>
      <c r="DI22" s="310">
        <v>24065.16</v>
      </c>
      <c r="DJ22" s="312">
        <v>0</v>
      </c>
      <c r="DK22" s="362">
        <v>0</v>
      </c>
      <c r="DL22" s="362"/>
      <c r="DM22" s="362">
        <v>0</v>
      </c>
      <c r="DN22" s="362">
        <v>0</v>
      </c>
      <c r="DO22" s="362">
        <v>0</v>
      </c>
      <c r="DP22" s="362">
        <v>0</v>
      </c>
      <c r="DQ22" s="362">
        <v>0</v>
      </c>
      <c r="DR22" s="362"/>
      <c r="DS22" s="362">
        <v>0</v>
      </c>
      <c r="DT22" s="362"/>
      <c r="DU22" s="362">
        <v>0</v>
      </c>
      <c r="DV22" s="362">
        <v>0</v>
      </c>
      <c r="DW22" s="362">
        <v>0</v>
      </c>
      <c r="DX22" s="362">
        <v>0</v>
      </c>
      <c r="DY22" s="362">
        <v>0</v>
      </c>
      <c r="DZ22" s="375">
        <v>0</v>
      </c>
      <c r="EA22" s="362">
        <v>313206</v>
      </c>
      <c r="EB22" s="362">
        <v>8180</v>
      </c>
      <c r="EC22" s="362"/>
      <c r="ED22" s="362">
        <v>0</v>
      </c>
      <c r="EE22" s="362">
        <v>0</v>
      </c>
      <c r="EF22" s="362"/>
      <c r="EG22" s="362">
        <v>19302</v>
      </c>
      <c r="EH22" s="362">
        <v>110565</v>
      </c>
      <c r="EI22" s="362"/>
      <c r="EJ22" s="362">
        <v>39200</v>
      </c>
      <c r="EK22" s="362"/>
      <c r="EL22" s="362">
        <v>0</v>
      </c>
      <c r="EM22" s="362">
        <v>5032.05</v>
      </c>
      <c r="EN22" s="362">
        <v>249300.48000000001</v>
      </c>
      <c r="EO22" s="362">
        <v>1116</v>
      </c>
      <c r="EP22" s="362">
        <v>0</v>
      </c>
      <c r="EQ22" s="362">
        <v>0</v>
      </c>
      <c r="ER22" s="362">
        <v>16380</v>
      </c>
      <c r="ES22" s="362">
        <v>0</v>
      </c>
      <c r="ET22" s="362">
        <v>14628</v>
      </c>
      <c r="EU22" s="362">
        <v>0</v>
      </c>
      <c r="EV22" s="362">
        <v>13509.55</v>
      </c>
      <c r="EW22" s="362"/>
      <c r="EX22" s="202"/>
      <c r="EY22" s="202"/>
      <c r="EZ22" s="229"/>
      <c r="FA22" s="368">
        <v>3479.29</v>
      </c>
      <c r="FB22" s="368">
        <v>0</v>
      </c>
      <c r="FC22" s="368">
        <v>0</v>
      </c>
      <c r="FD22" s="368">
        <v>0</v>
      </c>
      <c r="FE22" s="368">
        <v>2765.71</v>
      </c>
      <c r="FF22" s="368">
        <v>2959.33</v>
      </c>
      <c r="FG22" s="368">
        <v>-3242.88</v>
      </c>
      <c r="FH22" s="368">
        <v>-1024.5899999999999</v>
      </c>
      <c r="FI22" s="368">
        <v>0</v>
      </c>
      <c r="FJ22" s="368">
        <v>0</v>
      </c>
      <c r="FK22" s="368">
        <v>26449.55</v>
      </c>
      <c r="FL22" s="368">
        <v>0</v>
      </c>
      <c r="FM22" s="368">
        <v>107064.29</v>
      </c>
      <c r="FN22" s="368">
        <v>68076.509999999995</v>
      </c>
      <c r="FO22" s="323">
        <v>1031703.52</v>
      </c>
      <c r="FP22" s="323">
        <v>31386.41</v>
      </c>
      <c r="FQ22" s="323">
        <v>1063089.93</v>
      </c>
      <c r="FR22" s="338">
        <v>101672.81</v>
      </c>
      <c r="FS22" s="362">
        <v>-2162.38</v>
      </c>
      <c r="FT22" s="377">
        <v>99510.43</v>
      </c>
      <c r="FU22" s="377">
        <v>999256.04</v>
      </c>
      <c r="FV22" s="377">
        <v>19389.53</v>
      </c>
      <c r="FW22" s="362">
        <v>1018645.57</v>
      </c>
      <c r="FX22" s="362">
        <v>920904.19</v>
      </c>
      <c r="FY22" s="362">
        <v>28121.32</v>
      </c>
      <c r="FZ22" s="362">
        <v>949025.51</v>
      </c>
      <c r="GA22" s="362">
        <v>180024.66</v>
      </c>
      <c r="GB22" s="362">
        <v>-10894.17</v>
      </c>
      <c r="GC22" s="362">
        <v>169130.49</v>
      </c>
      <c r="GD22" s="362">
        <v>74315.56</v>
      </c>
      <c r="GE22" s="362">
        <v>11286.03</v>
      </c>
      <c r="GF22" s="362">
        <v>85601.59</v>
      </c>
      <c r="GG22" s="202"/>
      <c r="GH22" s="416">
        <v>0</v>
      </c>
      <c r="GI22" s="414">
        <v>3386</v>
      </c>
      <c r="GJ22" s="419">
        <v>2232</v>
      </c>
      <c r="GK22" s="396"/>
      <c r="GL22" s="202">
        <v>0</v>
      </c>
      <c r="GM22" s="202">
        <v>0</v>
      </c>
      <c r="GN22" s="323">
        <v>-32447.48</v>
      </c>
      <c r="GO22" s="323">
        <v>-11996.88</v>
      </c>
      <c r="GP22" s="323">
        <v>-44444.36</v>
      </c>
      <c r="GQ22" s="323">
        <v>41868.080000000002</v>
      </c>
      <c r="GR22" s="323">
        <v>-710.85</v>
      </c>
      <c r="GS22" s="323">
        <v>41157.230000000003</v>
      </c>
    </row>
    <row r="23" spans="1:201" ht="12.75" customHeight="1" x14ac:dyDescent="0.2">
      <c r="A23" s="45" t="s">
        <v>38</v>
      </c>
      <c r="B23" s="123" t="s">
        <v>7</v>
      </c>
      <c r="C23" s="124" t="s">
        <v>39</v>
      </c>
      <c r="D23" s="388" t="s">
        <v>398</v>
      </c>
      <c r="E23" s="124" t="s">
        <v>12</v>
      </c>
      <c r="F23" s="11">
        <v>9</v>
      </c>
      <c r="G23" s="11">
        <v>1</v>
      </c>
      <c r="H23" s="11">
        <v>54</v>
      </c>
      <c r="I23" s="11">
        <v>0</v>
      </c>
      <c r="J23" s="11">
        <v>106</v>
      </c>
      <c r="K23" s="11">
        <v>131</v>
      </c>
      <c r="L23" s="84">
        <v>1</v>
      </c>
      <c r="M23" s="84">
        <v>254</v>
      </c>
      <c r="N23" s="84">
        <v>385</v>
      </c>
      <c r="O23" s="84">
        <v>385</v>
      </c>
      <c r="P23" s="133">
        <f>121.5+132.6</f>
        <v>254.1</v>
      </c>
      <c r="Q23" s="133">
        <f>249.4+6.7+11.5+17.2+12.1</f>
        <v>296.89999999999998</v>
      </c>
      <c r="R23" s="133">
        <v>368.6</v>
      </c>
      <c r="S23" s="133">
        <f t="shared" si="23"/>
        <v>919.6</v>
      </c>
      <c r="T23" s="134">
        <v>254</v>
      </c>
      <c r="U23" s="130">
        <v>2.44</v>
      </c>
      <c r="V23" s="131">
        <v>1.9800000000000002E-2</v>
      </c>
      <c r="W23" s="131">
        <v>1.9800000000000002E-2</v>
      </c>
      <c r="X23" s="132">
        <v>1.32E-3</v>
      </c>
      <c r="Y23" s="131">
        <v>3.9699999999999999E-2</v>
      </c>
      <c r="Z23" s="29">
        <v>2272.92</v>
      </c>
      <c r="AA23" s="29"/>
      <c r="AB23" s="9">
        <f t="shared" si="0"/>
        <v>2272.92</v>
      </c>
      <c r="AC23" s="9">
        <f t="shared" si="27"/>
        <v>14387.58</v>
      </c>
      <c r="AD23" s="9">
        <v>1.54</v>
      </c>
      <c r="AE23" s="9">
        <v>4.5599999999999996</v>
      </c>
      <c r="AF23" s="21">
        <f>2.5-AJ23</f>
        <v>2.34</v>
      </c>
      <c r="AG23" s="18">
        <f>0.6-AQ23</f>
        <v>0.54</v>
      </c>
      <c r="AH23" s="9">
        <v>2.77</v>
      </c>
      <c r="AI23" s="43">
        <v>370</v>
      </c>
      <c r="AJ23" s="21">
        <f t="shared" si="1"/>
        <v>0.16</v>
      </c>
      <c r="AK23" s="9">
        <v>1.89</v>
      </c>
      <c r="AL23" s="9">
        <v>0.51</v>
      </c>
      <c r="AM23" s="9">
        <v>0.42</v>
      </c>
      <c r="AN23" s="13"/>
      <c r="AO23" s="13">
        <v>305.89999999999998</v>
      </c>
      <c r="AP23" s="13">
        <f t="shared" si="24"/>
        <v>5.58</v>
      </c>
      <c r="AQ23" s="18">
        <f t="shared" si="2"/>
        <v>0.06</v>
      </c>
      <c r="AR23" s="9">
        <v>0.77</v>
      </c>
      <c r="AS23" s="9">
        <v>0.6</v>
      </c>
      <c r="AT23" s="9">
        <v>7.0000000000000007E-2</v>
      </c>
      <c r="AU23" s="9">
        <v>3.71</v>
      </c>
      <c r="AV23" s="9">
        <v>0.17</v>
      </c>
      <c r="AW23" s="9">
        <f>1.46+0.33+0.34</f>
        <v>2.13</v>
      </c>
      <c r="AX23" s="9">
        <f>2.07+0.46</f>
        <v>2.5299999999999998</v>
      </c>
      <c r="AY23" s="126">
        <f t="shared" si="25"/>
        <v>24.77</v>
      </c>
      <c r="AZ23" s="13">
        <v>24.77</v>
      </c>
      <c r="BA23" s="13">
        <f t="shared" si="3"/>
        <v>0</v>
      </c>
      <c r="BB23" s="9">
        <f t="shared" si="4"/>
        <v>56300.23</v>
      </c>
      <c r="BC23" s="9">
        <v>24.77</v>
      </c>
      <c r="BD23" s="10">
        <v>44409</v>
      </c>
      <c r="BE23" s="9">
        <f t="shared" si="5"/>
        <v>3500.3</v>
      </c>
      <c r="BF23" s="9">
        <f t="shared" si="6"/>
        <v>10364.52</v>
      </c>
      <c r="BG23" s="9">
        <f t="shared" si="7"/>
        <v>5318.63</v>
      </c>
      <c r="BH23" s="9">
        <f t="shared" si="8"/>
        <v>1227.3800000000001</v>
      </c>
      <c r="BI23" s="9">
        <f t="shared" si="9"/>
        <v>6295.99</v>
      </c>
      <c r="BJ23" s="9">
        <f t="shared" si="10"/>
        <v>363.67</v>
      </c>
      <c r="BK23" s="9">
        <f t="shared" si="11"/>
        <v>4295.82</v>
      </c>
      <c r="BL23" s="9">
        <f t="shared" si="12"/>
        <v>1159.19</v>
      </c>
      <c r="BM23" s="9">
        <f t="shared" si="13"/>
        <v>954.63</v>
      </c>
      <c r="BN23" s="9">
        <f t="shared" si="14"/>
        <v>136.38</v>
      </c>
      <c r="BO23" s="9">
        <f t="shared" si="15"/>
        <v>1750.15</v>
      </c>
      <c r="BP23" s="9">
        <f t="shared" si="16"/>
        <v>1363.75</v>
      </c>
      <c r="BQ23" s="9">
        <f t="shared" si="17"/>
        <v>159.1</v>
      </c>
      <c r="BR23" s="9">
        <f t="shared" si="18"/>
        <v>8432.5300000000007</v>
      </c>
      <c r="BS23" s="9">
        <f t="shared" si="19"/>
        <v>386.4</v>
      </c>
      <c r="BT23" s="9">
        <f t="shared" si="20"/>
        <v>4841.32</v>
      </c>
      <c r="BU23" s="9">
        <f t="shared" si="21"/>
        <v>5750.49</v>
      </c>
      <c r="BV23" s="17">
        <f t="shared" si="22"/>
        <v>56300.25</v>
      </c>
      <c r="BW23" s="17">
        <v>4.2</v>
      </c>
      <c r="BX23" s="17">
        <v>7.0000000000000007E-2</v>
      </c>
      <c r="BY23" s="17">
        <v>0.44</v>
      </c>
      <c r="BZ23" s="17">
        <v>0.08</v>
      </c>
      <c r="CA23" s="29">
        <v>6.33</v>
      </c>
      <c r="CB23" s="325"/>
      <c r="CC23" s="13">
        <v>0</v>
      </c>
      <c r="CD23" s="13">
        <v>0</v>
      </c>
      <c r="CE23" s="13">
        <v>0</v>
      </c>
      <c r="CF23" s="13">
        <v>0</v>
      </c>
      <c r="CG23" s="13">
        <v>0</v>
      </c>
      <c r="CH23" s="13">
        <v>0</v>
      </c>
      <c r="CI23" s="13">
        <v>3520.92</v>
      </c>
      <c r="CJ23" s="13">
        <v>25188</v>
      </c>
      <c r="CK23" s="13">
        <v>874.13</v>
      </c>
      <c r="CL23" s="13">
        <v>660766.5</v>
      </c>
      <c r="CM23" s="13">
        <v>42026.39</v>
      </c>
      <c r="CN23" s="13">
        <v>1545.59</v>
      </c>
      <c r="CO23" s="13">
        <v>3091.21</v>
      </c>
      <c r="CP23" s="13">
        <v>2409.29</v>
      </c>
      <c r="CQ23" s="13">
        <v>0</v>
      </c>
      <c r="CR23" s="13">
        <v>622678.57999999996</v>
      </c>
      <c r="CS23" s="13">
        <v>36059.79</v>
      </c>
      <c r="CT23" s="13">
        <v>1539.86</v>
      </c>
      <c r="CU23" s="13">
        <v>2976.57</v>
      </c>
      <c r="CV23" s="13">
        <v>2304.9</v>
      </c>
      <c r="CW23" s="13">
        <v>0</v>
      </c>
      <c r="CX23" s="13">
        <v>109444.5</v>
      </c>
      <c r="CY23" s="13">
        <v>-71.8</v>
      </c>
      <c r="CZ23" s="13">
        <v>-7.71</v>
      </c>
      <c r="DA23" s="13">
        <v>127.76</v>
      </c>
      <c r="DB23" s="13">
        <v>164.22</v>
      </c>
      <c r="DC23" s="13"/>
      <c r="DD23" s="315">
        <v>709838.98</v>
      </c>
      <c r="DE23" s="317">
        <v>665559.69999999995</v>
      </c>
      <c r="DF23" s="317">
        <v>93.76</v>
      </c>
      <c r="DG23" s="318">
        <v>109656.97</v>
      </c>
      <c r="DH23" s="310">
        <v>23882.52</v>
      </c>
      <c r="DI23" s="310">
        <v>13658.64</v>
      </c>
      <c r="DJ23" s="312">
        <v>0</v>
      </c>
      <c r="DK23" s="362">
        <v>0</v>
      </c>
      <c r="DL23" s="362"/>
      <c r="DM23" s="362">
        <v>0</v>
      </c>
      <c r="DN23" s="362">
        <v>0</v>
      </c>
      <c r="DO23" s="362">
        <v>0</v>
      </c>
      <c r="DP23" s="362">
        <v>0</v>
      </c>
      <c r="DQ23" s="362">
        <v>0</v>
      </c>
      <c r="DR23" s="362"/>
      <c r="DS23" s="362">
        <v>0</v>
      </c>
      <c r="DT23" s="362"/>
      <c r="DU23" s="362">
        <v>0</v>
      </c>
      <c r="DV23" s="362">
        <v>0</v>
      </c>
      <c r="DW23" s="362">
        <v>39190.1</v>
      </c>
      <c r="DX23" s="362">
        <v>0</v>
      </c>
      <c r="DY23" s="362">
        <v>0</v>
      </c>
      <c r="DZ23" s="375">
        <v>0</v>
      </c>
      <c r="EA23" s="362">
        <v>192084</v>
      </c>
      <c r="EB23" s="362">
        <v>9375</v>
      </c>
      <c r="EC23" s="362"/>
      <c r="ED23" s="362">
        <v>0</v>
      </c>
      <c r="EE23" s="362">
        <v>0</v>
      </c>
      <c r="EF23" s="362"/>
      <c r="EG23" s="362">
        <v>5886</v>
      </c>
      <c r="EH23" s="362">
        <v>0</v>
      </c>
      <c r="EI23" s="362"/>
      <c r="EJ23" s="362">
        <v>0</v>
      </c>
      <c r="EK23" s="362"/>
      <c r="EL23" s="362">
        <v>0</v>
      </c>
      <c r="EM23" s="362">
        <v>1706.91</v>
      </c>
      <c r="EN23" s="362">
        <v>143200.68</v>
      </c>
      <c r="EO23" s="362">
        <v>0</v>
      </c>
      <c r="EP23" s="362">
        <v>0</v>
      </c>
      <c r="EQ23" s="362">
        <v>0</v>
      </c>
      <c r="ER23" s="362">
        <v>15015</v>
      </c>
      <c r="ES23" s="362">
        <v>11304</v>
      </c>
      <c r="ET23" s="362">
        <v>6900</v>
      </c>
      <c r="EU23" s="362">
        <v>0</v>
      </c>
      <c r="EV23" s="362">
        <v>82219.91</v>
      </c>
      <c r="EW23" s="362"/>
      <c r="EX23" s="202"/>
      <c r="EY23" s="202"/>
      <c r="EZ23" s="229"/>
      <c r="FA23" s="368">
        <v>42195.16</v>
      </c>
      <c r="FB23" s="368">
        <v>1682.87</v>
      </c>
      <c r="FC23" s="368">
        <v>0</v>
      </c>
      <c r="FD23" s="368">
        <v>0</v>
      </c>
      <c r="FE23" s="368">
        <v>3134.78</v>
      </c>
      <c r="FF23" s="368">
        <v>2530.5500000000002</v>
      </c>
      <c r="FG23" s="368">
        <v>-54.05</v>
      </c>
      <c r="FH23" s="368">
        <v>-633.54</v>
      </c>
      <c r="FI23" s="368">
        <v>0</v>
      </c>
      <c r="FJ23" s="368">
        <v>0</v>
      </c>
      <c r="FK23" s="368">
        <v>29800.87</v>
      </c>
      <c r="FL23" s="368">
        <v>0</v>
      </c>
      <c r="FM23" s="368">
        <v>60766.66</v>
      </c>
      <c r="FN23" s="368">
        <v>38638.269999999997</v>
      </c>
      <c r="FO23" s="323">
        <v>643827.68999999994</v>
      </c>
      <c r="FP23" s="323">
        <v>78656.639999999999</v>
      </c>
      <c r="FQ23" s="323">
        <v>722484.33</v>
      </c>
      <c r="FR23" s="338">
        <v>64036.33</v>
      </c>
      <c r="FS23" s="362">
        <v>282.33999999999997</v>
      </c>
      <c r="FT23" s="377">
        <v>64318.67</v>
      </c>
      <c r="FU23" s="377">
        <v>689475.42</v>
      </c>
      <c r="FV23" s="377">
        <v>49946.61</v>
      </c>
      <c r="FW23" s="362">
        <v>739422.03</v>
      </c>
      <c r="FX23" s="362">
        <v>644067.25</v>
      </c>
      <c r="FY23" s="362">
        <v>50016.480000000003</v>
      </c>
      <c r="FZ23" s="362">
        <v>694083.73</v>
      </c>
      <c r="GA23" s="362">
        <v>109444.5</v>
      </c>
      <c r="GB23" s="362">
        <v>212.47</v>
      </c>
      <c r="GC23" s="362">
        <v>109656.97</v>
      </c>
      <c r="GD23" s="362">
        <v>60935.02</v>
      </c>
      <c r="GE23" s="362">
        <v>4674.17</v>
      </c>
      <c r="GF23" s="362">
        <v>65609.19</v>
      </c>
      <c r="GG23" s="202"/>
      <c r="GH23" s="416"/>
      <c r="GI23" s="414">
        <v>1947</v>
      </c>
      <c r="GJ23" s="419">
        <v>0</v>
      </c>
      <c r="GK23" s="396"/>
      <c r="GL23" s="202">
        <v>0</v>
      </c>
      <c r="GM23" s="202">
        <v>0</v>
      </c>
      <c r="GN23" s="323">
        <v>45647.73</v>
      </c>
      <c r="GO23" s="323">
        <v>-28710.03</v>
      </c>
      <c r="GP23" s="323">
        <v>16937.7</v>
      </c>
      <c r="GQ23" s="323">
        <v>106582.75</v>
      </c>
      <c r="GR23" s="323">
        <v>-24035.86</v>
      </c>
      <c r="GS23" s="323">
        <v>82546.89</v>
      </c>
    </row>
    <row r="24" spans="1:201" ht="12.75" customHeight="1" x14ac:dyDescent="0.2">
      <c r="A24" s="45" t="s">
        <v>40</v>
      </c>
      <c r="B24" s="123" t="s">
        <v>7</v>
      </c>
      <c r="C24" s="124" t="s">
        <v>41</v>
      </c>
      <c r="D24" s="388" t="s">
        <v>399</v>
      </c>
      <c r="E24" s="124" t="s">
        <v>12</v>
      </c>
      <c r="F24" s="11">
        <v>9</v>
      </c>
      <c r="G24" s="11">
        <v>4</v>
      </c>
      <c r="H24" s="11">
        <v>206</v>
      </c>
      <c r="I24" s="11">
        <v>0</v>
      </c>
      <c r="J24" s="11">
        <v>358</v>
      </c>
      <c r="K24" s="11">
        <v>485</v>
      </c>
      <c r="L24" s="84">
        <v>4</v>
      </c>
      <c r="M24" s="84">
        <v>1291</v>
      </c>
      <c r="N24" s="84">
        <v>1400</v>
      </c>
      <c r="O24" s="84">
        <v>1400</v>
      </c>
      <c r="P24" s="133">
        <v>1291</v>
      </c>
      <c r="Q24" s="133">
        <v>870.51</v>
      </c>
      <c r="R24" s="133">
        <v>1603.7</v>
      </c>
      <c r="S24" s="133">
        <f t="shared" si="23"/>
        <v>3765.21</v>
      </c>
      <c r="T24" s="134">
        <v>1291</v>
      </c>
      <c r="U24" s="130">
        <v>2.44</v>
      </c>
      <c r="V24" s="131">
        <v>1.9800000000000002E-2</v>
      </c>
      <c r="W24" s="131">
        <v>1.9800000000000002E-2</v>
      </c>
      <c r="X24" s="132">
        <v>1.32E-3</v>
      </c>
      <c r="Y24" s="131">
        <v>3.9699999999999999E-2</v>
      </c>
      <c r="Z24" s="29">
        <v>8969.11</v>
      </c>
      <c r="AA24" s="29">
        <v>1843.9</v>
      </c>
      <c r="AB24" s="9">
        <f t="shared" si="0"/>
        <v>10813.01</v>
      </c>
      <c r="AC24" s="9">
        <f t="shared" si="27"/>
        <v>68446.350000000006</v>
      </c>
      <c r="AD24" s="9">
        <v>1.51</v>
      </c>
      <c r="AE24" s="9">
        <v>5.27</v>
      </c>
      <c r="AF24" s="21">
        <f>2.44-AJ24</f>
        <v>2.3199999999999998</v>
      </c>
      <c r="AG24" s="18">
        <f>0.57-AQ24</f>
        <v>0.52</v>
      </c>
      <c r="AH24" s="9">
        <v>2.77</v>
      </c>
      <c r="AI24" s="43">
        <v>1344</v>
      </c>
      <c r="AJ24" s="21">
        <f t="shared" si="1"/>
        <v>0.12</v>
      </c>
      <c r="AK24" s="9">
        <v>1.59</v>
      </c>
      <c r="AL24" s="9">
        <v>0.14000000000000001</v>
      </c>
      <c r="AM24" s="9">
        <v>0.09</v>
      </c>
      <c r="AN24" s="13"/>
      <c r="AO24" s="13">
        <v>1223.5999999999999</v>
      </c>
      <c r="AP24" s="13">
        <f t="shared" si="24"/>
        <v>5.58</v>
      </c>
      <c r="AQ24" s="18">
        <f t="shared" si="2"/>
        <v>0.05</v>
      </c>
      <c r="AR24" s="9">
        <v>0.59</v>
      </c>
      <c r="AS24" s="9">
        <v>0.25</v>
      </c>
      <c r="AT24" s="9">
        <v>7.0000000000000007E-2</v>
      </c>
      <c r="AU24" s="9">
        <v>4.01</v>
      </c>
      <c r="AV24" s="9">
        <v>0.16</v>
      </c>
      <c r="AW24" s="9">
        <f>1.37+0.35+0.32</f>
        <v>2.04</v>
      </c>
      <c r="AX24" s="9">
        <f>1.91+0.48</f>
        <v>2.39</v>
      </c>
      <c r="AY24" s="126">
        <f t="shared" si="25"/>
        <v>23.89</v>
      </c>
      <c r="AZ24" s="13">
        <v>23.89</v>
      </c>
      <c r="BA24" s="13">
        <f t="shared" si="3"/>
        <v>0</v>
      </c>
      <c r="BB24" s="9">
        <f t="shared" si="4"/>
        <v>258322.81</v>
      </c>
      <c r="BC24" s="9">
        <v>23.89</v>
      </c>
      <c r="BD24" s="10">
        <v>44409</v>
      </c>
      <c r="BE24" s="9">
        <f t="shared" si="5"/>
        <v>16327.65</v>
      </c>
      <c r="BF24" s="9">
        <f t="shared" si="6"/>
        <v>56984.56</v>
      </c>
      <c r="BG24" s="9">
        <f t="shared" si="7"/>
        <v>25086.18</v>
      </c>
      <c r="BH24" s="9">
        <f t="shared" si="8"/>
        <v>5622.77</v>
      </c>
      <c r="BI24" s="9">
        <f t="shared" si="9"/>
        <v>29952.04</v>
      </c>
      <c r="BJ24" s="9">
        <f t="shared" si="10"/>
        <v>1297.56</v>
      </c>
      <c r="BK24" s="9">
        <f t="shared" si="11"/>
        <v>17192.689999999999</v>
      </c>
      <c r="BL24" s="9">
        <f t="shared" si="12"/>
        <v>1513.82</v>
      </c>
      <c r="BM24" s="9">
        <f t="shared" si="13"/>
        <v>973.17</v>
      </c>
      <c r="BN24" s="9">
        <f t="shared" si="14"/>
        <v>540.65</v>
      </c>
      <c r="BO24" s="9">
        <f t="shared" si="15"/>
        <v>6379.68</v>
      </c>
      <c r="BP24" s="9">
        <f t="shared" si="16"/>
        <v>2703.25</v>
      </c>
      <c r="BQ24" s="9">
        <f t="shared" si="17"/>
        <v>756.91</v>
      </c>
      <c r="BR24" s="9">
        <f t="shared" si="18"/>
        <v>43360.17</v>
      </c>
      <c r="BS24" s="9">
        <f t="shared" si="19"/>
        <v>1730.08</v>
      </c>
      <c r="BT24" s="9">
        <f t="shared" si="20"/>
        <v>22058.54</v>
      </c>
      <c r="BU24" s="9">
        <f t="shared" si="21"/>
        <v>25843.09</v>
      </c>
      <c r="BV24" s="17">
        <f t="shared" si="22"/>
        <v>258322.81</v>
      </c>
      <c r="BW24" s="17">
        <v>3.24</v>
      </c>
      <c r="BX24" s="17">
        <v>0.06</v>
      </c>
      <c r="BY24" s="17">
        <v>0.38</v>
      </c>
      <c r="BZ24" s="17">
        <v>7.0000000000000007E-2</v>
      </c>
      <c r="CA24" s="29">
        <v>6.33</v>
      </c>
      <c r="CB24" s="325"/>
      <c r="CC24" s="13">
        <v>528609.24</v>
      </c>
      <c r="CD24" s="13">
        <v>42796.98</v>
      </c>
      <c r="CE24" s="13">
        <v>32305.15</v>
      </c>
      <c r="CF24" s="13">
        <v>10141.450000000001</v>
      </c>
      <c r="CG24" s="13">
        <v>719.34</v>
      </c>
      <c r="CH24" s="13">
        <v>0</v>
      </c>
      <c r="CI24" s="13">
        <v>13621.53</v>
      </c>
      <c r="CJ24" s="13">
        <v>62892</v>
      </c>
      <c r="CK24" s="13">
        <v>4158.0600000000004</v>
      </c>
      <c r="CL24" s="13">
        <v>2564079.25</v>
      </c>
      <c r="CM24" s="13">
        <v>177562.4</v>
      </c>
      <c r="CN24" s="13">
        <v>206440.69</v>
      </c>
      <c r="CO24" s="13">
        <v>-0.11</v>
      </c>
      <c r="CP24" s="13">
        <v>3497.49</v>
      </c>
      <c r="CQ24" s="13">
        <v>0</v>
      </c>
      <c r="CR24" s="13">
        <v>2355020.75</v>
      </c>
      <c r="CS24" s="13">
        <v>196897.05</v>
      </c>
      <c r="CT24" s="13">
        <v>203622.64</v>
      </c>
      <c r="CU24" s="13">
        <v>337.36</v>
      </c>
      <c r="CV24" s="13">
        <v>3263.49</v>
      </c>
      <c r="CW24" s="13">
        <v>0</v>
      </c>
      <c r="CX24" s="13">
        <v>421843.15</v>
      </c>
      <c r="CY24" s="13">
        <v>30977.79</v>
      </c>
      <c r="CZ24" s="13">
        <v>-20170.21</v>
      </c>
      <c r="DA24" s="13">
        <v>-543.67999999999995</v>
      </c>
      <c r="DB24" s="13">
        <v>394.39</v>
      </c>
      <c r="DC24" s="13"/>
      <c r="DD24" s="315">
        <v>2951579.72</v>
      </c>
      <c r="DE24" s="317">
        <v>2759141.29</v>
      </c>
      <c r="DF24" s="317">
        <v>93.48</v>
      </c>
      <c r="DG24" s="318">
        <v>432501.44</v>
      </c>
      <c r="DH24" s="310">
        <v>94227</v>
      </c>
      <c r="DI24" s="310">
        <v>53889.48</v>
      </c>
      <c r="DJ24" s="312">
        <v>0</v>
      </c>
      <c r="DK24" s="362">
        <v>0</v>
      </c>
      <c r="DL24" s="362"/>
      <c r="DM24" s="362">
        <v>0</v>
      </c>
      <c r="DN24" s="362">
        <v>0</v>
      </c>
      <c r="DO24" s="362">
        <v>0</v>
      </c>
      <c r="DP24" s="362">
        <v>0</v>
      </c>
      <c r="DQ24" s="362">
        <v>0</v>
      </c>
      <c r="DR24" s="362"/>
      <c r="DS24" s="362">
        <v>0</v>
      </c>
      <c r="DT24" s="362"/>
      <c r="DU24" s="362">
        <v>0</v>
      </c>
      <c r="DV24" s="362">
        <v>0</v>
      </c>
      <c r="DW24" s="362">
        <v>199043.77</v>
      </c>
      <c r="DX24" s="362">
        <v>0</v>
      </c>
      <c r="DY24" s="362">
        <v>56000</v>
      </c>
      <c r="DZ24" s="375">
        <v>3800</v>
      </c>
      <c r="EA24" s="362">
        <v>1012908</v>
      </c>
      <c r="EB24" s="362">
        <v>15400</v>
      </c>
      <c r="EC24" s="362"/>
      <c r="ED24" s="362">
        <v>0</v>
      </c>
      <c r="EE24" s="362">
        <v>0</v>
      </c>
      <c r="EF24" s="362"/>
      <c r="EG24" s="362">
        <v>21390</v>
      </c>
      <c r="EH24" s="362">
        <v>2800</v>
      </c>
      <c r="EI24" s="362"/>
      <c r="EJ24" s="362">
        <v>0</v>
      </c>
      <c r="EK24" s="362"/>
      <c r="EL24" s="362">
        <v>0</v>
      </c>
      <c r="EM24" s="362">
        <v>6827.7</v>
      </c>
      <c r="EN24" s="362">
        <v>674012.94</v>
      </c>
      <c r="EO24" s="362">
        <v>0</v>
      </c>
      <c r="EP24" s="362">
        <v>0</v>
      </c>
      <c r="EQ24" s="362">
        <v>0</v>
      </c>
      <c r="ER24" s="362">
        <v>30030</v>
      </c>
      <c r="ES24" s="362">
        <v>11304</v>
      </c>
      <c r="ET24" s="362">
        <v>26010</v>
      </c>
      <c r="EU24" s="362">
        <v>0</v>
      </c>
      <c r="EV24" s="362">
        <v>30853.09</v>
      </c>
      <c r="EW24" s="362"/>
      <c r="EX24" s="202"/>
      <c r="EY24" s="202"/>
      <c r="EZ24" s="229"/>
      <c r="FA24" s="368">
        <v>246345.07</v>
      </c>
      <c r="FB24" s="368">
        <v>317525.02</v>
      </c>
      <c r="FC24" s="368">
        <v>0</v>
      </c>
      <c r="FD24" s="368">
        <v>0</v>
      </c>
      <c r="FE24" s="368">
        <v>0</v>
      </c>
      <c r="FF24" s="368">
        <v>4592.53</v>
      </c>
      <c r="FG24" s="368">
        <v>0</v>
      </c>
      <c r="FH24" s="368">
        <v>-2894.47</v>
      </c>
      <c r="FI24" s="368">
        <v>-3736.76</v>
      </c>
      <c r="FJ24" s="368">
        <v>0</v>
      </c>
      <c r="FK24" s="368">
        <v>149524.78</v>
      </c>
      <c r="FL24" s="368">
        <v>0</v>
      </c>
      <c r="FM24" s="368">
        <v>289059.93</v>
      </c>
      <c r="FN24" s="368">
        <v>183798.9</v>
      </c>
      <c r="FO24" s="323">
        <v>2711354.81</v>
      </c>
      <c r="FP24" s="323">
        <v>711356.17</v>
      </c>
      <c r="FQ24" s="323">
        <v>3422710.98</v>
      </c>
      <c r="FR24" s="338">
        <v>378137.23</v>
      </c>
      <c r="FS24" s="362">
        <v>55444.71</v>
      </c>
      <c r="FT24" s="377">
        <v>433581.94</v>
      </c>
      <c r="FU24" s="377">
        <v>3169202.02</v>
      </c>
      <c r="FV24" s="377">
        <v>477621.45</v>
      </c>
      <c r="FW24" s="362">
        <v>3646823.47</v>
      </c>
      <c r="FX24" s="362">
        <v>3001531.87</v>
      </c>
      <c r="FY24" s="362">
        <v>502227.65</v>
      </c>
      <c r="FZ24" s="362">
        <v>3503759.52</v>
      </c>
      <c r="GA24" s="362">
        <v>545807.38</v>
      </c>
      <c r="GB24" s="362">
        <v>30838.51</v>
      </c>
      <c r="GC24" s="362">
        <v>576645.89</v>
      </c>
      <c r="GD24" s="362">
        <v>263239.81</v>
      </c>
      <c r="GE24" s="362">
        <v>63182.39</v>
      </c>
      <c r="GF24" s="362">
        <v>326422.2</v>
      </c>
      <c r="GG24" s="202">
        <v>144144.45000000001</v>
      </c>
      <c r="GH24" s="416">
        <v>86</v>
      </c>
      <c r="GI24" s="414">
        <v>3954.1</v>
      </c>
      <c r="GJ24" s="419">
        <v>614572.16</v>
      </c>
      <c r="GK24" s="396">
        <v>144144.45000000001</v>
      </c>
      <c r="GL24" s="202">
        <v>123964.227</v>
      </c>
      <c r="GM24" s="202">
        <v>20180.223000000002</v>
      </c>
      <c r="GN24" s="323">
        <v>457847.21</v>
      </c>
      <c r="GO24" s="323">
        <v>-233734.72</v>
      </c>
      <c r="GP24" s="323">
        <v>224112.49</v>
      </c>
      <c r="GQ24" s="323">
        <v>721087.02</v>
      </c>
      <c r="GR24" s="323">
        <v>-170552.33</v>
      </c>
      <c r="GS24" s="323">
        <v>550534.68999999994</v>
      </c>
    </row>
    <row r="25" spans="1:201" ht="12.75" customHeight="1" x14ac:dyDescent="0.2">
      <c r="A25" s="45" t="s">
        <v>42</v>
      </c>
      <c r="B25" s="153" t="s">
        <v>7</v>
      </c>
      <c r="C25" s="149" t="s">
        <v>727</v>
      </c>
      <c r="D25" s="389" t="s">
        <v>607</v>
      </c>
      <c r="E25" s="149" t="s">
        <v>9</v>
      </c>
      <c r="F25" s="11">
        <v>18</v>
      </c>
      <c r="G25" s="11">
        <v>1</v>
      </c>
      <c r="H25" s="11">
        <v>84</v>
      </c>
      <c r="I25" s="11">
        <v>84</v>
      </c>
      <c r="J25" s="11">
        <v>198</v>
      </c>
      <c r="K25" s="11">
        <v>231</v>
      </c>
      <c r="L25" s="83">
        <v>2</v>
      </c>
      <c r="M25" s="84">
        <v>667</v>
      </c>
      <c r="N25" s="84">
        <v>543</v>
      </c>
      <c r="O25" s="84">
        <v>543</v>
      </c>
      <c r="P25" s="133">
        <v>966.5</v>
      </c>
      <c r="Q25" s="133">
        <v>0</v>
      </c>
      <c r="R25" s="135">
        <v>632.70000000000005</v>
      </c>
      <c r="S25" s="133">
        <f t="shared" si="23"/>
        <v>1599.2</v>
      </c>
      <c r="T25" s="134">
        <v>1078.7</v>
      </c>
      <c r="U25" s="130">
        <v>3.88</v>
      </c>
      <c r="V25" s="131">
        <v>1.44E-2</v>
      </c>
      <c r="W25" s="131">
        <v>1.44E-2</v>
      </c>
      <c r="X25" s="132">
        <v>9.6000000000000002E-4</v>
      </c>
      <c r="Y25" s="131">
        <v>2.8799999999999999E-2</v>
      </c>
      <c r="Z25" s="29">
        <v>6032.3</v>
      </c>
      <c r="AA25" s="29">
        <v>287</v>
      </c>
      <c r="AB25" s="9">
        <f t="shared" si="0"/>
        <v>6319.3</v>
      </c>
      <c r="AC25" s="9">
        <f t="shared" si="27"/>
        <v>40001.17</v>
      </c>
      <c r="AD25" s="9">
        <v>2.65</v>
      </c>
      <c r="AE25" s="9">
        <v>5.08</v>
      </c>
      <c r="AF25" s="21">
        <f>2.59-AJ25</f>
        <v>2.5099999999999998</v>
      </c>
      <c r="AG25" s="18">
        <f>0.59-AQ25</f>
        <v>0.56999999999999995</v>
      </c>
      <c r="AH25" s="9">
        <v>2.4700000000000002</v>
      </c>
      <c r="AI25" s="13">
        <v>521</v>
      </c>
      <c r="AJ25" s="21">
        <f t="shared" si="1"/>
        <v>0.08</v>
      </c>
      <c r="AK25" s="9">
        <v>1.36</v>
      </c>
      <c r="AL25" s="9">
        <v>0.12</v>
      </c>
      <c r="AM25" s="9">
        <v>0.18</v>
      </c>
      <c r="AN25" s="13"/>
      <c r="AO25" s="13">
        <v>331</v>
      </c>
      <c r="AP25" s="13">
        <f t="shared" si="24"/>
        <v>5.58</v>
      </c>
      <c r="AQ25" s="18">
        <f t="shared" si="2"/>
        <v>0.02</v>
      </c>
      <c r="AR25" s="9">
        <v>0</v>
      </c>
      <c r="AS25" s="9">
        <v>0.22</v>
      </c>
      <c r="AT25" s="9">
        <v>7.0000000000000007E-2</v>
      </c>
      <c r="AU25" s="9">
        <v>3.36</v>
      </c>
      <c r="AV25" s="9">
        <v>0.16</v>
      </c>
      <c r="AW25" s="9">
        <f>1.36+0.3+0.2</f>
        <v>1.86</v>
      </c>
      <c r="AX25" s="9">
        <f>1.89+0.4</f>
        <v>2.29</v>
      </c>
      <c r="AY25" s="151">
        <f t="shared" si="25"/>
        <v>23</v>
      </c>
      <c r="AZ25" s="13">
        <v>23</v>
      </c>
      <c r="BA25" s="13">
        <f t="shared" si="3"/>
        <v>0</v>
      </c>
      <c r="BB25" s="9">
        <f t="shared" si="4"/>
        <v>145343.9</v>
      </c>
      <c r="BC25" s="9">
        <v>23</v>
      </c>
      <c r="BD25" s="10">
        <v>44440</v>
      </c>
      <c r="BE25" s="9">
        <f t="shared" si="5"/>
        <v>16746.150000000001</v>
      </c>
      <c r="BF25" s="9">
        <f t="shared" si="6"/>
        <v>32102.04</v>
      </c>
      <c r="BG25" s="9">
        <f t="shared" si="7"/>
        <v>15861.44</v>
      </c>
      <c r="BH25" s="9">
        <f t="shared" si="8"/>
        <v>3602</v>
      </c>
      <c r="BI25" s="9">
        <f t="shared" si="9"/>
        <v>15608.67</v>
      </c>
      <c r="BJ25" s="9">
        <f t="shared" si="10"/>
        <v>505.54</v>
      </c>
      <c r="BK25" s="9">
        <f t="shared" si="11"/>
        <v>8594.25</v>
      </c>
      <c r="BL25" s="9">
        <f t="shared" si="12"/>
        <v>758.32</v>
      </c>
      <c r="BM25" s="9">
        <f t="shared" si="13"/>
        <v>1137.47</v>
      </c>
      <c r="BN25" s="9">
        <f t="shared" si="14"/>
        <v>126.39</v>
      </c>
      <c r="BO25" s="9">
        <f t="shared" si="15"/>
        <v>0</v>
      </c>
      <c r="BP25" s="9">
        <f t="shared" si="16"/>
        <v>1390.25</v>
      </c>
      <c r="BQ25" s="9">
        <f t="shared" si="17"/>
        <v>442.35</v>
      </c>
      <c r="BR25" s="9">
        <f t="shared" si="18"/>
        <v>21232.85</v>
      </c>
      <c r="BS25" s="9">
        <f t="shared" si="19"/>
        <v>1011.09</v>
      </c>
      <c r="BT25" s="9">
        <f t="shared" si="20"/>
        <v>11753.9</v>
      </c>
      <c r="BU25" s="9">
        <f t="shared" si="21"/>
        <v>14471.2</v>
      </c>
      <c r="BV25" s="17">
        <f t="shared" si="22"/>
        <v>145343.91</v>
      </c>
      <c r="BW25" s="17">
        <v>2.7</v>
      </c>
      <c r="BX25" s="17">
        <v>7.0000000000000007E-2</v>
      </c>
      <c r="BY25" s="17">
        <v>0.43</v>
      </c>
      <c r="BZ25" s="17">
        <v>7.0000000000000007E-2</v>
      </c>
      <c r="CA25" s="29">
        <v>6.33</v>
      </c>
      <c r="CB25" s="325"/>
      <c r="CC25" s="13">
        <v>79212</v>
      </c>
      <c r="CD25" s="13">
        <v>13816.19</v>
      </c>
      <c r="CE25" s="13">
        <v>10297.56</v>
      </c>
      <c r="CF25" s="13">
        <v>792.13</v>
      </c>
      <c r="CG25" s="13">
        <v>298.48</v>
      </c>
      <c r="CH25" s="13">
        <v>0</v>
      </c>
      <c r="CI25" s="13">
        <v>10142.870000000001</v>
      </c>
      <c r="CJ25" s="13">
        <v>21888</v>
      </c>
      <c r="CK25" s="13">
        <v>2430.34</v>
      </c>
      <c r="CL25" s="13">
        <v>1664914.8</v>
      </c>
      <c r="CM25" s="13">
        <v>290394.86</v>
      </c>
      <c r="CN25" s="13">
        <v>226332.06</v>
      </c>
      <c r="CO25" s="13">
        <v>6756.72</v>
      </c>
      <c r="CP25" s="13">
        <v>6273.81</v>
      </c>
      <c r="CQ25" s="13">
        <v>0</v>
      </c>
      <c r="CR25" s="13">
        <v>1617594.43</v>
      </c>
      <c r="CS25" s="13">
        <v>264299.65999999997</v>
      </c>
      <c r="CT25" s="13">
        <v>215624.98</v>
      </c>
      <c r="CU25" s="13">
        <v>10272.83</v>
      </c>
      <c r="CV25" s="13">
        <v>8036.59</v>
      </c>
      <c r="CW25" s="13">
        <v>0</v>
      </c>
      <c r="CX25" s="13">
        <v>274221.15000000002</v>
      </c>
      <c r="CY25" s="13">
        <v>55944.75</v>
      </c>
      <c r="CZ25" s="13">
        <v>41522.379999999997</v>
      </c>
      <c r="DA25" s="13">
        <v>1540.93</v>
      </c>
      <c r="DB25" s="13">
        <v>1290.8900000000001</v>
      </c>
      <c r="DC25" s="13"/>
      <c r="DD25" s="315">
        <v>2194672.25</v>
      </c>
      <c r="DE25" s="317">
        <v>2115828.4900000002</v>
      </c>
      <c r="DF25" s="317">
        <v>96.41</v>
      </c>
      <c r="DG25" s="318">
        <v>374520.1</v>
      </c>
      <c r="DH25" s="310">
        <v>63384</v>
      </c>
      <c r="DI25" s="310">
        <v>36249.96</v>
      </c>
      <c r="DJ25" s="312">
        <v>586210.07999999996</v>
      </c>
      <c r="DK25" s="362">
        <v>35800</v>
      </c>
      <c r="DL25" s="362"/>
      <c r="DM25" s="362">
        <v>0</v>
      </c>
      <c r="DN25" s="362">
        <v>0</v>
      </c>
      <c r="DO25" s="362">
        <v>0</v>
      </c>
      <c r="DP25" s="362">
        <v>8283.9</v>
      </c>
      <c r="DQ25" s="362">
        <v>0</v>
      </c>
      <c r="DR25" s="362"/>
      <c r="DS25" s="362">
        <v>0</v>
      </c>
      <c r="DT25" s="362"/>
      <c r="DU25" s="362">
        <v>0</v>
      </c>
      <c r="DV25" s="362">
        <v>0</v>
      </c>
      <c r="DW25" s="362">
        <v>0</v>
      </c>
      <c r="DX25" s="362">
        <v>103200</v>
      </c>
      <c r="DY25" s="362">
        <v>9000</v>
      </c>
      <c r="DZ25" s="375">
        <v>0</v>
      </c>
      <c r="EA25" s="362">
        <v>0</v>
      </c>
      <c r="EB25" s="362">
        <v>0</v>
      </c>
      <c r="EC25" s="362"/>
      <c r="ED25" s="362">
        <v>0</v>
      </c>
      <c r="EE25" s="362">
        <v>0</v>
      </c>
      <c r="EF25" s="362"/>
      <c r="EG25" s="362">
        <v>0</v>
      </c>
      <c r="EH25" s="362">
        <v>0</v>
      </c>
      <c r="EI25" s="362"/>
      <c r="EJ25" s="362">
        <v>0</v>
      </c>
      <c r="EK25" s="362"/>
      <c r="EL25" s="362">
        <v>0</v>
      </c>
      <c r="EM25" s="362">
        <v>1846.98</v>
      </c>
      <c r="EN25" s="362">
        <v>479342.28</v>
      </c>
      <c r="EO25" s="362">
        <v>0</v>
      </c>
      <c r="EP25" s="362">
        <v>0</v>
      </c>
      <c r="EQ25" s="362">
        <v>0</v>
      </c>
      <c r="ER25" s="362">
        <v>16380</v>
      </c>
      <c r="ES25" s="362">
        <v>0</v>
      </c>
      <c r="ET25" s="362">
        <v>0</v>
      </c>
      <c r="EU25" s="362">
        <v>0</v>
      </c>
      <c r="EV25" s="362">
        <v>723087.33</v>
      </c>
      <c r="EW25" s="362"/>
      <c r="EX25" s="202"/>
      <c r="EY25" s="202"/>
      <c r="EZ25" s="229"/>
      <c r="FA25" s="368">
        <v>342730.68</v>
      </c>
      <c r="FB25" s="368">
        <v>306259.21000000002</v>
      </c>
      <c r="FC25" s="368">
        <v>0</v>
      </c>
      <c r="FD25" s="368">
        <v>0</v>
      </c>
      <c r="FE25" s="368">
        <v>5040.82</v>
      </c>
      <c r="FF25" s="368">
        <v>5496.65</v>
      </c>
      <c r="FG25" s="368">
        <v>-297.11</v>
      </c>
      <c r="FH25" s="368">
        <v>-1772.41</v>
      </c>
      <c r="FI25" s="368">
        <v>0</v>
      </c>
      <c r="FJ25" s="368">
        <v>0</v>
      </c>
      <c r="FK25" s="368">
        <v>15918.34</v>
      </c>
      <c r="FL25" s="368">
        <v>0</v>
      </c>
      <c r="FM25" s="368">
        <v>168946.87</v>
      </c>
      <c r="FN25" s="368">
        <v>107424.31</v>
      </c>
      <c r="FO25" s="323">
        <v>2339155.71</v>
      </c>
      <c r="FP25" s="323">
        <v>673376.18</v>
      </c>
      <c r="FQ25" s="323">
        <v>3012531.89</v>
      </c>
      <c r="FR25" s="338">
        <v>174173.73</v>
      </c>
      <c r="FS25" s="362">
        <v>55732.69</v>
      </c>
      <c r="FT25" s="377">
        <v>229906.42</v>
      </c>
      <c r="FU25" s="377">
        <v>1776157.67</v>
      </c>
      <c r="FV25" s="377">
        <v>557392.15</v>
      </c>
      <c r="FW25" s="362">
        <v>2333549.8199999998</v>
      </c>
      <c r="FX25" s="362">
        <v>1649776.23</v>
      </c>
      <c r="FY25" s="362">
        <v>504509.89</v>
      </c>
      <c r="FZ25" s="362">
        <v>2154286.12</v>
      </c>
      <c r="GA25" s="362">
        <v>300555.17</v>
      </c>
      <c r="GB25" s="362">
        <v>108614.95</v>
      </c>
      <c r="GC25" s="362">
        <v>409170.12</v>
      </c>
      <c r="GD25" s="362">
        <v>42352.08</v>
      </c>
      <c r="GE25" s="362">
        <v>-12121.48</v>
      </c>
      <c r="GF25" s="362">
        <v>30230.6</v>
      </c>
      <c r="GG25" s="202">
        <v>34650.019999999997</v>
      </c>
      <c r="GH25" s="416">
        <v>76</v>
      </c>
      <c r="GI25" s="414">
        <v>2019.55</v>
      </c>
      <c r="GJ25" s="419">
        <v>104416.36</v>
      </c>
      <c r="GK25" s="396">
        <v>34650.019999999997</v>
      </c>
      <c r="GL25" s="202">
        <v>26334.015200000002</v>
      </c>
      <c r="GM25" s="202">
        <v>8316.0047999999897</v>
      </c>
      <c r="GN25" s="323">
        <v>-562998.04</v>
      </c>
      <c r="GO25" s="323">
        <v>-115984.03</v>
      </c>
      <c r="GP25" s="323">
        <v>-678982.07</v>
      </c>
      <c r="GQ25" s="323">
        <v>-520645.96</v>
      </c>
      <c r="GR25" s="323">
        <v>-128105.51</v>
      </c>
      <c r="GS25" s="323">
        <v>-648751.47</v>
      </c>
    </row>
    <row r="26" spans="1:201" ht="12.75" customHeight="1" x14ac:dyDescent="0.2">
      <c r="A26" s="45" t="s">
        <v>45</v>
      </c>
      <c r="B26" s="128" t="s">
        <v>733</v>
      </c>
      <c r="C26" s="124" t="s">
        <v>8</v>
      </c>
      <c r="D26" s="389" t="s">
        <v>611</v>
      </c>
      <c r="E26" s="124"/>
      <c r="F26" s="11">
        <v>10</v>
      </c>
      <c r="G26" s="11">
        <v>6</v>
      </c>
      <c r="H26" s="11">
        <v>280</v>
      </c>
      <c r="I26" s="11">
        <v>264</v>
      </c>
      <c r="J26" s="11">
        <v>813</v>
      </c>
      <c r="K26" s="11">
        <v>662</v>
      </c>
      <c r="L26" s="84">
        <v>6</v>
      </c>
      <c r="M26" s="84">
        <v>1459</v>
      </c>
      <c r="N26" s="84">
        <v>1773</v>
      </c>
      <c r="O26" s="84">
        <v>1711</v>
      </c>
      <c r="P26" s="133">
        <f>1221.6+3059.8</f>
        <v>4281.3999999999996</v>
      </c>
      <c r="Q26" s="133">
        <v>2206</v>
      </c>
      <c r="R26" s="133">
        <v>3228.3</v>
      </c>
      <c r="S26" s="133">
        <f t="shared" si="23"/>
        <v>9715.7000000000007</v>
      </c>
      <c r="T26" s="134">
        <v>4281.3999999999996</v>
      </c>
      <c r="U26" s="130">
        <v>2.74</v>
      </c>
      <c r="V26" s="131">
        <v>1.1299999999999999E-2</v>
      </c>
      <c r="W26" s="131">
        <v>1.1299999999999999E-2</v>
      </c>
      <c r="X26" s="132">
        <v>7.5000000000000002E-4</v>
      </c>
      <c r="Y26" s="131">
        <v>2.2499999999999999E-2</v>
      </c>
      <c r="Z26" s="29">
        <v>22784.37</v>
      </c>
      <c r="AA26" s="29">
        <v>484.9</v>
      </c>
      <c r="AB26" s="9">
        <f t="shared" si="0"/>
        <v>23269.27</v>
      </c>
      <c r="AC26" s="9">
        <f t="shared" si="27"/>
        <v>147294.48000000001</v>
      </c>
      <c r="AD26" s="9">
        <v>1.77</v>
      </c>
      <c r="AE26" s="9">
        <v>4.24</v>
      </c>
      <c r="AF26" s="21">
        <f>2.41-AJ26</f>
        <v>2.2799999999999998</v>
      </c>
      <c r="AG26" s="18">
        <f>0.59-AQ26</f>
        <v>0.54</v>
      </c>
      <c r="AH26" s="9">
        <v>2.4700000000000002</v>
      </c>
      <c r="AI26" s="43">
        <v>2970</v>
      </c>
      <c r="AJ26" s="21">
        <f t="shared" si="1"/>
        <v>0.13</v>
      </c>
      <c r="AK26" s="9">
        <v>1.86</v>
      </c>
      <c r="AL26" s="9">
        <v>0.16</v>
      </c>
      <c r="AM26" s="9">
        <v>0.02</v>
      </c>
      <c r="AN26" s="13"/>
      <c r="AO26" s="13">
        <f>1473.6+245.6+614+307</f>
        <v>2640.2</v>
      </c>
      <c r="AP26" s="13">
        <f t="shared" si="24"/>
        <v>5.58</v>
      </c>
      <c r="AQ26" s="18">
        <f t="shared" si="2"/>
        <v>0.05</v>
      </c>
      <c r="AR26" s="9">
        <v>0.54</v>
      </c>
      <c r="AS26" s="9">
        <v>0.06</v>
      </c>
      <c r="AT26" s="9">
        <v>7.0000000000000007E-2</v>
      </c>
      <c r="AU26" s="9">
        <v>4.75</v>
      </c>
      <c r="AV26" s="9">
        <v>0.15</v>
      </c>
      <c r="AW26" s="9">
        <f>1.28+0.42+0.26</f>
        <v>1.96</v>
      </c>
      <c r="AX26" s="9">
        <f>1.78+0.58</f>
        <v>2.36</v>
      </c>
      <c r="AY26" s="126">
        <f t="shared" si="25"/>
        <v>23.41</v>
      </c>
      <c r="AZ26" s="13">
        <v>23.41</v>
      </c>
      <c r="BA26" s="13">
        <f t="shared" si="3"/>
        <v>0</v>
      </c>
      <c r="BB26" s="9">
        <f t="shared" si="4"/>
        <v>544733.61</v>
      </c>
      <c r="BC26" s="9">
        <v>23.41</v>
      </c>
      <c r="BD26" s="10">
        <v>44440</v>
      </c>
      <c r="BE26" s="9">
        <f t="shared" si="5"/>
        <v>41186.61</v>
      </c>
      <c r="BF26" s="9">
        <f t="shared" si="6"/>
        <v>98661.7</v>
      </c>
      <c r="BG26" s="9">
        <f t="shared" si="7"/>
        <v>53053.94</v>
      </c>
      <c r="BH26" s="9">
        <f t="shared" si="8"/>
        <v>12565.41</v>
      </c>
      <c r="BI26" s="9">
        <f t="shared" si="9"/>
        <v>57475.1</v>
      </c>
      <c r="BJ26" s="9">
        <f t="shared" si="10"/>
        <v>3025.01</v>
      </c>
      <c r="BK26" s="9">
        <f t="shared" si="11"/>
        <v>43280.84</v>
      </c>
      <c r="BL26" s="9">
        <f t="shared" si="12"/>
        <v>3723.08</v>
      </c>
      <c r="BM26" s="9">
        <f t="shared" si="13"/>
        <v>465.39</v>
      </c>
      <c r="BN26" s="9">
        <f t="shared" si="14"/>
        <v>1163.46</v>
      </c>
      <c r="BO26" s="9">
        <f t="shared" si="15"/>
        <v>12565.41</v>
      </c>
      <c r="BP26" s="9">
        <f t="shared" si="16"/>
        <v>1396.16</v>
      </c>
      <c r="BQ26" s="9">
        <f t="shared" si="17"/>
        <v>1628.85</v>
      </c>
      <c r="BR26" s="9">
        <f t="shared" si="18"/>
        <v>110529.03</v>
      </c>
      <c r="BS26" s="9">
        <f t="shared" si="19"/>
        <v>3490.39</v>
      </c>
      <c r="BT26" s="9">
        <f t="shared" si="20"/>
        <v>45607.77</v>
      </c>
      <c r="BU26" s="9">
        <f t="shared" si="21"/>
        <v>54915.48</v>
      </c>
      <c r="BV26" s="17">
        <f t="shared" si="22"/>
        <v>544733.63</v>
      </c>
      <c r="BW26" s="17">
        <v>4.12</v>
      </c>
      <c r="BX26" s="17">
        <v>0.06</v>
      </c>
      <c r="BY26" s="17">
        <v>0.37</v>
      </c>
      <c r="BZ26" s="17">
        <v>0.06</v>
      </c>
      <c r="CA26" s="29">
        <v>6.33</v>
      </c>
      <c r="CB26" s="325"/>
      <c r="CC26" s="13">
        <v>136218</v>
      </c>
      <c r="CD26" s="13">
        <v>15085.31</v>
      </c>
      <c r="CE26" s="13">
        <v>15191.19</v>
      </c>
      <c r="CF26" s="13">
        <v>1402.18</v>
      </c>
      <c r="CG26" s="13">
        <v>350.61</v>
      </c>
      <c r="CH26" s="13">
        <v>6696</v>
      </c>
      <c r="CI26" s="13">
        <v>26641.31</v>
      </c>
      <c r="CJ26" s="13">
        <v>142968</v>
      </c>
      <c r="CK26" s="13">
        <v>8948.36</v>
      </c>
      <c r="CL26" s="13">
        <v>6398985.4900000002</v>
      </c>
      <c r="CM26" s="13">
        <v>708808.3</v>
      </c>
      <c r="CN26" s="13">
        <v>773956.11</v>
      </c>
      <c r="CO26" s="13">
        <v>14810.24</v>
      </c>
      <c r="CP26" s="13">
        <v>16406.52</v>
      </c>
      <c r="CQ26" s="13">
        <v>0</v>
      </c>
      <c r="CR26" s="13">
        <v>6128008.3499999996</v>
      </c>
      <c r="CS26" s="13">
        <v>650526.01</v>
      </c>
      <c r="CT26" s="13">
        <v>715208.5</v>
      </c>
      <c r="CU26" s="13">
        <v>20258.5</v>
      </c>
      <c r="CV26" s="13">
        <v>15416.29</v>
      </c>
      <c r="CW26" s="13">
        <v>0</v>
      </c>
      <c r="CX26" s="13">
        <v>863653.96</v>
      </c>
      <c r="CY26" s="13">
        <v>113588.87</v>
      </c>
      <c r="CZ26" s="13">
        <v>73782.84</v>
      </c>
      <c r="DA26" s="13">
        <v>3397.61</v>
      </c>
      <c r="DB26" s="13">
        <v>2170.6799999999998</v>
      </c>
      <c r="DC26" s="13"/>
      <c r="DD26" s="315">
        <v>7912966.6600000001</v>
      </c>
      <c r="DE26" s="317">
        <v>7529417.6500000004</v>
      </c>
      <c r="DF26" s="317">
        <v>95.15</v>
      </c>
      <c r="DG26" s="318">
        <v>1056593.96</v>
      </c>
      <c r="DH26" s="310">
        <v>239359.92</v>
      </c>
      <c r="DI26" s="310">
        <v>136892.51999999999</v>
      </c>
      <c r="DJ26" s="312">
        <v>0</v>
      </c>
      <c r="DK26" s="362">
        <v>0</v>
      </c>
      <c r="DL26" s="362"/>
      <c r="DM26" s="362">
        <v>0</v>
      </c>
      <c r="DN26" s="362">
        <v>0</v>
      </c>
      <c r="DO26" s="362">
        <v>0</v>
      </c>
      <c r="DP26" s="362">
        <v>0</v>
      </c>
      <c r="DQ26" s="362">
        <v>0</v>
      </c>
      <c r="DR26" s="362"/>
      <c r="DS26" s="362">
        <v>0</v>
      </c>
      <c r="DT26" s="362"/>
      <c r="DU26" s="362">
        <v>0</v>
      </c>
      <c r="DV26" s="362">
        <v>0</v>
      </c>
      <c r="DW26" s="362">
        <v>513614.19</v>
      </c>
      <c r="DX26" s="362">
        <v>0</v>
      </c>
      <c r="DY26" s="362">
        <v>45000</v>
      </c>
      <c r="DZ26" s="375">
        <v>0</v>
      </c>
      <c r="EA26" s="362">
        <v>1928172</v>
      </c>
      <c r="EB26" s="362">
        <v>20500</v>
      </c>
      <c r="EC26" s="362"/>
      <c r="ED26" s="362">
        <v>0</v>
      </c>
      <c r="EE26" s="362">
        <v>0</v>
      </c>
      <c r="EF26" s="362"/>
      <c r="EG26" s="362">
        <v>47262</v>
      </c>
      <c r="EH26" s="362">
        <v>0</v>
      </c>
      <c r="EI26" s="362"/>
      <c r="EJ26" s="362">
        <v>0</v>
      </c>
      <c r="EK26" s="362"/>
      <c r="EL26" s="362">
        <v>1587750</v>
      </c>
      <c r="EM26" s="362">
        <v>14732.32</v>
      </c>
      <c r="EN26" s="362">
        <v>0</v>
      </c>
      <c r="EO26" s="362">
        <v>3348</v>
      </c>
      <c r="EP26" s="362">
        <v>0</v>
      </c>
      <c r="EQ26" s="362">
        <v>0</v>
      </c>
      <c r="ER26" s="362">
        <v>16380</v>
      </c>
      <c r="ES26" s="362">
        <v>0</v>
      </c>
      <c r="ET26" s="362">
        <v>47643</v>
      </c>
      <c r="EU26" s="362">
        <v>0</v>
      </c>
      <c r="EV26" s="362">
        <v>242613.54</v>
      </c>
      <c r="EW26" s="362"/>
      <c r="EX26" s="202"/>
      <c r="EY26" s="202"/>
      <c r="EZ26" s="229"/>
      <c r="FA26" s="368">
        <v>762914.62</v>
      </c>
      <c r="FB26" s="368">
        <v>790434.83</v>
      </c>
      <c r="FC26" s="368">
        <v>0</v>
      </c>
      <c r="FD26" s="368">
        <v>0</v>
      </c>
      <c r="FE26" s="368">
        <v>23450.82</v>
      </c>
      <c r="FF26" s="368">
        <v>17592.52</v>
      </c>
      <c r="FG26" s="368">
        <v>-576.79999999999995</v>
      </c>
      <c r="FH26" s="368">
        <v>-6238.13</v>
      </c>
      <c r="FI26" s="368">
        <v>0</v>
      </c>
      <c r="FJ26" s="368">
        <v>0</v>
      </c>
      <c r="FK26" s="368">
        <v>134908.72</v>
      </c>
      <c r="FL26" s="368">
        <v>0</v>
      </c>
      <c r="FM26" s="368">
        <v>622082.84</v>
      </c>
      <c r="FN26" s="368">
        <v>395548.63</v>
      </c>
      <c r="FO26" s="323">
        <v>5860898.96</v>
      </c>
      <c r="FP26" s="323">
        <v>1722486.58</v>
      </c>
      <c r="FQ26" s="323">
        <v>7583385.54</v>
      </c>
      <c r="FR26" s="338">
        <v>582434.37</v>
      </c>
      <c r="FS26" s="362">
        <v>55842.86</v>
      </c>
      <c r="FT26" s="377">
        <v>638277.23</v>
      </c>
      <c r="FU26" s="377">
        <v>6704812.7999999998</v>
      </c>
      <c r="FV26" s="377">
        <v>1561654.82</v>
      </c>
      <c r="FW26" s="362">
        <v>8266467.6200000001</v>
      </c>
      <c r="FX26" s="362">
        <v>6392926.9000000004</v>
      </c>
      <c r="FY26" s="362">
        <v>1415908.21</v>
      </c>
      <c r="FZ26" s="362">
        <v>7808835.1100000003</v>
      </c>
      <c r="GA26" s="362">
        <v>894320.27</v>
      </c>
      <c r="GB26" s="362">
        <v>201589.47</v>
      </c>
      <c r="GC26" s="362">
        <v>1095909.74</v>
      </c>
      <c r="GD26" s="362">
        <v>562468.92000000004</v>
      </c>
      <c r="GE26" s="362">
        <v>96868.41</v>
      </c>
      <c r="GF26" s="362">
        <v>659337.32999999996</v>
      </c>
      <c r="GG26" s="202">
        <v>39315.78</v>
      </c>
      <c r="GH26" s="416">
        <v>78</v>
      </c>
      <c r="GI26" s="414">
        <v>14537.1</v>
      </c>
      <c r="GJ26" s="419">
        <v>174943.29</v>
      </c>
      <c r="GK26" s="396">
        <v>39315.78</v>
      </c>
      <c r="GL26" s="202">
        <v>30666.308400000002</v>
      </c>
      <c r="GM26" s="202">
        <v>8649.4716000000008</v>
      </c>
      <c r="GN26" s="323">
        <v>843913.84</v>
      </c>
      <c r="GO26" s="323">
        <v>-160831.76</v>
      </c>
      <c r="GP26" s="323">
        <v>683082.08</v>
      </c>
      <c r="GQ26" s="323">
        <v>1406382.76</v>
      </c>
      <c r="GR26" s="323">
        <v>-63963.35</v>
      </c>
      <c r="GS26" s="323">
        <v>1342419.41</v>
      </c>
    </row>
    <row r="27" spans="1:201" ht="12.75" customHeight="1" x14ac:dyDescent="0.2">
      <c r="A27" s="45" t="s">
        <v>47</v>
      </c>
      <c r="B27" s="153" t="s">
        <v>733</v>
      </c>
      <c r="C27" s="149" t="s">
        <v>44</v>
      </c>
      <c r="D27" s="389" t="s">
        <v>609</v>
      </c>
      <c r="E27" s="149"/>
      <c r="F27" s="11">
        <v>9</v>
      </c>
      <c r="G27" s="11">
        <v>8</v>
      </c>
      <c r="H27" s="11">
        <v>270</v>
      </c>
      <c r="I27" s="11">
        <v>275</v>
      </c>
      <c r="J27" s="11">
        <v>653</v>
      </c>
      <c r="K27" s="11">
        <v>740</v>
      </c>
      <c r="L27" s="11">
        <v>8</v>
      </c>
      <c r="M27" s="84">
        <v>1757</v>
      </c>
      <c r="N27" s="84">
        <v>2436</v>
      </c>
      <c r="O27" s="84">
        <v>0</v>
      </c>
      <c r="P27" s="135">
        <v>1939.8</v>
      </c>
      <c r="Q27" s="133">
        <v>1865.6</v>
      </c>
      <c r="R27" s="133">
        <v>0</v>
      </c>
      <c r="S27" s="133">
        <f t="shared" si="23"/>
        <v>3805.4</v>
      </c>
      <c r="T27" s="134">
        <v>1939.8</v>
      </c>
      <c r="U27" s="130">
        <v>2.44</v>
      </c>
      <c r="V27" s="91">
        <v>1.9800000000000002E-2</v>
      </c>
      <c r="W27" s="91">
        <v>1.9800000000000002E-2</v>
      </c>
      <c r="X27" s="132">
        <v>1.32E-3</v>
      </c>
      <c r="Y27" s="91">
        <v>3.9699999999999999E-2</v>
      </c>
      <c r="Z27" s="29">
        <v>15347.89</v>
      </c>
      <c r="AA27" s="29"/>
      <c r="AB27" s="9">
        <f t="shared" si="0"/>
        <v>15347.89</v>
      </c>
      <c r="AC27" s="9">
        <f t="shared" si="27"/>
        <v>97152.14</v>
      </c>
      <c r="AD27" s="9">
        <v>2.4300000000000002</v>
      </c>
      <c r="AE27" s="9">
        <v>4.03</v>
      </c>
      <c r="AF27" s="21">
        <f>2.47-AJ27</f>
        <v>2.3199999999999998</v>
      </c>
      <c r="AG27" s="18">
        <f>0.62-AQ27</f>
        <v>0.56999999999999995</v>
      </c>
      <c r="AH27" s="9">
        <v>2.78</v>
      </c>
      <c r="AI27" s="13">
        <v>2339</v>
      </c>
      <c r="AJ27" s="21">
        <f t="shared" si="1"/>
        <v>0.15</v>
      </c>
      <c r="AK27" s="9">
        <v>2.2400000000000002</v>
      </c>
      <c r="AL27" s="9">
        <v>0.19</v>
      </c>
      <c r="AM27" s="9">
        <v>0.06</v>
      </c>
      <c r="AN27" s="13"/>
      <c r="AO27" s="13">
        <v>1689.6</v>
      </c>
      <c r="AP27" s="13">
        <f t="shared" si="24"/>
        <v>5.58</v>
      </c>
      <c r="AQ27" s="18">
        <f t="shared" si="2"/>
        <v>0.05</v>
      </c>
      <c r="AR27" s="9">
        <v>0.55000000000000004</v>
      </c>
      <c r="AS27" s="9">
        <v>0.18</v>
      </c>
      <c r="AT27" s="9">
        <v>7.0000000000000007E-2</v>
      </c>
      <c r="AU27" s="9">
        <v>4.82</v>
      </c>
      <c r="AV27" s="9">
        <v>0.17</v>
      </c>
      <c r="AW27" s="9">
        <f>1.4+0.43+0.24</f>
        <v>2.0699999999999998</v>
      </c>
      <c r="AX27" s="9">
        <f>1.96+0.57</f>
        <v>2.5299999999999998</v>
      </c>
      <c r="AY27" s="151">
        <f t="shared" si="25"/>
        <v>25.21</v>
      </c>
      <c r="AZ27" s="13">
        <v>25.21</v>
      </c>
      <c r="BA27" s="13">
        <f t="shared" si="3"/>
        <v>0</v>
      </c>
      <c r="BB27" s="9">
        <f t="shared" si="4"/>
        <v>386920.31</v>
      </c>
      <c r="BC27" s="9">
        <v>25.21</v>
      </c>
      <c r="BD27" s="10">
        <v>44440</v>
      </c>
      <c r="BE27" s="9">
        <f t="shared" si="5"/>
        <v>37295.370000000003</v>
      </c>
      <c r="BF27" s="9">
        <f t="shared" si="6"/>
        <v>61852</v>
      </c>
      <c r="BG27" s="9">
        <f t="shared" si="7"/>
        <v>35607.1</v>
      </c>
      <c r="BH27" s="9">
        <f t="shared" si="8"/>
        <v>8748.2999999999993</v>
      </c>
      <c r="BI27" s="9">
        <f t="shared" si="9"/>
        <v>42667.13</v>
      </c>
      <c r="BJ27" s="9">
        <f t="shared" si="10"/>
        <v>2302.1799999999998</v>
      </c>
      <c r="BK27" s="9">
        <f t="shared" si="11"/>
        <v>34379.269999999997</v>
      </c>
      <c r="BL27" s="9">
        <f t="shared" si="12"/>
        <v>2916.1</v>
      </c>
      <c r="BM27" s="9">
        <f t="shared" si="13"/>
        <v>920.87</v>
      </c>
      <c r="BN27" s="9">
        <f t="shared" si="14"/>
        <v>767.39</v>
      </c>
      <c r="BO27" s="9">
        <f t="shared" si="15"/>
        <v>8441.34</v>
      </c>
      <c r="BP27" s="9">
        <f t="shared" si="16"/>
        <v>2762.62</v>
      </c>
      <c r="BQ27" s="9">
        <f t="shared" si="17"/>
        <v>1074.3499999999999</v>
      </c>
      <c r="BR27" s="9">
        <f t="shared" si="18"/>
        <v>73976.83</v>
      </c>
      <c r="BS27" s="9">
        <f t="shared" si="19"/>
        <v>2609.14</v>
      </c>
      <c r="BT27" s="9">
        <f t="shared" si="20"/>
        <v>31770.13</v>
      </c>
      <c r="BU27" s="9">
        <f t="shared" si="21"/>
        <v>38830.160000000003</v>
      </c>
      <c r="BV27" s="17">
        <f t="shared" si="22"/>
        <v>386920.28</v>
      </c>
      <c r="BW27" s="17">
        <v>2.4300000000000002</v>
      </c>
      <c r="BX27" s="17">
        <v>7.0000000000000007E-2</v>
      </c>
      <c r="BY27" s="17">
        <v>0.45</v>
      </c>
      <c r="BZ27" s="17">
        <v>0.08</v>
      </c>
      <c r="CA27" s="29">
        <v>6.33</v>
      </c>
      <c r="CB27" s="325"/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3720</v>
      </c>
      <c r="CI27" s="13">
        <v>14138.51</v>
      </c>
      <c r="CJ27" s="13">
        <v>112872</v>
      </c>
      <c r="CK27" s="13">
        <v>5903.13</v>
      </c>
      <c r="CL27" s="13">
        <v>4641509.24</v>
      </c>
      <c r="CM27" s="13">
        <v>535767.31000000006</v>
      </c>
      <c r="CN27" s="13">
        <v>407359.76</v>
      </c>
      <c r="CO27" s="13">
        <v>10746.57</v>
      </c>
      <c r="CP27" s="13">
        <v>12739.5</v>
      </c>
      <c r="CQ27" s="13">
        <v>0</v>
      </c>
      <c r="CR27" s="13">
        <v>4453025.99</v>
      </c>
      <c r="CS27" s="13">
        <v>474506.83</v>
      </c>
      <c r="CT27" s="13">
        <v>344196.51</v>
      </c>
      <c r="CU27" s="13">
        <v>12755.93</v>
      </c>
      <c r="CV27" s="13">
        <v>11597.27</v>
      </c>
      <c r="CW27" s="13">
        <v>0</v>
      </c>
      <c r="CX27" s="13">
        <v>621429.81000000006</v>
      </c>
      <c r="CY27" s="13">
        <v>83294.259999999995</v>
      </c>
      <c r="CZ27" s="13">
        <v>89707.9</v>
      </c>
      <c r="DA27" s="13">
        <v>2527.48</v>
      </c>
      <c r="DB27" s="13">
        <v>1748.23</v>
      </c>
      <c r="DC27" s="13"/>
      <c r="DD27" s="315">
        <v>5608122.3799999999</v>
      </c>
      <c r="DE27" s="317">
        <v>5296082.53</v>
      </c>
      <c r="DF27" s="317">
        <v>94.44</v>
      </c>
      <c r="DG27" s="318">
        <v>798707.68</v>
      </c>
      <c r="DH27" s="310">
        <v>161086.07999999999</v>
      </c>
      <c r="DI27" s="310">
        <v>92126.88</v>
      </c>
      <c r="DJ27" s="312">
        <v>1197658.26</v>
      </c>
      <c r="DK27" s="362">
        <v>34100</v>
      </c>
      <c r="DL27" s="362"/>
      <c r="DM27" s="362">
        <v>0</v>
      </c>
      <c r="DN27" s="362">
        <v>0</v>
      </c>
      <c r="DO27" s="362">
        <v>0</v>
      </c>
      <c r="DP27" s="362">
        <v>37190.1</v>
      </c>
      <c r="DQ27" s="362">
        <v>2996</v>
      </c>
      <c r="DR27" s="362"/>
      <c r="DS27" s="362">
        <v>0</v>
      </c>
      <c r="DT27" s="362"/>
      <c r="DU27" s="362">
        <v>3038</v>
      </c>
      <c r="DV27" s="362">
        <v>0</v>
      </c>
      <c r="DW27" s="362">
        <v>0</v>
      </c>
      <c r="DX27" s="362">
        <v>411967.74</v>
      </c>
      <c r="DY27" s="362">
        <v>112000</v>
      </c>
      <c r="DZ27" s="375">
        <v>0</v>
      </c>
      <c r="EA27" s="362">
        <v>0</v>
      </c>
      <c r="EB27" s="362">
        <v>0</v>
      </c>
      <c r="EC27" s="362"/>
      <c r="ED27" s="362">
        <v>0</v>
      </c>
      <c r="EE27" s="362">
        <v>0</v>
      </c>
      <c r="EF27" s="362"/>
      <c r="EG27" s="362">
        <v>0</v>
      </c>
      <c r="EH27" s="362">
        <v>0</v>
      </c>
      <c r="EI27" s="362"/>
      <c r="EJ27" s="362">
        <v>0</v>
      </c>
      <c r="EK27" s="362"/>
      <c r="EL27" s="362">
        <v>0</v>
      </c>
      <c r="EM27" s="362">
        <v>9427.98</v>
      </c>
      <c r="EN27" s="362">
        <v>1215380.7</v>
      </c>
      <c r="EO27" s="362">
        <v>1860</v>
      </c>
      <c r="EP27" s="362">
        <v>0</v>
      </c>
      <c r="EQ27" s="362">
        <v>0</v>
      </c>
      <c r="ER27" s="362">
        <v>31395</v>
      </c>
      <c r="ES27" s="362">
        <v>0</v>
      </c>
      <c r="ET27" s="362">
        <v>34574</v>
      </c>
      <c r="EU27" s="362">
        <v>0</v>
      </c>
      <c r="EV27" s="362">
        <v>572025.72</v>
      </c>
      <c r="EW27" s="362"/>
      <c r="EX27" s="202"/>
      <c r="EY27" s="202"/>
      <c r="EZ27" s="229"/>
      <c r="FA27" s="368">
        <v>559831.94999999995</v>
      </c>
      <c r="FB27" s="368">
        <v>414988.7</v>
      </c>
      <c r="FC27" s="368">
        <v>0</v>
      </c>
      <c r="FD27" s="368">
        <v>0</v>
      </c>
      <c r="FE27" s="368">
        <v>16601.43</v>
      </c>
      <c r="FF27" s="368">
        <v>13289.78</v>
      </c>
      <c r="FG27" s="368">
        <v>0</v>
      </c>
      <c r="FH27" s="368">
        <v>-3922.02</v>
      </c>
      <c r="FI27" s="368">
        <v>0</v>
      </c>
      <c r="FJ27" s="368">
        <v>0</v>
      </c>
      <c r="FK27" s="368">
        <v>250058.08</v>
      </c>
      <c r="FL27" s="368">
        <v>0</v>
      </c>
      <c r="FM27" s="368">
        <v>410256.95</v>
      </c>
      <c r="FN27" s="368">
        <v>260864.41</v>
      </c>
      <c r="FO27" s="323">
        <v>4587947.82</v>
      </c>
      <c r="FP27" s="323">
        <v>1250847.92</v>
      </c>
      <c r="FQ27" s="323">
        <v>5838795.7400000002</v>
      </c>
      <c r="FR27" s="338">
        <v>420712.47</v>
      </c>
      <c r="FS27" s="362">
        <v>23858.94</v>
      </c>
      <c r="FT27" s="377">
        <v>444571.41</v>
      </c>
      <c r="FU27" s="377">
        <v>4768519.75</v>
      </c>
      <c r="FV27" s="377">
        <v>976236.27</v>
      </c>
      <c r="FW27" s="362">
        <v>5744756.0199999996</v>
      </c>
      <c r="FX27" s="362">
        <v>4567802.41</v>
      </c>
      <c r="FY27" s="362">
        <v>822817.34</v>
      </c>
      <c r="FZ27" s="362">
        <v>5390619.75</v>
      </c>
      <c r="GA27" s="362">
        <v>621429.81000000006</v>
      </c>
      <c r="GB27" s="362">
        <v>177277.87</v>
      </c>
      <c r="GC27" s="362">
        <v>798707.68</v>
      </c>
      <c r="GD27" s="362">
        <v>321139.78999999998</v>
      </c>
      <c r="GE27" s="362">
        <v>17579.009999999998</v>
      </c>
      <c r="GF27" s="362">
        <v>338718.8</v>
      </c>
      <c r="GG27" s="202"/>
      <c r="GH27" s="416">
        <v>0</v>
      </c>
      <c r="GI27" s="414">
        <v>6904.65</v>
      </c>
      <c r="GJ27" s="419">
        <v>3720</v>
      </c>
      <c r="GK27" s="352"/>
      <c r="GL27" s="202">
        <v>0</v>
      </c>
      <c r="GM27" s="202">
        <v>0</v>
      </c>
      <c r="GN27" s="323">
        <v>180571.93</v>
      </c>
      <c r="GO27" s="323">
        <v>-274611.65000000002</v>
      </c>
      <c r="GP27" s="323">
        <v>-94039.72</v>
      </c>
      <c r="GQ27" s="323">
        <v>501711.72</v>
      </c>
      <c r="GR27" s="323">
        <v>-257032.64</v>
      </c>
      <c r="GS27" s="323">
        <v>244679.08</v>
      </c>
    </row>
    <row r="28" spans="1:201" ht="12.75" customHeight="1" x14ac:dyDescent="0.2">
      <c r="A28" s="45" t="s">
        <v>49</v>
      </c>
      <c r="B28" s="153" t="s">
        <v>733</v>
      </c>
      <c r="C28" s="149" t="s">
        <v>46</v>
      </c>
      <c r="D28" s="389" t="s">
        <v>610</v>
      </c>
      <c r="E28" s="149"/>
      <c r="F28" s="11">
        <v>9</v>
      </c>
      <c r="G28" s="11">
        <v>9</v>
      </c>
      <c r="H28" s="11">
        <v>306</v>
      </c>
      <c r="I28" s="11">
        <v>311</v>
      </c>
      <c r="J28" s="11">
        <v>707</v>
      </c>
      <c r="K28" s="11">
        <v>810</v>
      </c>
      <c r="L28" s="83">
        <v>9</v>
      </c>
      <c r="M28" s="84">
        <v>2031</v>
      </c>
      <c r="N28" s="84">
        <v>2727</v>
      </c>
      <c r="O28" s="84">
        <v>0</v>
      </c>
      <c r="P28" s="133">
        <f>1034.5+997.2</f>
        <v>2031.7</v>
      </c>
      <c r="Q28" s="133">
        <f>2096.8+21.6+23.4+160.2+23.4+155.2</f>
        <v>2480.6</v>
      </c>
      <c r="R28" s="133">
        <v>0</v>
      </c>
      <c r="S28" s="133">
        <f t="shared" si="23"/>
        <v>4512.3</v>
      </c>
      <c r="T28" s="134">
        <v>2031</v>
      </c>
      <c r="U28" s="130">
        <v>2.44</v>
      </c>
      <c r="V28" s="131">
        <v>1.9800000000000002E-2</v>
      </c>
      <c r="W28" s="131">
        <v>1.9800000000000002E-2</v>
      </c>
      <c r="X28" s="132">
        <v>1.32E-3</v>
      </c>
      <c r="Y28" s="131">
        <v>3.9699999999999999E-2</v>
      </c>
      <c r="Z28" s="29">
        <v>17338.009999999998</v>
      </c>
      <c r="AA28" s="29"/>
      <c r="AB28" s="9">
        <f t="shared" si="0"/>
        <v>17338.009999999998</v>
      </c>
      <c r="AC28" s="9">
        <f t="shared" si="27"/>
        <v>109749.6</v>
      </c>
      <c r="AD28" s="9">
        <v>2.48</v>
      </c>
      <c r="AE28" s="9">
        <v>3.69</v>
      </c>
      <c r="AF28" s="21">
        <f>2.47-AJ28</f>
        <v>2.3199999999999998</v>
      </c>
      <c r="AG28" s="18">
        <f>0.62-AQ28</f>
        <v>0.56999999999999995</v>
      </c>
      <c r="AH28" s="9">
        <v>2.78</v>
      </c>
      <c r="AI28" s="13">
        <v>2618</v>
      </c>
      <c r="AJ28" s="21">
        <f t="shared" si="1"/>
        <v>0.15</v>
      </c>
      <c r="AK28" s="9">
        <v>2.2400000000000002</v>
      </c>
      <c r="AL28" s="9">
        <v>0.24</v>
      </c>
      <c r="AM28" s="9">
        <v>0.05</v>
      </c>
      <c r="AN28" s="13"/>
      <c r="AO28" s="13">
        <v>1900.8</v>
      </c>
      <c r="AP28" s="13">
        <f t="shared" si="24"/>
        <v>5.58</v>
      </c>
      <c r="AQ28" s="18">
        <f t="shared" si="2"/>
        <v>0.05</v>
      </c>
      <c r="AR28" s="9">
        <v>0.55000000000000004</v>
      </c>
      <c r="AS28" s="9">
        <v>0.16</v>
      </c>
      <c r="AT28" s="9">
        <v>7.0000000000000007E-2</v>
      </c>
      <c r="AU28" s="9">
        <v>4.82</v>
      </c>
      <c r="AV28" s="9">
        <v>0.16</v>
      </c>
      <c r="AW28" s="9">
        <f>1.38+0.43+0.24</f>
        <v>2.0499999999999998</v>
      </c>
      <c r="AX28" s="9">
        <f>1.93+0.57</f>
        <v>2.5</v>
      </c>
      <c r="AY28" s="151">
        <f t="shared" si="25"/>
        <v>24.88</v>
      </c>
      <c r="AZ28" s="13">
        <v>24.88</v>
      </c>
      <c r="BA28" s="13">
        <f t="shared" si="3"/>
        <v>0</v>
      </c>
      <c r="BB28" s="9">
        <f t="shared" si="4"/>
        <v>431369.69</v>
      </c>
      <c r="BC28" s="9">
        <v>24.88</v>
      </c>
      <c r="BD28" s="10">
        <v>44440</v>
      </c>
      <c r="BE28" s="9">
        <f t="shared" si="5"/>
        <v>42998.26</v>
      </c>
      <c r="BF28" s="9">
        <f t="shared" si="6"/>
        <v>63977.26</v>
      </c>
      <c r="BG28" s="9">
        <f t="shared" si="7"/>
        <v>40224.18</v>
      </c>
      <c r="BH28" s="9">
        <f t="shared" si="8"/>
        <v>9882.67</v>
      </c>
      <c r="BI28" s="9">
        <f t="shared" si="9"/>
        <v>48199.67</v>
      </c>
      <c r="BJ28" s="9">
        <f t="shared" si="10"/>
        <v>2600.6999999999998</v>
      </c>
      <c r="BK28" s="9">
        <f t="shared" si="11"/>
        <v>38837.14</v>
      </c>
      <c r="BL28" s="9">
        <f t="shared" si="12"/>
        <v>4161.12</v>
      </c>
      <c r="BM28" s="9">
        <f t="shared" si="13"/>
        <v>866.9</v>
      </c>
      <c r="BN28" s="9">
        <f t="shared" si="14"/>
        <v>866.9</v>
      </c>
      <c r="BO28" s="9">
        <f t="shared" si="15"/>
        <v>9535.91</v>
      </c>
      <c r="BP28" s="9">
        <f t="shared" si="16"/>
        <v>2774.08</v>
      </c>
      <c r="BQ28" s="9">
        <f t="shared" si="17"/>
        <v>1213.6600000000001</v>
      </c>
      <c r="BR28" s="9">
        <f t="shared" si="18"/>
        <v>83569.210000000006</v>
      </c>
      <c r="BS28" s="9">
        <f t="shared" si="19"/>
        <v>2774.08</v>
      </c>
      <c r="BT28" s="9">
        <f t="shared" si="20"/>
        <v>35542.92</v>
      </c>
      <c r="BU28" s="9">
        <f t="shared" si="21"/>
        <v>43345.03</v>
      </c>
      <c r="BV28" s="17">
        <f t="shared" si="22"/>
        <v>431369.69</v>
      </c>
      <c r="BW28" s="17">
        <v>2.5299999999999998</v>
      </c>
      <c r="BX28" s="17">
        <v>0.08</v>
      </c>
      <c r="BY28" s="17">
        <v>0.49</v>
      </c>
      <c r="BZ28" s="17">
        <v>0.08</v>
      </c>
      <c r="CA28" s="29">
        <v>6.33</v>
      </c>
      <c r="CB28" s="325"/>
      <c r="CC28" s="13">
        <v>0</v>
      </c>
      <c r="CD28" s="13">
        <v>0</v>
      </c>
      <c r="CE28" s="13">
        <v>0</v>
      </c>
      <c r="CF28" s="13">
        <v>0</v>
      </c>
      <c r="CG28" s="13">
        <v>0</v>
      </c>
      <c r="CH28" s="13">
        <v>7440</v>
      </c>
      <c r="CI28" s="13">
        <v>21263.74</v>
      </c>
      <c r="CJ28" s="13">
        <v>116472</v>
      </c>
      <c r="CK28" s="13">
        <v>6666.49</v>
      </c>
      <c r="CL28" s="13">
        <v>5152705.82</v>
      </c>
      <c r="CM28" s="13">
        <v>686684.88</v>
      </c>
      <c r="CN28" s="13">
        <v>222998.77</v>
      </c>
      <c r="CO28" s="13">
        <v>-2620.0300000000002</v>
      </c>
      <c r="CP28" s="13">
        <v>5357.26</v>
      </c>
      <c r="CQ28" s="13">
        <v>0</v>
      </c>
      <c r="CR28" s="13">
        <v>4853511.68</v>
      </c>
      <c r="CS28" s="13">
        <v>583545.11</v>
      </c>
      <c r="CT28" s="13">
        <v>181131.33</v>
      </c>
      <c r="CU28" s="13">
        <v>1712.06</v>
      </c>
      <c r="CV28" s="13">
        <v>6270.52</v>
      </c>
      <c r="CW28" s="13">
        <v>0</v>
      </c>
      <c r="CX28" s="13">
        <v>832562.61</v>
      </c>
      <c r="CY28" s="13">
        <v>131045.94</v>
      </c>
      <c r="CZ28" s="13">
        <v>75709.649999999994</v>
      </c>
      <c r="DA28" s="13">
        <v>-3393.55</v>
      </c>
      <c r="DB28" s="13">
        <v>-378.71</v>
      </c>
      <c r="DC28" s="13"/>
      <c r="DD28" s="315">
        <v>6065126.7000000002</v>
      </c>
      <c r="DE28" s="317">
        <v>5626170.7000000002</v>
      </c>
      <c r="DF28" s="317">
        <v>92.76</v>
      </c>
      <c r="DG28" s="318">
        <v>1035545.94</v>
      </c>
      <c r="DH28" s="310">
        <v>182100.12</v>
      </c>
      <c r="DI28" s="310">
        <v>104145</v>
      </c>
      <c r="DJ28" s="312">
        <v>1304008.2</v>
      </c>
      <c r="DK28" s="362">
        <v>30700</v>
      </c>
      <c r="DL28" s="362"/>
      <c r="DM28" s="362">
        <v>0</v>
      </c>
      <c r="DN28" s="362">
        <v>0</v>
      </c>
      <c r="DO28" s="362">
        <v>0</v>
      </c>
      <c r="DP28" s="362">
        <v>41626.199999999997</v>
      </c>
      <c r="DQ28" s="362">
        <v>3370.5</v>
      </c>
      <c r="DR28" s="362"/>
      <c r="DS28" s="362">
        <v>0</v>
      </c>
      <c r="DT28" s="362"/>
      <c r="DU28" s="362">
        <v>17688</v>
      </c>
      <c r="DV28" s="362">
        <v>0</v>
      </c>
      <c r="DW28" s="362">
        <v>0</v>
      </c>
      <c r="DX28" s="362">
        <v>446615.44</v>
      </c>
      <c r="DY28" s="362">
        <v>41000</v>
      </c>
      <c r="DZ28" s="375">
        <v>0</v>
      </c>
      <c r="EA28" s="362">
        <v>0</v>
      </c>
      <c r="EB28" s="362">
        <v>0</v>
      </c>
      <c r="EC28" s="362"/>
      <c r="ED28" s="362">
        <v>0</v>
      </c>
      <c r="EE28" s="362">
        <v>0</v>
      </c>
      <c r="EF28" s="362"/>
      <c r="EG28" s="362">
        <v>0</v>
      </c>
      <c r="EH28" s="362">
        <v>0</v>
      </c>
      <c r="EI28" s="362"/>
      <c r="EJ28" s="362">
        <v>0</v>
      </c>
      <c r="EK28" s="362"/>
      <c r="EL28" s="362">
        <v>0</v>
      </c>
      <c r="EM28" s="362">
        <v>10606.47</v>
      </c>
      <c r="EN28" s="362">
        <v>1363225.8</v>
      </c>
      <c r="EO28" s="362">
        <v>3720</v>
      </c>
      <c r="EP28" s="362">
        <v>0</v>
      </c>
      <c r="EQ28" s="362">
        <v>0</v>
      </c>
      <c r="ER28" s="362">
        <v>31395</v>
      </c>
      <c r="ES28" s="362">
        <v>7536</v>
      </c>
      <c r="ET28" s="362">
        <v>39015</v>
      </c>
      <c r="EU28" s="362">
        <v>0</v>
      </c>
      <c r="EV28" s="362">
        <v>588451.76</v>
      </c>
      <c r="EW28" s="362"/>
      <c r="EX28" s="202"/>
      <c r="EY28" s="202"/>
      <c r="EZ28" s="229"/>
      <c r="FA28" s="368">
        <v>813713.57</v>
      </c>
      <c r="FB28" s="368">
        <v>285854.78999999998</v>
      </c>
      <c r="FC28" s="368">
        <v>0</v>
      </c>
      <c r="FD28" s="368">
        <v>0</v>
      </c>
      <c r="FE28" s="368">
        <v>1243.57</v>
      </c>
      <c r="FF28" s="368">
        <v>7910.26</v>
      </c>
      <c r="FG28" s="368">
        <v>-2567.2800000000002</v>
      </c>
      <c r="FH28" s="368">
        <v>-5980.77</v>
      </c>
      <c r="FI28" s="368">
        <v>0</v>
      </c>
      <c r="FJ28" s="368">
        <v>0</v>
      </c>
      <c r="FK28" s="368">
        <v>262307.46000000002</v>
      </c>
      <c r="FL28" s="368">
        <v>0</v>
      </c>
      <c r="FM28" s="368">
        <v>463461.15</v>
      </c>
      <c r="FN28" s="368">
        <v>294693.07</v>
      </c>
      <c r="FO28" s="323">
        <v>4973357.71</v>
      </c>
      <c r="FP28" s="323">
        <v>1362481.6</v>
      </c>
      <c r="FQ28" s="323">
        <v>6335839.3099999996</v>
      </c>
      <c r="FR28" s="338">
        <v>489656.55</v>
      </c>
      <c r="FS28" s="362">
        <v>64358.73</v>
      </c>
      <c r="FT28" s="377">
        <v>554015.28</v>
      </c>
      <c r="FU28" s="377">
        <v>5290441.5599999996</v>
      </c>
      <c r="FV28" s="377">
        <v>926527.37</v>
      </c>
      <c r="FW28" s="362">
        <v>6216968.9299999997</v>
      </c>
      <c r="FX28" s="362">
        <v>4947535.5</v>
      </c>
      <c r="FY28" s="362">
        <v>787902.77</v>
      </c>
      <c r="FZ28" s="362">
        <v>5735438.2699999996</v>
      </c>
      <c r="GA28" s="362">
        <v>832562.61</v>
      </c>
      <c r="GB28" s="362">
        <v>202983.33</v>
      </c>
      <c r="GC28" s="362">
        <v>1035545.94</v>
      </c>
      <c r="GD28" s="362">
        <v>252455.73</v>
      </c>
      <c r="GE28" s="362">
        <v>94800.98</v>
      </c>
      <c r="GF28" s="362">
        <v>347256.71</v>
      </c>
      <c r="GG28" s="202"/>
      <c r="GH28" s="416">
        <v>0</v>
      </c>
      <c r="GI28" s="414">
        <v>6904.65</v>
      </c>
      <c r="GJ28" s="419">
        <v>7440</v>
      </c>
      <c r="GK28" s="336"/>
      <c r="GL28" s="202">
        <v>0</v>
      </c>
      <c r="GM28" s="202">
        <v>0</v>
      </c>
      <c r="GN28" s="323">
        <v>317083.84999999998</v>
      </c>
      <c r="GO28" s="323">
        <v>-435954.23</v>
      </c>
      <c r="GP28" s="323">
        <v>-118870.38</v>
      </c>
      <c r="GQ28" s="323">
        <v>569539.57999999996</v>
      </c>
      <c r="GR28" s="323">
        <v>-341153.25</v>
      </c>
      <c r="GS28" s="323">
        <v>228386.33</v>
      </c>
    </row>
    <row r="29" spans="1:201" ht="12.75" customHeight="1" x14ac:dyDescent="0.2">
      <c r="A29" s="45" t="s">
        <v>51</v>
      </c>
      <c r="B29" s="153" t="s">
        <v>733</v>
      </c>
      <c r="C29" s="149" t="s">
        <v>48</v>
      </c>
      <c r="D29" s="389" t="s">
        <v>608</v>
      </c>
      <c r="E29" s="149"/>
      <c r="F29" s="11">
        <v>9</v>
      </c>
      <c r="G29" s="11">
        <v>10</v>
      </c>
      <c r="H29" s="11">
        <v>338</v>
      </c>
      <c r="I29" s="11">
        <v>346</v>
      </c>
      <c r="J29" s="11">
        <v>790</v>
      </c>
      <c r="K29" s="11">
        <v>914</v>
      </c>
      <c r="L29" s="11">
        <v>10</v>
      </c>
      <c r="M29" s="84">
        <v>2133</v>
      </c>
      <c r="N29" s="84">
        <v>3148</v>
      </c>
      <c r="O29" s="84">
        <v>0</v>
      </c>
      <c r="P29" s="135">
        <v>2360.9</v>
      </c>
      <c r="Q29" s="133">
        <v>2453.6</v>
      </c>
      <c r="R29" s="133">
        <v>0</v>
      </c>
      <c r="S29" s="133">
        <f t="shared" si="23"/>
        <v>4814.5</v>
      </c>
      <c r="T29" s="134">
        <v>2360.9</v>
      </c>
      <c r="U29" s="130">
        <v>2.44</v>
      </c>
      <c r="V29" s="91">
        <v>1.9800000000000002E-2</v>
      </c>
      <c r="W29" s="91">
        <v>1.9800000000000002E-2</v>
      </c>
      <c r="X29" s="132">
        <v>1.32E-3</v>
      </c>
      <c r="Y29" s="91">
        <v>3.9699999999999999E-2</v>
      </c>
      <c r="Z29" s="29">
        <v>19153.310000000001</v>
      </c>
      <c r="AA29" s="29">
        <v>44.9</v>
      </c>
      <c r="AB29" s="13">
        <f t="shared" si="0"/>
        <v>19198.21</v>
      </c>
      <c r="AC29" s="9">
        <f t="shared" si="27"/>
        <v>121524.67</v>
      </c>
      <c r="AD29" s="9">
        <v>2.38</v>
      </c>
      <c r="AE29" s="9">
        <v>4.0599999999999996</v>
      </c>
      <c r="AF29" s="21">
        <f>2.45-AJ29</f>
        <v>2.29</v>
      </c>
      <c r="AG29" s="18">
        <f>0.61-AQ29</f>
        <v>0.56000000000000005</v>
      </c>
      <c r="AH29" s="9">
        <v>2.78</v>
      </c>
      <c r="AI29" s="13">
        <v>3022</v>
      </c>
      <c r="AJ29" s="21">
        <f t="shared" si="1"/>
        <v>0.16</v>
      </c>
      <c r="AK29" s="9">
        <v>2.2400000000000002</v>
      </c>
      <c r="AL29" s="9">
        <v>0.19</v>
      </c>
      <c r="AM29" s="9">
        <v>0.05</v>
      </c>
      <c r="AN29" s="13"/>
      <c r="AO29" s="13">
        <v>2112</v>
      </c>
      <c r="AP29" s="13">
        <f t="shared" si="24"/>
        <v>5.58</v>
      </c>
      <c r="AQ29" s="18">
        <f t="shared" si="2"/>
        <v>0.05</v>
      </c>
      <c r="AR29" s="9">
        <v>0.55000000000000004</v>
      </c>
      <c r="AS29" s="9">
        <v>0.14000000000000001</v>
      </c>
      <c r="AT29" s="9">
        <v>7.0000000000000007E-2</v>
      </c>
      <c r="AU29" s="9">
        <v>4.82</v>
      </c>
      <c r="AV29" s="9">
        <v>0.16</v>
      </c>
      <c r="AW29" s="9">
        <f>1.39+0.43+0.24</f>
        <v>2.06</v>
      </c>
      <c r="AX29" s="9">
        <f>1.95+0.57</f>
        <v>2.52</v>
      </c>
      <c r="AY29" s="151">
        <f t="shared" si="25"/>
        <v>25.08</v>
      </c>
      <c r="AZ29" s="13">
        <v>25.08</v>
      </c>
      <c r="BA29" s="13">
        <f t="shared" si="3"/>
        <v>0</v>
      </c>
      <c r="BB29" s="9">
        <f t="shared" si="4"/>
        <v>481491.11</v>
      </c>
      <c r="BC29" s="9">
        <v>25.08</v>
      </c>
      <c r="BD29" s="10">
        <v>44440</v>
      </c>
      <c r="BE29" s="9">
        <f t="shared" si="5"/>
        <v>45691.74</v>
      </c>
      <c r="BF29" s="9">
        <f t="shared" si="6"/>
        <v>77944.73</v>
      </c>
      <c r="BG29" s="9">
        <f t="shared" si="7"/>
        <v>43963.9</v>
      </c>
      <c r="BH29" s="9">
        <f t="shared" si="8"/>
        <v>10751</v>
      </c>
      <c r="BI29" s="9">
        <f t="shared" si="9"/>
        <v>53371.02</v>
      </c>
      <c r="BJ29" s="9">
        <f t="shared" si="10"/>
        <v>3071.71</v>
      </c>
      <c r="BK29" s="9">
        <f t="shared" si="11"/>
        <v>43003.99</v>
      </c>
      <c r="BL29" s="9">
        <f t="shared" si="12"/>
        <v>3647.66</v>
      </c>
      <c r="BM29" s="9">
        <f t="shared" si="13"/>
        <v>959.91</v>
      </c>
      <c r="BN29" s="9">
        <f t="shared" si="14"/>
        <v>959.91</v>
      </c>
      <c r="BO29" s="9">
        <f t="shared" si="15"/>
        <v>10559.02</v>
      </c>
      <c r="BP29" s="9">
        <f t="shared" si="16"/>
        <v>2687.75</v>
      </c>
      <c r="BQ29" s="9">
        <f t="shared" si="17"/>
        <v>1343.87</v>
      </c>
      <c r="BR29" s="9">
        <f t="shared" si="18"/>
        <v>92535.37</v>
      </c>
      <c r="BS29" s="9">
        <f t="shared" si="19"/>
        <v>3071.71</v>
      </c>
      <c r="BT29" s="9">
        <f t="shared" si="20"/>
        <v>39548.31</v>
      </c>
      <c r="BU29" s="9">
        <f t="shared" si="21"/>
        <v>48379.49</v>
      </c>
      <c r="BV29" s="17">
        <f t="shared" si="22"/>
        <v>481491.09</v>
      </c>
      <c r="BW29" s="17">
        <v>2.46</v>
      </c>
      <c r="BX29" s="17">
        <v>7.0000000000000007E-2</v>
      </c>
      <c r="BY29" s="17">
        <v>0.44</v>
      </c>
      <c r="BZ29" s="17">
        <v>0.08</v>
      </c>
      <c r="CA29" s="29">
        <v>6.33</v>
      </c>
      <c r="CB29" s="325"/>
      <c r="CC29" s="13">
        <v>15189.58</v>
      </c>
      <c r="CD29" s="13">
        <v>1582.32</v>
      </c>
      <c r="CE29" s="13">
        <v>0</v>
      </c>
      <c r="CF29" s="13">
        <v>0</v>
      </c>
      <c r="CG29" s="13">
        <v>19.89</v>
      </c>
      <c r="CH29" s="13">
        <v>5208</v>
      </c>
      <c r="CI29" s="13">
        <v>19990.25</v>
      </c>
      <c r="CJ29" s="13">
        <v>143436</v>
      </c>
      <c r="CK29" s="13">
        <v>7382.14</v>
      </c>
      <c r="CL29" s="13">
        <v>5604943.9400000004</v>
      </c>
      <c r="CM29" s="13">
        <v>706371.41</v>
      </c>
      <c r="CN29" s="13">
        <v>1.67</v>
      </c>
      <c r="CO29" s="13">
        <v>0.28000000000000003</v>
      </c>
      <c r="CP29" s="13">
        <v>7851.79</v>
      </c>
      <c r="CQ29" s="13">
        <v>0</v>
      </c>
      <c r="CR29" s="13">
        <v>5288011.46</v>
      </c>
      <c r="CS29" s="13">
        <v>640735.11</v>
      </c>
      <c r="CT29" s="13">
        <v>7997.27</v>
      </c>
      <c r="CU29" s="13">
        <v>716.52</v>
      </c>
      <c r="CV29" s="13">
        <v>7453.8</v>
      </c>
      <c r="CW29" s="13">
        <v>0</v>
      </c>
      <c r="CX29" s="13">
        <v>916023.12</v>
      </c>
      <c r="CY29" s="13">
        <v>144258.49</v>
      </c>
      <c r="CZ29" s="13">
        <v>-5906.03</v>
      </c>
      <c r="DA29" s="13">
        <v>-1121.1500000000001</v>
      </c>
      <c r="DB29" s="13">
        <v>936.81</v>
      </c>
      <c r="DC29" s="13"/>
      <c r="DD29" s="315">
        <v>6319169.0899999999</v>
      </c>
      <c r="DE29" s="317">
        <v>5944914.1600000001</v>
      </c>
      <c r="DF29" s="317">
        <v>94.08</v>
      </c>
      <c r="DG29" s="318">
        <v>1054191.24</v>
      </c>
      <c r="DH29" s="310">
        <v>201183.72</v>
      </c>
      <c r="DI29" s="310">
        <v>115059.12</v>
      </c>
      <c r="DJ29" s="312">
        <v>1493865.9</v>
      </c>
      <c r="DK29" s="362">
        <v>32400</v>
      </c>
      <c r="DL29" s="362"/>
      <c r="DM29" s="362">
        <v>0</v>
      </c>
      <c r="DN29" s="362">
        <v>0</v>
      </c>
      <c r="DO29" s="362">
        <v>0</v>
      </c>
      <c r="DP29" s="362">
        <v>48049.8</v>
      </c>
      <c r="DQ29" s="362">
        <v>3745</v>
      </c>
      <c r="DR29" s="362"/>
      <c r="DS29" s="362">
        <v>0</v>
      </c>
      <c r="DT29" s="362"/>
      <c r="DU29" s="362">
        <v>18700</v>
      </c>
      <c r="DV29" s="362">
        <v>0</v>
      </c>
      <c r="DW29" s="362">
        <v>0</v>
      </c>
      <c r="DX29" s="362">
        <v>483081.24</v>
      </c>
      <c r="DY29" s="362">
        <v>140000</v>
      </c>
      <c r="DZ29" s="375">
        <v>0</v>
      </c>
      <c r="EA29" s="362">
        <v>0</v>
      </c>
      <c r="EB29" s="362">
        <v>0</v>
      </c>
      <c r="EC29" s="362"/>
      <c r="ED29" s="362">
        <v>0</v>
      </c>
      <c r="EE29" s="362">
        <v>0</v>
      </c>
      <c r="EF29" s="362"/>
      <c r="EG29" s="362">
        <v>0</v>
      </c>
      <c r="EH29" s="362">
        <v>0</v>
      </c>
      <c r="EI29" s="362"/>
      <c r="EJ29" s="362">
        <v>0</v>
      </c>
      <c r="EK29" s="362"/>
      <c r="EL29" s="362">
        <v>0</v>
      </c>
      <c r="EM29" s="362">
        <v>11784.96</v>
      </c>
      <c r="EN29" s="362">
        <v>1511329.68</v>
      </c>
      <c r="EO29" s="362">
        <v>2604</v>
      </c>
      <c r="EP29" s="362">
        <v>0</v>
      </c>
      <c r="EQ29" s="362">
        <v>0</v>
      </c>
      <c r="ER29" s="362">
        <v>21840</v>
      </c>
      <c r="ES29" s="362">
        <v>10362</v>
      </c>
      <c r="ET29" s="362">
        <v>43244</v>
      </c>
      <c r="EU29" s="362">
        <v>0</v>
      </c>
      <c r="EV29" s="362">
        <v>440182.81</v>
      </c>
      <c r="EW29" s="362"/>
      <c r="EX29" s="202"/>
      <c r="EY29" s="202"/>
      <c r="EZ29" s="229"/>
      <c r="FA29" s="368">
        <v>728091.75</v>
      </c>
      <c r="FB29" s="368">
        <v>0</v>
      </c>
      <c r="FC29" s="368">
        <v>0</v>
      </c>
      <c r="FD29" s="368">
        <v>0</v>
      </c>
      <c r="FE29" s="368">
        <v>0</v>
      </c>
      <c r="FF29" s="368">
        <v>8398.5300000000007</v>
      </c>
      <c r="FG29" s="368">
        <v>0</v>
      </c>
      <c r="FH29" s="368">
        <v>-4910.92</v>
      </c>
      <c r="FI29" s="368">
        <v>0</v>
      </c>
      <c r="FJ29" s="368">
        <v>0</v>
      </c>
      <c r="FK29" s="368">
        <v>24215.18</v>
      </c>
      <c r="FL29" s="368">
        <v>0</v>
      </c>
      <c r="FM29" s="368">
        <v>513237.01</v>
      </c>
      <c r="FN29" s="368">
        <v>326341.03999999998</v>
      </c>
      <c r="FO29" s="323">
        <v>5417010.2800000003</v>
      </c>
      <c r="FP29" s="323">
        <v>755794.54</v>
      </c>
      <c r="FQ29" s="323">
        <v>6172804.8200000003</v>
      </c>
      <c r="FR29" s="338">
        <v>536515.48</v>
      </c>
      <c r="FS29" s="362">
        <v>61452.75</v>
      </c>
      <c r="FT29" s="377">
        <v>597968.23</v>
      </c>
      <c r="FU29" s="377">
        <v>5783559.7699999996</v>
      </c>
      <c r="FV29" s="377">
        <v>728417.5</v>
      </c>
      <c r="FW29" s="362">
        <v>6511977.2699999996</v>
      </c>
      <c r="FX29" s="362">
        <v>5400541.1399999997</v>
      </c>
      <c r="FY29" s="362">
        <v>650124.73</v>
      </c>
      <c r="FZ29" s="362">
        <v>6050665.8700000001</v>
      </c>
      <c r="GA29" s="362">
        <v>919534.11</v>
      </c>
      <c r="GB29" s="362">
        <v>139745.51999999999</v>
      </c>
      <c r="GC29" s="362">
        <v>1059279.6299999999</v>
      </c>
      <c r="GD29" s="362">
        <v>-439877.93</v>
      </c>
      <c r="GE29" s="362">
        <v>37246.03</v>
      </c>
      <c r="GF29" s="362">
        <v>-402631.9</v>
      </c>
      <c r="GG29" s="202">
        <v>5088.3900000000003</v>
      </c>
      <c r="GH29" s="416">
        <v>69</v>
      </c>
      <c r="GI29" s="414">
        <v>8839.2000000000007</v>
      </c>
      <c r="GJ29" s="419">
        <v>21999.79</v>
      </c>
      <c r="GK29" s="396">
        <v>5088.3900000000003</v>
      </c>
      <c r="GL29" s="202">
        <v>3510.9890999999998</v>
      </c>
      <c r="GM29" s="202">
        <v>1577.4009000000001</v>
      </c>
      <c r="GN29" s="323">
        <v>366549.49</v>
      </c>
      <c r="GO29" s="323">
        <v>-27377.040000000001</v>
      </c>
      <c r="GP29" s="323">
        <v>339172.45</v>
      </c>
      <c r="GQ29" s="323">
        <v>-73328.44</v>
      </c>
      <c r="GR29" s="323">
        <v>9868.99</v>
      </c>
      <c r="GS29" s="323">
        <v>-63459.45</v>
      </c>
    </row>
    <row r="30" spans="1:201" ht="12.75" customHeight="1" x14ac:dyDescent="0.2">
      <c r="A30" s="45" t="s">
        <v>53</v>
      </c>
      <c r="B30" s="153" t="s">
        <v>43</v>
      </c>
      <c r="C30" s="149" t="s">
        <v>44</v>
      </c>
      <c r="D30" s="388" t="s">
        <v>612</v>
      </c>
      <c r="E30" s="149" t="s">
        <v>12</v>
      </c>
      <c r="F30" s="11">
        <v>9</v>
      </c>
      <c r="G30" s="11">
        <v>4</v>
      </c>
      <c r="H30" s="11">
        <v>144</v>
      </c>
      <c r="I30" s="11">
        <v>144</v>
      </c>
      <c r="J30" s="11">
        <v>346</v>
      </c>
      <c r="K30" s="11">
        <v>386</v>
      </c>
      <c r="L30" s="83">
        <v>4</v>
      </c>
      <c r="M30" s="84">
        <v>884</v>
      </c>
      <c r="N30" s="84">
        <v>1268</v>
      </c>
      <c r="O30" s="84">
        <v>0</v>
      </c>
      <c r="P30" s="133">
        <v>884</v>
      </c>
      <c r="Q30" s="133">
        <v>970.9</v>
      </c>
      <c r="R30" s="133">
        <v>0</v>
      </c>
      <c r="S30" s="133">
        <f t="shared" si="23"/>
        <v>1854.9</v>
      </c>
      <c r="T30" s="134">
        <v>884</v>
      </c>
      <c r="U30" s="130">
        <v>2.44</v>
      </c>
      <c r="V30" s="91">
        <v>1.9800000000000002E-2</v>
      </c>
      <c r="W30" s="91">
        <v>1.9800000000000002E-2</v>
      </c>
      <c r="X30" s="132">
        <v>1.32E-3</v>
      </c>
      <c r="Y30" s="91">
        <v>3.9699999999999999E-2</v>
      </c>
      <c r="Z30" s="29">
        <v>7623.74</v>
      </c>
      <c r="AA30" s="29">
        <v>156.69999999999999</v>
      </c>
      <c r="AB30" s="9">
        <f t="shared" si="0"/>
        <v>7780.44</v>
      </c>
      <c r="AC30" s="9">
        <f t="shared" si="27"/>
        <v>49250.19</v>
      </c>
      <c r="AD30" s="9">
        <v>2.4900000000000002</v>
      </c>
      <c r="AE30" s="9">
        <v>4.0999999999999996</v>
      </c>
      <c r="AF30" s="21">
        <f>2.41-AJ30</f>
        <v>2.25</v>
      </c>
      <c r="AG30" s="18">
        <f>0.61-AQ30</f>
        <v>0.56000000000000005</v>
      </c>
      <c r="AH30" s="9">
        <v>2.78</v>
      </c>
      <c r="AI30" s="13">
        <v>1217</v>
      </c>
      <c r="AJ30" s="21">
        <f t="shared" si="1"/>
        <v>0.16</v>
      </c>
      <c r="AK30" s="9">
        <v>2.23</v>
      </c>
      <c r="AL30" s="9">
        <v>0.6</v>
      </c>
      <c r="AM30" s="9">
        <v>0.04</v>
      </c>
      <c r="AN30" s="13"/>
      <c r="AO30" s="13">
        <v>844.8</v>
      </c>
      <c r="AP30" s="13">
        <f t="shared" si="24"/>
        <v>5.58</v>
      </c>
      <c r="AQ30" s="18">
        <f t="shared" si="2"/>
        <v>0.05</v>
      </c>
      <c r="AR30" s="9">
        <v>0.56999999999999995</v>
      </c>
      <c r="AS30" s="9">
        <v>0.18</v>
      </c>
      <c r="AT30" s="9">
        <v>7.0000000000000007E-2</v>
      </c>
      <c r="AU30" s="9">
        <v>3.83</v>
      </c>
      <c r="AV30" s="9">
        <v>0.17</v>
      </c>
      <c r="AW30" s="9">
        <f>1.44+0.34+0.26</f>
        <v>2.04</v>
      </c>
      <c r="AX30" s="9">
        <f>2.03+0.45</f>
        <v>2.48</v>
      </c>
      <c r="AY30" s="151">
        <f t="shared" si="25"/>
        <v>24.6</v>
      </c>
      <c r="AZ30" s="13">
        <v>24.6</v>
      </c>
      <c r="BA30" s="13">
        <f t="shared" si="3"/>
        <v>0</v>
      </c>
      <c r="BB30" s="9">
        <f t="shared" si="4"/>
        <v>191398.82</v>
      </c>
      <c r="BC30" s="9">
        <v>24.6</v>
      </c>
      <c r="BD30" s="10">
        <v>44409</v>
      </c>
      <c r="BE30" s="9">
        <f t="shared" si="5"/>
        <v>19373.3</v>
      </c>
      <c r="BF30" s="9">
        <f t="shared" si="6"/>
        <v>31899.8</v>
      </c>
      <c r="BG30" s="9">
        <f t="shared" si="7"/>
        <v>17505.990000000002</v>
      </c>
      <c r="BH30" s="9">
        <f t="shared" si="8"/>
        <v>4357.05</v>
      </c>
      <c r="BI30" s="9">
        <f t="shared" si="9"/>
        <v>21629.62</v>
      </c>
      <c r="BJ30" s="9">
        <f t="shared" si="10"/>
        <v>1244.8699999999999</v>
      </c>
      <c r="BK30" s="9">
        <f t="shared" si="11"/>
        <v>17350.38</v>
      </c>
      <c r="BL30" s="9">
        <f t="shared" si="12"/>
        <v>4668.26</v>
      </c>
      <c r="BM30" s="9">
        <f t="shared" si="13"/>
        <v>311.22000000000003</v>
      </c>
      <c r="BN30" s="9">
        <f t="shared" si="14"/>
        <v>389.02</v>
      </c>
      <c r="BO30" s="9">
        <f t="shared" si="15"/>
        <v>4434.8500000000004</v>
      </c>
      <c r="BP30" s="9">
        <f t="shared" si="16"/>
        <v>1400.48</v>
      </c>
      <c r="BQ30" s="9">
        <f t="shared" si="17"/>
        <v>544.63</v>
      </c>
      <c r="BR30" s="9">
        <f t="shared" si="18"/>
        <v>29799.09</v>
      </c>
      <c r="BS30" s="9">
        <f t="shared" si="19"/>
        <v>1322.67</v>
      </c>
      <c r="BT30" s="9">
        <f t="shared" si="20"/>
        <v>15872.1</v>
      </c>
      <c r="BU30" s="9">
        <f t="shared" si="21"/>
        <v>19295.490000000002</v>
      </c>
      <c r="BV30" s="17">
        <f t="shared" si="22"/>
        <v>191398.82</v>
      </c>
      <c r="BW30" s="17">
        <v>2.58</v>
      </c>
      <c r="BX30" s="17">
        <v>0.08</v>
      </c>
      <c r="BY30" s="17">
        <v>0.52</v>
      </c>
      <c r="BZ30" s="17">
        <v>0.09</v>
      </c>
      <c r="CA30" s="29">
        <v>6.33</v>
      </c>
      <c r="CB30" s="325"/>
      <c r="CC30" s="13">
        <v>45835.040000000001</v>
      </c>
      <c r="CD30" s="13">
        <v>4155.03</v>
      </c>
      <c r="CE30" s="13">
        <v>2171.9499999999998</v>
      </c>
      <c r="CF30" s="13">
        <v>166</v>
      </c>
      <c r="CG30" s="13">
        <v>123.69</v>
      </c>
      <c r="CH30" s="13">
        <v>0</v>
      </c>
      <c r="CI30" s="13">
        <v>12911.24</v>
      </c>
      <c r="CJ30" s="13">
        <v>66468</v>
      </c>
      <c r="CK30" s="13">
        <v>2992.27</v>
      </c>
      <c r="CL30" s="13">
        <v>2250528</v>
      </c>
      <c r="CM30" s="13">
        <v>196387.84</v>
      </c>
      <c r="CN30" s="13">
        <v>106580.5</v>
      </c>
      <c r="CO30" s="13">
        <v>5489.44</v>
      </c>
      <c r="CP30" s="13">
        <v>5870.08</v>
      </c>
      <c r="CQ30" s="13">
        <v>0</v>
      </c>
      <c r="CR30" s="13">
        <v>2159577.75</v>
      </c>
      <c r="CS30" s="13">
        <v>168410.28</v>
      </c>
      <c r="CT30" s="13">
        <v>96966.74</v>
      </c>
      <c r="CU30" s="13">
        <v>5198.47</v>
      </c>
      <c r="CV30" s="13">
        <v>5647.72</v>
      </c>
      <c r="CW30" s="13">
        <v>0</v>
      </c>
      <c r="CX30" s="13">
        <v>315783.90999999997</v>
      </c>
      <c r="CY30" s="13">
        <v>46069.03</v>
      </c>
      <c r="CZ30" s="13">
        <v>11790.33</v>
      </c>
      <c r="DA30" s="13">
        <v>694.9</v>
      </c>
      <c r="DB30" s="13">
        <v>778.38</v>
      </c>
      <c r="DC30" s="13"/>
      <c r="DD30" s="315">
        <v>2564855.86</v>
      </c>
      <c r="DE30" s="317">
        <v>2435800.96</v>
      </c>
      <c r="DF30" s="317">
        <v>94.97</v>
      </c>
      <c r="DG30" s="318">
        <v>375116.55</v>
      </c>
      <c r="DH30" s="310">
        <v>80105.88</v>
      </c>
      <c r="DI30" s="310">
        <v>45813.36</v>
      </c>
      <c r="DJ30" s="312">
        <v>678076.74</v>
      </c>
      <c r="DK30" s="362">
        <v>34100</v>
      </c>
      <c r="DL30" s="362"/>
      <c r="DM30" s="362">
        <v>0</v>
      </c>
      <c r="DN30" s="362">
        <v>0</v>
      </c>
      <c r="DO30" s="362">
        <v>0</v>
      </c>
      <c r="DP30" s="362">
        <v>19350.3</v>
      </c>
      <c r="DQ30" s="362">
        <v>1470</v>
      </c>
      <c r="DR30" s="362"/>
      <c r="DS30" s="362">
        <v>0</v>
      </c>
      <c r="DT30" s="362"/>
      <c r="DU30" s="362">
        <v>0</v>
      </c>
      <c r="DV30" s="362">
        <v>0</v>
      </c>
      <c r="DW30" s="362">
        <v>0</v>
      </c>
      <c r="DX30" s="362">
        <v>206400</v>
      </c>
      <c r="DY30" s="362">
        <v>18000</v>
      </c>
      <c r="DZ30" s="375">
        <v>0</v>
      </c>
      <c r="EA30" s="362">
        <v>0</v>
      </c>
      <c r="EB30" s="362">
        <v>0</v>
      </c>
      <c r="EC30" s="362"/>
      <c r="ED30" s="362">
        <v>0</v>
      </c>
      <c r="EE30" s="362">
        <v>0</v>
      </c>
      <c r="EF30" s="362"/>
      <c r="EG30" s="362">
        <v>0</v>
      </c>
      <c r="EH30" s="362">
        <v>0</v>
      </c>
      <c r="EI30" s="362"/>
      <c r="EJ30" s="362">
        <v>0</v>
      </c>
      <c r="EK30" s="362"/>
      <c r="EL30" s="362">
        <v>0</v>
      </c>
      <c r="EM30" s="362">
        <v>4713.99</v>
      </c>
      <c r="EN30" s="362">
        <v>601867.80000000005</v>
      </c>
      <c r="EO30" s="362">
        <v>0</v>
      </c>
      <c r="EP30" s="362">
        <v>0</v>
      </c>
      <c r="EQ30" s="362">
        <v>0</v>
      </c>
      <c r="ER30" s="362">
        <v>8190</v>
      </c>
      <c r="ES30" s="362">
        <v>0</v>
      </c>
      <c r="ET30" s="362">
        <v>17764</v>
      </c>
      <c r="EU30" s="362">
        <v>0</v>
      </c>
      <c r="EV30" s="362">
        <v>139317.18</v>
      </c>
      <c r="EW30" s="362"/>
      <c r="EX30" s="202"/>
      <c r="EY30" s="202"/>
      <c r="EZ30" s="229"/>
      <c r="FA30" s="368">
        <v>208877.1</v>
      </c>
      <c r="FB30" s="368">
        <v>112305.37</v>
      </c>
      <c r="FC30" s="368">
        <v>0</v>
      </c>
      <c r="FD30" s="368">
        <v>0</v>
      </c>
      <c r="FE30" s="368">
        <v>5863.03</v>
      </c>
      <c r="FF30" s="368">
        <v>6305.29</v>
      </c>
      <c r="FG30" s="368">
        <v>0</v>
      </c>
      <c r="FH30" s="368">
        <v>-1990.63</v>
      </c>
      <c r="FI30" s="368">
        <v>0</v>
      </c>
      <c r="FJ30" s="368">
        <v>0</v>
      </c>
      <c r="FK30" s="368">
        <v>13866.95</v>
      </c>
      <c r="FL30" s="368">
        <v>0</v>
      </c>
      <c r="FM30" s="368">
        <v>208010.53</v>
      </c>
      <c r="FN30" s="368">
        <v>132262.81</v>
      </c>
      <c r="FO30" s="323">
        <v>2195442.59</v>
      </c>
      <c r="FP30" s="323">
        <v>345227.11</v>
      </c>
      <c r="FQ30" s="323">
        <v>2540669.7000000002</v>
      </c>
      <c r="FR30" s="338">
        <v>206251.81</v>
      </c>
      <c r="FS30" s="362">
        <v>4499.99</v>
      </c>
      <c r="FT30" s="377">
        <v>210751.8</v>
      </c>
      <c r="FU30" s="377">
        <v>2375742.2799999998</v>
      </c>
      <c r="FV30" s="377">
        <v>323936.8</v>
      </c>
      <c r="FW30" s="362">
        <v>2699679.08</v>
      </c>
      <c r="FX30" s="362">
        <v>2232548.65</v>
      </c>
      <c r="FY30" s="362">
        <v>264074.27</v>
      </c>
      <c r="FZ30" s="362">
        <v>2496622.92</v>
      </c>
      <c r="GA30" s="362">
        <v>349445.44</v>
      </c>
      <c r="GB30" s="362">
        <v>64362.52</v>
      </c>
      <c r="GC30" s="362">
        <v>413807.96</v>
      </c>
      <c r="GD30" s="362">
        <v>117121.65</v>
      </c>
      <c r="GE30" s="362">
        <v>10758.78</v>
      </c>
      <c r="GF30" s="362">
        <v>127880.43</v>
      </c>
      <c r="GG30" s="202">
        <v>38489.620000000003</v>
      </c>
      <c r="GH30" s="416">
        <v>87</v>
      </c>
      <c r="GI30" s="414">
        <v>4970.1000000000004</v>
      </c>
      <c r="GJ30" s="419">
        <v>52451.71</v>
      </c>
      <c r="GK30" s="396">
        <v>38691.410000000003</v>
      </c>
      <c r="GL30" s="202">
        <v>33661.526700000002</v>
      </c>
      <c r="GM30" s="202">
        <v>5029.8833000000004</v>
      </c>
      <c r="GN30" s="323">
        <v>180299.69</v>
      </c>
      <c r="GO30" s="323">
        <v>-21290.31</v>
      </c>
      <c r="GP30" s="323">
        <v>159009.38</v>
      </c>
      <c r="GQ30" s="323">
        <v>297421.34000000003</v>
      </c>
      <c r="GR30" s="323">
        <v>-10531.53</v>
      </c>
      <c r="GS30" s="323">
        <v>286889.81</v>
      </c>
    </row>
    <row r="31" spans="1:201" ht="12.75" customHeight="1" x14ac:dyDescent="0.2">
      <c r="A31" s="45" t="s">
        <v>55</v>
      </c>
      <c r="B31" s="153" t="s">
        <v>43</v>
      </c>
      <c r="C31" s="149" t="s">
        <v>46</v>
      </c>
      <c r="D31" s="388" t="s">
        <v>401</v>
      </c>
      <c r="E31" s="149" t="s">
        <v>12</v>
      </c>
      <c r="F31" s="11">
        <v>9</v>
      </c>
      <c r="G31" s="11">
        <v>4</v>
      </c>
      <c r="H31" s="11">
        <v>126</v>
      </c>
      <c r="I31" s="11">
        <v>127</v>
      </c>
      <c r="J31" s="11">
        <v>299</v>
      </c>
      <c r="K31" s="11">
        <v>364</v>
      </c>
      <c r="L31" s="83">
        <v>4</v>
      </c>
      <c r="M31" s="84">
        <v>847</v>
      </c>
      <c r="N31" s="84">
        <v>1176</v>
      </c>
      <c r="O31" s="84">
        <v>0</v>
      </c>
      <c r="P31" s="133">
        <v>925.3</v>
      </c>
      <c r="Q31" s="133">
        <v>1180.5</v>
      </c>
      <c r="R31" s="133">
        <v>0</v>
      </c>
      <c r="S31" s="133">
        <f t="shared" si="23"/>
        <v>2105.8000000000002</v>
      </c>
      <c r="T31" s="134">
        <v>925.3</v>
      </c>
      <c r="U31" s="130">
        <v>2.44</v>
      </c>
      <c r="V31" s="91">
        <v>1.9800000000000002E-2</v>
      </c>
      <c r="W31" s="91">
        <v>1.9800000000000002E-2</v>
      </c>
      <c r="X31" s="132">
        <v>1.32E-3</v>
      </c>
      <c r="Y31" s="91">
        <v>3.9699999999999999E-2</v>
      </c>
      <c r="Z31" s="29">
        <v>7417.01</v>
      </c>
      <c r="AA31" s="29">
        <v>304.10000000000002</v>
      </c>
      <c r="AB31" s="9">
        <f t="shared" si="0"/>
        <v>7721.11</v>
      </c>
      <c r="AC31" s="9">
        <f t="shared" si="27"/>
        <v>48874.63</v>
      </c>
      <c r="AD31" s="9">
        <v>2.33</v>
      </c>
      <c r="AE31" s="9">
        <v>4.53</v>
      </c>
      <c r="AF31" s="21">
        <f>2.4-AJ31</f>
        <v>2.25</v>
      </c>
      <c r="AG31" s="18">
        <f>0.61-AQ31</f>
        <v>0.56000000000000005</v>
      </c>
      <c r="AH31" s="9">
        <v>2.78</v>
      </c>
      <c r="AI31" s="13">
        <v>1129</v>
      </c>
      <c r="AJ31" s="21">
        <f t="shared" si="1"/>
        <v>0.15</v>
      </c>
      <c r="AK31" s="9">
        <v>2.2200000000000002</v>
      </c>
      <c r="AL31" s="9">
        <v>0.6</v>
      </c>
      <c r="AM31" s="9">
        <v>7.0000000000000007E-2</v>
      </c>
      <c r="AN31" s="13"/>
      <c r="AO31" s="13">
        <v>844.8</v>
      </c>
      <c r="AP31" s="13">
        <f t="shared" si="24"/>
        <v>5.58</v>
      </c>
      <c r="AQ31" s="18">
        <f t="shared" si="2"/>
        <v>0.05</v>
      </c>
      <c r="AR31" s="9">
        <v>0.51</v>
      </c>
      <c r="AS31" s="9">
        <v>0.18</v>
      </c>
      <c r="AT31" s="9">
        <v>7.0000000000000007E-2</v>
      </c>
      <c r="AU31" s="9">
        <v>3.81</v>
      </c>
      <c r="AV31" s="9">
        <v>0.17</v>
      </c>
      <c r="AW31" s="9">
        <f>1.46+0.34+0.24</f>
        <v>2.04</v>
      </c>
      <c r="AX31" s="9">
        <f>2.06+0.46</f>
        <v>2.52</v>
      </c>
      <c r="AY31" s="151">
        <f t="shared" si="25"/>
        <v>24.84</v>
      </c>
      <c r="AZ31" s="13">
        <v>24.84</v>
      </c>
      <c r="BA31" s="13">
        <f t="shared" si="3"/>
        <v>0</v>
      </c>
      <c r="BB31" s="9">
        <f t="shared" si="4"/>
        <v>191792.37</v>
      </c>
      <c r="BC31" s="9">
        <v>24.84</v>
      </c>
      <c r="BD31" s="10">
        <v>44409</v>
      </c>
      <c r="BE31" s="9">
        <f t="shared" si="5"/>
        <v>17990.189999999999</v>
      </c>
      <c r="BF31" s="9">
        <f t="shared" si="6"/>
        <v>34976.629999999997</v>
      </c>
      <c r="BG31" s="9">
        <f t="shared" si="7"/>
        <v>17372.5</v>
      </c>
      <c r="BH31" s="9">
        <f t="shared" si="8"/>
        <v>4323.82</v>
      </c>
      <c r="BI31" s="9">
        <f t="shared" si="9"/>
        <v>21464.69</v>
      </c>
      <c r="BJ31" s="9">
        <f t="shared" si="10"/>
        <v>1158.17</v>
      </c>
      <c r="BK31" s="9">
        <f t="shared" si="11"/>
        <v>17140.86</v>
      </c>
      <c r="BL31" s="9">
        <f t="shared" si="12"/>
        <v>4632.67</v>
      </c>
      <c r="BM31" s="9">
        <f t="shared" si="13"/>
        <v>540.48</v>
      </c>
      <c r="BN31" s="9">
        <f t="shared" si="14"/>
        <v>386.06</v>
      </c>
      <c r="BO31" s="9">
        <f t="shared" si="15"/>
        <v>3937.77</v>
      </c>
      <c r="BP31" s="9">
        <f t="shared" si="16"/>
        <v>1389.8</v>
      </c>
      <c r="BQ31" s="9">
        <f t="shared" si="17"/>
        <v>540.48</v>
      </c>
      <c r="BR31" s="9">
        <f t="shared" si="18"/>
        <v>29417.43</v>
      </c>
      <c r="BS31" s="9">
        <f t="shared" si="19"/>
        <v>1312.59</v>
      </c>
      <c r="BT31" s="9">
        <f t="shared" si="20"/>
        <v>15751.06</v>
      </c>
      <c r="BU31" s="9">
        <f t="shared" si="21"/>
        <v>19457.2</v>
      </c>
      <c r="BV31" s="17">
        <f t="shared" si="22"/>
        <v>191792.4</v>
      </c>
      <c r="BW31" s="17">
        <v>1.19</v>
      </c>
      <c r="BX31" s="17">
        <v>7.0000000000000007E-2</v>
      </c>
      <c r="BY31" s="17">
        <v>0.43</v>
      </c>
      <c r="BZ31" s="17">
        <v>7.0000000000000007E-2</v>
      </c>
      <c r="CA31" s="29">
        <v>6.33</v>
      </c>
      <c r="CB31" s="325"/>
      <c r="CC31" s="13">
        <v>52611.12</v>
      </c>
      <c r="CD31" s="13">
        <v>3252.91</v>
      </c>
      <c r="CE31" s="13">
        <v>2126.84</v>
      </c>
      <c r="CF31" s="13">
        <v>833.1</v>
      </c>
      <c r="CG31" s="13">
        <v>361.83</v>
      </c>
      <c r="CH31" s="13">
        <v>0</v>
      </c>
      <c r="CI31" s="13">
        <v>5416.44</v>
      </c>
      <c r="CJ31" s="13">
        <v>112547.14</v>
      </c>
      <c r="CK31" s="13">
        <v>2969.45</v>
      </c>
      <c r="CL31" s="13">
        <v>2210862.6</v>
      </c>
      <c r="CM31" s="13">
        <v>135805.79</v>
      </c>
      <c r="CN31" s="13">
        <v>103096.67</v>
      </c>
      <c r="CO31" s="13">
        <v>21583.38</v>
      </c>
      <c r="CP31" s="13">
        <v>14834.23</v>
      </c>
      <c r="CQ31" s="13">
        <v>0</v>
      </c>
      <c r="CR31" s="13">
        <v>2070832.45</v>
      </c>
      <c r="CS31" s="13">
        <v>127600.86</v>
      </c>
      <c r="CT31" s="13">
        <v>84821.24</v>
      </c>
      <c r="CU31" s="13">
        <v>6148.53</v>
      </c>
      <c r="CV31" s="13">
        <v>7390.62</v>
      </c>
      <c r="CW31" s="13">
        <v>0</v>
      </c>
      <c r="CX31" s="13">
        <v>368468.41</v>
      </c>
      <c r="CY31" s="13">
        <v>23156.959999999999</v>
      </c>
      <c r="CZ31" s="13">
        <v>15435.84</v>
      </c>
      <c r="DA31" s="13">
        <v>1530.21</v>
      </c>
      <c r="DB31" s="13">
        <v>1931.16</v>
      </c>
      <c r="DC31" s="13"/>
      <c r="DD31" s="315">
        <v>2486182.67</v>
      </c>
      <c r="DE31" s="317">
        <v>2296793.7000000002</v>
      </c>
      <c r="DF31" s="317">
        <v>92.38</v>
      </c>
      <c r="DG31" s="318">
        <v>410522.58</v>
      </c>
      <c r="DH31" s="310">
        <v>77933.64</v>
      </c>
      <c r="DI31" s="310">
        <v>44571.12</v>
      </c>
      <c r="DJ31" s="312">
        <v>696167.4</v>
      </c>
      <c r="DK31" s="362">
        <v>34100</v>
      </c>
      <c r="DL31" s="362"/>
      <c r="DM31" s="362">
        <v>0</v>
      </c>
      <c r="DN31" s="362">
        <v>0</v>
      </c>
      <c r="DO31" s="362">
        <v>0</v>
      </c>
      <c r="DP31" s="362">
        <v>17951.099999999999</v>
      </c>
      <c r="DQ31" s="362">
        <v>1470</v>
      </c>
      <c r="DR31" s="362"/>
      <c r="DS31" s="362">
        <v>0</v>
      </c>
      <c r="DT31" s="362"/>
      <c r="DU31" s="362">
        <v>0</v>
      </c>
      <c r="DV31" s="362">
        <v>0</v>
      </c>
      <c r="DW31" s="362">
        <v>0</v>
      </c>
      <c r="DX31" s="362">
        <v>205845.16</v>
      </c>
      <c r="DY31" s="362">
        <v>18000</v>
      </c>
      <c r="DZ31" s="375">
        <v>0</v>
      </c>
      <c r="EA31" s="362">
        <v>0</v>
      </c>
      <c r="EB31" s="362">
        <v>0</v>
      </c>
      <c r="EC31" s="362"/>
      <c r="ED31" s="362">
        <v>0</v>
      </c>
      <c r="EE31" s="362">
        <v>0</v>
      </c>
      <c r="EF31" s="362"/>
      <c r="EG31" s="362">
        <v>0</v>
      </c>
      <c r="EH31" s="362">
        <v>0</v>
      </c>
      <c r="EI31" s="362"/>
      <c r="EJ31" s="362">
        <v>0</v>
      </c>
      <c r="EK31" s="362"/>
      <c r="EL31" s="362">
        <v>0</v>
      </c>
      <c r="EM31" s="362">
        <v>4713.99</v>
      </c>
      <c r="EN31" s="362">
        <v>603257.04</v>
      </c>
      <c r="EO31" s="362">
        <v>0</v>
      </c>
      <c r="EP31" s="362">
        <v>0</v>
      </c>
      <c r="EQ31" s="362">
        <v>0</v>
      </c>
      <c r="ER31" s="362">
        <v>16380</v>
      </c>
      <c r="ES31" s="362">
        <v>5770</v>
      </c>
      <c r="ET31" s="362">
        <v>16757</v>
      </c>
      <c r="EU31" s="362">
        <v>0</v>
      </c>
      <c r="EV31" s="362">
        <v>80839.89</v>
      </c>
      <c r="EW31" s="362"/>
      <c r="EX31" s="202"/>
      <c r="EY31" s="202"/>
      <c r="EZ31" s="229"/>
      <c r="FA31" s="368">
        <v>154059.09</v>
      </c>
      <c r="FB31" s="368">
        <v>115007.11</v>
      </c>
      <c r="FC31" s="368">
        <v>0</v>
      </c>
      <c r="FD31" s="368">
        <v>0</v>
      </c>
      <c r="FE31" s="368">
        <v>23361.61</v>
      </c>
      <c r="FF31" s="368">
        <v>15723.2</v>
      </c>
      <c r="FG31" s="368">
        <v>-972.87</v>
      </c>
      <c r="FH31" s="368">
        <v>-2484.7800000000002</v>
      </c>
      <c r="FI31" s="368">
        <v>0</v>
      </c>
      <c r="FJ31" s="368">
        <v>0</v>
      </c>
      <c r="FK31" s="368">
        <v>8456.42</v>
      </c>
      <c r="FL31" s="368">
        <v>0</v>
      </c>
      <c r="FM31" s="368">
        <v>206424.33</v>
      </c>
      <c r="FN31" s="368">
        <v>131254.23000000001</v>
      </c>
      <c r="FO31" s="323">
        <v>2161434.9</v>
      </c>
      <c r="FP31" s="323">
        <v>313149.78000000003</v>
      </c>
      <c r="FQ31" s="323">
        <v>2474584.6800000002</v>
      </c>
      <c r="FR31" s="338">
        <v>249290.67</v>
      </c>
      <c r="FS31" s="362">
        <v>15038.44</v>
      </c>
      <c r="FT31" s="377">
        <v>264329.11</v>
      </c>
      <c r="FU31" s="377">
        <v>2381437.2999999998</v>
      </c>
      <c r="FV31" s="377">
        <v>284864.2</v>
      </c>
      <c r="FW31" s="362">
        <v>2666301.5</v>
      </c>
      <c r="FX31" s="362">
        <v>2246870.7000000002</v>
      </c>
      <c r="FY31" s="362">
        <v>255946.48</v>
      </c>
      <c r="FZ31" s="362">
        <v>2502817.1800000002</v>
      </c>
      <c r="GA31" s="362">
        <v>383857.27</v>
      </c>
      <c r="GB31" s="362">
        <v>43956.160000000003</v>
      </c>
      <c r="GC31" s="362">
        <v>427813.43</v>
      </c>
      <c r="GD31" s="362">
        <v>-18552.240000000002</v>
      </c>
      <c r="GE31" s="362">
        <v>-118201.49</v>
      </c>
      <c r="GF31" s="362">
        <v>-136753.73000000001</v>
      </c>
      <c r="GG31" s="202">
        <v>17290.849999999999</v>
      </c>
      <c r="GH31" s="416">
        <v>89</v>
      </c>
      <c r="GI31" s="414">
        <v>4377.1000000000004</v>
      </c>
      <c r="GJ31" s="419">
        <v>59185.8</v>
      </c>
      <c r="GK31" s="396">
        <v>17290.849999999999</v>
      </c>
      <c r="GL31" s="202">
        <v>15388.8565</v>
      </c>
      <c r="GM31" s="202">
        <v>1901.9935</v>
      </c>
      <c r="GN31" s="323">
        <v>220002.4</v>
      </c>
      <c r="GO31" s="323">
        <v>-28285.58</v>
      </c>
      <c r="GP31" s="323">
        <v>191716.82</v>
      </c>
      <c r="GQ31" s="323">
        <v>201450.16</v>
      </c>
      <c r="GR31" s="323">
        <v>-146487.07</v>
      </c>
      <c r="GS31" s="323">
        <v>54963.09</v>
      </c>
    </row>
    <row r="32" spans="1:201" ht="12.75" customHeight="1" x14ac:dyDescent="0.2">
      <c r="A32" s="45" t="s">
        <v>58</v>
      </c>
      <c r="B32" s="153" t="s">
        <v>43</v>
      </c>
      <c r="C32" s="149" t="s">
        <v>48</v>
      </c>
      <c r="D32" s="388" t="s">
        <v>400</v>
      </c>
      <c r="E32" s="149" t="s">
        <v>12</v>
      </c>
      <c r="F32" s="11">
        <v>9</v>
      </c>
      <c r="G32" s="11">
        <v>7</v>
      </c>
      <c r="H32" s="11">
        <v>229</v>
      </c>
      <c r="I32" s="11">
        <v>235</v>
      </c>
      <c r="J32" s="11">
        <v>542</v>
      </c>
      <c r="K32" s="11">
        <v>660</v>
      </c>
      <c r="L32" s="11">
        <v>7</v>
      </c>
      <c r="M32" s="84">
        <v>1553</v>
      </c>
      <c r="N32" s="84">
        <v>1868</v>
      </c>
      <c r="O32" s="84">
        <v>0</v>
      </c>
      <c r="P32" s="133">
        <v>1552.5</v>
      </c>
      <c r="Q32" s="133">
        <v>1948.26</v>
      </c>
      <c r="R32" s="133">
        <v>0</v>
      </c>
      <c r="S32" s="133">
        <f t="shared" si="23"/>
        <v>3500.76</v>
      </c>
      <c r="T32" s="134">
        <v>1720.6</v>
      </c>
      <c r="U32" s="130">
        <v>2.44</v>
      </c>
      <c r="V32" s="131">
        <v>1.9800000000000002E-2</v>
      </c>
      <c r="W32" s="131">
        <v>1.9800000000000002E-2</v>
      </c>
      <c r="X32" s="132">
        <v>1.32E-3</v>
      </c>
      <c r="Y32" s="131">
        <v>3.9699999999999999E-2</v>
      </c>
      <c r="Z32" s="29">
        <v>13105.31</v>
      </c>
      <c r="AA32" s="29">
        <v>63.8</v>
      </c>
      <c r="AB32" s="9">
        <f t="shared" si="0"/>
        <v>13169.11</v>
      </c>
      <c r="AC32" s="9">
        <f t="shared" si="27"/>
        <v>83360.47</v>
      </c>
      <c r="AD32" s="9">
        <v>2.4700000000000002</v>
      </c>
      <c r="AE32" s="9">
        <v>4.6500000000000004</v>
      </c>
      <c r="AF32" s="22">
        <f>2.41-AJ32</f>
        <v>2.27</v>
      </c>
      <c r="AG32" s="18">
        <f>0.61-AQ32</f>
        <v>0.56000000000000005</v>
      </c>
      <c r="AH32" s="9">
        <v>2.78</v>
      </c>
      <c r="AI32" s="13">
        <v>1793</v>
      </c>
      <c r="AJ32" s="21">
        <f t="shared" si="1"/>
        <v>0.14000000000000001</v>
      </c>
      <c r="AK32" s="9">
        <v>2.2799999999999998</v>
      </c>
      <c r="AL32" s="9">
        <v>0.2</v>
      </c>
      <c r="AM32" s="9">
        <v>0.04</v>
      </c>
      <c r="AN32" s="13"/>
      <c r="AO32" s="13">
        <v>1478.4</v>
      </c>
      <c r="AP32" s="13">
        <f t="shared" si="24"/>
        <v>5.58</v>
      </c>
      <c r="AQ32" s="18">
        <f t="shared" si="2"/>
        <v>0.05</v>
      </c>
      <c r="AR32" s="9">
        <v>0.54</v>
      </c>
      <c r="AS32" s="9">
        <v>0.21</v>
      </c>
      <c r="AT32" s="9">
        <v>7.0000000000000007E-2</v>
      </c>
      <c r="AU32" s="9">
        <v>3.82</v>
      </c>
      <c r="AV32" s="9">
        <v>0.17</v>
      </c>
      <c r="AW32" s="9">
        <f>1.46+0.34+0.25</f>
        <v>2.0499999999999998</v>
      </c>
      <c r="AX32" s="9">
        <f>2.05+0.45</f>
        <v>2.5</v>
      </c>
      <c r="AY32" s="151">
        <f t="shared" si="25"/>
        <v>24.8</v>
      </c>
      <c r="AZ32" s="13">
        <v>24.8</v>
      </c>
      <c r="BA32" s="13">
        <f t="shared" si="3"/>
        <v>0</v>
      </c>
      <c r="BB32" s="9">
        <f t="shared" si="4"/>
        <v>326593.93</v>
      </c>
      <c r="BC32" s="9">
        <v>24.8</v>
      </c>
      <c r="BD32" s="10">
        <v>44409</v>
      </c>
      <c r="BE32" s="9">
        <f t="shared" si="5"/>
        <v>32527.7</v>
      </c>
      <c r="BF32" s="9">
        <f t="shared" si="6"/>
        <v>61236.36</v>
      </c>
      <c r="BG32" s="9">
        <f t="shared" si="7"/>
        <v>29893.88</v>
      </c>
      <c r="BH32" s="9">
        <f t="shared" si="8"/>
        <v>7374.7</v>
      </c>
      <c r="BI32" s="9">
        <f t="shared" si="9"/>
        <v>36610.129999999997</v>
      </c>
      <c r="BJ32" s="9">
        <f t="shared" si="10"/>
        <v>1843.68</v>
      </c>
      <c r="BK32" s="9">
        <f t="shared" si="11"/>
        <v>30025.57</v>
      </c>
      <c r="BL32" s="9">
        <f t="shared" si="12"/>
        <v>2633.82</v>
      </c>
      <c r="BM32" s="9">
        <f t="shared" si="13"/>
        <v>526.76</v>
      </c>
      <c r="BN32" s="9">
        <f t="shared" si="14"/>
        <v>658.46</v>
      </c>
      <c r="BO32" s="9">
        <f t="shared" si="15"/>
        <v>7111.32</v>
      </c>
      <c r="BP32" s="9">
        <f t="shared" si="16"/>
        <v>2765.51</v>
      </c>
      <c r="BQ32" s="9">
        <f t="shared" si="17"/>
        <v>921.84</v>
      </c>
      <c r="BR32" s="9">
        <f t="shared" si="18"/>
        <v>50306</v>
      </c>
      <c r="BS32" s="9">
        <f t="shared" si="19"/>
        <v>2238.75</v>
      </c>
      <c r="BT32" s="9">
        <f t="shared" si="20"/>
        <v>26996.68</v>
      </c>
      <c r="BU32" s="9">
        <f t="shared" si="21"/>
        <v>32922.78</v>
      </c>
      <c r="BV32" s="17">
        <f t="shared" si="22"/>
        <v>326593.94</v>
      </c>
      <c r="BW32" s="17">
        <v>1.26</v>
      </c>
      <c r="BX32" s="17">
        <v>7.0000000000000007E-2</v>
      </c>
      <c r="BY32" s="17">
        <v>0.46</v>
      </c>
      <c r="BZ32" s="17">
        <v>0.08</v>
      </c>
      <c r="CA32" s="29">
        <v>6.33</v>
      </c>
      <c r="CB32" s="325"/>
      <c r="CC32" s="13">
        <v>22535.53</v>
      </c>
      <c r="CD32" s="13">
        <v>1946.54</v>
      </c>
      <c r="CE32" s="13">
        <v>919.17</v>
      </c>
      <c r="CF32" s="13">
        <v>279.8</v>
      </c>
      <c r="CG32" s="13">
        <v>44.99</v>
      </c>
      <c r="CH32" s="13">
        <v>0</v>
      </c>
      <c r="CI32" s="13">
        <v>29698.43</v>
      </c>
      <c r="CJ32" s="13">
        <v>104952</v>
      </c>
      <c r="CK32" s="13">
        <v>5064.7299999999996</v>
      </c>
      <c r="CL32" s="13">
        <v>3896888.76</v>
      </c>
      <c r="CM32" s="13">
        <v>291483.90999999997</v>
      </c>
      <c r="CN32" s="13">
        <v>269870.17</v>
      </c>
      <c r="CO32" s="13">
        <v>2.61</v>
      </c>
      <c r="CP32" s="13">
        <v>6156.86</v>
      </c>
      <c r="CQ32" s="13">
        <v>0</v>
      </c>
      <c r="CR32" s="13">
        <v>3758555.11</v>
      </c>
      <c r="CS32" s="13">
        <v>257338.73</v>
      </c>
      <c r="CT32" s="13">
        <v>221767.7</v>
      </c>
      <c r="CU32" s="13">
        <v>465.98</v>
      </c>
      <c r="CV32" s="13">
        <v>6161.08</v>
      </c>
      <c r="CW32" s="13">
        <v>0</v>
      </c>
      <c r="CX32" s="13">
        <v>542863.47</v>
      </c>
      <c r="CY32" s="13">
        <v>54418.9</v>
      </c>
      <c r="CZ32" s="13">
        <v>62729.73</v>
      </c>
      <c r="DA32" s="13">
        <v>-801.74</v>
      </c>
      <c r="DB32" s="13">
        <v>531.14</v>
      </c>
      <c r="DC32" s="13"/>
      <c r="DD32" s="315">
        <v>4464402.3099999996</v>
      </c>
      <c r="DE32" s="317">
        <v>4244288.5999999996</v>
      </c>
      <c r="DF32" s="317">
        <v>95.07</v>
      </c>
      <c r="DG32" s="318">
        <v>659741.5</v>
      </c>
      <c r="DH32" s="310">
        <v>137704.20000000001</v>
      </c>
      <c r="DI32" s="310">
        <v>78754.44</v>
      </c>
      <c r="DJ32" s="312">
        <v>1145203.44</v>
      </c>
      <c r="DK32" s="362">
        <v>34100</v>
      </c>
      <c r="DL32" s="362"/>
      <c r="DM32" s="362">
        <v>0</v>
      </c>
      <c r="DN32" s="362">
        <v>0</v>
      </c>
      <c r="DO32" s="362">
        <v>0</v>
      </c>
      <c r="DP32" s="362">
        <v>28508.7</v>
      </c>
      <c r="DQ32" s="362">
        <v>2205</v>
      </c>
      <c r="DR32" s="362"/>
      <c r="DS32" s="362">
        <v>0</v>
      </c>
      <c r="DT32" s="362"/>
      <c r="DU32" s="362">
        <v>0</v>
      </c>
      <c r="DV32" s="362">
        <v>0</v>
      </c>
      <c r="DW32" s="362">
        <v>0</v>
      </c>
      <c r="DX32" s="362">
        <v>361200</v>
      </c>
      <c r="DY32" s="362">
        <v>98000</v>
      </c>
      <c r="DZ32" s="375">
        <v>0</v>
      </c>
      <c r="EA32" s="362">
        <v>0</v>
      </c>
      <c r="EB32" s="362">
        <v>0</v>
      </c>
      <c r="EC32" s="362"/>
      <c r="ED32" s="362">
        <v>0</v>
      </c>
      <c r="EE32" s="362">
        <v>0</v>
      </c>
      <c r="EF32" s="362"/>
      <c r="EG32" s="362">
        <v>0</v>
      </c>
      <c r="EH32" s="362">
        <v>0</v>
      </c>
      <c r="EI32" s="362"/>
      <c r="EJ32" s="362">
        <v>0</v>
      </c>
      <c r="EK32" s="362"/>
      <c r="EL32" s="362">
        <v>0</v>
      </c>
      <c r="EM32" s="362">
        <v>8249.4599999999991</v>
      </c>
      <c r="EN32" s="362">
        <v>1031946.54</v>
      </c>
      <c r="EO32" s="362">
        <v>0</v>
      </c>
      <c r="EP32" s="362">
        <v>0</v>
      </c>
      <c r="EQ32" s="362">
        <v>0</v>
      </c>
      <c r="ER32" s="362">
        <v>31395</v>
      </c>
      <c r="ES32" s="362">
        <v>6347</v>
      </c>
      <c r="ET32" s="362">
        <v>29868</v>
      </c>
      <c r="EU32" s="362">
        <v>0</v>
      </c>
      <c r="EV32" s="362">
        <v>60869.71</v>
      </c>
      <c r="EW32" s="362"/>
      <c r="EX32" s="202"/>
      <c r="EY32" s="202"/>
      <c r="EZ32" s="229"/>
      <c r="FA32" s="368">
        <v>326236.64</v>
      </c>
      <c r="FB32" s="368">
        <v>293447.26</v>
      </c>
      <c r="FC32" s="368">
        <v>0</v>
      </c>
      <c r="FD32" s="368">
        <v>0</v>
      </c>
      <c r="FE32" s="368">
        <v>0</v>
      </c>
      <c r="FF32" s="368">
        <v>6120.74</v>
      </c>
      <c r="FG32" s="368">
        <v>0</v>
      </c>
      <c r="FH32" s="368">
        <v>-3540.37</v>
      </c>
      <c r="FI32" s="368">
        <v>0</v>
      </c>
      <c r="FJ32" s="368">
        <v>0</v>
      </c>
      <c r="FK32" s="368">
        <v>42093.440000000002</v>
      </c>
      <c r="FL32" s="368">
        <v>0</v>
      </c>
      <c r="FM32" s="368">
        <v>352078.96</v>
      </c>
      <c r="FN32" s="368">
        <v>223868.13</v>
      </c>
      <c r="FO32" s="323">
        <v>3630298.58</v>
      </c>
      <c r="FP32" s="323">
        <v>664357.71</v>
      </c>
      <c r="FQ32" s="323">
        <v>4294656.29</v>
      </c>
      <c r="FR32" s="338">
        <v>367378.2</v>
      </c>
      <c r="FS32" s="362">
        <v>43259.1</v>
      </c>
      <c r="FT32" s="377">
        <v>410637.3</v>
      </c>
      <c r="FU32" s="377">
        <v>4054074.72</v>
      </c>
      <c r="FV32" s="377">
        <v>575768.78</v>
      </c>
      <c r="FW32" s="362">
        <v>4629843.5</v>
      </c>
      <c r="FX32" s="362">
        <v>3870747.27</v>
      </c>
      <c r="FY32" s="362">
        <v>501080.46</v>
      </c>
      <c r="FZ32" s="362">
        <v>4371827.7300000004</v>
      </c>
      <c r="GA32" s="362">
        <v>550705.65</v>
      </c>
      <c r="GB32" s="362">
        <v>117947.42</v>
      </c>
      <c r="GC32" s="362">
        <v>668653.06999999995</v>
      </c>
      <c r="GD32" s="362">
        <v>177247.99</v>
      </c>
      <c r="GE32" s="362">
        <v>78040.34</v>
      </c>
      <c r="GF32" s="362">
        <v>255288.33</v>
      </c>
      <c r="GG32" s="202">
        <v>8911.57</v>
      </c>
      <c r="GH32" s="416">
        <v>88</v>
      </c>
      <c r="GI32" s="414">
        <v>7425.1</v>
      </c>
      <c r="GJ32" s="419">
        <v>25726.03</v>
      </c>
      <c r="GK32" s="396">
        <v>8911.57</v>
      </c>
      <c r="GL32" s="202">
        <v>7842.1815999999999</v>
      </c>
      <c r="GM32" s="202">
        <v>1069.3884</v>
      </c>
      <c r="GN32" s="323">
        <v>423776.14</v>
      </c>
      <c r="GO32" s="323">
        <v>-88588.93</v>
      </c>
      <c r="GP32" s="323">
        <v>335187.21000000002</v>
      </c>
      <c r="GQ32" s="323">
        <v>601024.13</v>
      </c>
      <c r="GR32" s="323">
        <v>-10548.59</v>
      </c>
      <c r="GS32" s="323">
        <v>590475.54</v>
      </c>
    </row>
    <row r="33" spans="1:201" s="95" customFormat="1" ht="12.75" customHeight="1" x14ac:dyDescent="0.2">
      <c r="A33" s="45" t="s">
        <v>895</v>
      </c>
      <c r="B33" s="153" t="s">
        <v>43</v>
      </c>
      <c r="C33" s="154" t="s">
        <v>23</v>
      </c>
      <c r="D33" s="388" t="s">
        <v>613</v>
      </c>
      <c r="E33" s="149"/>
      <c r="F33" s="84">
        <v>10</v>
      </c>
      <c r="G33" s="84">
        <v>12</v>
      </c>
      <c r="H33" s="84">
        <v>490</v>
      </c>
      <c r="I33" s="84">
        <v>491</v>
      </c>
      <c r="J33" s="11">
        <v>1092</v>
      </c>
      <c r="K33" s="84">
        <v>1222</v>
      </c>
      <c r="L33" s="84">
        <v>12</v>
      </c>
      <c r="M33" s="84">
        <v>2944</v>
      </c>
      <c r="N33" s="84">
        <v>4355</v>
      </c>
      <c r="O33" s="84">
        <v>1815</v>
      </c>
      <c r="P33" s="135">
        <v>3553</v>
      </c>
      <c r="Q33" s="133">
        <v>2641.1</v>
      </c>
      <c r="R33" s="133">
        <v>0</v>
      </c>
      <c r="S33" s="133">
        <f t="shared" si="23"/>
        <v>6194.1</v>
      </c>
      <c r="T33" s="138">
        <v>3553</v>
      </c>
      <c r="U33" s="130">
        <v>2.74</v>
      </c>
      <c r="V33" s="91">
        <v>1.1299999999999999E-2</v>
      </c>
      <c r="W33" s="91">
        <v>1.1299999999999999E-2</v>
      </c>
      <c r="X33" s="132">
        <v>7.5000000000000002E-4</v>
      </c>
      <c r="Y33" s="91">
        <v>2.2499999999999999E-2</v>
      </c>
      <c r="Z33" s="29">
        <v>23901.919999999998</v>
      </c>
      <c r="AA33" s="29">
        <v>0</v>
      </c>
      <c r="AB33" s="13">
        <f t="shared" si="0"/>
        <v>23901.919999999998</v>
      </c>
      <c r="AC33" s="9">
        <f t="shared" si="27"/>
        <v>151299.15</v>
      </c>
      <c r="AD33" s="9">
        <v>2.65</v>
      </c>
      <c r="AE33" s="9">
        <v>4.84</v>
      </c>
      <c r="AF33" s="21">
        <f>2.42-AJ33</f>
        <v>2.25</v>
      </c>
      <c r="AG33" s="18">
        <f>0.63-AQ33</f>
        <v>0.56999999999999995</v>
      </c>
      <c r="AH33" s="9">
        <v>2.4700000000000002</v>
      </c>
      <c r="AI33" s="13">
        <v>4181</v>
      </c>
      <c r="AJ33" s="21">
        <f t="shared" si="1"/>
        <v>0.17</v>
      </c>
      <c r="AK33" s="13">
        <v>2.16</v>
      </c>
      <c r="AL33" s="13">
        <v>0.35</v>
      </c>
      <c r="AM33" s="13">
        <v>0.05</v>
      </c>
      <c r="AN33" s="13"/>
      <c r="AO33" s="13">
        <v>2947.2</v>
      </c>
      <c r="AP33" s="13">
        <f t="shared" si="24"/>
        <v>5.58</v>
      </c>
      <c r="AQ33" s="18">
        <f t="shared" si="2"/>
        <v>0.06</v>
      </c>
      <c r="AR33" s="13">
        <v>0.61</v>
      </c>
      <c r="AS33" s="13">
        <v>0.23</v>
      </c>
      <c r="AT33" s="13">
        <v>7.0000000000000007E-2</v>
      </c>
      <c r="AU33" s="13">
        <v>3.94</v>
      </c>
      <c r="AV33" s="13">
        <v>0.17</v>
      </c>
      <c r="AW33" s="13">
        <f>1.48+0.35+0.29</f>
        <v>2.12</v>
      </c>
      <c r="AX33" s="13">
        <f>2.08+0.47</f>
        <v>2.5499999999999998</v>
      </c>
      <c r="AY33" s="151">
        <f t="shared" si="25"/>
        <v>25.26</v>
      </c>
      <c r="AZ33" s="13">
        <v>25.26</v>
      </c>
      <c r="BA33" s="13">
        <f t="shared" si="3"/>
        <v>0</v>
      </c>
      <c r="BB33" s="13">
        <f t="shared" si="4"/>
        <v>603762.5</v>
      </c>
      <c r="BC33" s="94">
        <v>25.26</v>
      </c>
      <c r="BD33" s="10">
        <v>44440</v>
      </c>
      <c r="BE33" s="9">
        <f t="shared" si="5"/>
        <v>63340.09</v>
      </c>
      <c r="BF33" s="9">
        <f t="shared" si="6"/>
        <v>115685.29</v>
      </c>
      <c r="BG33" s="9">
        <f t="shared" si="7"/>
        <v>53779.32</v>
      </c>
      <c r="BH33" s="9">
        <f t="shared" si="8"/>
        <v>13624.09</v>
      </c>
      <c r="BI33" s="9">
        <f t="shared" si="9"/>
        <v>59037.74</v>
      </c>
      <c r="BJ33" s="9">
        <f t="shared" si="10"/>
        <v>4063.33</v>
      </c>
      <c r="BK33" s="9">
        <f t="shared" si="11"/>
        <v>51628.15</v>
      </c>
      <c r="BL33" s="9">
        <f t="shared" si="12"/>
        <v>8365.67</v>
      </c>
      <c r="BM33" s="9">
        <f t="shared" si="13"/>
        <v>1195.0999999999999</v>
      </c>
      <c r="BN33" s="9">
        <f t="shared" si="14"/>
        <v>1434.12</v>
      </c>
      <c r="BO33" s="9">
        <f t="shared" si="15"/>
        <v>14580.17</v>
      </c>
      <c r="BP33" s="9">
        <f t="shared" si="16"/>
        <v>5497.44</v>
      </c>
      <c r="BQ33" s="9">
        <f t="shared" si="17"/>
        <v>1673.13</v>
      </c>
      <c r="BR33" s="9">
        <f t="shared" si="18"/>
        <v>94173.56</v>
      </c>
      <c r="BS33" s="9">
        <f t="shared" si="19"/>
        <v>4063.33</v>
      </c>
      <c r="BT33" s="9">
        <f t="shared" si="20"/>
        <v>50672.07</v>
      </c>
      <c r="BU33" s="9">
        <f t="shared" si="21"/>
        <v>60949.9</v>
      </c>
      <c r="BV33" s="17">
        <f t="shared" si="22"/>
        <v>603762.5</v>
      </c>
      <c r="BW33" s="17">
        <v>3.57</v>
      </c>
      <c r="BX33" s="17">
        <v>0.05</v>
      </c>
      <c r="BY33" s="17">
        <v>0.31</v>
      </c>
      <c r="BZ33" s="17">
        <v>0.05</v>
      </c>
      <c r="CA33" s="29">
        <v>6.33</v>
      </c>
      <c r="CB33" s="325"/>
      <c r="CC33" s="13">
        <v>7474.39</v>
      </c>
      <c r="CD33" s="13">
        <v>855.4</v>
      </c>
      <c r="CE33" s="13">
        <v>62.42</v>
      </c>
      <c r="CF33" s="13">
        <v>11.88</v>
      </c>
      <c r="CG33" s="13">
        <v>201.78</v>
      </c>
      <c r="CH33" s="13">
        <v>9672</v>
      </c>
      <c r="CI33" s="13">
        <v>29715.73</v>
      </c>
      <c r="CJ33" s="13">
        <v>202704</v>
      </c>
      <c r="CK33" s="13">
        <v>9182.5499999999993</v>
      </c>
      <c r="CL33" s="13">
        <v>7237133.9199999999</v>
      </c>
      <c r="CM33" s="13">
        <v>656759.66</v>
      </c>
      <c r="CN33" s="13">
        <v>24.89</v>
      </c>
      <c r="CO33" s="13">
        <v>14811.12</v>
      </c>
      <c r="CP33" s="13">
        <v>14094.08</v>
      </c>
      <c r="CQ33" s="13">
        <v>0</v>
      </c>
      <c r="CR33" s="13">
        <v>6690066.96</v>
      </c>
      <c r="CS33" s="13">
        <v>574070.43000000005</v>
      </c>
      <c r="CT33" s="13">
        <v>10468.17</v>
      </c>
      <c r="CU33" s="13">
        <v>11895.09</v>
      </c>
      <c r="CV33" s="13">
        <v>12314.14</v>
      </c>
      <c r="CW33" s="13">
        <v>0</v>
      </c>
      <c r="CX33" s="13">
        <v>1329350.29</v>
      </c>
      <c r="CY33" s="13">
        <v>130685.85</v>
      </c>
      <c r="CZ33" s="13">
        <v>-12415.45</v>
      </c>
      <c r="DA33" s="13">
        <v>2413.58</v>
      </c>
      <c r="DB33" s="13">
        <v>2455.1</v>
      </c>
      <c r="DC33" s="13"/>
      <c r="DD33" s="315">
        <v>7922823.6699999999</v>
      </c>
      <c r="DE33" s="317">
        <v>7298814.79</v>
      </c>
      <c r="DF33" s="317">
        <v>92.12</v>
      </c>
      <c r="DG33" s="318">
        <v>1452489.37</v>
      </c>
      <c r="DH33" s="310">
        <v>250827.12</v>
      </c>
      <c r="DI33" s="310">
        <v>143450.64000000001</v>
      </c>
      <c r="DJ33" s="312">
        <v>2252839.14</v>
      </c>
      <c r="DK33" s="362">
        <v>35800</v>
      </c>
      <c r="DL33" s="362"/>
      <c r="DM33" s="362">
        <v>0</v>
      </c>
      <c r="DN33" s="362">
        <v>0</v>
      </c>
      <c r="DO33" s="362">
        <v>0</v>
      </c>
      <c r="DP33" s="362">
        <v>66477.899999999994</v>
      </c>
      <c r="DQ33" s="362">
        <v>4119.5</v>
      </c>
      <c r="DR33" s="362"/>
      <c r="DS33" s="362">
        <v>0</v>
      </c>
      <c r="DT33" s="362"/>
      <c r="DU33" s="362">
        <v>18227</v>
      </c>
      <c r="DV33" s="362">
        <v>0</v>
      </c>
      <c r="DW33" s="362">
        <v>0</v>
      </c>
      <c r="DX33" s="362">
        <v>618770</v>
      </c>
      <c r="DY33" s="362">
        <v>168000</v>
      </c>
      <c r="DZ33" s="375">
        <v>0</v>
      </c>
      <c r="EA33" s="362">
        <v>0</v>
      </c>
      <c r="EB33" s="362">
        <v>0</v>
      </c>
      <c r="EC33" s="362"/>
      <c r="ED33" s="362">
        <v>0</v>
      </c>
      <c r="EE33" s="362">
        <v>0</v>
      </c>
      <c r="EF33" s="362"/>
      <c r="EG33" s="362">
        <v>0</v>
      </c>
      <c r="EH33" s="362">
        <v>0</v>
      </c>
      <c r="EI33" s="362"/>
      <c r="EJ33" s="362">
        <v>0</v>
      </c>
      <c r="EK33" s="362"/>
      <c r="EL33" s="362">
        <v>0</v>
      </c>
      <c r="EM33" s="362">
        <v>16445.37</v>
      </c>
      <c r="EN33" s="362">
        <v>1771880.28</v>
      </c>
      <c r="EO33" s="362">
        <v>4464</v>
      </c>
      <c r="EP33" s="362">
        <v>0</v>
      </c>
      <c r="EQ33" s="362">
        <v>0</v>
      </c>
      <c r="ER33" s="362">
        <v>65520</v>
      </c>
      <c r="ES33" s="362">
        <v>0</v>
      </c>
      <c r="ET33" s="362">
        <v>56366</v>
      </c>
      <c r="EU33" s="362">
        <v>0</v>
      </c>
      <c r="EV33" s="362">
        <v>516002.51</v>
      </c>
      <c r="EW33" s="362"/>
      <c r="EX33" s="202"/>
      <c r="EY33" s="202"/>
      <c r="EZ33" s="230"/>
      <c r="FA33" s="368">
        <v>663148.80000000005</v>
      </c>
      <c r="FB33" s="368">
        <v>5.31</v>
      </c>
      <c r="FC33" s="368">
        <v>0</v>
      </c>
      <c r="FD33" s="368">
        <v>0</v>
      </c>
      <c r="FE33" s="368">
        <v>15197.1</v>
      </c>
      <c r="FF33" s="368">
        <v>15227.42</v>
      </c>
      <c r="FG33" s="368">
        <v>-1748.51</v>
      </c>
      <c r="FH33" s="368">
        <v>-6972.77</v>
      </c>
      <c r="FI33" s="368">
        <v>0</v>
      </c>
      <c r="FJ33" s="368">
        <v>0</v>
      </c>
      <c r="FK33" s="368">
        <v>58193.440000000002</v>
      </c>
      <c r="FL33" s="368">
        <v>0</v>
      </c>
      <c r="FM33" s="368">
        <v>638672.47</v>
      </c>
      <c r="FN33" s="368">
        <v>406086.1</v>
      </c>
      <c r="FO33" s="323">
        <v>7033948.0300000003</v>
      </c>
      <c r="FP33" s="323">
        <v>743050.79</v>
      </c>
      <c r="FQ33" s="323">
        <v>7776998.8200000003</v>
      </c>
      <c r="FR33" s="338">
        <v>666958.05000000005</v>
      </c>
      <c r="FS33" s="338">
        <v>31276.22</v>
      </c>
      <c r="FT33" s="377">
        <v>698234.27</v>
      </c>
      <c r="FU33" s="377">
        <v>7477028.04</v>
      </c>
      <c r="FV33" s="377">
        <v>705675.78</v>
      </c>
      <c r="FW33" s="362">
        <v>8182703.8200000003</v>
      </c>
      <c r="FX33" s="362">
        <v>6814635.7999999998</v>
      </c>
      <c r="FY33" s="362">
        <v>613812.92000000004</v>
      </c>
      <c r="FZ33" s="362">
        <v>7428448.7199999997</v>
      </c>
      <c r="GA33" s="362">
        <v>1329350.29</v>
      </c>
      <c r="GB33" s="362">
        <v>123139.08</v>
      </c>
      <c r="GC33" s="362">
        <v>1452489.37</v>
      </c>
      <c r="GD33" s="362">
        <v>427755.87</v>
      </c>
      <c r="GE33" s="362">
        <v>37008.81</v>
      </c>
      <c r="GF33" s="362">
        <v>464764.68</v>
      </c>
      <c r="GG33" s="107"/>
      <c r="GH33" s="416">
        <v>41</v>
      </c>
      <c r="GI33" s="414">
        <v>15866.2</v>
      </c>
      <c r="GJ33" s="419">
        <v>18277.87</v>
      </c>
      <c r="GK33" s="396"/>
      <c r="GL33" s="202">
        <v>0</v>
      </c>
      <c r="GM33" s="202">
        <v>0</v>
      </c>
      <c r="GN33" s="323">
        <v>443080.01</v>
      </c>
      <c r="GO33" s="323">
        <v>-37375.01</v>
      </c>
      <c r="GP33" s="323">
        <v>405705</v>
      </c>
      <c r="GQ33" s="323">
        <v>870835.88</v>
      </c>
      <c r="GR33" s="323">
        <v>-366.2</v>
      </c>
      <c r="GS33" s="323">
        <v>870469.68</v>
      </c>
    </row>
    <row r="34" spans="1:201" ht="12.75" customHeight="1" x14ac:dyDescent="0.2">
      <c r="A34" s="45" t="s">
        <v>60</v>
      </c>
      <c r="B34" s="65" t="s">
        <v>50</v>
      </c>
      <c r="C34" s="61" t="s">
        <v>11</v>
      </c>
      <c r="D34" s="388" t="s">
        <v>614</v>
      </c>
      <c r="E34" s="61" t="s">
        <v>12</v>
      </c>
      <c r="F34" s="11">
        <v>10</v>
      </c>
      <c r="G34" s="11">
        <v>4</v>
      </c>
      <c r="H34" s="11">
        <v>160</v>
      </c>
      <c r="I34" s="11">
        <v>164</v>
      </c>
      <c r="J34" s="11">
        <v>333</v>
      </c>
      <c r="K34" s="11">
        <v>401</v>
      </c>
      <c r="L34" s="83">
        <v>4</v>
      </c>
      <c r="M34" s="84">
        <v>860</v>
      </c>
      <c r="N34" s="84">
        <v>1164</v>
      </c>
      <c r="O34" s="84">
        <v>1164</v>
      </c>
      <c r="P34" s="139">
        <v>860</v>
      </c>
      <c r="Q34" s="137">
        <v>1164</v>
      </c>
      <c r="R34" s="137">
        <v>1164</v>
      </c>
      <c r="S34" s="133">
        <f t="shared" si="23"/>
        <v>3188</v>
      </c>
      <c r="T34" s="138">
        <v>965.9</v>
      </c>
      <c r="U34" s="130">
        <v>2.74</v>
      </c>
      <c r="V34" s="131">
        <v>1.1299999999999999E-2</v>
      </c>
      <c r="W34" s="131">
        <v>1.1299999999999999E-2</v>
      </c>
      <c r="X34" s="132">
        <v>7.5000000000000002E-4</v>
      </c>
      <c r="Y34" s="131">
        <v>2.2499999999999999E-2</v>
      </c>
      <c r="Z34" s="29">
        <v>8700.94</v>
      </c>
      <c r="AA34" s="29">
        <v>56.7</v>
      </c>
      <c r="AB34" s="9">
        <f t="shared" si="0"/>
        <v>8757.64</v>
      </c>
      <c r="AC34" s="9">
        <f t="shared" si="27"/>
        <v>55435.86</v>
      </c>
      <c r="AD34" s="9">
        <v>1.53</v>
      </c>
      <c r="AE34" s="9">
        <v>4.2300000000000004</v>
      </c>
      <c r="AF34" s="21">
        <f>2.47-AJ34</f>
        <v>2.34</v>
      </c>
      <c r="AG34" s="18">
        <f>0.62-AQ34</f>
        <v>0.56999999999999995</v>
      </c>
      <c r="AH34" s="9">
        <v>2.4700000000000002</v>
      </c>
      <c r="AI34" s="43">
        <v>1117</v>
      </c>
      <c r="AJ34" s="21">
        <f t="shared" si="1"/>
        <v>0.13</v>
      </c>
      <c r="AK34" s="9">
        <v>1.97</v>
      </c>
      <c r="AL34" s="9">
        <v>0.17</v>
      </c>
      <c r="AM34" s="9">
        <v>7.0000000000000007E-2</v>
      </c>
      <c r="AN34" s="13"/>
      <c r="AO34" s="13">
        <v>982.4</v>
      </c>
      <c r="AP34" s="13">
        <f t="shared" si="24"/>
        <v>5.58</v>
      </c>
      <c r="AQ34" s="18">
        <f t="shared" si="2"/>
        <v>0.05</v>
      </c>
      <c r="AR34" s="9">
        <v>0.55000000000000004</v>
      </c>
      <c r="AS34" s="9">
        <v>0.16</v>
      </c>
      <c r="AT34" s="9">
        <v>7.0000000000000007E-2</v>
      </c>
      <c r="AU34" s="9">
        <v>4.8099999999999996</v>
      </c>
      <c r="AV34" s="9">
        <v>0.15</v>
      </c>
      <c r="AW34" s="9">
        <f>1.28+0.26+0.42</f>
        <v>1.96</v>
      </c>
      <c r="AX34" s="9">
        <f>1.8+0.57</f>
        <v>2.37</v>
      </c>
      <c r="AY34" s="63">
        <f t="shared" si="25"/>
        <v>23.6</v>
      </c>
      <c r="AZ34" s="13">
        <v>23.6</v>
      </c>
      <c r="BA34" s="13">
        <f t="shared" si="3"/>
        <v>0</v>
      </c>
      <c r="BB34" s="9">
        <f t="shared" si="4"/>
        <v>206680.3</v>
      </c>
      <c r="BC34" s="9">
        <v>23.6</v>
      </c>
      <c r="BD34" s="10">
        <v>44409</v>
      </c>
      <c r="BE34" s="9">
        <f t="shared" si="5"/>
        <v>13399.19</v>
      </c>
      <c r="BF34" s="9">
        <f t="shared" si="6"/>
        <v>37044.82</v>
      </c>
      <c r="BG34" s="9">
        <f t="shared" si="7"/>
        <v>20492.88</v>
      </c>
      <c r="BH34" s="9">
        <f t="shared" si="8"/>
        <v>4991.8500000000004</v>
      </c>
      <c r="BI34" s="9">
        <f t="shared" si="9"/>
        <v>21631.37</v>
      </c>
      <c r="BJ34" s="9">
        <f t="shared" si="10"/>
        <v>1138.49</v>
      </c>
      <c r="BK34" s="9">
        <f t="shared" si="11"/>
        <v>17252.55</v>
      </c>
      <c r="BL34" s="9">
        <f t="shared" si="12"/>
        <v>1488.8</v>
      </c>
      <c r="BM34" s="9">
        <f t="shared" si="13"/>
        <v>613.03</v>
      </c>
      <c r="BN34" s="9">
        <f t="shared" si="14"/>
        <v>437.88</v>
      </c>
      <c r="BO34" s="9">
        <f t="shared" si="15"/>
        <v>4816.7</v>
      </c>
      <c r="BP34" s="9">
        <f t="shared" si="16"/>
        <v>1401.22</v>
      </c>
      <c r="BQ34" s="9">
        <f t="shared" si="17"/>
        <v>613.03</v>
      </c>
      <c r="BR34" s="9">
        <f t="shared" si="18"/>
        <v>42124.25</v>
      </c>
      <c r="BS34" s="9">
        <f t="shared" si="19"/>
        <v>1313.65</v>
      </c>
      <c r="BT34" s="9">
        <f t="shared" si="20"/>
        <v>17164.97</v>
      </c>
      <c r="BU34" s="9">
        <f t="shared" si="21"/>
        <v>20755.61</v>
      </c>
      <c r="BV34" s="17">
        <f t="shared" si="22"/>
        <v>206680.29</v>
      </c>
      <c r="BW34" s="17">
        <v>3.98</v>
      </c>
      <c r="BX34" s="17">
        <v>0.04</v>
      </c>
      <c r="BY34" s="17">
        <v>0.24</v>
      </c>
      <c r="BZ34" s="17">
        <v>0.04</v>
      </c>
      <c r="CA34" s="29">
        <v>6.33</v>
      </c>
      <c r="CB34" s="325"/>
      <c r="CC34" s="13">
        <v>16057.44</v>
      </c>
      <c r="CD34" s="13">
        <v>678.14</v>
      </c>
      <c r="CE34" s="13">
        <v>-9.06</v>
      </c>
      <c r="CF34" s="13">
        <v>302.81</v>
      </c>
      <c r="CG34" s="13">
        <v>167.29</v>
      </c>
      <c r="CH34" s="13">
        <v>0</v>
      </c>
      <c r="CI34" s="13">
        <v>6937.16</v>
      </c>
      <c r="CJ34" s="13">
        <v>51480</v>
      </c>
      <c r="CK34" s="13">
        <v>3368.1</v>
      </c>
      <c r="CL34" s="13">
        <v>2464106.2799999998</v>
      </c>
      <c r="CM34" s="13">
        <v>104063.19</v>
      </c>
      <c r="CN34" s="13">
        <v>0.03</v>
      </c>
      <c r="CO34" s="13">
        <v>45072.52</v>
      </c>
      <c r="CP34" s="13">
        <v>25668.85</v>
      </c>
      <c r="CQ34" s="13">
        <v>0</v>
      </c>
      <c r="CR34" s="13">
        <v>2377689.4500000002</v>
      </c>
      <c r="CS34" s="13">
        <v>106122.78</v>
      </c>
      <c r="CT34" s="13">
        <v>2781.97</v>
      </c>
      <c r="CU34" s="13">
        <v>53951.55</v>
      </c>
      <c r="CV34" s="13">
        <v>29876.67</v>
      </c>
      <c r="CW34" s="13">
        <v>0</v>
      </c>
      <c r="CX34" s="13">
        <v>276526.5</v>
      </c>
      <c r="CY34" s="13">
        <v>-4539.5600000000004</v>
      </c>
      <c r="CZ34" s="13">
        <v>-3800.07</v>
      </c>
      <c r="DA34" s="13">
        <v>2433.41</v>
      </c>
      <c r="DB34" s="13">
        <v>1303.45</v>
      </c>
      <c r="DC34" s="13"/>
      <c r="DD34" s="315">
        <v>2638910.87</v>
      </c>
      <c r="DE34" s="317">
        <v>2570422.42</v>
      </c>
      <c r="DF34" s="317">
        <v>97.4</v>
      </c>
      <c r="DG34" s="318">
        <v>271923.73</v>
      </c>
      <c r="DH34" s="310">
        <v>91424.52</v>
      </c>
      <c r="DI34" s="310">
        <v>52286.64</v>
      </c>
      <c r="DJ34" s="312">
        <v>0</v>
      </c>
      <c r="DK34" s="362">
        <v>0</v>
      </c>
      <c r="DL34" s="362"/>
      <c r="DM34" s="362">
        <v>0</v>
      </c>
      <c r="DN34" s="362">
        <v>0</v>
      </c>
      <c r="DO34" s="362">
        <v>0</v>
      </c>
      <c r="DP34" s="362">
        <v>0</v>
      </c>
      <c r="DQ34" s="362">
        <v>0</v>
      </c>
      <c r="DR34" s="362"/>
      <c r="DS34" s="362">
        <v>0</v>
      </c>
      <c r="DT34" s="362"/>
      <c r="DU34" s="362">
        <v>0</v>
      </c>
      <c r="DV34" s="362">
        <v>0</v>
      </c>
      <c r="DW34" s="362">
        <v>206400</v>
      </c>
      <c r="DX34" s="362">
        <v>0</v>
      </c>
      <c r="DY34" s="362">
        <v>18000</v>
      </c>
      <c r="DZ34" s="375">
        <v>0</v>
      </c>
      <c r="EA34" s="362">
        <v>0</v>
      </c>
      <c r="EB34" s="362">
        <v>0</v>
      </c>
      <c r="EC34" s="362"/>
      <c r="ED34" s="362">
        <v>670716.9</v>
      </c>
      <c r="EE34" s="362">
        <v>10540</v>
      </c>
      <c r="EF34" s="362"/>
      <c r="EG34" s="362">
        <v>17778</v>
      </c>
      <c r="EH34" s="362">
        <v>0</v>
      </c>
      <c r="EI34" s="362"/>
      <c r="EJ34" s="362">
        <v>0</v>
      </c>
      <c r="EK34" s="362"/>
      <c r="EL34" s="362">
        <v>0</v>
      </c>
      <c r="EM34" s="362">
        <v>5481.78</v>
      </c>
      <c r="EN34" s="362">
        <v>0</v>
      </c>
      <c r="EO34" s="362">
        <v>0</v>
      </c>
      <c r="EP34" s="362">
        <v>530310</v>
      </c>
      <c r="EQ34" s="362">
        <v>0</v>
      </c>
      <c r="ER34" s="362">
        <v>15015</v>
      </c>
      <c r="ES34" s="362">
        <v>2308</v>
      </c>
      <c r="ET34" s="362">
        <v>18612</v>
      </c>
      <c r="EU34" s="362">
        <v>0</v>
      </c>
      <c r="EV34" s="362">
        <v>121373.48</v>
      </c>
      <c r="EW34" s="362"/>
      <c r="EX34" s="202"/>
      <c r="EY34" s="202"/>
      <c r="EZ34" s="229"/>
      <c r="FA34" s="368">
        <v>118684.51</v>
      </c>
      <c r="FB34" s="368">
        <v>12949.45</v>
      </c>
      <c r="FC34" s="368">
        <v>0</v>
      </c>
      <c r="FD34" s="368">
        <v>0</v>
      </c>
      <c r="FE34" s="368">
        <v>40879.4</v>
      </c>
      <c r="FF34" s="368">
        <v>23057.98</v>
      </c>
      <c r="FG34" s="368">
        <v>-3458.25</v>
      </c>
      <c r="FH34" s="368">
        <v>-4084.6</v>
      </c>
      <c r="FI34" s="368">
        <v>0</v>
      </c>
      <c r="FJ34" s="368">
        <v>0</v>
      </c>
      <c r="FK34" s="368">
        <v>43312.15</v>
      </c>
      <c r="FL34" s="368">
        <v>0</v>
      </c>
      <c r="FM34" s="368">
        <v>234136.03</v>
      </c>
      <c r="FN34" s="368">
        <v>148874.63</v>
      </c>
      <c r="FO34" s="323">
        <v>2143256.98</v>
      </c>
      <c r="FP34" s="323">
        <v>231340.64</v>
      </c>
      <c r="FQ34" s="323">
        <v>2374597.62</v>
      </c>
      <c r="FR34" s="338">
        <v>208976.03</v>
      </c>
      <c r="FS34" s="338">
        <v>11094.42</v>
      </c>
      <c r="FT34" s="377">
        <v>220070.45</v>
      </c>
      <c r="FU34" s="377">
        <v>2538580.88</v>
      </c>
      <c r="FV34" s="377">
        <v>179311.87</v>
      </c>
      <c r="FW34" s="362">
        <v>2717892.75</v>
      </c>
      <c r="FX34" s="362">
        <v>2470698.4300000002</v>
      </c>
      <c r="FY34" s="362">
        <v>194984.07</v>
      </c>
      <c r="FZ34" s="362">
        <v>2665682.5</v>
      </c>
      <c r="GA34" s="362">
        <v>276858.48</v>
      </c>
      <c r="GB34" s="362">
        <v>-4577.78</v>
      </c>
      <c r="GC34" s="362">
        <v>272280.7</v>
      </c>
      <c r="GD34" s="362">
        <v>172601.46</v>
      </c>
      <c r="GE34" s="362">
        <v>24940.25</v>
      </c>
      <c r="GF34" s="362">
        <v>197541.71</v>
      </c>
      <c r="GG34" s="202">
        <v>356.97</v>
      </c>
      <c r="GH34" s="416">
        <v>93</v>
      </c>
      <c r="GI34" s="414">
        <v>2878</v>
      </c>
      <c r="GJ34" s="419">
        <v>17196.62</v>
      </c>
      <c r="GK34" s="396">
        <v>356.97</v>
      </c>
      <c r="GL34" s="202">
        <v>331.9821</v>
      </c>
      <c r="GM34" s="202">
        <v>24.9879</v>
      </c>
      <c r="GN34" s="323">
        <v>395323.9</v>
      </c>
      <c r="GO34" s="323">
        <v>-52028.77</v>
      </c>
      <c r="GP34" s="323">
        <v>343295.13</v>
      </c>
      <c r="GQ34" s="323">
        <v>567925.36</v>
      </c>
      <c r="GR34" s="323">
        <v>-27088.52</v>
      </c>
      <c r="GS34" s="323">
        <v>540836.84</v>
      </c>
    </row>
    <row r="35" spans="1:201" ht="12.75" customHeight="1" x14ac:dyDescent="0.2">
      <c r="A35" s="45" t="s">
        <v>61</v>
      </c>
      <c r="B35" s="65" t="s">
        <v>50</v>
      </c>
      <c r="C35" s="61" t="s">
        <v>67</v>
      </c>
      <c r="D35" s="390" t="s">
        <v>615</v>
      </c>
      <c r="E35" s="61"/>
      <c r="F35" s="11">
        <v>9</v>
      </c>
      <c r="G35" s="11">
        <v>1</v>
      </c>
      <c r="H35" s="11">
        <v>48</v>
      </c>
      <c r="I35" s="11">
        <v>103</v>
      </c>
      <c r="J35" s="11">
        <v>147</v>
      </c>
      <c r="K35" s="11">
        <v>203</v>
      </c>
      <c r="L35" s="11">
        <v>1</v>
      </c>
      <c r="M35" s="84">
        <v>203</v>
      </c>
      <c r="N35" s="84">
        <v>763</v>
      </c>
      <c r="O35" s="84">
        <v>763</v>
      </c>
      <c r="P35" s="137">
        <v>203</v>
      </c>
      <c r="Q35" s="137">
        <v>763</v>
      </c>
      <c r="R35" s="137">
        <v>763</v>
      </c>
      <c r="S35" s="133">
        <f t="shared" si="23"/>
        <v>1729</v>
      </c>
      <c r="T35" s="138">
        <v>800.3</v>
      </c>
      <c r="U35" s="130">
        <v>2.44</v>
      </c>
      <c r="V35" s="131">
        <v>1.9800000000000002E-2</v>
      </c>
      <c r="W35" s="131">
        <v>1.9800000000000002E-2</v>
      </c>
      <c r="X35" s="132">
        <v>1.32E-3</v>
      </c>
      <c r="Y35" s="131">
        <v>3.9699999999999999E-2</v>
      </c>
      <c r="Z35" s="29">
        <v>3602.9</v>
      </c>
      <c r="AA35" s="29">
        <v>476</v>
      </c>
      <c r="AB35" s="9">
        <f t="shared" si="0"/>
        <v>4078.9</v>
      </c>
      <c r="AC35" s="9">
        <f t="shared" si="27"/>
        <v>25819.439999999999</v>
      </c>
      <c r="AD35" s="9">
        <v>2.64</v>
      </c>
      <c r="AE35" s="9">
        <v>4.2</v>
      </c>
      <c r="AF35" s="21">
        <f>2.43-AJ35</f>
        <v>2.25</v>
      </c>
      <c r="AG35" s="18">
        <f>0.58-AQ35</f>
        <v>0.51</v>
      </c>
      <c r="AH35" s="9">
        <v>2.4700000000000002</v>
      </c>
      <c r="AI35" s="43">
        <v>732</v>
      </c>
      <c r="AJ35" s="21">
        <f t="shared" si="1"/>
        <v>0.18</v>
      </c>
      <c r="AK35" s="9">
        <v>1.05</v>
      </c>
      <c r="AL35" s="9">
        <v>0.09</v>
      </c>
      <c r="AM35" s="9">
        <v>0.14000000000000001</v>
      </c>
      <c r="AN35" s="13"/>
      <c r="AO35" s="13">
        <v>613.79999999999995</v>
      </c>
      <c r="AP35" s="13">
        <f t="shared" si="24"/>
        <v>5.58</v>
      </c>
      <c r="AQ35" s="18">
        <f t="shared" si="2"/>
        <v>7.0000000000000007E-2</v>
      </c>
      <c r="AR35" s="9">
        <v>0</v>
      </c>
      <c r="AS35" s="9">
        <v>0.33</v>
      </c>
      <c r="AT35" s="9">
        <v>7.0000000000000007E-2</v>
      </c>
      <c r="AU35" s="9">
        <v>4.99</v>
      </c>
      <c r="AV35" s="9">
        <v>0.14000000000000001</v>
      </c>
      <c r="AW35" s="9">
        <f>1.25+0.43+0.44</f>
        <v>2.12</v>
      </c>
      <c r="AX35" s="9">
        <f>1.72+0.59</f>
        <v>2.31</v>
      </c>
      <c r="AY35" s="63">
        <f t="shared" si="25"/>
        <v>23.56</v>
      </c>
      <c r="AZ35" s="13">
        <v>23.56</v>
      </c>
      <c r="BA35" s="13">
        <f t="shared" si="3"/>
        <v>0</v>
      </c>
      <c r="BB35" s="9">
        <f t="shared" si="4"/>
        <v>96098.880000000005</v>
      </c>
      <c r="BC35" s="9">
        <v>23.56</v>
      </c>
      <c r="BD35" s="10">
        <v>44440</v>
      </c>
      <c r="BE35" s="9">
        <f t="shared" si="5"/>
        <v>10768.3</v>
      </c>
      <c r="BF35" s="9">
        <f t="shared" si="6"/>
        <v>17131.38</v>
      </c>
      <c r="BG35" s="9">
        <f t="shared" si="7"/>
        <v>9177.5300000000007</v>
      </c>
      <c r="BH35" s="9">
        <f t="shared" si="8"/>
        <v>2080.2399999999998</v>
      </c>
      <c r="BI35" s="9">
        <f t="shared" si="9"/>
        <v>10074.879999999999</v>
      </c>
      <c r="BJ35" s="9">
        <f t="shared" si="10"/>
        <v>734.2</v>
      </c>
      <c r="BK35" s="9">
        <f t="shared" si="11"/>
        <v>4282.8500000000004</v>
      </c>
      <c r="BL35" s="9">
        <f t="shared" si="12"/>
        <v>367.1</v>
      </c>
      <c r="BM35" s="9">
        <f t="shared" si="13"/>
        <v>571.04999999999995</v>
      </c>
      <c r="BN35" s="9">
        <f t="shared" si="14"/>
        <v>285.52</v>
      </c>
      <c r="BO35" s="9">
        <f t="shared" si="15"/>
        <v>0</v>
      </c>
      <c r="BP35" s="9">
        <f t="shared" si="16"/>
        <v>1346.04</v>
      </c>
      <c r="BQ35" s="9">
        <f t="shared" si="17"/>
        <v>285.52</v>
      </c>
      <c r="BR35" s="9">
        <f t="shared" si="18"/>
        <v>20353.71</v>
      </c>
      <c r="BS35" s="9">
        <f t="shared" si="19"/>
        <v>571.04999999999995</v>
      </c>
      <c r="BT35" s="9">
        <f t="shared" si="20"/>
        <v>8647.27</v>
      </c>
      <c r="BU35" s="9">
        <f t="shared" si="21"/>
        <v>9422.26</v>
      </c>
      <c r="BV35" s="17">
        <f t="shared" si="22"/>
        <v>96098.9</v>
      </c>
      <c r="BW35" s="17">
        <v>3.29</v>
      </c>
      <c r="BX35" s="17">
        <v>0.12</v>
      </c>
      <c r="BY35" s="17">
        <v>0.76</v>
      </c>
      <c r="BZ35" s="17">
        <v>0.13</v>
      </c>
      <c r="CA35" s="29">
        <v>6.33</v>
      </c>
      <c r="CB35" s="325"/>
      <c r="CC35" s="13">
        <v>133851.18</v>
      </c>
      <c r="CD35" s="13">
        <v>19396.23</v>
      </c>
      <c r="CE35" s="13">
        <v>287.06</v>
      </c>
      <c r="CF35" s="13">
        <v>9420.35</v>
      </c>
      <c r="CG35" s="13">
        <v>5474.11</v>
      </c>
      <c r="CH35" s="13">
        <v>0</v>
      </c>
      <c r="CI35" s="13">
        <v>7498.15</v>
      </c>
      <c r="CJ35" s="13">
        <v>14772</v>
      </c>
      <c r="CK35" s="13">
        <v>1568.7</v>
      </c>
      <c r="CL35" s="13">
        <v>1018447.14</v>
      </c>
      <c r="CM35" s="13">
        <v>147538.89000000001</v>
      </c>
      <c r="CN35" s="13">
        <v>0</v>
      </c>
      <c r="CO35" s="13">
        <v>73679.73</v>
      </c>
      <c r="CP35" s="13">
        <v>41650.31</v>
      </c>
      <c r="CQ35" s="13">
        <v>0</v>
      </c>
      <c r="CR35" s="13">
        <v>795064.51</v>
      </c>
      <c r="CS35" s="13">
        <v>111563.39</v>
      </c>
      <c r="CT35" s="13">
        <v>1739.72</v>
      </c>
      <c r="CU35" s="13">
        <v>55229.49</v>
      </c>
      <c r="CV35" s="13">
        <v>31829.48</v>
      </c>
      <c r="CW35" s="13">
        <v>0</v>
      </c>
      <c r="CX35" s="13">
        <v>362231.11</v>
      </c>
      <c r="CY35" s="13">
        <v>52614.559999999998</v>
      </c>
      <c r="CZ35" s="13">
        <v>-1788.4</v>
      </c>
      <c r="DA35" s="13">
        <v>27312.78</v>
      </c>
      <c r="DB35" s="13">
        <v>15868.17</v>
      </c>
      <c r="DC35" s="13"/>
      <c r="DD35" s="315">
        <v>1281316.07</v>
      </c>
      <c r="DE35" s="317">
        <v>995426.59</v>
      </c>
      <c r="DF35" s="317">
        <v>77.69</v>
      </c>
      <c r="DG35" s="318">
        <v>456238.22</v>
      </c>
      <c r="DH35" s="310">
        <v>37857.24</v>
      </c>
      <c r="DI35" s="310">
        <v>21651</v>
      </c>
      <c r="DJ35" s="312">
        <v>0</v>
      </c>
      <c r="DK35" s="362">
        <v>0</v>
      </c>
      <c r="DL35" s="362"/>
      <c r="DM35" s="362">
        <v>0</v>
      </c>
      <c r="DN35" s="362">
        <v>0</v>
      </c>
      <c r="DO35" s="362">
        <v>0</v>
      </c>
      <c r="DP35" s="362">
        <v>0</v>
      </c>
      <c r="DQ35" s="362">
        <v>0</v>
      </c>
      <c r="DR35" s="362"/>
      <c r="DS35" s="362">
        <v>0</v>
      </c>
      <c r="DT35" s="362"/>
      <c r="DU35" s="362">
        <v>0</v>
      </c>
      <c r="DV35" s="362">
        <v>0</v>
      </c>
      <c r="DW35" s="362">
        <v>51322.58</v>
      </c>
      <c r="DX35" s="362">
        <v>0</v>
      </c>
      <c r="DY35" s="362">
        <v>14000</v>
      </c>
      <c r="DZ35" s="375">
        <v>0</v>
      </c>
      <c r="EA35" s="362">
        <v>0</v>
      </c>
      <c r="EB35" s="362">
        <v>0</v>
      </c>
      <c r="EC35" s="362"/>
      <c r="ED35" s="362">
        <v>372561.48</v>
      </c>
      <c r="EE35" s="362">
        <v>10540</v>
      </c>
      <c r="EF35" s="362"/>
      <c r="EG35" s="362">
        <v>11646</v>
      </c>
      <c r="EH35" s="362">
        <v>2450</v>
      </c>
      <c r="EI35" s="362"/>
      <c r="EJ35" s="362">
        <v>0</v>
      </c>
      <c r="EK35" s="362"/>
      <c r="EL35" s="362">
        <v>0</v>
      </c>
      <c r="EM35" s="362">
        <v>3425.01</v>
      </c>
      <c r="EN35" s="362">
        <v>0</v>
      </c>
      <c r="EO35" s="362">
        <v>0</v>
      </c>
      <c r="EP35" s="362">
        <v>242262</v>
      </c>
      <c r="EQ35" s="362">
        <v>0</v>
      </c>
      <c r="ER35" s="362">
        <v>15015</v>
      </c>
      <c r="ES35" s="362">
        <v>6924</v>
      </c>
      <c r="ET35" s="362">
        <v>0</v>
      </c>
      <c r="EU35" s="362">
        <v>0</v>
      </c>
      <c r="EV35" s="362">
        <v>111431.21</v>
      </c>
      <c r="EW35" s="362"/>
      <c r="EX35" s="202"/>
      <c r="EY35" s="202"/>
      <c r="EZ35" s="229"/>
      <c r="FA35" s="368">
        <v>183675.69</v>
      </c>
      <c r="FB35" s="368">
        <v>0</v>
      </c>
      <c r="FC35" s="368">
        <v>0</v>
      </c>
      <c r="FD35" s="368">
        <v>0</v>
      </c>
      <c r="FE35" s="368">
        <v>92523.18</v>
      </c>
      <c r="FF35" s="368">
        <v>52501.03</v>
      </c>
      <c r="FG35" s="368">
        <v>-3242.89</v>
      </c>
      <c r="FH35" s="368">
        <v>-2795.52</v>
      </c>
      <c r="FI35" s="368">
        <v>0</v>
      </c>
      <c r="FJ35" s="368">
        <v>0</v>
      </c>
      <c r="FK35" s="368">
        <v>1019.28</v>
      </c>
      <c r="FL35" s="368">
        <v>0</v>
      </c>
      <c r="FM35" s="368">
        <v>109049.64</v>
      </c>
      <c r="FN35" s="368">
        <v>69338.86</v>
      </c>
      <c r="FO35" s="323">
        <v>1079474.02</v>
      </c>
      <c r="FP35" s="323">
        <v>323680.77</v>
      </c>
      <c r="FQ35" s="323">
        <v>1403154.79</v>
      </c>
      <c r="FR35" s="338">
        <v>170968.12</v>
      </c>
      <c r="FS35" s="338">
        <v>50879.42</v>
      </c>
      <c r="FT35" s="377">
        <v>221847.54</v>
      </c>
      <c r="FU35" s="377">
        <v>1174568.47</v>
      </c>
      <c r="FV35" s="377">
        <v>299015.38</v>
      </c>
      <c r="FW35" s="362">
        <v>1473583.85</v>
      </c>
      <c r="FX35" s="362">
        <v>872500.03</v>
      </c>
      <c r="FY35" s="362">
        <v>226433.08</v>
      </c>
      <c r="FZ35" s="362">
        <v>1098933.1100000001</v>
      </c>
      <c r="GA35" s="362">
        <v>473036.56</v>
      </c>
      <c r="GB35" s="362">
        <v>123461.72</v>
      </c>
      <c r="GC35" s="362">
        <v>596498.28</v>
      </c>
      <c r="GD35" s="362">
        <v>94939.54</v>
      </c>
      <c r="GE35" s="362">
        <v>-8754.65</v>
      </c>
      <c r="GF35" s="362">
        <v>86184.89</v>
      </c>
      <c r="GG35" s="202">
        <v>140260.06</v>
      </c>
      <c r="GH35" s="416">
        <v>79</v>
      </c>
      <c r="GI35" s="414">
        <v>1439</v>
      </c>
      <c r="GJ35" s="419">
        <v>168428.93</v>
      </c>
      <c r="GK35" s="396">
        <v>140260.06</v>
      </c>
      <c r="GL35" s="202">
        <v>110805.4474</v>
      </c>
      <c r="GM35" s="202">
        <v>29454.6126</v>
      </c>
      <c r="GN35" s="323">
        <v>95094.45</v>
      </c>
      <c r="GO35" s="323">
        <v>-24665.39</v>
      </c>
      <c r="GP35" s="323">
        <v>70429.06</v>
      </c>
      <c r="GQ35" s="323">
        <v>190033.99</v>
      </c>
      <c r="GR35" s="323">
        <v>-33420.04</v>
      </c>
      <c r="GS35" s="323">
        <v>156613.95000000001</v>
      </c>
    </row>
    <row r="36" spans="1:201" ht="12.75" customHeight="1" x14ac:dyDescent="0.2">
      <c r="A36" s="45" t="s">
        <v>63</v>
      </c>
      <c r="B36" s="170" t="s">
        <v>736</v>
      </c>
      <c r="C36" s="67" t="s">
        <v>52</v>
      </c>
      <c r="D36" s="389" t="s">
        <v>737</v>
      </c>
      <c r="E36" s="67"/>
      <c r="F36" s="11">
        <v>2</v>
      </c>
      <c r="G36" s="11">
        <v>1</v>
      </c>
      <c r="H36" s="11">
        <v>10</v>
      </c>
      <c r="I36" s="11">
        <v>10</v>
      </c>
      <c r="J36" s="11">
        <v>21</v>
      </c>
      <c r="K36" s="11"/>
      <c r="L36" s="11" t="s">
        <v>746</v>
      </c>
      <c r="M36" s="84"/>
      <c r="N36" s="84"/>
      <c r="O36" s="84"/>
      <c r="P36" s="137"/>
      <c r="Q36" s="137"/>
      <c r="R36" s="137"/>
      <c r="S36" s="133">
        <f t="shared" si="23"/>
        <v>0</v>
      </c>
      <c r="T36" s="138"/>
      <c r="U36" s="130"/>
      <c r="V36" s="131"/>
      <c r="W36" s="131"/>
      <c r="X36" s="132"/>
      <c r="Y36" s="131"/>
      <c r="Z36" s="29"/>
      <c r="AA36" s="29"/>
      <c r="AB36" s="13">
        <f t="shared" si="0"/>
        <v>0</v>
      </c>
      <c r="AC36" s="174">
        <v>0</v>
      </c>
      <c r="AD36" s="9">
        <v>0.4</v>
      </c>
      <c r="AE36" s="9">
        <v>4.71</v>
      </c>
      <c r="AF36" s="21" t="e">
        <f>2.44-AJ36</f>
        <v>#DIV/0!</v>
      </c>
      <c r="AG36" s="18" t="e">
        <f>0.54-AQ36</f>
        <v>#DIV/0!</v>
      </c>
      <c r="AH36" s="9">
        <v>2.78</v>
      </c>
      <c r="AI36" s="43">
        <v>240</v>
      </c>
      <c r="AJ36" s="21" t="e">
        <f t="shared" si="1"/>
        <v>#DIV/0!</v>
      </c>
      <c r="AK36" s="9">
        <v>0</v>
      </c>
      <c r="AL36" s="9">
        <v>0</v>
      </c>
      <c r="AM36" s="9">
        <v>0.22</v>
      </c>
      <c r="AN36" s="13"/>
      <c r="AO36" s="13">
        <v>64</v>
      </c>
      <c r="AP36" s="13">
        <f t="shared" si="24"/>
        <v>5.58</v>
      </c>
      <c r="AQ36" s="18" t="e">
        <f t="shared" si="2"/>
        <v>#DIV/0!</v>
      </c>
      <c r="AR36" s="9">
        <v>0.8</v>
      </c>
      <c r="AS36" s="9">
        <v>0.53</v>
      </c>
      <c r="AT36" s="9">
        <v>7.0000000000000007E-2</v>
      </c>
      <c r="AU36" s="9">
        <v>0</v>
      </c>
      <c r="AV36" s="9">
        <v>0.13</v>
      </c>
      <c r="AW36" s="9">
        <f>1.15+0.32</f>
        <v>1.47</v>
      </c>
      <c r="AX36" s="9">
        <v>1.62</v>
      </c>
      <c r="AY36" s="44" t="e">
        <f t="shared" si="25"/>
        <v>#DIV/0!</v>
      </c>
      <c r="AZ36" s="13">
        <v>15.71</v>
      </c>
      <c r="BA36" s="13" t="e">
        <f t="shared" si="3"/>
        <v>#DIV/0!</v>
      </c>
      <c r="BB36" s="9">
        <f t="shared" si="4"/>
        <v>0</v>
      </c>
      <c r="BC36" s="13">
        <v>16.079999999999998</v>
      </c>
      <c r="BD36" s="30">
        <v>44418</v>
      </c>
      <c r="BE36" s="9">
        <f t="shared" si="5"/>
        <v>0</v>
      </c>
      <c r="BF36" s="9">
        <f t="shared" si="6"/>
        <v>0</v>
      </c>
      <c r="BG36" s="9" t="e">
        <f t="shared" si="7"/>
        <v>#DIV/0!</v>
      </c>
      <c r="BH36" s="9" t="e">
        <f t="shared" si="8"/>
        <v>#DIV/0!</v>
      </c>
      <c r="BI36" s="9">
        <f t="shared" si="9"/>
        <v>0</v>
      </c>
      <c r="BJ36" s="9" t="e">
        <f t="shared" si="10"/>
        <v>#DIV/0!</v>
      </c>
      <c r="BK36" s="9">
        <f t="shared" si="11"/>
        <v>0</v>
      </c>
      <c r="BL36" s="9">
        <f t="shared" si="12"/>
        <v>0</v>
      </c>
      <c r="BM36" s="9">
        <f t="shared" si="13"/>
        <v>0</v>
      </c>
      <c r="BN36" s="9" t="e">
        <f t="shared" si="14"/>
        <v>#DIV/0!</v>
      </c>
      <c r="BO36" s="9">
        <f t="shared" si="15"/>
        <v>0</v>
      </c>
      <c r="BP36" s="9">
        <f t="shared" si="16"/>
        <v>0</v>
      </c>
      <c r="BQ36" s="9">
        <f t="shared" si="17"/>
        <v>0</v>
      </c>
      <c r="BR36" s="9">
        <f t="shared" si="18"/>
        <v>0</v>
      </c>
      <c r="BS36" s="9">
        <f t="shared" si="19"/>
        <v>0</v>
      </c>
      <c r="BT36" s="9">
        <f t="shared" si="20"/>
        <v>0</v>
      </c>
      <c r="BU36" s="9">
        <f t="shared" si="21"/>
        <v>0</v>
      </c>
      <c r="BV36" s="17" t="e">
        <f t="shared" si="22"/>
        <v>#DIV/0!</v>
      </c>
      <c r="BW36" s="17"/>
      <c r="BX36" s="17"/>
      <c r="BY36" s="173">
        <v>0</v>
      </c>
      <c r="BZ36" s="17"/>
      <c r="CA36" s="29" t="s">
        <v>739</v>
      </c>
      <c r="CB36" s="325"/>
      <c r="CC36" s="13">
        <v>0</v>
      </c>
      <c r="CD36" s="13">
        <v>0</v>
      </c>
      <c r="CE36" s="13">
        <v>0</v>
      </c>
      <c r="CF36" s="13">
        <v>0</v>
      </c>
      <c r="CG36" s="13">
        <v>0</v>
      </c>
      <c r="CH36" s="13">
        <v>0</v>
      </c>
      <c r="CI36" s="13">
        <v>35.04</v>
      </c>
      <c r="CJ36" s="13">
        <v>0</v>
      </c>
      <c r="CK36" s="13">
        <v>124.37</v>
      </c>
      <c r="CL36" s="13">
        <v>31202.69</v>
      </c>
      <c r="CM36" s="13">
        <v>-511.75</v>
      </c>
      <c r="CN36" s="13">
        <v>0</v>
      </c>
      <c r="CO36" s="13">
        <v>-49.49</v>
      </c>
      <c r="CP36" s="13">
        <v>-49.49</v>
      </c>
      <c r="CQ36" s="13">
        <v>0</v>
      </c>
      <c r="CR36" s="13">
        <v>27277.96</v>
      </c>
      <c r="CS36" s="13">
        <v>447.08</v>
      </c>
      <c r="CT36" s="13">
        <v>0</v>
      </c>
      <c r="CU36" s="13">
        <v>43.26</v>
      </c>
      <c r="CV36" s="13">
        <v>43.26</v>
      </c>
      <c r="CW36" s="13">
        <v>0</v>
      </c>
      <c r="CX36" s="13">
        <v>9096.2099999999991</v>
      </c>
      <c r="CY36" s="13">
        <v>-856.78</v>
      </c>
      <c r="CZ36" s="13">
        <v>0</v>
      </c>
      <c r="DA36" s="13">
        <v>-82.89</v>
      </c>
      <c r="DB36" s="13">
        <v>-82.88</v>
      </c>
      <c r="DC36" s="13"/>
      <c r="DD36" s="315">
        <v>30591.96</v>
      </c>
      <c r="DE36" s="317">
        <v>27811.56</v>
      </c>
      <c r="DF36" s="317">
        <v>90.91</v>
      </c>
      <c r="DG36" s="318">
        <v>8073.66</v>
      </c>
      <c r="DH36" s="310">
        <v>3682.8</v>
      </c>
      <c r="DI36" s="310">
        <v>2106.2399999999998</v>
      </c>
      <c r="DJ36" s="312">
        <v>0</v>
      </c>
      <c r="DK36" s="362">
        <v>0</v>
      </c>
      <c r="DL36" s="362"/>
      <c r="DM36" s="362">
        <v>0</v>
      </c>
      <c r="DN36" s="362">
        <v>0</v>
      </c>
      <c r="DO36" s="362">
        <v>0</v>
      </c>
      <c r="DP36" s="362">
        <v>0</v>
      </c>
      <c r="DQ36" s="362">
        <v>0</v>
      </c>
      <c r="DR36" s="362"/>
      <c r="DS36" s="362">
        <v>0</v>
      </c>
      <c r="DT36" s="362"/>
      <c r="DU36" s="362">
        <v>0</v>
      </c>
      <c r="DV36" s="362">
        <v>0</v>
      </c>
      <c r="DW36" s="362">
        <v>0</v>
      </c>
      <c r="DX36" s="362">
        <v>0</v>
      </c>
      <c r="DY36" s="362">
        <v>0</v>
      </c>
      <c r="DZ36" s="375">
        <v>0</v>
      </c>
      <c r="EA36" s="362">
        <v>0</v>
      </c>
      <c r="EB36" s="362">
        <v>0</v>
      </c>
      <c r="EC36" s="362"/>
      <c r="ED36" s="362">
        <v>14710.6</v>
      </c>
      <c r="EE36" s="362">
        <v>0</v>
      </c>
      <c r="EF36" s="362"/>
      <c r="EG36" s="362">
        <v>1360</v>
      </c>
      <c r="EH36" s="362">
        <v>1620</v>
      </c>
      <c r="EI36" s="362"/>
      <c r="EJ36" s="362">
        <v>900</v>
      </c>
      <c r="EK36" s="362"/>
      <c r="EL36" s="362">
        <v>5770.03</v>
      </c>
      <c r="EM36" s="362">
        <v>356.38</v>
      </c>
      <c r="EN36" s="362">
        <v>0</v>
      </c>
      <c r="EO36" s="362">
        <v>0</v>
      </c>
      <c r="EP36" s="362">
        <v>0</v>
      </c>
      <c r="EQ36" s="362">
        <v>0</v>
      </c>
      <c r="ER36" s="362">
        <v>0</v>
      </c>
      <c r="ES36" s="362">
        <v>0</v>
      </c>
      <c r="ET36" s="362">
        <v>0</v>
      </c>
      <c r="EU36" s="362">
        <v>0</v>
      </c>
      <c r="EV36" s="362">
        <v>0</v>
      </c>
      <c r="EW36" s="362"/>
      <c r="EX36" s="202"/>
      <c r="EY36" s="202"/>
      <c r="EZ36" s="229"/>
      <c r="FA36" s="368">
        <v>509.7</v>
      </c>
      <c r="FB36" s="368">
        <v>0</v>
      </c>
      <c r="FC36" s="368">
        <v>0</v>
      </c>
      <c r="FD36" s="368">
        <v>0</v>
      </c>
      <c r="FE36" s="368">
        <v>44.95</v>
      </c>
      <c r="FF36" s="368">
        <v>15.75</v>
      </c>
      <c r="FG36" s="368">
        <v>0</v>
      </c>
      <c r="FH36" s="368">
        <v>-89.68</v>
      </c>
      <c r="FI36" s="368">
        <v>0</v>
      </c>
      <c r="FJ36" s="368">
        <v>89.16</v>
      </c>
      <c r="FK36" s="368">
        <v>0</v>
      </c>
      <c r="FL36" s="368">
        <v>102.07</v>
      </c>
      <c r="FM36" s="368">
        <v>3939.68</v>
      </c>
      <c r="FN36" s="368">
        <v>2587.67</v>
      </c>
      <c r="FO36" s="323">
        <v>37033.4</v>
      </c>
      <c r="FP36" s="323">
        <v>671.95</v>
      </c>
      <c r="FQ36" s="323">
        <v>37705.35</v>
      </c>
      <c r="FR36" s="338">
        <v>5182.3999999999996</v>
      </c>
      <c r="FS36" s="338">
        <v>121.78</v>
      </c>
      <c r="FT36" s="377">
        <v>5304.18</v>
      </c>
      <c r="FU36" s="377">
        <v>31237.73</v>
      </c>
      <c r="FV36" s="377">
        <v>-486.36</v>
      </c>
      <c r="FW36" s="362">
        <v>30751.37</v>
      </c>
      <c r="FX36" s="362">
        <v>27323.919999999998</v>
      </c>
      <c r="FY36" s="362">
        <v>657.97</v>
      </c>
      <c r="FZ36" s="362">
        <v>27981.89</v>
      </c>
      <c r="GA36" s="362">
        <v>9096.2099999999991</v>
      </c>
      <c r="GB36" s="362">
        <v>-1022.55</v>
      </c>
      <c r="GC36" s="362">
        <v>8073.66</v>
      </c>
      <c r="GD36" s="362">
        <v>1315.61</v>
      </c>
      <c r="GE36" s="362">
        <v>222.34</v>
      </c>
      <c r="GF36" s="362">
        <v>1537.95</v>
      </c>
      <c r="GG36" s="333"/>
      <c r="GH36" s="416"/>
      <c r="GI36" s="415"/>
      <c r="GJ36" s="419">
        <v>0</v>
      </c>
      <c r="GK36" s="396"/>
      <c r="GL36" s="202">
        <v>0</v>
      </c>
      <c r="GM36" s="202">
        <v>0</v>
      </c>
      <c r="GN36" s="323">
        <v>-5795.67</v>
      </c>
      <c r="GO36" s="323">
        <v>-1158.31</v>
      </c>
      <c r="GP36" s="323">
        <v>-6953.98</v>
      </c>
      <c r="GQ36" s="323">
        <v>-4480.0600000000004</v>
      </c>
      <c r="GR36" s="323">
        <v>-935.97</v>
      </c>
      <c r="GS36" s="323">
        <v>-5416.03</v>
      </c>
    </row>
    <row r="37" spans="1:201" ht="12.75" customHeight="1" x14ac:dyDescent="0.2">
      <c r="A37" s="45" t="s">
        <v>65</v>
      </c>
      <c r="B37" s="65" t="s">
        <v>54</v>
      </c>
      <c r="C37" s="61" t="s">
        <v>46</v>
      </c>
      <c r="D37" s="388" t="s">
        <v>616</v>
      </c>
      <c r="E37" s="61" t="s">
        <v>12</v>
      </c>
      <c r="F37" s="11">
        <v>9</v>
      </c>
      <c r="G37" s="11">
        <v>4</v>
      </c>
      <c r="H37" s="11">
        <v>144</v>
      </c>
      <c r="I37" s="11">
        <v>144</v>
      </c>
      <c r="J37" s="11">
        <v>285</v>
      </c>
      <c r="K37" s="11">
        <v>334</v>
      </c>
      <c r="L37" s="11">
        <v>4</v>
      </c>
      <c r="M37" s="84">
        <v>503</v>
      </c>
      <c r="N37" s="84">
        <v>1150.3</v>
      </c>
      <c r="O37" s="84">
        <v>1150.3</v>
      </c>
      <c r="P37" s="133">
        <v>934.8</v>
      </c>
      <c r="Q37" s="133">
        <v>927.2</v>
      </c>
      <c r="R37" s="133">
        <v>870</v>
      </c>
      <c r="S37" s="133">
        <f t="shared" si="23"/>
        <v>2732</v>
      </c>
      <c r="T37" s="134">
        <v>934.8</v>
      </c>
      <c r="U37" s="130">
        <v>2.44</v>
      </c>
      <c r="V37" s="91">
        <v>1.9800000000000002E-2</v>
      </c>
      <c r="W37" s="91">
        <v>1.9800000000000002E-2</v>
      </c>
      <c r="X37" s="132">
        <v>1.32E-3</v>
      </c>
      <c r="Y37" s="91">
        <v>3.9699999999999999E-2</v>
      </c>
      <c r="Z37" s="29">
        <v>7486.05</v>
      </c>
      <c r="AA37" s="29">
        <v>244.1</v>
      </c>
      <c r="AB37" s="9">
        <f t="shared" si="0"/>
        <v>7730.15</v>
      </c>
      <c r="AC37" s="9">
        <f t="shared" ref="AC37:AC100" si="28">SUM(AB37*6.33)</f>
        <v>48931.85</v>
      </c>
      <c r="AD37" s="9">
        <v>1.66</v>
      </c>
      <c r="AE37" s="9">
        <v>4.22</v>
      </c>
      <c r="AF37" s="21">
        <f>2.39-AJ37</f>
        <v>2.25</v>
      </c>
      <c r="AG37" s="18">
        <f>0.61-AQ37</f>
        <v>0.56000000000000005</v>
      </c>
      <c r="AH37" s="9">
        <v>2.78</v>
      </c>
      <c r="AI37" s="43">
        <v>1104</v>
      </c>
      <c r="AJ37" s="21">
        <f t="shared" si="1"/>
        <v>0.14000000000000001</v>
      </c>
      <c r="AK37" s="9">
        <v>2.23</v>
      </c>
      <c r="AL37" s="9">
        <v>0.6</v>
      </c>
      <c r="AM37" s="9">
        <v>7.0000000000000007E-2</v>
      </c>
      <c r="AN37" s="13"/>
      <c r="AO37" s="13">
        <v>892.8</v>
      </c>
      <c r="AP37" s="13">
        <f t="shared" si="24"/>
        <v>5.58</v>
      </c>
      <c r="AQ37" s="18">
        <f t="shared" si="2"/>
        <v>0.05</v>
      </c>
      <c r="AR37" s="9">
        <v>0.56000000000000005</v>
      </c>
      <c r="AS37" s="9">
        <v>0.35</v>
      </c>
      <c r="AT37" s="9">
        <v>7.0000000000000007E-2</v>
      </c>
      <c r="AU37" s="9">
        <v>3.81</v>
      </c>
      <c r="AV37" s="9">
        <v>0.15</v>
      </c>
      <c r="AW37" s="9">
        <f>1.4+0.26+0.34</f>
        <v>2</v>
      </c>
      <c r="AX37" s="9">
        <f>1.98+0.45</f>
        <v>2.4300000000000002</v>
      </c>
      <c r="AY37" s="63">
        <f t="shared" si="25"/>
        <v>23.93</v>
      </c>
      <c r="AZ37" s="13">
        <v>23.93</v>
      </c>
      <c r="BA37" s="13">
        <f t="shared" si="3"/>
        <v>0</v>
      </c>
      <c r="BB37" s="9">
        <f t="shared" si="4"/>
        <v>184982.49</v>
      </c>
      <c r="BC37" s="9">
        <v>23.93</v>
      </c>
      <c r="BD37" s="10">
        <v>44409</v>
      </c>
      <c r="BE37" s="9">
        <f t="shared" si="5"/>
        <v>12832.05</v>
      </c>
      <c r="BF37" s="9">
        <f t="shared" si="6"/>
        <v>32621.23</v>
      </c>
      <c r="BG37" s="9">
        <f t="shared" si="7"/>
        <v>17392.84</v>
      </c>
      <c r="BH37" s="9">
        <f t="shared" si="8"/>
        <v>4328.88</v>
      </c>
      <c r="BI37" s="9">
        <f t="shared" si="9"/>
        <v>21489.82</v>
      </c>
      <c r="BJ37" s="9">
        <f t="shared" si="10"/>
        <v>1082.22</v>
      </c>
      <c r="BK37" s="9">
        <f t="shared" si="11"/>
        <v>17238.23</v>
      </c>
      <c r="BL37" s="9">
        <f t="shared" si="12"/>
        <v>4638.09</v>
      </c>
      <c r="BM37" s="9">
        <f t="shared" si="13"/>
        <v>541.11</v>
      </c>
      <c r="BN37" s="9">
        <f t="shared" si="14"/>
        <v>386.51</v>
      </c>
      <c r="BO37" s="9">
        <f t="shared" si="15"/>
        <v>4328.88</v>
      </c>
      <c r="BP37" s="9">
        <f t="shared" si="16"/>
        <v>2705.55</v>
      </c>
      <c r="BQ37" s="9">
        <f t="shared" si="17"/>
        <v>541.11</v>
      </c>
      <c r="BR37" s="9">
        <f t="shared" si="18"/>
        <v>29451.87</v>
      </c>
      <c r="BS37" s="9">
        <f t="shared" si="19"/>
        <v>1159.52</v>
      </c>
      <c r="BT37" s="9">
        <f t="shared" si="20"/>
        <v>15460.3</v>
      </c>
      <c r="BU37" s="9">
        <f t="shared" si="21"/>
        <v>18784.259999999998</v>
      </c>
      <c r="BV37" s="17">
        <f t="shared" si="22"/>
        <v>184982.47</v>
      </c>
      <c r="BW37" s="17">
        <v>2.52</v>
      </c>
      <c r="BX37" s="17">
        <v>0.08</v>
      </c>
      <c r="BY37" s="17">
        <v>0.49</v>
      </c>
      <c r="BZ37" s="17">
        <v>0.08</v>
      </c>
      <c r="CA37" s="29">
        <v>6.33</v>
      </c>
      <c r="CB37" s="325"/>
      <c r="CC37" s="13">
        <v>70095.839999999997</v>
      </c>
      <c r="CD37" s="13">
        <v>6585.84</v>
      </c>
      <c r="CE37" s="13">
        <v>-429.62</v>
      </c>
      <c r="CF37" s="13">
        <v>1398.71</v>
      </c>
      <c r="CG37" s="13">
        <v>617.62</v>
      </c>
      <c r="CH37" s="13">
        <v>2232</v>
      </c>
      <c r="CI37" s="13">
        <v>5877.56</v>
      </c>
      <c r="CJ37" s="13">
        <v>51480</v>
      </c>
      <c r="CK37" s="13">
        <v>2972.95</v>
      </c>
      <c r="CL37" s="13">
        <v>2149694.15</v>
      </c>
      <c r="CM37" s="13">
        <v>201987.76</v>
      </c>
      <c r="CN37" s="13">
        <v>-70.48</v>
      </c>
      <c r="CO37" s="13">
        <v>29796.76</v>
      </c>
      <c r="CP37" s="13">
        <v>18940.849999999999</v>
      </c>
      <c r="CQ37" s="13">
        <v>0</v>
      </c>
      <c r="CR37" s="13">
        <v>2029757.21</v>
      </c>
      <c r="CS37" s="13">
        <v>189247.96</v>
      </c>
      <c r="CT37" s="13">
        <v>30016.76</v>
      </c>
      <c r="CU37" s="13">
        <v>30301.39</v>
      </c>
      <c r="CV37" s="13">
        <v>18621.63</v>
      </c>
      <c r="CW37" s="13">
        <v>0</v>
      </c>
      <c r="CX37" s="13">
        <v>302810.77</v>
      </c>
      <c r="CY37" s="13">
        <v>28765.42</v>
      </c>
      <c r="CZ37" s="13">
        <v>-31172.27</v>
      </c>
      <c r="DA37" s="13">
        <v>4274.0200000000004</v>
      </c>
      <c r="DB37" s="13">
        <v>2521.9699999999998</v>
      </c>
      <c r="DC37" s="13"/>
      <c r="DD37" s="315">
        <v>2400349.04</v>
      </c>
      <c r="DE37" s="317">
        <v>2297944.9500000002</v>
      </c>
      <c r="DF37" s="317">
        <v>95.73</v>
      </c>
      <c r="DG37" s="318">
        <v>307199.90999999997</v>
      </c>
      <c r="DH37" s="310">
        <v>78637.08</v>
      </c>
      <c r="DI37" s="310">
        <v>44973.36</v>
      </c>
      <c r="DJ37" s="312">
        <v>0</v>
      </c>
      <c r="DK37" s="362">
        <v>0</v>
      </c>
      <c r="DL37" s="362"/>
      <c r="DM37" s="362">
        <v>0</v>
      </c>
      <c r="DN37" s="362">
        <v>0</v>
      </c>
      <c r="DO37" s="362">
        <v>0</v>
      </c>
      <c r="DP37" s="362">
        <v>0</v>
      </c>
      <c r="DQ37" s="362">
        <v>0</v>
      </c>
      <c r="DR37" s="362"/>
      <c r="DS37" s="362">
        <v>0</v>
      </c>
      <c r="DT37" s="362"/>
      <c r="DU37" s="362">
        <v>0</v>
      </c>
      <c r="DV37" s="362">
        <v>0</v>
      </c>
      <c r="DW37" s="362">
        <v>206400</v>
      </c>
      <c r="DX37" s="362">
        <v>0</v>
      </c>
      <c r="DY37" s="362">
        <v>56000</v>
      </c>
      <c r="DZ37" s="375">
        <v>0</v>
      </c>
      <c r="EA37" s="362">
        <v>0</v>
      </c>
      <c r="EB37" s="362">
        <v>0</v>
      </c>
      <c r="EC37" s="362"/>
      <c r="ED37" s="362">
        <v>603829.07999999996</v>
      </c>
      <c r="EE37" s="362">
        <v>13600</v>
      </c>
      <c r="EF37" s="362"/>
      <c r="EG37" s="362">
        <v>17568</v>
      </c>
      <c r="EH37" s="362">
        <v>0</v>
      </c>
      <c r="EI37" s="362"/>
      <c r="EJ37" s="362">
        <v>0</v>
      </c>
      <c r="EK37" s="362"/>
      <c r="EL37" s="362">
        <v>0</v>
      </c>
      <c r="EM37" s="362">
        <v>4981.83</v>
      </c>
      <c r="EN37" s="362">
        <v>0</v>
      </c>
      <c r="EO37" s="362">
        <v>1116</v>
      </c>
      <c r="EP37" s="362">
        <v>486768</v>
      </c>
      <c r="EQ37" s="362">
        <v>0</v>
      </c>
      <c r="ER37" s="362">
        <v>25935</v>
      </c>
      <c r="ES37" s="362">
        <v>6924</v>
      </c>
      <c r="ET37" s="362">
        <v>17499</v>
      </c>
      <c r="EU37" s="362">
        <v>0</v>
      </c>
      <c r="EV37" s="362">
        <v>0</v>
      </c>
      <c r="EW37" s="362"/>
      <c r="EX37" s="202"/>
      <c r="EY37" s="202"/>
      <c r="EZ37" s="229"/>
      <c r="FA37" s="368">
        <v>186202.74</v>
      </c>
      <c r="FB37" s="368">
        <v>3094.47</v>
      </c>
      <c r="FC37" s="368">
        <v>0</v>
      </c>
      <c r="FD37" s="368">
        <v>0</v>
      </c>
      <c r="FE37" s="368">
        <v>30045.040000000001</v>
      </c>
      <c r="FF37" s="368">
        <v>19417.96</v>
      </c>
      <c r="FG37" s="368">
        <v>-3702.29</v>
      </c>
      <c r="FH37" s="368">
        <v>-4008.96</v>
      </c>
      <c r="FI37" s="368">
        <v>0</v>
      </c>
      <c r="FJ37" s="368">
        <v>0</v>
      </c>
      <c r="FK37" s="368">
        <v>61441.82</v>
      </c>
      <c r="FL37" s="368">
        <v>0</v>
      </c>
      <c r="FM37" s="368">
        <v>206666.03</v>
      </c>
      <c r="FN37" s="368">
        <v>131412.24</v>
      </c>
      <c r="FO37" s="323">
        <v>1902309.62</v>
      </c>
      <c r="FP37" s="323">
        <v>292490.78000000003</v>
      </c>
      <c r="FQ37" s="323">
        <v>2194800.4</v>
      </c>
      <c r="FR37" s="338">
        <v>210969.55</v>
      </c>
      <c r="FS37" s="338">
        <v>5792.69</v>
      </c>
      <c r="FT37" s="377">
        <v>216762.23999999999</v>
      </c>
      <c r="FU37" s="377">
        <v>2277147.5499999998</v>
      </c>
      <c r="FV37" s="377">
        <v>264032.39</v>
      </c>
      <c r="FW37" s="362">
        <v>2541179.94</v>
      </c>
      <c r="FX37" s="362">
        <v>2166325.39</v>
      </c>
      <c r="FY37" s="362">
        <v>262599.71000000002</v>
      </c>
      <c r="FZ37" s="362">
        <v>2428925.1</v>
      </c>
      <c r="GA37" s="362">
        <v>321791.71000000002</v>
      </c>
      <c r="GB37" s="362">
        <v>7225.37</v>
      </c>
      <c r="GC37" s="362">
        <v>329017.08</v>
      </c>
      <c r="GD37" s="362">
        <v>219915.84</v>
      </c>
      <c r="GE37" s="362">
        <v>-6388.74</v>
      </c>
      <c r="GF37" s="362">
        <v>213527.1</v>
      </c>
      <c r="GG37" s="202">
        <v>21817.17</v>
      </c>
      <c r="GH37" s="416">
        <v>87</v>
      </c>
      <c r="GI37" s="414">
        <v>2878</v>
      </c>
      <c r="GJ37" s="419">
        <v>80500.39</v>
      </c>
      <c r="GK37" s="396">
        <v>21817.17</v>
      </c>
      <c r="GL37" s="202">
        <v>18980.937900000001</v>
      </c>
      <c r="GM37" s="202">
        <v>2836.2321000000002</v>
      </c>
      <c r="GN37" s="323">
        <v>374837.93</v>
      </c>
      <c r="GO37" s="323">
        <v>-28458.39</v>
      </c>
      <c r="GP37" s="323">
        <v>346379.54</v>
      </c>
      <c r="GQ37" s="323">
        <v>594753.77</v>
      </c>
      <c r="GR37" s="323">
        <v>-34847.129999999997</v>
      </c>
      <c r="GS37" s="323">
        <v>559906.64</v>
      </c>
    </row>
    <row r="38" spans="1:201" ht="12.75" customHeight="1" x14ac:dyDescent="0.2">
      <c r="A38" s="45" t="s">
        <v>68</v>
      </c>
      <c r="B38" s="167" t="s">
        <v>56</v>
      </c>
      <c r="C38" s="164" t="s">
        <v>57</v>
      </c>
      <c r="D38" s="391" t="s">
        <v>617</v>
      </c>
      <c r="E38" s="164"/>
      <c r="F38" s="11">
        <v>10</v>
      </c>
      <c r="G38" s="11">
        <v>1</v>
      </c>
      <c r="H38" s="11">
        <v>160</v>
      </c>
      <c r="I38" s="11">
        <v>160</v>
      </c>
      <c r="J38" s="11">
        <v>217</v>
      </c>
      <c r="K38" s="11">
        <v>266</v>
      </c>
      <c r="L38" s="11">
        <v>1</v>
      </c>
      <c r="M38" s="84">
        <v>830.7</v>
      </c>
      <c r="N38" s="84">
        <v>807</v>
      </c>
      <c r="O38" s="84">
        <v>807</v>
      </c>
      <c r="P38" s="133">
        <v>976.4</v>
      </c>
      <c r="Q38" s="133">
        <v>709.4</v>
      </c>
      <c r="R38" s="133">
        <v>690.2</v>
      </c>
      <c r="S38" s="133">
        <f t="shared" si="23"/>
        <v>2376</v>
      </c>
      <c r="T38" s="134">
        <v>976.4</v>
      </c>
      <c r="U38" s="130">
        <v>2.74</v>
      </c>
      <c r="V38" s="91">
        <v>1.1299999999999999E-2</v>
      </c>
      <c r="W38" s="91">
        <v>1.1299999999999999E-2</v>
      </c>
      <c r="X38" s="132">
        <v>7.5000000000000002E-4</v>
      </c>
      <c r="Y38" s="91">
        <v>2.2499999999999999E-2</v>
      </c>
      <c r="Z38" s="29">
        <v>5545.2</v>
      </c>
      <c r="AA38" s="29"/>
      <c r="AB38" s="9">
        <f t="shared" si="0"/>
        <v>5545.2</v>
      </c>
      <c r="AC38" s="9">
        <f t="shared" si="28"/>
        <v>35101.120000000003</v>
      </c>
      <c r="AD38" s="9">
        <v>2.52</v>
      </c>
      <c r="AE38" s="9">
        <v>4.24</v>
      </c>
      <c r="AF38" s="21">
        <f>2.76-AJ38</f>
        <v>2.62</v>
      </c>
      <c r="AG38" s="18">
        <f>0.58-AQ38</f>
        <v>0.5</v>
      </c>
      <c r="AH38" s="9">
        <v>2.71</v>
      </c>
      <c r="AI38" s="13">
        <v>774</v>
      </c>
      <c r="AJ38" s="21">
        <f t="shared" si="1"/>
        <v>0.14000000000000001</v>
      </c>
      <c r="AK38" s="9">
        <v>0.78</v>
      </c>
      <c r="AL38" s="9">
        <v>0.21</v>
      </c>
      <c r="AM38" s="9">
        <v>0.1</v>
      </c>
      <c r="AN38" s="13"/>
      <c r="AO38" s="13">
        <v>944</v>
      </c>
      <c r="AP38" s="13">
        <f t="shared" si="24"/>
        <v>5.58</v>
      </c>
      <c r="AQ38" s="18">
        <f t="shared" si="2"/>
        <v>0.08</v>
      </c>
      <c r="AR38" s="9">
        <v>0.86</v>
      </c>
      <c r="AS38" s="9">
        <v>0.25</v>
      </c>
      <c r="AT38" s="9">
        <v>7.0000000000000007E-2</v>
      </c>
      <c r="AU38" s="9">
        <v>4.54</v>
      </c>
      <c r="AV38" s="9">
        <v>0.16</v>
      </c>
      <c r="AW38" s="9">
        <f>1.35+0.4+0.4</f>
        <v>2.15</v>
      </c>
      <c r="AX38" s="9">
        <f>1.87+0.53</f>
        <v>2.4</v>
      </c>
      <c r="AY38" s="166">
        <f t="shared" si="25"/>
        <v>24.33</v>
      </c>
      <c r="AZ38" s="13">
        <v>24.33</v>
      </c>
      <c r="BA38" s="13">
        <f t="shared" si="3"/>
        <v>0</v>
      </c>
      <c r="BB38" s="9">
        <f t="shared" si="4"/>
        <v>134914.72</v>
      </c>
      <c r="BC38" s="9">
        <v>24.33</v>
      </c>
      <c r="BD38" s="10">
        <v>44440</v>
      </c>
      <c r="BE38" s="9">
        <f t="shared" si="5"/>
        <v>13973.9</v>
      </c>
      <c r="BF38" s="9">
        <f t="shared" si="6"/>
        <v>23511.65</v>
      </c>
      <c r="BG38" s="9">
        <f t="shared" si="7"/>
        <v>14528.42</v>
      </c>
      <c r="BH38" s="9">
        <f t="shared" si="8"/>
        <v>2772.6</v>
      </c>
      <c r="BI38" s="9">
        <f t="shared" si="9"/>
        <v>15027.49</v>
      </c>
      <c r="BJ38" s="9">
        <f t="shared" si="10"/>
        <v>776.33</v>
      </c>
      <c r="BK38" s="9">
        <f t="shared" si="11"/>
        <v>4325.26</v>
      </c>
      <c r="BL38" s="9">
        <f t="shared" si="12"/>
        <v>1164.49</v>
      </c>
      <c r="BM38" s="9">
        <f t="shared" si="13"/>
        <v>554.52</v>
      </c>
      <c r="BN38" s="9">
        <f t="shared" si="14"/>
        <v>443.62</v>
      </c>
      <c r="BO38" s="9">
        <f t="shared" si="15"/>
        <v>4768.87</v>
      </c>
      <c r="BP38" s="9">
        <f t="shared" si="16"/>
        <v>1386.3</v>
      </c>
      <c r="BQ38" s="9">
        <f t="shared" si="17"/>
        <v>388.16</v>
      </c>
      <c r="BR38" s="9">
        <f t="shared" si="18"/>
        <v>25175.21</v>
      </c>
      <c r="BS38" s="9">
        <f t="shared" si="19"/>
        <v>887.23</v>
      </c>
      <c r="BT38" s="9">
        <f t="shared" si="20"/>
        <v>11922.18</v>
      </c>
      <c r="BU38" s="9">
        <f t="shared" si="21"/>
        <v>13308.48</v>
      </c>
      <c r="BV38" s="17">
        <f t="shared" si="22"/>
        <v>134914.71</v>
      </c>
      <c r="BW38" s="17">
        <v>5.12</v>
      </c>
      <c r="BX38" s="17">
        <v>0.06</v>
      </c>
      <c r="BY38" s="17">
        <v>0.36</v>
      </c>
      <c r="BZ38" s="17">
        <v>0.06</v>
      </c>
      <c r="CA38" s="29">
        <v>6.33</v>
      </c>
      <c r="CB38" s="325"/>
      <c r="CC38" s="13">
        <v>0</v>
      </c>
      <c r="CD38" s="13">
        <v>0</v>
      </c>
      <c r="CE38" s="13">
        <v>0</v>
      </c>
      <c r="CF38" s="13">
        <v>0</v>
      </c>
      <c r="CG38" s="13">
        <v>0</v>
      </c>
      <c r="CH38" s="13">
        <v>0</v>
      </c>
      <c r="CI38" s="13">
        <v>10186.379999999999</v>
      </c>
      <c r="CJ38" s="13">
        <v>24432</v>
      </c>
      <c r="CK38" s="13">
        <v>2132.62</v>
      </c>
      <c r="CL38" s="13">
        <v>1618978.56</v>
      </c>
      <c r="CM38" s="13">
        <v>372804.35</v>
      </c>
      <c r="CN38" s="13">
        <v>0</v>
      </c>
      <c r="CO38" s="13">
        <v>832.53</v>
      </c>
      <c r="CP38" s="13">
        <v>2439.8000000000002</v>
      </c>
      <c r="CQ38" s="13">
        <v>0</v>
      </c>
      <c r="CR38" s="13">
        <v>1555148.54</v>
      </c>
      <c r="CS38" s="13">
        <v>309033.53000000003</v>
      </c>
      <c r="CT38" s="13">
        <v>1682.73</v>
      </c>
      <c r="CU38" s="13">
        <v>1030.58</v>
      </c>
      <c r="CV38" s="13">
        <v>2331.08</v>
      </c>
      <c r="CW38" s="13">
        <v>0</v>
      </c>
      <c r="CX38" s="13">
        <v>286659.34999999998</v>
      </c>
      <c r="CY38" s="13">
        <v>69335.839999999997</v>
      </c>
      <c r="CZ38" s="13">
        <v>-1840.69</v>
      </c>
      <c r="DA38" s="13">
        <v>-197.1</v>
      </c>
      <c r="DB38" s="13">
        <v>258.82</v>
      </c>
      <c r="DC38" s="13"/>
      <c r="DD38" s="315">
        <v>1995055.24</v>
      </c>
      <c r="DE38" s="317">
        <v>1869226.46</v>
      </c>
      <c r="DF38" s="317">
        <v>93.69</v>
      </c>
      <c r="DG38" s="318">
        <v>354216.22</v>
      </c>
      <c r="DH38" s="310">
        <v>58265.760000000002</v>
      </c>
      <c r="DI38" s="310">
        <v>33322.800000000003</v>
      </c>
      <c r="DJ38" s="312">
        <v>0</v>
      </c>
      <c r="DK38" s="362">
        <v>0</v>
      </c>
      <c r="DL38" s="362"/>
      <c r="DM38" s="362">
        <v>0</v>
      </c>
      <c r="DN38" s="362">
        <v>0</v>
      </c>
      <c r="DO38" s="362">
        <v>0</v>
      </c>
      <c r="DP38" s="362">
        <v>12306.6</v>
      </c>
      <c r="DQ38" s="362">
        <v>0</v>
      </c>
      <c r="DR38" s="362"/>
      <c r="DS38" s="362">
        <v>0</v>
      </c>
      <c r="DT38" s="362"/>
      <c r="DU38" s="362">
        <v>0</v>
      </c>
      <c r="DV38" s="362">
        <v>0</v>
      </c>
      <c r="DW38" s="362">
        <v>51600</v>
      </c>
      <c r="DX38" s="362">
        <v>0</v>
      </c>
      <c r="DY38" s="362">
        <v>14000</v>
      </c>
      <c r="DZ38" s="375">
        <v>0</v>
      </c>
      <c r="EA38" s="362">
        <v>0</v>
      </c>
      <c r="EB38" s="362">
        <v>0</v>
      </c>
      <c r="EC38" s="362"/>
      <c r="ED38" s="362">
        <v>480963.06</v>
      </c>
      <c r="EE38" s="362">
        <v>11240</v>
      </c>
      <c r="EF38" s="362"/>
      <c r="EG38" s="362">
        <v>0</v>
      </c>
      <c r="EH38" s="362">
        <v>0</v>
      </c>
      <c r="EI38" s="362"/>
      <c r="EJ38" s="362">
        <v>0</v>
      </c>
      <c r="EK38" s="362"/>
      <c r="EL38" s="362">
        <v>0</v>
      </c>
      <c r="EM38" s="362">
        <v>5267.52</v>
      </c>
      <c r="EN38" s="362">
        <v>448779</v>
      </c>
      <c r="EO38" s="362">
        <v>0</v>
      </c>
      <c r="EP38" s="362">
        <v>0</v>
      </c>
      <c r="EQ38" s="362">
        <v>0</v>
      </c>
      <c r="ER38" s="362">
        <v>15015</v>
      </c>
      <c r="ES38" s="362">
        <v>5193</v>
      </c>
      <c r="ET38" s="362">
        <v>18453</v>
      </c>
      <c r="EU38" s="362">
        <v>0</v>
      </c>
      <c r="EV38" s="362">
        <v>150882.76</v>
      </c>
      <c r="EW38" s="362"/>
      <c r="EX38" s="202"/>
      <c r="EY38" s="202"/>
      <c r="EZ38" s="229"/>
      <c r="FA38" s="368">
        <v>459877.27</v>
      </c>
      <c r="FB38" s="368">
        <v>0</v>
      </c>
      <c r="FC38" s="368">
        <v>0</v>
      </c>
      <c r="FD38" s="368">
        <v>0</v>
      </c>
      <c r="FE38" s="368">
        <v>5018.45</v>
      </c>
      <c r="FF38" s="368">
        <v>4733.38</v>
      </c>
      <c r="FG38" s="368">
        <v>0</v>
      </c>
      <c r="FH38" s="368">
        <v>-1474.13</v>
      </c>
      <c r="FI38" s="368">
        <v>0</v>
      </c>
      <c r="FJ38" s="368">
        <v>0</v>
      </c>
      <c r="FK38" s="368">
        <v>16399.490000000002</v>
      </c>
      <c r="FL38" s="368">
        <v>0</v>
      </c>
      <c r="FM38" s="368">
        <v>148251.24</v>
      </c>
      <c r="FN38" s="368">
        <v>94265.08</v>
      </c>
      <c r="FO38" s="323">
        <v>1547804.82</v>
      </c>
      <c r="FP38" s="323">
        <v>484554.46</v>
      </c>
      <c r="FQ38" s="323">
        <v>2032359.28</v>
      </c>
      <c r="FR38" s="338">
        <v>175167.32</v>
      </c>
      <c r="FS38" s="338">
        <v>21348.35</v>
      </c>
      <c r="FT38" s="377">
        <v>196515.67</v>
      </c>
      <c r="FU38" s="377">
        <v>1653596.94</v>
      </c>
      <c r="FV38" s="377">
        <v>378209.3</v>
      </c>
      <c r="FW38" s="362">
        <v>2031806.24</v>
      </c>
      <c r="FX38" s="362">
        <v>1542104.91</v>
      </c>
      <c r="FY38" s="362">
        <v>332000.78000000003</v>
      </c>
      <c r="FZ38" s="362">
        <v>1874105.69</v>
      </c>
      <c r="GA38" s="362">
        <v>286659.34999999998</v>
      </c>
      <c r="GB38" s="362">
        <v>67556.87</v>
      </c>
      <c r="GC38" s="362">
        <v>354216.22</v>
      </c>
      <c r="GD38" s="362">
        <v>126140.3</v>
      </c>
      <c r="GE38" s="362">
        <v>-4612.3500000000004</v>
      </c>
      <c r="GF38" s="362">
        <v>121527.95</v>
      </c>
      <c r="GG38" s="202"/>
      <c r="GH38" s="416"/>
      <c r="GI38" s="414">
        <v>1524</v>
      </c>
      <c r="GJ38" s="419">
        <v>0</v>
      </c>
      <c r="GK38" s="396"/>
      <c r="GL38" s="202">
        <v>0</v>
      </c>
      <c r="GM38" s="202">
        <v>0</v>
      </c>
      <c r="GN38" s="323">
        <v>105792.12</v>
      </c>
      <c r="GO38" s="323">
        <v>-106345.16</v>
      </c>
      <c r="GP38" s="323">
        <v>-553.04</v>
      </c>
      <c r="GQ38" s="323">
        <v>231932.42</v>
      </c>
      <c r="GR38" s="323">
        <v>-110957.51</v>
      </c>
      <c r="GS38" s="323">
        <v>120974.91</v>
      </c>
    </row>
    <row r="39" spans="1:201" ht="12.75" customHeight="1" x14ac:dyDescent="0.2">
      <c r="A39" s="45" t="s">
        <v>69</v>
      </c>
      <c r="B39" s="167" t="s">
        <v>56</v>
      </c>
      <c r="C39" s="164" t="s">
        <v>57</v>
      </c>
      <c r="D39" s="388" t="s">
        <v>547</v>
      </c>
      <c r="E39" s="164" t="s">
        <v>9</v>
      </c>
      <c r="F39" s="11">
        <v>9</v>
      </c>
      <c r="G39" s="11">
        <v>4</v>
      </c>
      <c r="H39" s="11">
        <v>143</v>
      </c>
      <c r="I39" s="11">
        <v>0</v>
      </c>
      <c r="J39" s="11">
        <v>328</v>
      </c>
      <c r="K39" s="11">
        <v>368</v>
      </c>
      <c r="L39" s="11">
        <v>4</v>
      </c>
      <c r="M39" s="84">
        <v>1171</v>
      </c>
      <c r="N39" s="84">
        <v>1052</v>
      </c>
      <c r="O39" s="84">
        <v>1414</v>
      </c>
      <c r="P39" s="135">
        <v>976.4</v>
      </c>
      <c r="Q39" s="133">
        <v>1308.5</v>
      </c>
      <c r="R39" s="133">
        <v>1519.9</v>
      </c>
      <c r="S39" s="133">
        <f t="shared" si="23"/>
        <v>3804.8</v>
      </c>
      <c r="T39" s="134">
        <v>1171</v>
      </c>
      <c r="U39" s="130">
        <v>2.44</v>
      </c>
      <c r="V39" s="91">
        <v>1.9800000000000002E-2</v>
      </c>
      <c r="W39" s="91">
        <v>1.9800000000000002E-2</v>
      </c>
      <c r="X39" s="132">
        <v>1.32E-3</v>
      </c>
      <c r="Y39" s="91">
        <v>3.9699999999999999E-2</v>
      </c>
      <c r="Z39" s="29">
        <v>8892.67</v>
      </c>
      <c r="AA39" s="29">
        <v>267.89999999999998</v>
      </c>
      <c r="AB39" s="9">
        <f t="shared" si="0"/>
        <v>9160.57</v>
      </c>
      <c r="AC39" s="9">
        <f t="shared" si="28"/>
        <v>57986.41</v>
      </c>
      <c r="AD39" s="9">
        <v>1.93</v>
      </c>
      <c r="AE39" s="9">
        <v>4.3099999999999996</v>
      </c>
      <c r="AF39" s="21">
        <f>2.65-AJ39</f>
        <v>2.5</v>
      </c>
      <c r="AG39" s="18">
        <f>0.64-AQ39</f>
        <v>0.6</v>
      </c>
      <c r="AH39" s="9">
        <v>2.71</v>
      </c>
      <c r="AI39" s="13">
        <v>1358</v>
      </c>
      <c r="AJ39" s="21">
        <f t="shared" si="1"/>
        <v>0.15</v>
      </c>
      <c r="AK39" s="9">
        <v>1.89</v>
      </c>
      <c r="AL39" s="9">
        <v>0.16</v>
      </c>
      <c r="AM39" s="9">
        <v>0.1</v>
      </c>
      <c r="AN39" s="13"/>
      <c r="AO39" s="13">
        <v>820.4</v>
      </c>
      <c r="AP39" s="13">
        <f t="shared" si="24"/>
        <v>5.58</v>
      </c>
      <c r="AQ39" s="18">
        <f t="shared" si="2"/>
        <v>0.04</v>
      </c>
      <c r="AR39" s="9">
        <v>0.48</v>
      </c>
      <c r="AS39" s="9">
        <v>0.15</v>
      </c>
      <c r="AT39" s="9">
        <v>7.0000000000000007E-2</v>
      </c>
      <c r="AU39" s="9">
        <v>4.71</v>
      </c>
      <c r="AV39" s="9">
        <v>0.16</v>
      </c>
      <c r="AW39" s="9">
        <f>1.35+0.42+0.23</f>
        <v>2</v>
      </c>
      <c r="AX39" s="9">
        <f>1.89+0.58</f>
        <v>2.4700000000000002</v>
      </c>
      <c r="AY39" s="166">
        <f t="shared" si="25"/>
        <v>24.43</v>
      </c>
      <c r="AZ39" s="13">
        <v>24.43</v>
      </c>
      <c r="BA39" s="13">
        <f t="shared" si="3"/>
        <v>0</v>
      </c>
      <c r="BB39" s="9">
        <f t="shared" si="4"/>
        <v>223792.73</v>
      </c>
      <c r="BC39" s="9">
        <v>24.43</v>
      </c>
      <c r="BD39" s="10">
        <v>44409</v>
      </c>
      <c r="BE39" s="9">
        <f t="shared" si="5"/>
        <v>17679.900000000001</v>
      </c>
      <c r="BF39" s="9">
        <f t="shared" si="6"/>
        <v>39482.06</v>
      </c>
      <c r="BG39" s="9">
        <f t="shared" si="7"/>
        <v>22901.43</v>
      </c>
      <c r="BH39" s="9">
        <f t="shared" si="8"/>
        <v>5496.34</v>
      </c>
      <c r="BI39" s="9">
        <f t="shared" si="9"/>
        <v>24825.14</v>
      </c>
      <c r="BJ39" s="9">
        <f t="shared" si="10"/>
        <v>1374.09</v>
      </c>
      <c r="BK39" s="9">
        <f t="shared" si="11"/>
        <v>17313.48</v>
      </c>
      <c r="BL39" s="9">
        <f t="shared" si="12"/>
        <v>1465.69</v>
      </c>
      <c r="BM39" s="9">
        <f t="shared" si="13"/>
        <v>916.06</v>
      </c>
      <c r="BN39" s="9">
        <f t="shared" si="14"/>
        <v>366.42</v>
      </c>
      <c r="BO39" s="9">
        <f t="shared" si="15"/>
        <v>4397.07</v>
      </c>
      <c r="BP39" s="9">
        <f t="shared" si="16"/>
        <v>1374.09</v>
      </c>
      <c r="BQ39" s="9">
        <f t="shared" si="17"/>
        <v>641.24</v>
      </c>
      <c r="BR39" s="9">
        <f t="shared" si="18"/>
        <v>43146.28</v>
      </c>
      <c r="BS39" s="9">
        <f t="shared" si="19"/>
        <v>1465.69</v>
      </c>
      <c r="BT39" s="9">
        <f t="shared" si="20"/>
        <v>18321.14</v>
      </c>
      <c r="BU39" s="9">
        <f t="shared" si="21"/>
        <v>22626.61</v>
      </c>
      <c r="BV39" s="17">
        <f t="shared" si="22"/>
        <v>223792.73</v>
      </c>
      <c r="BW39" s="17">
        <v>3.66</v>
      </c>
      <c r="BX39" s="17">
        <v>0.08</v>
      </c>
      <c r="BY39" s="17">
        <v>0.52</v>
      </c>
      <c r="BZ39" s="17">
        <v>0.09</v>
      </c>
      <c r="CA39" s="29">
        <v>6.33</v>
      </c>
      <c r="CB39" s="325"/>
      <c r="CC39" s="13">
        <v>78537.600000000006</v>
      </c>
      <c r="CD39" s="13">
        <v>14520.19</v>
      </c>
      <c r="CE39" s="13">
        <v>0</v>
      </c>
      <c r="CF39" s="13">
        <v>-61.62</v>
      </c>
      <c r="CG39" s="13">
        <v>182.19</v>
      </c>
      <c r="CH39" s="13">
        <v>0</v>
      </c>
      <c r="CI39" s="13">
        <v>10869</v>
      </c>
      <c r="CJ39" s="13">
        <v>59616</v>
      </c>
      <c r="CK39" s="13">
        <v>3518.44</v>
      </c>
      <c r="CL39" s="13">
        <v>2601829.86</v>
      </c>
      <c r="CM39" s="13">
        <v>514753.8</v>
      </c>
      <c r="CN39" s="13">
        <v>0</v>
      </c>
      <c r="CO39" s="13">
        <v>-2042.37</v>
      </c>
      <c r="CP39" s="13">
        <v>3196.84</v>
      </c>
      <c r="CQ39" s="13">
        <v>0</v>
      </c>
      <c r="CR39" s="13">
        <v>2614126.2999999998</v>
      </c>
      <c r="CS39" s="13">
        <v>475718.49</v>
      </c>
      <c r="CT39" s="13">
        <v>2952.84</v>
      </c>
      <c r="CU39" s="13">
        <v>6860.34</v>
      </c>
      <c r="CV39" s="13">
        <v>6535.74</v>
      </c>
      <c r="CW39" s="13">
        <v>0</v>
      </c>
      <c r="CX39" s="13">
        <v>285945.23</v>
      </c>
      <c r="CY39" s="13">
        <v>76568.53</v>
      </c>
      <c r="CZ39" s="13">
        <v>-4253.1000000000004</v>
      </c>
      <c r="DA39" s="13">
        <v>-3875.38</v>
      </c>
      <c r="DB39" s="13">
        <v>-1418.8</v>
      </c>
      <c r="DC39" s="13"/>
      <c r="DD39" s="315">
        <v>3117738.13</v>
      </c>
      <c r="DE39" s="317">
        <v>3106193.71</v>
      </c>
      <c r="DF39" s="317">
        <v>99.63</v>
      </c>
      <c r="DG39" s="318">
        <v>352966.48</v>
      </c>
      <c r="DH39" s="310">
        <v>93302.28</v>
      </c>
      <c r="DI39" s="310">
        <v>53360.52</v>
      </c>
      <c r="DJ39" s="312">
        <v>0</v>
      </c>
      <c r="DK39" s="362">
        <v>0</v>
      </c>
      <c r="DL39" s="362"/>
      <c r="DM39" s="362">
        <v>0</v>
      </c>
      <c r="DN39" s="362">
        <v>0</v>
      </c>
      <c r="DO39" s="362">
        <v>0</v>
      </c>
      <c r="DP39" s="362">
        <v>21592.2</v>
      </c>
      <c r="DQ39" s="362">
        <v>2170</v>
      </c>
      <c r="DR39" s="362"/>
      <c r="DS39" s="362">
        <v>0</v>
      </c>
      <c r="DT39" s="362"/>
      <c r="DU39" s="362">
        <v>0</v>
      </c>
      <c r="DV39" s="362">
        <v>0</v>
      </c>
      <c r="DW39" s="362">
        <v>205119.25</v>
      </c>
      <c r="DX39" s="362">
        <v>0</v>
      </c>
      <c r="DY39" s="362">
        <v>56000</v>
      </c>
      <c r="DZ39" s="375">
        <v>0</v>
      </c>
      <c r="EA39" s="362">
        <v>0</v>
      </c>
      <c r="EB39" s="362">
        <v>0</v>
      </c>
      <c r="EC39" s="362"/>
      <c r="ED39" s="362">
        <v>675742.68</v>
      </c>
      <c r="EE39" s="362">
        <v>11240</v>
      </c>
      <c r="EF39" s="362"/>
      <c r="EG39" s="362">
        <v>0</v>
      </c>
      <c r="EH39" s="362">
        <v>0</v>
      </c>
      <c r="EI39" s="362"/>
      <c r="EJ39" s="362">
        <v>0</v>
      </c>
      <c r="EK39" s="362"/>
      <c r="EL39" s="362">
        <v>0</v>
      </c>
      <c r="EM39" s="362">
        <v>4577.82</v>
      </c>
      <c r="EN39" s="362">
        <v>737795.4</v>
      </c>
      <c r="EO39" s="362">
        <v>0</v>
      </c>
      <c r="EP39" s="362">
        <v>0</v>
      </c>
      <c r="EQ39" s="362">
        <v>0</v>
      </c>
      <c r="ER39" s="362">
        <v>15015</v>
      </c>
      <c r="ES39" s="362">
        <v>9420</v>
      </c>
      <c r="ET39" s="362">
        <v>17658</v>
      </c>
      <c r="EU39" s="362">
        <v>0</v>
      </c>
      <c r="EV39" s="362">
        <v>335737.4</v>
      </c>
      <c r="EW39" s="362"/>
      <c r="EX39" s="202"/>
      <c r="EY39" s="202"/>
      <c r="EZ39" s="229"/>
      <c r="FA39" s="368">
        <v>558564.43000000005</v>
      </c>
      <c r="FB39" s="368">
        <v>0</v>
      </c>
      <c r="FC39" s="368">
        <v>0</v>
      </c>
      <c r="FD39" s="368">
        <v>0</v>
      </c>
      <c r="FE39" s="368">
        <v>1879.56</v>
      </c>
      <c r="FF39" s="368">
        <v>4825</v>
      </c>
      <c r="FG39" s="368">
        <v>-3567.17</v>
      </c>
      <c r="FH39" s="368">
        <v>-4324.33</v>
      </c>
      <c r="FI39" s="368">
        <v>0</v>
      </c>
      <c r="FJ39" s="368">
        <v>0</v>
      </c>
      <c r="FK39" s="368">
        <v>0</v>
      </c>
      <c r="FL39" s="368">
        <v>0</v>
      </c>
      <c r="FM39" s="368">
        <v>244679.08</v>
      </c>
      <c r="FN39" s="368">
        <v>155588.85999999999</v>
      </c>
      <c r="FO39" s="323">
        <v>2638998.4900000002</v>
      </c>
      <c r="FP39" s="323">
        <v>557377.49</v>
      </c>
      <c r="FQ39" s="323">
        <v>3196375.98</v>
      </c>
      <c r="FR39" s="338">
        <v>251465.71</v>
      </c>
      <c r="FS39" s="338">
        <v>62827.32</v>
      </c>
      <c r="FT39" s="377">
        <v>314293.03000000003</v>
      </c>
      <c r="FU39" s="377">
        <v>2750852.46</v>
      </c>
      <c r="FV39" s="377">
        <v>534067.47</v>
      </c>
      <c r="FW39" s="362">
        <v>3284919.93</v>
      </c>
      <c r="FX39" s="362">
        <v>2709158.28</v>
      </c>
      <c r="FY39" s="362">
        <v>528499.31999999995</v>
      </c>
      <c r="FZ39" s="362">
        <v>3237657.6</v>
      </c>
      <c r="GA39" s="362">
        <v>293159.89</v>
      </c>
      <c r="GB39" s="362">
        <v>68395.47</v>
      </c>
      <c r="GC39" s="362">
        <v>361555.36</v>
      </c>
      <c r="GD39" s="362">
        <v>60526.2</v>
      </c>
      <c r="GE39" s="362">
        <v>-4406.16</v>
      </c>
      <c r="GF39" s="362">
        <v>56120.04</v>
      </c>
      <c r="GG39" s="202">
        <v>8588.8799999999992</v>
      </c>
      <c r="GH39" s="416">
        <v>84</v>
      </c>
      <c r="GI39" s="414">
        <v>4039.1</v>
      </c>
      <c r="GJ39" s="419">
        <v>93178.36</v>
      </c>
      <c r="GK39" s="396">
        <v>8588.8799999999992</v>
      </c>
      <c r="GL39" s="202">
        <v>7214.6592000000001</v>
      </c>
      <c r="GM39" s="202">
        <v>1374.2208000000001</v>
      </c>
      <c r="GN39" s="323">
        <v>111853.97</v>
      </c>
      <c r="GO39" s="323">
        <v>-23310.02</v>
      </c>
      <c r="GP39" s="323">
        <v>88543.95</v>
      </c>
      <c r="GQ39" s="323">
        <v>172380.17</v>
      </c>
      <c r="GR39" s="323">
        <v>-27716.18</v>
      </c>
      <c r="GS39" s="323">
        <v>144663.99</v>
      </c>
    </row>
    <row r="40" spans="1:201" ht="12.75" customHeight="1" x14ac:dyDescent="0.2">
      <c r="A40" s="45" t="s">
        <v>70</v>
      </c>
      <c r="B40" s="148" t="s">
        <v>59</v>
      </c>
      <c r="C40" s="149" t="s">
        <v>48</v>
      </c>
      <c r="D40" s="388" t="s">
        <v>618</v>
      </c>
      <c r="E40" s="149" t="s">
        <v>12</v>
      </c>
      <c r="F40" s="11">
        <v>9</v>
      </c>
      <c r="G40" s="11">
        <v>7</v>
      </c>
      <c r="H40" s="11">
        <v>216</v>
      </c>
      <c r="I40" s="11">
        <v>217</v>
      </c>
      <c r="J40" s="11">
        <v>521</v>
      </c>
      <c r="K40" s="11">
        <v>655</v>
      </c>
      <c r="L40" s="11">
        <v>7</v>
      </c>
      <c r="M40" s="84">
        <v>1342</v>
      </c>
      <c r="N40" s="84">
        <v>1710</v>
      </c>
      <c r="O40" s="84">
        <v>0</v>
      </c>
      <c r="P40" s="133">
        <v>1856.5</v>
      </c>
      <c r="Q40" s="133">
        <v>1425.6</v>
      </c>
      <c r="R40" s="133">
        <v>0</v>
      </c>
      <c r="S40" s="133">
        <f t="shared" si="23"/>
        <v>3282.1</v>
      </c>
      <c r="T40" s="138">
        <v>1856.5</v>
      </c>
      <c r="U40" s="130">
        <v>2.72</v>
      </c>
      <c r="V40" s="91">
        <v>1.9800000000000002E-2</v>
      </c>
      <c r="W40" s="91">
        <v>1.9800000000000002E-2</v>
      </c>
      <c r="X40" s="132">
        <v>1.32E-3</v>
      </c>
      <c r="Y40" s="91">
        <v>3.9699999999999999E-2</v>
      </c>
      <c r="Z40" s="29">
        <v>12777.8</v>
      </c>
      <c r="AA40" s="29">
        <v>10</v>
      </c>
      <c r="AB40" s="9">
        <f t="shared" si="0"/>
        <v>12787.8</v>
      </c>
      <c r="AC40" s="9">
        <f t="shared" si="28"/>
        <v>80946.77</v>
      </c>
      <c r="AD40" s="9">
        <v>2.38</v>
      </c>
      <c r="AE40" s="9">
        <v>3.8</v>
      </c>
      <c r="AF40" s="21">
        <f>2.4-AJ40</f>
        <v>2.27</v>
      </c>
      <c r="AG40" s="18">
        <f>0.64-AQ40</f>
        <v>0.59</v>
      </c>
      <c r="AH40" s="9">
        <v>2.78</v>
      </c>
      <c r="AI40" s="13">
        <v>1642</v>
      </c>
      <c r="AJ40" s="21">
        <f t="shared" si="1"/>
        <v>0.13</v>
      </c>
      <c r="AK40" s="9">
        <v>2.36</v>
      </c>
      <c r="AL40" s="9">
        <v>0.21</v>
      </c>
      <c r="AM40" s="9">
        <v>0.05</v>
      </c>
      <c r="AN40" s="13"/>
      <c r="AO40" s="13">
        <v>1478.4</v>
      </c>
      <c r="AP40" s="13">
        <f t="shared" si="24"/>
        <v>5.58</v>
      </c>
      <c r="AQ40" s="18">
        <f t="shared" si="2"/>
        <v>0.05</v>
      </c>
      <c r="AR40" s="9">
        <v>0.54</v>
      </c>
      <c r="AS40" s="9">
        <v>0.11</v>
      </c>
      <c r="AT40" s="9">
        <v>7.0000000000000007E-2</v>
      </c>
      <c r="AU40" s="9">
        <v>4.8499999999999996</v>
      </c>
      <c r="AV40" s="9">
        <v>0.15</v>
      </c>
      <c r="AW40" s="9">
        <f>1.37+0.43+0.22</f>
        <v>2.02</v>
      </c>
      <c r="AX40" s="9">
        <f>1.93+0.57</f>
        <v>2.5</v>
      </c>
      <c r="AY40" s="151">
        <f t="shared" si="25"/>
        <v>24.86</v>
      </c>
      <c r="AZ40" s="13">
        <v>24.86</v>
      </c>
      <c r="BA40" s="13">
        <f t="shared" si="3"/>
        <v>0</v>
      </c>
      <c r="BB40" s="9">
        <f t="shared" si="4"/>
        <v>317904.71000000002</v>
      </c>
      <c r="BC40" s="9">
        <v>24.86</v>
      </c>
      <c r="BD40" s="10">
        <v>44409</v>
      </c>
      <c r="BE40" s="9">
        <f t="shared" si="5"/>
        <v>30434.959999999999</v>
      </c>
      <c r="BF40" s="9">
        <f t="shared" si="6"/>
        <v>48593.64</v>
      </c>
      <c r="BG40" s="9">
        <f t="shared" si="7"/>
        <v>29028.31</v>
      </c>
      <c r="BH40" s="9">
        <f t="shared" si="8"/>
        <v>7544.8</v>
      </c>
      <c r="BI40" s="9">
        <f t="shared" si="9"/>
        <v>35550.080000000002</v>
      </c>
      <c r="BJ40" s="9">
        <f t="shared" si="10"/>
        <v>1662.41</v>
      </c>
      <c r="BK40" s="9">
        <f t="shared" si="11"/>
        <v>30179.21</v>
      </c>
      <c r="BL40" s="9">
        <f t="shared" si="12"/>
        <v>2685.44</v>
      </c>
      <c r="BM40" s="9">
        <f t="shared" si="13"/>
        <v>639.39</v>
      </c>
      <c r="BN40" s="9">
        <f t="shared" si="14"/>
        <v>639.39</v>
      </c>
      <c r="BO40" s="9">
        <f t="shared" si="15"/>
        <v>6905.41</v>
      </c>
      <c r="BP40" s="9">
        <f t="shared" si="16"/>
        <v>1406.66</v>
      </c>
      <c r="BQ40" s="9">
        <f t="shared" si="17"/>
        <v>895.15</v>
      </c>
      <c r="BR40" s="9">
        <f t="shared" si="18"/>
        <v>62020.83</v>
      </c>
      <c r="BS40" s="9">
        <f t="shared" si="19"/>
        <v>1918.17</v>
      </c>
      <c r="BT40" s="9">
        <f t="shared" si="20"/>
        <v>25831.360000000001</v>
      </c>
      <c r="BU40" s="9">
        <f t="shared" si="21"/>
        <v>31969.5</v>
      </c>
      <c r="BV40" s="17">
        <f t="shared" si="22"/>
        <v>317904.71000000002</v>
      </c>
      <c r="BW40" s="17">
        <v>2.65</v>
      </c>
      <c r="BX40" s="17">
        <v>7.0000000000000007E-2</v>
      </c>
      <c r="BY40" s="17">
        <v>0.47</v>
      </c>
      <c r="BZ40" s="17">
        <v>0.08</v>
      </c>
      <c r="CA40" s="29">
        <v>6.33</v>
      </c>
      <c r="CB40" s="325"/>
      <c r="CC40" s="13">
        <v>3547.7</v>
      </c>
      <c r="CD40" s="13">
        <v>288.3</v>
      </c>
      <c r="CE40" s="13">
        <v>-2.8</v>
      </c>
      <c r="CF40" s="13">
        <v>56.1</v>
      </c>
      <c r="CG40" s="13">
        <v>33.1</v>
      </c>
      <c r="CH40" s="13">
        <v>6696</v>
      </c>
      <c r="CI40" s="13">
        <v>16115.65</v>
      </c>
      <c r="CJ40" s="13">
        <v>103176</v>
      </c>
      <c r="CK40" s="13">
        <v>4916.76</v>
      </c>
      <c r="CL40" s="13">
        <v>3778175.86</v>
      </c>
      <c r="CM40" s="13">
        <v>380840.5</v>
      </c>
      <c r="CN40" s="13">
        <v>0</v>
      </c>
      <c r="CO40" s="13">
        <v>73590.899999999994</v>
      </c>
      <c r="CP40" s="13">
        <v>45738.8</v>
      </c>
      <c r="CQ40" s="13">
        <v>0</v>
      </c>
      <c r="CR40" s="13">
        <v>3636964.41</v>
      </c>
      <c r="CS40" s="13">
        <v>352838.64</v>
      </c>
      <c r="CT40" s="13">
        <v>8215.73</v>
      </c>
      <c r="CU40" s="13">
        <v>59755.69</v>
      </c>
      <c r="CV40" s="13">
        <v>39264.21</v>
      </c>
      <c r="CW40" s="13">
        <v>0</v>
      </c>
      <c r="CX40" s="13">
        <v>535946.80000000005</v>
      </c>
      <c r="CY40" s="13">
        <v>72696.19</v>
      </c>
      <c r="CZ40" s="13">
        <v>-10959.19</v>
      </c>
      <c r="DA40" s="13">
        <v>15935.79</v>
      </c>
      <c r="DB40" s="13">
        <v>9551.4699999999993</v>
      </c>
      <c r="DC40" s="13"/>
      <c r="DD40" s="315">
        <v>4278346.0599999996</v>
      </c>
      <c r="DE40" s="317">
        <v>4097038.68</v>
      </c>
      <c r="DF40" s="317">
        <v>95.76</v>
      </c>
      <c r="DG40" s="318">
        <v>623171.06000000006</v>
      </c>
      <c r="DH40" s="310">
        <v>134222.88</v>
      </c>
      <c r="DI40" s="310">
        <v>76763.520000000004</v>
      </c>
      <c r="DJ40" s="312">
        <v>948992.46</v>
      </c>
      <c r="DK40" s="362">
        <v>39200</v>
      </c>
      <c r="DL40" s="362"/>
      <c r="DM40" s="362">
        <v>0</v>
      </c>
      <c r="DN40" s="362">
        <v>0</v>
      </c>
      <c r="DO40" s="362">
        <v>0</v>
      </c>
      <c r="DP40" s="362">
        <v>26107.8</v>
      </c>
      <c r="DQ40" s="362">
        <v>2572.5</v>
      </c>
      <c r="DR40" s="362"/>
      <c r="DS40" s="362">
        <v>0</v>
      </c>
      <c r="DT40" s="362"/>
      <c r="DU40" s="362">
        <v>7561</v>
      </c>
      <c r="DV40" s="362">
        <v>0</v>
      </c>
      <c r="DW40" s="362">
        <v>0</v>
      </c>
      <c r="DX40" s="362">
        <v>337198.61</v>
      </c>
      <c r="DY40" s="362">
        <v>84000</v>
      </c>
      <c r="DZ40" s="375">
        <v>0</v>
      </c>
      <c r="EA40" s="362">
        <v>0</v>
      </c>
      <c r="EB40" s="362">
        <v>0</v>
      </c>
      <c r="EC40" s="362"/>
      <c r="ED40" s="362">
        <v>0</v>
      </c>
      <c r="EE40" s="362">
        <v>0</v>
      </c>
      <c r="EF40" s="362"/>
      <c r="EG40" s="362">
        <v>0</v>
      </c>
      <c r="EH40" s="362">
        <v>0</v>
      </c>
      <c r="EI40" s="362"/>
      <c r="EJ40" s="362">
        <v>0</v>
      </c>
      <c r="EK40" s="362"/>
      <c r="EL40" s="362">
        <v>0</v>
      </c>
      <c r="EM40" s="362">
        <v>8249.4599999999991</v>
      </c>
      <c r="EN40" s="362">
        <v>999748.86</v>
      </c>
      <c r="EO40" s="362">
        <v>3348</v>
      </c>
      <c r="EP40" s="362">
        <v>0</v>
      </c>
      <c r="EQ40" s="362">
        <v>0</v>
      </c>
      <c r="ER40" s="362">
        <v>15015</v>
      </c>
      <c r="ES40" s="362">
        <v>6924</v>
      </c>
      <c r="ET40" s="362">
        <v>29179</v>
      </c>
      <c r="EU40" s="362">
        <v>0</v>
      </c>
      <c r="EV40" s="362">
        <v>592886.01</v>
      </c>
      <c r="EW40" s="362"/>
      <c r="EX40" s="202"/>
      <c r="EY40" s="202"/>
      <c r="EZ40" s="229"/>
      <c r="FA40" s="368">
        <v>416158.66</v>
      </c>
      <c r="FB40" s="368">
        <v>52214.48</v>
      </c>
      <c r="FC40" s="368">
        <v>0</v>
      </c>
      <c r="FD40" s="368">
        <v>0</v>
      </c>
      <c r="FE40" s="368">
        <v>86478.41</v>
      </c>
      <c r="FF40" s="368">
        <v>53247.78</v>
      </c>
      <c r="FG40" s="368">
        <v>-729.65</v>
      </c>
      <c r="FH40" s="368">
        <v>-3837.35</v>
      </c>
      <c r="FI40" s="368">
        <v>0</v>
      </c>
      <c r="FJ40" s="368">
        <v>0</v>
      </c>
      <c r="FK40" s="368">
        <v>135307.23000000001</v>
      </c>
      <c r="FL40" s="368">
        <v>0</v>
      </c>
      <c r="FM40" s="368">
        <v>341824.67</v>
      </c>
      <c r="FN40" s="368">
        <v>217353.19</v>
      </c>
      <c r="FO40" s="323">
        <v>3871146.96</v>
      </c>
      <c r="FP40" s="323">
        <v>738839.56</v>
      </c>
      <c r="FQ40" s="323">
        <v>4609986.5199999996</v>
      </c>
      <c r="FR40" s="338">
        <v>352468.15</v>
      </c>
      <c r="FS40" s="338">
        <v>26070.14</v>
      </c>
      <c r="FT40" s="377">
        <v>378538.29</v>
      </c>
      <c r="FU40" s="377">
        <v>3901015.21</v>
      </c>
      <c r="FV40" s="377">
        <v>512157.66</v>
      </c>
      <c r="FW40" s="362">
        <v>4413172.87</v>
      </c>
      <c r="FX40" s="362">
        <v>3715967.61</v>
      </c>
      <c r="FY40" s="362">
        <v>447818.09</v>
      </c>
      <c r="FZ40" s="362">
        <v>4163785.7</v>
      </c>
      <c r="GA40" s="362">
        <v>537515.75</v>
      </c>
      <c r="GB40" s="362">
        <v>90409.71</v>
      </c>
      <c r="GC40" s="362">
        <v>627925.46</v>
      </c>
      <c r="GD40" s="362">
        <v>-131667.37</v>
      </c>
      <c r="GE40" s="362">
        <v>21959.599999999999</v>
      </c>
      <c r="GF40" s="362">
        <v>-109707.77</v>
      </c>
      <c r="GG40" s="202">
        <v>4754.3999999999996</v>
      </c>
      <c r="GH40" s="416">
        <v>33</v>
      </c>
      <c r="GI40" s="414">
        <v>7412.65</v>
      </c>
      <c r="GJ40" s="419">
        <v>10618.4</v>
      </c>
      <c r="GK40" s="396">
        <v>4754.3999999999996</v>
      </c>
      <c r="GL40" s="202">
        <v>1568.952</v>
      </c>
      <c r="GM40" s="202">
        <v>3185.4479999999999</v>
      </c>
      <c r="GN40" s="323">
        <v>29868.25</v>
      </c>
      <c r="GO40" s="323">
        <v>-226681.9</v>
      </c>
      <c r="GP40" s="323">
        <v>-196813.65</v>
      </c>
      <c r="GQ40" s="323">
        <v>-101799.12</v>
      </c>
      <c r="GR40" s="323">
        <v>-204722.3</v>
      </c>
      <c r="GS40" s="323">
        <v>-306521.42</v>
      </c>
    </row>
    <row r="41" spans="1:201" x14ac:dyDescent="0.2">
      <c r="A41" s="45" t="s">
        <v>71</v>
      </c>
      <c r="B41" s="148" t="s">
        <v>59</v>
      </c>
      <c r="C41" s="149" t="s">
        <v>17</v>
      </c>
      <c r="D41" s="388" t="s">
        <v>619</v>
      </c>
      <c r="E41" s="149" t="s">
        <v>12</v>
      </c>
      <c r="F41" s="11">
        <v>9</v>
      </c>
      <c r="G41" s="11">
        <v>3</v>
      </c>
      <c r="H41" s="11">
        <v>108</v>
      </c>
      <c r="I41" s="11">
        <v>110</v>
      </c>
      <c r="J41" s="11">
        <v>270</v>
      </c>
      <c r="K41" s="11">
        <v>283</v>
      </c>
      <c r="L41" s="83">
        <v>3</v>
      </c>
      <c r="M41" s="84">
        <v>647</v>
      </c>
      <c r="N41" s="84">
        <v>808</v>
      </c>
      <c r="O41" s="84">
        <v>0</v>
      </c>
      <c r="P41" s="137">
        <v>647</v>
      </c>
      <c r="Q41" s="137">
        <v>808</v>
      </c>
      <c r="R41" s="137">
        <v>0</v>
      </c>
      <c r="S41" s="133">
        <f t="shared" si="23"/>
        <v>1455</v>
      </c>
      <c r="T41" s="134">
        <v>647</v>
      </c>
      <c r="U41" s="130">
        <v>2.44</v>
      </c>
      <c r="V41" s="131">
        <v>1.9800000000000002E-2</v>
      </c>
      <c r="W41" s="131">
        <v>1.9800000000000002E-2</v>
      </c>
      <c r="X41" s="132">
        <v>1.32E-3</v>
      </c>
      <c r="Y41" s="131">
        <v>3.9699999999999999E-2</v>
      </c>
      <c r="Z41" s="29">
        <v>5792.43</v>
      </c>
      <c r="AA41" s="29">
        <v>14.9</v>
      </c>
      <c r="AB41" s="9">
        <f t="shared" si="0"/>
        <v>5807.33</v>
      </c>
      <c r="AC41" s="9">
        <f t="shared" si="28"/>
        <v>36760.400000000001</v>
      </c>
      <c r="AD41" s="9">
        <v>2.4500000000000002</v>
      </c>
      <c r="AE41" s="9">
        <v>3.56</v>
      </c>
      <c r="AF41" s="21">
        <f>2.49-AJ41</f>
        <v>2.36</v>
      </c>
      <c r="AG41" s="18">
        <f>0.62-AQ41</f>
        <v>0.56000000000000005</v>
      </c>
      <c r="AH41" s="9">
        <v>2.78</v>
      </c>
      <c r="AI41" s="13">
        <v>776</v>
      </c>
      <c r="AJ41" s="21">
        <f t="shared" si="1"/>
        <v>0.13</v>
      </c>
      <c r="AK41" s="9">
        <v>2.23</v>
      </c>
      <c r="AL41" s="9">
        <v>0.19</v>
      </c>
      <c r="AM41" s="9">
        <v>0.1</v>
      </c>
      <c r="AN41" s="13"/>
      <c r="AO41" s="13">
        <v>772.2</v>
      </c>
      <c r="AP41" s="13">
        <f t="shared" si="24"/>
        <v>5.58</v>
      </c>
      <c r="AQ41" s="18">
        <f t="shared" si="2"/>
        <v>0.06</v>
      </c>
      <c r="AR41" s="9">
        <v>0.56999999999999995</v>
      </c>
      <c r="AS41" s="9">
        <v>0.24</v>
      </c>
      <c r="AT41" s="9">
        <v>7.0000000000000007E-2</v>
      </c>
      <c r="AU41" s="9">
        <v>4.8600000000000003</v>
      </c>
      <c r="AV41" s="9">
        <v>0.16</v>
      </c>
      <c r="AW41" s="9">
        <f>1.37+0.43+0.26</f>
        <v>2.06</v>
      </c>
      <c r="AX41" s="9">
        <f>1.93+0.58</f>
        <v>2.5099999999999998</v>
      </c>
      <c r="AY41" s="151">
        <f t="shared" si="25"/>
        <v>24.89</v>
      </c>
      <c r="AZ41" s="13">
        <v>24.89</v>
      </c>
      <c r="BA41" s="13">
        <f t="shared" si="3"/>
        <v>0</v>
      </c>
      <c r="BB41" s="9">
        <f t="shared" si="4"/>
        <v>144544.44</v>
      </c>
      <c r="BC41" s="9">
        <v>24.89</v>
      </c>
      <c r="BD41" s="10">
        <v>44409</v>
      </c>
      <c r="BE41" s="9">
        <f t="shared" si="5"/>
        <v>14227.96</v>
      </c>
      <c r="BF41" s="9">
        <f t="shared" si="6"/>
        <v>20674.09</v>
      </c>
      <c r="BG41" s="9">
        <f t="shared" si="7"/>
        <v>13705.3</v>
      </c>
      <c r="BH41" s="9">
        <f t="shared" si="8"/>
        <v>3252.1</v>
      </c>
      <c r="BI41" s="9">
        <f t="shared" si="9"/>
        <v>16144.38</v>
      </c>
      <c r="BJ41" s="9">
        <f t="shared" si="10"/>
        <v>754.95</v>
      </c>
      <c r="BK41" s="9">
        <f t="shared" si="11"/>
        <v>12950.35</v>
      </c>
      <c r="BL41" s="9">
        <f t="shared" si="12"/>
        <v>1103.3900000000001</v>
      </c>
      <c r="BM41" s="9">
        <f t="shared" si="13"/>
        <v>580.73</v>
      </c>
      <c r="BN41" s="9">
        <f t="shared" si="14"/>
        <v>348.44</v>
      </c>
      <c r="BO41" s="9">
        <f t="shared" si="15"/>
        <v>3310.18</v>
      </c>
      <c r="BP41" s="9">
        <f t="shared" si="16"/>
        <v>1393.76</v>
      </c>
      <c r="BQ41" s="9">
        <f t="shared" si="17"/>
        <v>406.51</v>
      </c>
      <c r="BR41" s="9">
        <f t="shared" si="18"/>
        <v>28223.62</v>
      </c>
      <c r="BS41" s="9">
        <f t="shared" si="19"/>
        <v>929.17</v>
      </c>
      <c r="BT41" s="9">
        <f t="shared" si="20"/>
        <v>11963.1</v>
      </c>
      <c r="BU41" s="9">
        <f t="shared" si="21"/>
        <v>14576.4</v>
      </c>
      <c r="BV41" s="17">
        <f t="shared" si="22"/>
        <v>144544.43</v>
      </c>
      <c r="BW41" s="17">
        <v>2.4</v>
      </c>
      <c r="BX41" s="17">
        <v>0.08</v>
      </c>
      <c r="BY41" s="17">
        <v>0.48</v>
      </c>
      <c r="BZ41" s="17">
        <v>0.08</v>
      </c>
      <c r="CA41" s="29">
        <v>6.33</v>
      </c>
      <c r="CB41" s="325"/>
      <c r="CC41" s="13">
        <v>4450.32</v>
      </c>
      <c r="CD41" s="13">
        <v>543.86</v>
      </c>
      <c r="CE41" s="13">
        <v>0</v>
      </c>
      <c r="CF41" s="13">
        <v>28.75</v>
      </c>
      <c r="CG41" s="13">
        <v>21.28</v>
      </c>
      <c r="CH41" s="13">
        <v>2232</v>
      </c>
      <c r="CI41" s="13">
        <v>10606.93</v>
      </c>
      <c r="CJ41" s="13">
        <v>42780</v>
      </c>
      <c r="CK41" s="13">
        <v>2233.44</v>
      </c>
      <c r="CL41" s="13">
        <v>1729721.42</v>
      </c>
      <c r="CM41" s="13">
        <v>211423.92</v>
      </c>
      <c r="CN41" s="13">
        <v>0</v>
      </c>
      <c r="CO41" s="13">
        <v>11179.69</v>
      </c>
      <c r="CP41" s="13">
        <v>8283.58</v>
      </c>
      <c r="CQ41" s="13">
        <v>0</v>
      </c>
      <c r="CR41" s="13">
        <v>1580222.2</v>
      </c>
      <c r="CS41" s="13">
        <v>169215.39</v>
      </c>
      <c r="CT41" s="13">
        <v>1565.11</v>
      </c>
      <c r="CU41" s="13">
        <v>10218.290000000001</v>
      </c>
      <c r="CV41" s="13">
        <v>6936.04</v>
      </c>
      <c r="CW41" s="13">
        <v>0</v>
      </c>
      <c r="CX41" s="13">
        <v>301036.13</v>
      </c>
      <c r="CY41" s="13">
        <v>40918.33</v>
      </c>
      <c r="CZ41" s="13">
        <v>-2480.2199999999998</v>
      </c>
      <c r="DA41" s="13">
        <v>2920.42</v>
      </c>
      <c r="DB41" s="13">
        <v>1838.45</v>
      </c>
      <c r="DC41" s="13"/>
      <c r="DD41" s="315">
        <v>1960608.61</v>
      </c>
      <c r="DE41" s="317">
        <v>1768157.03</v>
      </c>
      <c r="DF41" s="317">
        <v>90.18</v>
      </c>
      <c r="DG41" s="318">
        <v>344233.11</v>
      </c>
      <c r="DH41" s="310">
        <v>60863.519999999997</v>
      </c>
      <c r="DI41" s="310">
        <v>34808.519999999997</v>
      </c>
      <c r="DJ41" s="312">
        <v>424767.12</v>
      </c>
      <c r="DK41" s="362">
        <v>32400</v>
      </c>
      <c r="DL41" s="362"/>
      <c r="DM41" s="362">
        <v>0</v>
      </c>
      <c r="DN41" s="362">
        <v>0</v>
      </c>
      <c r="DO41" s="362">
        <v>0</v>
      </c>
      <c r="DP41" s="362">
        <v>12338.4</v>
      </c>
      <c r="DQ41" s="362">
        <v>1102.5</v>
      </c>
      <c r="DR41" s="362"/>
      <c r="DS41" s="362">
        <v>0</v>
      </c>
      <c r="DT41" s="362"/>
      <c r="DU41" s="362">
        <v>2498</v>
      </c>
      <c r="DV41" s="362">
        <v>0</v>
      </c>
      <c r="DW41" s="362">
        <v>0</v>
      </c>
      <c r="DX41" s="362">
        <v>154522.57999999999</v>
      </c>
      <c r="DY41" s="362">
        <v>13500</v>
      </c>
      <c r="DZ41" s="375">
        <v>0</v>
      </c>
      <c r="EA41" s="362">
        <v>0</v>
      </c>
      <c r="EB41" s="362">
        <v>0</v>
      </c>
      <c r="EC41" s="362"/>
      <c r="ED41" s="362">
        <v>0</v>
      </c>
      <c r="EE41" s="362">
        <v>0</v>
      </c>
      <c r="EF41" s="362"/>
      <c r="EG41" s="362">
        <v>0</v>
      </c>
      <c r="EH41" s="362">
        <v>0</v>
      </c>
      <c r="EI41" s="362"/>
      <c r="EJ41" s="362">
        <v>0</v>
      </c>
      <c r="EK41" s="362"/>
      <c r="EL41" s="362">
        <v>0</v>
      </c>
      <c r="EM41" s="362">
        <v>4308.87</v>
      </c>
      <c r="EN41" s="362">
        <v>459130.2</v>
      </c>
      <c r="EO41" s="362">
        <v>1116</v>
      </c>
      <c r="EP41" s="362">
        <v>0</v>
      </c>
      <c r="EQ41" s="362">
        <v>0</v>
      </c>
      <c r="ER41" s="362">
        <v>16380</v>
      </c>
      <c r="ES41" s="362">
        <v>1731</v>
      </c>
      <c r="ET41" s="362">
        <v>13323</v>
      </c>
      <c r="EU41" s="362">
        <v>0</v>
      </c>
      <c r="EV41" s="362">
        <v>288935.15999999997</v>
      </c>
      <c r="EW41" s="362"/>
      <c r="EX41" s="202"/>
      <c r="EY41" s="202"/>
      <c r="EZ41" s="229"/>
      <c r="FA41" s="368">
        <v>217998.11</v>
      </c>
      <c r="FB41" s="368">
        <v>0</v>
      </c>
      <c r="FC41" s="368">
        <v>0</v>
      </c>
      <c r="FD41" s="368">
        <v>0</v>
      </c>
      <c r="FE41" s="368">
        <v>13055.49</v>
      </c>
      <c r="FF41" s="368">
        <v>8649.77</v>
      </c>
      <c r="FG41" s="368">
        <v>0</v>
      </c>
      <c r="FH41" s="368">
        <v>-1485.81</v>
      </c>
      <c r="FI41" s="368">
        <v>0</v>
      </c>
      <c r="FJ41" s="368">
        <v>0</v>
      </c>
      <c r="FK41" s="368">
        <v>65991.86</v>
      </c>
      <c r="FL41" s="368">
        <v>0</v>
      </c>
      <c r="FM41" s="368">
        <v>155259.32</v>
      </c>
      <c r="FN41" s="368">
        <v>98721.14</v>
      </c>
      <c r="FO41" s="323">
        <v>1775705.33</v>
      </c>
      <c r="FP41" s="323">
        <v>304209.42</v>
      </c>
      <c r="FQ41" s="323">
        <v>2079914.75</v>
      </c>
      <c r="FR41" s="338">
        <v>160103.81</v>
      </c>
      <c r="FS41" s="338">
        <v>9349.51</v>
      </c>
      <c r="FT41" s="377">
        <v>169453.32</v>
      </c>
      <c r="FU41" s="377">
        <v>1787558.67</v>
      </c>
      <c r="FV41" s="377">
        <v>235946.52</v>
      </c>
      <c r="FW41" s="362">
        <v>2023505.19</v>
      </c>
      <c r="FX41" s="362">
        <v>1646086.59</v>
      </c>
      <c r="FY41" s="362">
        <v>201753.95</v>
      </c>
      <c r="FZ41" s="362">
        <v>1847840.54</v>
      </c>
      <c r="GA41" s="362">
        <v>301575.89</v>
      </c>
      <c r="GB41" s="362">
        <v>43542.080000000002</v>
      </c>
      <c r="GC41" s="362">
        <v>345117.97</v>
      </c>
      <c r="GD41" s="362">
        <v>63555.6</v>
      </c>
      <c r="GE41" s="362">
        <v>7280.62</v>
      </c>
      <c r="GF41" s="362">
        <v>70836.22</v>
      </c>
      <c r="GG41" s="202">
        <v>884.86</v>
      </c>
      <c r="GH41" s="416">
        <v>61</v>
      </c>
      <c r="GI41" s="414">
        <v>2950.55</v>
      </c>
      <c r="GJ41" s="419">
        <v>7276.21</v>
      </c>
      <c r="GK41" s="396">
        <v>884.86</v>
      </c>
      <c r="GL41" s="202">
        <v>539.76459999999997</v>
      </c>
      <c r="GM41" s="202">
        <v>345.09539999999998</v>
      </c>
      <c r="GN41" s="323">
        <v>11853.34</v>
      </c>
      <c r="GO41" s="323">
        <v>-68262.899999999994</v>
      </c>
      <c r="GP41" s="323">
        <v>-56409.56</v>
      </c>
      <c r="GQ41" s="323">
        <v>75408.94</v>
      </c>
      <c r="GR41" s="323">
        <v>-60982.28</v>
      </c>
      <c r="GS41" s="323">
        <v>14426.66</v>
      </c>
    </row>
    <row r="42" spans="1:201" ht="12.75" customHeight="1" x14ac:dyDescent="0.2">
      <c r="A42" s="45" t="s">
        <v>72</v>
      </c>
      <c r="B42" s="148" t="s">
        <v>59</v>
      </c>
      <c r="C42" s="149" t="s">
        <v>21</v>
      </c>
      <c r="D42" s="388" t="s">
        <v>402</v>
      </c>
      <c r="E42" s="149" t="s">
        <v>12</v>
      </c>
      <c r="F42" s="11">
        <v>9</v>
      </c>
      <c r="G42" s="11">
        <v>4</v>
      </c>
      <c r="H42" s="11">
        <v>144</v>
      </c>
      <c r="I42" s="11">
        <v>144</v>
      </c>
      <c r="J42" s="11">
        <v>316</v>
      </c>
      <c r="K42" s="11">
        <v>376</v>
      </c>
      <c r="L42" s="11">
        <v>4</v>
      </c>
      <c r="M42" s="84">
        <v>864</v>
      </c>
      <c r="N42" s="84">
        <v>1076</v>
      </c>
      <c r="O42" s="84">
        <v>0</v>
      </c>
      <c r="P42" s="133">
        <v>1006.4</v>
      </c>
      <c r="Q42" s="133">
        <v>903</v>
      </c>
      <c r="R42" s="133">
        <v>0</v>
      </c>
      <c r="S42" s="133">
        <f t="shared" si="23"/>
        <v>1909.4</v>
      </c>
      <c r="T42" s="134">
        <v>1006.4</v>
      </c>
      <c r="U42" s="130">
        <v>2.44</v>
      </c>
      <c r="V42" s="91">
        <v>1.9800000000000002E-2</v>
      </c>
      <c r="W42" s="91">
        <v>1.9800000000000002E-2</v>
      </c>
      <c r="X42" s="132">
        <v>1.32E-3</v>
      </c>
      <c r="Y42" s="91">
        <v>3.9699999999999999E-2</v>
      </c>
      <c r="Z42" s="29">
        <v>7757.36</v>
      </c>
      <c r="AA42" s="29"/>
      <c r="AB42" s="9">
        <f t="shared" si="0"/>
        <v>7757.36</v>
      </c>
      <c r="AC42" s="9">
        <f t="shared" si="28"/>
        <v>49104.09</v>
      </c>
      <c r="AD42" s="9">
        <v>1.72</v>
      </c>
      <c r="AE42" s="9">
        <v>2.71</v>
      </c>
      <c r="AF42" s="21">
        <f>1.78-AJ42</f>
        <v>1.65</v>
      </c>
      <c r="AG42" s="18">
        <f>0.44-AQ42</f>
        <v>0.39</v>
      </c>
      <c r="AH42" s="9">
        <v>2</v>
      </c>
      <c r="AI42" s="43">
        <v>1033</v>
      </c>
      <c r="AJ42" s="21">
        <f t="shared" si="1"/>
        <v>0.13</v>
      </c>
      <c r="AK42" s="9">
        <v>1.6</v>
      </c>
      <c r="AL42" s="9">
        <v>0.14000000000000001</v>
      </c>
      <c r="AM42" s="9">
        <v>0.05</v>
      </c>
      <c r="AN42" s="13"/>
      <c r="AO42" s="13">
        <v>844.8</v>
      </c>
      <c r="AP42" s="13">
        <f t="shared" si="24"/>
        <v>5.58</v>
      </c>
      <c r="AQ42" s="18">
        <f t="shared" si="2"/>
        <v>0.05</v>
      </c>
      <c r="AR42" s="9">
        <v>0.41</v>
      </c>
      <c r="AS42" s="9">
        <v>0.13</v>
      </c>
      <c r="AT42" s="9">
        <v>0.05</v>
      </c>
      <c r="AU42" s="9">
        <v>3.42</v>
      </c>
      <c r="AV42" s="9">
        <v>0.12</v>
      </c>
      <c r="AW42" s="9">
        <f>0.99+0.19+0.43</f>
        <v>1.61</v>
      </c>
      <c r="AX42" s="9">
        <f>1.39+0.41</f>
        <v>1.8</v>
      </c>
      <c r="AY42" s="151">
        <f t="shared" si="25"/>
        <v>17.98</v>
      </c>
      <c r="AZ42" s="13">
        <v>17.98</v>
      </c>
      <c r="BA42" s="13">
        <f t="shared" si="3"/>
        <v>0</v>
      </c>
      <c r="BB42" s="9">
        <f t="shared" si="4"/>
        <v>139477.32999999999</v>
      </c>
      <c r="BC42" s="13">
        <v>17.98</v>
      </c>
      <c r="BD42" s="10">
        <v>44409</v>
      </c>
      <c r="BE42" s="9">
        <f t="shared" si="5"/>
        <v>13342.66</v>
      </c>
      <c r="BF42" s="9">
        <f t="shared" si="6"/>
        <v>21022.45</v>
      </c>
      <c r="BG42" s="9">
        <f t="shared" si="7"/>
        <v>12799.64</v>
      </c>
      <c r="BH42" s="9">
        <f t="shared" si="8"/>
        <v>3025.37</v>
      </c>
      <c r="BI42" s="9">
        <f t="shared" si="9"/>
        <v>15514.72</v>
      </c>
      <c r="BJ42" s="9">
        <f t="shared" si="10"/>
        <v>1008.46</v>
      </c>
      <c r="BK42" s="9">
        <f t="shared" si="11"/>
        <v>12411.78</v>
      </c>
      <c r="BL42" s="9">
        <f t="shared" si="12"/>
        <v>1086.03</v>
      </c>
      <c r="BM42" s="9">
        <f t="shared" si="13"/>
        <v>387.87</v>
      </c>
      <c r="BN42" s="9">
        <f t="shared" si="14"/>
        <v>387.87</v>
      </c>
      <c r="BO42" s="9">
        <f t="shared" si="15"/>
        <v>3180.52</v>
      </c>
      <c r="BP42" s="9">
        <f t="shared" si="16"/>
        <v>1008.46</v>
      </c>
      <c r="BQ42" s="9">
        <f t="shared" si="17"/>
        <v>387.87</v>
      </c>
      <c r="BR42" s="9">
        <f t="shared" si="18"/>
        <v>26530.17</v>
      </c>
      <c r="BS42" s="9">
        <f t="shared" si="19"/>
        <v>930.88</v>
      </c>
      <c r="BT42" s="9">
        <f t="shared" si="20"/>
        <v>12489.35</v>
      </c>
      <c r="BU42" s="9">
        <f t="shared" si="21"/>
        <v>13963.25</v>
      </c>
      <c r="BV42" s="17">
        <f t="shared" si="22"/>
        <v>139477.35</v>
      </c>
      <c r="BW42" s="17">
        <v>2.42</v>
      </c>
      <c r="BX42" s="17">
        <v>7.0000000000000007E-2</v>
      </c>
      <c r="BY42" s="17">
        <v>0.43</v>
      </c>
      <c r="BZ42" s="17">
        <v>0.08</v>
      </c>
      <c r="CA42" s="29">
        <v>6.33</v>
      </c>
      <c r="CB42" s="325"/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3120.45</v>
      </c>
      <c r="CJ42" s="13">
        <v>62892</v>
      </c>
      <c r="CK42" s="13">
        <v>2982.66</v>
      </c>
      <c r="CL42" s="13">
        <v>1668332.99</v>
      </c>
      <c r="CM42" s="13">
        <v>182655.67</v>
      </c>
      <c r="CN42" s="13">
        <v>48479.77</v>
      </c>
      <c r="CO42" s="13">
        <v>1550.85</v>
      </c>
      <c r="CP42" s="13">
        <v>4344.26</v>
      </c>
      <c r="CQ42" s="13">
        <v>0</v>
      </c>
      <c r="CR42" s="13">
        <v>1605342.97</v>
      </c>
      <c r="CS42" s="13">
        <v>171284.39</v>
      </c>
      <c r="CT42" s="13">
        <v>28375.759999999998</v>
      </c>
      <c r="CU42" s="13">
        <v>2485.17</v>
      </c>
      <c r="CV42" s="13">
        <v>4321.76</v>
      </c>
      <c r="CW42" s="13">
        <v>0</v>
      </c>
      <c r="CX42" s="13">
        <v>199339.18</v>
      </c>
      <c r="CY42" s="13">
        <v>25193.73</v>
      </c>
      <c r="CZ42" s="13">
        <v>7968.19</v>
      </c>
      <c r="DA42" s="13">
        <v>-361.68</v>
      </c>
      <c r="DB42" s="13">
        <v>260.08999999999997</v>
      </c>
      <c r="DC42" s="13"/>
      <c r="DD42" s="315">
        <v>1905363.54</v>
      </c>
      <c r="DE42" s="317">
        <v>1811810.05</v>
      </c>
      <c r="DF42" s="317">
        <v>95.09</v>
      </c>
      <c r="DG42" s="318">
        <v>232399.51</v>
      </c>
      <c r="DH42" s="310">
        <v>81487.8</v>
      </c>
      <c r="DI42" s="310">
        <v>46603.8</v>
      </c>
      <c r="DJ42" s="312">
        <v>0</v>
      </c>
      <c r="DK42" s="362">
        <v>37500</v>
      </c>
      <c r="DL42" s="362"/>
      <c r="DM42" s="362">
        <v>0</v>
      </c>
      <c r="DN42" s="362">
        <v>0</v>
      </c>
      <c r="DO42" s="362">
        <v>0</v>
      </c>
      <c r="DP42" s="362">
        <v>0</v>
      </c>
      <c r="DQ42" s="362">
        <v>0</v>
      </c>
      <c r="DR42" s="362"/>
      <c r="DS42" s="362">
        <v>0</v>
      </c>
      <c r="DT42" s="362"/>
      <c r="DU42" s="362">
        <v>0</v>
      </c>
      <c r="DV42" s="362">
        <v>0</v>
      </c>
      <c r="DW42" s="362">
        <v>199871.39</v>
      </c>
      <c r="DX42" s="362">
        <v>0</v>
      </c>
      <c r="DY42" s="362">
        <v>56000</v>
      </c>
      <c r="DZ42" s="375">
        <v>0</v>
      </c>
      <c r="EA42" s="362">
        <v>419358</v>
      </c>
      <c r="EB42" s="362">
        <v>0</v>
      </c>
      <c r="EC42" s="362"/>
      <c r="ED42" s="362">
        <v>0</v>
      </c>
      <c r="EE42" s="362">
        <v>0</v>
      </c>
      <c r="EF42" s="362"/>
      <c r="EG42" s="362">
        <v>16440</v>
      </c>
      <c r="EH42" s="362">
        <v>4550</v>
      </c>
      <c r="EI42" s="362"/>
      <c r="EJ42" s="362">
        <v>0</v>
      </c>
      <c r="EK42" s="362"/>
      <c r="EL42" s="362">
        <v>0</v>
      </c>
      <c r="EM42" s="362">
        <v>4713.99</v>
      </c>
      <c r="EN42" s="362">
        <v>316351.74</v>
      </c>
      <c r="EO42" s="362">
        <v>0</v>
      </c>
      <c r="EP42" s="362">
        <v>0</v>
      </c>
      <c r="EQ42" s="362">
        <v>0</v>
      </c>
      <c r="ER42" s="362">
        <v>16380</v>
      </c>
      <c r="ES42" s="362">
        <v>5193</v>
      </c>
      <c r="ET42" s="362">
        <v>17764</v>
      </c>
      <c r="EU42" s="362">
        <v>0</v>
      </c>
      <c r="EV42" s="362">
        <v>63353.17</v>
      </c>
      <c r="EW42" s="362"/>
      <c r="EX42" s="202"/>
      <c r="EY42" s="202"/>
      <c r="EZ42" s="229"/>
      <c r="FA42" s="368">
        <v>185639.94</v>
      </c>
      <c r="FB42" s="368">
        <v>65487.94</v>
      </c>
      <c r="FC42" s="368">
        <v>0</v>
      </c>
      <c r="FD42" s="368">
        <v>0</v>
      </c>
      <c r="FE42" s="368">
        <v>1615.32</v>
      </c>
      <c r="FF42" s="368">
        <v>4146.8</v>
      </c>
      <c r="FG42" s="368">
        <v>0</v>
      </c>
      <c r="FH42" s="368">
        <v>-2084.2199999999998</v>
      </c>
      <c r="FI42" s="368">
        <v>0</v>
      </c>
      <c r="FJ42" s="368">
        <v>0</v>
      </c>
      <c r="FK42" s="368">
        <v>71589</v>
      </c>
      <c r="FL42" s="368">
        <v>0</v>
      </c>
      <c r="FM42" s="368">
        <v>207360.62</v>
      </c>
      <c r="FN42" s="368">
        <v>131849.89000000001</v>
      </c>
      <c r="FO42" s="323">
        <v>1624777.4</v>
      </c>
      <c r="FP42" s="323">
        <v>326394.78000000003</v>
      </c>
      <c r="FQ42" s="323">
        <v>1951172.18</v>
      </c>
      <c r="FR42" s="338">
        <v>135646.99</v>
      </c>
      <c r="FS42" s="338">
        <v>7426.75</v>
      </c>
      <c r="FT42" s="377">
        <v>143073.74</v>
      </c>
      <c r="FU42" s="377">
        <v>1734345.44</v>
      </c>
      <c r="FV42" s="377">
        <v>240013.21</v>
      </c>
      <c r="FW42" s="362">
        <v>1974358.65</v>
      </c>
      <c r="FX42" s="362">
        <v>1670653.25</v>
      </c>
      <c r="FY42" s="362">
        <v>214379.63</v>
      </c>
      <c r="FZ42" s="362">
        <v>1885032.88</v>
      </c>
      <c r="GA42" s="362">
        <v>199339.18</v>
      </c>
      <c r="GB42" s="362">
        <v>33060.33</v>
      </c>
      <c r="GC42" s="362">
        <v>232399.51</v>
      </c>
      <c r="GD42" s="362">
        <v>73499.679999999993</v>
      </c>
      <c r="GE42" s="362">
        <v>8427.7099999999991</v>
      </c>
      <c r="GF42" s="362">
        <v>81927.39</v>
      </c>
      <c r="GG42" s="202"/>
      <c r="GH42" s="416"/>
      <c r="GI42" s="414">
        <v>3954.1</v>
      </c>
      <c r="GJ42" s="419">
        <v>0</v>
      </c>
      <c r="GK42" s="396"/>
      <c r="GL42" s="202">
        <v>0</v>
      </c>
      <c r="GM42" s="202">
        <v>0</v>
      </c>
      <c r="GN42" s="323">
        <v>109568.04</v>
      </c>
      <c r="GO42" s="323">
        <v>-86381.57</v>
      </c>
      <c r="GP42" s="323">
        <v>23186.47</v>
      </c>
      <c r="GQ42" s="323">
        <v>183067.72</v>
      </c>
      <c r="GR42" s="323">
        <v>-77953.86</v>
      </c>
      <c r="GS42" s="323">
        <v>105113.86</v>
      </c>
    </row>
    <row r="43" spans="1:201" ht="12.75" customHeight="1" x14ac:dyDescent="0.2">
      <c r="A43" s="45" t="s">
        <v>73</v>
      </c>
      <c r="B43" s="148" t="s">
        <v>59</v>
      </c>
      <c r="C43" s="149" t="s">
        <v>62</v>
      </c>
      <c r="D43" s="388" t="s">
        <v>403</v>
      </c>
      <c r="E43" s="149" t="s">
        <v>12</v>
      </c>
      <c r="F43" s="11">
        <v>9</v>
      </c>
      <c r="G43" s="11">
        <v>4</v>
      </c>
      <c r="H43" s="11">
        <v>144</v>
      </c>
      <c r="I43" s="11">
        <v>144</v>
      </c>
      <c r="J43" s="11">
        <v>339</v>
      </c>
      <c r="K43" s="11">
        <v>376</v>
      </c>
      <c r="L43" s="83">
        <v>4</v>
      </c>
      <c r="M43" s="84">
        <v>887</v>
      </c>
      <c r="N43" s="84">
        <v>1087</v>
      </c>
      <c r="O43" s="84">
        <v>0</v>
      </c>
      <c r="P43" s="133">
        <v>964.6</v>
      </c>
      <c r="Q43" s="135">
        <v>1087</v>
      </c>
      <c r="R43" s="133">
        <v>0</v>
      </c>
      <c r="S43" s="133">
        <f t="shared" si="23"/>
        <v>2051.6</v>
      </c>
      <c r="T43" s="134">
        <v>2033.6</v>
      </c>
      <c r="U43" s="130">
        <v>2.72</v>
      </c>
      <c r="V43" s="91">
        <v>1.9800000000000002E-2</v>
      </c>
      <c r="W43" s="91">
        <v>1.9800000000000002E-2</v>
      </c>
      <c r="X43" s="132">
        <v>1.32E-3</v>
      </c>
      <c r="Y43" s="91">
        <v>3.9699999999999999E-2</v>
      </c>
      <c r="Z43" s="29">
        <v>7610.45</v>
      </c>
      <c r="AA43" s="29">
        <v>103.3</v>
      </c>
      <c r="AB43" s="9">
        <f t="shared" si="0"/>
        <v>7713.75</v>
      </c>
      <c r="AC43" s="9">
        <f t="shared" si="28"/>
        <v>48828.04</v>
      </c>
      <c r="AD43" s="9">
        <v>2.46</v>
      </c>
      <c r="AE43" s="9">
        <v>4.3899999999999997</v>
      </c>
      <c r="AF43" s="21">
        <f>2.48-AJ43</f>
        <v>2.34</v>
      </c>
      <c r="AG43" s="18">
        <f>0.61-AQ43</f>
        <v>0.56000000000000005</v>
      </c>
      <c r="AH43" s="9">
        <v>2.78</v>
      </c>
      <c r="AI43" s="43">
        <v>1044</v>
      </c>
      <c r="AJ43" s="21">
        <f t="shared" si="1"/>
        <v>0.14000000000000001</v>
      </c>
      <c r="AK43" s="9">
        <v>2.2599999999999998</v>
      </c>
      <c r="AL43" s="9">
        <v>0.2</v>
      </c>
      <c r="AM43" s="9">
        <v>0.08</v>
      </c>
      <c r="AN43" s="13"/>
      <c r="AO43" s="13">
        <v>844.8</v>
      </c>
      <c r="AP43" s="13">
        <f t="shared" si="24"/>
        <v>5.58</v>
      </c>
      <c r="AQ43" s="18">
        <f t="shared" si="2"/>
        <v>0.05</v>
      </c>
      <c r="AR43" s="9">
        <v>0.56999999999999995</v>
      </c>
      <c r="AS43" s="9">
        <v>0.36</v>
      </c>
      <c r="AT43" s="9">
        <v>7.0000000000000007E-2</v>
      </c>
      <c r="AU43" s="9">
        <v>3.89</v>
      </c>
      <c r="AV43" s="9">
        <v>0.17</v>
      </c>
      <c r="AW43" s="9">
        <f>1.46+0.34+0.26</f>
        <v>2.06</v>
      </c>
      <c r="AX43" s="9">
        <f>2.05+0.46</f>
        <v>2.5099999999999998</v>
      </c>
      <c r="AY43" s="151">
        <f t="shared" si="25"/>
        <v>24.89</v>
      </c>
      <c r="AZ43" s="13">
        <v>24.89</v>
      </c>
      <c r="BA43" s="13">
        <f t="shared" si="3"/>
        <v>0</v>
      </c>
      <c r="BB43" s="9">
        <f t="shared" si="4"/>
        <v>191995.24</v>
      </c>
      <c r="BC43" s="9">
        <v>24.89</v>
      </c>
      <c r="BD43" s="10">
        <v>44409</v>
      </c>
      <c r="BE43" s="9">
        <f t="shared" si="5"/>
        <v>18975.830000000002</v>
      </c>
      <c r="BF43" s="9">
        <f t="shared" si="6"/>
        <v>33863.360000000001</v>
      </c>
      <c r="BG43" s="9">
        <f t="shared" si="7"/>
        <v>18050.18</v>
      </c>
      <c r="BH43" s="9">
        <f t="shared" si="8"/>
        <v>4319.7</v>
      </c>
      <c r="BI43" s="9">
        <f t="shared" si="9"/>
        <v>21444.23</v>
      </c>
      <c r="BJ43" s="9">
        <f t="shared" si="10"/>
        <v>1079.93</v>
      </c>
      <c r="BK43" s="9">
        <f t="shared" si="11"/>
        <v>17433.080000000002</v>
      </c>
      <c r="BL43" s="9">
        <f t="shared" si="12"/>
        <v>1542.75</v>
      </c>
      <c r="BM43" s="9">
        <f t="shared" si="13"/>
        <v>617.1</v>
      </c>
      <c r="BN43" s="9">
        <f t="shared" si="14"/>
        <v>385.69</v>
      </c>
      <c r="BO43" s="9">
        <f t="shared" si="15"/>
        <v>4396.84</v>
      </c>
      <c r="BP43" s="9">
        <f t="shared" si="16"/>
        <v>2776.95</v>
      </c>
      <c r="BQ43" s="9">
        <f t="shared" si="17"/>
        <v>539.96</v>
      </c>
      <c r="BR43" s="9">
        <f t="shared" si="18"/>
        <v>30006.49</v>
      </c>
      <c r="BS43" s="9">
        <f t="shared" si="19"/>
        <v>1311.34</v>
      </c>
      <c r="BT43" s="9">
        <f t="shared" si="20"/>
        <v>15890.33</v>
      </c>
      <c r="BU43" s="9">
        <f t="shared" si="21"/>
        <v>19361.509999999998</v>
      </c>
      <c r="BV43" s="17">
        <f t="shared" si="22"/>
        <v>191995.27</v>
      </c>
      <c r="BW43" s="17">
        <v>1.41</v>
      </c>
      <c r="BX43" s="17">
        <v>7.0000000000000007E-2</v>
      </c>
      <c r="BY43" s="17">
        <v>0.43</v>
      </c>
      <c r="BZ43" s="17">
        <v>0.08</v>
      </c>
      <c r="CA43" s="29">
        <v>6.33</v>
      </c>
      <c r="CB43" s="325"/>
      <c r="CC43" s="13">
        <v>30853.439999999999</v>
      </c>
      <c r="CD43" s="13">
        <v>3368.62</v>
      </c>
      <c r="CE43" s="13">
        <v>257.2</v>
      </c>
      <c r="CF43" s="13">
        <v>338.84</v>
      </c>
      <c r="CG43" s="13">
        <v>222.08</v>
      </c>
      <c r="CH43" s="13">
        <v>5208</v>
      </c>
      <c r="CI43" s="13">
        <v>14879.62</v>
      </c>
      <c r="CJ43" s="13">
        <v>70788</v>
      </c>
      <c r="CK43" s="13">
        <v>2965.85</v>
      </c>
      <c r="CL43" s="13">
        <v>2272596.84</v>
      </c>
      <c r="CM43" s="13">
        <v>248354.3</v>
      </c>
      <c r="CN43" s="13">
        <v>19099.13</v>
      </c>
      <c r="CO43" s="13">
        <v>24121.33</v>
      </c>
      <c r="CP43" s="13">
        <v>16208.12</v>
      </c>
      <c r="CQ43" s="13">
        <v>0</v>
      </c>
      <c r="CR43" s="13">
        <v>2153069.73</v>
      </c>
      <c r="CS43" s="13">
        <v>220627.12</v>
      </c>
      <c r="CT43" s="13">
        <v>21050.85</v>
      </c>
      <c r="CU43" s="13">
        <v>21170.45</v>
      </c>
      <c r="CV43" s="13">
        <v>14471.17</v>
      </c>
      <c r="CW43" s="13">
        <v>0</v>
      </c>
      <c r="CX43" s="13">
        <v>311719.78999999998</v>
      </c>
      <c r="CY43" s="13">
        <v>49983.41</v>
      </c>
      <c r="CZ43" s="13">
        <v>-4732.1000000000004</v>
      </c>
      <c r="DA43" s="13">
        <v>5920.96</v>
      </c>
      <c r="DB43" s="13">
        <v>3659.32</v>
      </c>
      <c r="DC43" s="13"/>
      <c r="DD43" s="315">
        <v>2580379.7200000002</v>
      </c>
      <c r="DE43" s="317">
        <v>2430389.3199999998</v>
      </c>
      <c r="DF43" s="317">
        <v>94.19</v>
      </c>
      <c r="DG43" s="318">
        <v>366551.38</v>
      </c>
      <c r="DH43" s="310">
        <v>79943.16</v>
      </c>
      <c r="DI43" s="310">
        <v>45720.36</v>
      </c>
      <c r="DJ43" s="312">
        <v>0</v>
      </c>
      <c r="DK43" s="362">
        <v>32400</v>
      </c>
      <c r="DL43" s="362"/>
      <c r="DM43" s="362">
        <v>0</v>
      </c>
      <c r="DN43" s="362">
        <v>0</v>
      </c>
      <c r="DO43" s="362">
        <v>0</v>
      </c>
      <c r="DP43" s="362">
        <v>0</v>
      </c>
      <c r="DQ43" s="362">
        <v>0</v>
      </c>
      <c r="DR43" s="362"/>
      <c r="DS43" s="362">
        <v>0</v>
      </c>
      <c r="DT43" s="362"/>
      <c r="DU43" s="362">
        <v>0</v>
      </c>
      <c r="DV43" s="362">
        <v>0</v>
      </c>
      <c r="DW43" s="362">
        <v>206113.33</v>
      </c>
      <c r="DX43" s="362">
        <v>0</v>
      </c>
      <c r="DY43" s="362">
        <v>18000</v>
      </c>
      <c r="DZ43" s="375">
        <v>0</v>
      </c>
      <c r="EA43" s="362">
        <v>640890</v>
      </c>
      <c r="EB43" s="362">
        <v>0</v>
      </c>
      <c r="EC43" s="362"/>
      <c r="ED43" s="362">
        <v>0</v>
      </c>
      <c r="EE43" s="362">
        <v>0</v>
      </c>
      <c r="EF43" s="362"/>
      <c r="EG43" s="362">
        <v>16614</v>
      </c>
      <c r="EH43" s="362">
        <v>0</v>
      </c>
      <c r="EI43" s="362"/>
      <c r="EJ43" s="362">
        <v>0</v>
      </c>
      <c r="EK43" s="362"/>
      <c r="EL43" s="362">
        <v>0</v>
      </c>
      <c r="EM43" s="362">
        <v>4713.99</v>
      </c>
      <c r="EN43" s="362">
        <v>601786.07999999996</v>
      </c>
      <c r="EO43" s="362">
        <v>2976</v>
      </c>
      <c r="EP43" s="362">
        <v>0</v>
      </c>
      <c r="EQ43" s="362">
        <v>0</v>
      </c>
      <c r="ER43" s="362">
        <v>32760</v>
      </c>
      <c r="ES43" s="362">
        <v>6924</v>
      </c>
      <c r="ET43" s="362">
        <v>17658</v>
      </c>
      <c r="EU43" s="362">
        <v>0</v>
      </c>
      <c r="EV43" s="362">
        <v>46071.23</v>
      </c>
      <c r="EW43" s="362"/>
      <c r="EX43" s="202"/>
      <c r="EY43" s="202"/>
      <c r="EZ43" s="229"/>
      <c r="FA43" s="368">
        <v>246645.07</v>
      </c>
      <c r="FB43" s="368">
        <v>29853.23</v>
      </c>
      <c r="FC43" s="368">
        <v>0</v>
      </c>
      <c r="FD43" s="368">
        <v>0</v>
      </c>
      <c r="FE43" s="368">
        <v>26366.46</v>
      </c>
      <c r="FF43" s="368">
        <v>17631.97</v>
      </c>
      <c r="FG43" s="368">
        <v>-2039.42</v>
      </c>
      <c r="FH43" s="368">
        <v>-3069.42</v>
      </c>
      <c r="FI43" s="368">
        <v>-11894.27</v>
      </c>
      <c r="FJ43" s="368">
        <v>0</v>
      </c>
      <c r="FK43" s="368">
        <v>49390.39</v>
      </c>
      <c r="FL43" s="368">
        <v>0</v>
      </c>
      <c r="FM43" s="368">
        <v>206183.39</v>
      </c>
      <c r="FN43" s="368">
        <v>131103.57999999999</v>
      </c>
      <c r="FO43" s="323">
        <v>2089857.12</v>
      </c>
      <c r="FP43" s="323">
        <v>352884.01</v>
      </c>
      <c r="FQ43" s="323">
        <v>2442741.13</v>
      </c>
      <c r="FR43" s="338">
        <v>202073.34</v>
      </c>
      <c r="FS43" s="338">
        <v>22410.27</v>
      </c>
      <c r="FT43" s="377">
        <v>224483.61</v>
      </c>
      <c r="FU43" s="377">
        <v>2389117.9</v>
      </c>
      <c r="FV43" s="377">
        <v>320143.46999999997</v>
      </c>
      <c r="FW43" s="362">
        <v>2709261.37</v>
      </c>
      <c r="FX43" s="362">
        <v>2272536.31</v>
      </c>
      <c r="FY43" s="362">
        <v>285650.61</v>
      </c>
      <c r="FZ43" s="362">
        <v>2558186.92</v>
      </c>
      <c r="GA43" s="362">
        <v>318654.93</v>
      </c>
      <c r="GB43" s="362">
        <v>56903.13</v>
      </c>
      <c r="GC43" s="362">
        <v>375558.06</v>
      </c>
      <c r="GD43" s="362">
        <v>48283.76</v>
      </c>
      <c r="GE43" s="362">
        <v>30543.98</v>
      </c>
      <c r="GF43" s="362">
        <v>78827.740000000005</v>
      </c>
      <c r="GG43" s="202">
        <v>9006.68</v>
      </c>
      <c r="GH43" s="416">
        <v>77</v>
      </c>
      <c r="GI43" s="414">
        <v>4970.1000000000004</v>
      </c>
      <c r="GJ43" s="419">
        <v>40248.18</v>
      </c>
      <c r="GK43" s="396">
        <v>9006.68</v>
      </c>
      <c r="GL43" s="202">
        <v>6935.1436000000003</v>
      </c>
      <c r="GM43" s="202">
        <v>2071.5364</v>
      </c>
      <c r="GN43" s="323">
        <v>299260.78000000003</v>
      </c>
      <c r="GO43" s="323">
        <v>-32740.54</v>
      </c>
      <c r="GP43" s="323">
        <v>266520.24</v>
      </c>
      <c r="GQ43" s="323">
        <v>347544.54</v>
      </c>
      <c r="GR43" s="323">
        <v>-2196.56</v>
      </c>
      <c r="GS43" s="323">
        <v>345347.98</v>
      </c>
    </row>
    <row r="44" spans="1:201" ht="12.75" customHeight="1" x14ac:dyDescent="0.2">
      <c r="A44" s="45" t="s">
        <v>75</v>
      </c>
      <c r="B44" s="156" t="s">
        <v>59</v>
      </c>
      <c r="C44" s="157" t="s">
        <v>64</v>
      </c>
      <c r="D44" s="388" t="s">
        <v>404</v>
      </c>
      <c r="E44" s="157" t="s">
        <v>12</v>
      </c>
      <c r="F44" s="11">
        <v>9</v>
      </c>
      <c r="G44" s="11">
        <v>7</v>
      </c>
      <c r="H44" s="11">
        <v>252</v>
      </c>
      <c r="I44" s="11">
        <v>254</v>
      </c>
      <c r="J44" s="11">
        <v>532</v>
      </c>
      <c r="K44" s="11">
        <v>631</v>
      </c>
      <c r="L44" s="83">
        <v>7</v>
      </c>
      <c r="M44" s="84">
        <v>1511</v>
      </c>
      <c r="N44" s="84">
        <v>1887</v>
      </c>
      <c r="O44" s="84">
        <v>0</v>
      </c>
      <c r="P44" s="133">
        <f>760.9+744.8+16.1+16.8+314+15.3+119.8+45.9</f>
        <v>2033.6</v>
      </c>
      <c r="Q44" s="135">
        <v>1504.7</v>
      </c>
      <c r="R44" s="133">
        <v>0</v>
      </c>
      <c r="S44" s="133">
        <f t="shared" si="23"/>
        <v>3538.3</v>
      </c>
      <c r="T44" s="134">
        <v>263.60000000000002</v>
      </c>
      <c r="U44" s="130">
        <v>2.44</v>
      </c>
      <c r="V44" s="91">
        <v>1.9800000000000002E-2</v>
      </c>
      <c r="W44" s="91">
        <v>1.9800000000000002E-2</v>
      </c>
      <c r="X44" s="132">
        <v>1.32E-3</v>
      </c>
      <c r="Y44" s="91">
        <v>3.9699999999999999E-2</v>
      </c>
      <c r="Z44" s="29">
        <v>13641.1</v>
      </c>
      <c r="AA44" s="29">
        <v>14</v>
      </c>
      <c r="AB44" s="9">
        <f t="shared" si="0"/>
        <v>13655.1</v>
      </c>
      <c r="AC44" s="9">
        <f t="shared" si="28"/>
        <v>86436.78</v>
      </c>
      <c r="AD44" s="9">
        <v>2.34</v>
      </c>
      <c r="AE44" s="9">
        <v>5.41</v>
      </c>
      <c r="AF44" s="21">
        <f>2.47-AJ44</f>
        <v>2.34</v>
      </c>
      <c r="AG44" s="18">
        <f>0.62-AQ44</f>
        <v>0.56999999999999995</v>
      </c>
      <c r="AH44" s="9">
        <v>2.78</v>
      </c>
      <c r="AI44" s="13">
        <v>1811</v>
      </c>
      <c r="AJ44" s="21">
        <f t="shared" si="1"/>
        <v>0.13</v>
      </c>
      <c r="AK44" s="9">
        <v>2.21</v>
      </c>
      <c r="AL44" s="9">
        <v>0.19</v>
      </c>
      <c r="AM44" s="9">
        <v>0.04</v>
      </c>
      <c r="AN44" s="13"/>
      <c r="AO44" s="13">
        <v>1478.4</v>
      </c>
      <c r="AP44" s="13">
        <f t="shared" si="24"/>
        <v>5.58</v>
      </c>
      <c r="AQ44" s="18">
        <f t="shared" si="2"/>
        <v>0.05</v>
      </c>
      <c r="AR44" s="9">
        <v>0.56999999999999995</v>
      </c>
      <c r="AS44" s="9">
        <v>0.1</v>
      </c>
      <c r="AT44" s="9">
        <v>7.0000000000000007E-2</v>
      </c>
      <c r="AU44" s="9">
        <v>3.39</v>
      </c>
      <c r="AV44" s="9">
        <v>0.18</v>
      </c>
      <c r="AW44" s="9">
        <f>1.51+0.3+0.26</f>
        <v>2.0699999999999998</v>
      </c>
      <c r="AX44" s="9">
        <f>2.1+0.41</f>
        <v>2.5099999999999998</v>
      </c>
      <c r="AY44" s="159">
        <f t="shared" si="25"/>
        <v>24.95</v>
      </c>
      <c r="AZ44" s="13">
        <v>24.95</v>
      </c>
      <c r="BA44" s="13">
        <f t="shared" si="3"/>
        <v>0</v>
      </c>
      <c r="BB44" s="9">
        <f t="shared" si="4"/>
        <v>340694.75</v>
      </c>
      <c r="BC44" s="9">
        <v>24.95</v>
      </c>
      <c r="BD44" s="10">
        <v>44409</v>
      </c>
      <c r="BE44" s="9">
        <f t="shared" si="5"/>
        <v>31952.93</v>
      </c>
      <c r="BF44" s="9">
        <f t="shared" si="6"/>
        <v>73874.09</v>
      </c>
      <c r="BG44" s="9">
        <f t="shared" si="7"/>
        <v>31952.93</v>
      </c>
      <c r="BH44" s="9">
        <f t="shared" si="8"/>
        <v>7783.41</v>
      </c>
      <c r="BI44" s="9">
        <f t="shared" si="9"/>
        <v>37961.18</v>
      </c>
      <c r="BJ44" s="9">
        <f t="shared" si="10"/>
        <v>1775.16</v>
      </c>
      <c r="BK44" s="9">
        <f t="shared" si="11"/>
        <v>30177.77</v>
      </c>
      <c r="BL44" s="9">
        <f t="shared" si="12"/>
        <v>2594.4699999999998</v>
      </c>
      <c r="BM44" s="9">
        <f t="shared" si="13"/>
        <v>546.20000000000005</v>
      </c>
      <c r="BN44" s="9">
        <f t="shared" si="14"/>
        <v>682.76</v>
      </c>
      <c r="BO44" s="9">
        <f t="shared" si="15"/>
        <v>7783.41</v>
      </c>
      <c r="BP44" s="9">
        <f t="shared" si="16"/>
        <v>1365.51</v>
      </c>
      <c r="BQ44" s="9">
        <f t="shared" si="17"/>
        <v>955.86</v>
      </c>
      <c r="BR44" s="9">
        <f t="shared" si="18"/>
        <v>46290.79</v>
      </c>
      <c r="BS44" s="9">
        <f t="shared" si="19"/>
        <v>2457.92</v>
      </c>
      <c r="BT44" s="9">
        <f t="shared" si="20"/>
        <v>28266.06</v>
      </c>
      <c r="BU44" s="9">
        <f t="shared" si="21"/>
        <v>34274.300000000003</v>
      </c>
      <c r="BV44" s="17">
        <f t="shared" si="22"/>
        <v>340694.75</v>
      </c>
      <c r="BW44" s="17">
        <v>2.39</v>
      </c>
      <c r="BX44" s="17">
        <v>7.0000000000000007E-2</v>
      </c>
      <c r="BY44" s="17">
        <v>0.47</v>
      </c>
      <c r="BZ44" s="17">
        <v>0.08</v>
      </c>
      <c r="CA44" s="29">
        <v>6.33</v>
      </c>
      <c r="CB44" s="325"/>
      <c r="CC44" s="13">
        <v>4191.6000000000004</v>
      </c>
      <c r="CD44" s="13">
        <v>254.52</v>
      </c>
      <c r="CE44" s="13">
        <v>-8.26</v>
      </c>
      <c r="CF44" s="13">
        <v>63.28</v>
      </c>
      <c r="CG44" s="13">
        <v>36.4</v>
      </c>
      <c r="CH44" s="13">
        <v>4464</v>
      </c>
      <c r="CI44" s="13">
        <v>22177.81</v>
      </c>
      <c r="CJ44" s="13">
        <v>110748</v>
      </c>
      <c r="CK44" s="13">
        <v>5252.52</v>
      </c>
      <c r="CL44" s="13">
        <v>4082794.45</v>
      </c>
      <c r="CM44" s="13">
        <v>248099.54</v>
      </c>
      <c r="CN44" s="13">
        <v>-2.29</v>
      </c>
      <c r="CO44" s="13">
        <v>53636.42</v>
      </c>
      <c r="CP44" s="13">
        <v>35487.54</v>
      </c>
      <c r="CQ44" s="13">
        <v>0</v>
      </c>
      <c r="CR44" s="13">
        <v>3944500.14</v>
      </c>
      <c r="CS44" s="13">
        <v>213140.21</v>
      </c>
      <c r="CT44" s="13">
        <v>8669.6200000000008</v>
      </c>
      <c r="CU44" s="13">
        <v>48637.66</v>
      </c>
      <c r="CV44" s="13">
        <v>33015.879999999997</v>
      </c>
      <c r="CW44" s="13">
        <v>0</v>
      </c>
      <c r="CX44" s="13">
        <v>600344.4</v>
      </c>
      <c r="CY44" s="13">
        <v>34394.639999999999</v>
      </c>
      <c r="CZ44" s="13">
        <v>-11474.21</v>
      </c>
      <c r="DA44" s="13">
        <v>6649.07</v>
      </c>
      <c r="DB44" s="13">
        <v>4134.1899999999996</v>
      </c>
      <c r="DC44" s="13"/>
      <c r="DD44" s="315">
        <v>4420015.66</v>
      </c>
      <c r="DE44" s="317">
        <v>4247963.51</v>
      </c>
      <c r="DF44" s="317">
        <v>96.11</v>
      </c>
      <c r="DG44" s="318">
        <v>634048.09</v>
      </c>
      <c r="DH44" s="310">
        <v>143406.48000000001</v>
      </c>
      <c r="DI44" s="310">
        <v>82015.679999999993</v>
      </c>
      <c r="DJ44" s="312">
        <v>1327402.2</v>
      </c>
      <c r="DK44" s="362">
        <v>39200</v>
      </c>
      <c r="DL44" s="362"/>
      <c r="DM44" s="362">
        <v>0</v>
      </c>
      <c r="DN44" s="362">
        <v>0</v>
      </c>
      <c r="DO44" s="362">
        <v>0</v>
      </c>
      <c r="DP44" s="362">
        <v>28794.9</v>
      </c>
      <c r="DQ44" s="362">
        <v>2572.5</v>
      </c>
      <c r="DR44" s="362"/>
      <c r="DS44" s="362">
        <v>0</v>
      </c>
      <c r="DT44" s="362"/>
      <c r="DU44" s="362">
        <v>3038</v>
      </c>
      <c r="DV44" s="362">
        <v>0</v>
      </c>
      <c r="DW44" s="362">
        <v>0</v>
      </c>
      <c r="DX44" s="362">
        <v>360338.02</v>
      </c>
      <c r="DY44" s="362">
        <v>60000</v>
      </c>
      <c r="DZ44" s="375">
        <v>0</v>
      </c>
      <c r="EA44" s="362">
        <v>0</v>
      </c>
      <c r="EB44" s="362">
        <v>0</v>
      </c>
      <c r="EC44" s="362"/>
      <c r="ED44" s="362">
        <v>0</v>
      </c>
      <c r="EE44" s="362">
        <v>0</v>
      </c>
      <c r="EF44" s="362"/>
      <c r="EG44" s="362">
        <v>0</v>
      </c>
      <c r="EH44" s="362">
        <v>0</v>
      </c>
      <c r="EI44" s="362"/>
      <c r="EJ44" s="362">
        <v>0</v>
      </c>
      <c r="EK44" s="362"/>
      <c r="EL44" s="362">
        <v>0</v>
      </c>
      <c r="EM44" s="362">
        <v>8249.4599999999991</v>
      </c>
      <c r="EN44" s="362">
        <v>1072425.18</v>
      </c>
      <c r="EO44" s="362">
        <v>1860</v>
      </c>
      <c r="EP44" s="362">
        <v>0</v>
      </c>
      <c r="EQ44" s="362">
        <v>0</v>
      </c>
      <c r="ER44" s="362">
        <v>16380</v>
      </c>
      <c r="ES44" s="362">
        <v>6924</v>
      </c>
      <c r="ET44" s="362">
        <v>31087</v>
      </c>
      <c r="EU44" s="362">
        <v>0</v>
      </c>
      <c r="EV44" s="362">
        <v>335580.38</v>
      </c>
      <c r="EW44" s="362"/>
      <c r="EX44" s="202"/>
      <c r="EY44" s="202"/>
      <c r="EZ44" s="229"/>
      <c r="FA44" s="368">
        <v>279988.46999999997</v>
      </c>
      <c r="FB44" s="368">
        <v>24984.25</v>
      </c>
      <c r="FC44" s="368">
        <v>0</v>
      </c>
      <c r="FD44" s="368">
        <v>0</v>
      </c>
      <c r="FE44" s="368">
        <v>56493.86</v>
      </c>
      <c r="FF44" s="368">
        <v>37424.44</v>
      </c>
      <c r="FG44" s="368">
        <v>-4385.3999999999996</v>
      </c>
      <c r="FH44" s="368">
        <v>-5969.74</v>
      </c>
      <c r="FI44" s="368">
        <v>0</v>
      </c>
      <c r="FJ44" s="368">
        <v>0</v>
      </c>
      <c r="FK44" s="368">
        <v>61355.42</v>
      </c>
      <c r="FL44" s="368">
        <v>0</v>
      </c>
      <c r="FM44" s="368">
        <v>365124.49</v>
      </c>
      <c r="FN44" s="368">
        <v>232159.68</v>
      </c>
      <c r="FO44" s="323">
        <v>4116557.97</v>
      </c>
      <c r="FP44" s="323">
        <v>449891.3</v>
      </c>
      <c r="FQ44" s="323">
        <v>4566449.2699999996</v>
      </c>
      <c r="FR44" s="338">
        <v>387607.71</v>
      </c>
      <c r="FS44" s="338">
        <v>614.05999999999995</v>
      </c>
      <c r="FT44" s="377">
        <v>388221.77</v>
      </c>
      <c r="FU44" s="377">
        <v>4219911.8600000003</v>
      </c>
      <c r="FV44" s="377">
        <v>347283.67</v>
      </c>
      <c r="FW44" s="362">
        <v>4567195.53</v>
      </c>
      <c r="FX44" s="362">
        <v>4004167.45</v>
      </c>
      <c r="FY44" s="362">
        <v>310802.36</v>
      </c>
      <c r="FZ44" s="362">
        <v>4314969.8099999996</v>
      </c>
      <c r="GA44" s="362">
        <v>603352.12</v>
      </c>
      <c r="GB44" s="362">
        <v>37095.370000000003</v>
      </c>
      <c r="GC44" s="362">
        <v>640447.49</v>
      </c>
      <c r="GD44" s="362">
        <v>121314.01</v>
      </c>
      <c r="GE44" s="362">
        <v>30507.94</v>
      </c>
      <c r="GF44" s="362">
        <v>151821.95000000001</v>
      </c>
      <c r="GG44" s="202">
        <v>6399.4</v>
      </c>
      <c r="GH44" s="416">
        <v>47</v>
      </c>
      <c r="GI44" s="414">
        <v>7327.65</v>
      </c>
      <c r="GJ44" s="419">
        <v>9001.5400000000009</v>
      </c>
      <c r="GK44" s="396">
        <v>6399.4</v>
      </c>
      <c r="GL44" s="202">
        <v>3007.7179999999998</v>
      </c>
      <c r="GM44" s="202">
        <v>3391.6819999999998</v>
      </c>
      <c r="GN44" s="323">
        <v>103353.89</v>
      </c>
      <c r="GO44" s="323">
        <v>-102607.63</v>
      </c>
      <c r="GP44" s="323">
        <v>746.26</v>
      </c>
      <c r="GQ44" s="323">
        <v>224667.9</v>
      </c>
      <c r="GR44" s="323">
        <v>-72099.69</v>
      </c>
      <c r="GS44" s="323">
        <v>152568.21</v>
      </c>
    </row>
    <row r="45" spans="1:201" ht="12.75" customHeight="1" x14ac:dyDescent="0.2">
      <c r="A45" s="45" t="s">
        <v>76</v>
      </c>
      <c r="B45" s="55" t="s">
        <v>66</v>
      </c>
      <c r="C45" s="56" t="s">
        <v>67</v>
      </c>
      <c r="D45" s="388" t="s">
        <v>621</v>
      </c>
      <c r="E45" s="56" t="s">
        <v>12</v>
      </c>
      <c r="F45" s="11">
        <v>5</v>
      </c>
      <c r="G45" s="11">
        <v>4</v>
      </c>
      <c r="H45" s="11">
        <v>70</v>
      </c>
      <c r="I45" s="11">
        <v>0</v>
      </c>
      <c r="J45" s="11">
        <v>104</v>
      </c>
      <c r="K45" s="11">
        <v>117</v>
      </c>
      <c r="L45" s="11" t="s">
        <v>746</v>
      </c>
      <c r="M45" s="84">
        <v>93.2</v>
      </c>
      <c r="N45" s="84">
        <v>743.6</v>
      </c>
      <c r="O45" s="84">
        <v>0</v>
      </c>
      <c r="P45" s="135">
        <v>275</v>
      </c>
      <c r="Q45" s="135">
        <v>573</v>
      </c>
      <c r="R45" s="133">
        <v>0</v>
      </c>
      <c r="S45" s="133">
        <f t="shared" si="23"/>
        <v>848</v>
      </c>
      <c r="T45" s="135">
        <v>392</v>
      </c>
      <c r="U45" s="130">
        <v>1.53</v>
      </c>
      <c r="V45" s="91">
        <v>1.1299999999999999E-2</v>
      </c>
      <c r="W45" s="91" t="s">
        <v>823</v>
      </c>
      <c r="X45" s="132" t="s">
        <v>823</v>
      </c>
      <c r="Y45" s="91">
        <v>1.1299999999999999E-2</v>
      </c>
      <c r="Z45" s="29">
        <v>2600.1999999999998</v>
      </c>
      <c r="AA45" s="29">
        <v>66.099999999999994</v>
      </c>
      <c r="AB45" s="9">
        <f t="shared" si="0"/>
        <v>2666.3</v>
      </c>
      <c r="AC45" s="9">
        <f t="shared" si="28"/>
        <v>16877.68</v>
      </c>
      <c r="AD45" s="9">
        <v>0.51</v>
      </c>
      <c r="AE45" s="9">
        <v>3.74</v>
      </c>
      <c r="AF45" s="21">
        <f>2.43-AJ45</f>
        <v>2.16</v>
      </c>
      <c r="AG45" s="18">
        <f>0.56-AQ45</f>
        <v>0.36</v>
      </c>
      <c r="AH45" s="9">
        <v>2.16</v>
      </c>
      <c r="AI45" s="13">
        <v>714</v>
      </c>
      <c r="AJ45" s="21">
        <f t="shared" si="1"/>
        <v>0.27</v>
      </c>
      <c r="AK45" s="9">
        <v>0</v>
      </c>
      <c r="AL45" s="9">
        <v>0</v>
      </c>
      <c r="AM45" s="9">
        <v>0</v>
      </c>
      <c r="AN45" s="13">
        <v>373.3</v>
      </c>
      <c r="AO45" s="13">
        <v>746.7</v>
      </c>
      <c r="AP45" s="13">
        <f t="shared" si="24"/>
        <v>5.58</v>
      </c>
      <c r="AQ45" s="18">
        <f t="shared" si="2"/>
        <v>0.2</v>
      </c>
      <c r="AR45" s="9">
        <v>0.97</v>
      </c>
      <c r="AS45" s="9">
        <v>0.51</v>
      </c>
      <c r="AT45" s="9">
        <v>7.0000000000000007E-2</v>
      </c>
      <c r="AU45" s="9">
        <v>4.0599999999999996</v>
      </c>
      <c r="AV45" s="9">
        <v>0.11</v>
      </c>
      <c r="AW45" s="9">
        <f>0.37+0.36+0.98</f>
        <v>1.71</v>
      </c>
      <c r="AX45" s="9">
        <f>1.35+0.49</f>
        <v>1.84</v>
      </c>
      <c r="AY45" s="58">
        <f t="shared" si="25"/>
        <v>18.670000000000002</v>
      </c>
      <c r="AZ45" s="13">
        <v>18.670000000000002</v>
      </c>
      <c r="BA45" s="13">
        <f t="shared" si="3"/>
        <v>0</v>
      </c>
      <c r="BB45" s="9">
        <f t="shared" si="4"/>
        <v>49779.82</v>
      </c>
      <c r="BC45" s="9">
        <v>18.670000000000002</v>
      </c>
      <c r="BD45" s="10">
        <v>44409</v>
      </c>
      <c r="BE45" s="9">
        <f t="shared" si="5"/>
        <v>1359.81</v>
      </c>
      <c r="BF45" s="9">
        <f t="shared" si="6"/>
        <v>9971.9599999999991</v>
      </c>
      <c r="BG45" s="9">
        <f t="shared" si="7"/>
        <v>5759.21</v>
      </c>
      <c r="BH45" s="9">
        <f t="shared" si="8"/>
        <v>959.87</v>
      </c>
      <c r="BI45" s="9">
        <f t="shared" si="9"/>
        <v>5759.21</v>
      </c>
      <c r="BJ45" s="9">
        <f t="shared" si="10"/>
        <v>719.9</v>
      </c>
      <c r="BK45" s="9">
        <f t="shared" si="11"/>
        <v>0</v>
      </c>
      <c r="BL45" s="9">
        <f t="shared" si="12"/>
        <v>0</v>
      </c>
      <c r="BM45" s="9">
        <f t="shared" si="13"/>
        <v>0</v>
      </c>
      <c r="BN45" s="9">
        <f t="shared" si="14"/>
        <v>533.26</v>
      </c>
      <c r="BO45" s="9">
        <f t="shared" si="15"/>
        <v>2586.31</v>
      </c>
      <c r="BP45" s="9">
        <f t="shared" si="16"/>
        <v>1359.81</v>
      </c>
      <c r="BQ45" s="9">
        <f t="shared" si="17"/>
        <v>186.64</v>
      </c>
      <c r="BR45" s="9">
        <f t="shared" si="18"/>
        <v>10825.18</v>
      </c>
      <c r="BS45" s="9">
        <f t="shared" si="19"/>
        <v>293.29000000000002</v>
      </c>
      <c r="BT45" s="9">
        <f t="shared" si="20"/>
        <v>4559.37</v>
      </c>
      <c r="BU45" s="9">
        <f t="shared" si="21"/>
        <v>4905.99</v>
      </c>
      <c r="BV45" s="17">
        <f t="shared" si="22"/>
        <v>49779.81</v>
      </c>
      <c r="BW45" s="17">
        <v>1.96</v>
      </c>
      <c r="BX45" s="17">
        <v>0.03</v>
      </c>
      <c r="BY45" s="173">
        <v>0</v>
      </c>
      <c r="BZ45" s="17">
        <v>0.02</v>
      </c>
      <c r="CA45" s="29">
        <v>6.33</v>
      </c>
      <c r="CB45" s="325"/>
      <c r="CC45" s="13">
        <v>18628.5</v>
      </c>
      <c r="CD45" s="13">
        <v>308.70999999999998</v>
      </c>
      <c r="CE45" s="13">
        <v>1.98</v>
      </c>
      <c r="CF45" s="13">
        <v>21.78</v>
      </c>
      <c r="CG45" s="13">
        <v>15.96</v>
      </c>
      <c r="CH45" s="13">
        <v>0</v>
      </c>
      <c r="CI45" s="13">
        <v>5669.32</v>
      </c>
      <c r="CJ45" s="13">
        <v>28704</v>
      </c>
      <c r="CK45" s="13">
        <v>1025.43</v>
      </c>
      <c r="CL45" s="13">
        <v>579711.39</v>
      </c>
      <c r="CM45" s="13">
        <v>6369.82</v>
      </c>
      <c r="CN45" s="13">
        <v>0</v>
      </c>
      <c r="CO45" s="13">
        <v>931.71</v>
      </c>
      <c r="CP45" s="13">
        <v>620.87</v>
      </c>
      <c r="CQ45" s="13">
        <v>0</v>
      </c>
      <c r="CR45" s="13">
        <v>527726.93000000005</v>
      </c>
      <c r="CS45" s="13">
        <v>9531.36</v>
      </c>
      <c r="CT45" s="13">
        <v>0</v>
      </c>
      <c r="CU45" s="13">
        <v>840.75</v>
      </c>
      <c r="CV45" s="13">
        <v>575.23</v>
      </c>
      <c r="CW45" s="13">
        <v>0</v>
      </c>
      <c r="CX45" s="13">
        <v>109771.17</v>
      </c>
      <c r="CY45" s="13">
        <v>-3870.15</v>
      </c>
      <c r="CZ45" s="13">
        <v>0</v>
      </c>
      <c r="DA45" s="13">
        <v>190.91</v>
      </c>
      <c r="DB45" s="13">
        <v>127.1</v>
      </c>
      <c r="DC45" s="13"/>
      <c r="DD45" s="315">
        <v>587633.79</v>
      </c>
      <c r="DE45" s="317">
        <v>538674.27</v>
      </c>
      <c r="DF45" s="317">
        <v>91.67</v>
      </c>
      <c r="DG45" s="318">
        <v>106219.03</v>
      </c>
      <c r="DH45" s="310">
        <v>27321.360000000001</v>
      </c>
      <c r="DI45" s="310">
        <v>15625.44</v>
      </c>
      <c r="DJ45" s="312">
        <v>0</v>
      </c>
      <c r="DK45" s="362">
        <v>0</v>
      </c>
      <c r="DL45" s="362"/>
      <c r="DM45" s="362">
        <v>0</v>
      </c>
      <c r="DN45" s="362">
        <v>0</v>
      </c>
      <c r="DO45" s="362">
        <v>0</v>
      </c>
      <c r="DP45" s="362">
        <v>11352.6</v>
      </c>
      <c r="DQ45" s="362">
        <v>54880</v>
      </c>
      <c r="DR45" s="362"/>
      <c r="DS45" s="362">
        <v>10260</v>
      </c>
      <c r="DT45" s="362"/>
      <c r="DU45" s="362">
        <v>0</v>
      </c>
      <c r="DV45" s="362">
        <v>0</v>
      </c>
      <c r="DW45" s="362">
        <v>0</v>
      </c>
      <c r="DX45" s="362">
        <v>0</v>
      </c>
      <c r="DY45" s="362">
        <v>0</v>
      </c>
      <c r="DZ45" s="375">
        <v>0</v>
      </c>
      <c r="EA45" s="362">
        <v>0</v>
      </c>
      <c r="EB45" s="362">
        <v>0</v>
      </c>
      <c r="EC45" s="362"/>
      <c r="ED45" s="362">
        <v>151454.39999999999</v>
      </c>
      <c r="EE45" s="362">
        <v>10200</v>
      </c>
      <c r="EF45" s="362"/>
      <c r="EG45" s="362">
        <v>0</v>
      </c>
      <c r="EH45" s="362">
        <v>0</v>
      </c>
      <c r="EI45" s="362"/>
      <c r="EJ45" s="362">
        <v>0</v>
      </c>
      <c r="EK45" s="362"/>
      <c r="EL45" s="362">
        <v>0</v>
      </c>
      <c r="EM45" s="362">
        <v>6249.6</v>
      </c>
      <c r="EN45" s="362">
        <v>0</v>
      </c>
      <c r="EO45" s="362">
        <v>0</v>
      </c>
      <c r="EP45" s="362">
        <v>141132</v>
      </c>
      <c r="EQ45" s="362">
        <v>0</v>
      </c>
      <c r="ER45" s="362">
        <v>10920</v>
      </c>
      <c r="ES45" s="362">
        <v>0</v>
      </c>
      <c r="ET45" s="362">
        <v>13736</v>
      </c>
      <c r="EU45" s="362">
        <v>0</v>
      </c>
      <c r="EV45" s="362">
        <v>35980</v>
      </c>
      <c r="EW45" s="362"/>
      <c r="EX45" s="202"/>
      <c r="EY45" s="202"/>
      <c r="EZ45" s="229"/>
      <c r="FA45" s="368">
        <v>6767.8</v>
      </c>
      <c r="FB45" s="368">
        <v>0</v>
      </c>
      <c r="FC45" s="368">
        <v>0</v>
      </c>
      <c r="FD45" s="368">
        <v>0</v>
      </c>
      <c r="FE45" s="368">
        <v>997.76</v>
      </c>
      <c r="FF45" s="368">
        <v>535.15</v>
      </c>
      <c r="FG45" s="368">
        <v>0</v>
      </c>
      <c r="FH45" s="368">
        <v>-682.17</v>
      </c>
      <c r="FI45" s="368">
        <v>0</v>
      </c>
      <c r="FJ45" s="368">
        <v>0</v>
      </c>
      <c r="FK45" s="368">
        <v>0</v>
      </c>
      <c r="FL45" s="368">
        <v>0</v>
      </c>
      <c r="FM45" s="368">
        <v>71283.69</v>
      </c>
      <c r="FN45" s="368">
        <v>45325.5</v>
      </c>
      <c r="FO45" s="323">
        <v>605720.59</v>
      </c>
      <c r="FP45" s="323">
        <v>7618.54</v>
      </c>
      <c r="FQ45" s="323">
        <v>613339.13</v>
      </c>
      <c r="FR45" s="338">
        <v>59062.6</v>
      </c>
      <c r="FS45" s="338">
        <v>-492.75</v>
      </c>
      <c r="FT45" s="377">
        <v>58569.85</v>
      </c>
      <c r="FU45" s="377">
        <v>632713.21</v>
      </c>
      <c r="FV45" s="377">
        <v>9296.26</v>
      </c>
      <c r="FW45" s="362">
        <v>642009.47</v>
      </c>
      <c r="FX45" s="362">
        <v>580778.39</v>
      </c>
      <c r="FY45" s="362">
        <v>12330.62</v>
      </c>
      <c r="FZ45" s="362">
        <v>593109.01</v>
      </c>
      <c r="GA45" s="362">
        <v>110997.42</v>
      </c>
      <c r="GB45" s="362">
        <v>-3527.11</v>
      </c>
      <c r="GC45" s="362">
        <v>107470.31</v>
      </c>
      <c r="GD45" s="362">
        <v>-6248.68</v>
      </c>
      <c r="GE45" s="362">
        <v>5374.92</v>
      </c>
      <c r="GF45" s="362">
        <v>-873.76</v>
      </c>
      <c r="GG45" s="202">
        <v>1251.28</v>
      </c>
      <c r="GH45" s="416">
        <v>98</v>
      </c>
      <c r="GI45" s="414">
        <v>2515.1</v>
      </c>
      <c r="GJ45" s="419">
        <v>18976.93</v>
      </c>
      <c r="GK45" s="396">
        <v>1251.28</v>
      </c>
      <c r="GL45" s="202">
        <v>1226.2544</v>
      </c>
      <c r="GM45" s="202">
        <v>25.025599999999901</v>
      </c>
      <c r="GN45" s="323">
        <v>26992.62</v>
      </c>
      <c r="GO45" s="323">
        <v>1677.72</v>
      </c>
      <c r="GP45" s="323">
        <v>28670.34</v>
      </c>
      <c r="GQ45" s="323">
        <v>20743.939999999999</v>
      </c>
      <c r="GR45" s="323">
        <v>7052.64</v>
      </c>
      <c r="GS45" s="323">
        <v>27796.58</v>
      </c>
    </row>
    <row r="46" spans="1:201" ht="12.75" customHeight="1" x14ac:dyDescent="0.2">
      <c r="A46" s="45" t="s">
        <v>77</v>
      </c>
      <c r="B46" s="51" t="s">
        <v>66</v>
      </c>
      <c r="C46" s="52" t="s">
        <v>62</v>
      </c>
      <c r="D46" s="388" t="s">
        <v>620</v>
      </c>
      <c r="E46" s="52" t="s">
        <v>12</v>
      </c>
      <c r="F46" s="11">
        <v>5</v>
      </c>
      <c r="G46" s="11">
        <v>6</v>
      </c>
      <c r="H46" s="11">
        <v>100</v>
      </c>
      <c r="I46" s="11">
        <v>100</v>
      </c>
      <c r="J46" s="11">
        <v>209</v>
      </c>
      <c r="K46" s="11">
        <v>253</v>
      </c>
      <c r="L46" s="11" t="s">
        <v>746</v>
      </c>
      <c r="M46" s="84">
        <v>275.8</v>
      </c>
      <c r="N46" s="84">
        <v>1247.7</v>
      </c>
      <c r="O46" s="84">
        <v>0</v>
      </c>
      <c r="P46" s="135">
        <v>392.5</v>
      </c>
      <c r="Q46" s="135">
        <v>1607</v>
      </c>
      <c r="R46" s="135">
        <v>0</v>
      </c>
      <c r="S46" s="133">
        <f t="shared" si="23"/>
        <v>1999.5</v>
      </c>
      <c r="T46" s="135">
        <v>108.5</v>
      </c>
      <c r="U46" s="130">
        <v>1.53</v>
      </c>
      <c r="V46" s="91">
        <v>1.1299999999999999E-2</v>
      </c>
      <c r="W46" s="91" t="s">
        <v>823</v>
      </c>
      <c r="X46" s="132" t="s">
        <v>823</v>
      </c>
      <c r="Y46" s="91">
        <v>1.1299999999999999E-2</v>
      </c>
      <c r="Z46" s="29">
        <v>4570.95</v>
      </c>
      <c r="AA46" s="29"/>
      <c r="AB46" s="9">
        <f t="shared" si="0"/>
        <v>4570.95</v>
      </c>
      <c r="AC46" s="9">
        <f t="shared" si="28"/>
        <v>28934.11</v>
      </c>
      <c r="AD46" s="9">
        <v>0.43</v>
      </c>
      <c r="AE46" s="9">
        <v>4.3600000000000003</v>
      </c>
      <c r="AF46" s="21">
        <f>2.47-AJ46</f>
        <v>2.21</v>
      </c>
      <c r="AG46" s="18">
        <f>0.55-AQ46</f>
        <v>0.42</v>
      </c>
      <c r="AH46" s="9">
        <v>2.16</v>
      </c>
      <c r="AI46" s="13">
        <v>1198</v>
      </c>
      <c r="AJ46" s="21">
        <f t="shared" si="1"/>
        <v>0.26</v>
      </c>
      <c r="AK46" s="9">
        <v>0</v>
      </c>
      <c r="AL46" s="9">
        <v>0</v>
      </c>
      <c r="AM46" s="9">
        <v>0.13</v>
      </c>
      <c r="AN46" s="13">
        <v>420</v>
      </c>
      <c r="AO46" s="13">
        <v>840</v>
      </c>
      <c r="AP46" s="13">
        <f t="shared" si="24"/>
        <v>5.58</v>
      </c>
      <c r="AQ46" s="18">
        <f t="shared" si="2"/>
        <v>0.13</v>
      </c>
      <c r="AR46" s="9">
        <v>0.84</v>
      </c>
      <c r="AS46" s="9">
        <v>0.3</v>
      </c>
      <c r="AT46" s="9">
        <v>7.0000000000000007E-2</v>
      </c>
      <c r="AU46" s="9">
        <v>3.76</v>
      </c>
      <c r="AV46" s="9">
        <v>0.12</v>
      </c>
      <c r="AW46" s="9">
        <f>0.31+1.01+0.32</f>
        <v>1.64</v>
      </c>
      <c r="AX46" s="9">
        <f>1.39+0.44</f>
        <v>1.83</v>
      </c>
      <c r="AY46" s="54">
        <f t="shared" si="25"/>
        <v>18.66</v>
      </c>
      <c r="AZ46" s="13">
        <v>18.66</v>
      </c>
      <c r="BA46" s="13">
        <f t="shared" si="3"/>
        <v>0</v>
      </c>
      <c r="BB46" s="9">
        <f t="shared" si="4"/>
        <v>85293.93</v>
      </c>
      <c r="BC46" s="9">
        <v>18.66</v>
      </c>
      <c r="BD46" s="10">
        <v>44409</v>
      </c>
      <c r="BE46" s="9">
        <f t="shared" si="5"/>
        <v>1965.51</v>
      </c>
      <c r="BF46" s="9">
        <f t="shared" si="6"/>
        <v>19929.34</v>
      </c>
      <c r="BG46" s="9">
        <f t="shared" si="7"/>
        <v>10101.799999999999</v>
      </c>
      <c r="BH46" s="9">
        <f t="shared" si="8"/>
        <v>1919.8</v>
      </c>
      <c r="BI46" s="9">
        <f t="shared" si="9"/>
        <v>9873.25</v>
      </c>
      <c r="BJ46" s="9">
        <f t="shared" si="10"/>
        <v>1188.45</v>
      </c>
      <c r="BK46" s="9">
        <f t="shared" si="11"/>
        <v>0</v>
      </c>
      <c r="BL46" s="9">
        <f t="shared" si="12"/>
        <v>0</v>
      </c>
      <c r="BM46" s="9">
        <f t="shared" si="13"/>
        <v>594.22</v>
      </c>
      <c r="BN46" s="9">
        <f t="shared" si="14"/>
        <v>594.22</v>
      </c>
      <c r="BO46" s="9">
        <f t="shared" si="15"/>
        <v>3839.6</v>
      </c>
      <c r="BP46" s="9">
        <f t="shared" si="16"/>
        <v>1371.29</v>
      </c>
      <c r="BQ46" s="9">
        <f t="shared" si="17"/>
        <v>319.97000000000003</v>
      </c>
      <c r="BR46" s="9">
        <f t="shared" si="18"/>
        <v>17186.77</v>
      </c>
      <c r="BS46" s="9">
        <f t="shared" si="19"/>
        <v>548.51</v>
      </c>
      <c r="BT46" s="9">
        <f t="shared" si="20"/>
        <v>7496.36</v>
      </c>
      <c r="BU46" s="9">
        <f t="shared" si="21"/>
        <v>8364.84</v>
      </c>
      <c r="BV46" s="17">
        <f t="shared" si="22"/>
        <v>85293.93</v>
      </c>
      <c r="BW46" s="17">
        <v>1.84</v>
      </c>
      <c r="BX46" s="17">
        <v>0.03</v>
      </c>
      <c r="BY46" s="173">
        <v>0</v>
      </c>
      <c r="BZ46" s="17">
        <v>0.02</v>
      </c>
      <c r="CA46" s="29">
        <v>6.33</v>
      </c>
      <c r="CB46" s="325"/>
      <c r="CC46" s="13">
        <v>0</v>
      </c>
      <c r="CD46" s="13">
        <v>0</v>
      </c>
      <c r="CE46" s="13">
        <v>0</v>
      </c>
      <c r="CF46" s="13">
        <v>0</v>
      </c>
      <c r="CG46" s="13">
        <v>0</v>
      </c>
      <c r="CH46" s="13">
        <v>3720</v>
      </c>
      <c r="CI46" s="13">
        <v>4366.92</v>
      </c>
      <c r="CJ46" s="13">
        <v>27684</v>
      </c>
      <c r="CK46" s="13">
        <v>1757.73</v>
      </c>
      <c r="CL46" s="13">
        <v>1023390.78</v>
      </c>
      <c r="CM46" s="13">
        <v>144967.9</v>
      </c>
      <c r="CN46" s="13">
        <v>0</v>
      </c>
      <c r="CO46" s="13">
        <v>11883</v>
      </c>
      <c r="CP46" s="13">
        <v>6215.75</v>
      </c>
      <c r="CQ46" s="13">
        <v>0</v>
      </c>
      <c r="CR46" s="13">
        <v>939249.36</v>
      </c>
      <c r="CS46" s="13">
        <v>122400.74</v>
      </c>
      <c r="CT46" s="13">
        <v>0</v>
      </c>
      <c r="CU46" s="13">
        <v>10698.5</v>
      </c>
      <c r="CV46" s="13">
        <v>5618.4</v>
      </c>
      <c r="CW46" s="13">
        <v>0</v>
      </c>
      <c r="CX46" s="13">
        <v>142250.60999999999</v>
      </c>
      <c r="CY46" s="13">
        <v>24663.53</v>
      </c>
      <c r="CZ46" s="13">
        <v>0</v>
      </c>
      <c r="DA46" s="13">
        <v>1458.61</v>
      </c>
      <c r="DB46" s="13">
        <v>755.89</v>
      </c>
      <c r="DC46" s="13"/>
      <c r="DD46" s="315">
        <v>1186457.43</v>
      </c>
      <c r="DE46" s="317">
        <v>1077967</v>
      </c>
      <c r="DF46" s="317">
        <v>90.86</v>
      </c>
      <c r="DG46" s="318">
        <v>169128.64</v>
      </c>
      <c r="DH46" s="310">
        <v>48015.839999999997</v>
      </c>
      <c r="DI46" s="310">
        <v>27460.799999999999</v>
      </c>
      <c r="DJ46" s="312">
        <v>0</v>
      </c>
      <c r="DK46" s="362">
        <v>0</v>
      </c>
      <c r="DL46" s="362"/>
      <c r="DM46" s="362">
        <v>0</v>
      </c>
      <c r="DN46" s="362">
        <v>0</v>
      </c>
      <c r="DO46" s="362">
        <v>0</v>
      </c>
      <c r="DP46" s="362">
        <v>19048.2</v>
      </c>
      <c r="DQ46" s="362">
        <v>51100</v>
      </c>
      <c r="DR46" s="362"/>
      <c r="DS46" s="362">
        <v>42900</v>
      </c>
      <c r="DT46" s="362"/>
      <c r="DU46" s="362">
        <v>0</v>
      </c>
      <c r="DV46" s="362">
        <v>0</v>
      </c>
      <c r="DW46" s="362">
        <v>0</v>
      </c>
      <c r="DX46" s="362">
        <v>0</v>
      </c>
      <c r="DY46" s="362">
        <v>0</v>
      </c>
      <c r="DZ46" s="375">
        <v>0</v>
      </c>
      <c r="EA46" s="362">
        <v>0</v>
      </c>
      <c r="EB46" s="362">
        <v>0</v>
      </c>
      <c r="EC46" s="362"/>
      <c r="ED46" s="362">
        <v>292598.46000000002</v>
      </c>
      <c r="EE46" s="362">
        <v>12750</v>
      </c>
      <c r="EF46" s="362"/>
      <c r="EG46" s="362">
        <v>0</v>
      </c>
      <c r="EH46" s="362">
        <v>0</v>
      </c>
      <c r="EI46" s="362"/>
      <c r="EJ46" s="362">
        <v>0</v>
      </c>
      <c r="EK46" s="362"/>
      <c r="EL46" s="362">
        <v>0</v>
      </c>
      <c r="EM46" s="362">
        <v>7030.8</v>
      </c>
      <c r="EN46" s="362">
        <v>0</v>
      </c>
      <c r="EO46" s="362">
        <v>1860</v>
      </c>
      <c r="EP46" s="362">
        <v>247422</v>
      </c>
      <c r="EQ46" s="362">
        <v>0</v>
      </c>
      <c r="ER46" s="362">
        <v>16380</v>
      </c>
      <c r="ES46" s="362">
        <v>6924</v>
      </c>
      <c r="ET46" s="362">
        <v>20498</v>
      </c>
      <c r="EU46" s="362">
        <v>0</v>
      </c>
      <c r="EV46" s="362">
        <v>41605.279999999999</v>
      </c>
      <c r="EW46" s="362"/>
      <c r="EX46" s="202"/>
      <c r="EY46" s="202"/>
      <c r="EZ46" s="229"/>
      <c r="FA46" s="368">
        <v>154796.9</v>
      </c>
      <c r="FB46" s="368">
        <v>0</v>
      </c>
      <c r="FC46" s="368">
        <v>0</v>
      </c>
      <c r="FD46" s="368">
        <v>0</v>
      </c>
      <c r="FE46" s="368">
        <v>11905.7</v>
      </c>
      <c r="FF46" s="368">
        <v>6216.9</v>
      </c>
      <c r="FG46" s="368">
        <v>-555.62</v>
      </c>
      <c r="FH46" s="368">
        <v>-1443.9</v>
      </c>
      <c r="FI46" s="368">
        <v>0</v>
      </c>
      <c r="FJ46" s="368">
        <v>0</v>
      </c>
      <c r="FK46" s="368">
        <v>0</v>
      </c>
      <c r="FL46" s="368">
        <v>0</v>
      </c>
      <c r="FM46" s="368">
        <v>122188.33</v>
      </c>
      <c r="FN46" s="368">
        <v>77694.12</v>
      </c>
      <c r="FO46" s="323">
        <v>1035475.83</v>
      </c>
      <c r="FP46" s="323">
        <v>170919.98</v>
      </c>
      <c r="FQ46" s="323">
        <v>1206395.81</v>
      </c>
      <c r="FR46" s="338">
        <v>38462.74</v>
      </c>
      <c r="FS46" s="338">
        <v>11648.2</v>
      </c>
      <c r="FT46" s="377">
        <v>50110.94</v>
      </c>
      <c r="FU46" s="377">
        <v>1055441.7</v>
      </c>
      <c r="FV46" s="377">
        <v>168544.38</v>
      </c>
      <c r="FW46" s="362">
        <v>1223986.08</v>
      </c>
      <c r="FX46" s="362">
        <v>951653.83</v>
      </c>
      <c r="FY46" s="362">
        <v>153314.54999999999</v>
      </c>
      <c r="FZ46" s="362">
        <v>1104968.3799999999</v>
      </c>
      <c r="GA46" s="362">
        <v>142250.60999999999</v>
      </c>
      <c r="GB46" s="362">
        <v>26878.03</v>
      </c>
      <c r="GC46" s="362">
        <v>169128.64</v>
      </c>
      <c r="GD46" s="362">
        <v>-19180.43</v>
      </c>
      <c r="GE46" s="362">
        <v>4914.55</v>
      </c>
      <c r="GF46" s="362">
        <v>-14265.88</v>
      </c>
      <c r="GG46" s="202"/>
      <c r="GH46" s="416">
        <v>0</v>
      </c>
      <c r="GI46" s="414">
        <v>2455</v>
      </c>
      <c r="GJ46" s="419">
        <v>3720</v>
      </c>
      <c r="GK46" s="396"/>
      <c r="GL46" s="202">
        <v>0</v>
      </c>
      <c r="GM46" s="202">
        <v>0</v>
      </c>
      <c r="GN46" s="323">
        <v>19965.87</v>
      </c>
      <c r="GO46" s="323">
        <v>-2375.6</v>
      </c>
      <c r="GP46" s="323">
        <v>17590.27</v>
      </c>
      <c r="GQ46" s="323">
        <v>785.44</v>
      </c>
      <c r="GR46" s="323">
        <v>2538.9499999999998</v>
      </c>
      <c r="GS46" s="323">
        <v>3324.39</v>
      </c>
    </row>
    <row r="47" spans="1:201" ht="12.75" customHeight="1" x14ac:dyDescent="0.2">
      <c r="A47" s="45" t="s">
        <v>78</v>
      </c>
      <c r="B47" s="55" t="s">
        <v>66</v>
      </c>
      <c r="C47" s="56" t="s">
        <v>25</v>
      </c>
      <c r="D47" s="388" t="s">
        <v>405</v>
      </c>
      <c r="E47" s="56" t="s">
        <v>12</v>
      </c>
      <c r="F47" s="11">
        <v>3</v>
      </c>
      <c r="G47" s="11">
        <v>3</v>
      </c>
      <c r="H47" s="11">
        <v>36</v>
      </c>
      <c r="I47" s="11">
        <v>0</v>
      </c>
      <c r="J47" s="11">
        <v>53</v>
      </c>
      <c r="K47" s="11">
        <v>81</v>
      </c>
      <c r="L47" s="11" t="s">
        <v>746</v>
      </c>
      <c r="M47" s="84">
        <v>72.400000000000006</v>
      </c>
      <c r="N47" s="84">
        <v>76.8</v>
      </c>
      <c r="O47" s="84">
        <v>0</v>
      </c>
      <c r="P47" s="135">
        <v>108.5</v>
      </c>
      <c r="Q47" s="135">
        <f>15.8+42.7</f>
        <v>58.5</v>
      </c>
      <c r="R47" s="135">
        <v>688.4</v>
      </c>
      <c r="S47" s="133">
        <f t="shared" si="23"/>
        <v>855.4</v>
      </c>
      <c r="T47" s="138">
        <v>109.5</v>
      </c>
      <c r="U47" s="130">
        <v>0.84</v>
      </c>
      <c r="V47" s="91">
        <v>1.1299999999999999E-2</v>
      </c>
      <c r="W47" s="91" t="s">
        <v>823</v>
      </c>
      <c r="X47" s="132" t="s">
        <v>823</v>
      </c>
      <c r="Y47" s="91">
        <v>1.1299999999999999E-2</v>
      </c>
      <c r="Z47" s="29">
        <v>1520</v>
      </c>
      <c r="AA47" s="29"/>
      <c r="AB47" s="9">
        <f t="shared" si="0"/>
        <v>1520</v>
      </c>
      <c r="AC47" s="9">
        <f t="shared" si="28"/>
        <v>9621.6</v>
      </c>
      <c r="AD47" s="9">
        <v>0.34</v>
      </c>
      <c r="AE47" s="9">
        <v>3.2</v>
      </c>
      <c r="AF47" s="21">
        <f>2.53-AJ47</f>
        <v>1.81</v>
      </c>
      <c r="AG47" s="18">
        <f>0.58-AQ47</f>
        <v>0.42</v>
      </c>
      <c r="AH47" s="9">
        <v>2.16</v>
      </c>
      <c r="AI47" s="13">
        <v>1094</v>
      </c>
      <c r="AJ47" s="21">
        <f t="shared" si="1"/>
        <v>0.72</v>
      </c>
      <c r="AK47" s="9">
        <v>0</v>
      </c>
      <c r="AL47" s="9">
        <v>0</v>
      </c>
      <c r="AM47" s="9">
        <v>0.38</v>
      </c>
      <c r="AN47" s="13">
        <v>177.6</v>
      </c>
      <c r="AO47" s="13">
        <v>355.2</v>
      </c>
      <c r="AP47" s="13">
        <f t="shared" si="24"/>
        <v>5.58</v>
      </c>
      <c r="AQ47" s="18">
        <f t="shared" si="2"/>
        <v>0.16</v>
      </c>
      <c r="AR47" s="9">
        <v>1.05</v>
      </c>
      <c r="AS47" s="9">
        <v>0.9</v>
      </c>
      <c r="AT47" s="9">
        <v>7.0000000000000007E-2</v>
      </c>
      <c r="AU47" s="9">
        <v>4.63</v>
      </c>
      <c r="AV47" s="9">
        <v>0.12</v>
      </c>
      <c r="AW47" s="9">
        <f>0.33+0.41+1</f>
        <v>1.74</v>
      </c>
      <c r="AX47" s="9">
        <f>1.41+0.55</f>
        <v>1.96</v>
      </c>
      <c r="AY47" s="58">
        <f t="shared" si="25"/>
        <v>19.66</v>
      </c>
      <c r="AZ47" s="13">
        <v>19.66</v>
      </c>
      <c r="BA47" s="13">
        <f t="shared" si="3"/>
        <v>0</v>
      </c>
      <c r="BB47" s="9">
        <f t="shared" si="4"/>
        <v>29883.200000000001</v>
      </c>
      <c r="BC47" s="9">
        <v>19.66</v>
      </c>
      <c r="BD47" s="10">
        <v>44409</v>
      </c>
      <c r="BE47" s="9">
        <f t="shared" si="5"/>
        <v>516.79999999999995</v>
      </c>
      <c r="BF47" s="9">
        <f t="shared" si="6"/>
        <v>4864</v>
      </c>
      <c r="BG47" s="9">
        <f t="shared" si="7"/>
        <v>2751.2</v>
      </c>
      <c r="BH47" s="9">
        <f t="shared" si="8"/>
        <v>638.4</v>
      </c>
      <c r="BI47" s="9">
        <f t="shared" si="9"/>
        <v>3283.2</v>
      </c>
      <c r="BJ47" s="9">
        <f t="shared" si="10"/>
        <v>1094.4000000000001</v>
      </c>
      <c r="BK47" s="9">
        <f t="shared" si="11"/>
        <v>0</v>
      </c>
      <c r="BL47" s="9">
        <f t="shared" si="12"/>
        <v>0</v>
      </c>
      <c r="BM47" s="9">
        <f t="shared" si="13"/>
        <v>577.6</v>
      </c>
      <c r="BN47" s="9">
        <f t="shared" si="14"/>
        <v>243.2</v>
      </c>
      <c r="BO47" s="9">
        <f t="shared" si="15"/>
        <v>1596</v>
      </c>
      <c r="BP47" s="9">
        <f t="shared" si="16"/>
        <v>1368</v>
      </c>
      <c r="BQ47" s="9">
        <f t="shared" si="17"/>
        <v>106.4</v>
      </c>
      <c r="BR47" s="9">
        <f t="shared" si="18"/>
        <v>7037.6</v>
      </c>
      <c r="BS47" s="9">
        <f t="shared" si="19"/>
        <v>182.4</v>
      </c>
      <c r="BT47" s="9">
        <f t="shared" si="20"/>
        <v>2644.8</v>
      </c>
      <c r="BU47" s="9">
        <f t="shared" si="21"/>
        <v>2979.2</v>
      </c>
      <c r="BV47" s="17">
        <f t="shared" si="22"/>
        <v>29883.200000000001</v>
      </c>
      <c r="BW47" s="17">
        <v>0.57999999999999996</v>
      </c>
      <c r="BX47" s="17">
        <v>0.03</v>
      </c>
      <c r="BY47" s="173">
        <v>0</v>
      </c>
      <c r="BZ47" s="17">
        <v>0.01</v>
      </c>
      <c r="CA47" s="29">
        <v>6.33</v>
      </c>
      <c r="CB47" s="325"/>
      <c r="CC47" s="13">
        <v>0</v>
      </c>
      <c r="CD47" s="13">
        <v>0</v>
      </c>
      <c r="CE47" s="13">
        <v>0</v>
      </c>
      <c r="CF47" s="13">
        <v>0</v>
      </c>
      <c r="CG47" s="13">
        <v>0</v>
      </c>
      <c r="CH47" s="13">
        <v>2976</v>
      </c>
      <c r="CI47" s="13">
        <v>5395.39</v>
      </c>
      <c r="CJ47" s="13">
        <v>18288</v>
      </c>
      <c r="CK47" s="13">
        <v>584.58000000000004</v>
      </c>
      <c r="CL47" s="13">
        <v>358598.16</v>
      </c>
      <c r="CM47" s="13">
        <v>12099.13</v>
      </c>
      <c r="CN47" s="13">
        <v>0</v>
      </c>
      <c r="CO47" s="13">
        <v>0</v>
      </c>
      <c r="CP47" s="13">
        <v>0</v>
      </c>
      <c r="CQ47" s="13">
        <v>0</v>
      </c>
      <c r="CR47" s="13">
        <v>300421.82</v>
      </c>
      <c r="CS47" s="13">
        <v>9901.14</v>
      </c>
      <c r="CT47" s="13">
        <v>0</v>
      </c>
      <c r="CU47" s="13">
        <v>64.55</v>
      </c>
      <c r="CV47" s="13">
        <v>28.73</v>
      </c>
      <c r="CW47" s="13">
        <v>0</v>
      </c>
      <c r="CX47" s="13">
        <v>114807.93</v>
      </c>
      <c r="CY47" s="13">
        <v>3747.36</v>
      </c>
      <c r="CZ47" s="13">
        <v>0</v>
      </c>
      <c r="DA47" s="13">
        <v>-6.04</v>
      </c>
      <c r="DB47" s="13">
        <v>2.77</v>
      </c>
      <c r="DC47" s="13"/>
      <c r="DD47" s="315">
        <v>370697.29</v>
      </c>
      <c r="DE47" s="317">
        <v>310416.24</v>
      </c>
      <c r="DF47" s="317">
        <v>83.74</v>
      </c>
      <c r="DG47" s="318">
        <v>118552.02</v>
      </c>
      <c r="DH47" s="310">
        <v>15971.28</v>
      </c>
      <c r="DI47" s="310">
        <v>9134.16</v>
      </c>
      <c r="DJ47" s="312">
        <v>0</v>
      </c>
      <c r="DK47" s="362">
        <v>0</v>
      </c>
      <c r="DL47" s="362"/>
      <c r="DM47" s="362">
        <v>0</v>
      </c>
      <c r="DN47" s="362">
        <v>0</v>
      </c>
      <c r="DO47" s="362">
        <v>0</v>
      </c>
      <c r="DP47" s="362">
        <v>17394.599999999999</v>
      </c>
      <c r="DQ47" s="362">
        <v>148680</v>
      </c>
      <c r="DR47" s="362"/>
      <c r="DS47" s="362">
        <v>18150</v>
      </c>
      <c r="DT47" s="362"/>
      <c r="DU47" s="362">
        <v>0</v>
      </c>
      <c r="DV47" s="362">
        <v>0</v>
      </c>
      <c r="DW47" s="362">
        <v>0</v>
      </c>
      <c r="DX47" s="362">
        <v>0</v>
      </c>
      <c r="DY47" s="362">
        <v>0</v>
      </c>
      <c r="DZ47" s="375">
        <v>0</v>
      </c>
      <c r="EA47" s="362">
        <v>0</v>
      </c>
      <c r="EB47" s="362">
        <v>0</v>
      </c>
      <c r="EC47" s="362"/>
      <c r="ED47" s="362">
        <v>72131.520000000004</v>
      </c>
      <c r="EE47" s="362">
        <v>8500</v>
      </c>
      <c r="EF47" s="362"/>
      <c r="EG47" s="362">
        <v>0</v>
      </c>
      <c r="EH47" s="362">
        <v>0</v>
      </c>
      <c r="EI47" s="362"/>
      <c r="EJ47" s="362">
        <v>0</v>
      </c>
      <c r="EK47" s="362"/>
      <c r="EL47" s="362">
        <v>0</v>
      </c>
      <c r="EM47" s="362">
        <v>2973.03</v>
      </c>
      <c r="EN47" s="362">
        <v>0</v>
      </c>
      <c r="EO47" s="362">
        <v>1488</v>
      </c>
      <c r="EP47" s="362">
        <v>75168</v>
      </c>
      <c r="EQ47" s="362">
        <v>0</v>
      </c>
      <c r="ER47" s="362">
        <v>16380</v>
      </c>
      <c r="ES47" s="362">
        <v>6924</v>
      </c>
      <c r="ET47" s="362">
        <v>9507</v>
      </c>
      <c r="EU47" s="362">
        <v>0</v>
      </c>
      <c r="EV47" s="362">
        <v>3677.25</v>
      </c>
      <c r="EW47" s="362"/>
      <c r="EX47" s="202"/>
      <c r="EY47" s="202"/>
      <c r="EZ47" s="229"/>
      <c r="FA47" s="368">
        <v>12188.53</v>
      </c>
      <c r="FB47" s="368">
        <v>0</v>
      </c>
      <c r="FC47" s="368">
        <v>0</v>
      </c>
      <c r="FD47" s="368">
        <v>0</v>
      </c>
      <c r="FE47" s="368">
        <v>0</v>
      </c>
      <c r="FF47" s="368">
        <v>0</v>
      </c>
      <c r="FG47" s="368">
        <v>0</v>
      </c>
      <c r="FH47" s="368">
        <v>-388.89</v>
      </c>
      <c r="FI47" s="368">
        <v>0</v>
      </c>
      <c r="FJ47" s="368">
        <v>0</v>
      </c>
      <c r="FK47" s="368">
        <v>0</v>
      </c>
      <c r="FL47" s="368">
        <v>0</v>
      </c>
      <c r="FM47" s="368">
        <v>40637.300000000003</v>
      </c>
      <c r="FN47" s="368">
        <v>25839.09</v>
      </c>
      <c r="FO47" s="323">
        <v>472555.23</v>
      </c>
      <c r="FP47" s="323">
        <v>11799.64</v>
      </c>
      <c r="FQ47" s="323">
        <v>484354.87</v>
      </c>
      <c r="FR47" s="338">
        <v>58049.5</v>
      </c>
      <c r="FS47" s="338">
        <v>2012.12</v>
      </c>
      <c r="FT47" s="377">
        <v>60061.62</v>
      </c>
      <c r="FU47" s="377">
        <v>382281.55</v>
      </c>
      <c r="FV47" s="377">
        <v>15659.71</v>
      </c>
      <c r="FW47" s="362">
        <v>397941.26</v>
      </c>
      <c r="FX47" s="362">
        <v>325523.12</v>
      </c>
      <c r="FY47" s="362">
        <v>13927.74</v>
      </c>
      <c r="FZ47" s="362">
        <v>339450.86</v>
      </c>
      <c r="GA47" s="362">
        <v>114807.93</v>
      </c>
      <c r="GB47" s="362">
        <v>3744.09</v>
      </c>
      <c r="GC47" s="362">
        <v>118552.02</v>
      </c>
      <c r="GD47" s="362">
        <v>-1391.45</v>
      </c>
      <c r="GE47" s="362">
        <v>1394.58</v>
      </c>
      <c r="GF47" s="362">
        <v>3.13</v>
      </c>
      <c r="GG47" s="202"/>
      <c r="GH47" s="416">
        <v>0</v>
      </c>
      <c r="GI47" s="414">
        <v>2540</v>
      </c>
      <c r="GJ47" s="419">
        <v>2976</v>
      </c>
      <c r="GK47" s="396"/>
      <c r="GL47" s="202">
        <v>0</v>
      </c>
      <c r="GM47" s="202">
        <v>0</v>
      </c>
      <c r="GN47" s="323">
        <v>-90273.68</v>
      </c>
      <c r="GO47" s="323">
        <v>3860.07</v>
      </c>
      <c r="GP47" s="323">
        <v>-86413.61</v>
      </c>
      <c r="GQ47" s="323">
        <v>-91665.13</v>
      </c>
      <c r="GR47" s="323">
        <v>5254.65</v>
      </c>
      <c r="GS47" s="323">
        <v>-86410.48</v>
      </c>
    </row>
    <row r="48" spans="1:201" ht="12.75" customHeight="1" x14ac:dyDescent="0.2">
      <c r="A48" s="45" t="s">
        <v>80</v>
      </c>
      <c r="B48" s="51" t="s">
        <v>66</v>
      </c>
      <c r="C48" s="52" t="s">
        <v>64</v>
      </c>
      <c r="D48" s="388" t="s">
        <v>406</v>
      </c>
      <c r="E48" s="52" t="s">
        <v>12</v>
      </c>
      <c r="F48" s="11">
        <v>5</v>
      </c>
      <c r="G48" s="11">
        <v>4</v>
      </c>
      <c r="H48" s="11">
        <v>70</v>
      </c>
      <c r="I48" s="11">
        <v>70</v>
      </c>
      <c r="J48" s="11">
        <v>181</v>
      </c>
      <c r="K48" s="11">
        <v>206</v>
      </c>
      <c r="L48" s="11" t="s">
        <v>746</v>
      </c>
      <c r="M48" s="84">
        <v>265.2</v>
      </c>
      <c r="N48" s="84">
        <v>916.7</v>
      </c>
      <c r="O48" s="84">
        <v>916.7</v>
      </c>
      <c r="P48" s="135">
        <v>275.8</v>
      </c>
      <c r="Q48" s="135">
        <f>713.3+16.8</f>
        <v>730.1</v>
      </c>
      <c r="R48" s="135">
        <v>0</v>
      </c>
      <c r="S48" s="133">
        <f t="shared" si="23"/>
        <v>1005.9</v>
      </c>
      <c r="T48" s="135">
        <v>265.2</v>
      </c>
      <c r="U48" s="130">
        <v>1.53</v>
      </c>
      <c r="V48" s="91">
        <v>1.1299999999999999E-2</v>
      </c>
      <c r="W48" s="91" t="s">
        <v>823</v>
      </c>
      <c r="X48" s="132" t="s">
        <v>823</v>
      </c>
      <c r="Y48" s="91">
        <v>1.1299999999999999E-2</v>
      </c>
      <c r="Z48" s="29">
        <v>3396.9</v>
      </c>
      <c r="AA48" s="29"/>
      <c r="AB48" s="9">
        <f t="shared" si="0"/>
        <v>3396.9</v>
      </c>
      <c r="AC48" s="9">
        <f t="shared" si="28"/>
        <v>21502.38</v>
      </c>
      <c r="AD48" s="9">
        <v>0.4</v>
      </c>
      <c r="AE48" s="9">
        <v>4.79</v>
      </c>
      <c r="AF48" s="21">
        <f>2.44-AJ48</f>
        <v>2.1800000000000002</v>
      </c>
      <c r="AG48" s="18">
        <f>0.53-AQ48</f>
        <v>0.37</v>
      </c>
      <c r="AH48" s="9">
        <v>2.16</v>
      </c>
      <c r="AI48" s="13">
        <v>880</v>
      </c>
      <c r="AJ48" s="21">
        <f t="shared" si="1"/>
        <v>0.26</v>
      </c>
      <c r="AK48" s="9">
        <v>0</v>
      </c>
      <c r="AL48" s="9">
        <v>0</v>
      </c>
      <c r="AM48" s="9">
        <v>0.17</v>
      </c>
      <c r="AN48" s="13">
        <v>394.7</v>
      </c>
      <c r="AO48" s="13">
        <v>789.3</v>
      </c>
      <c r="AP48" s="13">
        <f t="shared" si="24"/>
        <v>5.58</v>
      </c>
      <c r="AQ48" s="18">
        <f t="shared" si="2"/>
        <v>0.16</v>
      </c>
      <c r="AR48" s="9">
        <v>0.78</v>
      </c>
      <c r="AS48" s="9">
        <v>0.4</v>
      </c>
      <c r="AT48" s="9">
        <v>7.0000000000000007E-2</v>
      </c>
      <c r="AU48" s="9">
        <v>3.4</v>
      </c>
      <c r="AV48" s="9">
        <v>0.12</v>
      </c>
      <c r="AW48" s="9">
        <f>0.29+1.05+0.3</f>
        <v>1.64</v>
      </c>
      <c r="AX48" s="9">
        <f>1.44+0.41</f>
        <v>1.85</v>
      </c>
      <c r="AY48" s="54">
        <f t="shared" si="25"/>
        <v>18.75</v>
      </c>
      <c r="AZ48" s="13">
        <v>18.75</v>
      </c>
      <c r="BA48" s="13">
        <f t="shared" si="3"/>
        <v>0</v>
      </c>
      <c r="BB48" s="9">
        <f t="shared" si="4"/>
        <v>63691.88</v>
      </c>
      <c r="BC48" s="9">
        <v>18.75</v>
      </c>
      <c r="BD48" s="10">
        <v>44409</v>
      </c>
      <c r="BE48" s="9">
        <f t="shared" si="5"/>
        <v>1358.76</v>
      </c>
      <c r="BF48" s="9">
        <f t="shared" si="6"/>
        <v>16271.15</v>
      </c>
      <c r="BG48" s="9">
        <f t="shared" si="7"/>
        <v>7405.24</v>
      </c>
      <c r="BH48" s="9">
        <f t="shared" si="8"/>
        <v>1256.8499999999999</v>
      </c>
      <c r="BI48" s="9">
        <f t="shared" si="9"/>
        <v>7337.3</v>
      </c>
      <c r="BJ48" s="9">
        <f t="shared" si="10"/>
        <v>883.19</v>
      </c>
      <c r="BK48" s="9">
        <f t="shared" si="11"/>
        <v>0</v>
      </c>
      <c r="BL48" s="9">
        <f t="shared" si="12"/>
        <v>0</v>
      </c>
      <c r="BM48" s="9">
        <f t="shared" si="13"/>
        <v>577.47</v>
      </c>
      <c r="BN48" s="9">
        <f t="shared" si="14"/>
        <v>543.5</v>
      </c>
      <c r="BO48" s="9">
        <f t="shared" si="15"/>
        <v>2649.58</v>
      </c>
      <c r="BP48" s="9">
        <f t="shared" si="16"/>
        <v>1358.76</v>
      </c>
      <c r="BQ48" s="9">
        <f t="shared" si="17"/>
        <v>237.78</v>
      </c>
      <c r="BR48" s="9">
        <f t="shared" si="18"/>
        <v>11549.46</v>
      </c>
      <c r="BS48" s="9">
        <f t="shared" si="19"/>
        <v>407.63</v>
      </c>
      <c r="BT48" s="9">
        <f t="shared" si="20"/>
        <v>5570.92</v>
      </c>
      <c r="BU48" s="9">
        <f t="shared" si="21"/>
        <v>6284.27</v>
      </c>
      <c r="BV48" s="17">
        <f t="shared" si="22"/>
        <v>63691.86</v>
      </c>
      <c r="BW48" s="17">
        <v>1.79</v>
      </c>
      <c r="BX48" s="17">
        <v>0.03</v>
      </c>
      <c r="BY48" s="173">
        <v>0</v>
      </c>
      <c r="BZ48" s="17">
        <v>0.01</v>
      </c>
      <c r="CA48" s="29">
        <v>6.33</v>
      </c>
      <c r="CB48" s="325"/>
      <c r="CC48" s="13">
        <v>0</v>
      </c>
      <c r="CD48" s="13">
        <v>0</v>
      </c>
      <c r="CE48" s="13">
        <v>0</v>
      </c>
      <c r="CF48" s="13">
        <v>0</v>
      </c>
      <c r="CG48" s="13">
        <v>0</v>
      </c>
      <c r="CH48" s="13">
        <v>2976</v>
      </c>
      <c r="CI48" s="13">
        <v>2413.06</v>
      </c>
      <c r="CJ48" s="13">
        <v>21588</v>
      </c>
      <c r="CK48" s="13">
        <v>1306.4100000000001</v>
      </c>
      <c r="CL48" s="13">
        <v>764304.12</v>
      </c>
      <c r="CM48" s="13">
        <v>78196.5</v>
      </c>
      <c r="CN48" s="13">
        <v>0</v>
      </c>
      <c r="CO48" s="13">
        <v>51904.800000000003</v>
      </c>
      <c r="CP48" s="13">
        <v>27786.82</v>
      </c>
      <c r="CQ48" s="13">
        <v>0</v>
      </c>
      <c r="CR48" s="13">
        <v>707568.43</v>
      </c>
      <c r="CS48" s="13">
        <v>70343.320000000007</v>
      </c>
      <c r="CT48" s="13">
        <v>0</v>
      </c>
      <c r="CU48" s="13">
        <v>37172.01</v>
      </c>
      <c r="CV48" s="13">
        <v>21242.01</v>
      </c>
      <c r="CW48" s="13">
        <v>0</v>
      </c>
      <c r="CX48" s="13">
        <v>150510.23000000001</v>
      </c>
      <c r="CY48" s="13">
        <v>13765.8</v>
      </c>
      <c r="CZ48" s="13">
        <v>0</v>
      </c>
      <c r="DA48" s="13">
        <v>11804.57</v>
      </c>
      <c r="DB48" s="13">
        <v>6411.41</v>
      </c>
      <c r="DC48" s="13"/>
      <c r="DD48" s="315">
        <v>922192.24</v>
      </c>
      <c r="DE48" s="317">
        <v>836325.77</v>
      </c>
      <c r="DF48" s="317">
        <v>90.69</v>
      </c>
      <c r="DG48" s="318">
        <v>182492.01</v>
      </c>
      <c r="DH48" s="310">
        <v>35692.68</v>
      </c>
      <c r="DI48" s="310">
        <v>20413.080000000002</v>
      </c>
      <c r="DJ48" s="312">
        <v>0</v>
      </c>
      <c r="DK48" s="362">
        <v>0</v>
      </c>
      <c r="DL48" s="362"/>
      <c r="DM48" s="362">
        <v>0</v>
      </c>
      <c r="DN48" s="362">
        <v>0</v>
      </c>
      <c r="DO48" s="362">
        <v>0</v>
      </c>
      <c r="DP48" s="362">
        <v>13992</v>
      </c>
      <c r="DQ48" s="362">
        <v>61880</v>
      </c>
      <c r="DR48" s="362"/>
      <c r="DS48" s="362">
        <v>22720</v>
      </c>
      <c r="DT48" s="362"/>
      <c r="DU48" s="362">
        <v>0</v>
      </c>
      <c r="DV48" s="362">
        <v>0</v>
      </c>
      <c r="DW48" s="362">
        <v>0</v>
      </c>
      <c r="DX48" s="362">
        <v>0</v>
      </c>
      <c r="DY48" s="362">
        <v>0</v>
      </c>
      <c r="DZ48" s="375">
        <v>0</v>
      </c>
      <c r="EA48" s="362">
        <v>0</v>
      </c>
      <c r="EB48" s="362">
        <v>0</v>
      </c>
      <c r="EC48" s="362"/>
      <c r="ED48" s="362">
        <v>235190.16</v>
      </c>
      <c r="EE48" s="362">
        <v>12750</v>
      </c>
      <c r="EF48" s="362"/>
      <c r="EG48" s="362">
        <v>0</v>
      </c>
      <c r="EH48" s="362">
        <v>0</v>
      </c>
      <c r="EI48" s="362"/>
      <c r="EJ48" s="362">
        <v>0</v>
      </c>
      <c r="EK48" s="362"/>
      <c r="EL48" s="362">
        <v>0</v>
      </c>
      <c r="EM48" s="362">
        <v>6606.72</v>
      </c>
      <c r="EN48" s="362">
        <v>0</v>
      </c>
      <c r="EO48" s="362">
        <v>1488</v>
      </c>
      <c r="EP48" s="362">
        <v>180822</v>
      </c>
      <c r="EQ48" s="362">
        <v>0</v>
      </c>
      <c r="ER48" s="362">
        <v>16380</v>
      </c>
      <c r="ES48" s="362">
        <v>6924</v>
      </c>
      <c r="ET48" s="362">
        <v>13842</v>
      </c>
      <c r="EU48" s="362">
        <v>0</v>
      </c>
      <c r="EV48" s="362">
        <v>0</v>
      </c>
      <c r="EW48" s="362"/>
      <c r="EX48" s="202"/>
      <c r="EY48" s="202"/>
      <c r="EZ48" s="229"/>
      <c r="FA48" s="368">
        <v>89958.07</v>
      </c>
      <c r="FB48" s="368">
        <v>0</v>
      </c>
      <c r="FC48" s="368">
        <v>0</v>
      </c>
      <c r="FD48" s="368">
        <v>0</v>
      </c>
      <c r="FE48" s="368">
        <v>54961.7</v>
      </c>
      <c r="FF48" s="368">
        <v>29629.22</v>
      </c>
      <c r="FG48" s="368">
        <v>0</v>
      </c>
      <c r="FH48" s="368">
        <v>-869.1</v>
      </c>
      <c r="FI48" s="368">
        <v>0</v>
      </c>
      <c r="FJ48" s="368">
        <v>0</v>
      </c>
      <c r="FK48" s="368">
        <v>0</v>
      </c>
      <c r="FL48" s="368">
        <v>0</v>
      </c>
      <c r="FM48" s="368">
        <v>90816.33</v>
      </c>
      <c r="FN48" s="368">
        <v>57745.26</v>
      </c>
      <c r="FO48" s="323">
        <v>777262.23</v>
      </c>
      <c r="FP48" s="323">
        <v>173679.89</v>
      </c>
      <c r="FQ48" s="323">
        <v>950942.12</v>
      </c>
      <c r="FR48" s="338">
        <v>84688.18</v>
      </c>
      <c r="FS48" s="338">
        <v>5837.52</v>
      </c>
      <c r="FT48" s="377">
        <v>90525.7</v>
      </c>
      <c r="FU48" s="377">
        <v>788305.18</v>
      </c>
      <c r="FV48" s="377">
        <v>162170.53</v>
      </c>
      <c r="FW48" s="362">
        <v>950475.71</v>
      </c>
      <c r="FX48" s="362">
        <v>722483.13</v>
      </c>
      <c r="FY48" s="362">
        <v>136026.26999999999</v>
      </c>
      <c r="FZ48" s="362">
        <v>858509.4</v>
      </c>
      <c r="GA48" s="362">
        <v>150510.23000000001</v>
      </c>
      <c r="GB48" s="362">
        <v>31981.78</v>
      </c>
      <c r="GC48" s="362">
        <v>182492.01</v>
      </c>
      <c r="GD48" s="362">
        <v>20913.98</v>
      </c>
      <c r="GE48" s="362">
        <v>3432.87</v>
      </c>
      <c r="GF48" s="362">
        <v>24346.85</v>
      </c>
      <c r="GG48" s="202"/>
      <c r="GH48" s="416">
        <v>0</v>
      </c>
      <c r="GI48" s="414">
        <v>1947</v>
      </c>
      <c r="GJ48" s="419">
        <v>2976</v>
      </c>
      <c r="GK48" s="396"/>
      <c r="GL48" s="202">
        <v>0</v>
      </c>
      <c r="GM48" s="202">
        <v>0</v>
      </c>
      <c r="GN48" s="323">
        <v>11042.95</v>
      </c>
      <c r="GO48" s="323">
        <v>-11509.36</v>
      </c>
      <c r="GP48" s="323">
        <v>-466.41</v>
      </c>
      <c r="GQ48" s="323">
        <v>31956.93</v>
      </c>
      <c r="GR48" s="323">
        <v>-8076.49</v>
      </c>
      <c r="GS48" s="323">
        <v>23880.44</v>
      </c>
    </row>
    <row r="49" spans="1:201" ht="12.75" customHeight="1" x14ac:dyDescent="0.2">
      <c r="A49" s="45" t="s">
        <v>82</v>
      </c>
      <c r="B49" s="51" t="s">
        <v>66</v>
      </c>
      <c r="C49" s="52" t="s">
        <v>27</v>
      </c>
      <c r="D49" s="388" t="s">
        <v>407</v>
      </c>
      <c r="E49" s="52" t="s">
        <v>12</v>
      </c>
      <c r="F49" s="11">
        <v>5</v>
      </c>
      <c r="G49" s="11">
        <v>4</v>
      </c>
      <c r="H49" s="11">
        <v>80</v>
      </c>
      <c r="I49" s="11">
        <v>80</v>
      </c>
      <c r="J49" s="11">
        <v>136</v>
      </c>
      <c r="K49" s="11">
        <v>182</v>
      </c>
      <c r="L49" s="11" t="s">
        <v>746</v>
      </c>
      <c r="M49" s="84">
        <v>196.8</v>
      </c>
      <c r="N49" s="84">
        <v>657.6</v>
      </c>
      <c r="O49" s="84">
        <v>0</v>
      </c>
      <c r="P49" s="135">
        <v>264.5</v>
      </c>
      <c r="Q49" s="135">
        <v>511.8</v>
      </c>
      <c r="R49" s="135">
        <v>0</v>
      </c>
      <c r="S49" s="133">
        <f t="shared" si="23"/>
        <v>776.3</v>
      </c>
      <c r="T49" s="134">
        <v>265</v>
      </c>
      <c r="U49" s="130">
        <v>1.53</v>
      </c>
      <c r="V49" s="91">
        <v>1.1299999999999999E-2</v>
      </c>
      <c r="W49" s="91" t="s">
        <v>823</v>
      </c>
      <c r="X49" s="132" t="s">
        <v>823</v>
      </c>
      <c r="Y49" s="91">
        <v>1.1299999999999999E-2</v>
      </c>
      <c r="Z49" s="29">
        <v>3173.92</v>
      </c>
      <c r="AA49" s="29">
        <v>172.3</v>
      </c>
      <c r="AB49" s="9">
        <f t="shared" si="0"/>
        <v>3346.22</v>
      </c>
      <c r="AC49" s="9">
        <f t="shared" si="28"/>
        <v>21181.57</v>
      </c>
      <c r="AD49" s="9">
        <v>0.39</v>
      </c>
      <c r="AE49" s="9">
        <v>4.16</v>
      </c>
      <c r="AF49" s="21">
        <f>2.46-AJ49</f>
        <v>2.21</v>
      </c>
      <c r="AG49" s="18">
        <f>0.54-AQ49</f>
        <v>0.43</v>
      </c>
      <c r="AH49" s="9">
        <v>2.16</v>
      </c>
      <c r="AI49" s="13">
        <v>842</v>
      </c>
      <c r="AJ49" s="21">
        <f t="shared" si="1"/>
        <v>0.25</v>
      </c>
      <c r="AK49" s="9">
        <v>0</v>
      </c>
      <c r="AL49" s="9">
        <v>0</v>
      </c>
      <c r="AM49" s="9">
        <v>0.17</v>
      </c>
      <c r="AN49" s="13">
        <v>267.2</v>
      </c>
      <c r="AO49" s="13">
        <v>534.4</v>
      </c>
      <c r="AP49" s="13">
        <f t="shared" si="24"/>
        <v>5.58</v>
      </c>
      <c r="AQ49" s="18">
        <f t="shared" si="2"/>
        <v>0.11</v>
      </c>
      <c r="AR49" s="9">
        <v>0.85</v>
      </c>
      <c r="AS49" s="9">
        <v>0.41</v>
      </c>
      <c r="AT49" s="9">
        <v>7.0000000000000007E-2</v>
      </c>
      <c r="AU49" s="9">
        <v>3.79</v>
      </c>
      <c r="AV49" s="9">
        <v>0.12</v>
      </c>
      <c r="AW49" s="9">
        <f>0.34+1+0.34</f>
        <v>1.68</v>
      </c>
      <c r="AX49" s="9">
        <f>1.38+0.45</f>
        <v>1.83</v>
      </c>
      <c r="AY49" s="54">
        <f t="shared" si="25"/>
        <v>18.63</v>
      </c>
      <c r="AZ49" s="13">
        <v>18.63</v>
      </c>
      <c r="BA49" s="13">
        <f t="shared" si="3"/>
        <v>0</v>
      </c>
      <c r="BB49" s="9">
        <f t="shared" si="4"/>
        <v>62340.08</v>
      </c>
      <c r="BC49" s="9">
        <v>18.63</v>
      </c>
      <c r="BD49" s="10">
        <v>44378</v>
      </c>
      <c r="BE49" s="9">
        <f t="shared" si="5"/>
        <v>1305.03</v>
      </c>
      <c r="BF49" s="9">
        <f t="shared" si="6"/>
        <v>13920.28</v>
      </c>
      <c r="BG49" s="9">
        <f t="shared" si="7"/>
        <v>7395.15</v>
      </c>
      <c r="BH49" s="9">
        <f t="shared" si="8"/>
        <v>1438.87</v>
      </c>
      <c r="BI49" s="9">
        <f t="shared" si="9"/>
        <v>7227.84</v>
      </c>
      <c r="BJ49" s="9">
        <f t="shared" si="10"/>
        <v>836.56</v>
      </c>
      <c r="BK49" s="9">
        <f t="shared" si="11"/>
        <v>0</v>
      </c>
      <c r="BL49" s="9">
        <f t="shared" si="12"/>
        <v>0</v>
      </c>
      <c r="BM49" s="9">
        <f t="shared" si="13"/>
        <v>568.86</v>
      </c>
      <c r="BN49" s="9">
        <f t="shared" si="14"/>
        <v>368.08</v>
      </c>
      <c r="BO49" s="9">
        <f t="shared" si="15"/>
        <v>2844.29</v>
      </c>
      <c r="BP49" s="9">
        <f t="shared" si="16"/>
        <v>1371.95</v>
      </c>
      <c r="BQ49" s="9">
        <f t="shared" si="17"/>
        <v>234.24</v>
      </c>
      <c r="BR49" s="9">
        <f t="shared" si="18"/>
        <v>12682.17</v>
      </c>
      <c r="BS49" s="9">
        <f t="shared" si="19"/>
        <v>401.55</v>
      </c>
      <c r="BT49" s="9">
        <f t="shared" si="20"/>
        <v>5621.65</v>
      </c>
      <c r="BU49" s="9">
        <f t="shared" si="21"/>
        <v>6123.58</v>
      </c>
      <c r="BV49" s="17">
        <f t="shared" si="22"/>
        <v>62340.1</v>
      </c>
      <c r="BW49" s="17">
        <v>1.43</v>
      </c>
      <c r="BX49" s="17">
        <v>0.03</v>
      </c>
      <c r="BY49" s="173">
        <v>0</v>
      </c>
      <c r="BZ49" s="17">
        <v>0.01</v>
      </c>
      <c r="CA49" s="29">
        <v>6.33</v>
      </c>
      <c r="CB49" s="325"/>
      <c r="CC49" s="13">
        <v>38519.519999999997</v>
      </c>
      <c r="CD49" s="13">
        <v>3175.57</v>
      </c>
      <c r="CE49" s="13">
        <v>0</v>
      </c>
      <c r="CF49" s="13">
        <v>382.52</v>
      </c>
      <c r="CG49" s="13">
        <v>199.89</v>
      </c>
      <c r="CH49" s="13">
        <v>5208</v>
      </c>
      <c r="CI49" s="13">
        <v>2465.64</v>
      </c>
      <c r="CJ49" s="13">
        <v>27684</v>
      </c>
      <c r="CK49" s="13">
        <v>1287.21</v>
      </c>
      <c r="CL49" s="13">
        <v>709606.17</v>
      </c>
      <c r="CM49" s="13">
        <v>13268.26</v>
      </c>
      <c r="CN49" s="13">
        <v>0</v>
      </c>
      <c r="CO49" s="13">
        <v>7047.63</v>
      </c>
      <c r="CP49" s="13">
        <v>3682.64</v>
      </c>
      <c r="CQ49" s="13">
        <v>0</v>
      </c>
      <c r="CR49" s="13">
        <v>649104.44999999995</v>
      </c>
      <c r="CS49" s="13">
        <v>12292.11</v>
      </c>
      <c r="CT49" s="13">
        <v>0</v>
      </c>
      <c r="CU49" s="13">
        <v>7710.33</v>
      </c>
      <c r="CV49" s="13">
        <v>4002.95</v>
      </c>
      <c r="CW49" s="13">
        <v>0</v>
      </c>
      <c r="CX49" s="13">
        <v>131551.60999999999</v>
      </c>
      <c r="CY49" s="13">
        <v>11.98</v>
      </c>
      <c r="CZ49" s="13">
        <v>0</v>
      </c>
      <c r="DA49" s="13">
        <v>753.61</v>
      </c>
      <c r="DB49" s="13">
        <v>404.52</v>
      </c>
      <c r="DC49" s="13"/>
      <c r="DD49" s="315">
        <v>733604.7</v>
      </c>
      <c r="DE49" s="317">
        <v>673109.84</v>
      </c>
      <c r="DF49" s="317">
        <v>91.75</v>
      </c>
      <c r="DG49" s="318">
        <v>132721.72</v>
      </c>
      <c r="DH49" s="310">
        <v>33358.199999999997</v>
      </c>
      <c r="DI49" s="310">
        <v>19077.84</v>
      </c>
      <c r="DJ49" s="312">
        <v>0</v>
      </c>
      <c r="DK49" s="362">
        <v>0</v>
      </c>
      <c r="DL49" s="362"/>
      <c r="DM49" s="362">
        <v>0</v>
      </c>
      <c r="DN49" s="362">
        <v>0</v>
      </c>
      <c r="DO49" s="362">
        <v>0</v>
      </c>
      <c r="DP49" s="362">
        <v>13387.8</v>
      </c>
      <c r="DQ49" s="362">
        <v>79100</v>
      </c>
      <c r="DR49" s="362"/>
      <c r="DS49" s="362">
        <v>13400</v>
      </c>
      <c r="DT49" s="362"/>
      <c r="DU49" s="362">
        <v>0</v>
      </c>
      <c r="DV49" s="362">
        <v>0</v>
      </c>
      <c r="DW49" s="362">
        <v>0</v>
      </c>
      <c r="DX49" s="362">
        <v>0</v>
      </c>
      <c r="DY49" s="362">
        <v>0</v>
      </c>
      <c r="DZ49" s="375">
        <v>0</v>
      </c>
      <c r="EA49" s="362">
        <v>0</v>
      </c>
      <c r="EB49" s="362">
        <v>0</v>
      </c>
      <c r="EC49" s="362"/>
      <c r="ED49" s="362">
        <v>203700.72</v>
      </c>
      <c r="EE49" s="362">
        <v>8500</v>
      </c>
      <c r="EF49" s="362"/>
      <c r="EG49" s="362">
        <v>0</v>
      </c>
      <c r="EH49" s="362">
        <v>0</v>
      </c>
      <c r="EI49" s="362"/>
      <c r="EJ49" s="362">
        <v>0</v>
      </c>
      <c r="EK49" s="362"/>
      <c r="EL49" s="362">
        <v>0</v>
      </c>
      <c r="EM49" s="362">
        <v>4472.93</v>
      </c>
      <c r="EN49" s="362">
        <v>0</v>
      </c>
      <c r="EO49" s="362">
        <v>2232</v>
      </c>
      <c r="EP49" s="362">
        <v>181662</v>
      </c>
      <c r="EQ49" s="362">
        <v>0</v>
      </c>
      <c r="ER49" s="362">
        <v>16380</v>
      </c>
      <c r="ES49" s="362">
        <v>6924</v>
      </c>
      <c r="ET49" s="362">
        <v>14319</v>
      </c>
      <c r="EU49" s="362">
        <v>0</v>
      </c>
      <c r="EV49" s="362">
        <v>16517.3</v>
      </c>
      <c r="EW49" s="362"/>
      <c r="EX49" s="202"/>
      <c r="EY49" s="202"/>
      <c r="EZ49" s="229"/>
      <c r="FA49" s="368">
        <v>14290.18</v>
      </c>
      <c r="FB49" s="368">
        <v>0</v>
      </c>
      <c r="FC49" s="368">
        <v>0</v>
      </c>
      <c r="FD49" s="368">
        <v>0</v>
      </c>
      <c r="FE49" s="368">
        <v>8836.85</v>
      </c>
      <c r="FF49" s="368">
        <v>4626.3999999999996</v>
      </c>
      <c r="FG49" s="368">
        <v>-1405.25</v>
      </c>
      <c r="FH49" s="368">
        <v>-1592.04</v>
      </c>
      <c r="FI49" s="368">
        <v>0</v>
      </c>
      <c r="FJ49" s="368">
        <v>0</v>
      </c>
      <c r="FK49" s="368">
        <v>0</v>
      </c>
      <c r="FL49" s="368">
        <v>0</v>
      </c>
      <c r="FM49" s="368">
        <v>89470.38</v>
      </c>
      <c r="FN49" s="368">
        <v>56889.63</v>
      </c>
      <c r="FO49" s="323">
        <v>759391.8</v>
      </c>
      <c r="FP49" s="323">
        <v>24756.14</v>
      </c>
      <c r="FQ49" s="323">
        <v>784147.94</v>
      </c>
      <c r="FR49" s="338">
        <v>86245.92</v>
      </c>
      <c r="FS49" s="338">
        <v>-428.45</v>
      </c>
      <c r="FT49" s="377">
        <v>85817.47</v>
      </c>
      <c r="FU49" s="377">
        <v>778275.33</v>
      </c>
      <c r="FV49" s="377">
        <v>34251.72</v>
      </c>
      <c r="FW49" s="362">
        <v>812527.05</v>
      </c>
      <c r="FX49" s="362">
        <v>729555.48</v>
      </c>
      <c r="FY49" s="362">
        <v>31852.31</v>
      </c>
      <c r="FZ49" s="362">
        <v>761407.79</v>
      </c>
      <c r="GA49" s="362">
        <v>134965.76999999999</v>
      </c>
      <c r="GB49" s="362">
        <v>1970.96</v>
      </c>
      <c r="GC49" s="362">
        <v>136936.73000000001</v>
      </c>
      <c r="GD49" s="362">
        <v>23958.29</v>
      </c>
      <c r="GE49" s="362">
        <v>4292.25</v>
      </c>
      <c r="GF49" s="362">
        <v>28250.54</v>
      </c>
      <c r="GG49" s="202">
        <v>4215.01</v>
      </c>
      <c r="GH49" s="416">
        <v>81</v>
      </c>
      <c r="GI49" s="414">
        <v>2442.5500000000002</v>
      </c>
      <c r="GJ49" s="419">
        <v>47485.5</v>
      </c>
      <c r="GK49" s="396">
        <v>4215.01</v>
      </c>
      <c r="GL49" s="202">
        <v>3414.1581000000001</v>
      </c>
      <c r="GM49" s="202">
        <v>800.8519</v>
      </c>
      <c r="GN49" s="323">
        <v>18883.53</v>
      </c>
      <c r="GO49" s="323">
        <v>9495.58</v>
      </c>
      <c r="GP49" s="323">
        <v>28379.11</v>
      </c>
      <c r="GQ49" s="323">
        <v>42841.82</v>
      </c>
      <c r="GR49" s="323">
        <v>13787.83</v>
      </c>
      <c r="GS49" s="323">
        <v>56629.65</v>
      </c>
    </row>
    <row r="50" spans="1:201" ht="12.75" customHeight="1" x14ac:dyDescent="0.2">
      <c r="A50" s="45" t="s">
        <v>83</v>
      </c>
      <c r="B50" s="51" t="s">
        <v>66</v>
      </c>
      <c r="C50" s="52" t="s">
        <v>27</v>
      </c>
      <c r="D50" s="388" t="s">
        <v>548</v>
      </c>
      <c r="E50" s="52" t="s">
        <v>9</v>
      </c>
      <c r="F50" s="11">
        <v>5</v>
      </c>
      <c r="G50" s="11">
        <v>6</v>
      </c>
      <c r="H50" s="11">
        <v>90</v>
      </c>
      <c r="I50" s="11">
        <v>90</v>
      </c>
      <c r="J50" s="11">
        <v>198</v>
      </c>
      <c r="K50" s="11">
        <v>210</v>
      </c>
      <c r="L50" s="11" t="s">
        <v>746</v>
      </c>
      <c r="M50" s="84">
        <v>418.5</v>
      </c>
      <c r="N50" s="84">
        <v>1007</v>
      </c>
      <c r="O50" s="84">
        <v>0</v>
      </c>
      <c r="P50" s="135">
        <f>418.5</f>
        <v>418.5</v>
      </c>
      <c r="Q50" s="135">
        <f>780.9+61.8+4.7</f>
        <v>847.4</v>
      </c>
      <c r="R50" s="133">
        <v>0</v>
      </c>
      <c r="S50" s="133">
        <f t="shared" si="23"/>
        <v>1265.9000000000001</v>
      </c>
      <c r="T50" s="134">
        <v>418.5</v>
      </c>
      <c r="U50" s="130">
        <v>1.53</v>
      </c>
      <c r="V50" s="91">
        <v>1.1299999999999999E-2</v>
      </c>
      <c r="W50" s="91" t="s">
        <v>823</v>
      </c>
      <c r="X50" s="132" t="s">
        <v>823</v>
      </c>
      <c r="Y50" s="91">
        <v>1.1299999999999999E-2</v>
      </c>
      <c r="Z50" s="29">
        <v>4032.3</v>
      </c>
      <c r="AA50" s="29"/>
      <c r="AB50" s="9">
        <f t="shared" si="0"/>
        <v>4032.3</v>
      </c>
      <c r="AC50" s="9">
        <f t="shared" si="28"/>
        <v>25524.46</v>
      </c>
      <c r="AD50" s="9">
        <v>0.51</v>
      </c>
      <c r="AE50" s="9">
        <v>4.17</v>
      </c>
      <c r="AF50" s="21">
        <f>2.45-AJ50</f>
        <v>2.21</v>
      </c>
      <c r="AG50" s="18">
        <f>0.56-AQ50</f>
        <v>0.46</v>
      </c>
      <c r="AH50" s="9">
        <v>2.12</v>
      </c>
      <c r="AI50" s="13">
        <v>967</v>
      </c>
      <c r="AJ50" s="21">
        <f t="shared" si="1"/>
        <v>0.24</v>
      </c>
      <c r="AK50" s="9">
        <v>0</v>
      </c>
      <c r="AL50" s="9">
        <v>0</v>
      </c>
      <c r="AM50" s="9">
        <v>0.14000000000000001</v>
      </c>
      <c r="AN50" s="13">
        <v>300.60000000000002</v>
      </c>
      <c r="AO50" s="13">
        <v>601.20000000000005</v>
      </c>
      <c r="AP50" s="13">
        <f t="shared" si="24"/>
        <v>5.58</v>
      </c>
      <c r="AQ50" s="18">
        <f t="shared" si="2"/>
        <v>0.1</v>
      </c>
      <c r="AR50" s="9">
        <v>0.81</v>
      </c>
      <c r="AS50" s="9">
        <v>0.34</v>
      </c>
      <c r="AT50" s="9">
        <v>7.0000000000000007E-2</v>
      </c>
      <c r="AU50" s="9">
        <v>3.9</v>
      </c>
      <c r="AV50" s="9">
        <v>0.12</v>
      </c>
      <c r="AW50" s="9">
        <f>0.31+1+0.34</f>
        <v>1.65</v>
      </c>
      <c r="AX50" s="9">
        <f>1.37+0.47</f>
        <v>1.84</v>
      </c>
      <c r="AY50" s="54">
        <f t="shared" si="25"/>
        <v>18.68</v>
      </c>
      <c r="AZ50" s="13">
        <v>18.68</v>
      </c>
      <c r="BA50" s="13">
        <f t="shared" si="3"/>
        <v>0</v>
      </c>
      <c r="BB50" s="9">
        <f t="shared" si="4"/>
        <v>75323.360000000001</v>
      </c>
      <c r="BC50" s="9">
        <v>18.68</v>
      </c>
      <c r="BD50" s="10">
        <v>44378</v>
      </c>
      <c r="BE50" s="9">
        <f t="shared" si="5"/>
        <v>2056.4699999999998</v>
      </c>
      <c r="BF50" s="9">
        <f t="shared" si="6"/>
        <v>16814.689999999999</v>
      </c>
      <c r="BG50" s="9">
        <f t="shared" si="7"/>
        <v>8911.3799999999992</v>
      </c>
      <c r="BH50" s="9">
        <f t="shared" si="8"/>
        <v>1854.86</v>
      </c>
      <c r="BI50" s="9">
        <f t="shared" si="9"/>
        <v>8548.48</v>
      </c>
      <c r="BJ50" s="9">
        <f t="shared" si="10"/>
        <v>967.75</v>
      </c>
      <c r="BK50" s="9">
        <f t="shared" si="11"/>
        <v>0</v>
      </c>
      <c r="BL50" s="9">
        <f t="shared" si="12"/>
        <v>0</v>
      </c>
      <c r="BM50" s="9">
        <f t="shared" si="13"/>
        <v>564.52</v>
      </c>
      <c r="BN50" s="9">
        <f t="shared" si="14"/>
        <v>403.23</v>
      </c>
      <c r="BO50" s="9">
        <f t="shared" si="15"/>
        <v>3266.16</v>
      </c>
      <c r="BP50" s="9">
        <f t="shared" si="16"/>
        <v>1370.98</v>
      </c>
      <c r="BQ50" s="9">
        <f t="shared" si="17"/>
        <v>282.26</v>
      </c>
      <c r="BR50" s="9">
        <f t="shared" si="18"/>
        <v>15725.97</v>
      </c>
      <c r="BS50" s="9">
        <f t="shared" si="19"/>
        <v>483.88</v>
      </c>
      <c r="BT50" s="9">
        <f t="shared" si="20"/>
        <v>6653.3</v>
      </c>
      <c r="BU50" s="9">
        <f t="shared" si="21"/>
        <v>7419.43</v>
      </c>
      <c r="BV50" s="17">
        <f t="shared" si="22"/>
        <v>75323.360000000001</v>
      </c>
      <c r="BW50" s="17">
        <v>1.93</v>
      </c>
      <c r="BX50" s="17">
        <v>0.03</v>
      </c>
      <c r="BY50" s="173">
        <v>0</v>
      </c>
      <c r="BZ50" s="17">
        <v>0.02</v>
      </c>
      <c r="CA50" s="29">
        <v>6.33</v>
      </c>
      <c r="CB50" s="325"/>
      <c r="CC50" s="13">
        <v>0</v>
      </c>
      <c r="CD50" s="13">
        <v>0</v>
      </c>
      <c r="CE50" s="13">
        <v>0</v>
      </c>
      <c r="CF50" s="13">
        <v>0</v>
      </c>
      <c r="CG50" s="13">
        <v>0</v>
      </c>
      <c r="CH50" s="13">
        <v>2232</v>
      </c>
      <c r="CI50" s="13">
        <v>5357.49</v>
      </c>
      <c r="CJ50" s="13">
        <v>39876</v>
      </c>
      <c r="CK50" s="13">
        <v>1550.78</v>
      </c>
      <c r="CL50" s="13">
        <v>903880.08</v>
      </c>
      <c r="CM50" s="13">
        <v>42903.37</v>
      </c>
      <c r="CN50" s="13">
        <v>0</v>
      </c>
      <c r="CO50" s="13">
        <v>46331.63</v>
      </c>
      <c r="CP50" s="13">
        <v>24436.63</v>
      </c>
      <c r="CQ50" s="13">
        <v>0</v>
      </c>
      <c r="CR50" s="13">
        <v>846252.45</v>
      </c>
      <c r="CS50" s="13">
        <v>40383.379999999997</v>
      </c>
      <c r="CT50" s="13">
        <v>0</v>
      </c>
      <c r="CU50" s="13">
        <v>47320.1</v>
      </c>
      <c r="CV50" s="13">
        <v>24835.23</v>
      </c>
      <c r="CW50" s="13">
        <v>0</v>
      </c>
      <c r="CX50" s="13">
        <v>132320.69</v>
      </c>
      <c r="CY50" s="13">
        <v>2825.41</v>
      </c>
      <c r="CZ50" s="13">
        <v>0</v>
      </c>
      <c r="DA50" s="13">
        <v>5330.97</v>
      </c>
      <c r="DB50" s="13">
        <v>2787.83</v>
      </c>
      <c r="DC50" s="13"/>
      <c r="DD50" s="315">
        <v>1017551.71</v>
      </c>
      <c r="DE50" s="317">
        <v>958791.16</v>
      </c>
      <c r="DF50" s="317">
        <v>94.23</v>
      </c>
      <c r="DG50" s="318">
        <v>143264.9</v>
      </c>
      <c r="DH50" s="310">
        <v>42369.120000000003</v>
      </c>
      <c r="DI50" s="310">
        <v>24231.360000000001</v>
      </c>
      <c r="DJ50" s="312">
        <v>0</v>
      </c>
      <c r="DK50" s="362">
        <v>0</v>
      </c>
      <c r="DL50" s="362"/>
      <c r="DM50" s="362">
        <v>0</v>
      </c>
      <c r="DN50" s="362">
        <v>0</v>
      </c>
      <c r="DO50" s="362">
        <v>0</v>
      </c>
      <c r="DP50" s="362">
        <v>15375.3</v>
      </c>
      <c r="DQ50" s="362">
        <v>161350</v>
      </c>
      <c r="DR50" s="362"/>
      <c r="DS50" s="362">
        <v>27020</v>
      </c>
      <c r="DT50" s="362"/>
      <c r="DU50" s="362">
        <v>0</v>
      </c>
      <c r="DV50" s="362">
        <v>0</v>
      </c>
      <c r="DW50" s="362">
        <v>0</v>
      </c>
      <c r="DX50" s="362">
        <v>0</v>
      </c>
      <c r="DY50" s="362">
        <v>0</v>
      </c>
      <c r="DZ50" s="375">
        <v>0</v>
      </c>
      <c r="EA50" s="362">
        <v>0</v>
      </c>
      <c r="EB50" s="362">
        <v>0</v>
      </c>
      <c r="EC50" s="362"/>
      <c r="ED50" s="362">
        <v>252160.68</v>
      </c>
      <c r="EE50" s="362">
        <v>8500</v>
      </c>
      <c r="EF50" s="362"/>
      <c r="EG50" s="362">
        <v>0</v>
      </c>
      <c r="EH50" s="362">
        <v>0</v>
      </c>
      <c r="EI50" s="362"/>
      <c r="EJ50" s="362">
        <v>0</v>
      </c>
      <c r="EK50" s="362"/>
      <c r="EL50" s="362">
        <v>0</v>
      </c>
      <c r="EM50" s="362">
        <v>5032.05</v>
      </c>
      <c r="EN50" s="362">
        <v>0</v>
      </c>
      <c r="EO50" s="362">
        <v>1116</v>
      </c>
      <c r="EP50" s="362">
        <v>218724</v>
      </c>
      <c r="EQ50" s="362">
        <v>0</v>
      </c>
      <c r="ER50" s="362">
        <v>16380</v>
      </c>
      <c r="ES50" s="362">
        <v>2885</v>
      </c>
      <c r="ET50" s="362">
        <v>16248</v>
      </c>
      <c r="EU50" s="362">
        <v>0</v>
      </c>
      <c r="EV50" s="362">
        <v>0</v>
      </c>
      <c r="EW50" s="362"/>
      <c r="EX50" s="202"/>
      <c r="EY50" s="202"/>
      <c r="EZ50" s="229"/>
      <c r="FA50" s="368">
        <v>43425.9</v>
      </c>
      <c r="FB50" s="368">
        <v>0</v>
      </c>
      <c r="FC50" s="368">
        <v>0</v>
      </c>
      <c r="FD50" s="368">
        <v>0</v>
      </c>
      <c r="FE50" s="368">
        <v>42938.49</v>
      </c>
      <c r="FF50" s="368">
        <v>22549.02</v>
      </c>
      <c r="FG50" s="368">
        <v>-1540.37</v>
      </c>
      <c r="FH50" s="368">
        <v>-1838.1</v>
      </c>
      <c r="FI50" s="368">
        <v>0</v>
      </c>
      <c r="FJ50" s="368">
        <v>0</v>
      </c>
      <c r="FK50" s="368">
        <v>0</v>
      </c>
      <c r="FL50" s="368">
        <v>0</v>
      </c>
      <c r="FM50" s="368">
        <v>107803.81</v>
      </c>
      <c r="FN50" s="368">
        <v>68546.67</v>
      </c>
      <c r="FO50" s="323">
        <v>967741.99</v>
      </c>
      <c r="FP50" s="323">
        <v>105534.94</v>
      </c>
      <c r="FQ50" s="323">
        <v>1073276.93</v>
      </c>
      <c r="FR50" s="338">
        <v>71472.78</v>
      </c>
      <c r="FS50" s="338">
        <v>6513.7</v>
      </c>
      <c r="FT50" s="377">
        <v>77986.48</v>
      </c>
      <c r="FU50" s="377">
        <v>949113.57</v>
      </c>
      <c r="FV50" s="377">
        <v>117454.41</v>
      </c>
      <c r="FW50" s="362">
        <v>1066567.98</v>
      </c>
      <c r="FX50" s="362">
        <v>888265.66</v>
      </c>
      <c r="FY50" s="362">
        <v>113023.9</v>
      </c>
      <c r="FZ50" s="362">
        <v>1001289.56</v>
      </c>
      <c r="GA50" s="362">
        <v>132320.69</v>
      </c>
      <c r="GB50" s="362">
        <v>10944.21</v>
      </c>
      <c r="GC50" s="362">
        <v>143264.9</v>
      </c>
      <c r="GD50" s="362">
        <v>-33479.61</v>
      </c>
      <c r="GE50" s="362">
        <v>-3002</v>
      </c>
      <c r="GF50" s="362">
        <v>-36481.61</v>
      </c>
      <c r="GG50" s="202"/>
      <c r="GH50" s="416">
        <v>0</v>
      </c>
      <c r="GI50" s="414">
        <v>3446.1</v>
      </c>
      <c r="GJ50" s="419">
        <v>2232</v>
      </c>
      <c r="GK50" s="396"/>
      <c r="GL50" s="202">
        <v>0</v>
      </c>
      <c r="GM50" s="202">
        <v>0</v>
      </c>
      <c r="GN50" s="323">
        <v>-18628.419999999998</v>
      </c>
      <c r="GO50" s="323">
        <v>11919.47</v>
      </c>
      <c r="GP50" s="323">
        <v>-6708.95</v>
      </c>
      <c r="GQ50" s="323">
        <v>-52108.03</v>
      </c>
      <c r="GR50" s="323">
        <v>8917.4699999999993</v>
      </c>
      <c r="GS50" s="323">
        <v>-43190.559999999998</v>
      </c>
    </row>
    <row r="51" spans="1:201" ht="12.75" customHeight="1" x14ac:dyDescent="0.2">
      <c r="A51" s="45" t="s">
        <v>84</v>
      </c>
      <c r="B51" s="55" t="s">
        <v>74</v>
      </c>
      <c r="C51" s="56" t="s">
        <v>8</v>
      </c>
      <c r="D51" s="388" t="s">
        <v>549</v>
      </c>
      <c r="E51" s="56" t="s">
        <v>9</v>
      </c>
      <c r="F51" s="11">
        <v>4</v>
      </c>
      <c r="G51" s="11">
        <v>3</v>
      </c>
      <c r="H51" s="11">
        <v>50</v>
      </c>
      <c r="I51" s="11">
        <v>0</v>
      </c>
      <c r="J51" s="11">
        <v>86</v>
      </c>
      <c r="K51" s="11">
        <v>107</v>
      </c>
      <c r="L51" s="11" t="s">
        <v>746</v>
      </c>
      <c r="M51" s="84">
        <v>178</v>
      </c>
      <c r="N51" s="84">
        <v>261.8</v>
      </c>
      <c r="O51" s="84">
        <v>261.8</v>
      </c>
      <c r="P51" s="135">
        <f>178+377.4+25.8</f>
        <v>581.20000000000005</v>
      </c>
      <c r="Q51" s="146">
        <v>0</v>
      </c>
      <c r="R51" s="133">
        <v>683.3</v>
      </c>
      <c r="S51" s="133">
        <f t="shared" si="23"/>
        <v>1264.5</v>
      </c>
      <c r="T51" s="134">
        <v>178</v>
      </c>
      <c r="U51" s="130">
        <v>0.84</v>
      </c>
      <c r="V51" s="91">
        <v>1.1299999999999999E-2</v>
      </c>
      <c r="W51" s="91" t="s">
        <v>823</v>
      </c>
      <c r="X51" s="132" t="s">
        <v>823</v>
      </c>
      <c r="Y51" s="91">
        <v>1.1299999999999999E-2</v>
      </c>
      <c r="Z51" s="29">
        <v>2100.65</v>
      </c>
      <c r="AA51" s="29">
        <v>112.1</v>
      </c>
      <c r="AB51" s="9">
        <f t="shared" si="0"/>
        <v>2212.75</v>
      </c>
      <c r="AC51" s="9">
        <f t="shared" si="28"/>
        <v>14006.71</v>
      </c>
      <c r="AD51" s="9">
        <v>0.4</v>
      </c>
      <c r="AE51" s="9">
        <v>3.36</v>
      </c>
      <c r="AF51" s="21">
        <f>2.41-AJ51</f>
        <v>2.11</v>
      </c>
      <c r="AG51" s="18">
        <f>0.54-AQ51</f>
        <v>0.41</v>
      </c>
      <c r="AH51" s="9">
        <v>2.16</v>
      </c>
      <c r="AI51" s="13">
        <v>656</v>
      </c>
      <c r="AJ51" s="21">
        <f t="shared" si="1"/>
        <v>0.3</v>
      </c>
      <c r="AK51" s="9">
        <v>0</v>
      </c>
      <c r="AL51" s="9">
        <v>0</v>
      </c>
      <c r="AM51" s="9">
        <v>0.26</v>
      </c>
      <c r="AN51" s="13">
        <v>207.6</v>
      </c>
      <c r="AO51" s="13">
        <v>415.2</v>
      </c>
      <c r="AP51" s="13">
        <f t="shared" si="24"/>
        <v>5.58</v>
      </c>
      <c r="AQ51" s="18">
        <f t="shared" si="2"/>
        <v>0.13</v>
      </c>
      <c r="AR51" s="9">
        <v>0.87</v>
      </c>
      <c r="AS51" s="9">
        <v>0.62</v>
      </c>
      <c r="AT51" s="9">
        <v>7.0000000000000007E-2</v>
      </c>
      <c r="AU51" s="9">
        <v>4.59</v>
      </c>
      <c r="AV51" s="9">
        <v>0.11</v>
      </c>
      <c r="AW51" s="9">
        <f>0.33+0.94+0.41</f>
        <v>1.68</v>
      </c>
      <c r="AX51" s="9">
        <f>1.33+0.54</f>
        <v>1.87</v>
      </c>
      <c r="AY51" s="58">
        <f>SUM(AD51:AH51,AJ51:AM51,AQ51:AX51)</f>
        <v>18.940000000000001</v>
      </c>
      <c r="AZ51" s="13">
        <v>18.940000000000001</v>
      </c>
      <c r="BA51" s="13">
        <f t="shared" si="3"/>
        <v>0</v>
      </c>
      <c r="BB51" s="9">
        <f t="shared" si="4"/>
        <v>41909.49</v>
      </c>
      <c r="BC51" s="9">
        <v>18.940000000000001</v>
      </c>
      <c r="BD51" s="10">
        <v>44409</v>
      </c>
      <c r="BE51" s="9">
        <f t="shared" si="5"/>
        <v>885.1</v>
      </c>
      <c r="BF51" s="9">
        <f t="shared" si="6"/>
        <v>7434.84</v>
      </c>
      <c r="BG51" s="9">
        <f t="shared" si="7"/>
        <v>4668.8999999999996</v>
      </c>
      <c r="BH51" s="9">
        <f t="shared" si="8"/>
        <v>907.23</v>
      </c>
      <c r="BI51" s="9">
        <f t="shared" si="9"/>
        <v>4779.54</v>
      </c>
      <c r="BJ51" s="9">
        <f t="shared" si="10"/>
        <v>663.83</v>
      </c>
      <c r="BK51" s="9">
        <f t="shared" si="11"/>
        <v>0</v>
      </c>
      <c r="BL51" s="9">
        <f t="shared" si="12"/>
        <v>0</v>
      </c>
      <c r="BM51" s="9">
        <f t="shared" si="13"/>
        <v>575.32000000000005</v>
      </c>
      <c r="BN51" s="9">
        <f t="shared" si="14"/>
        <v>287.66000000000003</v>
      </c>
      <c r="BO51" s="9">
        <f t="shared" si="15"/>
        <v>1925.09</v>
      </c>
      <c r="BP51" s="9">
        <f t="shared" si="16"/>
        <v>1371.91</v>
      </c>
      <c r="BQ51" s="9">
        <f t="shared" si="17"/>
        <v>154.88999999999999</v>
      </c>
      <c r="BR51" s="9">
        <f t="shared" si="18"/>
        <v>10156.52</v>
      </c>
      <c r="BS51" s="9">
        <f t="shared" si="19"/>
        <v>243.4</v>
      </c>
      <c r="BT51" s="9">
        <f t="shared" si="20"/>
        <v>3717.42</v>
      </c>
      <c r="BU51" s="9">
        <f t="shared" si="21"/>
        <v>4137.84</v>
      </c>
      <c r="BV51" s="17">
        <f t="shared" si="22"/>
        <v>41909.49</v>
      </c>
      <c r="BW51" s="17">
        <v>2.2000000000000002</v>
      </c>
      <c r="BX51" s="17">
        <v>7.0000000000000007E-2</v>
      </c>
      <c r="BY51" s="173">
        <v>0</v>
      </c>
      <c r="BZ51" s="17">
        <v>0.04</v>
      </c>
      <c r="CA51" s="29">
        <v>6.33</v>
      </c>
      <c r="CB51" s="325"/>
      <c r="CC51" s="13">
        <v>25478.04</v>
      </c>
      <c r="CD51" s="13">
        <v>2046.96</v>
      </c>
      <c r="CE51" s="13">
        <v>89.68</v>
      </c>
      <c r="CF51" s="13">
        <v>483.15</v>
      </c>
      <c r="CG51" s="13">
        <v>313.88</v>
      </c>
      <c r="CH51" s="13">
        <v>3720</v>
      </c>
      <c r="CI51" s="13">
        <v>3402</v>
      </c>
      <c r="CJ51" s="13">
        <v>5076</v>
      </c>
      <c r="CK51" s="13">
        <v>851</v>
      </c>
      <c r="CL51" s="13">
        <v>477436.44</v>
      </c>
      <c r="CM51" s="13">
        <v>38357.97</v>
      </c>
      <c r="CN51" s="13">
        <v>0</v>
      </c>
      <c r="CO51" s="13">
        <v>10734.33</v>
      </c>
      <c r="CP51" s="13">
        <v>5881.97</v>
      </c>
      <c r="CQ51" s="13">
        <v>0</v>
      </c>
      <c r="CR51" s="13">
        <v>431484.37</v>
      </c>
      <c r="CS51" s="13">
        <v>37619.449999999997</v>
      </c>
      <c r="CT51" s="13">
        <v>0</v>
      </c>
      <c r="CU51" s="13">
        <v>2772.24</v>
      </c>
      <c r="CV51" s="13">
        <v>2970.05</v>
      </c>
      <c r="CW51" s="13">
        <v>0</v>
      </c>
      <c r="CX51" s="13">
        <v>98345.03</v>
      </c>
      <c r="CY51" s="13">
        <v>5690.46</v>
      </c>
      <c r="CZ51" s="13">
        <v>0</v>
      </c>
      <c r="DA51" s="13">
        <v>1856.92</v>
      </c>
      <c r="DB51" s="13">
        <v>1018.99</v>
      </c>
      <c r="DC51" s="13"/>
      <c r="DD51" s="315">
        <v>532410.71</v>
      </c>
      <c r="DE51" s="317">
        <v>474846.11</v>
      </c>
      <c r="DF51" s="317">
        <v>89.19</v>
      </c>
      <c r="DG51" s="318">
        <v>106911.4</v>
      </c>
      <c r="DH51" s="310">
        <v>22072.44</v>
      </c>
      <c r="DI51" s="310">
        <v>12623.4</v>
      </c>
      <c r="DJ51" s="312">
        <v>0</v>
      </c>
      <c r="DK51" s="362">
        <v>0</v>
      </c>
      <c r="DL51" s="362"/>
      <c r="DM51" s="362">
        <v>0</v>
      </c>
      <c r="DN51" s="362">
        <v>0</v>
      </c>
      <c r="DO51" s="362">
        <v>0</v>
      </c>
      <c r="DP51" s="362">
        <v>10430.4</v>
      </c>
      <c r="DQ51" s="362">
        <v>73800</v>
      </c>
      <c r="DR51" s="362"/>
      <c r="DS51" s="362">
        <v>23975</v>
      </c>
      <c r="DT51" s="362"/>
      <c r="DU51" s="362">
        <v>0</v>
      </c>
      <c r="DV51" s="362">
        <v>0</v>
      </c>
      <c r="DW51" s="362">
        <v>0</v>
      </c>
      <c r="DX51" s="362">
        <v>0</v>
      </c>
      <c r="DY51" s="362">
        <v>0</v>
      </c>
      <c r="DZ51" s="375">
        <v>0</v>
      </c>
      <c r="EA51" s="362">
        <v>0</v>
      </c>
      <c r="EB51" s="362">
        <v>0</v>
      </c>
      <c r="EC51" s="362"/>
      <c r="ED51" s="362">
        <v>111765.72</v>
      </c>
      <c r="EE51" s="362">
        <v>10200</v>
      </c>
      <c r="EF51" s="362"/>
      <c r="EG51" s="362">
        <v>0</v>
      </c>
      <c r="EH51" s="362">
        <v>0</v>
      </c>
      <c r="EI51" s="362"/>
      <c r="EJ51" s="362">
        <v>0</v>
      </c>
      <c r="EK51" s="362"/>
      <c r="EL51" s="362">
        <v>0</v>
      </c>
      <c r="EM51" s="362">
        <v>3475.23</v>
      </c>
      <c r="EN51" s="362">
        <v>0</v>
      </c>
      <c r="EO51" s="362">
        <v>1860</v>
      </c>
      <c r="EP51" s="362">
        <v>117186</v>
      </c>
      <c r="EQ51" s="362">
        <v>0</v>
      </c>
      <c r="ER51" s="362">
        <v>16380</v>
      </c>
      <c r="ES51" s="362">
        <v>6924</v>
      </c>
      <c r="ET51" s="362">
        <v>10249</v>
      </c>
      <c r="EU51" s="362">
        <v>0</v>
      </c>
      <c r="EV51" s="362">
        <v>4631.8500000000004</v>
      </c>
      <c r="EW51" s="362"/>
      <c r="EX51" s="202"/>
      <c r="EY51" s="202"/>
      <c r="EZ51" s="229"/>
      <c r="FA51" s="368">
        <v>34539.5</v>
      </c>
      <c r="FB51" s="368">
        <v>0</v>
      </c>
      <c r="FC51" s="368">
        <v>0</v>
      </c>
      <c r="FD51" s="368">
        <v>0</v>
      </c>
      <c r="FE51" s="368">
        <v>17024.22</v>
      </c>
      <c r="FF51" s="368">
        <v>9325.66</v>
      </c>
      <c r="FG51" s="368">
        <v>0</v>
      </c>
      <c r="FH51" s="368">
        <v>-566.13</v>
      </c>
      <c r="FI51" s="368">
        <v>0</v>
      </c>
      <c r="FJ51" s="368">
        <v>0</v>
      </c>
      <c r="FK51" s="368">
        <v>0</v>
      </c>
      <c r="FL51" s="368">
        <v>0</v>
      </c>
      <c r="FM51" s="368">
        <v>59158</v>
      </c>
      <c r="FN51" s="368">
        <v>37615.42</v>
      </c>
      <c r="FO51" s="323">
        <v>522346.46</v>
      </c>
      <c r="FP51" s="323">
        <v>60323.25</v>
      </c>
      <c r="FQ51" s="323">
        <v>582669.71</v>
      </c>
      <c r="FR51" s="338">
        <v>50409.48</v>
      </c>
      <c r="FS51" s="338">
        <v>3500.19</v>
      </c>
      <c r="FT51" s="377">
        <v>53909.67</v>
      </c>
      <c r="FU51" s="377">
        <v>511392.48</v>
      </c>
      <c r="FV51" s="377">
        <v>62478.94</v>
      </c>
      <c r="FW51" s="362">
        <v>573871.42000000004</v>
      </c>
      <c r="FX51" s="362">
        <v>431993.73</v>
      </c>
      <c r="FY51" s="362">
        <v>49049.120000000003</v>
      </c>
      <c r="FZ51" s="362">
        <v>481042.85</v>
      </c>
      <c r="GA51" s="362">
        <v>129808.23</v>
      </c>
      <c r="GB51" s="362">
        <v>16930.009999999998</v>
      </c>
      <c r="GC51" s="362">
        <v>146738.23999999999</v>
      </c>
      <c r="GD51" s="362">
        <v>-110983.92</v>
      </c>
      <c r="GE51" s="362">
        <v>-7153.56</v>
      </c>
      <c r="GF51" s="362">
        <v>-118137.48</v>
      </c>
      <c r="GG51" s="202">
        <v>39826.839999999997</v>
      </c>
      <c r="GH51" s="416">
        <v>79</v>
      </c>
      <c r="GI51" s="414">
        <v>423</v>
      </c>
      <c r="GJ51" s="419">
        <v>32131.71</v>
      </c>
      <c r="GK51" s="396">
        <v>39826.839999999997</v>
      </c>
      <c r="GL51" s="202">
        <v>31463.203600000001</v>
      </c>
      <c r="GM51" s="202">
        <v>8363.6363999999994</v>
      </c>
      <c r="GN51" s="323">
        <v>-10953.98</v>
      </c>
      <c r="GO51" s="323">
        <v>2155.69</v>
      </c>
      <c r="GP51" s="323">
        <v>-8798.2900000000009</v>
      </c>
      <c r="GQ51" s="323">
        <v>-121937.9</v>
      </c>
      <c r="GR51" s="323">
        <v>-4997.87</v>
      </c>
      <c r="GS51" s="323">
        <v>-126935.77</v>
      </c>
    </row>
    <row r="52" spans="1:201" ht="12.75" customHeight="1" x14ac:dyDescent="0.2">
      <c r="A52" s="45" t="s">
        <v>85</v>
      </c>
      <c r="B52" s="51" t="s">
        <v>74</v>
      </c>
      <c r="C52" s="52" t="s">
        <v>11</v>
      </c>
      <c r="D52" s="388" t="s">
        <v>550</v>
      </c>
      <c r="E52" s="52" t="s">
        <v>30</v>
      </c>
      <c r="F52" s="11">
        <v>5</v>
      </c>
      <c r="G52" s="11">
        <v>3</v>
      </c>
      <c r="H52" s="11">
        <v>60</v>
      </c>
      <c r="I52" s="11">
        <v>0</v>
      </c>
      <c r="J52" s="11">
        <v>107</v>
      </c>
      <c r="K52" s="11">
        <v>163</v>
      </c>
      <c r="L52" s="11" t="s">
        <v>746</v>
      </c>
      <c r="M52" s="84">
        <v>204</v>
      </c>
      <c r="N52" s="84">
        <v>651</v>
      </c>
      <c r="O52" s="84">
        <v>0</v>
      </c>
      <c r="P52" s="135">
        <v>204</v>
      </c>
      <c r="Q52" s="135">
        <v>651</v>
      </c>
      <c r="R52" s="133">
        <v>0</v>
      </c>
      <c r="S52" s="133">
        <f t="shared" si="23"/>
        <v>855</v>
      </c>
      <c r="T52" s="134">
        <v>204</v>
      </c>
      <c r="U52" s="130">
        <v>1.53</v>
      </c>
      <c r="V52" s="91">
        <v>1.9800000000000002E-2</v>
      </c>
      <c r="W52" s="91">
        <v>1.9800000000000002E-2</v>
      </c>
      <c r="X52" s="132">
        <v>1.2199999999999999E-3</v>
      </c>
      <c r="Y52" s="91">
        <v>3.95E-2</v>
      </c>
      <c r="Z52" s="29">
        <v>2556.48</v>
      </c>
      <c r="AA52" s="29"/>
      <c r="AB52" s="9">
        <f t="shared" si="0"/>
        <v>2556.48</v>
      </c>
      <c r="AC52" s="9">
        <f t="shared" si="28"/>
        <v>16182.52</v>
      </c>
      <c r="AD52" s="9">
        <v>0.4</v>
      </c>
      <c r="AE52" s="9">
        <v>4.71</v>
      </c>
      <c r="AF52" s="21">
        <f>2.43-AJ52</f>
        <v>2.19</v>
      </c>
      <c r="AG52" s="18">
        <f>0.54-AQ52</f>
        <v>0.43</v>
      </c>
      <c r="AH52" s="9">
        <v>2.74</v>
      </c>
      <c r="AI52" s="13">
        <v>625</v>
      </c>
      <c r="AJ52" s="21">
        <f t="shared" si="1"/>
        <v>0.24</v>
      </c>
      <c r="AK52" s="9">
        <v>0</v>
      </c>
      <c r="AL52" s="9">
        <v>0</v>
      </c>
      <c r="AM52" s="9">
        <v>0.37</v>
      </c>
      <c r="AN52" s="13"/>
      <c r="AO52" s="13">
        <v>601.20000000000005</v>
      </c>
      <c r="AP52" s="13">
        <f t="shared" si="24"/>
        <v>5.58</v>
      </c>
      <c r="AQ52" s="18">
        <f t="shared" si="2"/>
        <v>0.11</v>
      </c>
      <c r="AR52" s="9">
        <v>0.81</v>
      </c>
      <c r="AS52" s="9">
        <v>0.53</v>
      </c>
      <c r="AT52" s="9">
        <v>7.0000000000000007E-2</v>
      </c>
      <c r="AU52" s="9">
        <v>3.71</v>
      </c>
      <c r="AV52" s="9">
        <v>0.13</v>
      </c>
      <c r="AW52" s="9">
        <f>1.13+0.33+0.33</f>
        <v>1.79</v>
      </c>
      <c r="AX52" s="9">
        <f>1.56+0.44</f>
        <v>2</v>
      </c>
      <c r="AY52" s="54">
        <f t="shared" si="25"/>
        <v>20.23</v>
      </c>
      <c r="AZ52" s="13">
        <v>20.23</v>
      </c>
      <c r="BA52" s="13">
        <f t="shared" si="3"/>
        <v>0</v>
      </c>
      <c r="BB52" s="9">
        <f t="shared" si="4"/>
        <v>51717.59</v>
      </c>
      <c r="BC52" s="9">
        <v>20.23</v>
      </c>
      <c r="BD52" s="10">
        <v>44409</v>
      </c>
      <c r="BE52" s="9">
        <f t="shared" si="5"/>
        <v>1022.59</v>
      </c>
      <c r="BF52" s="9">
        <f t="shared" si="6"/>
        <v>12041.02</v>
      </c>
      <c r="BG52" s="9">
        <f t="shared" si="7"/>
        <v>5598.69</v>
      </c>
      <c r="BH52" s="9">
        <f t="shared" si="8"/>
        <v>1099.29</v>
      </c>
      <c r="BI52" s="9">
        <f t="shared" si="9"/>
        <v>7004.76</v>
      </c>
      <c r="BJ52" s="9">
        <f t="shared" si="10"/>
        <v>613.55999999999995</v>
      </c>
      <c r="BK52" s="9">
        <f t="shared" si="11"/>
        <v>0</v>
      </c>
      <c r="BL52" s="9">
        <f t="shared" si="12"/>
        <v>0</v>
      </c>
      <c r="BM52" s="9">
        <f t="shared" si="13"/>
        <v>945.9</v>
      </c>
      <c r="BN52" s="9">
        <f t="shared" si="14"/>
        <v>281.20999999999998</v>
      </c>
      <c r="BO52" s="9">
        <f t="shared" si="15"/>
        <v>2070.75</v>
      </c>
      <c r="BP52" s="9">
        <f t="shared" si="16"/>
        <v>1354.93</v>
      </c>
      <c r="BQ52" s="9">
        <f t="shared" si="17"/>
        <v>178.95</v>
      </c>
      <c r="BR52" s="9">
        <f t="shared" si="18"/>
        <v>9484.5400000000009</v>
      </c>
      <c r="BS52" s="9">
        <f t="shared" si="19"/>
        <v>332.34</v>
      </c>
      <c r="BT52" s="9">
        <f t="shared" si="20"/>
        <v>4576.1000000000004</v>
      </c>
      <c r="BU52" s="9">
        <f t="shared" si="21"/>
        <v>5112.96</v>
      </c>
      <c r="BV52" s="17">
        <f t="shared" si="22"/>
        <v>51717.59</v>
      </c>
      <c r="BW52" s="17">
        <v>0.49</v>
      </c>
      <c r="BX52" s="17">
        <v>0.04</v>
      </c>
      <c r="BY52" s="17">
        <v>0.27</v>
      </c>
      <c r="BZ52" s="17">
        <v>0.05</v>
      </c>
      <c r="CA52" s="29">
        <v>6.33</v>
      </c>
      <c r="CB52" s="325"/>
      <c r="CC52" s="13">
        <v>0</v>
      </c>
      <c r="CD52" s="13">
        <v>0</v>
      </c>
      <c r="CE52" s="13">
        <v>0</v>
      </c>
      <c r="CF52" s="13">
        <v>0</v>
      </c>
      <c r="CG52" s="13">
        <v>0</v>
      </c>
      <c r="CH52" s="13">
        <v>744</v>
      </c>
      <c r="CI52" s="13">
        <v>2857.3</v>
      </c>
      <c r="CJ52" s="13">
        <v>11172</v>
      </c>
      <c r="CK52" s="13">
        <v>982.91</v>
      </c>
      <c r="CL52" s="13">
        <v>620530.78</v>
      </c>
      <c r="CM52" s="13">
        <v>95677.71</v>
      </c>
      <c r="CN52" s="13">
        <v>6644.95</v>
      </c>
      <c r="CO52" s="13">
        <v>102.27</v>
      </c>
      <c r="CP52" s="13">
        <v>690.31</v>
      </c>
      <c r="CQ52" s="13">
        <v>0</v>
      </c>
      <c r="CR52" s="13">
        <v>530108.19999999995</v>
      </c>
      <c r="CS52" s="13">
        <v>84068.3</v>
      </c>
      <c r="CT52" s="13">
        <v>7653.33</v>
      </c>
      <c r="CU52" s="13">
        <v>54.93</v>
      </c>
      <c r="CV52" s="13">
        <v>577.36</v>
      </c>
      <c r="CW52" s="13">
        <v>0</v>
      </c>
      <c r="CX52" s="13">
        <v>145261.15</v>
      </c>
      <c r="CY52" s="13">
        <v>25681.200000000001</v>
      </c>
      <c r="CZ52" s="13">
        <v>1953.79</v>
      </c>
      <c r="DA52" s="13">
        <v>-82.95</v>
      </c>
      <c r="DB52" s="13">
        <v>105</v>
      </c>
      <c r="DC52" s="13"/>
      <c r="DD52" s="315">
        <v>723646.02</v>
      </c>
      <c r="DE52" s="317">
        <v>622462.12</v>
      </c>
      <c r="DF52" s="317">
        <v>86.02</v>
      </c>
      <c r="DG52" s="318">
        <v>172918.19</v>
      </c>
      <c r="DH52" s="310">
        <v>26862</v>
      </c>
      <c r="DI52" s="310">
        <v>15362.64</v>
      </c>
      <c r="DJ52" s="312">
        <v>0</v>
      </c>
      <c r="DK52" s="362">
        <v>0</v>
      </c>
      <c r="DL52" s="362"/>
      <c r="DM52" s="362">
        <v>0</v>
      </c>
      <c r="DN52" s="362">
        <v>0</v>
      </c>
      <c r="DO52" s="362">
        <v>0</v>
      </c>
      <c r="DP52" s="362">
        <v>9937.5</v>
      </c>
      <c r="DQ52" s="362">
        <v>76335</v>
      </c>
      <c r="DR52" s="362"/>
      <c r="DS52" s="362">
        <v>16320</v>
      </c>
      <c r="DT52" s="362"/>
      <c r="DU52" s="362">
        <v>0</v>
      </c>
      <c r="DV52" s="362">
        <v>0</v>
      </c>
      <c r="DW52" s="362">
        <v>0</v>
      </c>
      <c r="DX52" s="362">
        <v>0</v>
      </c>
      <c r="DY52" s="362">
        <v>0</v>
      </c>
      <c r="DZ52" s="375">
        <v>0</v>
      </c>
      <c r="EA52" s="362">
        <v>0</v>
      </c>
      <c r="EB52" s="362">
        <v>0</v>
      </c>
      <c r="EC52" s="362"/>
      <c r="ED52" s="362">
        <v>173927.4</v>
      </c>
      <c r="EE52" s="362">
        <v>10200</v>
      </c>
      <c r="EF52" s="362"/>
      <c r="EG52" s="362">
        <v>0</v>
      </c>
      <c r="EH52" s="362">
        <v>0</v>
      </c>
      <c r="EI52" s="362"/>
      <c r="EJ52" s="362">
        <v>0</v>
      </c>
      <c r="EK52" s="362"/>
      <c r="EL52" s="362">
        <v>0</v>
      </c>
      <c r="EM52" s="362">
        <v>3354.69</v>
      </c>
      <c r="EN52" s="362">
        <v>0</v>
      </c>
      <c r="EO52" s="362">
        <v>372</v>
      </c>
      <c r="EP52" s="362">
        <v>154518</v>
      </c>
      <c r="EQ52" s="362">
        <v>0</v>
      </c>
      <c r="ER52" s="362">
        <v>16380</v>
      </c>
      <c r="ES52" s="362">
        <v>6594</v>
      </c>
      <c r="ET52" s="362">
        <v>9699</v>
      </c>
      <c r="EU52" s="362">
        <v>0</v>
      </c>
      <c r="EV52" s="362">
        <v>0</v>
      </c>
      <c r="EW52" s="362"/>
      <c r="EX52" s="202"/>
      <c r="EY52" s="202"/>
      <c r="EZ52" s="229"/>
      <c r="FA52" s="368">
        <v>111760.32000000001</v>
      </c>
      <c r="FB52" s="368">
        <v>10807.76</v>
      </c>
      <c r="FC52" s="368">
        <v>0</v>
      </c>
      <c r="FD52" s="368">
        <v>0</v>
      </c>
      <c r="FE52" s="368">
        <v>239.54</v>
      </c>
      <c r="FF52" s="368">
        <v>856.42</v>
      </c>
      <c r="FG52" s="368">
        <v>0</v>
      </c>
      <c r="FH52" s="368">
        <v>-673.13</v>
      </c>
      <c r="FI52" s="368">
        <v>0</v>
      </c>
      <c r="FJ52" s="368">
        <v>0</v>
      </c>
      <c r="FK52" s="368">
        <v>16631.240000000002</v>
      </c>
      <c r="FL52" s="368">
        <v>0</v>
      </c>
      <c r="FM52" s="368">
        <v>68338.7</v>
      </c>
      <c r="FN52" s="368">
        <v>43452.92</v>
      </c>
      <c r="FO52" s="323">
        <v>631653.85</v>
      </c>
      <c r="FP52" s="323">
        <v>139622.15</v>
      </c>
      <c r="FQ52" s="323">
        <v>771276</v>
      </c>
      <c r="FR52" s="338">
        <v>62824.47</v>
      </c>
      <c r="FS52" s="338">
        <v>18769.740000000002</v>
      </c>
      <c r="FT52" s="377">
        <v>81594.210000000006</v>
      </c>
      <c r="FU52" s="377">
        <v>634560.07999999996</v>
      </c>
      <c r="FV52" s="377">
        <v>104842.15</v>
      </c>
      <c r="FW52" s="362">
        <v>739402.23</v>
      </c>
      <c r="FX52" s="362">
        <v>552123.4</v>
      </c>
      <c r="FY52" s="362">
        <v>95954.85</v>
      </c>
      <c r="FZ52" s="362">
        <v>648078.25</v>
      </c>
      <c r="GA52" s="362">
        <v>145261.15</v>
      </c>
      <c r="GB52" s="362">
        <v>27657.040000000001</v>
      </c>
      <c r="GC52" s="362">
        <v>172918.19</v>
      </c>
      <c r="GD52" s="362">
        <v>20353.04</v>
      </c>
      <c r="GE52" s="362">
        <v>11692.04</v>
      </c>
      <c r="GF52" s="362">
        <v>32045.08</v>
      </c>
      <c r="GG52" s="202"/>
      <c r="GH52" s="416">
        <v>0</v>
      </c>
      <c r="GI52" s="414">
        <v>931</v>
      </c>
      <c r="GJ52" s="419">
        <v>744</v>
      </c>
      <c r="GK52" s="396"/>
      <c r="GL52" s="202">
        <v>0</v>
      </c>
      <c r="GM52" s="202">
        <v>0</v>
      </c>
      <c r="GN52" s="323">
        <v>2906.23</v>
      </c>
      <c r="GO52" s="323">
        <v>-34780</v>
      </c>
      <c r="GP52" s="323">
        <v>-31873.77</v>
      </c>
      <c r="GQ52" s="323">
        <v>23259.27</v>
      </c>
      <c r="GR52" s="323">
        <v>-23087.96</v>
      </c>
      <c r="GS52" s="323">
        <v>171.31</v>
      </c>
    </row>
    <row r="53" spans="1:201" ht="12.75" customHeight="1" x14ac:dyDescent="0.2">
      <c r="A53" s="45" t="s">
        <v>86</v>
      </c>
      <c r="B53" s="48" t="s">
        <v>74</v>
      </c>
      <c r="C53" s="49" t="s">
        <v>48</v>
      </c>
      <c r="D53" s="388" t="s">
        <v>408</v>
      </c>
      <c r="E53" s="49" t="s">
        <v>12</v>
      </c>
      <c r="F53" s="11">
        <v>9</v>
      </c>
      <c r="G53" s="11">
        <v>3</v>
      </c>
      <c r="H53" s="11">
        <v>108</v>
      </c>
      <c r="I53" s="11">
        <v>108</v>
      </c>
      <c r="J53" s="11">
        <v>283</v>
      </c>
      <c r="K53" s="11">
        <v>319</v>
      </c>
      <c r="L53" s="83">
        <v>3</v>
      </c>
      <c r="M53" s="84">
        <v>883.5</v>
      </c>
      <c r="N53" s="84">
        <v>133.5</v>
      </c>
      <c r="O53" s="84">
        <v>987</v>
      </c>
      <c r="P53" s="135">
        <f>494.7+460.1</f>
        <v>954.8</v>
      </c>
      <c r="Q53" s="135">
        <v>929.8</v>
      </c>
      <c r="R53" s="133">
        <v>987.6</v>
      </c>
      <c r="S53" s="133">
        <f t="shared" si="23"/>
        <v>2872.2</v>
      </c>
      <c r="T53" s="134">
        <v>954.8</v>
      </c>
      <c r="U53" s="130">
        <v>2.44</v>
      </c>
      <c r="V53" s="131">
        <v>1.9800000000000002E-2</v>
      </c>
      <c r="W53" s="91">
        <v>1.9800000000000002E-2</v>
      </c>
      <c r="X53" s="132">
        <v>1.32E-3</v>
      </c>
      <c r="Y53" s="131">
        <v>3.9699999999999999E-2</v>
      </c>
      <c r="Z53" s="29">
        <v>5915</v>
      </c>
      <c r="AA53" s="29"/>
      <c r="AB53" s="9">
        <f t="shared" si="0"/>
        <v>5915</v>
      </c>
      <c r="AC53" s="9">
        <f t="shared" si="28"/>
        <v>37441.949999999997</v>
      </c>
      <c r="AD53" s="9">
        <v>2.0499999999999998</v>
      </c>
      <c r="AE53" s="9">
        <v>4.78</v>
      </c>
      <c r="AF53" s="21">
        <f>2.39-AJ53</f>
        <v>2.23</v>
      </c>
      <c r="AG53" s="18">
        <f>0.61-AQ53</f>
        <v>0.56000000000000005</v>
      </c>
      <c r="AH53" s="9">
        <v>2.4700000000000002</v>
      </c>
      <c r="AI53" s="13">
        <v>948</v>
      </c>
      <c r="AJ53" s="21">
        <f t="shared" si="1"/>
        <v>0.16</v>
      </c>
      <c r="AK53" s="9">
        <v>2.19</v>
      </c>
      <c r="AL53" s="9">
        <v>0.19</v>
      </c>
      <c r="AM53" s="9">
        <v>0.1</v>
      </c>
      <c r="AN53" s="13"/>
      <c r="AO53" s="13">
        <v>615.29999999999995</v>
      </c>
      <c r="AP53" s="13">
        <f t="shared" si="24"/>
        <v>5.58</v>
      </c>
      <c r="AQ53" s="18">
        <f t="shared" si="2"/>
        <v>0.05</v>
      </c>
      <c r="AR53" s="9">
        <v>0.56000000000000005</v>
      </c>
      <c r="AS53" s="9">
        <v>0.23</v>
      </c>
      <c r="AT53" s="9">
        <v>7.0000000000000007E-2</v>
      </c>
      <c r="AU53" s="9">
        <v>3.89</v>
      </c>
      <c r="AV53" s="9">
        <v>0.17</v>
      </c>
      <c r="AW53" s="9">
        <f>0.26+1.4+0.34</f>
        <v>2</v>
      </c>
      <c r="AX53" s="9">
        <f>1.97+0.46</f>
        <v>2.4300000000000002</v>
      </c>
      <c r="AY53" s="46">
        <f t="shared" si="25"/>
        <v>24.13</v>
      </c>
      <c r="AZ53" s="13">
        <v>24.13</v>
      </c>
      <c r="BA53" s="13">
        <f t="shared" si="3"/>
        <v>0</v>
      </c>
      <c r="BB53" s="9">
        <f t="shared" si="4"/>
        <v>142728.95000000001</v>
      </c>
      <c r="BC53" s="9">
        <v>24.13</v>
      </c>
      <c r="BD53" s="10">
        <v>44409</v>
      </c>
      <c r="BE53" s="9">
        <f t="shared" si="5"/>
        <v>12125.75</v>
      </c>
      <c r="BF53" s="9">
        <f t="shared" si="6"/>
        <v>28273.7</v>
      </c>
      <c r="BG53" s="9">
        <f t="shared" si="7"/>
        <v>13190.45</v>
      </c>
      <c r="BH53" s="9">
        <f t="shared" si="8"/>
        <v>3312.4</v>
      </c>
      <c r="BI53" s="9">
        <f t="shared" si="9"/>
        <v>14610.05</v>
      </c>
      <c r="BJ53" s="9">
        <f t="shared" si="10"/>
        <v>946.4</v>
      </c>
      <c r="BK53" s="9">
        <f t="shared" si="11"/>
        <v>12953.85</v>
      </c>
      <c r="BL53" s="9">
        <f t="shared" si="12"/>
        <v>1123.8499999999999</v>
      </c>
      <c r="BM53" s="9">
        <f t="shared" si="13"/>
        <v>591.5</v>
      </c>
      <c r="BN53" s="9">
        <f t="shared" si="14"/>
        <v>295.75</v>
      </c>
      <c r="BO53" s="9">
        <f t="shared" si="15"/>
        <v>3312.4</v>
      </c>
      <c r="BP53" s="9">
        <f t="shared" si="16"/>
        <v>1360.45</v>
      </c>
      <c r="BQ53" s="9">
        <f t="shared" si="17"/>
        <v>414.05</v>
      </c>
      <c r="BR53" s="9">
        <f t="shared" si="18"/>
        <v>23009.35</v>
      </c>
      <c r="BS53" s="9">
        <f t="shared" si="19"/>
        <v>1005.55</v>
      </c>
      <c r="BT53" s="9">
        <f t="shared" si="20"/>
        <v>11830</v>
      </c>
      <c r="BU53" s="9">
        <f t="shared" si="21"/>
        <v>14373.45</v>
      </c>
      <c r="BV53" s="17">
        <f t="shared" si="22"/>
        <v>142728.95000000001</v>
      </c>
      <c r="BW53" s="17">
        <v>4.76</v>
      </c>
      <c r="BX53" s="17">
        <v>0.09</v>
      </c>
      <c r="BY53" s="17">
        <v>0.56999999999999995</v>
      </c>
      <c r="BZ53" s="17">
        <v>0.1</v>
      </c>
      <c r="CA53" s="29">
        <v>6.33</v>
      </c>
      <c r="CB53" s="325"/>
      <c r="CC53" s="13">
        <v>0</v>
      </c>
      <c r="CD53" s="13">
        <v>0</v>
      </c>
      <c r="CE53" s="13">
        <v>0</v>
      </c>
      <c r="CF53" s="13">
        <v>0</v>
      </c>
      <c r="CG53" s="13">
        <v>0</v>
      </c>
      <c r="CH53" s="13">
        <v>6696</v>
      </c>
      <c r="CI53" s="13">
        <v>2727.83</v>
      </c>
      <c r="CJ53" s="13">
        <v>38484</v>
      </c>
      <c r="CK53" s="13">
        <v>2274.85</v>
      </c>
      <c r="CL53" s="13">
        <v>1712747.76</v>
      </c>
      <c r="CM53" s="13">
        <v>447884.03</v>
      </c>
      <c r="CN53" s="13">
        <v>0</v>
      </c>
      <c r="CO53" s="13">
        <v>6388.51</v>
      </c>
      <c r="CP53" s="13">
        <v>6684.08</v>
      </c>
      <c r="CQ53" s="13">
        <v>0</v>
      </c>
      <c r="CR53" s="13">
        <v>1616248.75</v>
      </c>
      <c r="CS53" s="13">
        <v>410792.58</v>
      </c>
      <c r="CT53" s="13">
        <v>1746.81</v>
      </c>
      <c r="CU53" s="13">
        <v>5881.03</v>
      </c>
      <c r="CV53" s="13">
        <v>6265.99</v>
      </c>
      <c r="CW53" s="13">
        <v>0</v>
      </c>
      <c r="CX53" s="13">
        <v>258329.98</v>
      </c>
      <c r="CY53" s="13">
        <v>68937.14</v>
      </c>
      <c r="CZ53" s="13">
        <v>-3145.98</v>
      </c>
      <c r="DA53" s="13">
        <v>963.54</v>
      </c>
      <c r="DB53" s="13">
        <v>1025.46</v>
      </c>
      <c r="DC53" s="13"/>
      <c r="DD53" s="315">
        <v>2173704.38</v>
      </c>
      <c r="DE53" s="317">
        <v>2040935.16</v>
      </c>
      <c r="DF53" s="317">
        <v>93.89</v>
      </c>
      <c r="DG53" s="318">
        <v>326110.14</v>
      </c>
      <c r="DH53" s="310">
        <v>62151.48</v>
      </c>
      <c r="DI53" s="310">
        <v>35545.08</v>
      </c>
      <c r="DJ53" s="312">
        <v>0</v>
      </c>
      <c r="DK53" s="362">
        <v>0</v>
      </c>
      <c r="DL53" s="362"/>
      <c r="DM53" s="362">
        <v>0</v>
      </c>
      <c r="DN53" s="362">
        <v>0</v>
      </c>
      <c r="DO53" s="362">
        <v>0</v>
      </c>
      <c r="DP53" s="362">
        <v>15073.2</v>
      </c>
      <c r="DQ53" s="362">
        <v>0</v>
      </c>
      <c r="DR53" s="362"/>
      <c r="DS53" s="362">
        <v>0</v>
      </c>
      <c r="DT53" s="362"/>
      <c r="DU53" s="362">
        <v>4523</v>
      </c>
      <c r="DV53" s="362">
        <v>0</v>
      </c>
      <c r="DW53" s="362">
        <v>0</v>
      </c>
      <c r="DX53" s="362">
        <v>154800</v>
      </c>
      <c r="DY53" s="362">
        <v>13500</v>
      </c>
      <c r="DZ53" s="375">
        <v>0</v>
      </c>
      <c r="EA53" s="362">
        <v>0</v>
      </c>
      <c r="EB53" s="362">
        <v>0</v>
      </c>
      <c r="EC53" s="362"/>
      <c r="ED53" s="362">
        <v>536655.24</v>
      </c>
      <c r="EE53" s="362">
        <v>22100</v>
      </c>
      <c r="EF53" s="362"/>
      <c r="EG53" s="362">
        <v>0</v>
      </c>
      <c r="EH53" s="362">
        <v>0</v>
      </c>
      <c r="EI53" s="362"/>
      <c r="EJ53" s="362">
        <v>0</v>
      </c>
      <c r="EK53" s="362"/>
      <c r="EL53" s="362">
        <v>0</v>
      </c>
      <c r="EM53" s="362">
        <v>3433.38</v>
      </c>
      <c r="EN53" s="362">
        <v>0</v>
      </c>
      <c r="EO53" s="362">
        <v>3348</v>
      </c>
      <c r="EP53" s="362">
        <v>351054</v>
      </c>
      <c r="EQ53" s="362">
        <v>0</v>
      </c>
      <c r="ER53" s="362">
        <v>4095</v>
      </c>
      <c r="ES53" s="362">
        <v>0</v>
      </c>
      <c r="ET53" s="362">
        <v>13323</v>
      </c>
      <c r="EU53" s="362">
        <v>0</v>
      </c>
      <c r="EV53" s="362">
        <v>115468</v>
      </c>
      <c r="EW53" s="362"/>
      <c r="EX53" s="202"/>
      <c r="EY53" s="202"/>
      <c r="EZ53" s="229"/>
      <c r="FA53" s="368">
        <v>461276.25</v>
      </c>
      <c r="FB53" s="368">
        <v>76659.98</v>
      </c>
      <c r="FC53" s="368">
        <v>0</v>
      </c>
      <c r="FD53" s="368">
        <v>0</v>
      </c>
      <c r="FE53" s="368">
        <v>6332.61</v>
      </c>
      <c r="FF53" s="368">
        <v>6810.27</v>
      </c>
      <c r="FG53" s="368">
        <v>0</v>
      </c>
      <c r="FH53" s="368">
        <v>-1513.35</v>
      </c>
      <c r="FI53" s="368">
        <v>0</v>
      </c>
      <c r="FJ53" s="368">
        <v>0</v>
      </c>
      <c r="FK53" s="368">
        <v>0</v>
      </c>
      <c r="FL53" s="368">
        <v>0</v>
      </c>
      <c r="FM53" s="368">
        <v>158137.89000000001</v>
      </c>
      <c r="FN53" s="368">
        <v>100551.45</v>
      </c>
      <c r="FO53" s="323">
        <v>1593758.72</v>
      </c>
      <c r="FP53" s="323">
        <v>549565.76</v>
      </c>
      <c r="FQ53" s="323">
        <v>2143324.48</v>
      </c>
      <c r="FR53" s="338">
        <v>146761</v>
      </c>
      <c r="FS53" s="338">
        <v>34350.589999999997</v>
      </c>
      <c r="FT53" s="377">
        <v>181111.59</v>
      </c>
      <c r="FU53" s="377">
        <v>1753959.59</v>
      </c>
      <c r="FV53" s="377">
        <v>469927.47</v>
      </c>
      <c r="FW53" s="362">
        <v>2223887.06</v>
      </c>
      <c r="FX53" s="362">
        <v>1642390.61</v>
      </c>
      <c r="FY53" s="362">
        <v>436497.9</v>
      </c>
      <c r="FZ53" s="362">
        <v>2078888.51</v>
      </c>
      <c r="GA53" s="362">
        <v>258329.98</v>
      </c>
      <c r="GB53" s="362">
        <v>67780.160000000003</v>
      </c>
      <c r="GC53" s="362">
        <v>326110.14</v>
      </c>
      <c r="GD53" s="362">
        <v>159736.97</v>
      </c>
      <c r="GE53" s="362">
        <v>-3056.06</v>
      </c>
      <c r="GF53" s="362">
        <v>156680.91</v>
      </c>
      <c r="GG53" s="202"/>
      <c r="GH53" s="416">
        <v>0</v>
      </c>
      <c r="GI53" s="414">
        <v>2442.5500000000002</v>
      </c>
      <c r="GJ53" s="419">
        <v>6696</v>
      </c>
      <c r="GK53" s="396"/>
      <c r="GL53" s="202">
        <v>0</v>
      </c>
      <c r="GM53" s="202">
        <v>0</v>
      </c>
      <c r="GN53" s="323">
        <v>160200.87</v>
      </c>
      <c r="GO53" s="323">
        <v>-79638.289999999994</v>
      </c>
      <c r="GP53" s="323">
        <v>80562.58</v>
      </c>
      <c r="GQ53" s="323">
        <v>319937.84000000003</v>
      </c>
      <c r="GR53" s="323">
        <v>-82694.350000000006</v>
      </c>
      <c r="GS53" s="323">
        <v>237243.49</v>
      </c>
    </row>
    <row r="54" spans="1:201" ht="12.75" customHeight="1" x14ac:dyDescent="0.2">
      <c r="A54" s="45" t="s">
        <v>87</v>
      </c>
      <c r="B54" s="48" t="s">
        <v>74</v>
      </c>
      <c r="C54" s="49" t="s">
        <v>23</v>
      </c>
      <c r="D54" s="390" t="s">
        <v>622</v>
      </c>
      <c r="E54" s="49"/>
      <c r="F54" s="11">
        <v>9</v>
      </c>
      <c r="G54" s="11">
        <v>2</v>
      </c>
      <c r="H54" s="11">
        <v>72</v>
      </c>
      <c r="I54" s="11">
        <v>74</v>
      </c>
      <c r="J54" s="11">
        <v>154</v>
      </c>
      <c r="K54" s="11">
        <v>198</v>
      </c>
      <c r="L54" s="11">
        <v>2</v>
      </c>
      <c r="M54" s="84">
        <v>494.1</v>
      </c>
      <c r="N54" s="84">
        <v>632.29999999999995</v>
      </c>
      <c r="O54" s="84">
        <v>632.29999999999995</v>
      </c>
      <c r="P54" s="135">
        <f>222.5+271.6+5.2+4.8+28.6+30</f>
        <v>562.70000000000005</v>
      </c>
      <c r="Q54" s="146">
        <v>0</v>
      </c>
      <c r="R54" s="133">
        <v>0</v>
      </c>
      <c r="S54" s="133">
        <f t="shared" si="23"/>
        <v>562.70000000000005</v>
      </c>
      <c r="T54" s="134">
        <v>562.70000000000005</v>
      </c>
      <c r="U54" s="130">
        <v>2.44</v>
      </c>
      <c r="V54" s="91">
        <v>1.9800000000000002E-2</v>
      </c>
      <c r="W54" s="91">
        <v>1.9800000000000002E-2</v>
      </c>
      <c r="X54" s="132">
        <v>1.32E-3</v>
      </c>
      <c r="Y54" s="91">
        <v>3.9699999999999999E-2</v>
      </c>
      <c r="Z54" s="29">
        <v>3813.44</v>
      </c>
      <c r="AA54" s="29">
        <v>219.4</v>
      </c>
      <c r="AB54" s="9">
        <f t="shared" si="0"/>
        <v>4032.84</v>
      </c>
      <c r="AC54" s="9">
        <f t="shared" si="28"/>
        <v>25527.88</v>
      </c>
      <c r="AD54" s="9">
        <v>2.33</v>
      </c>
      <c r="AE54" s="9">
        <v>4.16</v>
      </c>
      <c r="AF54" s="21">
        <f>2.46-AJ54</f>
        <v>2.31</v>
      </c>
      <c r="AG54" s="18">
        <f>0.61-AQ54</f>
        <v>0.56000000000000005</v>
      </c>
      <c r="AH54" s="9">
        <v>2.78</v>
      </c>
      <c r="AI54" s="13">
        <v>607</v>
      </c>
      <c r="AJ54" s="21">
        <f t="shared" si="1"/>
        <v>0.15</v>
      </c>
      <c r="AK54" s="9">
        <v>2.13</v>
      </c>
      <c r="AL54" s="9">
        <v>0.19</v>
      </c>
      <c r="AM54" s="9">
        <v>0.14000000000000001</v>
      </c>
      <c r="AN54" s="13"/>
      <c r="AO54" s="13">
        <v>446.4</v>
      </c>
      <c r="AP54" s="13">
        <f t="shared" si="24"/>
        <v>5.58</v>
      </c>
      <c r="AQ54" s="18">
        <f t="shared" si="2"/>
        <v>0.05</v>
      </c>
      <c r="AR54" s="9">
        <v>0.54</v>
      </c>
      <c r="AS54" s="9">
        <v>0.34</v>
      </c>
      <c r="AT54" s="9">
        <v>7.0000000000000007E-2</v>
      </c>
      <c r="AU54" s="9">
        <v>3.98</v>
      </c>
      <c r="AV54" s="9">
        <v>0.17</v>
      </c>
      <c r="AW54" s="9">
        <f>0.26+1.41+0.35</f>
        <v>2.02</v>
      </c>
      <c r="AX54" s="9">
        <f>1.98+0.47</f>
        <v>2.4500000000000002</v>
      </c>
      <c r="AY54" s="46">
        <f t="shared" si="25"/>
        <v>24.37</v>
      </c>
      <c r="AZ54" s="13">
        <v>24.37</v>
      </c>
      <c r="BA54" s="13">
        <f t="shared" si="3"/>
        <v>0</v>
      </c>
      <c r="BB54" s="9">
        <f t="shared" si="4"/>
        <v>98280.31</v>
      </c>
      <c r="BC54" s="9">
        <v>24.37</v>
      </c>
      <c r="BD54" s="10">
        <v>44440</v>
      </c>
      <c r="BE54" s="9">
        <f t="shared" si="5"/>
        <v>9396.52</v>
      </c>
      <c r="BF54" s="9">
        <f t="shared" si="6"/>
        <v>16776.61</v>
      </c>
      <c r="BG54" s="9">
        <f t="shared" si="7"/>
        <v>9315.86</v>
      </c>
      <c r="BH54" s="9">
        <f t="shared" si="8"/>
        <v>2258.39</v>
      </c>
      <c r="BI54" s="9">
        <f t="shared" si="9"/>
        <v>11211.3</v>
      </c>
      <c r="BJ54" s="9">
        <f t="shared" si="10"/>
        <v>604.92999999999995</v>
      </c>
      <c r="BK54" s="9">
        <f t="shared" si="11"/>
        <v>8589.9500000000007</v>
      </c>
      <c r="BL54" s="9">
        <f t="shared" si="12"/>
        <v>766.24</v>
      </c>
      <c r="BM54" s="9">
        <f t="shared" si="13"/>
        <v>564.6</v>
      </c>
      <c r="BN54" s="9">
        <f t="shared" si="14"/>
        <v>201.64</v>
      </c>
      <c r="BO54" s="9">
        <f t="shared" si="15"/>
        <v>2177.73</v>
      </c>
      <c r="BP54" s="9">
        <f t="shared" si="16"/>
        <v>1371.17</v>
      </c>
      <c r="BQ54" s="9">
        <f t="shared" si="17"/>
        <v>282.3</v>
      </c>
      <c r="BR54" s="9">
        <f t="shared" si="18"/>
        <v>16050.7</v>
      </c>
      <c r="BS54" s="9">
        <f t="shared" si="19"/>
        <v>685.58</v>
      </c>
      <c r="BT54" s="9">
        <f t="shared" si="20"/>
        <v>8146.34</v>
      </c>
      <c r="BU54" s="9">
        <f t="shared" si="21"/>
        <v>9880.4599999999991</v>
      </c>
      <c r="BV54" s="17">
        <f t="shared" si="22"/>
        <v>98280.320000000007</v>
      </c>
      <c r="BW54" s="17">
        <v>1.37</v>
      </c>
      <c r="BX54" s="17">
        <v>0.08</v>
      </c>
      <c r="BY54" s="17">
        <v>0.46</v>
      </c>
      <c r="BZ54" s="17">
        <v>0.09</v>
      </c>
      <c r="CA54" s="29">
        <v>6.33</v>
      </c>
      <c r="CB54" s="325"/>
      <c r="CC54" s="13">
        <v>64161.48</v>
      </c>
      <c r="CD54" s="13">
        <v>4155.46</v>
      </c>
      <c r="CE54" s="13">
        <v>6022.57</v>
      </c>
      <c r="CF54" s="13">
        <v>2273.02</v>
      </c>
      <c r="CG54" s="13">
        <v>1070.74</v>
      </c>
      <c r="CH54" s="13">
        <v>0</v>
      </c>
      <c r="CI54" s="13">
        <v>1010.85</v>
      </c>
      <c r="CJ54" s="13">
        <v>29808</v>
      </c>
      <c r="CK54" s="13">
        <v>1550.99</v>
      </c>
      <c r="CL54" s="13">
        <v>1115202.3600000001</v>
      </c>
      <c r="CM54" s="13">
        <v>72226.460000000006</v>
      </c>
      <c r="CN54" s="13">
        <v>112611.15</v>
      </c>
      <c r="CO54" s="13">
        <v>31575.86</v>
      </c>
      <c r="CP54" s="13">
        <v>18609.93</v>
      </c>
      <c r="CQ54" s="13">
        <v>0</v>
      </c>
      <c r="CR54" s="13">
        <v>1050826.8</v>
      </c>
      <c r="CS54" s="13">
        <v>56025.89</v>
      </c>
      <c r="CT54" s="13">
        <v>95886.92</v>
      </c>
      <c r="CU54" s="13">
        <v>28608.92</v>
      </c>
      <c r="CV54" s="13">
        <v>17371.39</v>
      </c>
      <c r="CW54" s="13">
        <v>0</v>
      </c>
      <c r="CX54" s="13">
        <v>131193.22</v>
      </c>
      <c r="CY54" s="13">
        <v>12031.93</v>
      </c>
      <c r="CZ54" s="13">
        <v>15541.58</v>
      </c>
      <c r="DA54" s="13">
        <v>5440.42</v>
      </c>
      <c r="DB54" s="13">
        <v>3150.35</v>
      </c>
      <c r="DC54" s="13"/>
      <c r="DD54" s="315">
        <v>1350225.76</v>
      </c>
      <c r="DE54" s="317">
        <v>1248719.92</v>
      </c>
      <c r="DF54" s="317">
        <v>92.48</v>
      </c>
      <c r="DG54" s="318">
        <v>167357.5</v>
      </c>
      <c r="DH54" s="310">
        <v>40069.440000000002</v>
      </c>
      <c r="DI54" s="310">
        <v>22916.16</v>
      </c>
      <c r="DJ54" s="312">
        <v>0</v>
      </c>
      <c r="DK54" s="362">
        <v>0</v>
      </c>
      <c r="DL54" s="362"/>
      <c r="DM54" s="362">
        <v>0</v>
      </c>
      <c r="DN54" s="362">
        <v>0</v>
      </c>
      <c r="DO54" s="362">
        <v>0</v>
      </c>
      <c r="DP54" s="362">
        <v>9651.2999999999993</v>
      </c>
      <c r="DQ54" s="362">
        <v>5810</v>
      </c>
      <c r="DR54" s="362"/>
      <c r="DS54" s="362">
        <v>0</v>
      </c>
      <c r="DT54" s="362"/>
      <c r="DU54" s="362">
        <v>0</v>
      </c>
      <c r="DV54" s="362">
        <v>0</v>
      </c>
      <c r="DW54" s="362">
        <v>0</v>
      </c>
      <c r="DX54" s="362">
        <v>103200</v>
      </c>
      <c r="DY54" s="362">
        <v>28000</v>
      </c>
      <c r="DZ54" s="375">
        <v>0</v>
      </c>
      <c r="EA54" s="362">
        <v>0</v>
      </c>
      <c r="EB54" s="362">
        <v>0</v>
      </c>
      <c r="EC54" s="362"/>
      <c r="ED54" s="362">
        <v>348290.64</v>
      </c>
      <c r="EE54" s="362">
        <v>18700</v>
      </c>
      <c r="EF54" s="362"/>
      <c r="EG54" s="362">
        <v>0</v>
      </c>
      <c r="EH54" s="362">
        <v>0</v>
      </c>
      <c r="EI54" s="362"/>
      <c r="EJ54" s="362">
        <v>0</v>
      </c>
      <c r="EK54" s="362"/>
      <c r="EL54" s="362">
        <v>0</v>
      </c>
      <c r="EM54" s="362">
        <v>2490.9</v>
      </c>
      <c r="EN54" s="362">
        <v>0</v>
      </c>
      <c r="EO54" s="362">
        <v>0</v>
      </c>
      <c r="EP54" s="362">
        <v>257406</v>
      </c>
      <c r="EQ54" s="362">
        <v>0</v>
      </c>
      <c r="ER54" s="362">
        <v>16380</v>
      </c>
      <c r="ES54" s="362">
        <v>4616</v>
      </c>
      <c r="ET54" s="362">
        <v>8829</v>
      </c>
      <c r="EU54" s="362">
        <v>0</v>
      </c>
      <c r="EV54" s="362">
        <v>3817.6</v>
      </c>
      <c r="EW54" s="362"/>
      <c r="EX54" s="202"/>
      <c r="EY54" s="202"/>
      <c r="EZ54" s="229"/>
      <c r="FA54" s="368">
        <v>94220.85</v>
      </c>
      <c r="FB54" s="368">
        <v>149634.62</v>
      </c>
      <c r="FC54" s="368">
        <v>0</v>
      </c>
      <c r="FD54" s="368">
        <v>0</v>
      </c>
      <c r="FE54" s="368">
        <v>31511.42</v>
      </c>
      <c r="FF54" s="368">
        <v>18920.900000000001</v>
      </c>
      <c r="FG54" s="368">
        <v>-1162.03</v>
      </c>
      <c r="FH54" s="368">
        <v>-1707.96</v>
      </c>
      <c r="FI54" s="368">
        <v>0</v>
      </c>
      <c r="FJ54" s="368">
        <v>0</v>
      </c>
      <c r="FK54" s="368">
        <v>0</v>
      </c>
      <c r="FL54" s="368">
        <v>0</v>
      </c>
      <c r="FM54" s="368">
        <v>107818.23</v>
      </c>
      <c r="FN54" s="368">
        <v>68555.86</v>
      </c>
      <c r="FO54" s="323">
        <v>1046551.13</v>
      </c>
      <c r="FP54" s="323">
        <v>291417.8</v>
      </c>
      <c r="FQ54" s="323">
        <v>1337968.93</v>
      </c>
      <c r="FR54" s="338">
        <v>75643.820000000007</v>
      </c>
      <c r="FS54" s="338">
        <v>6031.4</v>
      </c>
      <c r="FT54" s="377">
        <v>81675.22</v>
      </c>
      <c r="FU54" s="377">
        <v>1210182.69</v>
      </c>
      <c r="FV54" s="377">
        <v>250096.18</v>
      </c>
      <c r="FW54" s="362">
        <v>1460278.87</v>
      </c>
      <c r="FX54" s="362">
        <v>1151966.3799999999</v>
      </c>
      <c r="FY54" s="362">
        <v>219417.06</v>
      </c>
      <c r="FZ54" s="362">
        <v>1371383.44</v>
      </c>
      <c r="GA54" s="362">
        <v>133860.13</v>
      </c>
      <c r="GB54" s="362">
        <v>36710.519999999997</v>
      </c>
      <c r="GC54" s="362">
        <v>170570.65</v>
      </c>
      <c r="GD54" s="362">
        <v>62488.74</v>
      </c>
      <c r="GE54" s="362">
        <v>18382.98</v>
      </c>
      <c r="GF54" s="362">
        <v>80871.72</v>
      </c>
      <c r="GG54" s="202">
        <v>3213.15</v>
      </c>
      <c r="GH54" s="416">
        <v>83</v>
      </c>
      <c r="GI54" s="414">
        <v>2019.55</v>
      </c>
      <c r="GJ54" s="419">
        <v>77683.27</v>
      </c>
      <c r="GK54" s="396">
        <v>3213.15</v>
      </c>
      <c r="GL54" s="202">
        <v>2666.9144999999999</v>
      </c>
      <c r="GM54" s="202">
        <v>546.2355</v>
      </c>
      <c r="GN54" s="323">
        <v>163631.56</v>
      </c>
      <c r="GO54" s="323">
        <v>-41321.620000000003</v>
      </c>
      <c r="GP54" s="323">
        <v>122309.94</v>
      </c>
      <c r="GQ54" s="323">
        <v>226120.3</v>
      </c>
      <c r="GR54" s="323">
        <v>-22938.639999999999</v>
      </c>
      <c r="GS54" s="323">
        <v>203181.66</v>
      </c>
    </row>
    <row r="55" spans="1:201" ht="12.75" customHeight="1" x14ac:dyDescent="0.2">
      <c r="A55" s="45" t="s">
        <v>88</v>
      </c>
      <c r="B55" s="51" t="s">
        <v>74</v>
      </c>
      <c r="C55" s="52" t="s">
        <v>64</v>
      </c>
      <c r="D55" s="388" t="s">
        <v>409</v>
      </c>
      <c r="E55" s="52" t="s">
        <v>12</v>
      </c>
      <c r="F55" s="11">
        <v>5</v>
      </c>
      <c r="G55" s="11">
        <v>4</v>
      </c>
      <c r="H55" s="11">
        <v>70</v>
      </c>
      <c r="I55" s="11">
        <v>73</v>
      </c>
      <c r="J55" s="11">
        <v>150</v>
      </c>
      <c r="K55" s="11">
        <v>182</v>
      </c>
      <c r="L55" s="11" t="s">
        <v>746</v>
      </c>
      <c r="M55" s="84">
        <v>55</v>
      </c>
      <c r="N55" s="84">
        <v>924.8</v>
      </c>
      <c r="O55" s="84">
        <v>0</v>
      </c>
      <c r="P55" s="135">
        <f>275+16</f>
        <v>291</v>
      </c>
      <c r="Q55" s="135">
        <v>715.7</v>
      </c>
      <c r="R55" s="133">
        <v>0</v>
      </c>
      <c r="S55" s="133">
        <f t="shared" si="23"/>
        <v>1006.7</v>
      </c>
      <c r="T55" s="134">
        <v>291</v>
      </c>
      <c r="U55" s="130">
        <v>1.53</v>
      </c>
      <c r="V55" s="91">
        <v>1.1299999999999999E-2</v>
      </c>
      <c r="W55" s="91" t="s">
        <v>823</v>
      </c>
      <c r="X55" s="132" t="s">
        <v>823</v>
      </c>
      <c r="Y55" s="91">
        <v>1.1299999999999999E-2</v>
      </c>
      <c r="Z55" s="29">
        <v>3357.96</v>
      </c>
      <c r="AA55" s="29"/>
      <c r="AB55" s="9">
        <f t="shared" si="0"/>
        <v>3357.96</v>
      </c>
      <c r="AC55" s="9">
        <f t="shared" si="28"/>
        <v>21255.89</v>
      </c>
      <c r="AD55" s="9">
        <v>0.41</v>
      </c>
      <c r="AE55" s="9">
        <v>4.16</v>
      </c>
      <c r="AF55" s="21">
        <f>2.42-AJ55</f>
        <v>2.16</v>
      </c>
      <c r="AG55" s="18">
        <f>0.54-AQ55</f>
        <v>0.38</v>
      </c>
      <c r="AH55" s="9">
        <v>2.16</v>
      </c>
      <c r="AI55" s="13">
        <v>888</v>
      </c>
      <c r="AJ55" s="21">
        <f t="shared" si="1"/>
        <v>0.26</v>
      </c>
      <c r="AK55" s="9">
        <v>0</v>
      </c>
      <c r="AL55" s="9">
        <v>0</v>
      </c>
      <c r="AM55" s="9">
        <v>0</v>
      </c>
      <c r="AN55" s="13">
        <v>373.3</v>
      </c>
      <c r="AO55" s="13">
        <f>746.7</f>
        <v>746.7</v>
      </c>
      <c r="AP55" s="13">
        <f t="shared" si="24"/>
        <v>5.58</v>
      </c>
      <c r="AQ55" s="18">
        <f t="shared" si="2"/>
        <v>0.16</v>
      </c>
      <c r="AR55" s="9">
        <v>0.79</v>
      </c>
      <c r="AS55" s="9">
        <v>0.41</v>
      </c>
      <c r="AT55" s="9">
        <v>7.0000000000000007E-2</v>
      </c>
      <c r="AU55" s="9">
        <v>4.05</v>
      </c>
      <c r="AV55" s="9">
        <v>0.11</v>
      </c>
      <c r="AW55" s="9">
        <f>0.31+0.36+0.98</f>
        <v>1.65</v>
      </c>
      <c r="AX55" s="9">
        <f>1.34+0.48</f>
        <v>1.82</v>
      </c>
      <c r="AY55" s="54">
        <f t="shared" si="25"/>
        <v>18.59</v>
      </c>
      <c r="AZ55" s="13">
        <v>18.59</v>
      </c>
      <c r="BA55" s="13">
        <f t="shared" si="3"/>
        <v>0</v>
      </c>
      <c r="BB55" s="9">
        <f t="shared" si="4"/>
        <v>62424.480000000003</v>
      </c>
      <c r="BC55" s="9">
        <v>18.59</v>
      </c>
      <c r="BD55" s="10">
        <v>44409</v>
      </c>
      <c r="BE55" s="9">
        <f t="shared" si="5"/>
        <v>1376.76</v>
      </c>
      <c r="BF55" s="9">
        <f t="shared" si="6"/>
        <v>13969.11</v>
      </c>
      <c r="BG55" s="9">
        <f t="shared" si="7"/>
        <v>7253.19</v>
      </c>
      <c r="BH55" s="9">
        <f t="shared" si="8"/>
        <v>1276.02</v>
      </c>
      <c r="BI55" s="9">
        <f t="shared" si="9"/>
        <v>7253.19</v>
      </c>
      <c r="BJ55" s="9">
        <f t="shared" si="10"/>
        <v>873.07</v>
      </c>
      <c r="BK55" s="9">
        <f t="shared" si="11"/>
        <v>0</v>
      </c>
      <c r="BL55" s="9">
        <f t="shared" si="12"/>
        <v>0</v>
      </c>
      <c r="BM55" s="9">
        <f t="shared" si="13"/>
        <v>0</v>
      </c>
      <c r="BN55" s="9">
        <f t="shared" si="14"/>
        <v>537.27</v>
      </c>
      <c r="BO55" s="9">
        <f t="shared" si="15"/>
        <v>2652.79</v>
      </c>
      <c r="BP55" s="9">
        <f t="shared" si="16"/>
        <v>1376.76</v>
      </c>
      <c r="BQ55" s="9">
        <f t="shared" si="17"/>
        <v>235.06</v>
      </c>
      <c r="BR55" s="9">
        <f t="shared" si="18"/>
        <v>13599.74</v>
      </c>
      <c r="BS55" s="9">
        <f t="shared" si="19"/>
        <v>369.38</v>
      </c>
      <c r="BT55" s="9">
        <f t="shared" si="20"/>
        <v>5540.63</v>
      </c>
      <c r="BU55" s="9">
        <f t="shared" si="21"/>
        <v>6111.49</v>
      </c>
      <c r="BV55" s="17">
        <f t="shared" si="22"/>
        <v>62424.46</v>
      </c>
      <c r="BW55" s="17">
        <v>1.84</v>
      </c>
      <c r="BX55" s="17">
        <v>0.03</v>
      </c>
      <c r="BY55" s="173">
        <v>0</v>
      </c>
      <c r="BZ55" s="17">
        <v>0.02</v>
      </c>
      <c r="CA55" s="29">
        <v>6.33</v>
      </c>
      <c r="CB55" s="325"/>
      <c r="CC55" s="13">
        <v>0</v>
      </c>
      <c r="CD55" s="13">
        <v>0</v>
      </c>
      <c r="CE55" s="13">
        <v>0</v>
      </c>
      <c r="CF55" s="13">
        <v>0</v>
      </c>
      <c r="CG55" s="13">
        <v>0</v>
      </c>
      <c r="CH55" s="13">
        <v>0</v>
      </c>
      <c r="CI55" s="13">
        <v>3953.23</v>
      </c>
      <c r="CJ55" s="13">
        <v>22608</v>
      </c>
      <c r="CK55" s="13">
        <v>1291.1500000000001</v>
      </c>
      <c r="CL55" s="13">
        <v>748989.96</v>
      </c>
      <c r="CM55" s="13">
        <v>4029.04</v>
      </c>
      <c r="CN55" s="13">
        <v>0</v>
      </c>
      <c r="CO55" s="13">
        <v>1208.3800000000001</v>
      </c>
      <c r="CP55" s="13">
        <v>570.64</v>
      </c>
      <c r="CQ55" s="13">
        <v>0</v>
      </c>
      <c r="CR55" s="13">
        <v>683267.05</v>
      </c>
      <c r="CS55" s="13">
        <v>6318.1</v>
      </c>
      <c r="CT55" s="13">
        <v>0</v>
      </c>
      <c r="CU55" s="13">
        <v>1059.3499999999999</v>
      </c>
      <c r="CV55" s="13">
        <v>496.8</v>
      </c>
      <c r="CW55" s="13">
        <v>0</v>
      </c>
      <c r="CX55" s="13">
        <v>126345.62</v>
      </c>
      <c r="CY55" s="13">
        <v>-4088.24</v>
      </c>
      <c r="CZ55" s="13">
        <v>0</v>
      </c>
      <c r="DA55" s="13">
        <v>204.03</v>
      </c>
      <c r="DB55" s="13">
        <v>105.48</v>
      </c>
      <c r="DC55" s="13"/>
      <c r="DD55" s="315">
        <v>754798.02</v>
      </c>
      <c r="DE55" s="317">
        <v>691141.3</v>
      </c>
      <c r="DF55" s="317">
        <v>91.57</v>
      </c>
      <c r="DG55" s="318">
        <v>122566.89</v>
      </c>
      <c r="DH55" s="310">
        <v>35275.08</v>
      </c>
      <c r="DI55" s="310">
        <v>20174.16</v>
      </c>
      <c r="DJ55" s="312">
        <v>0</v>
      </c>
      <c r="DK55" s="362">
        <v>0</v>
      </c>
      <c r="DL55" s="362"/>
      <c r="DM55" s="362">
        <v>0</v>
      </c>
      <c r="DN55" s="362">
        <v>0</v>
      </c>
      <c r="DO55" s="362">
        <v>0</v>
      </c>
      <c r="DP55" s="362">
        <v>14119.2</v>
      </c>
      <c r="DQ55" s="362">
        <v>41545</v>
      </c>
      <c r="DR55" s="362"/>
      <c r="DS55" s="362">
        <v>12780</v>
      </c>
      <c r="DT55" s="362"/>
      <c r="DU55" s="362">
        <v>0</v>
      </c>
      <c r="DV55" s="362">
        <v>0</v>
      </c>
      <c r="DW55" s="362">
        <v>0</v>
      </c>
      <c r="DX55" s="362">
        <v>0</v>
      </c>
      <c r="DY55" s="362">
        <v>0</v>
      </c>
      <c r="DZ55" s="375">
        <v>3800</v>
      </c>
      <c r="EA55" s="362">
        <v>0</v>
      </c>
      <c r="EB55" s="362">
        <v>0</v>
      </c>
      <c r="EC55" s="362"/>
      <c r="ED55" s="362">
        <v>204722.22</v>
      </c>
      <c r="EE55" s="362">
        <v>10200</v>
      </c>
      <c r="EF55" s="362"/>
      <c r="EG55" s="362">
        <v>0</v>
      </c>
      <c r="EH55" s="362">
        <v>0</v>
      </c>
      <c r="EI55" s="362"/>
      <c r="EJ55" s="362">
        <v>0</v>
      </c>
      <c r="EK55" s="362"/>
      <c r="EL55" s="362">
        <v>0</v>
      </c>
      <c r="EM55" s="362">
        <v>6249.6</v>
      </c>
      <c r="EN55" s="362">
        <v>0</v>
      </c>
      <c r="EO55" s="362">
        <v>0</v>
      </c>
      <c r="EP55" s="362">
        <v>177726</v>
      </c>
      <c r="EQ55" s="362">
        <v>0</v>
      </c>
      <c r="ER55" s="362">
        <v>16380</v>
      </c>
      <c r="ES55" s="362">
        <v>0</v>
      </c>
      <c r="ET55" s="362">
        <v>13842</v>
      </c>
      <c r="EU55" s="362">
        <v>0</v>
      </c>
      <c r="EV55" s="362">
        <v>12946.43</v>
      </c>
      <c r="EW55" s="362"/>
      <c r="EX55" s="202"/>
      <c r="EY55" s="202"/>
      <c r="EZ55" s="229"/>
      <c r="FA55" s="368">
        <v>3993.72</v>
      </c>
      <c r="FB55" s="368">
        <v>0</v>
      </c>
      <c r="FC55" s="368">
        <v>0</v>
      </c>
      <c r="FD55" s="368">
        <v>0</v>
      </c>
      <c r="FE55" s="368">
        <v>1101.45</v>
      </c>
      <c r="FF55" s="368">
        <v>590.78</v>
      </c>
      <c r="FG55" s="368">
        <v>0</v>
      </c>
      <c r="FH55" s="368">
        <v>-858.93</v>
      </c>
      <c r="FI55" s="368">
        <v>0</v>
      </c>
      <c r="FJ55" s="368">
        <v>0</v>
      </c>
      <c r="FK55" s="368">
        <v>0</v>
      </c>
      <c r="FL55" s="368">
        <v>0</v>
      </c>
      <c r="FM55" s="368">
        <v>89762.73</v>
      </c>
      <c r="FN55" s="368">
        <v>57075.46</v>
      </c>
      <c r="FO55" s="323">
        <v>716597.88</v>
      </c>
      <c r="FP55" s="323">
        <v>4827.0200000000004</v>
      </c>
      <c r="FQ55" s="323">
        <v>721424.9</v>
      </c>
      <c r="FR55" s="338">
        <v>65288.83</v>
      </c>
      <c r="FS55" s="338">
        <v>-1797.59</v>
      </c>
      <c r="FT55" s="377">
        <v>63491.24</v>
      </c>
      <c r="FU55" s="377">
        <v>775551.19</v>
      </c>
      <c r="FV55" s="377">
        <v>7099.21</v>
      </c>
      <c r="FW55" s="362">
        <v>782650.4</v>
      </c>
      <c r="FX55" s="362">
        <v>714494.4</v>
      </c>
      <c r="FY55" s="362">
        <v>9080.35</v>
      </c>
      <c r="FZ55" s="362">
        <v>723574.75</v>
      </c>
      <c r="GA55" s="362">
        <v>126345.62</v>
      </c>
      <c r="GB55" s="362">
        <v>-3778.73</v>
      </c>
      <c r="GC55" s="362">
        <v>122566.89</v>
      </c>
      <c r="GD55" s="362">
        <v>24294.71</v>
      </c>
      <c r="GE55" s="362">
        <v>5634.48</v>
      </c>
      <c r="GF55" s="362">
        <v>29929.19</v>
      </c>
      <c r="GG55" s="202"/>
      <c r="GH55" s="416"/>
      <c r="GI55" s="414">
        <v>2019.55</v>
      </c>
      <c r="GJ55" s="419">
        <v>0</v>
      </c>
      <c r="GK55" s="396"/>
      <c r="GL55" s="202">
        <v>0</v>
      </c>
      <c r="GM55" s="202">
        <v>0</v>
      </c>
      <c r="GN55" s="323">
        <v>58953.31</v>
      </c>
      <c r="GO55" s="323">
        <v>2272.19</v>
      </c>
      <c r="GP55" s="323">
        <v>61225.5</v>
      </c>
      <c r="GQ55" s="323">
        <v>83248.02</v>
      </c>
      <c r="GR55" s="323">
        <v>7906.67</v>
      </c>
      <c r="GS55" s="323">
        <v>91154.69</v>
      </c>
    </row>
    <row r="56" spans="1:201" ht="12.75" customHeight="1" x14ac:dyDescent="0.2">
      <c r="A56" s="45" t="s">
        <v>90</v>
      </c>
      <c r="B56" s="51" t="s">
        <v>74</v>
      </c>
      <c r="C56" s="52" t="s">
        <v>79</v>
      </c>
      <c r="D56" s="388" t="s">
        <v>410</v>
      </c>
      <c r="E56" s="52" t="s">
        <v>12</v>
      </c>
      <c r="F56" s="11">
        <v>5</v>
      </c>
      <c r="G56" s="11">
        <v>4</v>
      </c>
      <c r="H56" s="11">
        <v>70</v>
      </c>
      <c r="I56" s="11">
        <v>72</v>
      </c>
      <c r="J56" s="11">
        <v>164</v>
      </c>
      <c r="K56" s="11">
        <v>175</v>
      </c>
      <c r="L56" s="11" t="s">
        <v>746</v>
      </c>
      <c r="M56" s="84">
        <v>54.2</v>
      </c>
      <c r="N56" s="84">
        <v>924.4</v>
      </c>
      <c r="O56" s="84">
        <v>0</v>
      </c>
      <c r="P56" s="135">
        <v>271</v>
      </c>
      <c r="Q56" s="135">
        <v>738.2</v>
      </c>
      <c r="R56" s="133">
        <v>0</v>
      </c>
      <c r="S56" s="133">
        <f t="shared" si="23"/>
        <v>1009.2</v>
      </c>
      <c r="T56" s="134">
        <v>271</v>
      </c>
      <c r="U56" s="130">
        <v>1.53</v>
      </c>
      <c r="V56" s="91">
        <v>1.1299999999999999E-2</v>
      </c>
      <c r="W56" s="91" t="s">
        <v>823</v>
      </c>
      <c r="X56" s="132" t="s">
        <v>823</v>
      </c>
      <c r="Y56" s="91">
        <v>1.1299999999999999E-2</v>
      </c>
      <c r="Z56" s="29">
        <v>3381.01</v>
      </c>
      <c r="AA56" s="29"/>
      <c r="AB56" s="9">
        <f t="shared" si="0"/>
        <v>3381.01</v>
      </c>
      <c r="AC56" s="9">
        <f t="shared" si="28"/>
        <v>21401.79</v>
      </c>
      <c r="AD56" s="9">
        <v>0.4</v>
      </c>
      <c r="AE56" s="9">
        <v>4.16</v>
      </c>
      <c r="AF56" s="21">
        <f>2.44-AJ56</f>
        <v>2.1800000000000002</v>
      </c>
      <c r="AG56" s="18">
        <f>0.53-AQ56</f>
        <v>0.38</v>
      </c>
      <c r="AH56" s="9">
        <v>2.16</v>
      </c>
      <c r="AI56" s="13">
        <v>887</v>
      </c>
      <c r="AJ56" s="21">
        <f t="shared" si="1"/>
        <v>0.26</v>
      </c>
      <c r="AK56" s="9">
        <v>0</v>
      </c>
      <c r="AL56" s="9">
        <v>0</v>
      </c>
      <c r="AM56" s="9">
        <v>0</v>
      </c>
      <c r="AN56" s="13">
        <v>373.3</v>
      </c>
      <c r="AO56" s="13">
        <v>746.7</v>
      </c>
      <c r="AP56" s="13">
        <f t="shared" si="24"/>
        <v>5.58</v>
      </c>
      <c r="AQ56" s="18">
        <f t="shared" si="2"/>
        <v>0.15</v>
      </c>
      <c r="AR56" s="9">
        <v>0.78</v>
      </c>
      <c r="AS56" s="9">
        <v>0.4</v>
      </c>
      <c r="AT56" s="9">
        <v>7.0000000000000007E-2</v>
      </c>
      <c r="AU56" s="9">
        <v>4.05</v>
      </c>
      <c r="AV56" s="9">
        <v>0.11</v>
      </c>
      <c r="AW56" s="9">
        <f>0.3+0.36+0.98</f>
        <v>1.64</v>
      </c>
      <c r="AX56" s="9">
        <f>1.34+0.49</f>
        <v>1.83</v>
      </c>
      <c r="AY56" s="54">
        <f t="shared" si="25"/>
        <v>18.57</v>
      </c>
      <c r="AZ56" s="13">
        <v>18.57</v>
      </c>
      <c r="BA56" s="13">
        <f t="shared" si="3"/>
        <v>0</v>
      </c>
      <c r="BB56" s="9">
        <f t="shared" si="4"/>
        <v>62785.36</v>
      </c>
      <c r="BC56" s="9">
        <v>18.57</v>
      </c>
      <c r="BD56" s="10">
        <v>44409</v>
      </c>
      <c r="BE56" s="9">
        <f t="shared" si="5"/>
        <v>1352.4</v>
      </c>
      <c r="BF56" s="9">
        <f t="shared" si="6"/>
        <v>14065</v>
      </c>
      <c r="BG56" s="9">
        <f t="shared" si="7"/>
        <v>7370.6</v>
      </c>
      <c r="BH56" s="9">
        <f t="shared" si="8"/>
        <v>1284.78</v>
      </c>
      <c r="BI56" s="9">
        <f t="shared" si="9"/>
        <v>7302.98</v>
      </c>
      <c r="BJ56" s="9">
        <f t="shared" si="10"/>
        <v>879.06</v>
      </c>
      <c r="BK56" s="9">
        <f t="shared" si="11"/>
        <v>0</v>
      </c>
      <c r="BL56" s="9">
        <f t="shared" si="12"/>
        <v>0</v>
      </c>
      <c r="BM56" s="9">
        <f t="shared" si="13"/>
        <v>0</v>
      </c>
      <c r="BN56" s="9">
        <f t="shared" si="14"/>
        <v>507.15</v>
      </c>
      <c r="BO56" s="9">
        <f t="shared" si="15"/>
        <v>2637.19</v>
      </c>
      <c r="BP56" s="9">
        <f t="shared" si="16"/>
        <v>1352.4</v>
      </c>
      <c r="BQ56" s="9">
        <f t="shared" si="17"/>
        <v>236.67</v>
      </c>
      <c r="BR56" s="9">
        <f t="shared" si="18"/>
        <v>13693.09</v>
      </c>
      <c r="BS56" s="9">
        <f t="shared" si="19"/>
        <v>371.91</v>
      </c>
      <c r="BT56" s="9">
        <f t="shared" si="20"/>
        <v>5544.86</v>
      </c>
      <c r="BU56" s="9">
        <f t="shared" si="21"/>
        <v>6187.25</v>
      </c>
      <c r="BV56" s="17">
        <f t="shared" si="22"/>
        <v>62785.34</v>
      </c>
      <c r="BW56" s="17">
        <v>1.84</v>
      </c>
      <c r="BX56" s="17">
        <v>0.03</v>
      </c>
      <c r="BY56" s="173">
        <v>0</v>
      </c>
      <c r="BZ56" s="17">
        <v>0.01</v>
      </c>
      <c r="CA56" s="29">
        <v>6.33</v>
      </c>
      <c r="CB56" s="325"/>
      <c r="CC56" s="13">
        <v>0</v>
      </c>
      <c r="CD56" s="13">
        <v>0</v>
      </c>
      <c r="CE56" s="13">
        <v>0</v>
      </c>
      <c r="CF56" s="13">
        <v>0</v>
      </c>
      <c r="CG56" s="13">
        <v>0</v>
      </c>
      <c r="CH56" s="13">
        <v>0</v>
      </c>
      <c r="CI56" s="13">
        <v>1499.08</v>
      </c>
      <c r="CJ56" s="13">
        <v>22608</v>
      </c>
      <c r="CK56" s="13">
        <v>1300.3</v>
      </c>
      <c r="CL56" s="13">
        <v>753410.31</v>
      </c>
      <c r="CM56" s="13">
        <v>42296.26</v>
      </c>
      <c r="CN56" s="13">
        <v>0</v>
      </c>
      <c r="CO56" s="13">
        <v>980.61</v>
      </c>
      <c r="CP56" s="13">
        <v>405.35</v>
      </c>
      <c r="CQ56" s="13">
        <v>0</v>
      </c>
      <c r="CR56" s="13">
        <v>654340.44999999995</v>
      </c>
      <c r="CS56" s="13">
        <v>27627.07</v>
      </c>
      <c r="CT56" s="13">
        <v>0</v>
      </c>
      <c r="CU56" s="13">
        <v>794.51</v>
      </c>
      <c r="CV56" s="13">
        <v>351.99</v>
      </c>
      <c r="CW56" s="13">
        <v>0</v>
      </c>
      <c r="CX56" s="13">
        <v>201085.66</v>
      </c>
      <c r="CY56" s="13">
        <v>14512.7</v>
      </c>
      <c r="CZ56" s="13">
        <v>0</v>
      </c>
      <c r="DA56" s="13">
        <v>266.61</v>
      </c>
      <c r="DB56" s="13">
        <v>108.2</v>
      </c>
      <c r="DC56" s="13"/>
      <c r="DD56" s="315">
        <v>797092.53</v>
      </c>
      <c r="DE56" s="317">
        <v>683114.02</v>
      </c>
      <c r="DF56" s="317">
        <v>85.7</v>
      </c>
      <c r="DG56" s="318">
        <v>215973.17</v>
      </c>
      <c r="DH56" s="310">
        <v>35517.360000000001</v>
      </c>
      <c r="DI56" s="310">
        <v>20312.759999999998</v>
      </c>
      <c r="DJ56" s="312">
        <v>0</v>
      </c>
      <c r="DK56" s="362">
        <v>0</v>
      </c>
      <c r="DL56" s="362"/>
      <c r="DM56" s="362">
        <v>0</v>
      </c>
      <c r="DN56" s="362">
        <v>0</v>
      </c>
      <c r="DO56" s="362">
        <v>0</v>
      </c>
      <c r="DP56" s="362">
        <v>14103.3</v>
      </c>
      <c r="DQ56" s="362">
        <v>46515</v>
      </c>
      <c r="DR56" s="362"/>
      <c r="DS56" s="362">
        <v>12780</v>
      </c>
      <c r="DT56" s="362"/>
      <c r="DU56" s="362">
        <v>0</v>
      </c>
      <c r="DV56" s="362">
        <v>0</v>
      </c>
      <c r="DW56" s="362">
        <v>0</v>
      </c>
      <c r="DX56" s="362">
        <v>0</v>
      </c>
      <c r="DY56" s="362">
        <v>0</v>
      </c>
      <c r="DZ56" s="375">
        <v>0</v>
      </c>
      <c r="EA56" s="362">
        <v>0</v>
      </c>
      <c r="EB56" s="362">
        <v>0</v>
      </c>
      <c r="EC56" s="362"/>
      <c r="ED56" s="362">
        <v>205811.82</v>
      </c>
      <c r="EE56" s="362">
        <v>10200</v>
      </c>
      <c r="EF56" s="362"/>
      <c r="EG56" s="362">
        <v>0</v>
      </c>
      <c r="EH56" s="362">
        <v>0</v>
      </c>
      <c r="EI56" s="362"/>
      <c r="EJ56" s="362">
        <v>0</v>
      </c>
      <c r="EK56" s="362"/>
      <c r="EL56" s="362">
        <v>0</v>
      </c>
      <c r="EM56" s="362">
        <v>6249.6</v>
      </c>
      <c r="EN56" s="362">
        <v>0</v>
      </c>
      <c r="EO56" s="362">
        <v>0</v>
      </c>
      <c r="EP56" s="362">
        <v>179676</v>
      </c>
      <c r="EQ56" s="362">
        <v>0</v>
      </c>
      <c r="ER56" s="362">
        <v>16380</v>
      </c>
      <c r="ES56" s="362">
        <v>0</v>
      </c>
      <c r="ET56" s="362">
        <v>13842</v>
      </c>
      <c r="EU56" s="362">
        <v>0</v>
      </c>
      <c r="EV56" s="362">
        <v>12589.1</v>
      </c>
      <c r="EW56" s="362"/>
      <c r="EX56" s="202"/>
      <c r="EY56" s="202"/>
      <c r="EZ56" s="229"/>
      <c r="FA56" s="368">
        <v>53794.64</v>
      </c>
      <c r="FB56" s="368">
        <v>0</v>
      </c>
      <c r="FC56" s="368">
        <v>0</v>
      </c>
      <c r="FD56" s="368">
        <v>0</v>
      </c>
      <c r="FE56" s="368">
        <v>1025.81</v>
      </c>
      <c r="FF56" s="368">
        <v>550.20000000000005</v>
      </c>
      <c r="FG56" s="368">
        <v>0</v>
      </c>
      <c r="FH56" s="368">
        <v>-865.03</v>
      </c>
      <c r="FI56" s="368">
        <v>0</v>
      </c>
      <c r="FJ56" s="368">
        <v>0</v>
      </c>
      <c r="FK56" s="368">
        <v>0</v>
      </c>
      <c r="FL56" s="368">
        <v>0</v>
      </c>
      <c r="FM56" s="368">
        <v>90391.5</v>
      </c>
      <c r="FN56" s="368">
        <v>57475.12</v>
      </c>
      <c r="FO56" s="323">
        <v>721843.56</v>
      </c>
      <c r="FP56" s="323">
        <v>54505.62</v>
      </c>
      <c r="FQ56" s="323">
        <v>776349.18</v>
      </c>
      <c r="FR56" s="338">
        <v>94625.5</v>
      </c>
      <c r="FS56" s="338">
        <v>-1404.17</v>
      </c>
      <c r="FT56" s="377">
        <v>93221.33</v>
      </c>
      <c r="FU56" s="377">
        <v>777517.39</v>
      </c>
      <c r="FV56" s="377">
        <v>44982.52</v>
      </c>
      <c r="FW56" s="362">
        <v>822499.91</v>
      </c>
      <c r="FX56" s="362">
        <v>671057.23</v>
      </c>
      <c r="FY56" s="362">
        <v>28690.84</v>
      </c>
      <c r="FZ56" s="362">
        <v>699748.07</v>
      </c>
      <c r="GA56" s="362">
        <v>201085.66</v>
      </c>
      <c r="GB56" s="362">
        <v>14887.51</v>
      </c>
      <c r="GC56" s="362">
        <v>215973.17</v>
      </c>
      <c r="GD56" s="362">
        <v>-3684.79</v>
      </c>
      <c r="GE56" s="362">
        <v>5351.22</v>
      </c>
      <c r="GF56" s="362">
        <v>1666.43</v>
      </c>
      <c r="GG56" s="202"/>
      <c r="GH56" s="416"/>
      <c r="GI56" s="414">
        <v>2019.55</v>
      </c>
      <c r="GJ56" s="419">
        <v>0</v>
      </c>
      <c r="GK56" s="396"/>
      <c r="GL56" s="202">
        <v>0</v>
      </c>
      <c r="GM56" s="202">
        <v>0</v>
      </c>
      <c r="GN56" s="323">
        <v>55673.83</v>
      </c>
      <c r="GO56" s="323">
        <v>-9523.1</v>
      </c>
      <c r="GP56" s="323">
        <v>46150.73</v>
      </c>
      <c r="GQ56" s="323">
        <v>51989.04</v>
      </c>
      <c r="GR56" s="323">
        <v>-4171.88</v>
      </c>
      <c r="GS56" s="323">
        <v>47817.16</v>
      </c>
    </row>
    <row r="57" spans="1:201" ht="12.75" customHeight="1" x14ac:dyDescent="0.2">
      <c r="A57" s="45" t="s">
        <v>92</v>
      </c>
      <c r="B57" s="51" t="s">
        <v>81</v>
      </c>
      <c r="C57" s="52" t="s">
        <v>44</v>
      </c>
      <c r="D57" s="388" t="s">
        <v>416</v>
      </c>
      <c r="E57" s="52" t="s">
        <v>12</v>
      </c>
      <c r="F57" s="11">
        <v>4</v>
      </c>
      <c r="G57" s="11">
        <v>2</v>
      </c>
      <c r="H57" s="11">
        <v>36</v>
      </c>
      <c r="I57" s="11">
        <v>0</v>
      </c>
      <c r="J57" s="11">
        <v>70</v>
      </c>
      <c r="K57" s="11">
        <v>81</v>
      </c>
      <c r="L57" s="11" t="s">
        <v>746</v>
      </c>
      <c r="M57" s="84">
        <v>93.2</v>
      </c>
      <c r="N57" s="84">
        <v>312.3</v>
      </c>
      <c r="O57" s="84">
        <v>312.3</v>
      </c>
      <c r="P57" s="138">
        <v>93.2</v>
      </c>
      <c r="Q57" s="138">
        <v>312.3</v>
      </c>
      <c r="R57" s="138">
        <v>312.3</v>
      </c>
      <c r="S57" s="133">
        <f t="shared" si="23"/>
        <v>717.8</v>
      </c>
      <c r="T57" s="138">
        <v>93.2</v>
      </c>
      <c r="U57" s="130">
        <v>0.84</v>
      </c>
      <c r="V57" s="131">
        <v>1.1299999999999999E-2</v>
      </c>
      <c r="W57" s="171">
        <v>0</v>
      </c>
      <c r="X57" s="172">
        <v>0</v>
      </c>
      <c r="Y57" s="131">
        <v>1.1299999999999999E-2</v>
      </c>
      <c r="Z57" s="29">
        <v>1366.2</v>
      </c>
      <c r="AA57" s="29"/>
      <c r="AB57" s="9">
        <f t="shared" si="0"/>
        <v>1366.2</v>
      </c>
      <c r="AC57" s="9">
        <f t="shared" si="28"/>
        <v>8648.0499999999993</v>
      </c>
      <c r="AD57" s="9">
        <v>0.34</v>
      </c>
      <c r="AE57" s="9">
        <v>3.34</v>
      </c>
      <c r="AF57" s="21">
        <f>2.41-AJ57</f>
        <v>1.97</v>
      </c>
      <c r="AG57" s="18">
        <f>0.55-AQ57</f>
        <v>0.37</v>
      </c>
      <c r="AH57" s="9">
        <v>2.78</v>
      </c>
      <c r="AI57" s="13">
        <v>600</v>
      </c>
      <c r="AJ57" s="21">
        <f t="shared" si="1"/>
        <v>0.44</v>
      </c>
      <c r="AK57" s="9">
        <v>0</v>
      </c>
      <c r="AL57" s="9">
        <v>0</v>
      </c>
      <c r="AM57" s="9">
        <v>0.69</v>
      </c>
      <c r="AN57" s="13"/>
      <c r="AO57" s="13">
        <v>519</v>
      </c>
      <c r="AP57" s="13">
        <f t="shared" si="24"/>
        <v>5.58</v>
      </c>
      <c r="AQ57" s="18">
        <f t="shared" si="2"/>
        <v>0.18</v>
      </c>
      <c r="AR57" s="9">
        <v>0.94</v>
      </c>
      <c r="AS57" s="9">
        <v>1</v>
      </c>
      <c r="AT57" s="9">
        <v>7.0000000000000007E-2</v>
      </c>
      <c r="AU57" s="9">
        <v>4.9400000000000004</v>
      </c>
      <c r="AV57" s="9">
        <v>0.13</v>
      </c>
      <c r="AW57" s="9">
        <f>0.37+1.09+0.43</f>
        <v>1.89</v>
      </c>
      <c r="AX57" s="9">
        <f>1.53+0.58</f>
        <v>2.11</v>
      </c>
      <c r="AY57" s="54">
        <f t="shared" si="25"/>
        <v>21.19</v>
      </c>
      <c r="AZ57" s="13">
        <v>21.19</v>
      </c>
      <c r="BA57" s="13">
        <f t="shared" si="3"/>
        <v>0</v>
      </c>
      <c r="BB57" s="9">
        <f t="shared" si="4"/>
        <v>28949.78</v>
      </c>
      <c r="BC57" s="9">
        <v>21.19</v>
      </c>
      <c r="BD57" s="10">
        <v>44378</v>
      </c>
      <c r="BE57" s="9">
        <f t="shared" si="5"/>
        <v>464.51</v>
      </c>
      <c r="BF57" s="9">
        <f t="shared" si="6"/>
        <v>4563.1099999999997</v>
      </c>
      <c r="BG57" s="9">
        <f t="shared" si="7"/>
        <v>2691.41</v>
      </c>
      <c r="BH57" s="9">
        <f t="shared" si="8"/>
        <v>505.49</v>
      </c>
      <c r="BI57" s="9">
        <f t="shared" si="9"/>
        <v>3798.04</v>
      </c>
      <c r="BJ57" s="9">
        <f t="shared" si="10"/>
        <v>601.13</v>
      </c>
      <c r="BK57" s="9">
        <f t="shared" si="11"/>
        <v>0</v>
      </c>
      <c r="BL57" s="9">
        <f t="shared" si="12"/>
        <v>0</v>
      </c>
      <c r="BM57" s="9">
        <f t="shared" si="13"/>
        <v>942.68</v>
      </c>
      <c r="BN57" s="9">
        <f t="shared" si="14"/>
        <v>245.92</v>
      </c>
      <c r="BO57" s="9">
        <f t="shared" si="15"/>
        <v>1284.23</v>
      </c>
      <c r="BP57" s="9">
        <f t="shared" si="16"/>
        <v>1366.2</v>
      </c>
      <c r="BQ57" s="9">
        <f t="shared" si="17"/>
        <v>95.63</v>
      </c>
      <c r="BR57" s="9">
        <f t="shared" si="18"/>
        <v>6749.03</v>
      </c>
      <c r="BS57" s="9">
        <f t="shared" si="19"/>
        <v>177.61</v>
      </c>
      <c r="BT57" s="9">
        <f t="shared" si="20"/>
        <v>2582.12</v>
      </c>
      <c r="BU57" s="9">
        <f t="shared" si="21"/>
        <v>2882.68</v>
      </c>
      <c r="BV57" s="17">
        <f t="shared" si="22"/>
        <v>28949.79</v>
      </c>
      <c r="BW57" s="17">
        <v>1.68</v>
      </c>
      <c r="BX57" s="17">
        <v>0.02</v>
      </c>
      <c r="BY57" s="173">
        <v>0</v>
      </c>
      <c r="BZ57" s="17">
        <v>0.01</v>
      </c>
      <c r="CA57" s="29">
        <v>6.33</v>
      </c>
      <c r="CB57" s="325"/>
      <c r="CC57" s="13">
        <v>0</v>
      </c>
      <c r="CD57" s="13">
        <v>0</v>
      </c>
      <c r="CE57" s="13">
        <v>0</v>
      </c>
      <c r="CF57" s="13">
        <v>0</v>
      </c>
      <c r="CG57" s="13">
        <v>0</v>
      </c>
      <c r="CH57" s="13">
        <v>0</v>
      </c>
      <c r="CI57" s="13">
        <v>1211.8</v>
      </c>
      <c r="CJ57" s="13">
        <v>5076</v>
      </c>
      <c r="CK57" s="13">
        <v>525.41999999999996</v>
      </c>
      <c r="CL57" s="13">
        <v>347397.6</v>
      </c>
      <c r="CM57" s="13">
        <v>51492.47</v>
      </c>
      <c r="CN57" s="13">
        <v>0</v>
      </c>
      <c r="CO57" s="13">
        <v>24154.46</v>
      </c>
      <c r="CP57" s="13">
        <v>13921.72</v>
      </c>
      <c r="CQ57" s="13">
        <v>0</v>
      </c>
      <c r="CR57" s="13">
        <v>345762.59</v>
      </c>
      <c r="CS57" s="13">
        <v>48749.1</v>
      </c>
      <c r="CT57" s="13">
        <v>0</v>
      </c>
      <c r="CU57" s="13">
        <v>18082.13</v>
      </c>
      <c r="CV57" s="13">
        <v>12916.33</v>
      </c>
      <c r="CW57" s="13">
        <v>0</v>
      </c>
      <c r="CX57" s="13">
        <v>29212.03</v>
      </c>
      <c r="CY57" s="13">
        <v>5991.19</v>
      </c>
      <c r="CZ57" s="13">
        <v>0</v>
      </c>
      <c r="DA57" s="13">
        <v>3631.55</v>
      </c>
      <c r="DB57" s="13">
        <v>1519.22</v>
      </c>
      <c r="DC57" s="13"/>
      <c r="DD57" s="315">
        <v>436966.25</v>
      </c>
      <c r="DE57" s="317">
        <v>425510.15</v>
      </c>
      <c r="DF57" s="317">
        <v>97.38</v>
      </c>
      <c r="DG57" s="318">
        <v>40353.99</v>
      </c>
      <c r="DH57" s="310">
        <v>14355.24</v>
      </c>
      <c r="DI57" s="310">
        <v>8209.92</v>
      </c>
      <c r="DJ57" s="312">
        <v>0</v>
      </c>
      <c r="DK57" s="362">
        <v>0</v>
      </c>
      <c r="DL57" s="362"/>
      <c r="DM57" s="362">
        <v>0</v>
      </c>
      <c r="DN57" s="362">
        <v>0</v>
      </c>
      <c r="DO57" s="362">
        <v>0</v>
      </c>
      <c r="DP57" s="362">
        <v>9540</v>
      </c>
      <c r="DQ57" s="362">
        <v>51750</v>
      </c>
      <c r="DR57" s="362"/>
      <c r="DS57" s="362">
        <v>19800</v>
      </c>
      <c r="DT57" s="362"/>
      <c r="DU57" s="362">
        <v>0</v>
      </c>
      <c r="DV57" s="362">
        <v>0</v>
      </c>
      <c r="DW57" s="362">
        <v>0</v>
      </c>
      <c r="DX57" s="362">
        <v>0</v>
      </c>
      <c r="DY57" s="362">
        <v>0</v>
      </c>
      <c r="DZ57" s="375">
        <v>0</v>
      </c>
      <c r="EA57" s="362">
        <v>0</v>
      </c>
      <c r="EB57" s="362">
        <v>0</v>
      </c>
      <c r="EC57" s="362"/>
      <c r="ED57" s="362">
        <v>67337.279999999999</v>
      </c>
      <c r="EE57" s="362">
        <v>11900</v>
      </c>
      <c r="EF57" s="362"/>
      <c r="EG57" s="362">
        <v>0</v>
      </c>
      <c r="EH57" s="362">
        <v>0</v>
      </c>
      <c r="EI57" s="362"/>
      <c r="EJ57" s="362">
        <v>0</v>
      </c>
      <c r="EK57" s="362"/>
      <c r="EL57" s="362">
        <v>0</v>
      </c>
      <c r="EM57" s="362">
        <v>2896.02</v>
      </c>
      <c r="EN57" s="362">
        <v>0</v>
      </c>
      <c r="EO57" s="362">
        <v>0</v>
      </c>
      <c r="EP57" s="362">
        <v>79254</v>
      </c>
      <c r="EQ57" s="362">
        <v>0</v>
      </c>
      <c r="ER57" s="362">
        <v>16380</v>
      </c>
      <c r="ES57" s="362">
        <v>6924</v>
      </c>
      <c r="ET57" s="362">
        <v>6254</v>
      </c>
      <c r="EU57" s="362">
        <v>0</v>
      </c>
      <c r="EV57" s="362">
        <v>0</v>
      </c>
      <c r="EW57" s="362"/>
      <c r="EX57" s="202"/>
      <c r="EY57" s="202"/>
      <c r="EZ57" s="229"/>
      <c r="FA57" s="368">
        <v>56779.33</v>
      </c>
      <c r="FB57" s="368">
        <v>0</v>
      </c>
      <c r="FC57" s="368">
        <v>0</v>
      </c>
      <c r="FD57" s="368">
        <v>0</v>
      </c>
      <c r="FE57" s="368">
        <v>52588.7</v>
      </c>
      <c r="FF57" s="368">
        <v>27588.6</v>
      </c>
      <c r="FG57" s="368">
        <v>0</v>
      </c>
      <c r="FH57" s="368">
        <v>-349.54</v>
      </c>
      <c r="FI57" s="368">
        <v>0</v>
      </c>
      <c r="FJ57" s="368">
        <v>0</v>
      </c>
      <c r="FK57" s="368">
        <v>0</v>
      </c>
      <c r="FL57" s="368">
        <v>0</v>
      </c>
      <c r="FM57" s="368">
        <v>36525.440000000002</v>
      </c>
      <c r="FN57" s="368">
        <v>23224.58</v>
      </c>
      <c r="FO57" s="323">
        <v>354350.48</v>
      </c>
      <c r="FP57" s="323">
        <v>136607.09</v>
      </c>
      <c r="FQ57" s="323">
        <v>490957.57</v>
      </c>
      <c r="FR57" s="338">
        <v>14388.89</v>
      </c>
      <c r="FS57" s="338">
        <v>1552.09</v>
      </c>
      <c r="FT57" s="377">
        <v>15940.98</v>
      </c>
      <c r="FU57" s="377">
        <v>353685.4</v>
      </c>
      <c r="FV57" s="377">
        <v>90094.07</v>
      </c>
      <c r="FW57" s="362">
        <v>443779.47</v>
      </c>
      <c r="FX57" s="362">
        <v>338862.26</v>
      </c>
      <c r="FY57" s="362">
        <v>80504.2</v>
      </c>
      <c r="FZ57" s="362">
        <v>419366.46</v>
      </c>
      <c r="GA57" s="362">
        <v>29212.03</v>
      </c>
      <c r="GB57" s="362">
        <v>11141.96</v>
      </c>
      <c r="GC57" s="362">
        <v>40353.99</v>
      </c>
      <c r="GD57" s="362">
        <v>12424.03</v>
      </c>
      <c r="GE57" s="362">
        <v>-949.46</v>
      </c>
      <c r="GF57" s="362">
        <v>11474.57</v>
      </c>
      <c r="GG57" s="202"/>
      <c r="GH57" s="416"/>
      <c r="GI57" s="414">
        <v>423</v>
      </c>
      <c r="GJ57" s="419">
        <v>0</v>
      </c>
      <c r="GK57" s="396"/>
      <c r="GL57" s="202">
        <v>0</v>
      </c>
      <c r="GM57" s="202">
        <v>0</v>
      </c>
      <c r="GN57" s="323">
        <v>-665.08</v>
      </c>
      <c r="GO57" s="323">
        <v>-46513.02</v>
      </c>
      <c r="GP57" s="323">
        <v>-47178.1</v>
      </c>
      <c r="GQ57" s="323">
        <v>11758.95</v>
      </c>
      <c r="GR57" s="323">
        <v>-47462.48</v>
      </c>
      <c r="GS57" s="323">
        <v>-35703.53</v>
      </c>
    </row>
    <row r="58" spans="1:201" ht="12.75" customHeight="1" x14ac:dyDescent="0.2">
      <c r="A58" s="45" t="s">
        <v>94</v>
      </c>
      <c r="B58" s="48" t="s">
        <v>81</v>
      </c>
      <c r="C58" s="49" t="s">
        <v>15</v>
      </c>
      <c r="D58" s="388" t="s">
        <v>623</v>
      </c>
      <c r="E58" s="49" t="s">
        <v>12</v>
      </c>
      <c r="F58" s="11">
        <v>9</v>
      </c>
      <c r="G58" s="11">
        <v>1</v>
      </c>
      <c r="H58" s="11">
        <v>54</v>
      </c>
      <c r="I58" s="11">
        <v>54</v>
      </c>
      <c r="J58" s="11">
        <v>96</v>
      </c>
      <c r="K58" s="11">
        <v>107</v>
      </c>
      <c r="L58" s="11">
        <v>1</v>
      </c>
      <c r="M58" s="84">
        <v>255.4</v>
      </c>
      <c r="N58" s="84">
        <v>386</v>
      </c>
      <c r="O58" s="84">
        <v>386</v>
      </c>
      <c r="P58" s="135">
        <f>107.7+136.2+14.7+12.2+7.8+24.2+6.5</f>
        <v>309.3</v>
      </c>
      <c r="Q58" s="135">
        <v>232</v>
      </c>
      <c r="R58" s="133">
        <v>3.4</v>
      </c>
      <c r="S58" s="133">
        <f t="shared" si="23"/>
        <v>544.70000000000005</v>
      </c>
      <c r="T58" s="134">
        <v>309.3</v>
      </c>
      <c r="U58" s="130">
        <v>2.44</v>
      </c>
      <c r="V58" s="91">
        <v>1.9800000000000002E-2</v>
      </c>
      <c r="W58" s="91">
        <v>1.9800000000000002E-2</v>
      </c>
      <c r="X58" s="132">
        <v>1.32E-3</v>
      </c>
      <c r="Y58" s="91">
        <v>3.9699999999999999E-2</v>
      </c>
      <c r="Z58" s="29">
        <v>2266.8200000000002</v>
      </c>
      <c r="AA58" s="29"/>
      <c r="AB58" s="9">
        <f t="shared" si="0"/>
        <v>2266.8200000000002</v>
      </c>
      <c r="AC58" s="9">
        <f t="shared" si="28"/>
        <v>14348.97</v>
      </c>
      <c r="AD58" s="9">
        <v>1.57</v>
      </c>
      <c r="AE58" s="9">
        <v>4.2300000000000004</v>
      </c>
      <c r="AF58" s="21">
        <f>2.49-AJ58</f>
        <v>2.33</v>
      </c>
      <c r="AG58" s="18">
        <f>0.6-AQ58</f>
        <v>0.54</v>
      </c>
      <c r="AH58" s="9">
        <v>2.77</v>
      </c>
      <c r="AI58" s="13">
        <v>371</v>
      </c>
      <c r="AJ58" s="21">
        <f t="shared" si="1"/>
        <v>0.16</v>
      </c>
      <c r="AK58" s="9">
        <v>1.9</v>
      </c>
      <c r="AL58" s="9">
        <v>0.17</v>
      </c>
      <c r="AM58" s="9">
        <v>0.26</v>
      </c>
      <c r="AN58" s="13"/>
      <c r="AO58" s="13">
        <v>305.89999999999998</v>
      </c>
      <c r="AP58" s="13">
        <f t="shared" si="24"/>
        <v>5.58</v>
      </c>
      <c r="AQ58" s="18">
        <f t="shared" si="2"/>
        <v>0.06</v>
      </c>
      <c r="AR58" s="9">
        <v>0.74</v>
      </c>
      <c r="AS58" s="9">
        <v>0.6</v>
      </c>
      <c r="AT58" s="9">
        <v>7.0000000000000007E-2</v>
      </c>
      <c r="AU58" s="9">
        <v>4.49</v>
      </c>
      <c r="AV58" s="9">
        <v>0.16</v>
      </c>
      <c r="AW58" s="9">
        <f>0.33+1.38+0.4</f>
        <v>2.11</v>
      </c>
      <c r="AX58" s="9">
        <f>1.96+0.53</f>
        <v>2.4900000000000002</v>
      </c>
      <c r="AY58" s="46">
        <f t="shared" si="25"/>
        <v>24.65</v>
      </c>
      <c r="AZ58" s="13">
        <v>24.65</v>
      </c>
      <c r="BA58" s="13">
        <f t="shared" si="3"/>
        <v>0</v>
      </c>
      <c r="BB58" s="9">
        <f t="shared" si="4"/>
        <v>55877.11</v>
      </c>
      <c r="BC58" s="9">
        <v>24.65</v>
      </c>
      <c r="BD58" s="10">
        <v>44378</v>
      </c>
      <c r="BE58" s="9">
        <f t="shared" si="5"/>
        <v>3558.91</v>
      </c>
      <c r="BF58" s="9">
        <f t="shared" si="6"/>
        <v>9588.65</v>
      </c>
      <c r="BG58" s="9">
        <f t="shared" si="7"/>
        <v>5281.69</v>
      </c>
      <c r="BH58" s="9">
        <f t="shared" si="8"/>
        <v>1224.08</v>
      </c>
      <c r="BI58" s="9">
        <f t="shared" si="9"/>
        <v>6279.09</v>
      </c>
      <c r="BJ58" s="9">
        <f t="shared" si="10"/>
        <v>362.69</v>
      </c>
      <c r="BK58" s="9">
        <f t="shared" si="11"/>
        <v>4306.96</v>
      </c>
      <c r="BL58" s="9">
        <f t="shared" si="12"/>
        <v>385.36</v>
      </c>
      <c r="BM58" s="9">
        <f t="shared" si="13"/>
        <v>589.37</v>
      </c>
      <c r="BN58" s="9">
        <f t="shared" si="14"/>
        <v>136.01</v>
      </c>
      <c r="BO58" s="9">
        <f t="shared" si="15"/>
        <v>1677.45</v>
      </c>
      <c r="BP58" s="9">
        <f t="shared" si="16"/>
        <v>1360.09</v>
      </c>
      <c r="BQ58" s="9">
        <f t="shared" si="17"/>
        <v>158.68</v>
      </c>
      <c r="BR58" s="9">
        <f t="shared" si="18"/>
        <v>10178.02</v>
      </c>
      <c r="BS58" s="9">
        <f t="shared" si="19"/>
        <v>362.69</v>
      </c>
      <c r="BT58" s="9">
        <f t="shared" si="20"/>
        <v>4782.99</v>
      </c>
      <c r="BU58" s="9">
        <f t="shared" si="21"/>
        <v>5644.38</v>
      </c>
      <c r="BV58" s="17">
        <f t="shared" si="22"/>
        <v>55877.11</v>
      </c>
      <c r="BW58" s="17">
        <v>4.21</v>
      </c>
      <c r="BX58" s="17">
        <v>0.08</v>
      </c>
      <c r="BY58" s="17">
        <v>0.51</v>
      </c>
      <c r="BZ58" s="17">
        <v>0.09</v>
      </c>
      <c r="CA58" s="29">
        <v>6.33</v>
      </c>
      <c r="CB58" s="325"/>
      <c r="CC58" s="13">
        <v>0</v>
      </c>
      <c r="CD58" s="13">
        <v>0</v>
      </c>
      <c r="CE58" s="13">
        <v>0</v>
      </c>
      <c r="CF58" s="13">
        <v>0</v>
      </c>
      <c r="CG58" s="13">
        <v>0</v>
      </c>
      <c r="CH58" s="13">
        <v>1488</v>
      </c>
      <c r="CI58" s="13">
        <v>3430.2</v>
      </c>
      <c r="CJ58" s="13">
        <v>26964</v>
      </c>
      <c r="CK58" s="13">
        <v>871.8</v>
      </c>
      <c r="CL58" s="13">
        <v>670257.92000000004</v>
      </c>
      <c r="CM58" s="13">
        <v>202521.67</v>
      </c>
      <c r="CN58" s="13">
        <v>-4.59</v>
      </c>
      <c r="CO58" s="13">
        <v>10109.34</v>
      </c>
      <c r="CP58" s="13">
        <v>6391.75</v>
      </c>
      <c r="CQ58" s="13">
        <v>0</v>
      </c>
      <c r="CR58" s="13">
        <v>618483.86</v>
      </c>
      <c r="CS58" s="13">
        <v>181668.2</v>
      </c>
      <c r="CT58" s="13">
        <v>1179.45</v>
      </c>
      <c r="CU58" s="13">
        <v>11075.85</v>
      </c>
      <c r="CV58" s="13">
        <v>6747</v>
      </c>
      <c r="CW58" s="13">
        <v>0</v>
      </c>
      <c r="CX58" s="13">
        <v>122751.39</v>
      </c>
      <c r="CY58" s="13">
        <v>43328.87</v>
      </c>
      <c r="CZ58" s="13">
        <v>-896.85</v>
      </c>
      <c r="DA58" s="13">
        <v>977.01</v>
      </c>
      <c r="DB58" s="13">
        <v>711.91</v>
      </c>
      <c r="DC58" s="13"/>
      <c r="DD58" s="315">
        <v>889276.09</v>
      </c>
      <c r="DE58" s="317">
        <v>819154.36</v>
      </c>
      <c r="DF58" s="317">
        <v>92.11</v>
      </c>
      <c r="DG58" s="318">
        <v>166872.32999999999</v>
      </c>
      <c r="DH58" s="310">
        <v>23818.44</v>
      </c>
      <c r="DI58" s="310">
        <v>13622.04</v>
      </c>
      <c r="DJ58" s="312">
        <v>0</v>
      </c>
      <c r="DK58" s="362">
        <v>0</v>
      </c>
      <c r="DL58" s="362"/>
      <c r="DM58" s="362">
        <v>0</v>
      </c>
      <c r="DN58" s="362">
        <v>0</v>
      </c>
      <c r="DO58" s="362">
        <v>0</v>
      </c>
      <c r="DP58" s="362">
        <v>5898.9</v>
      </c>
      <c r="DQ58" s="362">
        <v>0</v>
      </c>
      <c r="DR58" s="362"/>
      <c r="DS58" s="362">
        <v>0</v>
      </c>
      <c r="DT58" s="362"/>
      <c r="DU58" s="362">
        <v>0</v>
      </c>
      <c r="DV58" s="362">
        <v>0</v>
      </c>
      <c r="DW58" s="362">
        <v>0</v>
      </c>
      <c r="DX58" s="362">
        <v>51322.58</v>
      </c>
      <c r="DY58" s="362">
        <v>4500</v>
      </c>
      <c r="DZ58" s="375">
        <v>0</v>
      </c>
      <c r="EA58" s="362">
        <v>0</v>
      </c>
      <c r="EB58" s="362">
        <v>0</v>
      </c>
      <c r="EC58" s="362"/>
      <c r="ED58" s="362">
        <v>174908.04</v>
      </c>
      <c r="EE58" s="362">
        <v>11900</v>
      </c>
      <c r="EF58" s="362"/>
      <c r="EG58" s="362">
        <v>0</v>
      </c>
      <c r="EH58" s="362">
        <v>0</v>
      </c>
      <c r="EI58" s="362"/>
      <c r="EJ58" s="362">
        <v>0</v>
      </c>
      <c r="EK58" s="362"/>
      <c r="EL58" s="362">
        <v>0</v>
      </c>
      <c r="EM58" s="362">
        <v>1706.91</v>
      </c>
      <c r="EN58" s="362">
        <v>0</v>
      </c>
      <c r="EO58" s="362">
        <v>744</v>
      </c>
      <c r="EP58" s="362">
        <v>144288</v>
      </c>
      <c r="EQ58" s="362">
        <v>0</v>
      </c>
      <c r="ER58" s="362">
        <v>8190</v>
      </c>
      <c r="ES58" s="362">
        <v>6924</v>
      </c>
      <c r="ET58" s="362">
        <v>6688</v>
      </c>
      <c r="EU58" s="362">
        <v>0</v>
      </c>
      <c r="EV58" s="362">
        <v>50216</v>
      </c>
      <c r="EW58" s="362"/>
      <c r="EX58" s="202"/>
      <c r="EY58" s="202"/>
      <c r="EZ58" s="229"/>
      <c r="FA58" s="368">
        <v>207484.91</v>
      </c>
      <c r="FB58" s="368">
        <v>3643.19</v>
      </c>
      <c r="FC58" s="368">
        <v>0</v>
      </c>
      <c r="FD58" s="368">
        <v>0</v>
      </c>
      <c r="FE58" s="368">
        <v>8809.83</v>
      </c>
      <c r="FF58" s="368">
        <v>5712.55</v>
      </c>
      <c r="FG58" s="368">
        <v>0</v>
      </c>
      <c r="FH58" s="368">
        <v>-579.97</v>
      </c>
      <c r="FI58" s="368">
        <v>0</v>
      </c>
      <c r="FJ58" s="368">
        <v>0</v>
      </c>
      <c r="FK58" s="368">
        <v>0</v>
      </c>
      <c r="FL58" s="368">
        <v>0</v>
      </c>
      <c r="FM58" s="368">
        <v>60603.56</v>
      </c>
      <c r="FN58" s="368">
        <v>38534.559999999998</v>
      </c>
      <c r="FO58" s="323">
        <v>603865.03</v>
      </c>
      <c r="FP58" s="323">
        <v>225070.51</v>
      </c>
      <c r="FQ58" s="323">
        <v>828935.54</v>
      </c>
      <c r="FR58" s="338">
        <v>72490.149999999994</v>
      </c>
      <c r="FS58" s="338">
        <v>25521.69</v>
      </c>
      <c r="FT58" s="377">
        <v>98011.839999999997</v>
      </c>
      <c r="FU58" s="377">
        <v>700652.12</v>
      </c>
      <c r="FV58" s="377">
        <v>221377.97</v>
      </c>
      <c r="FW58" s="362">
        <v>922030.09</v>
      </c>
      <c r="FX58" s="362">
        <v>650390.88</v>
      </c>
      <c r="FY58" s="362">
        <v>202778.72</v>
      </c>
      <c r="FZ58" s="362">
        <v>853169.6</v>
      </c>
      <c r="GA58" s="362">
        <v>122751.39</v>
      </c>
      <c r="GB58" s="362">
        <v>44120.94</v>
      </c>
      <c r="GC58" s="362">
        <v>166872.32999999999</v>
      </c>
      <c r="GD58" s="362">
        <v>90002.78</v>
      </c>
      <c r="GE58" s="362">
        <v>-11258.31</v>
      </c>
      <c r="GF58" s="362">
        <v>78744.47</v>
      </c>
      <c r="GG58" s="202"/>
      <c r="GH58" s="416">
        <v>0</v>
      </c>
      <c r="GI58" s="414">
        <v>2442.5500000000002</v>
      </c>
      <c r="GJ58" s="419">
        <v>1488</v>
      </c>
      <c r="GK58" s="396"/>
      <c r="GL58" s="202">
        <v>0</v>
      </c>
      <c r="GM58" s="202">
        <v>0</v>
      </c>
      <c r="GN58" s="323">
        <v>96787.09</v>
      </c>
      <c r="GO58" s="323">
        <v>-3692.54</v>
      </c>
      <c r="GP58" s="323">
        <v>93094.55</v>
      </c>
      <c r="GQ58" s="323">
        <v>186789.87</v>
      </c>
      <c r="GR58" s="323">
        <v>-14950.85</v>
      </c>
      <c r="GS58" s="323">
        <v>171839.02</v>
      </c>
    </row>
    <row r="59" spans="1:201" ht="12.75" customHeight="1" x14ac:dyDescent="0.2">
      <c r="A59" s="45" t="s">
        <v>95</v>
      </c>
      <c r="B59" s="51" t="s">
        <v>81</v>
      </c>
      <c r="C59" s="52" t="s">
        <v>19</v>
      </c>
      <c r="D59" s="388" t="s">
        <v>411</v>
      </c>
      <c r="E59" s="52" t="s">
        <v>12</v>
      </c>
      <c r="F59" s="11">
        <v>5</v>
      </c>
      <c r="G59" s="11">
        <v>3</v>
      </c>
      <c r="H59" s="11">
        <v>48</v>
      </c>
      <c r="I59" s="11">
        <v>48</v>
      </c>
      <c r="J59" s="11">
        <v>85</v>
      </c>
      <c r="K59" s="11">
        <v>108</v>
      </c>
      <c r="L59" s="11" t="s">
        <v>746</v>
      </c>
      <c r="M59" s="84">
        <v>36.4</v>
      </c>
      <c r="N59" s="84">
        <v>684.7</v>
      </c>
      <c r="O59" s="84">
        <v>0</v>
      </c>
      <c r="P59" s="135">
        <v>182</v>
      </c>
      <c r="Q59" s="135">
        <v>499.6</v>
      </c>
      <c r="R59" s="133">
        <v>0</v>
      </c>
      <c r="S59" s="133">
        <f t="shared" si="23"/>
        <v>681.6</v>
      </c>
      <c r="T59" s="138">
        <v>184.4</v>
      </c>
      <c r="U59" s="130">
        <v>1.53</v>
      </c>
      <c r="V59" s="91">
        <v>1.1299999999999999E-2</v>
      </c>
      <c r="W59" s="91" t="s">
        <v>823</v>
      </c>
      <c r="X59" s="132" t="s">
        <v>823</v>
      </c>
      <c r="Y59" s="91">
        <v>1.1299999999999999E-2</v>
      </c>
      <c r="Z59" s="29">
        <v>1999.59</v>
      </c>
      <c r="AA59" s="29">
        <v>961.3</v>
      </c>
      <c r="AB59" s="9">
        <f t="shared" si="0"/>
        <v>2960.89</v>
      </c>
      <c r="AC59" s="9">
        <f t="shared" si="28"/>
        <v>18742.43</v>
      </c>
      <c r="AD59" s="9">
        <v>0.31</v>
      </c>
      <c r="AE59" s="9">
        <v>3.35</v>
      </c>
      <c r="AF59" s="21">
        <f>2.43-AJ59</f>
        <v>2.21</v>
      </c>
      <c r="AG59" s="18">
        <f>0.52-AQ59</f>
        <v>0.42</v>
      </c>
      <c r="AH59" s="9">
        <v>2.16</v>
      </c>
      <c r="AI59" s="13">
        <v>657</v>
      </c>
      <c r="AJ59" s="21">
        <f t="shared" si="1"/>
        <v>0.22</v>
      </c>
      <c r="AK59" s="9">
        <v>0</v>
      </c>
      <c r="AL59" s="9">
        <v>0</v>
      </c>
      <c r="AM59" s="9">
        <v>0.2</v>
      </c>
      <c r="AN59" s="13">
        <v>210</v>
      </c>
      <c r="AO59" s="13">
        <v>420</v>
      </c>
      <c r="AP59" s="13">
        <f t="shared" si="24"/>
        <v>5.58</v>
      </c>
      <c r="AQ59" s="18">
        <f t="shared" si="2"/>
        <v>0.1</v>
      </c>
      <c r="AR59" s="9">
        <v>0.63</v>
      </c>
      <c r="AS59" s="9">
        <v>0.46</v>
      </c>
      <c r="AT59" s="9">
        <v>7.0000000000000007E-2</v>
      </c>
      <c r="AU59" s="9">
        <v>4.5999999999999996</v>
      </c>
      <c r="AV59" s="9">
        <v>0.11</v>
      </c>
      <c r="AW59" s="9">
        <f>0.34+0.91+0.4</f>
        <v>1.65</v>
      </c>
      <c r="AX59" s="9">
        <f>1.25+0.54</f>
        <v>1.79</v>
      </c>
      <c r="AY59" s="54">
        <f t="shared" si="25"/>
        <v>18.28</v>
      </c>
      <c r="AZ59" s="13">
        <v>18.28</v>
      </c>
      <c r="BA59" s="13">
        <f t="shared" si="3"/>
        <v>0</v>
      </c>
      <c r="BB59" s="9">
        <f t="shared" si="4"/>
        <v>54125.07</v>
      </c>
      <c r="BC59" s="9">
        <v>18.28</v>
      </c>
      <c r="BD59" s="10">
        <v>44409</v>
      </c>
      <c r="BE59" s="9">
        <f t="shared" si="5"/>
        <v>917.88</v>
      </c>
      <c r="BF59" s="9">
        <f t="shared" si="6"/>
        <v>9918.98</v>
      </c>
      <c r="BG59" s="9">
        <f t="shared" si="7"/>
        <v>6543.57</v>
      </c>
      <c r="BH59" s="9">
        <f t="shared" si="8"/>
        <v>1243.57</v>
      </c>
      <c r="BI59" s="9">
        <f t="shared" si="9"/>
        <v>6395.52</v>
      </c>
      <c r="BJ59" s="9">
        <f t="shared" si="10"/>
        <v>651.4</v>
      </c>
      <c r="BK59" s="9">
        <f t="shared" si="11"/>
        <v>0</v>
      </c>
      <c r="BL59" s="9">
        <f t="shared" si="12"/>
        <v>0</v>
      </c>
      <c r="BM59" s="9">
        <f t="shared" si="13"/>
        <v>592.17999999999995</v>
      </c>
      <c r="BN59" s="9">
        <f t="shared" si="14"/>
        <v>296.08999999999997</v>
      </c>
      <c r="BO59" s="9">
        <f t="shared" si="15"/>
        <v>1865.36</v>
      </c>
      <c r="BP59" s="9">
        <f t="shared" si="16"/>
        <v>1362.01</v>
      </c>
      <c r="BQ59" s="9">
        <f t="shared" si="17"/>
        <v>207.26</v>
      </c>
      <c r="BR59" s="9">
        <f t="shared" si="18"/>
        <v>13620.09</v>
      </c>
      <c r="BS59" s="9">
        <f t="shared" si="19"/>
        <v>325.7</v>
      </c>
      <c r="BT59" s="9">
        <f t="shared" si="20"/>
        <v>4885.47</v>
      </c>
      <c r="BU59" s="9">
        <f t="shared" si="21"/>
        <v>5299.99</v>
      </c>
      <c r="BV59" s="17">
        <f t="shared" si="22"/>
        <v>54125.07</v>
      </c>
      <c r="BW59" s="17">
        <v>1.42</v>
      </c>
      <c r="BX59" s="17">
        <v>0.02</v>
      </c>
      <c r="BY59" s="173">
        <v>0</v>
      </c>
      <c r="BZ59" s="17">
        <v>0.01</v>
      </c>
      <c r="CA59" s="29">
        <v>6.33</v>
      </c>
      <c r="CB59" s="325"/>
      <c r="CC59" s="13">
        <v>210870.72</v>
      </c>
      <c r="CD59" s="13">
        <v>855.53</v>
      </c>
      <c r="CE59" s="13">
        <v>0</v>
      </c>
      <c r="CF59" s="13">
        <v>5479.42</v>
      </c>
      <c r="CG59" s="13">
        <v>2912.74</v>
      </c>
      <c r="CH59" s="13">
        <v>744</v>
      </c>
      <c r="CI59" s="13">
        <v>1232.51</v>
      </c>
      <c r="CJ59" s="13">
        <v>21588</v>
      </c>
      <c r="CK59" s="13">
        <v>1138.72</v>
      </c>
      <c r="CL59" s="13">
        <v>438629.88</v>
      </c>
      <c r="CM59" s="13">
        <v>1779.47</v>
      </c>
      <c r="CN59" s="13">
        <v>0</v>
      </c>
      <c r="CO59" s="13">
        <v>11398.04</v>
      </c>
      <c r="CP59" s="13">
        <v>6059.01</v>
      </c>
      <c r="CQ59" s="13">
        <v>0</v>
      </c>
      <c r="CR59" s="13">
        <v>396952.75</v>
      </c>
      <c r="CS59" s="13">
        <v>2687.58</v>
      </c>
      <c r="CT59" s="13">
        <v>0</v>
      </c>
      <c r="CU59" s="13">
        <v>9907.18</v>
      </c>
      <c r="CV59" s="13">
        <v>5662.97</v>
      </c>
      <c r="CW59" s="13">
        <v>0</v>
      </c>
      <c r="CX59" s="13">
        <v>103304.49</v>
      </c>
      <c r="CY59" s="13">
        <v>-1578.05</v>
      </c>
      <c r="CZ59" s="13">
        <v>0</v>
      </c>
      <c r="DA59" s="13">
        <v>2621.68</v>
      </c>
      <c r="DB59" s="13">
        <v>1398.45</v>
      </c>
      <c r="DC59" s="13"/>
      <c r="DD59" s="315">
        <v>457866.4</v>
      </c>
      <c r="DE59" s="317">
        <v>415210.48</v>
      </c>
      <c r="DF59" s="317">
        <v>90.68</v>
      </c>
      <c r="DG59" s="318">
        <v>105746.57</v>
      </c>
      <c r="DH59" s="310">
        <v>21010.560000000001</v>
      </c>
      <c r="DI59" s="310">
        <v>12016.2</v>
      </c>
      <c r="DJ59" s="312">
        <v>0</v>
      </c>
      <c r="DK59" s="362">
        <v>0</v>
      </c>
      <c r="DL59" s="362"/>
      <c r="DM59" s="362">
        <v>0</v>
      </c>
      <c r="DN59" s="362">
        <v>0</v>
      </c>
      <c r="DO59" s="362">
        <v>0</v>
      </c>
      <c r="DP59" s="362">
        <v>10446.299999999999</v>
      </c>
      <c r="DQ59" s="362">
        <v>30905</v>
      </c>
      <c r="DR59" s="362"/>
      <c r="DS59" s="362">
        <v>7420</v>
      </c>
      <c r="DT59" s="362"/>
      <c r="DU59" s="362">
        <v>0</v>
      </c>
      <c r="DV59" s="362">
        <v>0</v>
      </c>
      <c r="DW59" s="362">
        <v>0</v>
      </c>
      <c r="DX59" s="362">
        <v>0</v>
      </c>
      <c r="DY59" s="362">
        <v>0</v>
      </c>
      <c r="DZ59" s="375">
        <v>0</v>
      </c>
      <c r="EA59" s="362">
        <v>0</v>
      </c>
      <c r="EB59" s="362">
        <v>0</v>
      </c>
      <c r="EC59" s="362"/>
      <c r="ED59" s="362">
        <v>145461.6</v>
      </c>
      <c r="EE59" s="362">
        <v>18700</v>
      </c>
      <c r="EF59" s="362"/>
      <c r="EG59" s="362">
        <v>0</v>
      </c>
      <c r="EH59" s="362">
        <v>0</v>
      </c>
      <c r="EI59" s="362"/>
      <c r="EJ59" s="362">
        <v>0</v>
      </c>
      <c r="EK59" s="362"/>
      <c r="EL59" s="362">
        <v>0</v>
      </c>
      <c r="EM59" s="362">
        <v>3515.4</v>
      </c>
      <c r="EN59" s="362">
        <v>0</v>
      </c>
      <c r="EO59" s="362">
        <v>372</v>
      </c>
      <c r="EP59" s="362">
        <v>159912</v>
      </c>
      <c r="EQ59" s="362">
        <v>0</v>
      </c>
      <c r="ER59" s="362">
        <v>15015</v>
      </c>
      <c r="ES59" s="362">
        <v>6924</v>
      </c>
      <c r="ET59" s="362">
        <v>10143</v>
      </c>
      <c r="EU59" s="362">
        <v>0</v>
      </c>
      <c r="EV59" s="362">
        <v>42972.959999999999</v>
      </c>
      <c r="EW59" s="362"/>
      <c r="EX59" s="202"/>
      <c r="EY59" s="202"/>
      <c r="EZ59" s="229"/>
      <c r="FA59" s="368">
        <v>2643.01</v>
      </c>
      <c r="FB59" s="368">
        <v>0</v>
      </c>
      <c r="FC59" s="368">
        <v>0</v>
      </c>
      <c r="FD59" s="368">
        <v>0</v>
      </c>
      <c r="FE59" s="368">
        <v>11392.89</v>
      </c>
      <c r="FF59" s="368">
        <v>6099.43</v>
      </c>
      <c r="FG59" s="368">
        <v>0</v>
      </c>
      <c r="FH59" s="368">
        <v>-757.54</v>
      </c>
      <c r="FI59" s="368">
        <v>0</v>
      </c>
      <c r="FJ59" s="368">
        <v>0</v>
      </c>
      <c r="FK59" s="368">
        <v>0</v>
      </c>
      <c r="FL59" s="368">
        <v>0</v>
      </c>
      <c r="FM59" s="368">
        <v>79159.56</v>
      </c>
      <c r="FN59" s="368">
        <v>50333.36</v>
      </c>
      <c r="FO59" s="323">
        <v>614306.93999999994</v>
      </c>
      <c r="FP59" s="323">
        <v>19377.79</v>
      </c>
      <c r="FQ59" s="323">
        <v>633684.73</v>
      </c>
      <c r="FR59" s="338">
        <v>109294.39</v>
      </c>
      <c r="FS59" s="338">
        <v>7591.2</v>
      </c>
      <c r="FT59" s="377">
        <v>116885.59</v>
      </c>
      <c r="FU59" s="377">
        <v>672321.11</v>
      </c>
      <c r="FV59" s="377">
        <v>30366.93</v>
      </c>
      <c r="FW59" s="362">
        <v>702688.04</v>
      </c>
      <c r="FX59" s="362">
        <v>379418.4</v>
      </c>
      <c r="FY59" s="362">
        <v>19784.86</v>
      </c>
      <c r="FZ59" s="362">
        <v>399203.26</v>
      </c>
      <c r="GA59" s="362">
        <v>402197.1</v>
      </c>
      <c r="GB59" s="362">
        <v>18173.27</v>
      </c>
      <c r="GC59" s="362">
        <v>420370.37</v>
      </c>
      <c r="GD59" s="362">
        <v>20458.439999999999</v>
      </c>
      <c r="GE59" s="362">
        <v>-3454.55</v>
      </c>
      <c r="GF59" s="362">
        <v>17003.89</v>
      </c>
      <c r="GG59" s="202">
        <v>314623.8</v>
      </c>
      <c r="GH59" s="416">
        <v>95</v>
      </c>
      <c r="GI59" s="414">
        <v>1947</v>
      </c>
      <c r="GJ59" s="419">
        <v>220862.41</v>
      </c>
      <c r="GK59" s="396">
        <v>314623.8</v>
      </c>
      <c r="GL59" s="202">
        <v>298892.61</v>
      </c>
      <c r="GM59" s="202">
        <v>15731.19</v>
      </c>
      <c r="GN59" s="323">
        <v>58014.17</v>
      </c>
      <c r="GO59" s="323">
        <v>10989.14</v>
      </c>
      <c r="GP59" s="323">
        <v>69003.31</v>
      </c>
      <c r="GQ59" s="323">
        <v>78472.61</v>
      </c>
      <c r="GR59" s="323">
        <v>7534.59</v>
      </c>
      <c r="GS59" s="323">
        <v>86007.2</v>
      </c>
    </row>
    <row r="60" spans="1:201" ht="12.75" customHeight="1" x14ac:dyDescent="0.2">
      <c r="A60" s="45" t="s">
        <v>96</v>
      </c>
      <c r="B60" s="51" t="s">
        <v>81</v>
      </c>
      <c r="C60" s="52" t="s">
        <v>23</v>
      </c>
      <c r="D60" s="388" t="s">
        <v>412</v>
      </c>
      <c r="E60" s="52" t="s">
        <v>12</v>
      </c>
      <c r="F60" s="11">
        <v>5</v>
      </c>
      <c r="G60" s="11">
        <v>3</v>
      </c>
      <c r="H60" s="11">
        <v>48</v>
      </c>
      <c r="I60" s="11">
        <v>48</v>
      </c>
      <c r="J60" s="11">
        <v>95</v>
      </c>
      <c r="K60" s="11">
        <v>108</v>
      </c>
      <c r="L60" s="11" t="s">
        <v>746</v>
      </c>
      <c r="M60" s="84">
        <v>38.9</v>
      </c>
      <c r="N60" s="84">
        <v>0</v>
      </c>
      <c r="O60" s="84">
        <v>0</v>
      </c>
      <c r="P60" s="135">
        <v>194.5</v>
      </c>
      <c r="Q60" s="146">
        <v>0</v>
      </c>
      <c r="R60" s="133">
        <v>0</v>
      </c>
      <c r="S60" s="133">
        <f t="shared" si="23"/>
        <v>194.5</v>
      </c>
      <c r="T60" s="134">
        <v>194.5</v>
      </c>
      <c r="U60" s="130">
        <v>1.53</v>
      </c>
      <c r="V60" s="91">
        <v>1.1299999999999999E-2</v>
      </c>
      <c r="W60" s="91" t="s">
        <v>823</v>
      </c>
      <c r="X60" s="132" t="s">
        <v>823</v>
      </c>
      <c r="Y60" s="91">
        <v>1.1299999999999999E-2</v>
      </c>
      <c r="Z60" s="29">
        <v>1993.38</v>
      </c>
      <c r="AA60" s="29">
        <v>503.4</v>
      </c>
      <c r="AB60" s="9">
        <f t="shared" si="0"/>
        <v>2496.7800000000002</v>
      </c>
      <c r="AC60" s="9">
        <f t="shared" si="28"/>
        <v>15804.62</v>
      </c>
      <c r="AD60" s="9">
        <v>0.37</v>
      </c>
      <c r="AE60" s="9">
        <v>3.64</v>
      </c>
      <c r="AF60" s="21">
        <f>2.46-AJ60</f>
        <v>2.2000000000000002</v>
      </c>
      <c r="AG60" s="18">
        <f>0.53-AQ60</f>
        <v>0.41</v>
      </c>
      <c r="AH60" s="9">
        <f>2.16</f>
        <v>2.16</v>
      </c>
      <c r="AI60" s="13">
        <v>650</v>
      </c>
      <c r="AJ60" s="21">
        <f t="shared" si="1"/>
        <v>0.26</v>
      </c>
      <c r="AK60" s="9">
        <v>0</v>
      </c>
      <c r="AL60" s="9">
        <v>0</v>
      </c>
      <c r="AM60" s="9">
        <v>0.23</v>
      </c>
      <c r="AN60" s="13">
        <v>210</v>
      </c>
      <c r="AO60" s="13">
        <v>420</v>
      </c>
      <c r="AP60" s="13">
        <f t="shared" si="24"/>
        <v>5.58</v>
      </c>
      <c r="AQ60" s="18">
        <f t="shared" si="2"/>
        <v>0.12</v>
      </c>
      <c r="AR60" s="9">
        <v>0.75</v>
      </c>
      <c r="AS60" s="9">
        <v>0.55000000000000004</v>
      </c>
      <c r="AT60" s="9">
        <v>0</v>
      </c>
      <c r="AU60" s="9">
        <v>4.6399999999999997</v>
      </c>
      <c r="AV60" s="9">
        <v>0.11</v>
      </c>
      <c r="AW60" s="9">
        <f>0.34+0.96+0.41</f>
        <v>1.71</v>
      </c>
      <c r="AX60" s="9">
        <f>1.32+0.55</f>
        <v>1.87</v>
      </c>
      <c r="AY60" s="54">
        <f t="shared" si="25"/>
        <v>19.02</v>
      </c>
      <c r="AZ60" s="13">
        <v>19.02</v>
      </c>
      <c r="BA60" s="13">
        <f t="shared" si="3"/>
        <v>0</v>
      </c>
      <c r="BB60" s="9">
        <f t="shared" si="4"/>
        <v>47488.76</v>
      </c>
      <c r="BC60" s="9">
        <v>19.02</v>
      </c>
      <c r="BD60" s="10">
        <v>44409</v>
      </c>
      <c r="BE60" s="9">
        <f t="shared" si="5"/>
        <v>923.81</v>
      </c>
      <c r="BF60" s="9">
        <f t="shared" si="6"/>
        <v>9088.2800000000007</v>
      </c>
      <c r="BG60" s="9">
        <f t="shared" si="7"/>
        <v>5492.92</v>
      </c>
      <c r="BH60" s="9">
        <f t="shared" si="8"/>
        <v>1023.68</v>
      </c>
      <c r="BI60" s="9">
        <f t="shared" si="9"/>
        <v>5393.04</v>
      </c>
      <c r="BJ60" s="9">
        <f t="shared" si="10"/>
        <v>649.16</v>
      </c>
      <c r="BK60" s="9">
        <f t="shared" si="11"/>
        <v>0</v>
      </c>
      <c r="BL60" s="9">
        <f t="shared" si="12"/>
        <v>0</v>
      </c>
      <c r="BM60" s="9">
        <f t="shared" si="13"/>
        <v>574.26</v>
      </c>
      <c r="BN60" s="9">
        <f t="shared" si="14"/>
        <v>299.61</v>
      </c>
      <c r="BO60" s="9">
        <f t="shared" si="15"/>
        <v>1872.59</v>
      </c>
      <c r="BP60" s="9">
        <f t="shared" si="16"/>
        <v>1373.23</v>
      </c>
      <c r="BQ60" s="9">
        <f t="shared" si="17"/>
        <v>0</v>
      </c>
      <c r="BR60" s="9">
        <f t="shared" si="18"/>
        <v>11585.06</v>
      </c>
      <c r="BS60" s="9">
        <f t="shared" si="19"/>
        <v>274.64999999999998</v>
      </c>
      <c r="BT60" s="9">
        <f t="shared" si="20"/>
        <v>4269.49</v>
      </c>
      <c r="BU60" s="9">
        <f t="shared" si="21"/>
        <v>4668.9799999999996</v>
      </c>
      <c r="BV60" s="17">
        <f t="shared" si="22"/>
        <v>47488.76</v>
      </c>
      <c r="BW60" s="17">
        <v>0.48</v>
      </c>
      <c r="BX60" s="17">
        <v>0.02</v>
      </c>
      <c r="BY60" s="173">
        <v>0</v>
      </c>
      <c r="BZ60" s="17">
        <v>0.01</v>
      </c>
      <c r="CA60" s="29">
        <v>6.33</v>
      </c>
      <c r="CB60" s="325"/>
      <c r="CC60" s="13">
        <v>114896.04</v>
      </c>
      <c r="CD60" s="13">
        <v>568.87</v>
      </c>
      <c r="CE60" s="13">
        <v>0</v>
      </c>
      <c r="CF60" s="13">
        <v>2209.92</v>
      </c>
      <c r="CG60" s="13">
        <v>1162.8399999999999</v>
      </c>
      <c r="CH60" s="13">
        <v>744</v>
      </c>
      <c r="CI60" s="13">
        <v>1821.43</v>
      </c>
      <c r="CJ60" s="13">
        <v>21588</v>
      </c>
      <c r="CK60" s="13">
        <v>960.23</v>
      </c>
      <c r="CL60" s="13">
        <v>454969.2</v>
      </c>
      <c r="CM60" s="13">
        <v>2234.44</v>
      </c>
      <c r="CN60" s="13">
        <v>0</v>
      </c>
      <c r="CO60" s="13">
        <v>8710.15</v>
      </c>
      <c r="CP60" s="13">
        <v>4584.01</v>
      </c>
      <c r="CQ60" s="13">
        <v>0</v>
      </c>
      <c r="CR60" s="13">
        <v>431192.46</v>
      </c>
      <c r="CS60" s="13">
        <v>2423.54</v>
      </c>
      <c r="CT60" s="13">
        <v>0</v>
      </c>
      <c r="CU60" s="13">
        <v>14398.21</v>
      </c>
      <c r="CV60" s="13">
        <v>7532.85</v>
      </c>
      <c r="CW60" s="13">
        <v>0</v>
      </c>
      <c r="CX60" s="13">
        <v>57072.24</v>
      </c>
      <c r="CY60" s="13">
        <v>-457.19</v>
      </c>
      <c r="CZ60" s="13">
        <v>0</v>
      </c>
      <c r="DA60" s="13">
        <v>1178.75</v>
      </c>
      <c r="DB60" s="13">
        <v>617.32000000000005</v>
      </c>
      <c r="DC60" s="13"/>
      <c r="DD60" s="315">
        <v>470497.8</v>
      </c>
      <c r="DE60" s="317">
        <v>455547.06</v>
      </c>
      <c r="DF60" s="317">
        <v>96.82</v>
      </c>
      <c r="DG60" s="318">
        <v>58411.12</v>
      </c>
      <c r="DH60" s="310">
        <v>20945.28</v>
      </c>
      <c r="DI60" s="310">
        <v>11978.88</v>
      </c>
      <c r="DJ60" s="312">
        <v>0</v>
      </c>
      <c r="DK60" s="362">
        <v>0</v>
      </c>
      <c r="DL60" s="362"/>
      <c r="DM60" s="362">
        <v>0</v>
      </c>
      <c r="DN60" s="362">
        <v>0</v>
      </c>
      <c r="DO60" s="362">
        <v>0</v>
      </c>
      <c r="DP60" s="362">
        <v>10335</v>
      </c>
      <c r="DQ60" s="362">
        <v>31062.5</v>
      </c>
      <c r="DR60" s="362"/>
      <c r="DS60" s="362">
        <v>11660</v>
      </c>
      <c r="DT60" s="362"/>
      <c r="DU60" s="362">
        <v>0</v>
      </c>
      <c r="DV60" s="362">
        <v>0</v>
      </c>
      <c r="DW60" s="362">
        <v>0</v>
      </c>
      <c r="DX60" s="362">
        <v>0</v>
      </c>
      <c r="DY60" s="362">
        <v>0</v>
      </c>
      <c r="DZ60" s="375">
        <v>0</v>
      </c>
      <c r="EA60" s="362">
        <v>0</v>
      </c>
      <c r="EB60" s="362">
        <v>0</v>
      </c>
      <c r="EC60" s="362"/>
      <c r="ED60" s="362">
        <v>131719.01999999999</v>
      </c>
      <c r="EE60" s="362">
        <v>14178</v>
      </c>
      <c r="EF60" s="362"/>
      <c r="EG60" s="362">
        <v>0</v>
      </c>
      <c r="EH60" s="362">
        <v>0</v>
      </c>
      <c r="EI60" s="362"/>
      <c r="EJ60" s="362">
        <v>0</v>
      </c>
      <c r="EK60" s="362"/>
      <c r="EL60" s="362">
        <v>0</v>
      </c>
      <c r="EM60" s="362">
        <v>3515.4</v>
      </c>
      <c r="EN60" s="362">
        <v>0</v>
      </c>
      <c r="EO60" s="362">
        <v>372</v>
      </c>
      <c r="EP60" s="362">
        <v>134538</v>
      </c>
      <c r="EQ60" s="362">
        <v>0</v>
      </c>
      <c r="ER60" s="362">
        <v>15015</v>
      </c>
      <c r="ES60" s="362">
        <v>6924</v>
      </c>
      <c r="ET60" s="362">
        <v>10143</v>
      </c>
      <c r="EU60" s="362">
        <v>0</v>
      </c>
      <c r="EV60" s="362">
        <v>0</v>
      </c>
      <c r="EW60" s="362"/>
      <c r="EX60" s="202"/>
      <c r="EY60" s="202"/>
      <c r="EZ60" s="229"/>
      <c r="FA60" s="368">
        <v>2824.81</v>
      </c>
      <c r="FB60" s="368">
        <v>0</v>
      </c>
      <c r="FC60" s="368">
        <v>0</v>
      </c>
      <c r="FD60" s="368">
        <v>0</v>
      </c>
      <c r="FE60" s="368">
        <v>7903.21</v>
      </c>
      <c r="FF60" s="368">
        <v>4143.96</v>
      </c>
      <c r="FG60" s="368">
        <v>-2540.2600000000002</v>
      </c>
      <c r="FH60" s="368">
        <v>-1968.71</v>
      </c>
      <c r="FI60" s="368">
        <v>0</v>
      </c>
      <c r="FJ60" s="368">
        <v>0</v>
      </c>
      <c r="FK60" s="368">
        <v>0</v>
      </c>
      <c r="FL60" s="368">
        <v>0</v>
      </c>
      <c r="FM60" s="368">
        <v>66751.56</v>
      </c>
      <c r="FN60" s="368">
        <v>42443.77</v>
      </c>
      <c r="FO60" s="323">
        <v>511581.41</v>
      </c>
      <c r="FP60" s="323">
        <v>10363.01</v>
      </c>
      <c r="FQ60" s="323">
        <v>521944.42</v>
      </c>
      <c r="FR60" s="338">
        <v>66057.13</v>
      </c>
      <c r="FS60" s="338">
        <v>11755.9</v>
      </c>
      <c r="FT60" s="377">
        <v>77813.03</v>
      </c>
      <c r="FU60" s="377">
        <v>593274.67000000004</v>
      </c>
      <c r="FV60" s="377">
        <v>21174.46</v>
      </c>
      <c r="FW60" s="362">
        <v>614449.13</v>
      </c>
      <c r="FX60" s="362">
        <v>556257.65</v>
      </c>
      <c r="FY60" s="362">
        <v>29674.73</v>
      </c>
      <c r="FZ60" s="362">
        <v>585932.38</v>
      </c>
      <c r="GA60" s="362">
        <v>103074.15</v>
      </c>
      <c r="GB60" s="362">
        <v>3255.63</v>
      </c>
      <c r="GC60" s="362">
        <v>106329.78</v>
      </c>
      <c r="GD60" s="362">
        <v>21871.08</v>
      </c>
      <c r="GE60" s="362">
        <v>-7599.28</v>
      </c>
      <c r="GF60" s="362">
        <v>14271.8</v>
      </c>
      <c r="GG60" s="202">
        <v>47918.66</v>
      </c>
      <c r="GH60" s="416">
        <v>96</v>
      </c>
      <c r="GI60" s="414">
        <v>1947</v>
      </c>
      <c r="GJ60" s="419">
        <v>119581.67</v>
      </c>
      <c r="GK60" s="396">
        <v>47918.66</v>
      </c>
      <c r="GL60" s="202">
        <v>46001.9136</v>
      </c>
      <c r="GM60" s="202">
        <v>1916.7464</v>
      </c>
      <c r="GN60" s="323">
        <v>81693.259999999995</v>
      </c>
      <c r="GO60" s="323">
        <v>10811.45</v>
      </c>
      <c r="GP60" s="323">
        <v>92504.71</v>
      </c>
      <c r="GQ60" s="323">
        <v>103564.34</v>
      </c>
      <c r="GR60" s="323">
        <v>3212.17</v>
      </c>
      <c r="GS60" s="323">
        <v>106776.51</v>
      </c>
    </row>
    <row r="61" spans="1:201" ht="12.75" customHeight="1" x14ac:dyDescent="0.2">
      <c r="A61" s="45" t="s">
        <v>98</v>
      </c>
      <c r="B61" s="48" t="s">
        <v>81</v>
      </c>
      <c r="C61" s="49" t="s">
        <v>23</v>
      </c>
      <c r="D61" s="388" t="s">
        <v>551</v>
      </c>
      <c r="E61" s="49" t="s">
        <v>9</v>
      </c>
      <c r="F61" s="11">
        <v>10</v>
      </c>
      <c r="G61" s="11">
        <v>1</v>
      </c>
      <c r="H61" s="11">
        <v>159</v>
      </c>
      <c r="I61" s="11">
        <v>160</v>
      </c>
      <c r="J61" s="11">
        <v>223</v>
      </c>
      <c r="K61" s="11">
        <v>237</v>
      </c>
      <c r="L61" s="11">
        <v>1</v>
      </c>
      <c r="M61" s="84">
        <v>37.4</v>
      </c>
      <c r="N61" s="84">
        <v>896</v>
      </c>
      <c r="O61" s="84">
        <v>0</v>
      </c>
      <c r="P61" s="135">
        <f>222.6+840.2</f>
        <v>1062.8</v>
      </c>
      <c r="Q61" s="135">
        <v>540.70000000000005</v>
      </c>
      <c r="R61" s="133">
        <v>0</v>
      </c>
      <c r="S61" s="133">
        <f t="shared" si="23"/>
        <v>1603.5</v>
      </c>
      <c r="T61" s="134">
        <v>1062.8</v>
      </c>
      <c r="U61" s="130">
        <v>2.74</v>
      </c>
      <c r="V61" s="91">
        <v>1.1299999999999999E-2</v>
      </c>
      <c r="W61" s="91">
        <v>1.1299999999999999E-2</v>
      </c>
      <c r="X61" s="132">
        <v>7.5000000000000002E-4</v>
      </c>
      <c r="Y61" s="91">
        <v>2.2499999999999999E-2</v>
      </c>
      <c r="Z61" s="29">
        <v>5576.85</v>
      </c>
      <c r="AA61" s="29"/>
      <c r="AB61" s="9">
        <f t="shared" si="0"/>
        <v>5576.85</v>
      </c>
      <c r="AC61" s="9">
        <f t="shared" si="28"/>
        <v>35301.46</v>
      </c>
      <c r="AD61" s="9">
        <v>2.2999999999999998</v>
      </c>
      <c r="AE61" s="9">
        <v>3.07</v>
      </c>
      <c r="AF61" s="21">
        <f>2.45-AJ61</f>
        <v>2.2999999999999998</v>
      </c>
      <c r="AG61" s="18">
        <f>0.62-AQ61</f>
        <v>0.54</v>
      </c>
      <c r="AH61" s="9">
        <v>2.4700000000000002</v>
      </c>
      <c r="AI61" s="13">
        <v>861</v>
      </c>
      <c r="AJ61" s="21">
        <f t="shared" si="1"/>
        <v>0.15</v>
      </c>
      <c r="AK61" s="9">
        <v>0.78</v>
      </c>
      <c r="AL61" s="9">
        <v>7.0000000000000007E-2</v>
      </c>
      <c r="AM61" s="9">
        <v>0.1</v>
      </c>
      <c r="AN61" s="13"/>
      <c r="AO61" s="13">
        <v>944</v>
      </c>
      <c r="AP61" s="13">
        <f t="shared" si="24"/>
        <v>5.58</v>
      </c>
      <c r="AQ61" s="18">
        <f t="shared" si="2"/>
        <v>0.08</v>
      </c>
      <c r="AR61" s="9">
        <v>0.85</v>
      </c>
      <c r="AS61" s="9">
        <v>0.25</v>
      </c>
      <c r="AT61" s="9">
        <v>7.0000000000000007E-2</v>
      </c>
      <c r="AU61" s="9">
        <v>4.95</v>
      </c>
      <c r="AV61" s="9">
        <v>0.14000000000000001</v>
      </c>
      <c r="AW61" s="9">
        <f>0.4+1.17+0.43</f>
        <v>2</v>
      </c>
      <c r="AX61" s="9">
        <f>1.62+0.58</f>
        <v>2.2000000000000002</v>
      </c>
      <c r="AY61" s="46">
        <f t="shared" si="25"/>
        <v>22.32</v>
      </c>
      <c r="AZ61" s="13">
        <v>22.32</v>
      </c>
      <c r="BA61" s="13">
        <f t="shared" si="3"/>
        <v>0</v>
      </c>
      <c r="BB61" s="9">
        <f t="shared" si="4"/>
        <v>124475.29</v>
      </c>
      <c r="BC61" s="9">
        <v>22.32</v>
      </c>
      <c r="BD61" s="10">
        <v>44378</v>
      </c>
      <c r="BE61" s="9">
        <f t="shared" si="5"/>
        <v>12826.76</v>
      </c>
      <c r="BF61" s="9">
        <f t="shared" si="6"/>
        <v>17120.93</v>
      </c>
      <c r="BG61" s="9">
        <f t="shared" si="7"/>
        <v>12826.76</v>
      </c>
      <c r="BH61" s="9">
        <f t="shared" si="8"/>
        <v>3011.5</v>
      </c>
      <c r="BI61" s="9">
        <f t="shared" si="9"/>
        <v>13774.82</v>
      </c>
      <c r="BJ61" s="9">
        <f t="shared" si="10"/>
        <v>836.53</v>
      </c>
      <c r="BK61" s="9">
        <f t="shared" si="11"/>
        <v>4349.9399999999996</v>
      </c>
      <c r="BL61" s="9">
        <f t="shared" si="12"/>
        <v>390.38</v>
      </c>
      <c r="BM61" s="9">
        <f t="shared" si="13"/>
        <v>557.69000000000005</v>
      </c>
      <c r="BN61" s="9">
        <f t="shared" si="14"/>
        <v>446.15</v>
      </c>
      <c r="BO61" s="9">
        <f t="shared" si="15"/>
        <v>4740.32</v>
      </c>
      <c r="BP61" s="9">
        <f t="shared" si="16"/>
        <v>1394.21</v>
      </c>
      <c r="BQ61" s="9">
        <f t="shared" si="17"/>
        <v>390.38</v>
      </c>
      <c r="BR61" s="9">
        <f t="shared" si="18"/>
        <v>27605.41</v>
      </c>
      <c r="BS61" s="9">
        <f t="shared" si="19"/>
        <v>780.76</v>
      </c>
      <c r="BT61" s="9">
        <f t="shared" si="20"/>
        <v>11153.7</v>
      </c>
      <c r="BU61" s="9">
        <f t="shared" si="21"/>
        <v>12269.07</v>
      </c>
      <c r="BV61" s="17">
        <f t="shared" si="22"/>
        <v>124475.31</v>
      </c>
      <c r="BW61" s="17">
        <v>4.9400000000000004</v>
      </c>
      <c r="BX61" s="17">
        <v>0.06</v>
      </c>
      <c r="BY61" s="17">
        <v>0.36</v>
      </c>
      <c r="BZ61" s="17">
        <v>7.0000000000000007E-2</v>
      </c>
      <c r="CA61" s="29">
        <v>6.33</v>
      </c>
      <c r="CB61" s="325"/>
      <c r="CC61" s="13">
        <v>0</v>
      </c>
      <c r="CD61" s="13">
        <v>0</v>
      </c>
      <c r="CE61" s="13">
        <v>0</v>
      </c>
      <c r="CF61" s="13">
        <v>0</v>
      </c>
      <c r="CG61" s="13">
        <v>0</v>
      </c>
      <c r="CH61" s="13">
        <v>1488</v>
      </c>
      <c r="CI61" s="13">
        <v>7789.78</v>
      </c>
      <c r="CJ61" s="13">
        <v>25188</v>
      </c>
      <c r="CK61" s="13">
        <v>2144.4</v>
      </c>
      <c r="CL61" s="13">
        <v>1493174.85</v>
      </c>
      <c r="CM61" s="13">
        <v>453809.81</v>
      </c>
      <c r="CN61" s="13">
        <v>122675.67</v>
      </c>
      <c r="CO61" s="13">
        <v>-1226.97</v>
      </c>
      <c r="CP61" s="13">
        <v>1393.76</v>
      </c>
      <c r="CQ61" s="13">
        <v>0</v>
      </c>
      <c r="CR61" s="13">
        <v>1401493.99</v>
      </c>
      <c r="CS61" s="13">
        <v>402778.15</v>
      </c>
      <c r="CT61" s="13">
        <v>107607.59</v>
      </c>
      <c r="CU61" s="13">
        <v>726.62</v>
      </c>
      <c r="CV61" s="13">
        <v>2005.95</v>
      </c>
      <c r="CW61" s="13">
        <v>0</v>
      </c>
      <c r="CX61" s="13">
        <v>268328.05</v>
      </c>
      <c r="CY61" s="13">
        <v>101035.62</v>
      </c>
      <c r="CZ61" s="13">
        <v>17407.919999999998</v>
      </c>
      <c r="DA61" s="13">
        <v>-2512.9299999999998</v>
      </c>
      <c r="DB61" s="13">
        <v>-865.16</v>
      </c>
      <c r="DC61" s="13"/>
      <c r="DD61" s="315">
        <v>2069827.12</v>
      </c>
      <c r="DE61" s="317">
        <v>1914612.3</v>
      </c>
      <c r="DF61" s="317">
        <v>92.5</v>
      </c>
      <c r="DG61" s="318">
        <v>383393.5</v>
      </c>
      <c r="DH61" s="310">
        <v>58586.76</v>
      </c>
      <c r="DI61" s="310">
        <v>33506.400000000001</v>
      </c>
      <c r="DJ61" s="312">
        <v>0</v>
      </c>
      <c r="DK61" s="362">
        <v>0</v>
      </c>
      <c r="DL61" s="362"/>
      <c r="DM61" s="362">
        <v>0</v>
      </c>
      <c r="DN61" s="362">
        <v>0</v>
      </c>
      <c r="DO61" s="362">
        <v>0</v>
      </c>
      <c r="DP61" s="362">
        <v>13689.9</v>
      </c>
      <c r="DQ61" s="362">
        <v>0</v>
      </c>
      <c r="DR61" s="362"/>
      <c r="DS61" s="362">
        <v>0</v>
      </c>
      <c r="DT61" s="362"/>
      <c r="DU61" s="362">
        <v>0</v>
      </c>
      <c r="DV61" s="362">
        <v>0</v>
      </c>
      <c r="DW61" s="362">
        <v>0</v>
      </c>
      <c r="DX61" s="362">
        <v>51322.58</v>
      </c>
      <c r="DY61" s="362">
        <v>14000</v>
      </c>
      <c r="DZ61" s="375">
        <v>0</v>
      </c>
      <c r="EA61" s="362">
        <v>0</v>
      </c>
      <c r="EB61" s="362">
        <v>0</v>
      </c>
      <c r="EC61" s="362"/>
      <c r="ED61" s="362">
        <v>396736.98</v>
      </c>
      <c r="EE61" s="362">
        <v>14178</v>
      </c>
      <c r="EF61" s="362"/>
      <c r="EG61" s="362">
        <v>0</v>
      </c>
      <c r="EH61" s="362">
        <v>0</v>
      </c>
      <c r="EI61" s="362"/>
      <c r="EJ61" s="362">
        <v>0</v>
      </c>
      <c r="EK61" s="362"/>
      <c r="EL61" s="362">
        <v>0</v>
      </c>
      <c r="EM61" s="362">
        <v>5267.52</v>
      </c>
      <c r="EN61" s="362">
        <v>0</v>
      </c>
      <c r="EO61" s="362">
        <v>744</v>
      </c>
      <c r="EP61" s="362">
        <v>331944</v>
      </c>
      <c r="EQ61" s="362">
        <v>0</v>
      </c>
      <c r="ER61" s="362">
        <v>10920</v>
      </c>
      <c r="ES61" s="362">
        <v>6924</v>
      </c>
      <c r="ET61" s="362">
        <v>18400</v>
      </c>
      <c r="EU61" s="362">
        <v>0</v>
      </c>
      <c r="EV61" s="362">
        <v>59486.57</v>
      </c>
      <c r="EW61" s="362"/>
      <c r="EX61" s="202"/>
      <c r="EY61" s="202"/>
      <c r="EZ61" s="229"/>
      <c r="FA61" s="368">
        <v>496215.7</v>
      </c>
      <c r="FB61" s="368">
        <v>92051.81</v>
      </c>
      <c r="FC61" s="368">
        <v>0</v>
      </c>
      <c r="FD61" s="368">
        <v>0</v>
      </c>
      <c r="FE61" s="368">
        <v>1191.96</v>
      </c>
      <c r="FF61" s="368">
        <v>2795.82</v>
      </c>
      <c r="FG61" s="368">
        <v>-2405.14</v>
      </c>
      <c r="FH61" s="368">
        <v>-2758.81</v>
      </c>
      <c r="FI61" s="368">
        <v>0</v>
      </c>
      <c r="FJ61" s="368">
        <v>0</v>
      </c>
      <c r="FK61" s="368">
        <v>0</v>
      </c>
      <c r="FL61" s="368">
        <v>0</v>
      </c>
      <c r="FM61" s="368">
        <v>149082.43</v>
      </c>
      <c r="FN61" s="368">
        <v>94793.37</v>
      </c>
      <c r="FO61" s="323">
        <v>1259582.51</v>
      </c>
      <c r="FP61" s="323">
        <v>587091.34</v>
      </c>
      <c r="FQ61" s="323">
        <v>1846673.85</v>
      </c>
      <c r="FR61" s="338">
        <v>146761.32999999999</v>
      </c>
      <c r="FS61" s="338">
        <v>53509.67</v>
      </c>
      <c r="FT61" s="377">
        <v>200271</v>
      </c>
      <c r="FU61" s="377">
        <v>1526152.63</v>
      </c>
      <c r="FV61" s="377">
        <v>580284.67000000004</v>
      </c>
      <c r="FW61" s="362">
        <v>2106437.2999999998</v>
      </c>
      <c r="FX61" s="362">
        <v>1404585.91</v>
      </c>
      <c r="FY61" s="362">
        <v>518728.89</v>
      </c>
      <c r="FZ61" s="362">
        <v>1923314.8</v>
      </c>
      <c r="GA61" s="362">
        <v>268328.05</v>
      </c>
      <c r="GB61" s="362">
        <v>115065.45</v>
      </c>
      <c r="GC61" s="362">
        <v>383393.5</v>
      </c>
      <c r="GD61" s="362">
        <v>205861.05</v>
      </c>
      <c r="GE61" s="362">
        <v>-38026.17</v>
      </c>
      <c r="GF61" s="362">
        <v>167834.88</v>
      </c>
      <c r="GG61" s="202"/>
      <c r="GH61" s="416">
        <v>0</v>
      </c>
      <c r="GI61" s="414">
        <v>1947</v>
      </c>
      <c r="GJ61" s="419">
        <v>1488</v>
      </c>
      <c r="GK61" s="396"/>
      <c r="GL61" s="202">
        <v>0</v>
      </c>
      <c r="GM61" s="202">
        <v>0</v>
      </c>
      <c r="GN61" s="323">
        <v>266570.12</v>
      </c>
      <c r="GO61" s="323">
        <v>-6806.67</v>
      </c>
      <c r="GP61" s="323">
        <v>259763.45</v>
      </c>
      <c r="GQ61" s="323">
        <v>472431.17</v>
      </c>
      <c r="GR61" s="323">
        <v>-44832.84</v>
      </c>
      <c r="GS61" s="323">
        <v>427598.33</v>
      </c>
    </row>
    <row r="62" spans="1:201" x14ac:dyDescent="0.2">
      <c r="A62" s="45" t="s">
        <v>99</v>
      </c>
      <c r="B62" s="51" t="s">
        <v>81</v>
      </c>
      <c r="C62" s="52" t="s">
        <v>25</v>
      </c>
      <c r="D62" s="388" t="s">
        <v>413</v>
      </c>
      <c r="E62" s="52" t="s">
        <v>12</v>
      </c>
      <c r="F62" s="11">
        <v>5</v>
      </c>
      <c r="G62" s="11">
        <v>3</v>
      </c>
      <c r="H62" s="11">
        <v>48</v>
      </c>
      <c r="I62" s="11">
        <v>48</v>
      </c>
      <c r="J62" s="11">
        <v>85</v>
      </c>
      <c r="K62" s="11">
        <v>118</v>
      </c>
      <c r="L62" s="11" t="s">
        <v>746</v>
      </c>
      <c r="M62" s="84">
        <v>37.4</v>
      </c>
      <c r="N62" s="84">
        <v>688.6</v>
      </c>
      <c r="O62" s="84">
        <v>0</v>
      </c>
      <c r="P62" s="135">
        <v>186</v>
      </c>
      <c r="Q62" s="135">
        <v>170.9</v>
      </c>
      <c r="R62" s="133">
        <v>0</v>
      </c>
      <c r="S62" s="133">
        <f t="shared" si="23"/>
        <v>356.9</v>
      </c>
      <c r="T62" s="138">
        <v>184.4</v>
      </c>
      <c r="U62" s="130">
        <v>1.53</v>
      </c>
      <c r="V62" s="91">
        <v>1.1299999999999999E-2</v>
      </c>
      <c r="W62" s="91" t="s">
        <v>823</v>
      </c>
      <c r="X62" s="132" t="s">
        <v>823</v>
      </c>
      <c r="Y62" s="91">
        <v>1.1299999999999999E-2</v>
      </c>
      <c r="Z62" s="29">
        <v>2046.15</v>
      </c>
      <c r="AA62" s="29">
        <v>628.9</v>
      </c>
      <c r="AB62" s="9">
        <f t="shared" si="0"/>
        <v>2675.05</v>
      </c>
      <c r="AC62" s="9">
        <f t="shared" si="28"/>
        <v>16933.07</v>
      </c>
      <c r="AD62" s="9">
        <v>0.28000000000000003</v>
      </c>
      <c r="AE62" s="9">
        <v>3.61</v>
      </c>
      <c r="AF62" s="21">
        <f>2.45-AJ62</f>
        <v>2.2000000000000002</v>
      </c>
      <c r="AG62" s="18">
        <f>0.53-AQ62</f>
        <v>0.42</v>
      </c>
      <c r="AH62" s="9">
        <v>2.15</v>
      </c>
      <c r="AI62" s="13">
        <v>661</v>
      </c>
      <c r="AJ62" s="21">
        <f t="shared" si="1"/>
        <v>0.25</v>
      </c>
      <c r="AK62" s="9">
        <v>0</v>
      </c>
      <c r="AL62" s="9">
        <v>0</v>
      </c>
      <c r="AM62" s="9">
        <v>0.21</v>
      </c>
      <c r="AN62" s="13">
        <v>210</v>
      </c>
      <c r="AO62" s="13">
        <v>420</v>
      </c>
      <c r="AP62" s="13">
        <f t="shared" si="24"/>
        <v>5.58</v>
      </c>
      <c r="AQ62" s="18">
        <f t="shared" si="2"/>
        <v>0.11</v>
      </c>
      <c r="AR62" s="9">
        <v>0.7</v>
      </c>
      <c r="AS62" s="9">
        <v>0.51</v>
      </c>
      <c r="AT62" s="9">
        <v>7.0000000000000007E-2</v>
      </c>
      <c r="AU62" s="9">
        <v>4.59</v>
      </c>
      <c r="AV62" s="9">
        <v>0.11</v>
      </c>
      <c r="AW62" s="9">
        <f>0.32+0.94+0.42</f>
        <v>1.68</v>
      </c>
      <c r="AX62" s="9">
        <f>1.3+0.54</f>
        <v>1.84</v>
      </c>
      <c r="AY62" s="54">
        <f t="shared" si="25"/>
        <v>18.73</v>
      </c>
      <c r="AZ62" s="13">
        <v>18.73</v>
      </c>
      <c r="BA62" s="13">
        <f t="shared" si="3"/>
        <v>0</v>
      </c>
      <c r="BB62" s="9">
        <f t="shared" si="4"/>
        <v>50103.69</v>
      </c>
      <c r="BC62" s="9">
        <v>18.73</v>
      </c>
      <c r="BD62" s="10">
        <v>44409</v>
      </c>
      <c r="BE62" s="9">
        <f t="shared" si="5"/>
        <v>749.01</v>
      </c>
      <c r="BF62" s="9">
        <f t="shared" si="6"/>
        <v>9656.93</v>
      </c>
      <c r="BG62" s="9">
        <f t="shared" si="7"/>
        <v>5885.11</v>
      </c>
      <c r="BH62" s="9">
        <f t="shared" si="8"/>
        <v>1123.52</v>
      </c>
      <c r="BI62" s="9">
        <f t="shared" si="9"/>
        <v>5751.36</v>
      </c>
      <c r="BJ62" s="9">
        <f t="shared" si="10"/>
        <v>668.76</v>
      </c>
      <c r="BK62" s="9">
        <f t="shared" si="11"/>
        <v>0</v>
      </c>
      <c r="BL62" s="9">
        <f t="shared" si="12"/>
        <v>0</v>
      </c>
      <c r="BM62" s="9">
        <f t="shared" si="13"/>
        <v>561.76</v>
      </c>
      <c r="BN62" s="9">
        <f t="shared" si="14"/>
        <v>294.26</v>
      </c>
      <c r="BO62" s="9">
        <f t="shared" si="15"/>
        <v>1872.54</v>
      </c>
      <c r="BP62" s="9">
        <f t="shared" si="16"/>
        <v>1364.28</v>
      </c>
      <c r="BQ62" s="9">
        <f t="shared" si="17"/>
        <v>187.25</v>
      </c>
      <c r="BR62" s="9">
        <f t="shared" si="18"/>
        <v>12278.48</v>
      </c>
      <c r="BS62" s="9">
        <f t="shared" si="19"/>
        <v>294.26</v>
      </c>
      <c r="BT62" s="9">
        <f t="shared" si="20"/>
        <v>4494.08</v>
      </c>
      <c r="BU62" s="9">
        <f t="shared" si="21"/>
        <v>4922.09</v>
      </c>
      <c r="BV62" s="17">
        <f t="shared" si="22"/>
        <v>50103.69</v>
      </c>
      <c r="BW62" s="17">
        <v>1.64</v>
      </c>
      <c r="BX62" s="17">
        <v>0.02</v>
      </c>
      <c r="BY62" s="173">
        <v>0</v>
      </c>
      <c r="BZ62" s="17">
        <v>0.01</v>
      </c>
      <c r="CA62" s="29">
        <v>6.33</v>
      </c>
      <c r="CB62" s="325"/>
      <c r="CC62" s="13">
        <v>141351.48000000001</v>
      </c>
      <c r="CD62" s="13">
        <v>635.16999999999996</v>
      </c>
      <c r="CE62" s="13">
        <v>0</v>
      </c>
      <c r="CF62" s="13">
        <v>1723.14</v>
      </c>
      <c r="CG62" s="13">
        <v>893.04</v>
      </c>
      <c r="CH62" s="13">
        <v>2232</v>
      </c>
      <c r="CI62" s="13">
        <v>1436.97</v>
      </c>
      <c r="CJ62" s="13">
        <v>21588</v>
      </c>
      <c r="CK62" s="13">
        <v>1028.8</v>
      </c>
      <c r="CL62" s="13">
        <v>459892.8</v>
      </c>
      <c r="CM62" s="13">
        <v>2066.77</v>
      </c>
      <c r="CN62" s="13">
        <v>0</v>
      </c>
      <c r="CO62" s="13">
        <v>5606.39</v>
      </c>
      <c r="CP62" s="13">
        <v>2905.65</v>
      </c>
      <c r="CQ62" s="13">
        <v>0</v>
      </c>
      <c r="CR62" s="13">
        <v>404050.81</v>
      </c>
      <c r="CS62" s="13">
        <v>3099.39</v>
      </c>
      <c r="CT62" s="13">
        <v>0</v>
      </c>
      <c r="CU62" s="13">
        <v>9232.44</v>
      </c>
      <c r="CV62" s="13">
        <v>4754.72</v>
      </c>
      <c r="CW62" s="13">
        <v>0</v>
      </c>
      <c r="CX62" s="13">
        <v>101977.05</v>
      </c>
      <c r="CY62" s="13">
        <v>-2177.5300000000002</v>
      </c>
      <c r="CZ62" s="13">
        <v>0</v>
      </c>
      <c r="DA62" s="13">
        <v>2472.1999999999998</v>
      </c>
      <c r="DB62" s="13">
        <v>1278.72</v>
      </c>
      <c r="DC62" s="13"/>
      <c r="DD62" s="315">
        <v>470471.61</v>
      </c>
      <c r="DE62" s="317">
        <v>421137.36</v>
      </c>
      <c r="DF62" s="317">
        <v>89.51</v>
      </c>
      <c r="DG62" s="318">
        <v>103550.44</v>
      </c>
      <c r="DH62" s="310">
        <v>21499.8</v>
      </c>
      <c r="DI62" s="310">
        <v>12295.92</v>
      </c>
      <c r="DJ62" s="312">
        <v>0</v>
      </c>
      <c r="DK62" s="362">
        <v>0</v>
      </c>
      <c r="DL62" s="362"/>
      <c r="DM62" s="362">
        <v>0</v>
      </c>
      <c r="DN62" s="362">
        <v>0</v>
      </c>
      <c r="DO62" s="362">
        <v>0</v>
      </c>
      <c r="DP62" s="362">
        <v>10509.9</v>
      </c>
      <c r="DQ62" s="362">
        <v>30100</v>
      </c>
      <c r="DR62" s="362"/>
      <c r="DS62" s="362">
        <v>7420</v>
      </c>
      <c r="DT62" s="362"/>
      <c r="DU62" s="362">
        <v>0</v>
      </c>
      <c r="DV62" s="362">
        <v>0</v>
      </c>
      <c r="DW62" s="362">
        <v>0</v>
      </c>
      <c r="DX62" s="362">
        <v>0</v>
      </c>
      <c r="DY62" s="362">
        <v>0</v>
      </c>
      <c r="DZ62" s="375">
        <v>0</v>
      </c>
      <c r="EA62" s="362">
        <v>0</v>
      </c>
      <c r="EB62" s="362">
        <v>0</v>
      </c>
      <c r="EC62" s="362"/>
      <c r="ED62" s="362">
        <v>139727.57999999999</v>
      </c>
      <c r="EE62" s="362">
        <v>14178</v>
      </c>
      <c r="EF62" s="362"/>
      <c r="EG62" s="362">
        <v>0</v>
      </c>
      <c r="EH62" s="362">
        <v>0</v>
      </c>
      <c r="EI62" s="362"/>
      <c r="EJ62" s="362">
        <v>0</v>
      </c>
      <c r="EK62" s="362"/>
      <c r="EL62" s="362">
        <v>0</v>
      </c>
      <c r="EM62" s="362">
        <v>3515.4</v>
      </c>
      <c r="EN62" s="362">
        <v>0</v>
      </c>
      <c r="EO62" s="362">
        <v>1116</v>
      </c>
      <c r="EP62" s="362">
        <v>145230</v>
      </c>
      <c r="EQ62" s="362">
        <v>0</v>
      </c>
      <c r="ER62" s="362">
        <v>15015</v>
      </c>
      <c r="ES62" s="362">
        <v>2885</v>
      </c>
      <c r="ET62" s="362">
        <v>10143</v>
      </c>
      <c r="EU62" s="362">
        <v>0</v>
      </c>
      <c r="EV62" s="362">
        <v>41834.949999999997</v>
      </c>
      <c r="EW62" s="362"/>
      <c r="EX62" s="202"/>
      <c r="EY62" s="202"/>
      <c r="EZ62" s="229"/>
      <c r="FA62" s="368">
        <v>2715.62</v>
      </c>
      <c r="FB62" s="368">
        <v>0</v>
      </c>
      <c r="FC62" s="368">
        <v>0</v>
      </c>
      <c r="FD62" s="368">
        <v>0</v>
      </c>
      <c r="FE62" s="368">
        <v>4533.9799999999996</v>
      </c>
      <c r="FF62" s="368">
        <v>2300.85</v>
      </c>
      <c r="FG62" s="368">
        <v>-1080.96</v>
      </c>
      <c r="FH62" s="368">
        <v>-1250.33</v>
      </c>
      <c r="FI62" s="368">
        <v>0</v>
      </c>
      <c r="FJ62" s="368">
        <v>0</v>
      </c>
      <c r="FK62" s="368">
        <v>0</v>
      </c>
      <c r="FL62" s="368">
        <v>0</v>
      </c>
      <c r="FM62" s="368">
        <v>71517.62</v>
      </c>
      <c r="FN62" s="368">
        <v>45474.239999999998</v>
      </c>
      <c r="FO62" s="323">
        <v>572462.41</v>
      </c>
      <c r="FP62" s="323">
        <v>7219.16</v>
      </c>
      <c r="FQ62" s="323">
        <v>579681.56999999995</v>
      </c>
      <c r="FR62" s="338">
        <v>84668.63</v>
      </c>
      <c r="FS62" s="338">
        <v>11646.26</v>
      </c>
      <c r="FT62" s="377">
        <v>96314.89</v>
      </c>
      <c r="FU62" s="377">
        <v>624269.25</v>
      </c>
      <c r="FV62" s="377">
        <v>17090.96</v>
      </c>
      <c r="FW62" s="362">
        <v>641360.21</v>
      </c>
      <c r="FX62" s="362">
        <v>605126.21</v>
      </c>
      <c r="FY62" s="362">
        <v>27087.39</v>
      </c>
      <c r="FZ62" s="362">
        <v>632213.6</v>
      </c>
      <c r="GA62" s="362">
        <v>103811.67</v>
      </c>
      <c r="GB62" s="362">
        <v>1649.83</v>
      </c>
      <c r="GC62" s="362">
        <v>105461.5</v>
      </c>
      <c r="GD62" s="362">
        <v>15967.37</v>
      </c>
      <c r="GE62" s="362">
        <v>-1145.5899999999999</v>
      </c>
      <c r="GF62" s="362">
        <v>14821.78</v>
      </c>
      <c r="GG62" s="202">
        <v>1911.06</v>
      </c>
      <c r="GH62" s="416">
        <v>96</v>
      </c>
      <c r="GI62" s="414">
        <v>1947</v>
      </c>
      <c r="GJ62" s="419">
        <v>146834.82999999999</v>
      </c>
      <c r="GK62" s="396">
        <v>1911.06</v>
      </c>
      <c r="GL62" s="202">
        <v>1834.6176</v>
      </c>
      <c r="GM62" s="202">
        <v>76.442399999999907</v>
      </c>
      <c r="GN62" s="323">
        <v>51806.84</v>
      </c>
      <c r="GO62" s="323">
        <v>9871.7999999999993</v>
      </c>
      <c r="GP62" s="323">
        <v>61678.64</v>
      </c>
      <c r="GQ62" s="323">
        <v>67774.210000000006</v>
      </c>
      <c r="GR62" s="323">
        <v>8726.2099999999991</v>
      </c>
      <c r="GS62" s="323">
        <v>76500.42</v>
      </c>
    </row>
    <row r="63" spans="1:201" x14ac:dyDescent="0.2">
      <c r="A63" s="45" t="s">
        <v>100</v>
      </c>
      <c r="B63" s="51" t="s">
        <v>81</v>
      </c>
      <c r="C63" s="52" t="s">
        <v>79</v>
      </c>
      <c r="D63" s="388" t="s">
        <v>414</v>
      </c>
      <c r="E63" s="52" t="s">
        <v>12</v>
      </c>
      <c r="F63" s="11">
        <v>5</v>
      </c>
      <c r="G63" s="11">
        <v>4</v>
      </c>
      <c r="H63" s="11">
        <v>70</v>
      </c>
      <c r="I63" s="11">
        <v>70</v>
      </c>
      <c r="J63" s="11">
        <v>153</v>
      </c>
      <c r="K63" s="11">
        <v>195</v>
      </c>
      <c r="L63" s="11" t="s">
        <v>746</v>
      </c>
      <c r="M63" s="84">
        <v>276.5</v>
      </c>
      <c r="N63" s="84">
        <v>914.2</v>
      </c>
      <c r="O63" s="84">
        <v>0</v>
      </c>
      <c r="P63" s="135">
        <f>264.5+31.7</f>
        <v>296.2</v>
      </c>
      <c r="Q63" s="135">
        <v>696.3</v>
      </c>
      <c r="R63" s="133">
        <v>0</v>
      </c>
      <c r="S63" s="133">
        <f t="shared" si="23"/>
        <v>992.5</v>
      </c>
      <c r="T63" s="134">
        <v>296.2</v>
      </c>
      <c r="U63" s="130">
        <v>1.53</v>
      </c>
      <c r="V63" s="91">
        <v>1.9800000000000002E-2</v>
      </c>
      <c r="W63" s="91">
        <v>1.9800000000000002E-2</v>
      </c>
      <c r="X63" s="132">
        <v>1.2199999999999999E-3</v>
      </c>
      <c r="Y63" s="91">
        <v>3.95E-2</v>
      </c>
      <c r="Z63" s="29">
        <v>3378</v>
      </c>
      <c r="AA63" s="29"/>
      <c r="AB63" s="9">
        <f t="shared" si="0"/>
        <v>3378</v>
      </c>
      <c r="AC63" s="9">
        <f t="shared" si="28"/>
        <v>21382.74</v>
      </c>
      <c r="AD63" s="9">
        <v>0.39</v>
      </c>
      <c r="AE63" s="9">
        <v>4.7699999999999996</v>
      </c>
      <c r="AF63" s="21">
        <f>2.42-AJ63</f>
        <v>2.34</v>
      </c>
      <c r="AG63" s="18">
        <f>0.53-AQ63</f>
        <v>0.45</v>
      </c>
      <c r="AH63" s="9">
        <v>2.78</v>
      </c>
      <c r="AI63" s="13">
        <v>265</v>
      </c>
      <c r="AJ63" s="21">
        <f t="shared" si="1"/>
        <v>0.08</v>
      </c>
      <c r="AK63" s="9">
        <v>0</v>
      </c>
      <c r="AL63" s="9">
        <v>0</v>
      </c>
      <c r="AM63" s="9">
        <v>0.17</v>
      </c>
      <c r="AN63" s="13"/>
      <c r="AO63" s="13">
        <v>566.4</v>
      </c>
      <c r="AP63" s="13">
        <f t="shared" si="24"/>
        <v>5.58</v>
      </c>
      <c r="AQ63" s="18">
        <f t="shared" si="2"/>
        <v>0.08</v>
      </c>
      <c r="AR63" s="9">
        <v>0.75</v>
      </c>
      <c r="AS63" s="9">
        <v>0.4</v>
      </c>
      <c r="AT63" s="9">
        <v>7.0000000000000007E-2</v>
      </c>
      <c r="AU63" s="9">
        <v>3.9</v>
      </c>
      <c r="AV63" s="9">
        <v>0.13</v>
      </c>
      <c r="AW63" s="9">
        <f>0.29+1.1+0.34</f>
        <v>1.73</v>
      </c>
      <c r="AX63" s="9">
        <f>1.51+0.49</f>
        <v>2</v>
      </c>
      <c r="AY63" s="54">
        <f t="shared" si="25"/>
        <v>20.04</v>
      </c>
      <c r="AZ63" s="13">
        <v>20.04</v>
      </c>
      <c r="BA63" s="13">
        <f t="shared" si="3"/>
        <v>0</v>
      </c>
      <c r="BB63" s="9">
        <f t="shared" si="4"/>
        <v>67695.12</v>
      </c>
      <c r="BC63" s="9">
        <v>20.04</v>
      </c>
      <c r="BD63" s="10">
        <v>44409</v>
      </c>
      <c r="BE63" s="9">
        <f t="shared" si="5"/>
        <v>1317.42</v>
      </c>
      <c r="BF63" s="9">
        <f t="shared" si="6"/>
        <v>16113.06</v>
      </c>
      <c r="BG63" s="9">
        <f t="shared" si="7"/>
        <v>7904.52</v>
      </c>
      <c r="BH63" s="9">
        <f t="shared" si="8"/>
        <v>1520.1</v>
      </c>
      <c r="BI63" s="9">
        <f t="shared" si="9"/>
        <v>9390.84</v>
      </c>
      <c r="BJ63" s="9">
        <f t="shared" si="10"/>
        <v>270.24</v>
      </c>
      <c r="BK63" s="9">
        <f t="shared" si="11"/>
        <v>0</v>
      </c>
      <c r="BL63" s="9">
        <f t="shared" si="12"/>
        <v>0</v>
      </c>
      <c r="BM63" s="9">
        <f t="shared" si="13"/>
        <v>574.26</v>
      </c>
      <c r="BN63" s="9">
        <f t="shared" si="14"/>
        <v>270.24</v>
      </c>
      <c r="BO63" s="9">
        <f t="shared" si="15"/>
        <v>2533.5</v>
      </c>
      <c r="BP63" s="9">
        <f t="shared" si="16"/>
        <v>1351.2</v>
      </c>
      <c r="BQ63" s="9">
        <f t="shared" si="17"/>
        <v>236.46</v>
      </c>
      <c r="BR63" s="9">
        <f t="shared" si="18"/>
        <v>13174.2</v>
      </c>
      <c r="BS63" s="9">
        <f t="shared" si="19"/>
        <v>439.14</v>
      </c>
      <c r="BT63" s="9">
        <f t="shared" si="20"/>
        <v>5843.94</v>
      </c>
      <c r="BU63" s="9">
        <f t="shared" si="21"/>
        <v>6756</v>
      </c>
      <c r="BV63" s="17">
        <f t="shared" si="22"/>
        <v>67695.12</v>
      </c>
      <c r="BW63" s="17">
        <v>1.81</v>
      </c>
      <c r="BX63" s="17">
        <v>0.05</v>
      </c>
      <c r="BY63" s="17">
        <v>0.28999999999999998</v>
      </c>
      <c r="BZ63" s="17">
        <v>0.05</v>
      </c>
      <c r="CA63" s="29">
        <v>6.33</v>
      </c>
      <c r="CB63" s="325"/>
      <c r="CC63" s="13">
        <v>0</v>
      </c>
      <c r="CD63" s="13">
        <v>0</v>
      </c>
      <c r="CE63" s="13">
        <v>0</v>
      </c>
      <c r="CF63" s="13">
        <v>0</v>
      </c>
      <c r="CG63" s="13">
        <v>0</v>
      </c>
      <c r="CH63" s="13">
        <v>4464</v>
      </c>
      <c r="CI63" s="13">
        <v>1233.4100000000001</v>
      </c>
      <c r="CJ63" s="13">
        <v>15492</v>
      </c>
      <c r="CK63" s="13">
        <v>1298.82</v>
      </c>
      <c r="CL63" s="13">
        <v>812251.48</v>
      </c>
      <c r="CM63" s="13">
        <v>59617.17</v>
      </c>
      <c r="CN63" s="13">
        <v>93931.38</v>
      </c>
      <c r="CO63" s="13">
        <v>10570.64</v>
      </c>
      <c r="CP63" s="13">
        <v>6553.01</v>
      </c>
      <c r="CQ63" s="13">
        <v>0</v>
      </c>
      <c r="CR63" s="13">
        <v>755448.93</v>
      </c>
      <c r="CS63" s="13">
        <v>48989.91</v>
      </c>
      <c r="CT63" s="13">
        <v>75809.929999999993</v>
      </c>
      <c r="CU63" s="13">
        <v>11559.99</v>
      </c>
      <c r="CV63" s="13">
        <v>6612.41</v>
      </c>
      <c r="CW63" s="13">
        <v>0</v>
      </c>
      <c r="CX63" s="13">
        <v>119562.57</v>
      </c>
      <c r="CY63" s="13">
        <v>9870.6</v>
      </c>
      <c r="CZ63" s="13">
        <v>15839.57</v>
      </c>
      <c r="DA63" s="13">
        <v>1214.73</v>
      </c>
      <c r="DB63" s="13">
        <v>707.94</v>
      </c>
      <c r="DC63" s="13"/>
      <c r="DD63" s="315">
        <v>982923.68</v>
      </c>
      <c r="DE63" s="317">
        <v>898421.17</v>
      </c>
      <c r="DF63" s="317">
        <v>91.4</v>
      </c>
      <c r="DG63" s="318">
        <v>147195.41</v>
      </c>
      <c r="DH63" s="310">
        <v>35484.6</v>
      </c>
      <c r="DI63" s="310">
        <v>20294.04</v>
      </c>
      <c r="DJ63" s="312">
        <v>0</v>
      </c>
      <c r="DK63" s="362">
        <v>0</v>
      </c>
      <c r="DL63" s="362"/>
      <c r="DM63" s="362">
        <v>0</v>
      </c>
      <c r="DN63" s="362">
        <v>0</v>
      </c>
      <c r="DO63" s="362">
        <v>0</v>
      </c>
      <c r="DP63" s="362">
        <v>4213.5</v>
      </c>
      <c r="DQ63" s="362">
        <v>115780</v>
      </c>
      <c r="DR63" s="362"/>
      <c r="DS63" s="362">
        <v>25740</v>
      </c>
      <c r="DT63" s="362"/>
      <c r="DU63" s="362">
        <v>0</v>
      </c>
      <c r="DV63" s="362">
        <v>0</v>
      </c>
      <c r="DW63" s="362">
        <v>0</v>
      </c>
      <c r="DX63" s="362">
        <v>0</v>
      </c>
      <c r="DY63" s="362">
        <v>0</v>
      </c>
      <c r="DZ63" s="375">
        <v>0</v>
      </c>
      <c r="EA63" s="362">
        <v>0</v>
      </c>
      <c r="EB63" s="362">
        <v>0</v>
      </c>
      <c r="EC63" s="362"/>
      <c r="ED63" s="362">
        <v>232629.6</v>
      </c>
      <c r="EE63" s="362">
        <v>9350</v>
      </c>
      <c r="EF63" s="362"/>
      <c r="EG63" s="362">
        <v>0</v>
      </c>
      <c r="EH63" s="362">
        <v>0</v>
      </c>
      <c r="EI63" s="362"/>
      <c r="EJ63" s="362">
        <v>0</v>
      </c>
      <c r="EK63" s="362"/>
      <c r="EL63" s="362">
        <v>0</v>
      </c>
      <c r="EM63" s="362">
        <v>3160.5</v>
      </c>
      <c r="EN63" s="362">
        <v>0</v>
      </c>
      <c r="EO63" s="362">
        <v>2232</v>
      </c>
      <c r="EP63" s="362">
        <v>212742</v>
      </c>
      <c r="EQ63" s="362">
        <v>0</v>
      </c>
      <c r="ER63" s="362">
        <v>16380</v>
      </c>
      <c r="ES63" s="362">
        <v>577</v>
      </c>
      <c r="ET63" s="362">
        <v>12402</v>
      </c>
      <c r="EU63" s="362">
        <v>0</v>
      </c>
      <c r="EV63" s="362">
        <v>371929.17</v>
      </c>
      <c r="EW63" s="362"/>
      <c r="EX63" s="202"/>
      <c r="EY63" s="202"/>
      <c r="EZ63" s="229"/>
      <c r="FA63" s="368">
        <v>67905.070000000007</v>
      </c>
      <c r="FB63" s="368">
        <v>107870.38</v>
      </c>
      <c r="FC63" s="368">
        <v>0</v>
      </c>
      <c r="FD63" s="368">
        <v>0</v>
      </c>
      <c r="FE63" s="368">
        <v>7109.41</v>
      </c>
      <c r="FF63" s="368">
        <v>4410.6099999999997</v>
      </c>
      <c r="FG63" s="368">
        <v>0</v>
      </c>
      <c r="FH63" s="368">
        <v>-864.03</v>
      </c>
      <c r="FI63" s="368">
        <v>0</v>
      </c>
      <c r="FJ63" s="368">
        <v>0</v>
      </c>
      <c r="FK63" s="368">
        <v>0</v>
      </c>
      <c r="FL63" s="368">
        <v>0</v>
      </c>
      <c r="FM63" s="368">
        <v>90300.9</v>
      </c>
      <c r="FN63" s="368">
        <v>57417.33</v>
      </c>
      <c r="FO63" s="323">
        <v>1210632.6399999999</v>
      </c>
      <c r="FP63" s="323">
        <v>186431.44</v>
      </c>
      <c r="FQ63" s="323">
        <v>1397064.08</v>
      </c>
      <c r="FR63" s="338">
        <v>64457.24</v>
      </c>
      <c r="FS63" s="338">
        <v>6873.46</v>
      </c>
      <c r="FT63" s="377">
        <v>71330.7</v>
      </c>
      <c r="FU63" s="377">
        <v>828976.89</v>
      </c>
      <c r="FV63" s="377">
        <v>176435.02</v>
      </c>
      <c r="FW63" s="362">
        <v>1005411.91</v>
      </c>
      <c r="FX63" s="362">
        <v>773871.56</v>
      </c>
      <c r="FY63" s="362">
        <v>155675.64000000001</v>
      </c>
      <c r="FZ63" s="362">
        <v>929547.2</v>
      </c>
      <c r="GA63" s="362">
        <v>119562.57</v>
      </c>
      <c r="GB63" s="362">
        <v>27632.84</v>
      </c>
      <c r="GC63" s="362">
        <v>147195.41</v>
      </c>
      <c r="GD63" s="362">
        <v>56870.51</v>
      </c>
      <c r="GE63" s="362">
        <v>-2027.14</v>
      </c>
      <c r="GF63" s="362">
        <v>54843.37</v>
      </c>
      <c r="GG63" s="202"/>
      <c r="GH63" s="416">
        <v>0</v>
      </c>
      <c r="GI63" s="414">
        <v>931</v>
      </c>
      <c r="GJ63" s="419">
        <v>4464</v>
      </c>
      <c r="GK63" s="396"/>
      <c r="GL63" s="202">
        <v>0</v>
      </c>
      <c r="GM63" s="202">
        <v>0</v>
      </c>
      <c r="GN63" s="323">
        <v>-381655.75</v>
      </c>
      <c r="GO63" s="323">
        <v>-9996.42</v>
      </c>
      <c r="GP63" s="323">
        <v>-391652.17</v>
      </c>
      <c r="GQ63" s="323">
        <v>-324785.24</v>
      </c>
      <c r="GR63" s="323">
        <v>-12023.56</v>
      </c>
      <c r="GS63" s="323">
        <v>-336808.8</v>
      </c>
    </row>
    <row r="64" spans="1:201" ht="12.75" customHeight="1" x14ac:dyDescent="0.2">
      <c r="A64" s="45" t="s">
        <v>101</v>
      </c>
      <c r="B64" s="51" t="s">
        <v>81</v>
      </c>
      <c r="C64" s="52" t="s">
        <v>89</v>
      </c>
      <c r="D64" s="388" t="s">
        <v>415</v>
      </c>
      <c r="E64" s="52" t="s">
        <v>12</v>
      </c>
      <c r="F64" s="11">
        <v>5</v>
      </c>
      <c r="G64" s="11">
        <v>4</v>
      </c>
      <c r="H64" s="11">
        <v>70</v>
      </c>
      <c r="I64" s="11">
        <v>70</v>
      </c>
      <c r="J64" s="11">
        <v>156</v>
      </c>
      <c r="K64" s="11">
        <v>193</v>
      </c>
      <c r="L64" s="11" t="s">
        <v>746</v>
      </c>
      <c r="M64" s="84">
        <v>221.5</v>
      </c>
      <c r="N64" s="84">
        <v>912.9</v>
      </c>
      <c r="O64" s="84">
        <v>0</v>
      </c>
      <c r="P64" s="135">
        <v>257.5</v>
      </c>
      <c r="Q64" s="135">
        <v>726.1</v>
      </c>
      <c r="R64" s="133">
        <v>0</v>
      </c>
      <c r="S64" s="133">
        <f t="shared" si="23"/>
        <v>983.6</v>
      </c>
      <c r="T64" s="134">
        <v>257.5</v>
      </c>
      <c r="U64" s="130">
        <v>1.53</v>
      </c>
      <c r="V64" s="131">
        <v>1.9800000000000002E-2</v>
      </c>
      <c r="W64" s="131">
        <v>1.9800000000000002E-2</v>
      </c>
      <c r="X64" s="132">
        <v>1.2199999999999999E-3</v>
      </c>
      <c r="Y64" s="131">
        <v>3.95E-2</v>
      </c>
      <c r="Z64" s="29">
        <v>3346.52</v>
      </c>
      <c r="AA64" s="29"/>
      <c r="AB64" s="9">
        <f t="shared" si="0"/>
        <v>3346.52</v>
      </c>
      <c r="AC64" s="9">
        <f t="shared" si="28"/>
        <v>21183.47</v>
      </c>
      <c r="AD64" s="9">
        <v>0.39</v>
      </c>
      <c r="AE64" s="9">
        <v>4.7699999999999996</v>
      </c>
      <c r="AF64" s="21">
        <f>2.41-AJ64</f>
        <v>2.15</v>
      </c>
      <c r="AG64" s="18">
        <f>0.54-AQ64</f>
        <v>0.46</v>
      </c>
      <c r="AH64" s="9">
        <v>2.78</v>
      </c>
      <c r="AI64" s="13">
        <v>876</v>
      </c>
      <c r="AJ64" s="21">
        <f t="shared" si="1"/>
        <v>0.26</v>
      </c>
      <c r="AK64" s="9">
        <v>0</v>
      </c>
      <c r="AL64" s="9">
        <v>0</v>
      </c>
      <c r="AM64" s="9">
        <v>0.17</v>
      </c>
      <c r="AN64" s="13"/>
      <c r="AO64" s="13">
        <v>566.4</v>
      </c>
      <c r="AP64" s="13">
        <f t="shared" si="24"/>
        <v>5.58</v>
      </c>
      <c r="AQ64" s="18">
        <f t="shared" si="2"/>
        <v>0.08</v>
      </c>
      <c r="AR64" s="9">
        <v>0.75</v>
      </c>
      <c r="AS64" s="9">
        <v>0.41</v>
      </c>
      <c r="AT64" s="9">
        <v>7.0000000000000007E-2</v>
      </c>
      <c r="AU64" s="9">
        <v>3.63</v>
      </c>
      <c r="AV64" s="9">
        <v>0.13</v>
      </c>
      <c r="AW64" s="9">
        <f>0.29+1.1+0.31</f>
        <v>1.7</v>
      </c>
      <c r="AX64" s="9">
        <f>1.51+0.43</f>
        <v>1.94</v>
      </c>
      <c r="AY64" s="54">
        <f t="shared" si="25"/>
        <v>19.690000000000001</v>
      </c>
      <c r="AZ64" s="13">
        <v>19.690000000000001</v>
      </c>
      <c r="BA64" s="13">
        <f t="shared" si="3"/>
        <v>0</v>
      </c>
      <c r="BB64" s="9">
        <f t="shared" si="4"/>
        <v>65892.98</v>
      </c>
      <c r="BC64" s="9">
        <v>19.690000000000001</v>
      </c>
      <c r="BD64" s="10">
        <v>44409</v>
      </c>
      <c r="BE64" s="9">
        <f t="shared" si="5"/>
        <v>1305.1400000000001</v>
      </c>
      <c r="BF64" s="9">
        <f t="shared" si="6"/>
        <v>15962.9</v>
      </c>
      <c r="BG64" s="9">
        <f t="shared" si="7"/>
        <v>7195.02</v>
      </c>
      <c r="BH64" s="9">
        <f t="shared" si="8"/>
        <v>1539.4</v>
      </c>
      <c r="BI64" s="9">
        <f t="shared" si="9"/>
        <v>9303.33</v>
      </c>
      <c r="BJ64" s="9">
        <f t="shared" si="10"/>
        <v>870.1</v>
      </c>
      <c r="BK64" s="9">
        <f t="shared" si="11"/>
        <v>0</v>
      </c>
      <c r="BL64" s="9">
        <f t="shared" si="12"/>
        <v>0</v>
      </c>
      <c r="BM64" s="9">
        <f t="shared" si="13"/>
        <v>568.91</v>
      </c>
      <c r="BN64" s="9">
        <f t="shared" si="14"/>
        <v>267.72000000000003</v>
      </c>
      <c r="BO64" s="9">
        <f t="shared" si="15"/>
        <v>2509.89</v>
      </c>
      <c r="BP64" s="9">
        <f t="shared" si="16"/>
        <v>1372.07</v>
      </c>
      <c r="BQ64" s="9">
        <f t="shared" si="17"/>
        <v>234.26</v>
      </c>
      <c r="BR64" s="9">
        <f t="shared" si="18"/>
        <v>12147.87</v>
      </c>
      <c r="BS64" s="9">
        <f t="shared" si="19"/>
        <v>435.05</v>
      </c>
      <c r="BT64" s="9">
        <f t="shared" si="20"/>
        <v>5689.08</v>
      </c>
      <c r="BU64" s="9">
        <f t="shared" si="21"/>
        <v>6492.25</v>
      </c>
      <c r="BV64" s="17">
        <f t="shared" si="22"/>
        <v>65892.990000000005</v>
      </c>
      <c r="BW64" s="17">
        <v>1.81</v>
      </c>
      <c r="BX64" s="17">
        <v>0.04</v>
      </c>
      <c r="BY64" s="17">
        <v>0.26</v>
      </c>
      <c r="BZ64" s="17">
        <v>0.05</v>
      </c>
      <c r="CA64" s="29">
        <v>6.33</v>
      </c>
      <c r="CB64" s="325"/>
      <c r="CC64" s="13">
        <v>0</v>
      </c>
      <c r="CD64" s="13">
        <v>0</v>
      </c>
      <c r="CE64" s="13">
        <v>0</v>
      </c>
      <c r="CF64" s="13">
        <v>0</v>
      </c>
      <c r="CG64" s="13">
        <v>0</v>
      </c>
      <c r="CH64" s="13">
        <v>3720</v>
      </c>
      <c r="CI64" s="13">
        <v>2052.4499999999998</v>
      </c>
      <c r="CJ64" s="13">
        <v>21588</v>
      </c>
      <c r="CK64" s="13">
        <v>1287.03</v>
      </c>
      <c r="CL64" s="13">
        <v>790716.24</v>
      </c>
      <c r="CM64" s="13">
        <v>69674.62</v>
      </c>
      <c r="CN64" s="13">
        <v>0</v>
      </c>
      <c r="CO64" s="13">
        <v>0</v>
      </c>
      <c r="CP64" s="13">
        <v>769.23</v>
      </c>
      <c r="CQ64" s="13">
        <v>0</v>
      </c>
      <c r="CR64" s="13">
        <v>717464.32</v>
      </c>
      <c r="CS64" s="13">
        <v>63150.13</v>
      </c>
      <c r="CT64" s="13">
        <v>466.07</v>
      </c>
      <c r="CU64" s="13">
        <v>70.680000000000007</v>
      </c>
      <c r="CV64" s="13">
        <v>743.36</v>
      </c>
      <c r="CW64" s="13">
        <v>0</v>
      </c>
      <c r="CX64" s="13">
        <v>145198.57999999999</v>
      </c>
      <c r="CY64" s="13">
        <v>16276.49</v>
      </c>
      <c r="CZ64" s="13">
        <v>-914.67</v>
      </c>
      <c r="DA64" s="13">
        <v>-136.85</v>
      </c>
      <c r="DB64" s="13">
        <v>67.61</v>
      </c>
      <c r="DC64" s="13"/>
      <c r="DD64" s="315">
        <v>861160.09</v>
      </c>
      <c r="DE64" s="317">
        <v>781894.56</v>
      </c>
      <c r="DF64" s="317">
        <v>90.8</v>
      </c>
      <c r="DG64" s="318">
        <v>160491.16</v>
      </c>
      <c r="DH64" s="310">
        <v>35163.360000000001</v>
      </c>
      <c r="DI64" s="310">
        <v>20110.32</v>
      </c>
      <c r="DJ64" s="312">
        <v>0</v>
      </c>
      <c r="DK64" s="362">
        <v>0</v>
      </c>
      <c r="DL64" s="362"/>
      <c r="DM64" s="362">
        <v>0</v>
      </c>
      <c r="DN64" s="362">
        <v>0</v>
      </c>
      <c r="DO64" s="362">
        <v>0</v>
      </c>
      <c r="DP64" s="362">
        <v>13928.4</v>
      </c>
      <c r="DQ64" s="362">
        <v>118965</v>
      </c>
      <c r="DR64" s="362"/>
      <c r="DS64" s="362">
        <v>11360</v>
      </c>
      <c r="DT64" s="362"/>
      <c r="DU64" s="362">
        <v>0</v>
      </c>
      <c r="DV64" s="362">
        <v>0</v>
      </c>
      <c r="DW64" s="362">
        <v>0</v>
      </c>
      <c r="DX64" s="362">
        <v>0</v>
      </c>
      <c r="DY64" s="362">
        <v>0</v>
      </c>
      <c r="DZ64" s="375">
        <v>0</v>
      </c>
      <c r="EA64" s="362">
        <v>0</v>
      </c>
      <c r="EB64" s="362">
        <v>0</v>
      </c>
      <c r="EC64" s="362"/>
      <c r="ED64" s="362">
        <v>230368.68</v>
      </c>
      <c r="EE64" s="362">
        <v>9350</v>
      </c>
      <c r="EF64" s="362"/>
      <c r="EG64" s="362">
        <v>0</v>
      </c>
      <c r="EH64" s="362">
        <v>0</v>
      </c>
      <c r="EI64" s="362"/>
      <c r="EJ64" s="362">
        <v>0</v>
      </c>
      <c r="EK64" s="362"/>
      <c r="EL64" s="362">
        <v>0</v>
      </c>
      <c r="EM64" s="362">
        <v>3160.5</v>
      </c>
      <c r="EN64" s="362">
        <v>0</v>
      </c>
      <c r="EO64" s="362">
        <v>1860</v>
      </c>
      <c r="EP64" s="362">
        <v>203550</v>
      </c>
      <c r="EQ64" s="362">
        <v>0</v>
      </c>
      <c r="ER64" s="362">
        <v>16380</v>
      </c>
      <c r="ES64" s="362">
        <v>6924</v>
      </c>
      <c r="ET64" s="362">
        <v>12402</v>
      </c>
      <c r="EU64" s="362">
        <v>0</v>
      </c>
      <c r="EV64" s="362">
        <v>22452.94</v>
      </c>
      <c r="EW64" s="362"/>
      <c r="EX64" s="202"/>
      <c r="EY64" s="202"/>
      <c r="EZ64" s="229"/>
      <c r="FA64" s="368">
        <v>80693.009999999995</v>
      </c>
      <c r="FB64" s="368">
        <v>0</v>
      </c>
      <c r="FC64" s="368">
        <v>0</v>
      </c>
      <c r="FD64" s="368">
        <v>0</v>
      </c>
      <c r="FE64" s="368">
        <v>0</v>
      </c>
      <c r="FF64" s="368">
        <v>915.98</v>
      </c>
      <c r="FG64" s="368">
        <v>0</v>
      </c>
      <c r="FH64" s="368">
        <v>-887.24</v>
      </c>
      <c r="FI64" s="368">
        <v>0</v>
      </c>
      <c r="FJ64" s="368">
        <v>0</v>
      </c>
      <c r="FK64" s="368">
        <v>561.66</v>
      </c>
      <c r="FL64" s="368">
        <v>0</v>
      </c>
      <c r="FM64" s="368">
        <v>89469.41</v>
      </c>
      <c r="FN64" s="368">
        <v>56888.83</v>
      </c>
      <c r="FO64" s="323">
        <v>852333.44</v>
      </c>
      <c r="FP64" s="323">
        <v>81283.41</v>
      </c>
      <c r="FQ64" s="323">
        <v>933616.85</v>
      </c>
      <c r="FR64" s="338">
        <v>76607.28</v>
      </c>
      <c r="FS64" s="338">
        <v>4116.96</v>
      </c>
      <c r="FT64" s="377">
        <v>80724.240000000005</v>
      </c>
      <c r="FU64" s="377">
        <v>814356.69</v>
      </c>
      <c r="FV64" s="377">
        <v>75450.880000000005</v>
      </c>
      <c r="FW64" s="362">
        <v>889807.57</v>
      </c>
      <c r="FX64" s="362">
        <v>745765.39</v>
      </c>
      <c r="FY64" s="362">
        <v>64275.26</v>
      </c>
      <c r="FZ64" s="362">
        <v>810040.65</v>
      </c>
      <c r="GA64" s="362">
        <v>145198.57999999999</v>
      </c>
      <c r="GB64" s="362">
        <v>15292.58</v>
      </c>
      <c r="GC64" s="362">
        <v>160491.16</v>
      </c>
      <c r="GD64" s="362">
        <v>28179.63</v>
      </c>
      <c r="GE64" s="362">
        <v>6650.78</v>
      </c>
      <c r="GF64" s="362">
        <v>34830.410000000003</v>
      </c>
      <c r="GG64" s="202"/>
      <c r="GH64" s="416">
        <v>0</v>
      </c>
      <c r="GI64" s="414">
        <v>1947</v>
      </c>
      <c r="GJ64" s="419">
        <v>3720</v>
      </c>
      <c r="GK64" s="396"/>
      <c r="GL64" s="202">
        <v>0</v>
      </c>
      <c r="GM64" s="202">
        <v>0</v>
      </c>
      <c r="GN64" s="323">
        <v>-37976.75</v>
      </c>
      <c r="GO64" s="323">
        <v>-5832.53</v>
      </c>
      <c r="GP64" s="323">
        <v>-43809.279999999999</v>
      </c>
      <c r="GQ64" s="323">
        <v>-9797.1200000000008</v>
      </c>
      <c r="GR64" s="323">
        <v>818.25</v>
      </c>
      <c r="GS64" s="323">
        <v>-8978.8700000000008</v>
      </c>
    </row>
    <row r="65" spans="1:201" ht="12.75" customHeight="1" x14ac:dyDescent="0.2">
      <c r="A65" s="45" t="s">
        <v>102</v>
      </c>
      <c r="B65" s="156" t="s">
        <v>91</v>
      </c>
      <c r="C65" s="157" t="s">
        <v>89</v>
      </c>
      <c r="D65" s="388" t="s">
        <v>624</v>
      </c>
      <c r="E65" s="157" t="s">
        <v>12</v>
      </c>
      <c r="F65" s="11">
        <v>5</v>
      </c>
      <c r="G65" s="11">
        <v>1</v>
      </c>
      <c r="H65" s="11">
        <v>11</v>
      </c>
      <c r="I65" s="11">
        <v>11</v>
      </c>
      <c r="J65" s="11">
        <v>23</v>
      </c>
      <c r="K65" s="11"/>
      <c r="L65" s="11">
        <v>1</v>
      </c>
      <c r="M65" s="84"/>
      <c r="N65" s="84"/>
      <c r="O65" s="84"/>
      <c r="P65" s="138">
        <f>108.2+42.6</f>
        <v>150.80000000000001</v>
      </c>
      <c r="Q65" s="138">
        <f>407.8+85.4</f>
        <v>493.2</v>
      </c>
      <c r="R65" s="138">
        <v>0</v>
      </c>
      <c r="S65" s="133">
        <f t="shared" si="23"/>
        <v>644</v>
      </c>
      <c r="T65" s="138">
        <v>236.2</v>
      </c>
      <c r="U65" s="130">
        <v>2.44</v>
      </c>
      <c r="V65" s="131">
        <v>1.1299999999999999E-2</v>
      </c>
      <c r="W65" s="171">
        <v>0</v>
      </c>
      <c r="X65" s="172">
        <v>0</v>
      </c>
      <c r="Y65" s="131">
        <v>1.1299999999999999E-2</v>
      </c>
      <c r="Z65" s="29">
        <v>2610.5</v>
      </c>
      <c r="AA65" s="29"/>
      <c r="AB65" s="9">
        <f t="shared" si="0"/>
        <v>2610.5</v>
      </c>
      <c r="AC65" s="9">
        <f t="shared" si="28"/>
        <v>16524.47</v>
      </c>
      <c r="AD65" s="9">
        <v>2.09</v>
      </c>
      <c r="AE65" s="9">
        <v>4.79</v>
      </c>
      <c r="AF65" s="21">
        <f>2.31-AJ65</f>
        <v>2.04</v>
      </c>
      <c r="AG65" s="18">
        <f>0.55-AQ65</f>
        <v>0.52</v>
      </c>
      <c r="AH65" s="9">
        <v>2.4900000000000002</v>
      </c>
      <c r="AI65" s="43">
        <v>693</v>
      </c>
      <c r="AJ65" s="21">
        <f t="shared" si="1"/>
        <v>0.27</v>
      </c>
      <c r="AK65" s="9">
        <v>0</v>
      </c>
      <c r="AL65" s="9">
        <v>0</v>
      </c>
      <c r="AM65" s="9">
        <v>0.22</v>
      </c>
      <c r="AN65" s="13"/>
      <c r="AO65" s="13">
        <v>157.6</v>
      </c>
      <c r="AP65" s="13">
        <f t="shared" si="24"/>
        <v>5.58</v>
      </c>
      <c r="AQ65" s="18">
        <f t="shared" si="2"/>
        <v>0.03</v>
      </c>
      <c r="AR65" s="9">
        <v>0</v>
      </c>
      <c r="AS65" s="9">
        <v>0</v>
      </c>
      <c r="AT65" s="9">
        <v>7.0000000000000007E-2</v>
      </c>
      <c r="AU65" s="13">
        <v>4.67</v>
      </c>
      <c r="AV65" s="9">
        <v>0.13</v>
      </c>
      <c r="AW65" s="9">
        <f>1.12+0.41+0.05</f>
        <v>1.58</v>
      </c>
      <c r="AX65" s="9">
        <f>1.5+0.55</f>
        <v>2.0499999999999998</v>
      </c>
      <c r="AY65" s="159">
        <f t="shared" si="25"/>
        <v>20.95</v>
      </c>
      <c r="AZ65" s="13">
        <v>20.95</v>
      </c>
      <c r="BA65" s="13">
        <f t="shared" si="3"/>
        <v>0</v>
      </c>
      <c r="BB65" s="9">
        <f t="shared" si="4"/>
        <v>54689.98</v>
      </c>
      <c r="BC65" s="9">
        <v>20.95</v>
      </c>
      <c r="BD65" s="10">
        <v>44317</v>
      </c>
      <c r="BE65" s="9">
        <f t="shared" si="5"/>
        <v>5455.95</v>
      </c>
      <c r="BF65" s="9">
        <f t="shared" si="6"/>
        <v>12504.3</v>
      </c>
      <c r="BG65" s="9">
        <f t="shared" si="7"/>
        <v>5325.42</v>
      </c>
      <c r="BH65" s="9">
        <f t="shared" si="8"/>
        <v>1357.46</v>
      </c>
      <c r="BI65" s="9">
        <f t="shared" si="9"/>
        <v>6500.15</v>
      </c>
      <c r="BJ65" s="9">
        <f t="shared" si="10"/>
        <v>704.84</v>
      </c>
      <c r="BK65" s="9">
        <f t="shared" si="11"/>
        <v>0</v>
      </c>
      <c r="BL65" s="9">
        <f t="shared" si="12"/>
        <v>0</v>
      </c>
      <c r="BM65" s="9">
        <f t="shared" si="13"/>
        <v>574.30999999999995</v>
      </c>
      <c r="BN65" s="9">
        <f t="shared" si="14"/>
        <v>78.319999999999993</v>
      </c>
      <c r="BO65" s="9">
        <f t="shared" si="15"/>
        <v>0</v>
      </c>
      <c r="BP65" s="9">
        <f t="shared" si="16"/>
        <v>0</v>
      </c>
      <c r="BQ65" s="9">
        <f t="shared" si="17"/>
        <v>182.74</v>
      </c>
      <c r="BR65" s="9">
        <f t="shared" si="18"/>
        <v>12191.04</v>
      </c>
      <c r="BS65" s="9">
        <f t="shared" si="19"/>
        <v>339.37</v>
      </c>
      <c r="BT65" s="9">
        <f t="shared" si="20"/>
        <v>4124.59</v>
      </c>
      <c r="BU65" s="9">
        <f t="shared" si="21"/>
        <v>5351.53</v>
      </c>
      <c r="BV65" s="17">
        <f t="shared" si="22"/>
        <v>54690.02</v>
      </c>
      <c r="BW65" s="17">
        <v>1.39</v>
      </c>
      <c r="BX65" s="17">
        <v>0.03</v>
      </c>
      <c r="BY65" s="173">
        <v>0</v>
      </c>
      <c r="BZ65" s="17">
        <v>0.02</v>
      </c>
      <c r="CA65" s="29">
        <v>6.33</v>
      </c>
      <c r="CB65" s="325"/>
      <c r="CC65" s="13">
        <v>0</v>
      </c>
      <c r="CD65" s="13">
        <v>0</v>
      </c>
      <c r="CE65" s="13">
        <v>0</v>
      </c>
      <c r="CF65" s="13">
        <v>0</v>
      </c>
      <c r="CG65" s="13">
        <v>0</v>
      </c>
      <c r="CH65" s="13">
        <v>0</v>
      </c>
      <c r="CI65" s="13">
        <v>4565.24</v>
      </c>
      <c r="CJ65" s="13">
        <v>0</v>
      </c>
      <c r="CK65" s="13">
        <v>1003.96</v>
      </c>
      <c r="CL65" s="13">
        <v>634153.31999999995</v>
      </c>
      <c r="CM65" s="13">
        <v>108701.29</v>
      </c>
      <c r="CN65" s="13">
        <v>0</v>
      </c>
      <c r="CO65" s="13">
        <v>9815.49</v>
      </c>
      <c r="CP65" s="13">
        <v>5299.33</v>
      </c>
      <c r="CQ65" s="13">
        <v>0</v>
      </c>
      <c r="CR65" s="13">
        <v>516940.42</v>
      </c>
      <c r="CS65" s="13">
        <v>93616.61</v>
      </c>
      <c r="CT65" s="13">
        <v>0</v>
      </c>
      <c r="CU65" s="13">
        <v>12691.87</v>
      </c>
      <c r="CV65" s="13">
        <v>6730.08</v>
      </c>
      <c r="CW65" s="13">
        <v>0</v>
      </c>
      <c r="CX65" s="13">
        <v>203256.38</v>
      </c>
      <c r="CY65" s="13">
        <v>43034.559999999998</v>
      </c>
      <c r="CZ65" s="13">
        <v>0</v>
      </c>
      <c r="DA65" s="13">
        <v>443.32</v>
      </c>
      <c r="DB65" s="13">
        <v>256.23</v>
      </c>
      <c r="DC65" s="13"/>
      <c r="DD65" s="315">
        <v>757969.43</v>
      </c>
      <c r="DE65" s="317">
        <v>629978.98</v>
      </c>
      <c r="DF65" s="317">
        <v>83.11</v>
      </c>
      <c r="DG65" s="318">
        <v>246990.49</v>
      </c>
      <c r="DH65" s="310">
        <v>27429.599999999999</v>
      </c>
      <c r="DI65" s="310">
        <v>15687.36</v>
      </c>
      <c r="DJ65" s="312">
        <v>0</v>
      </c>
      <c r="DK65" s="362">
        <v>0</v>
      </c>
      <c r="DL65" s="362"/>
      <c r="DM65" s="362">
        <v>0</v>
      </c>
      <c r="DN65" s="362">
        <v>0</v>
      </c>
      <c r="DO65" s="362">
        <v>0</v>
      </c>
      <c r="DP65" s="362">
        <v>0</v>
      </c>
      <c r="DQ65" s="362">
        <v>0</v>
      </c>
      <c r="DR65" s="362"/>
      <c r="DS65" s="362">
        <v>0</v>
      </c>
      <c r="DT65" s="362"/>
      <c r="DU65" s="362">
        <v>0</v>
      </c>
      <c r="DV65" s="362">
        <v>0</v>
      </c>
      <c r="DW65" s="362">
        <v>0</v>
      </c>
      <c r="DX65" s="362">
        <v>51600</v>
      </c>
      <c r="DY65" s="362">
        <v>4500</v>
      </c>
      <c r="DZ65" s="375">
        <v>0</v>
      </c>
      <c r="EA65" s="362">
        <v>0</v>
      </c>
      <c r="EB65" s="362">
        <v>0</v>
      </c>
      <c r="EC65" s="362"/>
      <c r="ED65" s="362">
        <v>184414.8</v>
      </c>
      <c r="EE65" s="362">
        <v>66400</v>
      </c>
      <c r="EF65" s="362"/>
      <c r="EG65" s="362">
        <v>11028</v>
      </c>
      <c r="EH65" s="362">
        <v>44700</v>
      </c>
      <c r="EI65" s="362"/>
      <c r="EJ65" s="362">
        <v>1600</v>
      </c>
      <c r="EK65" s="362"/>
      <c r="EL65" s="362">
        <v>0</v>
      </c>
      <c r="EM65" s="362">
        <v>879.42</v>
      </c>
      <c r="EN65" s="362">
        <v>141743.34</v>
      </c>
      <c r="EO65" s="362">
        <v>0</v>
      </c>
      <c r="EP65" s="362">
        <v>0</v>
      </c>
      <c r="EQ65" s="362">
        <v>0</v>
      </c>
      <c r="ER65" s="362">
        <v>0</v>
      </c>
      <c r="ES65" s="362">
        <v>2885</v>
      </c>
      <c r="ET65" s="362">
        <v>2459</v>
      </c>
      <c r="EU65" s="362">
        <v>0</v>
      </c>
      <c r="EV65" s="362">
        <v>12463.36</v>
      </c>
      <c r="EW65" s="362"/>
      <c r="EX65" s="202"/>
      <c r="EY65" s="202"/>
      <c r="EZ65" s="229"/>
      <c r="FA65" s="368">
        <v>105734.73</v>
      </c>
      <c r="FB65" s="368">
        <v>0</v>
      </c>
      <c r="FC65" s="368">
        <v>0</v>
      </c>
      <c r="FD65" s="368">
        <v>0</v>
      </c>
      <c r="FE65" s="368">
        <v>13637.17</v>
      </c>
      <c r="FF65" s="368">
        <v>7190.8</v>
      </c>
      <c r="FG65" s="368">
        <v>-3837.41</v>
      </c>
      <c r="FH65" s="368">
        <v>-2676.91</v>
      </c>
      <c r="FI65" s="368">
        <v>0</v>
      </c>
      <c r="FJ65" s="368">
        <v>0</v>
      </c>
      <c r="FK65" s="368">
        <v>0</v>
      </c>
      <c r="FL65" s="368">
        <v>0</v>
      </c>
      <c r="FM65" s="368">
        <v>69791.89</v>
      </c>
      <c r="FN65" s="368">
        <v>44376.94</v>
      </c>
      <c r="FO65" s="323">
        <v>681958.71</v>
      </c>
      <c r="FP65" s="323">
        <v>120048.38</v>
      </c>
      <c r="FQ65" s="323">
        <v>802007.09</v>
      </c>
      <c r="FR65" s="338">
        <v>102709.18</v>
      </c>
      <c r="FS65" s="338">
        <v>33051.4</v>
      </c>
      <c r="FT65" s="377">
        <v>135760.57999999999</v>
      </c>
      <c r="FU65" s="377">
        <v>638718.56000000006</v>
      </c>
      <c r="FV65" s="377">
        <v>124820.07</v>
      </c>
      <c r="FW65" s="362">
        <v>763538.63</v>
      </c>
      <c r="FX65" s="362">
        <v>538171.36</v>
      </c>
      <c r="FY65" s="362">
        <v>114137.36</v>
      </c>
      <c r="FZ65" s="362">
        <v>652308.72</v>
      </c>
      <c r="GA65" s="362">
        <v>203256.38</v>
      </c>
      <c r="GB65" s="362">
        <v>43734.11</v>
      </c>
      <c r="GC65" s="362">
        <v>246990.49</v>
      </c>
      <c r="GD65" s="362">
        <v>59751.01</v>
      </c>
      <c r="GE65" s="362">
        <v>-7954.65</v>
      </c>
      <c r="GF65" s="362">
        <v>51796.36</v>
      </c>
      <c r="GG65" s="202"/>
      <c r="GH65" s="416"/>
      <c r="GI65" s="414">
        <v>0</v>
      </c>
      <c r="GJ65" s="419">
        <v>0</v>
      </c>
      <c r="GK65" s="396"/>
      <c r="GL65" s="202">
        <v>0</v>
      </c>
      <c r="GM65" s="202">
        <v>0</v>
      </c>
      <c r="GN65" s="323">
        <v>-43240.15</v>
      </c>
      <c r="GO65" s="323">
        <v>4771.6899999999996</v>
      </c>
      <c r="GP65" s="323">
        <v>-38468.46</v>
      </c>
      <c r="GQ65" s="323">
        <v>16510.86</v>
      </c>
      <c r="GR65" s="323">
        <v>-3182.96</v>
      </c>
      <c r="GS65" s="323">
        <v>13327.9</v>
      </c>
    </row>
    <row r="66" spans="1:201" ht="12.75" customHeight="1" x14ac:dyDescent="0.2">
      <c r="A66" s="45" t="s">
        <v>103</v>
      </c>
      <c r="B66" s="66" t="s">
        <v>93</v>
      </c>
      <c r="C66" s="67" t="s">
        <v>44</v>
      </c>
      <c r="D66" s="388" t="s">
        <v>625</v>
      </c>
      <c r="E66" s="67" t="s">
        <v>12</v>
      </c>
      <c r="F66" s="11">
        <v>5</v>
      </c>
      <c r="G66" s="11">
        <v>4</v>
      </c>
      <c r="H66" s="11">
        <v>56</v>
      </c>
      <c r="I66" s="11">
        <v>0</v>
      </c>
      <c r="J66" s="11">
        <v>91</v>
      </c>
      <c r="K66" s="11">
        <v>127</v>
      </c>
      <c r="L66" s="11" t="s">
        <v>746</v>
      </c>
      <c r="M66" s="84">
        <v>278</v>
      </c>
      <c r="N66" s="84">
        <v>920</v>
      </c>
      <c r="O66" s="84">
        <v>0</v>
      </c>
      <c r="P66" s="138">
        <v>278</v>
      </c>
      <c r="Q66" s="138">
        <v>920</v>
      </c>
      <c r="R66" s="138">
        <v>0</v>
      </c>
      <c r="S66" s="133">
        <f t="shared" si="23"/>
        <v>1198</v>
      </c>
      <c r="T66" s="138">
        <v>278</v>
      </c>
      <c r="U66" s="130">
        <v>1.53</v>
      </c>
      <c r="V66" s="131">
        <v>1.9800000000000002E-2</v>
      </c>
      <c r="W66" s="131">
        <v>1.9800000000000002E-2</v>
      </c>
      <c r="X66" s="132">
        <v>1.2199999999999999E-3</v>
      </c>
      <c r="Y66" s="131">
        <v>3.95E-2</v>
      </c>
      <c r="Z66" s="29">
        <v>2716.5</v>
      </c>
      <c r="AA66" s="29">
        <v>800.4</v>
      </c>
      <c r="AB66" s="9">
        <f t="shared" si="0"/>
        <v>3516.9</v>
      </c>
      <c r="AC66" s="9">
        <f t="shared" si="28"/>
        <v>22261.98</v>
      </c>
      <c r="AD66" s="9">
        <v>0.39</v>
      </c>
      <c r="AE66" s="9">
        <v>4.99</v>
      </c>
      <c r="AF66" s="21">
        <f>2.41-AJ66</f>
        <v>2.17</v>
      </c>
      <c r="AG66" s="18">
        <f>0.53-AQ66</f>
        <v>0.47</v>
      </c>
      <c r="AH66" s="9">
        <v>2.78</v>
      </c>
      <c r="AI66" s="43">
        <v>855</v>
      </c>
      <c r="AJ66" s="21">
        <f t="shared" si="1"/>
        <v>0.24</v>
      </c>
      <c r="AK66" s="9">
        <v>0</v>
      </c>
      <c r="AL66" s="9">
        <v>0</v>
      </c>
      <c r="AM66" s="9">
        <v>0.27</v>
      </c>
      <c r="AN66" s="13"/>
      <c r="AO66" s="13">
        <v>424.8</v>
      </c>
      <c r="AP66" s="13">
        <f t="shared" si="24"/>
        <v>5.58</v>
      </c>
      <c r="AQ66" s="18">
        <f t="shared" si="2"/>
        <v>0.06</v>
      </c>
      <c r="AR66" s="9">
        <v>0.62</v>
      </c>
      <c r="AS66" s="9">
        <v>0.39</v>
      </c>
      <c r="AT66" s="9">
        <v>7.0000000000000007E-2</v>
      </c>
      <c r="AU66" s="9">
        <v>3.56</v>
      </c>
      <c r="AV66" s="9">
        <v>0.13</v>
      </c>
      <c r="AW66" s="9">
        <f>1.11+0.29+0.31</f>
        <v>1.71</v>
      </c>
      <c r="AX66" s="9">
        <f>1.53+0.42</f>
        <v>1.95</v>
      </c>
      <c r="AY66" s="69">
        <f t="shared" si="25"/>
        <v>19.8</v>
      </c>
      <c r="AZ66" s="13">
        <v>19.8</v>
      </c>
      <c r="BA66" s="13">
        <f t="shared" si="3"/>
        <v>0</v>
      </c>
      <c r="BB66" s="9">
        <f t="shared" si="4"/>
        <v>69634.62</v>
      </c>
      <c r="BC66" s="9">
        <v>19.8</v>
      </c>
      <c r="BD66" s="10">
        <v>44409</v>
      </c>
      <c r="BE66" s="9">
        <f t="shared" si="5"/>
        <v>1371.59</v>
      </c>
      <c r="BF66" s="9">
        <f t="shared" si="6"/>
        <v>17549.330000000002</v>
      </c>
      <c r="BG66" s="9">
        <f t="shared" si="7"/>
        <v>7631.67</v>
      </c>
      <c r="BH66" s="9">
        <f t="shared" si="8"/>
        <v>1652.94</v>
      </c>
      <c r="BI66" s="9">
        <f t="shared" si="9"/>
        <v>9776.98</v>
      </c>
      <c r="BJ66" s="9">
        <f t="shared" si="10"/>
        <v>844.06</v>
      </c>
      <c r="BK66" s="9">
        <f t="shared" si="11"/>
        <v>0</v>
      </c>
      <c r="BL66" s="9">
        <f t="shared" si="12"/>
        <v>0</v>
      </c>
      <c r="BM66" s="9">
        <f t="shared" si="13"/>
        <v>949.56</v>
      </c>
      <c r="BN66" s="9">
        <f t="shared" si="14"/>
        <v>211.01</v>
      </c>
      <c r="BO66" s="9">
        <f t="shared" si="15"/>
        <v>2180.48</v>
      </c>
      <c r="BP66" s="9">
        <f t="shared" si="16"/>
        <v>1371.59</v>
      </c>
      <c r="BQ66" s="9">
        <f t="shared" si="17"/>
        <v>246.18</v>
      </c>
      <c r="BR66" s="9">
        <f t="shared" si="18"/>
        <v>12520.16</v>
      </c>
      <c r="BS66" s="9">
        <f t="shared" si="19"/>
        <v>457.2</v>
      </c>
      <c r="BT66" s="9">
        <f t="shared" si="20"/>
        <v>6013.9</v>
      </c>
      <c r="BU66" s="9">
        <f t="shared" si="21"/>
        <v>6857.96</v>
      </c>
      <c r="BV66" s="17">
        <f t="shared" si="22"/>
        <v>69634.61</v>
      </c>
      <c r="BW66" s="17">
        <v>1.57</v>
      </c>
      <c r="BX66" s="17">
        <v>0.04</v>
      </c>
      <c r="BY66" s="17">
        <v>0.26</v>
      </c>
      <c r="BZ66" s="17">
        <v>0.05</v>
      </c>
      <c r="CA66" s="29">
        <v>6.33</v>
      </c>
      <c r="CB66" s="325"/>
      <c r="CC66" s="13">
        <v>190175.04</v>
      </c>
      <c r="CD66" s="13">
        <v>12078.06</v>
      </c>
      <c r="CE66" s="13">
        <v>13350.66</v>
      </c>
      <c r="CF66" s="13">
        <v>1600.87</v>
      </c>
      <c r="CG66" s="13">
        <v>1080.54</v>
      </c>
      <c r="CH66" s="13">
        <v>0</v>
      </c>
      <c r="CI66" s="13">
        <v>1704.41</v>
      </c>
      <c r="CJ66" s="13">
        <v>12192</v>
      </c>
      <c r="CK66" s="13">
        <v>1352.57</v>
      </c>
      <c r="CL66" s="13">
        <v>645420.6</v>
      </c>
      <c r="CM66" s="13">
        <v>40988.949999999997</v>
      </c>
      <c r="CN66" s="13">
        <v>45116.92</v>
      </c>
      <c r="CO66" s="13">
        <v>5622.58</v>
      </c>
      <c r="CP66" s="13">
        <v>3667.18</v>
      </c>
      <c r="CQ66" s="13">
        <v>0</v>
      </c>
      <c r="CR66" s="13">
        <v>636798.41</v>
      </c>
      <c r="CS66" s="13">
        <v>47366.03</v>
      </c>
      <c r="CT66" s="13">
        <v>46563.72</v>
      </c>
      <c r="CU66" s="13">
        <v>9284.34</v>
      </c>
      <c r="CV66" s="13">
        <v>5304.87</v>
      </c>
      <c r="CW66" s="13">
        <v>0</v>
      </c>
      <c r="CX66" s="13">
        <v>64524.5</v>
      </c>
      <c r="CY66" s="13">
        <v>-2421.42</v>
      </c>
      <c r="CZ66" s="13">
        <v>1062.04</v>
      </c>
      <c r="DA66" s="13">
        <v>363.68</v>
      </c>
      <c r="DB66" s="13">
        <v>181.12</v>
      </c>
      <c r="DC66" s="13"/>
      <c r="DD66" s="315">
        <v>740816.23</v>
      </c>
      <c r="DE66" s="317">
        <v>745317.37</v>
      </c>
      <c r="DF66" s="317">
        <v>100.61</v>
      </c>
      <c r="DG66" s="318">
        <v>63709.919999999998</v>
      </c>
      <c r="DH66" s="310">
        <v>28538.16</v>
      </c>
      <c r="DI66" s="310">
        <v>16321.32</v>
      </c>
      <c r="DJ66" s="312">
        <v>0</v>
      </c>
      <c r="DK66" s="362">
        <v>0</v>
      </c>
      <c r="DL66" s="362"/>
      <c r="DM66" s="362">
        <v>0</v>
      </c>
      <c r="DN66" s="362">
        <v>0</v>
      </c>
      <c r="DO66" s="362">
        <v>0</v>
      </c>
      <c r="DP66" s="362">
        <v>0</v>
      </c>
      <c r="DQ66" s="362">
        <v>0</v>
      </c>
      <c r="DR66" s="362"/>
      <c r="DS66" s="362">
        <v>0</v>
      </c>
      <c r="DT66" s="362"/>
      <c r="DU66" s="362">
        <v>0</v>
      </c>
      <c r="DV66" s="362">
        <v>0</v>
      </c>
      <c r="DW66" s="362">
        <v>0</v>
      </c>
      <c r="DX66" s="362">
        <v>0</v>
      </c>
      <c r="DY66" s="362">
        <v>0</v>
      </c>
      <c r="DZ66" s="375">
        <v>0</v>
      </c>
      <c r="EA66" s="362">
        <v>0</v>
      </c>
      <c r="EB66" s="362">
        <v>0</v>
      </c>
      <c r="EC66" s="362"/>
      <c r="ED66" s="362">
        <v>251820.18</v>
      </c>
      <c r="EE66" s="362">
        <v>12800</v>
      </c>
      <c r="EF66" s="362"/>
      <c r="EG66" s="362">
        <v>13608</v>
      </c>
      <c r="EH66" s="362">
        <v>106400</v>
      </c>
      <c r="EI66" s="362"/>
      <c r="EJ66" s="362">
        <v>57120</v>
      </c>
      <c r="EK66" s="362"/>
      <c r="EL66" s="362">
        <v>0</v>
      </c>
      <c r="EM66" s="362">
        <v>2370.39</v>
      </c>
      <c r="EN66" s="362">
        <v>0</v>
      </c>
      <c r="EO66" s="362">
        <v>0</v>
      </c>
      <c r="EP66" s="362">
        <v>215154</v>
      </c>
      <c r="EQ66" s="362">
        <v>10080</v>
      </c>
      <c r="ER66" s="362">
        <v>16380</v>
      </c>
      <c r="ES66" s="362">
        <v>0</v>
      </c>
      <c r="ET66" s="362">
        <v>11660</v>
      </c>
      <c r="EU66" s="362">
        <v>0</v>
      </c>
      <c r="EV66" s="362">
        <v>30100.89</v>
      </c>
      <c r="EW66" s="362"/>
      <c r="EX66" s="202"/>
      <c r="EY66" s="202"/>
      <c r="EZ66" s="229"/>
      <c r="FA66" s="368">
        <v>51909.57</v>
      </c>
      <c r="FB66" s="368">
        <v>29964.99</v>
      </c>
      <c r="FC66" s="368">
        <v>0</v>
      </c>
      <c r="FD66" s="368">
        <v>0</v>
      </c>
      <c r="FE66" s="368">
        <v>4919.08</v>
      </c>
      <c r="FF66" s="368">
        <v>3225.33</v>
      </c>
      <c r="FG66" s="368">
        <v>-459.41</v>
      </c>
      <c r="FH66" s="368">
        <v>-1140.19</v>
      </c>
      <c r="FI66" s="368">
        <v>0</v>
      </c>
      <c r="FJ66" s="368">
        <v>0</v>
      </c>
      <c r="FK66" s="368">
        <v>3074.72</v>
      </c>
      <c r="FL66" s="368">
        <v>0</v>
      </c>
      <c r="FM66" s="368">
        <v>94022.3</v>
      </c>
      <c r="FN66" s="368">
        <v>59783.85</v>
      </c>
      <c r="FO66" s="323">
        <v>926159.09</v>
      </c>
      <c r="FP66" s="323">
        <v>91494.09</v>
      </c>
      <c r="FQ66" s="323">
        <v>1017653.18</v>
      </c>
      <c r="FR66" s="338">
        <v>96475.56</v>
      </c>
      <c r="FS66" s="338">
        <v>24329.79</v>
      </c>
      <c r="FT66" s="377">
        <v>120805.35</v>
      </c>
      <c r="FU66" s="377">
        <v>849492.05</v>
      </c>
      <c r="FV66" s="377">
        <v>124858.33</v>
      </c>
      <c r="FW66" s="362">
        <v>974350.38</v>
      </c>
      <c r="FX66" s="362">
        <v>859793.86</v>
      </c>
      <c r="FY66" s="362">
        <v>146767.76</v>
      </c>
      <c r="FZ66" s="362">
        <v>1006561.62</v>
      </c>
      <c r="GA66" s="362">
        <v>86173.75</v>
      </c>
      <c r="GB66" s="362">
        <v>2420.36</v>
      </c>
      <c r="GC66" s="362">
        <v>88594.11</v>
      </c>
      <c r="GD66" s="362">
        <v>11600.93</v>
      </c>
      <c r="GE66" s="362">
        <v>-28843.8</v>
      </c>
      <c r="GF66" s="362">
        <v>-17242.87</v>
      </c>
      <c r="GG66" s="202">
        <v>24884.19</v>
      </c>
      <c r="GH66" s="416">
        <v>87</v>
      </c>
      <c r="GI66" s="414">
        <v>1524</v>
      </c>
      <c r="GJ66" s="419">
        <v>218285.17</v>
      </c>
      <c r="GK66" s="396">
        <v>24884.19</v>
      </c>
      <c r="GL66" s="202">
        <v>21649.245299999999</v>
      </c>
      <c r="GM66" s="202">
        <v>3234.9447</v>
      </c>
      <c r="GN66" s="323">
        <v>-76667.039999999994</v>
      </c>
      <c r="GO66" s="323">
        <v>33364.239999999998</v>
      </c>
      <c r="GP66" s="323">
        <v>-43302.8</v>
      </c>
      <c r="GQ66" s="323">
        <v>-65066.11</v>
      </c>
      <c r="GR66" s="323">
        <v>4520.4399999999996</v>
      </c>
      <c r="GS66" s="323">
        <v>-60545.67</v>
      </c>
    </row>
    <row r="67" spans="1:201" ht="12.75" customHeight="1" x14ac:dyDescent="0.2">
      <c r="A67" s="45" t="s">
        <v>104</v>
      </c>
      <c r="B67" s="66" t="s">
        <v>93</v>
      </c>
      <c r="C67" s="67" t="s">
        <v>67</v>
      </c>
      <c r="D67" s="390" t="s">
        <v>626</v>
      </c>
      <c r="E67" s="67"/>
      <c r="F67" s="11">
        <v>5</v>
      </c>
      <c r="G67" s="11">
        <v>5</v>
      </c>
      <c r="H67" s="11">
        <v>100</v>
      </c>
      <c r="I67" s="11">
        <v>0</v>
      </c>
      <c r="J67" s="11">
        <v>135</v>
      </c>
      <c r="K67" s="11">
        <v>199</v>
      </c>
      <c r="L67" s="11" t="s">
        <v>746</v>
      </c>
      <c r="M67" s="84">
        <v>300</v>
      </c>
      <c r="N67" s="84">
        <v>1086.3</v>
      </c>
      <c r="O67" s="84">
        <v>0</v>
      </c>
      <c r="P67" s="138">
        <v>300</v>
      </c>
      <c r="Q67" s="138">
        <v>1086.3</v>
      </c>
      <c r="R67" s="138">
        <v>0</v>
      </c>
      <c r="S67" s="133">
        <f t="shared" si="23"/>
        <v>1386.3</v>
      </c>
      <c r="T67" s="138">
        <v>300</v>
      </c>
      <c r="U67" s="130">
        <v>1.53</v>
      </c>
      <c r="V67" s="131">
        <v>1.9800000000000002E-2</v>
      </c>
      <c r="W67" s="131">
        <v>1.9800000000000002E-2</v>
      </c>
      <c r="X67" s="132">
        <v>1.2199999999999999E-3</v>
      </c>
      <c r="Y67" s="131">
        <v>3.95E-2</v>
      </c>
      <c r="Z67" s="29">
        <v>3939.48</v>
      </c>
      <c r="AA67" s="29">
        <v>41.4</v>
      </c>
      <c r="AB67" s="9">
        <f t="shared" si="0"/>
        <v>3980.88</v>
      </c>
      <c r="AC67" s="9">
        <f t="shared" si="28"/>
        <v>25198.97</v>
      </c>
      <c r="AD67" s="9">
        <v>0.39</v>
      </c>
      <c r="AE67" s="9">
        <v>4.55</v>
      </c>
      <c r="AF67" s="21">
        <f>2.42-AJ67</f>
        <v>2.17</v>
      </c>
      <c r="AG67" s="18">
        <f>0.54-AQ67</f>
        <v>0.46</v>
      </c>
      <c r="AH67" s="9">
        <v>2.78</v>
      </c>
      <c r="AI67" s="43">
        <v>982</v>
      </c>
      <c r="AJ67" s="21">
        <f t="shared" si="1"/>
        <v>0.25</v>
      </c>
      <c r="AK67" s="9">
        <v>0</v>
      </c>
      <c r="AL67" s="9">
        <v>0</v>
      </c>
      <c r="AM67" s="9">
        <v>0</v>
      </c>
      <c r="AN67" s="13"/>
      <c r="AO67" s="13">
        <v>708</v>
      </c>
      <c r="AP67" s="13">
        <f t="shared" si="24"/>
        <v>5.58</v>
      </c>
      <c r="AQ67" s="18">
        <f t="shared" si="2"/>
        <v>0.08</v>
      </c>
      <c r="AR67" s="9">
        <v>0.84</v>
      </c>
      <c r="AS67" s="9">
        <v>0.34</v>
      </c>
      <c r="AT67" s="9">
        <v>7.0000000000000007E-2</v>
      </c>
      <c r="AU67" s="9">
        <v>4.09</v>
      </c>
      <c r="AV67" s="9">
        <v>0.11</v>
      </c>
      <c r="AW67" s="9">
        <f>1.08+0.36+0.34</f>
        <v>1.78</v>
      </c>
      <c r="AX67" s="9">
        <f>1.48+0.48</f>
        <v>1.96</v>
      </c>
      <c r="AY67" s="69">
        <f t="shared" si="25"/>
        <v>19.87</v>
      </c>
      <c r="AZ67" s="13">
        <v>19.87</v>
      </c>
      <c r="BA67" s="13">
        <f t="shared" si="3"/>
        <v>0</v>
      </c>
      <c r="BB67" s="9">
        <f t="shared" si="4"/>
        <v>79100.09</v>
      </c>
      <c r="BC67" s="9">
        <v>19.87</v>
      </c>
      <c r="BD67" s="10">
        <v>44440</v>
      </c>
      <c r="BE67" s="9">
        <f t="shared" si="5"/>
        <v>1552.54</v>
      </c>
      <c r="BF67" s="9">
        <f t="shared" si="6"/>
        <v>18113</v>
      </c>
      <c r="BG67" s="9">
        <f t="shared" si="7"/>
        <v>8638.51</v>
      </c>
      <c r="BH67" s="9">
        <f t="shared" si="8"/>
        <v>1831.2</v>
      </c>
      <c r="BI67" s="9">
        <f t="shared" si="9"/>
        <v>11066.85</v>
      </c>
      <c r="BJ67" s="9">
        <f t="shared" si="10"/>
        <v>995.22</v>
      </c>
      <c r="BK67" s="9">
        <f t="shared" si="11"/>
        <v>0</v>
      </c>
      <c r="BL67" s="9">
        <f t="shared" si="12"/>
        <v>0</v>
      </c>
      <c r="BM67" s="9">
        <f t="shared" si="13"/>
        <v>0</v>
      </c>
      <c r="BN67" s="9">
        <f t="shared" si="14"/>
        <v>318.47000000000003</v>
      </c>
      <c r="BO67" s="9">
        <f t="shared" si="15"/>
        <v>3343.94</v>
      </c>
      <c r="BP67" s="9">
        <f t="shared" si="16"/>
        <v>1353.5</v>
      </c>
      <c r="BQ67" s="9">
        <f t="shared" si="17"/>
        <v>278.66000000000003</v>
      </c>
      <c r="BR67" s="9">
        <f t="shared" si="18"/>
        <v>16281.8</v>
      </c>
      <c r="BS67" s="9">
        <f t="shared" si="19"/>
        <v>437.9</v>
      </c>
      <c r="BT67" s="9">
        <f t="shared" si="20"/>
        <v>7085.97</v>
      </c>
      <c r="BU67" s="9">
        <f t="shared" si="21"/>
        <v>7802.52</v>
      </c>
      <c r="BV67" s="17">
        <f t="shared" si="22"/>
        <v>79100.08</v>
      </c>
      <c r="BW67" s="17">
        <v>1.78</v>
      </c>
      <c r="BX67" s="17">
        <v>0.04</v>
      </c>
      <c r="BY67" s="17">
        <v>0.23</v>
      </c>
      <c r="BZ67" s="17">
        <v>0.05</v>
      </c>
      <c r="CA67" s="29">
        <v>6.33</v>
      </c>
      <c r="CB67" s="325"/>
      <c r="CC67" s="13">
        <v>4371.4399999999996</v>
      </c>
      <c r="CD67" s="13">
        <v>175.45</v>
      </c>
      <c r="CE67" s="13">
        <v>1701.15</v>
      </c>
      <c r="CF67" s="13">
        <v>271.32</v>
      </c>
      <c r="CG67" s="13">
        <v>25.02</v>
      </c>
      <c r="CH67" s="13">
        <v>0</v>
      </c>
      <c r="CI67" s="13">
        <v>2844.82</v>
      </c>
      <c r="CJ67" s="13">
        <v>22608</v>
      </c>
      <c r="CK67" s="13">
        <v>1531.01</v>
      </c>
      <c r="CL67" s="13">
        <v>939330.36</v>
      </c>
      <c r="CM67" s="13">
        <v>11621.7</v>
      </c>
      <c r="CN67" s="13">
        <v>183856.19</v>
      </c>
      <c r="CO67" s="13">
        <v>1891.2</v>
      </c>
      <c r="CP67" s="13">
        <v>2089.13</v>
      </c>
      <c r="CQ67" s="13">
        <v>0</v>
      </c>
      <c r="CR67" s="13">
        <v>935897.39</v>
      </c>
      <c r="CS67" s="13">
        <v>15030.16</v>
      </c>
      <c r="CT67" s="13">
        <v>151243.91</v>
      </c>
      <c r="CU67" s="13">
        <v>1821.36</v>
      </c>
      <c r="CV67" s="13">
        <v>2051.67</v>
      </c>
      <c r="CW67" s="13">
        <v>0</v>
      </c>
      <c r="CX67" s="13">
        <v>105423.95</v>
      </c>
      <c r="CY67" s="13">
        <v>-5429.29</v>
      </c>
      <c r="CZ67" s="13">
        <v>26341.39</v>
      </c>
      <c r="DA67" s="13">
        <v>212.22</v>
      </c>
      <c r="DB67" s="13">
        <v>252.33</v>
      </c>
      <c r="DC67" s="13"/>
      <c r="DD67" s="315">
        <v>1138788.58</v>
      </c>
      <c r="DE67" s="317">
        <v>1106044.49</v>
      </c>
      <c r="DF67" s="317">
        <v>97.12</v>
      </c>
      <c r="DG67" s="318">
        <v>126800.6</v>
      </c>
      <c r="DH67" s="310">
        <v>41393.760000000002</v>
      </c>
      <c r="DI67" s="310">
        <v>23673.599999999999</v>
      </c>
      <c r="DJ67" s="312">
        <v>0</v>
      </c>
      <c r="DK67" s="362">
        <v>0</v>
      </c>
      <c r="DL67" s="362"/>
      <c r="DM67" s="362">
        <v>0</v>
      </c>
      <c r="DN67" s="362">
        <v>0</v>
      </c>
      <c r="DO67" s="362">
        <v>0</v>
      </c>
      <c r="DP67" s="362">
        <v>0</v>
      </c>
      <c r="DQ67" s="362">
        <v>0</v>
      </c>
      <c r="DR67" s="362"/>
      <c r="DS67" s="362">
        <v>0</v>
      </c>
      <c r="DT67" s="362"/>
      <c r="DU67" s="362">
        <v>0</v>
      </c>
      <c r="DV67" s="362">
        <v>0</v>
      </c>
      <c r="DW67" s="362">
        <v>0</v>
      </c>
      <c r="DX67" s="362">
        <v>0</v>
      </c>
      <c r="DY67" s="362">
        <v>0</v>
      </c>
      <c r="DZ67" s="375">
        <v>0</v>
      </c>
      <c r="EA67" s="362">
        <v>0</v>
      </c>
      <c r="EB67" s="362">
        <v>0</v>
      </c>
      <c r="EC67" s="362"/>
      <c r="ED67" s="362">
        <v>262410.53999999998</v>
      </c>
      <c r="EE67" s="362">
        <v>9096</v>
      </c>
      <c r="EF67" s="362"/>
      <c r="EG67" s="362">
        <v>15624</v>
      </c>
      <c r="EH67" s="362">
        <v>106155</v>
      </c>
      <c r="EI67" s="362"/>
      <c r="EJ67" s="362">
        <v>50820</v>
      </c>
      <c r="EK67" s="362"/>
      <c r="EL67" s="362">
        <v>0</v>
      </c>
      <c r="EM67" s="362">
        <v>3950.64</v>
      </c>
      <c r="EN67" s="362">
        <v>0</v>
      </c>
      <c r="EO67" s="362">
        <v>0</v>
      </c>
      <c r="EP67" s="362">
        <v>243474</v>
      </c>
      <c r="EQ67" s="362">
        <v>17820</v>
      </c>
      <c r="ER67" s="362">
        <v>16380</v>
      </c>
      <c r="ES67" s="362">
        <v>0</v>
      </c>
      <c r="ET67" s="362">
        <v>16112</v>
      </c>
      <c r="EU67" s="362">
        <v>0</v>
      </c>
      <c r="EV67" s="362">
        <v>88456.57</v>
      </c>
      <c r="EW67" s="362"/>
      <c r="EX67" s="202"/>
      <c r="EY67" s="202"/>
      <c r="EZ67" s="229"/>
      <c r="FA67" s="368">
        <v>11735.54</v>
      </c>
      <c r="FB67" s="368">
        <v>210148.67</v>
      </c>
      <c r="FC67" s="368">
        <v>0</v>
      </c>
      <c r="FD67" s="368">
        <v>0</v>
      </c>
      <c r="FE67" s="368">
        <v>1989.71</v>
      </c>
      <c r="FF67" s="368">
        <v>2128.98</v>
      </c>
      <c r="FG67" s="368">
        <v>0</v>
      </c>
      <c r="FH67" s="368">
        <v>-1018.51</v>
      </c>
      <c r="FI67" s="368">
        <v>0</v>
      </c>
      <c r="FJ67" s="368">
        <v>0</v>
      </c>
      <c r="FK67" s="368">
        <v>148218.67000000001</v>
      </c>
      <c r="FL67" s="368">
        <v>0</v>
      </c>
      <c r="FM67" s="368">
        <v>106429.06</v>
      </c>
      <c r="FN67" s="368">
        <v>67672.58</v>
      </c>
      <c r="FO67" s="323">
        <v>1069467.75</v>
      </c>
      <c r="FP67" s="323">
        <v>373203.06</v>
      </c>
      <c r="FQ67" s="323">
        <v>1442670.81</v>
      </c>
      <c r="FR67" s="338">
        <v>78761.399999999994</v>
      </c>
      <c r="FS67" s="338">
        <v>-2609.2399999999998</v>
      </c>
      <c r="FT67" s="377">
        <v>76152.160000000003</v>
      </c>
      <c r="FU67" s="377">
        <v>969154.62</v>
      </c>
      <c r="FV67" s="377">
        <v>203162.17</v>
      </c>
      <c r="FW67" s="362">
        <v>1172316.79</v>
      </c>
      <c r="FX67" s="362">
        <v>941797.49</v>
      </c>
      <c r="FY67" s="362">
        <v>178834.18</v>
      </c>
      <c r="FZ67" s="362">
        <v>1120631.67</v>
      </c>
      <c r="GA67" s="362">
        <v>106118.53</v>
      </c>
      <c r="GB67" s="362">
        <v>21718.75</v>
      </c>
      <c r="GC67" s="362">
        <v>127837.28</v>
      </c>
      <c r="GD67" s="362">
        <v>61811.92</v>
      </c>
      <c r="GE67" s="362">
        <v>-7389.29</v>
      </c>
      <c r="GF67" s="362">
        <v>54422.63</v>
      </c>
      <c r="GG67" s="202">
        <v>1036.68</v>
      </c>
      <c r="GH67" s="416">
        <v>67</v>
      </c>
      <c r="GI67" s="414">
        <v>2019.55</v>
      </c>
      <c r="GJ67" s="419">
        <v>6544.38</v>
      </c>
      <c r="GK67" s="396">
        <v>1036.68</v>
      </c>
      <c r="GL67" s="202">
        <v>694.57560000000001</v>
      </c>
      <c r="GM67" s="202">
        <v>342.1044</v>
      </c>
      <c r="GN67" s="323">
        <v>-100313.13</v>
      </c>
      <c r="GO67" s="323">
        <v>-170040.89</v>
      </c>
      <c r="GP67" s="323">
        <v>-270354.02</v>
      </c>
      <c r="GQ67" s="323">
        <v>-38501.21</v>
      </c>
      <c r="GR67" s="323">
        <v>-177430.18</v>
      </c>
      <c r="GS67" s="323">
        <v>-215931.39</v>
      </c>
    </row>
    <row r="68" spans="1:201" ht="12.75" customHeight="1" x14ac:dyDescent="0.2">
      <c r="A68" s="45" t="s">
        <v>107</v>
      </c>
      <c r="B68" s="66" t="s">
        <v>93</v>
      </c>
      <c r="C68" s="67" t="s">
        <v>67</v>
      </c>
      <c r="D68" s="388" t="s">
        <v>552</v>
      </c>
      <c r="E68" s="67" t="s">
        <v>9</v>
      </c>
      <c r="F68" s="11">
        <v>5</v>
      </c>
      <c r="G68" s="11">
        <v>2</v>
      </c>
      <c r="H68" s="11">
        <v>40</v>
      </c>
      <c r="I68" s="11">
        <v>0</v>
      </c>
      <c r="J68" s="11">
        <v>64</v>
      </c>
      <c r="K68" s="11">
        <v>82</v>
      </c>
      <c r="L68" s="11" t="s">
        <v>746</v>
      </c>
      <c r="M68" s="84">
        <v>444</v>
      </c>
      <c r="N68" s="84">
        <v>827.8</v>
      </c>
      <c r="O68" s="84">
        <v>827.8</v>
      </c>
      <c r="P68" s="135">
        <v>378.7</v>
      </c>
      <c r="Q68" s="135">
        <v>217.1</v>
      </c>
      <c r="R68" s="133">
        <v>827.8</v>
      </c>
      <c r="S68" s="133">
        <f t="shared" si="23"/>
        <v>1423.6</v>
      </c>
      <c r="T68" s="134">
        <v>378.7</v>
      </c>
      <c r="U68" s="130">
        <v>1.53</v>
      </c>
      <c r="V68" s="131">
        <v>1.9800000000000002E-2</v>
      </c>
      <c r="W68" s="131">
        <v>1.9800000000000002E-2</v>
      </c>
      <c r="X68" s="132">
        <v>1.2199999999999999E-3</v>
      </c>
      <c r="Y68" s="131">
        <v>3.95E-2</v>
      </c>
      <c r="Z68" s="29">
        <v>2841.3</v>
      </c>
      <c r="AA68" s="29">
        <v>494</v>
      </c>
      <c r="AB68" s="9">
        <f t="shared" si="0"/>
        <v>3335.3</v>
      </c>
      <c r="AC68" s="9">
        <f t="shared" si="28"/>
        <v>21112.45</v>
      </c>
      <c r="AD68" s="9">
        <v>0.55000000000000004</v>
      </c>
      <c r="AE68" s="9">
        <v>4.12</v>
      </c>
      <c r="AF68" s="21">
        <f>2.36-AJ68</f>
        <v>2.16</v>
      </c>
      <c r="AG68" s="18">
        <f>0.49-AQ68</f>
        <v>0.46</v>
      </c>
      <c r="AH68" s="9">
        <v>2.48</v>
      </c>
      <c r="AI68" s="43">
        <v>677</v>
      </c>
      <c r="AJ68" s="21">
        <f t="shared" si="1"/>
        <v>0.2</v>
      </c>
      <c r="AK68" s="9">
        <v>0</v>
      </c>
      <c r="AL68" s="9">
        <v>0</v>
      </c>
      <c r="AM68" s="9">
        <v>0</v>
      </c>
      <c r="AN68" s="13"/>
      <c r="AO68" s="13">
        <v>224.4</v>
      </c>
      <c r="AP68" s="13">
        <f t="shared" si="24"/>
        <v>5.58</v>
      </c>
      <c r="AQ68" s="18">
        <f t="shared" si="2"/>
        <v>0.03</v>
      </c>
      <c r="AR68" s="9">
        <v>0.41</v>
      </c>
      <c r="AS68" s="9">
        <v>0.41</v>
      </c>
      <c r="AT68" s="9">
        <v>7.0000000000000007E-2</v>
      </c>
      <c r="AU68" s="9">
        <v>4.83</v>
      </c>
      <c r="AV68" s="9">
        <v>0.11</v>
      </c>
      <c r="AW68" s="9">
        <f>0.97+0.2+0.43</f>
        <v>1.6</v>
      </c>
      <c r="AX68" s="9">
        <f>1.33+0.58</f>
        <v>1.91</v>
      </c>
      <c r="AY68" s="69">
        <f t="shared" si="25"/>
        <v>19.34</v>
      </c>
      <c r="AZ68" s="13">
        <v>19.34</v>
      </c>
      <c r="BA68" s="13">
        <f t="shared" si="3"/>
        <v>0</v>
      </c>
      <c r="BB68" s="9">
        <f t="shared" si="4"/>
        <v>64504.7</v>
      </c>
      <c r="BC68" s="9">
        <v>19.34</v>
      </c>
      <c r="BD68" s="10">
        <v>44378</v>
      </c>
      <c r="BE68" s="9">
        <f t="shared" si="5"/>
        <v>1834.42</v>
      </c>
      <c r="BF68" s="9">
        <f t="shared" si="6"/>
        <v>13741.44</v>
      </c>
      <c r="BG68" s="9">
        <f t="shared" si="7"/>
        <v>7204.25</v>
      </c>
      <c r="BH68" s="9">
        <f t="shared" si="8"/>
        <v>1534.24</v>
      </c>
      <c r="BI68" s="9">
        <f t="shared" si="9"/>
        <v>8271.5400000000009</v>
      </c>
      <c r="BJ68" s="9">
        <f t="shared" si="10"/>
        <v>667.06</v>
      </c>
      <c r="BK68" s="9">
        <f t="shared" si="11"/>
        <v>0</v>
      </c>
      <c r="BL68" s="9">
        <f t="shared" si="12"/>
        <v>0</v>
      </c>
      <c r="BM68" s="9">
        <f t="shared" si="13"/>
        <v>0</v>
      </c>
      <c r="BN68" s="9">
        <f t="shared" si="14"/>
        <v>100.06</v>
      </c>
      <c r="BO68" s="9">
        <f t="shared" si="15"/>
        <v>1367.47</v>
      </c>
      <c r="BP68" s="9">
        <f t="shared" si="16"/>
        <v>1367.47</v>
      </c>
      <c r="BQ68" s="9">
        <f t="shared" si="17"/>
        <v>233.47</v>
      </c>
      <c r="BR68" s="9">
        <f t="shared" si="18"/>
        <v>16109.5</v>
      </c>
      <c r="BS68" s="9">
        <f t="shared" si="19"/>
        <v>366.88</v>
      </c>
      <c r="BT68" s="9">
        <f t="shared" si="20"/>
        <v>5336.48</v>
      </c>
      <c r="BU68" s="9">
        <f t="shared" si="21"/>
        <v>6370.42</v>
      </c>
      <c r="BV68" s="17">
        <f t="shared" si="22"/>
        <v>64504.7</v>
      </c>
      <c r="BW68" s="17">
        <v>3.42</v>
      </c>
      <c r="BX68" s="17">
        <v>0.06</v>
      </c>
      <c r="BY68" s="17">
        <v>0.38</v>
      </c>
      <c r="BZ68" s="17">
        <v>7.0000000000000007E-2</v>
      </c>
      <c r="CA68" s="29">
        <v>6.33</v>
      </c>
      <c r="CB68" s="325"/>
      <c r="CC68" s="13">
        <v>114647.52</v>
      </c>
      <c r="CD68" s="13">
        <v>10092.450000000001</v>
      </c>
      <c r="CE68" s="13">
        <v>2623.14</v>
      </c>
      <c r="CF68" s="13">
        <v>59.28</v>
      </c>
      <c r="CG68" s="13">
        <v>197.6</v>
      </c>
      <c r="CH68" s="13">
        <v>0</v>
      </c>
      <c r="CI68" s="13">
        <v>11029.51</v>
      </c>
      <c r="CJ68" s="13">
        <v>22608</v>
      </c>
      <c r="CK68" s="13">
        <v>1282.72</v>
      </c>
      <c r="CL68" s="13">
        <v>659409.12</v>
      </c>
      <c r="CM68" s="13">
        <v>67537.7</v>
      </c>
      <c r="CN68" s="13">
        <v>15087.42</v>
      </c>
      <c r="CO68" s="13">
        <v>340.92</v>
      </c>
      <c r="CP68" s="13">
        <v>1136.42</v>
      </c>
      <c r="CQ68" s="13">
        <v>0</v>
      </c>
      <c r="CR68" s="13">
        <v>673557.26</v>
      </c>
      <c r="CS68" s="13">
        <v>70051.100000000006</v>
      </c>
      <c r="CT68" s="13">
        <v>13754.18</v>
      </c>
      <c r="CU68" s="13">
        <v>404.89</v>
      </c>
      <c r="CV68" s="13">
        <v>1210.01</v>
      </c>
      <c r="CW68" s="13">
        <v>0</v>
      </c>
      <c r="CX68" s="13">
        <v>120850.83</v>
      </c>
      <c r="CY68" s="13">
        <v>15047.13</v>
      </c>
      <c r="CZ68" s="13">
        <v>820.15</v>
      </c>
      <c r="DA68" s="13">
        <v>-103.21</v>
      </c>
      <c r="DB68" s="13">
        <v>122.98</v>
      </c>
      <c r="DC68" s="13"/>
      <c r="DD68" s="315">
        <v>743511.58</v>
      </c>
      <c r="DE68" s="317">
        <v>758977.44</v>
      </c>
      <c r="DF68" s="317">
        <v>102.08</v>
      </c>
      <c r="DG68" s="318">
        <v>136737.88</v>
      </c>
      <c r="DH68" s="310">
        <v>29854.799999999999</v>
      </c>
      <c r="DI68" s="310">
        <v>17074.2</v>
      </c>
      <c r="DJ68" s="312">
        <v>0</v>
      </c>
      <c r="DK68" s="362">
        <v>0</v>
      </c>
      <c r="DL68" s="362"/>
      <c r="DM68" s="362">
        <v>0</v>
      </c>
      <c r="DN68" s="362">
        <v>0</v>
      </c>
      <c r="DO68" s="362">
        <v>0</v>
      </c>
      <c r="DP68" s="362">
        <v>0</v>
      </c>
      <c r="DQ68" s="362">
        <v>0</v>
      </c>
      <c r="DR68" s="362"/>
      <c r="DS68" s="362">
        <v>0</v>
      </c>
      <c r="DT68" s="362"/>
      <c r="DU68" s="362">
        <v>0</v>
      </c>
      <c r="DV68" s="362">
        <v>0</v>
      </c>
      <c r="DW68" s="362">
        <v>0</v>
      </c>
      <c r="DX68" s="362">
        <v>0</v>
      </c>
      <c r="DY68" s="362">
        <v>0</v>
      </c>
      <c r="DZ68" s="375">
        <v>0</v>
      </c>
      <c r="EA68" s="362">
        <v>0</v>
      </c>
      <c r="EB68" s="362">
        <v>0</v>
      </c>
      <c r="EC68" s="362"/>
      <c r="ED68" s="362">
        <v>208031.88</v>
      </c>
      <c r="EE68" s="362">
        <v>9094</v>
      </c>
      <c r="EF68" s="362"/>
      <c r="EG68" s="362">
        <v>10776</v>
      </c>
      <c r="EH68" s="362">
        <v>0</v>
      </c>
      <c r="EI68" s="362"/>
      <c r="EJ68" s="362">
        <v>0</v>
      </c>
      <c r="EK68" s="362"/>
      <c r="EL68" s="362">
        <v>0</v>
      </c>
      <c r="EM68" s="362">
        <v>1252.1400000000001</v>
      </c>
      <c r="EN68" s="362">
        <v>0</v>
      </c>
      <c r="EO68" s="362">
        <v>0</v>
      </c>
      <c r="EP68" s="362">
        <v>191838</v>
      </c>
      <c r="EQ68" s="362">
        <v>0</v>
      </c>
      <c r="ER68" s="362">
        <v>16380</v>
      </c>
      <c r="ES68" s="362">
        <v>5193</v>
      </c>
      <c r="ET68" s="362">
        <v>6466</v>
      </c>
      <c r="EU68" s="362">
        <v>0</v>
      </c>
      <c r="EV68" s="362">
        <v>16220.37</v>
      </c>
      <c r="EW68" s="362"/>
      <c r="EX68" s="202"/>
      <c r="EY68" s="202"/>
      <c r="EZ68" s="229"/>
      <c r="FA68" s="368">
        <v>80222.509999999995</v>
      </c>
      <c r="FB68" s="368">
        <v>17572.990000000002</v>
      </c>
      <c r="FC68" s="368">
        <v>0</v>
      </c>
      <c r="FD68" s="368">
        <v>0</v>
      </c>
      <c r="FE68" s="368">
        <v>405.26</v>
      </c>
      <c r="FF68" s="368">
        <v>1558.26</v>
      </c>
      <c r="FG68" s="368">
        <v>0</v>
      </c>
      <c r="FH68" s="368">
        <v>-922.92</v>
      </c>
      <c r="FI68" s="368">
        <v>0</v>
      </c>
      <c r="FJ68" s="368">
        <v>0</v>
      </c>
      <c r="FK68" s="368">
        <v>0</v>
      </c>
      <c r="FL68" s="368">
        <v>0</v>
      </c>
      <c r="FM68" s="368">
        <v>89169.44</v>
      </c>
      <c r="FN68" s="368">
        <v>56698.11</v>
      </c>
      <c r="FO68" s="323">
        <v>658047.93999999994</v>
      </c>
      <c r="FP68" s="323">
        <v>98836.1</v>
      </c>
      <c r="FQ68" s="323">
        <v>756884.04</v>
      </c>
      <c r="FR68" s="338">
        <v>115820.74</v>
      </c>
      <c r="FS68" s="338">
        <v>18292.580000000002</v>
      </c>
      <c r="FT68" s="377">
        <v>134113.32</v>
      </c>
      <c r="FU68" s="377">
        <v>807694.15</v>
      </c>
      <c r="FV68" s="377">
        <v>98357.65</v>
      </c>
      <c r="FW68" s="362">
        <v>906051.8</v>
      </c>
      <c r="FX68" s="362">
        <v>780581.3</v>
      </c>
      <c r="FY68" s="362">
        <v>98309.54</v>
      </c>
      <c r="FZ68" s="362">
        <v>878890.84</v>
      </c>
      <c r="GA68" s="362">
        <v>142933.59</v>
      </c>
      <c r="GB68" s="362">
        <v>18340.689999999999</v>
      </c>
      <c r="GC68" s="362">
        <v>161274.28</v>
      </c>
      <c r="GD68" s="362">
        <v>60888</v>
      </c>
      <c r="GE68" s="362">
        <v>4966.18</v>
      </c>
      <c r="GF68" s="362">
        <v>65854.179999999993</v>
      </c>
      <c r="GG68" s="202">
        <v>24536.400000000001</v>
      </c>
      <c r="GH68" s="416">
        <v>90</v>
      </c>
      <c r="GI68" s="414">
        <v>2007.1</v>
      </c>
      <c r="GJ68" s="419">
        <v>127619.99</v>
      </c>
      <c r="GK68" s="396">
        <v>24536.400000000001</v>
      </c>
      <c r="GL68" s="202">
        <v>22082.76</v>
      </c>
      <c r="GM68" s="202">
        <v>2453.64</v>
      </c>
      <c r="GN68" s="323">
        <v>149646.21</v>
      </c>
      <c r="GO68" s="323">
        <v>-478.45</v>
      </c>
      <c r="GP68" s="323">
        <v>149167.76</v>
      </c>
      <c r="GQ68" s="323">
        <v>210534.21</v>
      </c>
      <c r="GR68" s="323">
        <v>4487.7299999999996</v>
      </c>
      <c r="GS68" s="323">
        <v>215021.94</v>
      </c>
    </row>
    <row r="69" spans="1:201" x14ac:dyDescent="0.2">
      <c r="A69" s="45" t="s">
        <v>110</v>
      </c>
      <c r="B69" s="60" t="s">
        <v>93</v>
      </c>
      <c r="C69" s="61" t="s">
        <v>17</v>
      </c>
      <c r="D69" s="390" t="s">
        <v>696</v>
      </c>
      <c r="E69" s="61" t="s">
        <v>9</v>
      </c>
      <c r="F69" s="11">
        <v>9</v>
      </c>
      <c r="G69" s="11">
        <v>1</v>
      </c>
      <c r="H69" s="11">
        <v>54</v>
      </c>
      <c r="I69" s="11">
        <v>0</v>
      </c>
      <c r="J69" s="11">
        <v>82</v>
      </c>
      <c r="K69" s="11">
        <v>121</v>
      </c>
      <c r="L69" s="83">
        <v>1</v>
      </c>
      <c r="M69" s="84">
        <v>294</v>
      </c>
      <c r="N69" s="84">
        <v>341.9</v>
      </c>
      <c r="O69" s="84">
        <v>341.9</v>
      </c>
      <c r="P69" s="135">
        <v>294</v>
      </c>
      <c r="Q69" s="135">
        <v>275</v>
      </c>
      <c r="R69" s="133">
        <v>0</v>
      </c>
      <c r="S69" s="133">
        <f t="shared" si="23"/>
        <v>569</v>
      </c>
      <c r="T69" s="134">
        <v>294</v>
      </c>
      <c r="U69" s="130">
        <v>2.44</v>
      </c>
      <c r="V69" s="131">
        <v>1.9800000000000002E-2</v>
      </c>
      <c r="W69" s="131">
        <v>1.9800000000000002E-2</v>
      </c>
      <c r="X69" s="132">
        <v>1.2199999999999999E-3</v>
      </c>
      <c r="Y69" s="131">
        <v>3.9699999999999999E-2</v>
      </c>
      <c r="Z69" s="29">
        <v>2340.81</v>
      </c>
      <c r="AA69" s="29"/>
      <c r="AB69" s="13">
        <f t="shared" si="0"/>
        <v>2340.81</v>
      </c>
      <c r="AC69" s="9">
        <f t="shared" si="28"/>
        <v>14817.33</v>
      </c>
      <c r="AD69" s="9">
        <v>1.61</v>
      </c>
      <c r="AE69" s="9">
        <v>4.47</v>
      </c>
      <c r="AF69" s="21">
        <f>2.46-AJ69</f>
        <v>2.2999999999999998</v>
      </c>
      <c r="AG69" s="18">
        <f>0.6-AQ69</f>
        <v>0.54</v>
      </c>
      <c r="AH69" s="9">
        <v>2.77</v>
      </c>
      <c r="AI69" s="43">
        <v>374</v>
      </c>
      <c r="AJ69" s="21">
        <f t="shared" si="1"/>
        <v>0.16</v>
      </c>
      <c r="AK69" s="9">
        <v>1.84</v>
      </c>
      <c r="AL69" s="9">
        <v>0.16</v>
      </c>
      <c r="AM69" s="9">
        <v>0.25</v>
      </c>
      <c r="AN69" s="13"/>
      <c r="AO69" s="13">
        <v>305.89999999999998</v>
      </c>
      <c r="AP69" s="13">
        <f t="shared" si="24"/>
        <v>5.58</v>
      </c>
      <c r="AQ69" s="18">
        <f t="shared" si="2"/>
        <v>0.06</v>
      </c>
      <c r="AR69" s="9">
        <v>0.72</v>
      </c>
      <c r="AS69" s="9">
        <v>0.57999999999999996</v>
      </c>
      <c r="AT69" s="9">
        <v>7.0000000000000007E-2</v>
      </c>
      <c r="AU69" s="9">
        <v>4.0999999999999996</v>
      </c>
      <c r="AV69" s="9">
        <v>0.17</v>
      </c>
      <c r="AW69" s="9">
        <f>1.4+0.32+0.36</f>
        <v>2.08</v>
      </c>
      <c r="AX69" s="9">
        <f>1.97+0.48</f>
        <v>2.4500000000000002</v>
      </c>
      <c r="AY69" s="63">
        <f t="shared" si="25"/>
        <v>24.33</v>
      </c>
      <c r="AZ69" s="13">
        <v>24.33</v>
      </c>
      <c r="BA69" s="13">
        <f t="shared" si="3"/>
        <v>0</v>
      </c>
      <c r="BB69" s="9">
        <f t="shared" si="4"/>
        <v>56951.91</v>
      </c>
      <c r="BC69" s="9">
        <v>24.33</v>
      </c>
      <c r="BD69" s="10">
        <v>44440</v>
      </c>
      <c r="BE69" s="9">
        <f t="shared" si="5"/>
        <v>3768.7</v>
      </c>
      <c r="BF69" s="9">
        <f t="shared" si="6"/>
        <v>10463.42</v>
      </c>
      <c r="BG69" s="9">
        <f t="shared" si="7"/>
        <v>5383.86</v>
      </c>
      <c r="BH69" s="9">
        <f t="shared" si="8"/>
        <v>1264.04</v>
      </c>
      <c r="BI69" s="9">
        <f t="shared" si="9"/>
        <v>6484.04</v>
      </c>
      <c r="BJ69" s="9">
        <f t="shared" si="10"/>
        <v>374.53</v>
      </c>
      <c r="BK69" s="9">
        <f t="shared" si="11"/>
        <v>4307.09</v>
      </c>
      <c r="BL69" s="9">
        <f t="shared" si="12"/>
        <v>374.53</v>
      </c>
      <c r="BM69" s="9">
        <f t="shared" si="13"/>
        <v>585.20000000000005</v>
      </c>
      <c r="BN69" s="9">
        <f t="shared" si="14"/>
        <v>140.44999999999999</v>
      </c>
      <c r="BO69" s="9">
        <f t="shared" si="15"/>
        <v>1685.38</v>
      </c>
      <c r="BP69" s="9">
        <f t="shared" si="16"/>
        <v>1357.67</v>
      </c>
      <c r="BQ69" s="9">
        <f t="shared" si="17"/>
        <v>163.86</v>
      </c>
      <c r="BR69" s="9">
        <f t="shared" si="18"/>
        <v>9597.32</v>
      </c>
      <c r="BS69" s="9">
        <f t="shared" si="19"/>
        <v>397.94</v>
      </c>
      <c r="BT69" s="9">
        <f t="shared" si="20"/>
        <v>4868.88</v>
      </c>
      <c r="BU69" s="9">
        <f t="shared" si="21"/>
        <v>5734.98</v>
      </c>
      <c r="BV69" s="17">
        <f t="shared" si="22"/>
        <v>56951.89</v>
      </c>
      <c r="BW69" s="17">
        <v>3.77</v>
      </c>
      <c r="BX69" s="17">
        <v>0.08</v>
      </c>
      <c r="BY69" s="17">
        <v>0.46</v>
      </c>
      <c r="BZ69" s="17">
        <v>0.09</v>
      </c>
      <c r="CA69" s="29">
        <v>6.33</v>
      </c>
      <c r="CB69" s="325"/>
      <c r="CC69" s="13">
        <v>0</v>
      </c>
      <c r="CD69" s="13">
        <v>0</v>
      </c>
      <c r="CE69" s="13">
        <v>0</v>
      </c>
      <c r="CF69" s="13">
        <v>0</v>
      </c>
      <c r="CG69" s="13">
        <v>0</v>
      </c>
      <c r="CH69" s="13">
        <v>0</v>
      </c>
      <c r="CI69" s="13">
        <v>8660.6299999999992</v>
      </c>
      <c r="CJ69" s="13">
        <v>26208</v>
      </c>
      <c r="CK69" s="13">
        <v>900.25</v>
      </c>
      <c r="CL69" s="13">
        <v>683423.16</v>
      </c>
      <c r="CM69" s="13">
        <v>0</v>
      </c>
      <c r="CN69" s="13">
        <v>0</v>
      </c>
      <c r="CO69" s="13">
        <v>374.52</v>
      </c>
      <c r="CP69" s="13">
        <v>1357.89</v>
      </c>
      <c r="CQ69" s="13">
        <v>0</v>
      </c>
      <c r="CR69" s="13">
        <v>660520.92000000004</v>
      </c>
      <c r="CS69" s="13">
        <v>6353.85</v>
      </c>
      <c r="CT69" s="13">
        <v>1604.68</v>
      </c>
      <c r="CU69" s="13">
        <v>1200.51</v>
      </c>
      <c r="CV69" s="13">
        <v>1465.76</v>
      </c>
      <c r="CW69" s="13">
        <v>0</v>
      </c>
      <c r="CX69" s="13">
        <v>91199.69</v>
      </c>
      <c r="CY69" s="13">
        <v>-9530.16</v>
      </c>
      <c r="CZ69" s="13">
        <v>-1018.32</v>
      </c>
      <c r="DA69" s="13">
        <v>-31.72</v>
      </c>
      <c r="DB69" s="13">
        <v>100.67</v>
      </c>
      <c r="DC69" s="13"/>
      <c r="DD69" s="315">
        <v>685155.57</v>
      </c>
      <c r="DE69" s="317">
        <v>671145.72</v>
      </c>
      <c r="DF69" s="317">
        <v>97.96</v>
      </c>
      <c r="DG69" s="318">
        <v>80720.160000000003</v>
      </c>
      <c r="DH69" s="310">
        <v>24595.919999999998</v>
      </c>
      <c r="DI69" s="310">
        <v>14066.64</v>
      </c>
      <c r="DJ69" s="312">
        <v>0</v>
      </c>
      <c r="DK69" s="362">
        <v>0</v>
      </c>
      <c r="DL69" s="362"/>
      <c r="DM69" s="362">
        <v>0</v>
      </c>
      <c r="DN69" s="362">
        <v>0</v>
      </c>
      <c r="DO69" s="362">
        <v>0</v>
      </c>
      <c r="DP69" s="362">
        <v>0</v>
      </c>
      <c r="DQ69" s="362">
        <v>0</v>
      </c>
      <c r="DR69" s="362"/>
      <c r="DS69" s="362">
        <v>0</v>
      </c>
      <c r="DT69" s="362"/>
      <c r="DU69" s="362">
        <v>0</v>
      </c>
      <c r="DV69" s="362">
        <v>0</v>
      </c>
      <c r="DW69" s="362">
        <v>51600</v>
      </c>
      <c r="DX69" s="362">
        <v>0</v>
      </c>
      <c r="DY69" s="362">
        <v>4500</v>
      </c>
      <c r="DZ69" s="375">
        <v>0</v>
      </c>
      <c r="EA69" s="362">
        <v>0</v>
      </c>
      <c r="EB69" s="362">
        <v>0</v>
      </c>
      <c r="EC69" s="362"/>
      <c r="ED69" s="362">
        <v>189195.42</v>
      </c>
      <c r="EE69" s="362">
        <v>9094</v>
      </c>
      <c r="EF69" s="362"/>
      <c r="EG69" s="362">
        <v>5952</v>
      </c>
      <c r="EH69" s="362">
        <v>0</v>
      </c>
      <c r="EI69" s="362"/>
      <c r="EJ69" s="362">
        <v>0</v>
      </c>
      <c r="EK69" s="362"/>
      <c r="EL69" s="362">
        <v>0</v>
      </c>
      <c r="EM69" s="362">
        <v>1706.91</v>
      </c>
      <c r="EN69" s="362">
        <v>0</v>
      </c>
      <c r="EO69" s="362">
        <v>0</v>
      </c>
      <c r="EP69" s="362">
        <v>148158</v>
      </c>
      <c r="EQ69" s="362">
        <v>9720</v>
      </c>
      <c r="ER69" s="362">
        <v>16380</v>
      </c>
      <c r="ES69" s="362">
        <v>5193</v>
      </c>
      <c r="ET69" s="362">
        <v>6741</v>
      </c>
      <c r="EU69" s="362">
        <v>0</v>
      </c>
      <c r="EV69" s="362">
        <v>108930.97</v>
      </c>
      <c r="EW69" s="362"/>
      <c r="EX69" s="202"/>
      <c r="EY69" s="202"/>
      <c r="EZ69" s="229"/>
      <c r="FA69" s="368">
        <v>0</v>
      </c>
      <c r="FB69" s="368">
        <v>0</v>
      </c>
      <c r="FC69" s="368">
        <v>0</v>
      </c>
      <c r="FD69" s="368">
        <v>0</v>
      </c>
      <c r="FE69" s="368">
        <v>613.79999999999995</v>
      </c>
      <c r="FF69" s="368">
        <v>1289.22</v>
      </c>
      <c r="FG69" s="368">
        <v>0</v>
      </c>
      <c r="FH69" s="368">
        <v>-652.91999999999996</v>
      </c>
      <c r="FI69" s="368">
        <v>0</v>
      </c>
      <c r="FJ69" s="368">
        <v>0</v>
      </c>
      <c r="FK69" s="368">
        <v>0</v>
      </c>
      <c r="FL69" s="368">
        <v>0</v>
      </c>
      <c r="FM69" s="368">
        <v>62581.69</v>
      </c>
      <c r="FN69" s="368">
        <v>39792.35</v>
      </c>
      <c r="FO69" s="323">
        <v>698207.9</v>
      </c>
      <c r="FP69" s="323">
        <v>1250.0999999999999</v>
      </c>
      <c r="FQ69" s="323">
        <v>699458</v>
      </c>
      <c r="FR69" s="338">
        <v>60622.98</v>
      </c>
      <c r="FS69" s="338">
        <v>-2631.34</v>
      </c>
      <c r="FT69" s="377">
        <v>57991.64</v>
      </c>
      <c r="FU69" s="377">
        <v>718291.79</v>
      </c>
      <c r="FV69" s="377">
        <v>2632.66</v>
      </c>
      <c r="FW69" s="362">
        <v>720924.45</v>
      </c>
      <c r="FX69" s="362">
        <v>687715.08</v>
      </c>
      <c r="FY69" s="362">
        <v>10480.85</v>
      </c>
      <c r="FZ69" s="362">
        <v>698195.93</v>
      </c>
      <c r="GA69" s="362">
        <v>91199.69</v>
      </c>
      <c r="GB69" s="362">
        <v>-10479.530000000001</v>
      </c>
      <c r="GC69" s="362">
        <v>80720.160000000003</v>
      </c>
      <c r="GD69" s="362">
        <v>-123714.62</v>
      </c>
      <c r="GE69" s="362">
        <v>16270.59</v>
      </c>
      <c r="GF69" s="362">
        <v>-107444.03</v>
      </c>
      <c r="GG69" s="202"/>
      <c r="GH69" s="416"/>
      <c r="GI69" s="414">
        <v>2019.55</v>
      </c>
      <c r="GJ69" s="419">
        <v>0</v>
      </c>
      <c r="GK69" s="396"/>
      <c r="GL69" s="202">
        <v>0</v>
      </c>
      <c r="GM69" s="202">
        <v>0</v>
      </c>
      <c r="GN69" s="323">
        <v>20083.89</v>
      </c>
      <c r="GO69" s="323">
        <v>1382.56</v>
      </c>
      <c r="GP69" s="323">
        <v>21466.45</v>
      </c>
      <c r="GQ69" s="323">
        <v>-103630.73</v>
      </c>
      <c r="GR69" s="323">
        <v>17653.150000000001</v>
      </c>
      <c r="GS69" s="323">
        <v>-85977.58</v>
      </c>
    </row>
    <row r="70" spans="1:201" x14ac:dyDescent="0.2">
      <c r="A70" s="45" t="s">
        <v>112</v>
      </c>
      <c r="B70" s="60" t="s">
        <v>93</v>
      </c>
      <c r="C70" s="61" t="s">
        <v>27</v>
      </c>
      <c r="D70" s="388" t="s">
        <v>417</v>
      </c>
      <c r="E70" s="61" t="s">
        <v>12</v>
      </c>
      <c r="F70" s="11">
        <v>9</v>
      </c>
      <c r="G70" s="11">
        <v>4</v>
      </c>
      <c r="H70" s="11">
        <v>206</v>
      </c>
      <c r="I70" s="11">
        <v>0</v>
      </c>
      <c r="J70" s="11">
        <v>352</v>
      </c>
      <c r="K70" s="11">
        <v>426</v>
      </c>
      <c r="L70" s="11">
        <v>4</v>
      </c>
      <c r="M70" s="84">
        <v>557.20000000000005</v>
      </c>
      <c r="N70" s="84">
        <v>814.6</v>
      </c>
      <c r="O70" s="84">
        <v>814.6</v>
      </c>
      <c r="P70" s="135">
        <v>1148.4000000000001</v>
      </c>
      <c r="Q70" s="135">
        <v>815.6</v>
      </c>
      <c r="R70" s="133">
        <v>0</v>
      </c>
      <c r="S70" s="133">
        <f t="shared" si="23"/>
        <v>1964</v>
      </c>
      <c r="T70" s="134">
        <v>1149</v>
      </c>
      <c r="U70" s="130">
        <v>2.44</v>
      </c>
      <c r="V70" s="131">
        <v>1.9800000000000002E-2</v>
      </c>
      <c r="W70" s="131">
        <v>1.9800000000000002E-2</v>
      </c>
      <c r="X70" s="132">
        <v>1.2199999999999999E-3</v>
      </c>
      <c r="Y70" s="131">
        <v>3.9699999999999999E-2</v>
      </c>
      <c r="Z70" s="29">
        <v>8989.3799999999992</v>
      </c>
      <c r="AA70" s="29">
        <v>1673.8</v>
      </c>
      <c r="AB70" s="9">
        <f t="shared" si="0"/>
        <v>10663.18</v>
      </c>
      <c r="AC70" s="9">
        <f t="shared" si="28"/>
        <v>67497.929999999993</v>
      </c>
      <c r="AD70" s="9">
        <v>1.48</v>
      </c>
      <c r="AE70" s="9">
        <v>5.1100000000000003</v>
      </c>
      <c r="AF70" s="21">
        <f>2.48-AJ70</f>
        <v>2.34</v>
      </c>
      <c r="AG70" s="18">
        <f>0.57-AQ70</f>
        <v>0.52</v>
      </c>
      <c r="AH70" s="9">
        <v>2.77</v>
      </c>
      <c r="AI70" s="43">
        <v>1531</v>
      </c>
      <c r="AJ70" s="21">
        <f t="shared" si="1"/>
        <v>0.14000000000000001</v>
      </c>
      <c r="AK70" s="9">
        <v>1.62</v>
      </c>
      <c r="AL70" s="9">
        <v>0.14000000000000001</v>
      </c>
      <c r="AM70" s="9">
        <v>0.05</v>
      </c>
      <c r="AN70" s="13"/>
      <c r="AO70" s="13">
        <v>1223.5999999999999</v>
      </c>
      <c r="AP70" s="13">
        <f t="shared" si="24"/>
        <v>5.58</v>
      </c>
      <c r="AQ70" s="18">
        <f t="shared" si="2"/>
        <v>0.05</v>
      </c>
      <c r="AR70" s="9">
        <v>0.61</v>
      </c>
      <c r="AS70" s="9">
        <v>0.26</v>
      </c>
      <c r="AT70" s="9">
        <v>7.0000000000000007E-2</v>
      </c>
      <c r="AU70" s="9">
        <v>3.63</v>
      </c>
      <c r="AV70" s="9">
        <v>0.16</v>
      </c>
      <c r="AW70" s="9">
        <f>1.36+0.33+0.32</f>
        <v>2.0099999999999998</v>
      </c>
      <c r="AX70" s="9">
        <f>1.9+0.43</f>
        <v>2.33</v>
      </c>
      <c r="AY70" s="63">
        <f t="shared" si="25"/>
        <v>23.29</v>
      </c>
      <c r="AZ70" s="13">
        <v>23.29</v>
      </c>
      <c r="BA70" s="13">
        <f t="shared" si="3"/>
        <v>0</v>
      </c>
      <c r="BB70" s="9">
        <f t="shared" si="4"/>
        <v>248345.46</v>
      </c>
      <c r="BC70" s="9">
        <v>23.29</v>
      </c>
      <c r="BD70" s="10">
        <v>44409</v>
      </c>
      <c r="BE70" s="9">
        <f t="shared" si="5"/>
        <v>15781.51</v>
      </c>
      <c r="BF70" s="9">
        <f t="shared" si="6"/>
        <v>54488.85</v>
      </c>
      <c r="BG70" s="9">
        <f t="shared" si="7"/>
        <v>24951.84</v>
      </c>
      <c r="BH70" s="9">
        <f t="shared" si="8"/>
        <v>5544.85</v>
      </c>
      <c r="BI70" s="9">
        <f t="shared" si="9"/>
        <v>29537.01</v>
      </c>
      <c r="BJ70" s="9">
        <f t="shared" si="10"/>
        <v>1492.85</v>
      </c>
      <c r="BK70" s="9">
        <f t="shared" si="11"/>
        <v>17274.349999999999</v>
      </c>
      <c r="BL70" s="9">
        <f t="shared" si="12"/>
        <v>1492.85</v>
      </c>
      <c r="BM70" s="9">
        <f t="shared" si="13"/>
        <v>533.16</v>
      </c>
      <c r="BN70" s="9">
        <f t="shared" si="14"/>
        <v>533.16</v>
      </c>
      <c r="BO70" s="9">
        <f t="shared" si="15"/>
        <v>6504.54</v>
      </c>
      <c r="BP70" s="9">
        <f t="shared" si="16"/>
        <v>2772.43</v>
      </c>
      <c r="BQ70" s="9">
        <f t="shared" si="17"/>
        <v>746.42</v>
      </c>
      <c r="BR70" s="9">
        <f t="shared" si="18"/>
        <v>38707.339999999997</v>
      </c>
      <c r="BS70" s="9">
        <f t="shared" si="19"/>
        <v>1706.11</v>
      </c>
      <c r="BT70" s="9">
        <f t="shared" si="20"/>
        <v>21432.99</v>
      </c>
      <c r="BU70" s="9">
        <f t="shared" si="21"/>
        <v>24845.21</v>
      </c>
      <c r="BV70" s="17">
        <f t="shared" si="22"/>
        <v>248345.47</v>
      </c>
      <c r="BW70" s="17">
        <v>2.4500000000000002</v>
      </c>
      <c r="BX70" s="17">
        <v>7.0000000000000007E-2</v>
      </c>
      <c r="BY70" s="17">
        <v>0.39</v>
      </c>
      <c r="BZ70" s="17">
        <v>0.08</v>
      </c>
      <c r="CA70" s="29">
        <v>6.33</v>
      </c>
      <c r="CB70" s="325"/>
      <c r="CC70" s="13">
        <v>467793.72</v>
      </c>
      <c r="CD70" s="13">
        <v>10009.39</v>
      </c>
      <c r="CE70" s="13">
        <v>51469.37</v>
      </c>
      <c r="CF70" s="13">
        <v>9775.07</v>
      </c>
      <c r="CG70" s="13">
        <v>5339.43</v>
      </c>
      <c r="CH70" s="13">
        <v>0</v>
      </c>
      <c r="CI70" s="13">
        <v>7932.42</v>
      </c>
      <c r="CJ70" s="13">
        <v>59616</v>
      </c>
      <c r="CK70" s="13">
        <v>4100.91</v>
      </c>
      <c r="CL70" s="13">
        <v>2512073.5299999998</v>
      </c>
      <c r="CM70" s="13">
        <v>53755.85</v>
      </c>
      <c r="CN70" s="13">
        <v>281906.71999999997</v>
      </c>
      <c r="CO70" s="13">
        <v>47014.44</v>
      </c>
      <c r="CP70" s="13">
        <v>28676.67</v>
      </c>
      <c r="CQ70" s="13">
        <v>0</v>
      </c>
      <c r="CR70" s="13">
        <v>2445733.04</v>
      </c>
      <c r="CS70" s="13">
        <v>58243.3</v>
      </c>
      <c r="CT70" s="13">
        <v>226249.93</v>
      </c>
      <c r="CU70" s="13">
        <v>40892.18</v>
      </c>
      <c r="CV70" s="13">
        <v>27072.080000000002</v>
      </c>
      <c r="CW70" s="13">
        <v>0</v>
      </c>
      <c r="CX70" s="13">
        <v>291110.74</v>
      </c>
      <c r="CY70" s="13">
        <v>-6261.62</v>
      </c>
      <c r="CZ70" s="13">
        <v>33670.19</v>
      </c>
      <c r="DA70" s="13">
        <v>5155.67</v>
      </c>
      <c r="DB70" s="13">
        <v>3149.04</v>
      </c>
      <c r="DC70" s="13"/>
      <c r="DD70" s="315">
        <v>2923427.21</v>
      </c>
      <c r="DE70" s="317">
        <v>2798190.53</v>
      </c>
      <c r="DF70" s="317">
        <v>95.72</v>
      </c>
      <c r="DG70" s="318">
        <v>326824.02</v>
      </c>
      <c r="DH70" s="310">
        <v>94454.16</v>
      </c>
      <c r="DI70" s="310">
        <v>54019.32</v>
      </c>
      <c r="DJ70" s="312">
        <v>0</v>
      </c>
      <c r="DK70" s="362">
        <v>0</v>
      </c>
      <c r="DL70" s="362"/>
      <c r="DM70" s="362">
        <v>0</v>
      </c>
      <c r="DN70" s="362">
        <v>0</v>
      </c>
      <c r="DO70" s="362">
        <v>0</v>
      </c>
      <c r="DP70" s="362">
        <v>0</v>
      </c>
      <c r="DQ70" s="362">
        <v>0</v>
      </c>
      <c r="DR70" s="362"/>
      <c r="DS70" s="362">
        <v>0</v>
      </c>
      <c r="DT70" s="362"/>
      <c r="DU70" s="362">
        <v>0</v>
      </c>
      <c r="DV70" s="362">
        <v>0</v>
      </c>
      <c r="DW70" s="362">
        <v>205815.43</v>
      </c>
      <c r="DX70" s="362">
        <v>0</v>
      </c>
      <c r="DY70" s="362">
        <v>18000</v>
      </c>
      <c r="DZ70" s="375">
        <v>0</v>
      </c>
      <c r="EA70" s="362">
        <v>0</v>
      </c>
      <c r="EB70" s="362">
        <v>0</v>
      </c>
      <c r="EC70" s="362"/>
      <c r="ED70" s="362">
        <v>929415.18</v>
      </c>
      <c r="EE70" s="362">
        <v>18800</v>
      </c>
      <c r="EF70" s="362"/>
      <c r="EG70" s="362">
        <v>24366</v>
      </c>
      <c r="EH70" s="362">
        <v>0</v>
      </c>
      <c r="EI70" s="362"/>
      <c r="EJ70" s="362">
        <v>0</v>
      </c>
      <c r="EK70" s="362"/>
      <c r="EL70" s="362">
        <v>0</v>
      </c>
      <c r="EM70" s="362">
        <v>6827.7</v>
      </c>
      <c r="EN70" s="362">
        <v>0</v>
      </c>
      <c r="EO70" s="362">
        <v>0</v>
      </c>
      <c r="EP70" s="362">
        <v>673794</v>
      </c>
      <c r="EQ70" s="362">
        <v>37080</v>
      </c>
      <c r="ER70" s="362">
        <v>31395</v>
      </c>
      <c r="ES70" s="362">
        <v>2885</v>
      </c>
      <c r="ET70" s="362">
        <v>26434</v>
      </c>
      <c r="EU70" s="362">
        <v>0</v>
      </c>
      <c r="EV70" s="362">
        <v>199726.13</v>
      </c>
      <c r="EW70" s="362"/>
      <c r="EX70" s="202"/>
      <c r="EY70" s="202"/>
      <c r="EZ70" s="229"/>
      <c r="FA70" s="368">
        <v>64525.65</v>
      </c>
      <c r="FB70" s="368">
        <v>436566.8</v>
      </c>
      <c r="FC70" s="368">
        <v>0</v>
      </c>
      <c r="FD70" s="368">
        <v>0</v>
      </c>
      <c r="FE70" s="368">
        <v>65322.32</v>
      </c>
      <c r="FF70" s="368">
        <v>38530.519999999997</v>
      </c>
      <c r="FG70" s="368">
        <v>-4080.63</v>
      </c>
      <c r="FH70" s="368">
        <v>-4864.49</v>
      </c>
      <c r="FI70" s="368">
        <v>0</v>
      </c>
      <c r="FJ70" s="368">
        <v>0</v>
      </c>
      <c r="FK70" s="368">
        <v>0</v>
      </c>
      <c r="FL70" s="368">
        <v>0</v>
      </c>
      <c r="FM70" s="368">
        <v>285079.64</v>
      </c>
      <c r="FN70" s="368">
        <v>181266.93</v>
      </c>
      <c r="FO70" s="323">
        <v>2789358.49</v>
      </c>
      <c r="FP70" s="323">
        <v>596000.17000000004</v>
      </c>
      <c r="FQ70" s="323">
        <v>3385358.66</v>
      </c>
      <c r="FR70" s="338">
        <v>309689.06</v>
      </c>
      <c r="FS70" s="338">
        <v>22434.98</v>
      </c>
      <c r="FT70" s="377">
        <v>332124.03999999998</v>
      </c>
      <c r="FU70" s="377">
        <v>3047415.67</v>
      </c>
      <c r="FV70" s="377">
        <v>492047.85</v>
      </c>
      <c r="FW70" s="362">
        <v>3539463.52</v>
      </c>
      <c r="FX70" s="362">
        <v>3022406.89</v>
      </c>
      <c r="FY70" s="362">
        <v>471673.97</v>
      </c>
      <c r="FZ70" s="362">
        <v>3494080.86</v>
      </c>
      <c r="GA70" s="362">
        <v>334697.84000000003</v>
      </c>
      <c r="GB70" s="362">
        <v>42808.86</v>
      </c>
      <c r="GC70" s="362">
        <v>377506.7</v>
      </c>
      <c r="GD70" s="362">
        <v>239269.65</v>
      </c>
      <c r="GE70" s="362">
        <v>1899.75</v>
      </c>
      <c r="GF70" s="362">
        <v>241169.4</v>
      </c>
      <c r="GG70" s="202">
        <v>50682.68</v>
      </c>
      <c r="GH70" s="416">
        <v>86</v>
      </c>
      <c r="GI70" s="414">
        <v>4039.1</v>
      </c>
      <c r="GJ70" s="419">
        <v>544386.98</v>
      </c>
      <c r="GK70" s="396">
        <v>50682.68</v>
      </c>
      <c r="GL70" s="202">
        <v>43587.104800000001</v>
      </c>
      <c r="GM70" s="202">
        <v>7095.5752000000002</v>
      </c>
      <c r="GN70" s="323">
        <v>258057.18</v>
      </c>
      <c r="GO70" s="323">
        <v>-103952.32000000001</v>
      </c>
      <c r="GP70" s="323">
        <v>154104.85999999999</v>
      </c>
      <c r="GQ70" s="323">
        <v>497326.83</v>
      </c>
      <c r="GR70" s="323">
        <v>-102052.57</v>
      </c>
      <c r="GS70" s="323">
        <v>395274.26</v>
      </c>
    </row>
    <row r="71" spans="1:201" x14ac:dyDescent="0.2">
      <c r="A71" s="45" t="s">
        <v>114</v>
      </c>
      <c r="B71" s="60" t="s">
        <v>97</v>
      </c>
      <c r="C71" s="61" t="s">
        <v>15</v>
      </c>
      <c r="D71" s="388" t="s">
        <v>628</v>
      </c>
      <c r="E71" s="61" t="s">
        <v>12</v>
      </c>
      <c r="F71" s="11">
        <v>9</v>
      </c>
      <c r="G71" s="11">
        <v>4</v>
      </c>
      <c r="H71" s="11">
        <v>144</v>
      </c>
      <c r="I71" s="11">
        <v>144</v>
      </c>
      <c r="J71" s="11">
        <v>282</v>
      </c>
      <c r="K71" s="11">
        <v>362</v>
      </c>
      <c r="L71" s="11">
        <v>4</v>
      </c>
      <c r="M71" s="84">
        <v>890</v>
      </c>
      <c r="N71" s="84">
        <v>1150</v>
      </c>
      <c r="O71" s="84">
        <v>0</v>
      </c>
      <c r="P71" s="135">
        <f>429.6+425.6+7.2+59.2</f>
        <v>921.6</v>
      </c>
      <c r="Q71" s="135">
        <v>922.1</v>
      </c>
      <c r="R71" s="133">
        <v>0</v>
      </c>
      <c r="S71" s="133">
        <f t="shared" si="23"/>
        <v>1843.7</v>
      </c>
      <c r="T71" s="134">
        <v>914.4</v>
      </c>
      <c r="U71" s="130">
        <v>2.44</v>
      </c>
      <c r="V71" s="91">
        <v>1.9800000000000002E-2</v>
      </c>
      <c r="W71" s="91">
        <v>1.9800000000000002E-2</v>
      </c>
      <c r="X71" s="132">
        <v>1.32E-3</v>
      </c>
      <c r="Y71" s="91">
        <v>3.9699999999999999E-2</v>
      </c>
      <c r="Z71" s="29">
        <v>7706.7</v>
      </c>
      <c r="AA71" s="29">
        <v>478.7</v>
      </c>
      <c r="AB71" s="9">
        <f t="shared" ref="AB71:AB134" si="29">Z71+AA71</f>
        <v>8185.4</v>
      </c>
      <c r="AC71" s="9">
        <f t="shared" si="28"/>
        <v>51813.58</v>
      </c>
      <c r="AD71" s="9">
        <v>1.46</v>
      </c>
      <c r="AE71" s="9">
        <v>5.3</v>
      </c>
      <c r="AF71" s="21">
        <f>2.42-AJ71</f>
        <v>2.2799999999999998</v>
      </c>
      <c r="AG71" s="18">
        <f>0.6-AQ71</f>
        <v>0.55000000000000004</v>
      </c>
      <c r="AH71" s="9">
        <v>2.78</v>
      </c>
      <c r="AI71" s="43">
        <v>1114</v>
      </c>
      <c r="AJ71" s="21">
        <f t="shared" ref="AJ71:AJ134" si="30">SUM(AI71/AB71)</f>
        <v>0.14000000000000001</v>
      </c>
      <c r="AK71" s="9">
        <v>2.11</v>
      </c>
      <c r="AL71" s="9">
        <v>0.18</v>
      </c>
      <c r="AM71" s="9">
        <v>0.12</v>
      </c>
      <c r="AN71" s="13"/>
      <c r="AO71" s="13">
        <v>844.8</v>
      </c>
      <c r="AP71" s="13">
        <f t="shared" si="24"/>
        <v>5.58</v>
      </c>
      <c r="AQ71" s="18">
        <f t="shared" ref="AQ71:AQ131" si="31">SUM(AN71:AO71)*AP71/AB71/12</f>
        <v>0.05</v>
      </c>
      <c r="AR71" s="9">
        <v>0.54</v>
      </c>
      <c r="AS71" s="9">
        <v>0.17</v>
      </c>
      <c r="AT71" s="9">
        <v>7.0000000000000007E-2</v>
      </c>
      <c r="AU71" s="9">
        <v>3.32</v>
      </c>
      <c r="AV71" s="9">
        <v>0.17</v>
      </c>
      <c r="AW71" s="9">
        <f>1.41+0.26+0.29</f>
        <v>1.96</v>
      </c>
      <c r="AX71" s="9">
        <f>1.98+0.39</f>
        <v>2.37</v>
      </c>
      <c r="AY71" s="63">
        <f t="shared" si="25"/>
        <v>23.57</v>
      </c>
      <c r="AZ71" s="13">
        <v>23.57</v>
      </c>
      <c r="BA71" s="13">
        <f t="shared" ref="BA71:BA134" si="32">SUM(AY71-AZ71)</f>
        <v>0</v>
      </c>
      <c r="BB71" s="9">
        <f t="shared" ref="BB71:BB134" si="33">SUM(AB71*AZ71)</f>
        <v>192929.88</v>
      </c>
      <c r="BC71" s="9">
        <v>23.57</v>
      </c>
      <c r="BD71" s="10">
        <v>44409</v>
      </c>
      <c r="BE71" s="9">
        <f t="shared" ref="BE71:BE134" si="34">SUM(AB71*AD71)</f>
        <v>11950.68</v>
      </c>
      <c r="BF71" s="9">
        <f t="shared" ref="BF71:BF134" si="35">SUM(AB71*AE71)</f>
        <v>43382.62</v>
      </c>
      <c r="BG71" s="9">
        <f t="shared" ref="BG71:BG134" si="36">SUM(AB71*AF71)</f>
        <v>18662.71</v>
      </c>
      <c r="BH71" s="9">
        <f t="shared" ref="BH71:BH134" si="37">SUM(AB71*AG71)</f>
        <v>4501.97</v>
      </c>
      <c r="BI71" s="9">
        <f t="shared" ref="BI71:BI134" si="38">SUM(AB71*AH71)</f>
        <v>22755.41</v>
      </c>
      <c r="BJ71" s="9">
        <f t="shared" ref="BJ71:BJ134" si="39">SUM(AB71*AJ71)</f>
        <v>1145.96</v>
      </c>
      <c r="BK71" s="9">
        <f t="shared" ref="BK71:BK134" si="40">SUM(AB71*AK71)</f>
        <v>17271.189999999999</v>
      </c>
      <c r="BL71" s="9">
        <f t="shared" ref="BL71:BL134" si="41">SUM(AB71*AL71)</f>
        <v>1473.37</v>
      </c>
      <c r="BM71" s="9">
        <f t="shared" ref="BM71:BM134" si="42">SUM(AB71*AM71)</f>
        <v>982.25</v>
      </c>
      <c r="BN71" s="9">
        <f t="shared" ref="BN71:BN134" si="43">SUM(AB71*AQ71)</f>
        <v>409.27</v>
      </c>
      <c r="BO71" s="9">
        <f t="shared" ref="BO71:BO134" si="44">SUM(AB71*AR71)</f>
        <v>4420.12</v>
      </c>
      <c r="BP71" s="9">
        <f t="shared" ref="BP71:BP134" si="45">SUM(AB71*AS71)</f>
        <v>1391.52</v>
      </c>
      <c r="BQ71" s="9">
        <f t="shared" ref="BQ71:BQ134" si="46">SUM(AB71*AT71)</f>
        <v>572.98</v>
      </c>
      <c r="BR71" s="9">
        <f t="shared" ref="BR71:BR134" si="47">SUM(AB71*AU71)</f>
        <v>27175.53</v>
      </c>
      <c r="BS71" s="9">
        <f t="shared" ref="BS71:BS134" si="48">SUM(AB71*AV71)</f>
        <v>1391.52</v>
      </c>
      <c r="BT71" s="9">
        <f t="shared" ref="BT71:BT134" si="49">SUM(AB71*AW71)</f>
        <v>16043.38</v>
      </c>
      <c r="BU71" s="9">
        <f t="shared" ref="BU71:BU134" si="50">SUM(AB71*AX71)</f>
        <v>19399.400000000001</v>
      </c>
      <c r="BV71" s="17">
        <f t="shared" ref="BV71:BV134" si="51">SUM(BE71:BU71)</f>
        <v>192929.88</v>
      </c>
      <c r="BW71" s="17">
        <v>2.2000000000000002</v>
      </c>
      <c r="BX71" s="17">
        <v>0.06</v>
      </c>
      <c r="BY71" s="17">
        <v>0.37</v>
      </c>
      <c r="BZ71" s="17">
        <v>7.0000000000000007E-2</v>
      </c>
      <c r="CA71" s="29">
        <v>6.33</v>
      </c>
      <c r="CB71" s="325"/>
      <c r="CC71" s="13">
        <v>135395.51999999999</v>
      </c>
      <c r="CD71" s="13">
        <v>6390.65</v>
      </c>
      <c r="CE71" s="13">
        <v>196.27</v>
      </c>
      <c r="CF71" s="13">
        <v>1010.08</v>
      </c>
      <c r="CG71" s="13">
        <v>832.93</v>
      </c>
      <c r="CH71" s="13">
        <v>0</v>
      </c>
      <c r="CI71" s="13">
        <v>2229.16</v>
      </c>
      <c r="CJ71" s="13">
        <v>61872</v>
      </c>
      <c r="CK71" s="13">
        <v>3147.56</v>
      </c>
      <c r="CL71" s="13">
        <v>2168660.19</v>
      </c>
      <c r="CM71" s="13">
        <v>102873.62</v>
      </c>
      <c r="CN71" s="13">
        <v>0.34</v>
      </c>
      <c r="CO71" s="13">
        <v>19419.3</v>
      </c>
      <c r="CP71" s="13">
        <v>13408.76</v>
      </c>
      <c r="CQ71" s="13">
        <v>0</v>
      </c>
      <c r="CR71" s="13">
        <v>2102829.41</v>
      </c>
      <c r="CS71" s="13">
        <v>100940.67</v>
      </c>
      <c r="CT71" s="13">
        <v>1476.49</v>
      </c>
      <c r="CU71" s="13">
        <v>16697.03</v>
      </c>
      <c r="CV71" s="13">
        <v>11983.21</v>
      </c>
      <c r="CW71" s="13">
        <v>0</v>
      </c>
      <c r="CX71" s="13">
        <v>227766.08</v>
      </c>
      <c r="CY71" s="13">
        <v>5759.94</v>
      </c>
      <c r="CZ71" s="13">
        <v>-2939.21</v>
      </c>
      <c r="DA71" s="13">
        <v>4612.6000000000004</v>
      </c>
      <c r="DB71" s="13">
        <v>2834.95</v>
      </c>
      <c r="DC71" s="13"/>
      <c r="DD71" s="315">
        <v>2304362.21</v>
      </c>
      <c r="DE71" s="317">
        <v>2233926.81</v>
      </c>
      <c r="DF71" s="317">
        <v>96.94</v>
      </c>
      <c r="DG71" s="318">
        <v>238034.36</v>
      </c>
      <c r="DH71" s="310">
        <v>80955.48</v>
      </c>
      <c r="DI71" s="310">
        <v>46299.360000000001</v>
      </c>
      <c r="DJ71" s="312">
        <v>0</v>
      </c>
      <c r="DK71" s="362">
        <v>0</v>
      </c>
      <c r="DL71" s="362"/>
      <c r="DM71" s="362">
        <v>0</v>
      </c>
      <c r="DN71" s="362">
        <v>0</v>
      </c>
      <c r="DO71" s="362">
        <v>0</v>
      </c>
      <c r="DP71" s="362">
        <v>0</v>
      </c>
      <c r="DQ71" s="362">
        <v>0</v>
      </c>
      <c r="DR71" s="362"/>
      <c r="DS71" s="362">
        <v>0</v>
      </c>
      <c r="DT71" s="362"/>
      <c r="DU71" s="362">
        <v>0</v>
      </c>
      <c r="DV71" s="362">
        <v>0</v>
      </c>
      <c r="DW71" s="362">
        <v>196972.36</v>
      </c>
      <c r="DX71" s="362">
        <v>0</v>
      </c>
      <c r="DY71" s="362">
        <v>56000</v>
      </c>
      <c r="DZ71" s="375">
        <v>0</v>
      </c>
      <c r="EA71" s="362">
        <v>0</v>
      </c>
      <c r="EB71" s="362">
        <v>0</v>
      </c>
      <c r="EC71" s="362"/>
      <c r="ED71" s="362">
        <v>731843.46</v>
      </c>
      <c r="EE71" s="362">
        <v>12800</v>
      </c>
      <c r="EF71" s="362"/>
      <c r="EG71" s="362">
        <v>17730</v>
      </c>
      <c r="EH71" s="362">
        <v>0</v>
      </c>
      <c r="EI71" s="362"/>
      <c r="EJ71" s="362">
        <v>0</v>
      </c>
      <c r="EK71" s="362"/>
      <c r="EL71" s="362">
        <v>0</v>
      </c>
      <c r="EM71" s="362">
        <v>4713.99</v>
      </c>
      <c r="EN71" s="362">
        <v>0</v>
      </c>
      <c r="EO71" s="362">
        <v>0</v>
      </c>
      <c r="EP71" s="362">
        <v>516840</v>
      </c>
      <c r="EQ71" s="362">
        <v>25740</v>
      </c>
      <c r="ER71" s="362">
        <v>10920</v>
      </c>
      <c r="ES71" s="362">
        <v>11304</v>
      </c>
      <c r="ET71" s="362">
        <v>17711</v>
      </c>
      <c r="EU71" s="362">
        <v>0</v>
      </c>
      <c r="EV71" s="362">
        <v>105333.12</v>
      </c>
      <c r="EW71" s="362"/>
      <c r="EX71" s="202"/>
      <c r="EY71" s="202"/>
      <c r="EZ71" s="229"/>
      <c r="FA71" s="368">
        <v>109587.12</v>
      </c>
      <c r="FB71" s="368">
        <v>0</v>
      </c>
      <c r="FC71" s="368">
        <v>0</v>
      </c>
      <c r="FD71" s="368">
        <v>0</v>
      </c>
      <c r="FE71" s="368">
        <v>18551.080000000002</v>
      </c>
      <c r="FF71" s="368">
        <v>13261.34</v>
      </c>
      <c r="FG71" s="368">
        <v>-327.48</v>
      </c>
      <c r="FH71" s="368">
        <v>-2354.5700000000002</v>
      </c>
      <c r="FI71" s="368">
        <v>0</v>
      </c>
      <c r="FJ71" s="368">
        <v>0</v>
      </c>
      <c r="FK71" s="368">
        <v>28310.09</v>
      </c>
      <c r="FL71" s="368">
        <v>0</v>
      </c>
      <c r="FM71" s="368">
        <v>218812.58</v>
      </c>
      <c r="FN71" s="368">
        <v>139132.6</v>
      </c>
      <c r="FO71" s="323">
        <v>2193107.9500000002</v>
      </c>
      <c r="FP71" s="323">
        <v>167027.57999999999</v>
      </c>
      <c r="FQ71" s="323">
        <v>2360135.5299999998</v>
      </c>
      <c r="FR71" s="338">
        <v>204211.59</v>
      </c>
      <c r="FS71" s="338">
        <v>8151.22</v>
      </c>
      <c r="FT71" s="377">
        <v>212362.81</v>
      </c>
      <c r="FU71" s="377">
        <v>2368156.87</v>
      </c>
      <c r="FV71" s="377">
        <v>147279.51</v>
      </c>
      <c r="FW71" s="362">
        <v>2515436.38</v>
      </c>
      <c r="FX71" s="362">
        <v>2325212.5299999998</v>
      </c>
      <c r="FY71" s="362">
        <v>143924.79999999999</v>
      </c>
      <c r="FZ71" s="362">
        <v>2469137.33</v>
      </c>
      <c r="GA71" s="362">
        <v>247155.93</v>
      </c>
      <c r="GB71" s="362">
        <v>11505.93</v>
      </c>
      <c r="GC71" s="362">
        <v>258661.86</v>
      </c>
      <c r="GD71" s="362">
        <v>185263.96</v>
      </c>
      <c r="GE71" s="362">
        <v>7657.36</v>
      </c>
      <c r="GF71" s="362">
        <v>192921.32</v>
      </c>
      <c r="GG71" s="202">
        <v>20627.5</v>
      </c>
      <c r="GH71" s="416">
        <v>94</v>
      </c>
      <c r="GI71" s="414">
        <v>3869.1</v>
      </c>
      <c r="GJ71" s="419">
        <v>143825.45000000001</v>
      </c>
      <c r="GK71" s="396">
        <v>20627.5</v>
      </c>
      <c r="GL71" s="202">
        <v>19389.849999999999</v>
      </c>
      <c r="GM71" s="202">
        <v>1237.6500000000001</v>
      </c>
      <c r="GN71" s="323">
        <v>175048.92</v>
      </c>
      <c r="GO71" s="323">
        <v>-19748.07</v>
      </c>
      <c r="GP71" s="323">
        <v>155300.85</v>
      </c>
      <c r="GQ71" s="323">
        <v>360312.88</v>
      </c>
      <c r="GR71" s="323">
        <v>-12090.71</v>
      </c>
      <c r="GS71" s="323">
        <v>348222.17</v>
      </c>
    </row>
    <row r="72" spans="1:201" x14ac:dyDescent="0.2">
      <c r="A72" s="45" t="s">
        <v>116</v>
      </c>
      <c r="B72" s="60" t="s">
        <v>97</v>
      </c>
      <c r="C72" s="61" t="s">
        <v>15</v>
      </c>
      <c r="D72" s="388" t="s">
        <v>553</v>
      </c>
      <c r="E72" s="61" t="s">
        <v>9</v>
      </c>
      <c r="F72" s="11">
        <v>9</v>
      </c>
      <c r="G72" s="11">
        <v>4</v>
      </c>
      <c r="H72" s="11">
        <v>144</v>
      </c>
      <c r="I72" s="11">
        <v>144</v>
      </c>
      <c r="J72" s="11">
        <v>308</v>
      </c>
      <c r="K72" s="11">
        <v>366</v>
      </c>
      <c r="L72" s="83">
        <v>4</v>
      </c>
      <c r="M72" s="84">
        <v>897.2</v>
      </c>
      <c r="N72" s="84">
        <v>1084</v>
      </c>
      <c r="O72" s="84">
        <v>0</v>
      </c>
      <c r="P72" s="138">
        <v>897.2</v>
      </c>
      <c r="Q72" s="138">
        <v>1084</v>
      </c>
      <c r="R72" s="138">
        <v>0</v>
      </c>
      <c r="S72" s="133">
        <f t="shared" ref="S72:S135" si="52">SUM(P72:R72)</f>
        <v>1981.2</v>
      </c>
      <c r="T72" s="138">
        <v>897.2</v>
      </c>
      <c r="U72" s="130">
        <v>2.44</v>
      </c>
      <c r="V72" s="131">
        <v>1.9800000000000002E-2</v>
      </c>
      <c r="W72" s="131">
        <v>1.9800000000000002E-2</v>
      </c>
      <c r="X72" s="132">
        <v>1.32E-3</v>
      </c>
      <c r="Y72" s="131">
        <v>3.9699999999999999E-2</v>
      </c>
      <c r="Z72" s="29">
        <v>7794.79</v>
      </c>
      <c r="AA72" s="29"/>
      <c r="AB72" s="9">
        <f t="shared" si="29"/>
        <v>7794.79</v>
      </c>
      <c r="AC72" s="9">
        <f t="shared" si="28"/>
        <v>49341.02</v>
      </c>
      <c r="AD72" s="9">
        <v>1.59</v>
      </c>
      <c r="AE72" s="9">
        <v>4.7699999999999996</v>
      </c>
      <c r="AF72" s="21">
        <f>2.39-AJ72</f>
        <v>2.25</v>
      </c>
      <c r="AG72" s="18">
        <f>0.61-AQ72</f>
        <v>0.56000000000000005</v>
      </c>
      <c r="AH72" s="9">
        <v>2.78</v>
      </c>
      <c r="AI72" s="43">
        <v>1117</v>
      </c>
      <c r="AJ72" s="21">
        <f t="shared" si="30"/>
        <v>0.14000000000000001</v>
      </c>
      <c r="AK72" s="9">
        <v>2.2000000000000002</v>
      </c>
      <c r="AL72" s="9">
        <v>0.19</v>
      </c>
      <c r="AM72" s="9">
        <v>7.0000000000000007E-2</v>
      </c>
      <c r="AN72" s="13"/>
      <c r="AO72" s="13">
        <v>844.8</v>
      </c>
      <c r="AP72" s="13">
        <f t="shared" ref="AP72:AP136" si="53">5.58</f>
        <v>5.58</v>
      </c>
      <c r="AQ72" s="18">
        <f t="shared" si="31"/>
        <v>0.05</v>
      </c>
      <c r="AR72" s="9">
        <v>0.56999999999999995</v>
      </c>
      <c r="AS72" s="9">
        <v>0.17</v>
      </c>
      <c r="AT72" s="9">
        <v>7.0000000000000007E-2</v>
      </c>
      <c r="AU72" s="9">
        <v>3.8</v>
      </c>
      <c r="AV72" s="9">
        <v>0.16</v>
      </c>
      <c r="AW72" s="9">
        <f>0.26+0.34+1.38</f>
        <v>1.98</v>
      </c>
      <c r="AX72" s="9">
        <f>1.94+0.47</f>
        <v>2.41</v>
      </c>
      <c r="AY72" s="63">
        <f t="shared" ref="AY72:AY136" si="54">SUM(AD72:AH72,AJ72:AM72,AQ72:AX72)</f>
        <v>23.76</v>
      </c>
      <c r="AZ72" s="13">
        <v>23.76</v>
      </c>
      <c r="BA72" s="13">
        <f t="shared" si="32"/>
        <v>0</v>
      </c>
      <c r="BB72" s="9">
        <f t="shared" si="33"/>
        <v>185204.21</v>
      </c>
      <c r="BC72" s="9">
        <v>23.76</v>
      </c>
      <c r="BD72" s="10">
        <v>44409</v>
      </c>
      <c r="BE72" s="9">
        <f t="shared" si="34"/>
        <v>12393.72</v>
      </c>
      <c r="BF72" s="9">
        <f t="shared" si="35"/>
        <v>37181.15</v>
      </c>
      <c r="BG72" s="9">
        <f t="shared" si="36"/>
        <v>17538.28</v>
      </c>
      <c r="BH72" s="9">
        <f t="shared" si="37"/>
        <v>4365.08</v>
      </c>
      <c r="BI72" s="9">
        <f t="shared" si="38"/>
        <v>21669.52</v>
      </c>
      <c r="BJ72" s="9">
        <f t="shared" si="39"/>
        <v>1091.27</v>
      </c>
      <c r="BK72" s="9">
        <f t="shared" si="40"/>
        <v>17148.54</v>
      </c>
      <c r="BL72" s="9">
        <f t="shared" si="41"/>
        <v>1481.01</v>
      </c>
      <c r="BM72" s="9">
        <f t="shared" si="42"/>
        <v>545.64</v>
      </c>
      <c r="BN72" s="9">
        <f t="shared" si="43"/>
        <v>389.74</v>
      </c>
      <c r="BO72" s="9">
        <f t="shared" si="44"/>
        <v>4443.03</v>
      </c>
      <c r="BP72" s="9">
        <f t="shared" si="45"/>
        <v>1325.11</v>
      </c>
      <c r="BQ72" s="9">
        <f t="shared" si="46"/>
        <v>545.64</v>
      </c>
      <c r="BR72" s="9">
        <f t="shared" si="47"/>
        <v>29620.2</v>
      </c>
      <c r="BS72" s="9">
        <f t="shared" si="48"/>
        <v>1247.17</v>
      </c>
      <c r="BT72" s="9">
        <f t="shared" si="49"/>
        <v>15433.68</v>
      </c>
      <c r="BU72" s="9">
        <f t="shared" si="50"/>
        <v>18785.439999999999</v>
      </c>
      <c r="BV72" s="17">
        <f t="shared" si="51"/>
        <v>185204.22</v>
      </c>
      <c r="BW72" s="17">
        <v>2.4700000000000002</v>
      </c>
      <c r="BX72" s="17">
        <v>0.08</v>
      </c>
      <c r="BY72" s="17">
        <v>0.49</v>
      </c>
      <c r="BZ72" s="17">
        <v>0.08</v>
      </c>
      <c r="CA72" s="29">
        <v>6.33</v>
      </c>
      <c r="CB72" s="325"/>
      <c r="CC72" s="13">
        <v>0</v>
      </c>
      <c r="CD72" s="13">
        <v>0</v>
      </c>
      <c r="CE72" s="13">
        <v>0</v>
      </c>
      <c r="CF72" s="13">
        <v>0</v>
      </c>
      <c r="CG72" s="13">
        <v>0</v>
      </c>
      <c r="CH72" s="13">
        <v>0</v>
      </c>
      <c r="CI72" s="13">
        <v>3853.03</v>
      </c>
      <c r="CJ72" s="13">
        <v>63672</v>
      </c>
      <c r="CK72" s="13">
        <v>2997.47</v>
      </c>
      <c r="CL72" s="13">
        <v>2222322.54</v>
      </c>
      <c r="CM72" s="13">
        <v>232191.47</v>
      </c>
      <c r="CN72" s="13">
        <v>0</v>
      </c>
      <c r="CO72" s="13">
        <v>5144.16</v>
      </c>
      <c r="CP72" s="13">
        <v>6002.3</v>
      </c>
      <c r="CQ72" s="13">
        <v>0</v>
      </c>
      <c r="CR72" s="13">
        <v>2182442.2599999998</v>
      </c>
      <c r="CS72" s="13">
        <v>222186.97</v>
      </c>
      <c r="CT72" s="13">
        <v>2398.5300000000002</v>
      </c>
      <c r="CU72" s="13">
        <v>8290.51</v>
      </c>
      <c r="CV72" s="13">
        <v>5897.82</v>
      </c>
      <c r="CW72" s="13">
        <v>0</v>
      </c>
      <c r="CX72" s="13">
        <v>237051.23</v>
      </c>
      <c r="CY72" s="13">
        <v>24564.12</v>
      </c>
      <c r="CZ72" s="13">
        <v>-3605.04</v>
      </c>
      <c r="DA72" s="13">
        <v>1069.1099999999999</v>
      </c>
      <c r="DB72" s="13">
        <v>635.78</v>
      </c>
      <c r="DC72" s="13"/>
      <c r="DD72" s="315">
        <v>2465660.4700000002</v>
      </c>
      <c r="DE72" s="317">
        <v>2421216.09</v>
      </c>
      <c r="DF72" s="317">
        <v>98.2</v>
      </c>
      <c r="DG72" s="318">
        <v>259715.20000000001</v>
      </c>
      <c r="DH72" s="310">
        <v>81893.759999999995</v>
      </c>
      <c r="DI72" s="310">
        <v>46835.88</v>
      </c>
      <c r="DJ72" s="312">
        <v>0</v>
      </c>
      <c r="DK72" s="362">
        <v>0</v>
      </c>
      <c r="DL72" s="362"/>
      <c r="DM72" s="362">
        <v>0</v>
      </c>
      <c r="DN72" s="362">
        <v>0</v>
      </c>
      <c r="DO72" s="362">
        <v>0</v>
      </c>
      <c r="DP72" s="362">
        <v>0</v>
      </c>
      <c r="DQ72" s="362">
        <v>0</v>
      </c>
      <c r="DR72" s="362"/>
      <c r="DS72" s="362">
        <v>0</v>
      </c>
      <c r="DT72" s="362"/>
      <c r="DU72" s="362">
        <v>0</v>
      </c>
      <c r="DV72" s="362">
        <v>0</v>
      </c>
      <c r="DW72" s="362">
        <v>206400</v>
      </c>
      <c r="DX72" s="362">
        <v>0</v>
      </c>
      <c r="DY72" s="362">
        <v>18000</v>
      </c>
      <c r="DZ72" s="375">
        <v>3800</v>
      </c>
      <c r="EA72" s="362">
        <v>0</v>
      </c>
      <c r="EB72" s="362">
        <v>0</v>
      </c>
      <c r="EC72" s="362"/>
      <c r="ED72" s="362">
        <v>660774.30000000005</v>
      </c>
      <c r="EE72" s="362">
        <v>12800</v>
      </c>
      <c r="EF72" s="362"/>
      <c r="EG72" s="362">
        <v>17778</v>
      </c>
      <c r="EH72" s="362">
        <v>0</v>
      </c>
      <c r="EI72" s="362"/>
      <c r="EJ72" s="362">
        <v>0</v>
      </c>
      <c r="EK72" s="362"/>
      <c r="EL72" s="362">
        <v>0</v>
      </c>
      <c r="EM72" s="362">
        <v>4713.99</v>
      </c>
      <c r="EN72" s="362">
        <v>0</v>
      </c>
      <c r="EO72" s="362">
        <v>0</v>
      </c>
      <c r="EP72" s="362">
        <v>492162</v>
      </c>
      <c r="EQ72" s="362">
        <v>25920</v>
      </c>
      <c r="ER72" s="362">
        <v>16380</v>
      </c>
      <c r="ES72" s="362">
        <v>0</v>
      </c>
      <c r="ET72" s="362">
        <v>17764</v>
      </c>
      <c r="EU72" s="362">
        <v>0</v>
      </c>
      <c r="EV72" s="362">
        <v>111055.48</v>
      </c>
      <c r="EW72" s="362"/>
      <c r="EX72" s="202"/>
      <c r="EY72" s="202"/>
      <c r="EZ72" s="229"/>
      <c r="FA72" s="368">
        <v>238511.74</v>
      </c>
      <c r="FB72" s="368">
        <v>0</v>
      </c>
      <c r="FC72" s="368">
        <v>0</v>
      </c>
      <c r="FD72" s="368">
        <v>0</v>
      </c>
      <c r="FE72" s="368">
        <v>8398.43</v>
      </c>
      <c r="FF72" s="368">
        <v>6399.44</v>
      </c>
      <c r="FG72" s="368">
        <v>0</v>
      </c>
      <c r="FH72" s="368">
        <v>-1994.07</v>
      </c>
      <c r="FI72" s="368">
        <v>0</v>
      </c>
      <c r="FJ72" s="368">
        <v>0</v>
      </c>
      <c r="FK72" s="368">
        <v>2982.49</v>
      </c>
      <c r="FL72" s="368">
        <v>0</v>
      </c>
      <c r="FM72" s="368">
        <v>208381.9</v>
      </c>
      <c r="FN72" s="368">
        <v>132498.79999999999</v>
      </c>
      <c r="FO72" s="323">
        <v>2057158.11</v>
      </c>
      <c r="FP72" s="323">
        <v>254298.03</v>
      </c>
      <c r="FQ72" s="323">
        <v>2311456.14</v>
      </c>
      <c r="FR72" s="338">
        <v>165346.51999999999</v>
      </c>
      <c r="FS72" s="338">
        <v>18545.849999999999</v>
      </c>
      <c r="FT72" s="377">
        <v>183892.37</v>
      </c>
      <c r="FU72" s="377">
        <v>2289847.5699999998</v>
      </c>
      <c r="FV72" s="377">
        <v>246335.4</v>
      </c>
      <c r="FW72" s="362">
        <v>2536182.9700000002</v>
      </c>
      <c r="FX72" s="362">
        <v>2218142.86</v>
      </c>
      <c r="FY72" s="362">
        <v>242217.28</v>
      </c>
      <c r="FZ72" s="362">
        <v>2460360.14</v>
      </c>
      <c r="GA72" s="362">
        <v>237051.23</v>
      </c>
      <c r="GB72" s="362">
        <v>22663.97</v>
      </c>
      <c r="GC72" s="362">
        <v>259715.20000000001</v>
      </c>
      <c r="GD72" s="362">
        <v>-20198.03</v>
      </c>
      <c r="GE72" s="362">
        <v>10333.83</v>
      </c>
      <c r="GF72" s="362">
        <v>-9864.2000000000007</v>
      </c>
      <c r="GG72" s="202"/>
      <c r="GH72" s="416"/>
      <c r="GI72" s="414">
        <v>3869.1</v>
      </c>
      <c r="GJ72" s="419">
        <v>0</v>
      </c>
      <c r="GK72" s="396"/>
      <c r="GL72" s="202">
        <v>0</v>
      </c>
      <c r="GM72" s="202">
        <v>0</v>
      </c>
      <c r="GN72" s="323">
        <v>232689.46</v>
      </c>
      <c r="GO72" s="323">
        <v>-7962.63</v>
      </c>
      <c r="GP72" s="323">
        <v>224726.83</v>
      </c>
      <c r="GQ72" s="323">
        <v>212491.43</v>
      </c>
      <c r="GR72" s="323">
        <v>2371.1999999999998</v>
      </c>
      <c r="GS72" s="323">
        <v>214862.63</v>
      </c>
    </row>
    <row r="73" spans="1:201" x14ac:dyDescent="0.2">
      <c r="A73" s="45" t="s">
        <v>118</v>
      </c>
      <c r="B73" s="60" t="s">
        <v>97</v>
      </c>
      <c r="C73" s="61" t="s">
        <v>25</v>
      </c>
      <c r="D73" s="388" t="s">
        <v>418</v>
      </c>
      <c r="E73" s="61" t="s">
        <v>12</v>
      </c>
      <c r="F73" s="11">
        <v>9</v>
      </c>
      <c r="G73" s="11">
        <v>4</v>
      </c>
      <c r="H73" s="11">
        <v>144</v>
      </c>
      <c r="I73" s="11">
        <v>145</v>
      </c>
      <c r="J73" s="11">
        <v>337</v>
      </c>
      <c r="K73" s="11">
        <v>389</v>
      </c>
      <c r="L73" s="11">
        <v>4</v>
      </c>
      <c r="M73" s="84">
        <v>890</v>
      </c>
      <c r="N73" s="84">
        <v>1150</v>
      </c>
      <c r="O73" s="84">
        <v>0</v>
      </c>
      <c r="P73" s="135">
        <f>574.8+780.6</f>
        <v>1355.4</v>
      </c>
      <c r="Q73" s="135">
        <f>861</f>
        <v>861</v>
      </c>
      <c r="R73" s="133">
        <v>0</v>
      </c>
      <c r="S73" s="133">
        <f t="shared" si="52"/>
        <v>2216.4</v>
      </c>
      <c r="T73" s="134">
        <v>1355.4</v>
      </c>
      <c r="U73" s="130">
        <v>2.44</v>
      </c>
      <c r="V73" s="91">
        <v>1.9800000000000002E-2</v>
      </c>
      <c r="W73" s="91">
        <v>1.9800000000000002E-2</v>
      </c>
      <c r="X73" s="132">
        <v>1.32E-3</v>
      </c>
      <c r="Y73" s="91">
        <v>3.9699999999999999E-2</v>
      </c>
      <c r="Z73" s="29">
        <v>7561.51</v>
      </c>
      <c r="AA73" s="29"/>
      <c r="AB73" s="9">
        <f t="shared" si="29"/>
        <v>7561.51</v>
      </c>
      <c r="AC73" s="9">
        <f t="shared" si="28"/>
        <v>47864.36</v>
      </c>
      <c r="AD73" s="9">
        <v>2.1800000000000002</v>
      </c>
      <c r="AE73" s="9">
        <v>3.63</v>
      </c>
      <c r="AF73" s="21">
        <f>2.39-AJ73</f>
        <v>2.2400000000000002</v>
      </c>
      <c r="AG73" s="18">
        <f>0.65-AQ73</f>
        <v>0.6</v>
      </c>
      <c r="AH73" s="9">
        <v>2.78</v>
      </c>
      <c r="AI73" s="43">
        <v>1117</v>
      </c>
      <c r="AJ73" s="21">
        <f t="shared" si="30"/>
        <v>0.15</v>
      </c>
      <c r="AK73" s="9">
        <v>2.29</v>
      </c>
      <c r="AL73" s="9">
        <v>0.62</v>
      </c>
      <c r="AM73" s="9">
        <v>0.13</v>
      </c>
      <c r="AN73" s="13"/>
      <c r="AO73" s="13">
        <v>844.8</v>
      </c>
      <c r="AP73" s="13">
        <f t="shared" si="53"/>
        <v>5.58</v>
      </c>
      <c r="AQ73" s="18">
        <f t="shared" si="31"/>
        <v>0.05</v>
      </c>
      <c r="AR73" s="9">
        <v>0.59</v>
      </c>
      <c r="AS73" s="9">
        <v>0.18</v>
      </c>
      <c r="AT73" s="9">
        <v>7.0000000000000007E-2</v>
      </c>
      <c r="AU73" s="9">
        <v>4.3499999999999996</v>
      </c>
      <c r="AV73" s="9">
        <v>0.17</v>
      </c>
      <c r="AW73" s="9">
        <f>0.27+0.38+1.36</f>
        <v>2.0099999999999998</v>
      </c>
      <c r="AX73" s="9">
        <f>1.97+0.51</f>
        <v>2.48</v>
      </c>
      <c r="AY73" s="63">
        <f t="shared" si="54"/>
        <v>24.52</v>
      </c>
      <c r="AZ73" s="13">
        <v>24.52</v>
      </c>
      <c r="BA73" s="13">
        <f t="shared" si="32"/>
        <v>0</v>
      </c>
      <c r="BB73" s="9">
        <f t="shared" si="33"/>
        <v>185408.23</v>
      </c>
      <c r="BC73" s="9">
        <v>24.52</v>
      </c>
      <c r="BD73" s="10">
        <v>44409</v>
      </c>
      <c r="BE73" s="9">
        <f t="shared" si="34"/>
        <v>16484.09</v>
      </c>
      <c r="BF73" s="9">
        <f t="shared" si="35"/>
        <v>27448.28</v>
      </c>
      <c r="BG73" s="9">
        <f t="shared" si="36"/>
        <v>16937.78</v>
      </c>
      <c r="BH73" s="9">
        <f t="shared" si="37"/>
        <v>4536.91</v>
      </c>
      <c r="BI73" s="9">
        <f t="shared" si="38"/>
        <v>21021</v>
      </c>
      <c r="BJ73" s="9">
        <f t="shared" si="39"/>
        <v>1134.23</v>
      </c>
      <c r="BK73" s="9">
        <f t="shared" si="40"/>
        <v>17315.86</v>
      </c>
      <c r="BL73" s="9">
        <f t="shared" si="41"/>
        <v>4688.1400000000003</v>
      </c>
      <c r="BM73" s="9">
        <f t="shared" si="42"/>
        <v>983</v>
      </c>
      <c r="BN73" s="9">
        <f t="shared" si="43"/>
        <v>378.08</v>
      </c>
      <c r="BO73" s="9">
        <f t="shared" si="44"/>
        <v>4461.29</v>
      </c>
      <c r="BP73" s="9">
        <f t="shared" si="45"/>
        <v>1361.07</v>
      </c>
      <c r="BQ73" s="9">
        <f t="shared" si="46"/>
        <v>529.30999999999995</v>
      </c>
      <c r="BR73" s="9">
        <f t="shared" si="47"/>
        <v>32892.57</v>
      </c>
      <c r="BS73" s="9">
        <f t="shared" si="48"/>
        <v>1285.46</v>
      </c>
      <c r="BT73" s="9">
        <f t="shared" si="49"/>
        <v>15198.64</v>
      </c>
      <c r="BU73" s="9">
        <f t="shared" si="50"/>
        <v>18752.54</v>
      </c>
      <c r="BV73" s="17">
        <f t="shared" si="51"/>
        <v>185408.25</v>
      </c>
      <c r="BW73" s="17">
        <v>2.88</v>
      </c>
      <c r="BX73" s="17">
        <v>0.1</v>
      </c>
      <c r="BY73" s="17">
        <v>0.6</v>
      </c>
      <c r="BZ73" s="17">
        <v>0.11</v>
      </c>
      <c r="CA73" s="29">
        <v>6.33</v>
      </c>
      <c r="CB73" s="325"/>
      <c r="CC73" s="13">
        <v>0</v>
      </c>
      <c r="CD73" s="13">
        <v>0</v>
      </c>
      <c r="CE73" s="13">
        <v>0</v>
      </c>
      <c r="CF73" s="13">
        <v>0</v>
      </c>
      <c r="CG73" s="13">
        <v>0</v>
      </c>
      <c r="CH73" s="13">
        <v>0</v>
      </c>
      <c r="CI73" s="13">
        <v>8451.33</v>
      </c>
      <c r="CJ73" s="13">
        <v>43560</v>
      </c>
      <c r="CK73" s="13">
        <v>2908.07</v>
      </c>
      <c r="CL73" s="13">
        <v>2224899.12</v>
      </c>
      <c r="CM73" s="13">
        <v>489457.91999999998</v>
      </c>
      <c r="CN73" s="13">
        <v>0</v>
      </c>
      <c r="CO73" s="13">
        <v>31910.16</v>
      </c>
      <c r="CP73" s="13">
        <v>21778.07</v>
      </c>
      <c r="CQ73" s="13">
        <v>0</v>
      </c>
      <c r="CR73" s="13">
        <v>2151072.59</v>
      </c>
      <c r="CS73" s="13">
        <v>455680.46</v>
      </c>
      <c r="CT73" s="13">
        <v>2319.1799999999998</v>
      </c>
      <c r="CU73" s="13">
        <v>31926.37</v>
      </c>
      <c r="CV73" s="13">
        <v>22035.200000000001</v>
      </c>
      <c r="CW73" s="13">
        <v>0</v>
      </c>
      <c r="CX73" s="13">
        <v>300735.69</v>
      </c>
      <c r="CY73" s="13">
        <v>77494.38</v>
      </c>
      <c r="CZ73" s="13">
        <v>-4122.0600000000004</v>
      </c>
      <c r="DA73" s="13">
        <v>5603.28</v>
      </c>
      <c r="DB73" s="13">
        <v>3673.82</v>
      </c>
      <c r="DC73" s="13"/>
      <c r="DD73" s="315">
        <v>2768045.27</v>
      </c>
      <c r="DE73" s="317">
        <v>2663033.7999999998</v>
      </c>
      <c r="DF73" s="317">
        <v>96.21</v>
      </c>
      <c r="DG73" s="318">
        <v>383385.11</v>
      </c>
      <c r="DH73" s="310">
        <v>79452</v>
      </c>
      <c r="DI73" s="310">
        <v>45439.44</v>
      </c>
      <c r="DJ73" s="312">
        <v>0</v>
      </c>
      <c r="DK73" s="362">
        <v>0</v>
      </c>
      <c r="DL73" s="362"/>
      <c r="DM73" s="362">
        <v>0</v>
      </c>
      <c r="DN73" s="362">
        <v>0</v>
      </c>
      <c r="DO73" s="362">
        <v>0</v>
      </c>
      <c r="DP73" s="362">
        <v>0</v>
      </c>
      <c r="DQ73" s="362">
        <v>0</v>
      </c>
      <c r="DR73" s="362"/>
      <c r="DS73" s="362">
        <v>0</v>
      </c>
      <c r="DT73" s="362"/>
      <c r="DU73" s="362">
        <v>0</v>
      </c>
      <c r="DV73" s="362">
        <v>0</v>
      </c>
      <c r="DW73" s="362">
        <v>206122.58</v>
      </c>
      <c r="DX73" s="362">
        <v>0</v>
      </c>
      <c r="DY73" s="362">
        <v>56000</v>
      </c>
      <c r="DZ73" s="375">
        <v>3800</v>
      </c>
      <c r="EA73" s="362">
        <v>0</v>
      </c>
      <c r="EB73" s="362">
        <v>0</v>
      </c>
      <c r="EC73" s="362"/>
      <c r="ED73" s="362">
        <v>581900.88</v>
      </c>
      <c r="EE73" s="362">
        <v>20500</v>
      </c>
      <c r="EF73" s="362"/>
      <c r="EG73" s="362">
        <v>17778</v>
      </c>
      <c r="EH73" s="362">
        <v>2100</v>
      </c>
      <c r="EI73" s="362"/>
      <c r="EJ73" s="362">
        <v>0</v>
      </c>
      <c r="EK73" s="362"/>
      <c r="EL73" s="362">
        <v>0</v>
      </c>
      <c r="EM73" s="362">
        <v>4713.99</v>
      </c>
      <c r="EN73" s="362">
        <v>0</v>
      </c>
      <c r="EO73" s="362">
        <v>0</v>
      </c>
      <c r="EP73" s="362">
        <v>477288</v>
      </c>
      <c r="EQ73" s="362">
        <v>25920</v>
      </c>
      <c r="ER73" s="362">
        <v>6825</v>
      </c>
      <c r="ES73" s="362">
        <v>10362</v>
      </c>
      <c r="ET73" s="362">
        <v>17764</v>
      </c>
      <c r="EU73" s="362">
        <v>0</v>
      </c>
      <c r="EV73" s="362">
        <v>204698.15</v>
      </c>
      <c r="EW73" s="362"/>
      <c r="EX73" s="202"/>
      <c r="EY73" s="202"/>
      <c r="EZ73" s="229"/>
      <c r="FA73" s="368">
        <v>485995.17</v>
      </c>
      <c r="FB73" s="368">
        <v>0</v>
      </c>
      <c r="FC73" s="368">
        <v>0</v>
      </c>
      <c r="FD73" s="368">
        <v>0</v>
      </c>
      <c r="FE73" s="368">
        <v>30575.4</v>
      </c>
      <c r="FF73" s="368">
        <v>21167.82</v>
      </c>
      <c r="FG73" s="368">
        <v>-1836.63</v>
      </c>
      <c r="FH73" s="368">
        <v>-3066.85</v>
      </c>
      <c r="FI73" s="368">
        <v>0</v>
      </c>
      <c r="FJ73" s="368">
        <v>0</v>
      </c>
      <c r="FK73" s="368">
        <v>0</v>
      </c>
      <c r="FL73" s="368">
        <v>0</v>
      </c>
      <c r="FM73" s="368">
        <v>202157.41</v>
      </c>
      <c r="FN73" s="368">
        <v>128541.13</v>
      </c>
      <c r="FO73" s="323">
        <v>2091362.58</v>
      </c>
      <c r="FP73" s="323">
        <v>532834.91</v>
      </c>
      <c r="FQ73" s="323">
        <v>2624197.4900000002</v>
      </c>
      <c r="FR73" s="338">
        <v>203878.84</v>
      </c>
      <c r="FS73" s="338">
        <v>64846.63</v>
      </c>
      <c r="FT73" s="377">
        <v>268725.46999999997</v>
      </c>
      <c r="FU73" s="377">
        <v>2276910.4500000002</v>
      </c>
      <c r="FV73" s="377">
        <v>546054.22</v>
      </c>
      <c r="FW73" s="362">
        <v>2822964.67</v>
      </c>
      <c r="FX73" s="362">
        <v>2180053.6</v>
      </c>
      <c r="FY73" s="362">
        <v>528251.43000000005</v>
      </c>
      <c r="FZ73" s="362">
        <v>2708305.03</v>
      </c>
      <c r="GA73" s="362">
        <v>300735.69</v>
      </c>
      <c r="GB73" s="362">
        <v>82649.42</v>
      </c>
      <c r="GC73" s="362">
        <v>383385.11</v>
      </c>
      <c r="GD73" s="362">
        <v>239334.14</v>
      </c>
      <c r="GE73" s="362">
        <v>-14291.42</v>
      </c>
      <c r="GF73" s="362">
        <v>225042.72</v>
      </c>
      <c r="GG73" s="202"/>
      <c r="GH73" s="416"/>
      <c r="GI73" s="414">
        <v>2853.1</v>
      </c>
      <c r="GJ73" s="419">
        <v>0</v>
      </c>
      <c r="GK73" s="396"/>
      <c r="GL73" s="202">
        <v>0</v>
      </c>
      <c r="GM73" s="202">
        <v>0</v>
      </c>
      <c r="GN73" s="323">
        <v>185547.87</v>
      </c>
      <c r="GO73" s="323">
        <v>13219.31</v>
      </c>
      <c r="GP73" s="323">
        <v>198767.18</v>
      </c>
      <c r="GQ73" s="323">
        <v>424882.01</v>
      </c>
      <c r="GR73" s="323">
        <v>-1072.1099999999999</v>
      </c>
      <c r="GS73" s="323">
        <v>423809.9</v>
      </c>
    </row>
    <row r="74" spans="1:201" x14ac:dyDescent="0.2">
      <c r="A74" s="45" t="s">
        <v>120</v>
      </c>
      <c r="B74" s="60" t="s">
        <v>97</v>
      </c>
      <c r="C74" s="61" t="s">
        <v>64</v>
      </c>
      <c r="D74" s="388" t="s">
        <v>419</v>
      </c>
      <c r="E74" s="61" t="s">
        <v>12</v>
      </c>
      <c r="F74" s="11">
        <v>10</v>
      </c>
      <c r="G74" s="11">
        <v>7</v>
      </c>
      <c r="H74" s="11">
        <v>280</v>
      </c>
      <c r="I74" s="11">
        <v>281</v>
      </c>
      <c r="J74" s="11">
        <v>587</v>
      </c>
      <c r="K74" s="11">
        <v>740</v>
      </c>
      <c r="L74" s="83">
        <v>7</v>
      </c>
      <c r="M74" s="84">
        <v>832.2</v>
      </c>
      <c r="N74" s="84">
        <v>2032.2</v>
      </c>
      <c r="O74" s="84">
        <v>2032.2</v>
      </c>
      <c r="P74" s="138">
        <v>832.2</v>
      </c>
      <c r="Q74" s="138">
        <v>2032.2</v>
      </c>
      <c r="R74" s="138">
        <v>2032.2</v>
      </c>
      <c r="S74" s="133">
        <f t="shared" si="52"/>
        <v>4896.6000000000004</v>
      </c>
      <c r="T74" s="138">
        <v>1805.3</v>
      </c>
      <c r="U74" s="130">
        <v>2.74</v>
      </c>
      <c r="V74" s="131">
        <v>1.1299999999999999E-2</v>
      </c>
      <c r="W74" s="131">
        <v>1.1299999999999999E-2</v>
      </c>
      <c r="X74" s="132">
        <v>7.5000000000000002E-4</v>
      </c>
      <c r="Y74" s="131">
        <v>2.2499999999999999E-2</v>
      </c>
      <c r="Z74" s="29">
        <v>15211</v>
      </c>
      <c r="AA74" s="29">
        <v>44.5</v>
      </c>
      <c r="AB74" s="9">
        <f t="shared" si="29"/>
        <v>15255.5</v>
      </c>
      <c r="AC74" s="9">
        <f t="shared" si="28"/>
        <v>96567.32</v>
      </c>
      <c r="AD74" s="9">
        <v>1.63</v>
      </c>
      <c r="AE74" s="9">
        <v>4.6100000000000003</v>
      </c>
      <c r="AF74" s="21">
        <f>2.49-AJ74</f>
        <v>2.36</v>
      </c>
      <c r="AG74" s="18">
        <f>0.62-AQ74</f>
        <v>0.56999999999999995</v>
      </c>
      <c r="AH74" s="9">
        <v>2.4700000000000002</v>
      </c>
      <c r="AI74" s="43">
        <v>1990</v>
      </c>
      <c r="AJ74" s="21">
        <f t="shared" si="30"/>
        <v>0.13</v>
      </c>
      <c r="AK74" s="9">
        <v>1.97</v>
      </c>
      <c r="AL74" s="9">
        <v>0.17</v>
      </c>
      <c r="AM74" s="9">
        <v>0.06</v>
      </c>
      <c r="AN74" s="13"/>
      <c r="AO74" s="13">
        <v>1719.2</v>
      </c>
      <c r="AP74" s="13">
        <f t="shared" si="53"/>
        <v>5.58</v>
      </c>
      <c r="AQ74" s="18">
        <f t="shared" si="31"/>
        <v>0.05</v>
      </c>
      <c r="AR74" s="9">
        <v>0.55000000000000004</v>
      </c>
      <c r="AS74" s="9">
        <v>0.09</v>
      </c>
      <c r="AT74" s="9">
        <v>7.0000000000000007E-2</v>
      </c>
      <c r="AU74" s="9">
        <v>3.8</v>
      </c>
      <c r="AV74" s="9">
        <v>0.16</v>
      </c>
      <c r="AW74" s="9">
        <f>0.26+0.34+1.32</f>
        <v>1.92</v>
      </c>
      <c r="AX74" s="9">
        <f>1.85+0.46</f>
        <v>2.31</v>
      </c>
      <c r="AY74" s="63">
        <f t="shared" si="54"/>
        <v>22.92</v>
      </c>
      <c r="AZ74" s="13">
        <v>22.92</v>
      </c>
      <c r="BA74" s="13">
        <f t="shared" si="32"/>
        <v>0</v>
      </c>
      <c r="BB74" s="9">
        <f t="shared" si="33"/>
        <v>349656.06</v>
      </c>
      <c r="BC74" s="9">
        <v>22.92</v>
      </c>
      <c r="BD74" s="10">
        <v>44409</v>
      </c>
      <c r="BE74" s="9">
        <f t="shared" si="34"/>
        <v>24866.47</v>
      </c>
      <c r="BF74" s="9">
        <f t="shared" si="35"/>
        <v>70327.86</v>
      </c>
      <c r="BG74" s="9">
        <f t="shared" si="36"/>
        <v>36002.980000000003</v>
      </c>
      <c r="BH74" s="9">
        <f t="shared" si="37"/>
        <v>8695.64</v>
      </c>
      <c r="BI74" s="9">
        <f t="shared" si="38"/>
        <v>37681.089999999997</v>
      </c>
      <c r="BJ74" s="9">
        <f t="shared" si="39"/>
        <v>1983.22</v>
      </c>
      <c r="BK74" s="9">
        <f t="shared" si="40"/>
        <v>30053.34</v>
      </c>
      <c r="BL74" s="9">
        <f t="shared" si="41"/>
        <v>2593.44</v>
      </c>
      <c r="BM74" s="9">
        <f t="shared" si="42"/>
        <v>915.33</v>
      </c>
      <c r="BN74" s="9">
        <f t="shared" si="43"/>
        <v>762.78</v>
      </c>
      <c r="BO74" s="9">
        <f t="shared" si="44"/>
        <v>8390.5300000000007</v>
      </c>
      <c r="BP74" s="9">
        <f t="shared" si="45"/>
        <v>1373</v>
      </c>
      <c r="BQ74" s="9">
        <f t="shared" si="46"/>
        <v>1067.8900000000001</v>
      </c>
      <c r="BR74" s="9">
        <f t="shared" si="47"/>
        <v>57970.9</v>
      </c>
      <c r="BS74" s="9">
        <f t="shared" si="48"/>
        <v>2440.88</v>
      </c>
      <c r="BT74" s="9">
        <f t="shared" si="49"/>
        <v>29290.560000000001</v>
      </c>
      <c r="BU74" s="9">
        <f t="shared" si="50"/>
        <v>35240.21</v>
      </c>
      <c r="BV74" s="17">
        <f t="shared" si="51"/>
        <v>349656.12</v>
      </c>
      <c r="BW74" s="17">
        <v>3.96</v>
      </c>
      <c r="BX74" s="17">
        <v>0.04</v>
      </c>
      <c r="BY74" s="17">
        <v>0.27</v>
      </c>
      <c r="BZ74" s="17">
        <v>0.05</v>
      </c>
      <c r="CA74" s="29">
        <v>6.33</v>
      </c>
      <c r="CB74" s="325"/>
      <c r="CC74" s="13">
        <v>12239.16</v>
      </c>
      <c r="CD74" s="13">
        <v>870.39</v>
      </c>
      <c r="CE74" s="13">
        <v>2.67</v>
      </c>
      <c r="CF74" s="13">
        <v>13.91</v>
      </c>
      <c r="CG74" s="13">
        <v>21.36</v>
      </c>
      <c r="CH74" s="13">
        <v>0</v>
      </c>
      <c r="CI74" s="13">
        <v>3274.26</v>
      </c>
      <c r="CJ74" s="13">
        <v>100656</v>
      </c>
      <c r="CK74" s="13">
        <v>5866.64</v>
      </c>
      <c r="CL74" s="13">
        <v>4181763.64</v>
      </c>
      <c r="CM74" s="13">
        <v>343608.56</v>
      </c>
      <c r="CN74" s="13">
        <v>0.11</v>
      </c>
      <c r="CO74" s="13">
        <v>5632.64</v>
      </c>
      <c r="CP74" s="13">
        <v>7300.62</v>
      </c>
      <c r="CQ74" s="13">
        <v>0</v>
      </c>
      <c r="CR74" s="13">
        <v>4080872.7</v>
      </c>
      <c r="CS74" s="13">
        <v>351223.39</v>
      </c>
      <c r="CT74" s="13">
        <v>2322.16</v>
      </c>
      <c r="CU74" s="13">
        <v>9137.0499999999993</v>
      </c>
      <c r="CV74" s="13">
        <v>7215.81</v>
      </c>
      <c r="CW74" s="13">
        <v>0</v>
      </c>
      <c r="CX74" s="13">
        <v>479603.08</v>
      </c>
      <c r="CY74" s="13">
        <v>33809.15</v>
      </c>
      <c r="CZ74" s="13">
        <v>-4161.24</v>
      </c>
      <c r="DA74" s="13">
        <v>1397.74</v>
      </c>
      <c r="DB74" s="13">
        <v>748.73</v>
      </c>
      <c r="DC74" s="13"/>
      <c r="DD74" s="315">
        <v>4538305.57</v>
      </c>
      <c r="DE74" s="317">
        <v>4450771.1100000003</v>
      </c>
      <c r="DF74" s="317">
        <v>98.07</v>
      </c>
      <c r="DG74" s="318">
        <v>511397.46</v>
      </c>
      <c r="DH74" s="310">
        <v>159814.79999999999</v>
      </c>
      <c r="DI74" s="310">
        <v>91399.8</v>
      </c>
      <c r="DJ74" s="312">
        <v>0</v>
      </c>
      <c r="DK74" s="362">
        <v>0</v>
      </c>
      <c r="DL74" s="362"/>
      <c r="DM74" s="362">
        <v>0</v>
      </c>
      <c r="DN74" s="362">
        <v>0</v>
      </c>
      <c r="DO74" s="362">
        <v>0</v>
      </c>
      <c r="DP74" s="362">
        <v>0</v>
      </c>
      <c r="DQ74" s="362">
        <v>0</v>
      </c>
      <c r="DR74" s="362"/>
      <c r="DS74" s="362">
        <v>0</v>
      </c>
      <c r="DT74" s="362"/>
      <c r="DU74" s="362">
        <v>0</v>
      </c>
      <c r="DV74" s="362">
        <v>0</v>
      </c>
      <c r="DW74" s="362">
        <v>359812.9</v>
      </c>
      <c r="DX74" s="362">
        <v>0</v>
      </c>
      <c r="DY74" s="362">
        <v>79000</v>
      </c>
      <c r="DZ74" s="375">
        <v>6912</v>
      </c>
      <c r="EA74" s="362">
        <v>0</v>
      </c>
      <c r="EB74" s="362">
        <v>0</v>
      </c>
      <c r="EC74" s="362"/>
      <c r="ED74" s="362">
        <v>1268062.8600000001</v>
      </c>
      <c r="EE74" s="362">
        <v>18800</v>
      </c>
      <c r="EF74" s="362"/>
      <c r="EG74" s="362">
        <v>31668</v>
      </c>
      <c r="EH74" s="362">
        <v>0</v>
      </c>
      <c r="EI74" s="362"/>
      <c r="EJ74" s="362">
        <v>0</v>
      </c>
      <c r="EK74" s="362"/>
      <c r="EL74" s="362">
        <v>0</v>
      </c>
      <c r="EM74" s="362">
        <v>9593.1299999999992</v>
      </c>
      <c r="EN74" s="362">
        <v>0</v>
      </c>
      <c r="EO74" s="362">
        <v>0</v>
      </c>
      <c r="EP74" s="362">
        <v>930834</v>
      </c>
      <c r="EQ74" s="362">
        <v>50400</v>
      </c>
      <c r="ER74" s="362">
        <v>10920</v>
      </c>
      <c r="ES74" s="362">
        <v>0</v>
      </c>
      <c r="ET74" s="362">
        <v>32571</v>
      </c>
      <c r="EU74" s="362">
        <v>0</v>
      </c>
      <c r="EV74" s="362">
        <v>759002.54</v>
      </c>
      <c r="EW74" s="362"/>
      <c r="EX74" s="202"/>
      <c r="EY74" s="202"/>
      <c r="EZ74" s="229"/>
      <c r="FA74" s="368">
        <v>370455.43</v>
      </c>
      <c r="FB74" s="368">
        <v>0</v>
      </c>
      <c r="FC74" s="368">
        <v>0</v>
      </c>
      <c r="FD74" s="368">
        <v>0</v>
      </c>
      <c r="FE74" s="368">
        <v>9645.06</v>
      </c>
      <c r="FF74" s="368">
        <v>7297.82</v>
      </c>
      <c r="FG74" s="368">
        <v>0</v>
      </c>
      <c r="FH74" s="368">
        <v>-3902.79</v>
      </c>
      <c r="FI74" s="368">
        <v>0</v>
      </c>
      <c r="FJ74" s="368">
        <v>0</v>
      </c>
      <c r="FK74" s="368">
        <v>0</v>
      </c>
      <c r="FL74" s="368">
        <v>0</v>
      </c>
      <c r="FM74" s="368">
        <v>407839.44</v>
      </c>
      <c r="FN74" s="368">
        <v>259323.49</v>
      </c>
      <c r="FO74" s="323">
        <v>4475953.96</v>
      </c>
      <c r="FP74" s="323">
        <v>383495.52</v>
      </c>
      <c r="FQ74" s="323">
        <v>4859449.4800000004</v>
      </c>
      <c r="FR74" s="338">
        <v>342222.41</v>
      </c>
      <c r="FS74" s="338">
        <v>38113.769999999997</v>
      </c>
      <c r="FT74" s="377">
        <v>380336.18</v>
      </c>
      <c r="FU74" s="377">
        <v>4297933.0599999996</v>
      </c>
      <c r="FV74" s="377">
        <v>363316.9</v>
      </c>
      <c r="FW74" s="362">
        <v>4661249.96</v>
      </c>
      <c r="FX74" s="362">
        <v>4154245.46</v>
      </c>
      <c r="FY74" s="362">
        <v>369161.58</v>
      </c>
      <c r="FZ74" s="362">
        <v>4523407.04</v>
      </c>
      <c r="GA74" s="362">
        <v>485910.01</v>
      </c>
      <c r="GB74" s="362">
        <v>32269.09</v>
      </c>
      <c r="GC74" s="362">
        <v>518179.1</v>
      </c>
      <c r="GD74" s="362">
        <v>270642.24</v>
      </c>
      <c r="GE74" s="362">
        <v>77407.75</v>
      </c>
      <c r="GF74" s="362">
        <v>348049.99</v>
      </c>
      <c r="GG74" s="202">
        <v>6781.64</v>
      </c>
      <c r="GH74" s="416">
        <v>93</v>
      </c>
      <c r="GI74" s="414">
        <v>6311.65</v>
      </c>
      <c r="GJ74" s="419">
        <v>13147.49</v>
      </c>
      <c r="GK74" s="396">
        <v>6781.64</v>
      </c>
      <c r="GL74" s="202">
        <v>6306.9251999999997</v>
      </c>
      <c r="GM74" s="202">
        <v>474.71480000000099</v>
      </c>
      <c r="GN74" s="323">
        <v>-178020.9</v>
      </c>
      <c r="GO74" s="323">
        <v>-20178.62</v>
      </c>
      <c r="GP74" s="323">
        <v>-198199.52</v>
      </c>
      <c r="GQ74" s="323">
        <v>92621.34</v>
      </c>
      <c r="GR74" s="323">
        <v>57229.13</v>
      </c>
      <c r="GS74" s="323">
        <v>149850.47</v>
      </c>
    </row>
    <row r="75" spans="1:201" ht="12.75" customHeight="1" x14ac:dyDescent="0.2">
      <c r="A75" s="45" t="s">
        <v>121</v>
      </c>
      <c r="B75" s="60" t="s">
        <v>97</v>
      </c>
      <c r="C75" s="61" t="s">
        <v>64</v>
      </c>
      <c r="D75" s="388" t="s">
        <v>554</v>
      </c>
      <c r="E75" s="61" t="s">
        <v>9</v>
      </c>
      <c r="F75" s="11">
        <v>10</v>
      </c>
      <c r="G75" s="11">
        <v>4</v>
      </c>
      <c r="H75" s="11">
        <v>157</v>
      </c>
      <c r="I75" s="11">
        <v>157</v>
      </c>
      <c r="J75" s="11">
        <v>329</v>
      </c>
      <c r="K75" s="11">
        <v>435</v>
      </c>
      <c r="L75" s="83">
        <v>4</v>
      </c>
      <c r="M75" s="84">
        <v>937</v>
      </c>
      <c r="N75" s="84">
        <v>1164</v>
      </c>
      <c r="O75" s="84">
        <v>1164</v>
      </c>
      <c r="P75" s="138">
        <v>937</v>
      </c>
      <c r="Q75" s="138">
        <v>1164</v>
      </c>
      <c r="R75" s="138">
        <v>1164</v>
      </c>
      <c r="S75" s="133">
        <f t="shared" si="52"/>
        <v>3265</v>
      </c>
      <c r="T75" s="138">
        <v>937</v>
      </c>
      <c r="U75" s="130">
        <v>2.74</v>
      </c>
      <c r="V75" s="131">
        <v>1.1299999999999999E-2</v>
      </c>
      <c r="W75" s="131">
        <v>1.1299999999999999E-2</v>
      </c>
      <c r="X75" s="132">
        <v>7.5000000000000002E-4</v>
      </c>
      <c r="Y75" s="131">
        <v>2.2499999999999999E-2</v>
      </c>
      <c r="Z75" s="29">
        <v>8491.56</v>
      </c>
      <c r="AA75" s="29">
        <v>154.1</v>
      </c>
      <c r="AB75" s="9">
        <f t="shared" si="29"/>
        <v>8645.66</v>
      </c>
      <c r="AC75" s="9">
        <f t="shared" si="28"/>
        <v>54727.03</v>
      </c>
      <c r="AD75" s="9">
        <v>1.52</v>
      </c>
      <c r="AE75" s="9">
        <v>4.2300000000000004</v>
      </c>
      <c r="AF75" s="21">
        <f>2.48-AJ75</f>
        <v>2.35</v>
      </c>
      <c r="AG75" s="18">
        <f>0.62-AQ75</f>
        <v>0.56999999999999995</v>
      </c>
      <c r="AH75" s="9">
        <v>2.4700000000000002</v>
      </c>
      <c r="AI75" s="43">
        <v>1117</v>
      </c>
      <c r="AJ75" s="21">
        <f t="shared" si="30"/>
        <v>0.13</v>
      </c>
      <c r="AK75" s="9">
        <v>1.99</v>
      </c>
      <c r="AL75" s="9">
        <v>0.17</v>
      </c>
      <c r="AM75" s="9">
        <v>7.0000000000000007E-2</v>
      </c>
      <c r="AN75" s="13"/>
      <c r="AO75" s="13">
        <v>982.4</v>
      </c>
      <c r="AP75" s="13">
        <f t="shared" si="53"/>
        <v>5.58</v>
      </c>
      <c r="AQ75" s="18">
        <f t="shared" si="31"/>
        <v>0.05</v>
      </c>
      <c r="AR75" s="9">
        <v>0.55000000000000004</v>
      </c>
      <c r="AS75" s="9">
        <v>0.16</v>
      </c>
      <c r="AT75" s="9">
        <v>7.0000000000000007E-2</v>
      </c>
      <c r="AU75" s="9">
        <v>4.38</v>
      </c>
      <c r="AV75" s="9">
        <v>0.15</v>
      </c>
      <c r="AW75" s="9">
        <f>1.29+0.26+0.41</f>
        <v>1.96</v>
      </c>
      <c r="AX75" s="9">
        <f>1.8+1</f>
        <v>2.8</v>
      </c>
      <c r="AY75" s="63">
        <f t="shared" si="54"/>
        <v>23.62</v>
      </c>
      <c r="AZ75" s="13">
        <v>23.62</v>
      </c>
      <c r="BA75" s="13">
        <f t="shared" si="32"/>
        <v>0</v>
      </c>
      <c r="BB75" s="9">
        <f t="shared" si="33"/>
        <v>204210.49</v>
      </c>
      <c r="BC75" s="9">
        <v>23.62</v>
      </c>
      <c r="BD75" s="10">
        <v>44409</v>
      </c>
      <c r="BE75" s="9">
        <f t="shared" si="34"/>
        <v>13141.4</v>
      </c>
      <c r="BF75" s="9">
        <f t="shared" si="35"/>
        <v>36571.14</v>
      </c>
      <c r="BG75" s="9">
        <f t="shared" si="36"/>
        <v>20317.3</v>
      </c>
      <c r="BH75" s="9">
        <f t="shared" si="37"/>
        <v>4928.03</v>
      </c>
      <c r="BI75" s="9">
        <f t="shared" si="38"/>
        <v>21354.78</v>
      </c>
      <c r="BJ75" s="9">
        <f t="shared" si="39"/>
        <v>1123.94</v>
      </c>
      <c r="BK75" s="9">
        <f t="shared" si="40"/>
        <v>17204.86</v>
      </c>
      <c r="BL75" s="9">
        <f t="shared" si="41"/>
        <v>1469.76</v>
      </c>
      <c r="BM75" s="9">
        <f t="shared" si="42"/>
        <v>605.20000000000005</v>
      </c>
      <c r="BN75" s="9">
        <f t="shared" si="43"/>
        <v>432.28</v>
      </c>
      <c r="BO75" s="9">
        <f t="shared" si="44"/>
        <v>4755.1099999999997</v>
      </c>
      <c r="BP75" s="9">
        <f t="shared" si="45"/>
        <v>1383.31</v>
      </c>
      <c r="BQ75" s="9">
        <f t="shared" si="46"/>
        <v>605.20000000000005</v>
      </c>
      <c r="BR75" s="9">
        <f t="shared" si="47"/>
        <v>37867.99</v>
      </c>
      <c r="BS75" s="9">
        <f t="shared" si="48"/>
        <v>1296.8499999999999</v>
      </c>
      <c r="BT75" s="9">
        <f t="shared" si="49"/>
        <v>16945.490000000002</v>
      </c>
      <c r="BU75" s="9">
        <f t="shared" si="50"/>
        <v>24207.85</v>
      </c>
      <c r="BV75" s="17">
        <f t="shared" si="51"/>
        <v>204210.49</v>
      </c>
      <c r="BW75" s="17">
        <v>4.0199999999999996</v>
      </c>
      <c r="BX75" s="17">
        <v>0.04</v>
      </c>
      <c r="BY75" s="17">
        <v>0.26</v>
      </c>
      <c r="BZ75" s="17">
        <v>0.05</v>
      </c>
      <c r="CA75" s="29">
        <v>6.33</v>
      </c>
      <c r="CB75" s="325"/>
      <c r="CC75" s="13">
        <v>46377.51</v>
      </c>
      <c r="CD75" s="13">
        <v>2738.97</v>
      </c>
      <c r="CE75" s="13">
        <v>137.13</v>
      </c>
      <c r="CF75" s="13">
        <v>630.64</v>
      </c>
      <c r="CG75" s="13">
        <v>420.11</v>
      </c>
      <c r="CH75" s="13">
        <v>0</v>
      </c>
      <c r="CI75" s="13">
        <v>9128.02</v>
      </c>
      <c r="CJ75" s="13">
        <v>63672</v>
      </c>
      <c r="CK75" s="13">
        <v>3324.57</v>
      </c>
      <c r="CL75" s="13">
        <v>2406600.48</v>
      </c>
      <c r="CM75" s="13">
        <v>164897.03</v>
      </c>
      <c r="CN75" s="13">
        <v>3736.53</v>
      </c>
      <c r="CO75" s="13">
        <v>39655.199999999997</v>
      </c>
      <c r="CP75" s="13">
        <v>23776.11</v>
      </c>
      <c r="CQ75" s="13">
        <v>0</v>
      </c>
      <c r="CR75" s="13">
        <v>2312910.33</v>
      </c>
      <c r="CS75" s="13">
        <v>156513.56</v>
      </c>
      <c r="CT75" s="13">
        <v>3188.71</v>
      </c>
      <c r="CU75" s="13">
        <v>31051.32</v>
      </c>
      <c r="CV75" s="13">
        <v>20120.439999999999</v>
      </c>
      <c r="CW75" s="13">
        <v>0</v>
      </c>
      <c r="CX75" s="13">
        <v>290882.71000000002</v>
      </c>
      <c r="CY75" s="13">
        <v>11187.55</v>
      </c>
      <c r="CZ75" s="13">
        <v>-456.43</v>
      </c>
      <c r="DA75" s="13">
        <v>6358.4</v>
      </c>
      <c r="DB75" s="13">
        <v>3550.86</v>
      </c>
      <c r="DC75" s="13"/>
      <c r="DD75" s="315">
        <v>2638665.35</v>
      </c>
      <c r="DE75" s="317">
        <v>2523784.36</v>
      </c>
      <c r="DF75" s="317">
        <v>95.65</v>
      </c>
      <c r="DG75" s="318">
        <v>311523.09000000003</v>
      </c>
      <c r="DH75" s="310">
        <v>89188.68</v>
      </c>
      <c r="DI75" s="310">
        <v>51008.04</v>
      </c>
      <c r="DJ75" s="312">
        <v>0</v>
      </c>
      <c r="DK75" s="362">
        <v>0</v>
      </c>
      <c r="DL75" s="362"/>
      <c r="DM75" s="362">
        <v>0</v>
      </c>
      <c r="DN75" s="362">
        <v>0</v>
      </c>
      <c r="DO75" s="362">
        <v>0</v>
      </c>
      <c r="DP75" s="362">
        <v>0</v>
      </c>
      <c r="DQ75" s="362">
        <v>0</v>
      </c>
      <c r="DR75" s="362"/>
      <c r="DS75" s="362">
        <v>0</v>
      </c>
      <c r="DT75" s="362"/>
      <c r="DU75" s="362">
        <v>0</v>
      </c>
      <c r="DV75" s="362">
        <v>0</v>
      </c>
      <c r="DW75" s="362">
        <v>206113.33</v>
      </c>
      <c r="DX75" s="362">
        <v>0</v>
      </c>
      <c r="DY75" s="362">
        <v>0</v>
      </c>
      <c r="DZ75" s="375">
        <v>3112</v>
      </c>
      <c r="EA75" s="362">
        <v>0</v>
      </c>
      <c r="EB75" s="362">
        <v>0</v>
      </c>
      <c r="EC75" s="362"/>
      <c r="ED75" s="362">
        <v>663838.80000000005</v>
      </c>
      <c r="EE75" s="362">
        <v>11355</v>
      </c>
      <c r="EF75" s="362"/>
      <c r="EG75" s="362">
        <v>17778</v>
      </c>
      <c r="EH75" s="362">
        <v>0</v>
      </c>
      <c r="EI75" s="362"/>
      <c r="EJ75" s="362">
        <v>0</v>
      </c>
      <c r="EK75" s="362"/>
      <c r="EL75" s="362">
        <v>0</v>
      </c>
      <c r="EM75" s="362">
        <v>5481.78</v>
      </c>
      <c r="EN75" s="362">
        <v>0</v>
      </c>
      <c r="EO75" s="362">
        <v>0</v>
      </c>
      <c r="EP75" s="362">
        <v>526182</v>
      </c>
      <c r="EQ75" s="362">
        <v>21870</v>
      </c>
      <c r="ER75" s="362">
        <v>10920</v>
      </c>
      <c r="ES75" s="362">
        <v>6924</v>
      </c>
      <c r="ET75" s="362">
        <v>18453</v>
      </c>
      <c r="EU75" s="362">
        <v>0</v>
      </c>
      <c r="EV75" s="362">
        <v>123331.13</v>
      </c>
      <c r="EW75" s="362"/>
      <c r="EX75" s="202"/>
      <c r="EY75" s="202"/>
      <c r="EZ75" s="229"/>
      <c r="FA75" s="368">
        <v>167935.56</v>
      </c>
      <c r="FB75" s="368">
        <v>35619.199999999997</v>
      </c>
      <c r="FC75" s="368">
        <v>0</v>
      </c>
      <c r="FD75" s="368">
        <v>0</v>
      </c>
      <c r="FE75" s="368">
        <v>42684.22</v>
      </c>
      <c r="FF75" s="368">
        <v>25154.78</v>
      </c>
      <c r="FG75" s="368">
        <v>-3432.05</v>
      </c>
      <c r="FH75" s="368">
        <v>-4076.11</v>
      </c>
      <c r="FI75" s="368">
        <v>0</v>
      </c>
      <c r="FJ75" s="368">
        <v>0</v>
      </c>
      <c r="FK75" s="368">
        <v>41564.839999999997</v>
      </c>
      <c r="FL75" s="368">
        <v>0</v>
      </c>
      <c r="FM75" s="368">
        <v>231122.33</v>
      </c>
      <c r="FN75" s="368">
        <v>146958.23000000001</v>
      </c>
      <c r="FO75" s="323">
        <v>2133636.3199999998</v>
      </c>
      <c r="FP75" s="323">
        <v>305450.44</v>
      </c>
      <c r="FQ75" s="323">
        <v>2439086.7599999998</v>
      </c>
      <c r="FR75" s="338">
        <v>215811.8</v>
      </c>
      <c r="FS75" s="338">
        <v>14467.3</v>
      </c>
      <c r="FT75" s="377">
        <v>230279.1</v>
      </c>
      <c r="FU75" s="377">
        <v>2525778.0099999998</v>
      </c>
      <c r="FV75" s="377">
        <v>239316.29</v>
      </c>
      <c r="FW75" s="362">
        <v>2765094.3</v>
      </c>
      <c r="FX75" s="362">
        <v>2416091.5499999998</v>
      </c>
      <c r="FY75" s="362">
        <v>230133.16</v>
      </c>
      <c r="FZ75" s="362">
        <v>2646224.71</v>
      </c>
      <c r="GA75" s="362">
        <v>325498.26</v>
      </c>
      <c r="GB75" s="362">
        <v>23650.43</v>
      </c>
      <c r="GC75" s="362">
        <v>349148.69</v>
      </c>
      <c r="GD75" s="362">
        <v>166416.15</v>
      </c>
      <c r="GE75" s="362">
        <v>29921.24</v>
      </c>
      <c r="GF75" s="362">
        <v>196337.39</v>
      </c>
      <c r="GG75" s="202">
        <v>37625.599999999999</v>
      </c>
      <c r="GH75" s="416">
        <v>92</v>
      </c>
      <c r="GI75" s="414">
        <v>3869.1</v>
      </c>
      <c r="GJ75" s="419">
        <v>50304.36</v>
      </c>
      <c r="GK75" s="396">
        <v>37625.599999999999</v>
      </c>
      <c r="GL75" s="202">
        <v>34615.552000000003</v>
      </c>
      <c r="GM75" s="202">
        <v>3010.0479999999998</v>
      </c>
      <c r="GN75" s="323">
        <v>392141.69</v>
      </c>
      <c r="GO75" s="323">
        <v>-66134.149999999994</v>
      </c>
      <c r="GP75" s="323">
        <v>326007.53999999998</v>
      </c>
      <c r="GQ75" s="323">
        <v>558557.84</v>
      </c>
      <c r="GR75" s="323">
        <v>-36212.910000000003</v>
      </c>
      <c r="GS75" s="323">
        <v>522344.93</v>
      </c>
    </row>
    <row r="76" spans="1:201" ht="12.75" customHeight="1" x14ac:dyDescent="0.2">
      <c r="A76" s="45" t="s">
        <v>123</v>
      </c>
      <c r="B76" s="60" t="s">
        <v>97</v>
      </c>
      <c r="C76" s="61" t="s">
        <v>27</v>
      </c>
      <c r="D76" s="390" t="s">
        <v>627</v>
      </c>
      <c r="E76" s="61"/>
      <c r="F76" s="11">
        <v>9</v>
      </c>
      <c r="G76" s="11">
        <v>4</v>
      </c>
      <c r="H76" s="11">
        <v>144</v>
      </c>
      <c r="I76" s="11">
        <v>145</v>
      </c>
      <c r="J76" s="11">
        <v>275</v>
      </c>
      <c r="K76" s="11">
        <v>328</v>
      </c>
      <c r="L76" s="83">
        <v>4</v>
      </c>
      <c r="M76" s="84">
        <v>890</v>
      </c>
      <c r="N76" s="84">
        <v>1150</v>
      </c>
      <c r="O76" s="84">
        <v>0</v>
      </c>
      <c r="P76" s="135">
        <f>484.2+424.5+186.8</f>
        <v>1095.5</v>
      </c>
      <c r="Q76" s="135">
        <v>861.6</v>
      </c>
      <c r="R76" s="133">
        <v>0</v>
      </c>
      <c r="S76" s="133">
        <f t="shared" si="52"/>
        <v>1957.1</v>
      </c>
      <c r="T76" s="134">
        <v>1095.5</v>
      </c>
      <c r="U76" s="130">
        <v>2.44</v>
      </c>
      <c r="V76" s="91">
        <v>1.9800000000000002E-2</v>
      </c>
      <c r="W76" s="91">
        <v>1.9800000000000002E-2</v>
      </c>
      <c r="X76" s="132">
        <v>1.32E-3</v>
      </c>
      <c r="Y76" s="91">
        <v>3.9699999999999999E-2</v>
      </c>
      <c r="Z76" s="29">
        <v>7736.94</v>
      </c>
      <c r="AA76" s="29">
        <v>14.6</v>
      </c>
      <c r="AB76" s="13">
        <f t="shared" si="29"/>
        <v>7751.54</v>
      </c>
      <c r="AC76" s="9">
        <f t="shared" si="28"/>
        <v>49067.25</v>
      </c>
      <c r="AD76" s="9">
        <v>1.62</v>
      </c>
      <c r="AE76" s="9">
        <v>4.2300000000000004</v>
      </c>
      <c r="AF76" s="21">
        <f>2.38-AJ76</f>
        <v>2.2400000000000002</v>
      </c>
      <c r="AG76" s="18">
        <f>0.61-AQ76</f>
        <v>0.56000000000000005</v>
      </c>
      <c r="AH76" s="9">
        <v>2.78</v>
      </c>
      <c r="AI76" s="43">
        <v>1117</v>
      </c>
      <c r="AJ76" s="21">
        <f t="shared" si="30"/>
        <v>0.14000000000000001</v>
      </c>
      <c r="AK76" s="9">
        <v>2.23</v>
      </c>
      <c r="AL76" s="9">
        <v>0.19</v>
      </c>
      <c r="AM76" s="9">
        <v>0.12</v>
      </c>
      <c r="AN76" s="13"/>
      <c r="AO76" s="13">
        <v>844.8</v>
      </c>
      <c r="AP76" s="13">
        <f t="shared" si="53"/>
        <v>5.58</v>
      </c>
      <c r="AQ76" s="18">
        <f t="shared" si="31"/>
        <v>0.05</v>
      </c>
      <c r="AR76" s="9">
        <v>0.56999999999999995</v>
      </c>
      <c r="AS76" s="9">
        <v>0.18</v>
      </c>
      <c r="AT76" s="9">
        <v>7.0000000000000007E-2</v>
      </c>
      <c r="AU76" s="9">
        <v>4.33</v>
      </c>
      <c r="AV76" s="9">
        <v>0.15</v>
      </c>
      <c r="AW76" s="9">
        <f>0.26+0.38+1.35</f>
        <v>1.99</v>
      </c>
      <c r="AX76" s="9">
        <f>1.89+0.51</f>
        <v>2.4</v>
      </c>
      <c r="AY76" s="63">
        <f t="shared" si="54"/>
        <v>23.85</v>
      </c>
      <c r="AZ76" s="13">
        <v>23.85</v>
      </c>
      <c r="BA76" s="13">
        <f t="shared" si="32"/>
        <v>0</v>
      </c>
      <c r="BB76" s="9">
        <f t="shared" si="33"/>
        <v>184874.23</v>
      </c>
      <c r="BC76" s="9">
        <v>23.85</v>
      </c>
      <c r="BD76" s="10">
        <v>44440</v>
      </c>
      <c r="BE76" s="9">
        <f t="shared" si="34"/>
        <v>12557.49</v>
      </c>
      <c r="BF76" s="9">
        <f t="shared" si="35"/>
        <v>32789.01</v>
      </c>
      <c r="BG76" s="9">
        <f t="shared" si="36"/>
        <v>17363.45</v>
      </c>
      <c r="BH76" s="9">
        <f t="shared" si="37"/>
        <v>4340.8599999999997</v>
      </c>
      <c r="BI76" s="9">
        <f t="shared" si="38"/>
        <v>21549.279999999999</v>
      </c>
      <c r="BJ76" s="9">
        <f t="shared" si="39"/>
        <v>1085.22</v>
      </c>
      <c r="BK76" s="9">
        <f t="shared" si="40"/>
        <v>17285.93</v>
      </c>
      <c r="BL76" s="9">
        <f t="shared" si="41"/>
        <v>1472.79</v>
      </c>
      <c r="BM76" s="9">
        <f t="shared" si="42"/>
        <v>930.18</v>
      </c>
      <c r="BN76" s="9">
        <f t="shared" si="43"/>
        <v>387.58</v>
      </c>
      <c r="BO76" s="9">
        <f t="shared" si="44"/>
        <v>4418.38</v>
      </c>
      <c r="BP76" s="9">
        <f t="shared" si="45"/>
        <v>1395.28</v>
      </c>
      <c r="BQ76" s="9">
        <f t="shared" si="46"/>
        <v>542.61</v>
      </c>
      <c r="BR76" s="9">
        <f t="shared" si="47"/>
        <v>33564.17</v>
      </c>
      <c r="BS76" s="9">
        <f t="shared" si="48"/>
        <v>1162.73</v>
      </c>
      <c r="BT76" s="9">
        <f t="shared" si="49"/>
        <v>15425.56</v>
      </c>
      <c r="BU76" s="9">
        <f t="shared" si="50"/>
        <v>18603.7</v>
      </c>
      <c r="BV76" s="17">
        <f t="shared" si="51"/>
        <v>184874.22</v>
      </c>
      <c r="BW76" s="17">
        <v>2.48</v>
      </c>
      <c r="BX76" s="17">
        <v>0.08</v>
      </c>
      <c r="BY76" s="17">
        <v>0.47</v>
      </c>
      <c r="BZ76" s="17">
        <v>0.09</v>
      </c>
      <c r="CA76" s="29">
        <v>6.33</v>
      </c>
      <c r="CB76" s="325"/>
      <c r="CC76" s="13">
        <v>4976.7</v>
      </c>
      <c r="CD76" s="13">
        <v>247.61</v>
      </c>
      <c r="CE76" s="13">
        <v>9.1999999999999993</v>
      </c>
      <c r="CF76" s="13">
        <v>69.8</v>
      </c>
      <c r="CG76" s="13">
        <v>49.34</v>
      </c>
      <c r="CH76" s="13">
        <v>0</v>
      </c>
      <c r="CI76" s="13">
        <v>5922.41</v>
      </c>
      <c r="CJ76" s="13">
        <v>61872</v>
      </c>
      <c r="CK76" s="13">
        <v>2981.16</v>
      </c>
      <c r="CL76" s="13">
        <v>2214267.56</v>
      </c>
      <c r="CM76" s="13">
        <v>142975.81</v>
      </c>
      <c r="CN76" s="13">
        <v>0</v>
      </c>
      <c r="CO76" s="13">
        <v>46266.400000000001</v>
      </c>
      <c r="CP76" s="13">
        <v>28782</v>
      </c>
      <c r="CQ76" s="13">
        <v>0</v>
      </c>
      <c r="CR76" s="13">
        <v>2108396.96</v>
      </c>
      <c r="CS76" s="13">
        <v>124735.48</v>
      </c>
      <c r="CT76" s="13">
        <v>2486.3000000000002</v>
      </c>
      <c r="CU76" s="13">
        <v>39346.15</v>
      </c>
      <c r="CV76" s="13">
        <v>25645.46</v>
      </c>
      <c r="CW76" s="13">
        <v>0</v>
      </c>
      <c r="CX76" s="13">
        <v>274326.09999999998</v>
      </c>
      <c r="CY76" s="13">
        <v>6279.14</v>
      </c>
      <c r="CZ76" s="13">
        <v>-3671.41</v>
      </c>
      <c r="DA76" s="13">
        <v>8681.0300000000007</v>
      </c>
      <c r="DB76" s="13">
        <v>5177.32</v>
      </c>
      <c r="DC76" s="13"/>
      <c r="DD76" s="315">
        <v>2432291.77</v>
      </c>
      <c r="DE76" s="317">
        <v>2300610.35</v>
      </c>
      <c r="DF76" s="317">
        <v>94.59</v>
      </c>
      <c r="DG76" s="318">
        <v>290792.18</v>
      </c>
      <c r="DH76" s="310">
        <v>81273.240000000005</v>
      </c>
      <c r="DI76" s="310">
        <v>46481.04</v>
      </c>
      <c r="DJ76" s="312">
        <v>0</v>
      </c>
      <c r="DK76" s="362">
        <v>0</v>
      </c>
      <c r="DL76" s="362"/>
      <c r="DM76" s="362">
        <v>0</v>
      </c>
      <c r="DN76" s="362">
        <v>0</v>
      </c>
      <c r="DO76" s="362">
        <v>0</v>
      </c>
      <c r="DP76" s="362">
        <v>0</v>
      </c>
      <c r="DQ76" s="362">
        <v>0</v>
      </c>
      <c r="DR76" s="362"/>
      <c r="DS76" s="362">
        <v>0</v>
      </c>
      <c r="DT76" s="362"/>
      <c r="DU76" s="362">
        <v>0</v>
      </c>
      <c r="DV76" s="362">
        <v>0</v>
      </c>
      <c r="DW76" s="362">
        <v>206400</v>
      </c>
      <c r="DX76" s="362">
        <v>0</v>
      </c>
      <c r="DY76" s="362">
        <v>18000</v>
      </c>
      <c r="DZ76" s="375">
        <v>3800</v>
      </c>
      <c r="EA76" s="362">
        <v>0</v>
      </c>
      <c r="EB76" s="362">
        <v>0</v>
      </c>
      <c r="EC76" s="362"/>
      <c r="ED76" s="362">
        <v>602535.18000000005</v>
      </c>
      <c r="EE76" s="362">
        <v>15400</v>
      </c>
      <c r="EF76" s="362"/>
      <c r="EG76" s="362">
        <v>17778</v>
      </c>
      <c r="EH76" s="362">
        <v>0</v>
      </c>
      <c r="EI76" s="362"/>
      <c r="EJ76" s="362">
        <v>0</v>
      </c>
      <c r="EK76" s="362"/>
      <c r="EL76" s="362">
        <v>0</v>
      </c>
      <c r="EM76" s="362">
        <v>4713.99</v>
      </c>
      <c r="EN76" s="362">
        <v>0</v>
      </c>
      <c r="EO76" s="362">
        <v>0</v>
      </c>
      <c r="EP76" s="362">
        <v>486792</v>
      </c>
      <c r="EQ76" s="362">
        <v>21870</v>
      </c>
      <c r="ER76" s="362">
        <v>16380</v>
      </c>
      <c r="ES76" s="362">
        <v>11304</v>
      </c>
      <c r="ET76" s="362">
        <v>17764</v>
      </c>
      <c r="EU76" s="362">
        <v>0</v>
      </c>
      <c r="EV76" s="362">
        <v>133617.91</v>
      </c>
      <c r="EW76" s="362"/>
      <c r="EX76" s="202"/>
      <c r="EY76" s="202"/>
      <c r="EZ76" s="229"/>
      <c r="FA76" s="368">
        <v>134680.6</v>
      </c>
      <c r="FB76" s="368">
        <v>0</v>
      </c>
      <c r="FC76" s="368">
        <v>0</v>
      </c>
      <c r="FD76" s="368">
        <v>0</v>
      </c>
      <c r="FE76" s="368">
        <v>47265.93</v>
      </c>
      <c r="FF76" s="368">
        <v>29575.040000000001</v>
      </c>
      <c r="FG76" s="368">
        <v>-2032.66</v>
      </c>
      <c r="FH76" s="368">
        <v>-3157.59</v>
      </c>
      <c r="FI76" s="368">
        <v>0</v>
      </c>
      <c r="FJ76" s="368">
        <v>0</v>
      </c>
      <c r="FK76" s="368">
        <v>3048.66</v>
      </c>
      <c r="FL76" s="368">
        <v>0</v>
      </c>
      <c r="FM76" s="368">
        <v>207237.89</v>
      </c>
      <c r="FN76" s="368">
        <v>131771.51999999999</v>
      </c>
      <c r="FO76" s="323">
        <v>2023118.77</v>
      </c>
      <c r="FP76" s="323">
        <v>209379.98</v>
      </c>
      <c r="FQ76" s="323">
        <v>2232498.75</v>
      </c>
      <c r="FR76" s="338">
        <v>174559.68</v>
      </c>
      <c r="FS76" s="338">
        <v>11201.05</v>
      </c>
      <c r="FT76" s="377">
        <v>185760.73</v>
      </c>
      <c r="FU76" s="377">
        <v>2287038.67</v>
      </c>
      <c r="FV76" s="377">
        <v>221381.32</v>
      </c>
      <c r="FW76" s="362">
        <v>2508419.9900000002</v>
      </c>
      <c r="FX76" s="362">
        <v>2181589.04</v>
      </c>
      <c r="FY76" s="362">
        <v>215688.52</v>
      </c>
      <c r="FZ76" s="362">
        <v>2397277.56</v>
      </c>
      <c r="GA76" s="362">
        <v>280009.31</v>
      </c>
      <c r="GB76" s="362">
        <v>16893.849999999999</v>
      </c>
      <c r="GC76" s="362">
        <v>296903.15999999997</v>
      </c>
      <c r="GD76" s="362">
        <v>70501.320000000007</v>
      </c>
      <c r="GE76" s="362">
        <v>-20241.37</v>
      </c>
      <c r="GF76" s="362">
        <v>50259.95</v>
      </c>
      <c r="GG76" s="202">
        <v>6110.98</v>
      </c>
      <c r="GH76" s="416">
        <v>93</v>
      </c>
      <c r="GI76" s="414">
        <v>3869.1</v>
      </c>
      <c r="GJ76" s="419">
        <v>5352.65</v>
      </c>
      <c r="GK76" s="396">
        <v>6110.98</v>
      </c>
      <c r="GL76" s="202">
        <v>5683.2114000000001</v>
      </c>
      <c r="GM76" s="202">
        <v>427.76859999999903</v>
      </c>
      <c r="GN76" s="323">
        <v>263919.90000000002</v>
      </c>
      <c r="GO76" s="323">
        <v>12001.34</v>
      </c>
      <c r="GP76" s="323">
        <v>275921.24</v>
      </c>
      <c r="GQ76" s="323">
        <v>334421.21999999997</v>
      </c>
      <c r="GR76" s="323">
        <v>-8240.0300000000007</v>
      </c>
      <c r="GS76" s="323">
        <v>326181.19</v>
      </c>
    </row>
    <row r="77" spans="1:201" ht="12.75" customHeight="1" x14ac:dyDescent="0.2">
      <c r="A77" s="45" t="s">
        <v>125</v>
      </c>
      <c r="B77" s="60" t="s">
        <v>97</v>
      </c>
      <c r="C77" s="61" t="s">
        <v>79</v>
      </c>
      <c r="D77" s="388" t="s">
        <v>420</v>
      </c>
      <c r="E77" s="61" t="s">
        <v>12</v>
      </c>
      <c r="F77" s="11">
        <v>9</v>
      </c>
      <c r="G77" s="11">
        <v>4</v>
      </c>
      <c r="H77" s="11">
        <v>132</v>
      </c>
      <c r="I77" s="11">
        <v>134</v>
      </c>
      <c r="J77" s="11">
        <v>306</v>
      </c>
      <c r="K77" s="11">
        <v>377</v>
      </c>
      <c r="L77" s="83">
        <v>4</v>
      </c>
      <c r="M77" s="84">
        <v>749.9</v>
      </c>
      <c r="N77" s="84">
        <v>2451.6</v>
      </c>
      <c r="O77" s="84">
        <v>2451.6</v>
      </c>
      <c r="P77" s="135">
        <v>976.6</v>
      </c>
      <c r="Q77" s="146">
        <v>0</v>
      </c>
      <c r="R77" s="133">
        <v>1233.8</v>
      </c>
      <c r="S77" s="133">
        <f t="shared" si="52"/>
        <v>2210.4</v>
      </c>
      <c r="T77" s="134">
        <v>976.6</v>
      </c>
      <c r="U77" s="130">
        <v>2.44</v>
      </c>
      <c r="V77" s="91">
        <v>1.9800000000000002E-2</v>
      </c>
      <c r="W77" s="91">
        <v>1.9800000000000002E-2</v>
      </c>
      <c r="X77" s="132">
        <v>1.32E-3</v>
      </c>
      <c r="Y77" s="91">
        <v>3.9699999999999999E-2</v>
      </c>
      <c r="Z77" s="29">
        <v>7131.4</v>
      </c>
      <c r="AA77" s="29">
        <v>1552</v>
      </c>
      <c r="AB77" s="9">
        <f t="shared" si="29"/>
        <v>8683.4</v>
      </c>
      <c r="AC77" s="9">
        <f t="shared" si="28"/>
        <v>54965.919999999998</v>
      </c>
      <c r="AD77" s="9">
        <v>1.57</v>
      </c>
      <c r="AE77" s="9">
        <v>4.67</v>
      </c>
      <c r="AF77" s="21">
        <f>2.41-AJ77</f>
        <v>2.2599999999999998</v>
      </c>
      <c r="AG77" s="18">
        <f>0.59-AQ77</f>
        <v>0.55000000000000004</v>
      </c>
      <c r="AH77" s="9">
        <v>2.4700000000000002</v>
      </c>
      <c r="AI77" s="43">
        <v>1270</v>
      </c>
      <c r="AJ77" s="21">
        <f t="shared" si="30"/>
        <v>0.15</v>
      </c>
      <c r="AK77" s="9">
        <v>1.98</v>
      </c>
      <c r="AL77" s="9">
        <v>0.26</v>
      </c>
      <c r="AM77" s="9">
        <v>0.11</v>
      </c>
      <c r="AN77" s="13"/>
      <c r="AO77" s="13">
        <v>820.4</v>
      </c>
      <c r="AP77" s="13">
        <f t="shared" si="53"/>
        <v>5.58</v>
      </c>
      <c r="AQ77" s="18">
        <f t="shared" si="31"/>
        <v>0.04</v>
      </c>
      <c r="AR77" s="9">
        <v>0.48</v>
      </c>
      <c r="AS77" s="9">
        <v>0.16</v>
      </c>
      <c r="AT77" s="9">
        <v>7.0000000000000007E-2</v>
      </c>
      <c r="AU77" s="9">
        <v>5.04</v>
      </c>
      <c r="AV77" s="9">
        <v>0.14000000000000001</v>
      </c>
      <c r="AW77" s="9">
        <f>1.33+0.26+0.45</f>
        <v>2.04</v>
      </c>
      <c r="AX77" s="9">
        <f>1.86+0.59</f>
        <v>2.4500000000000002</v>
      </c>
      <c r="AY77" s="63">
        <f t="shared" si="54"/>
        <v>24.44</v>
      </c>
      <c r="AZ77" s="13">
        <v>24.44</v>
      </c>
      <c r="BA77" s="13">
        <f t="shared" si="32"/>
        <v>0</v>
      </c>
      <c r="BB77" s="9">
        <f t="shared" si="33"/>
        <v>212222.3</v>
      </c>
      <c r="BC77" s="9">
        <v>24.44</v>
      </c>
      <c r="BD77" s="10">
        <v>44409</v>
      </c>
      <c r="BE77" s="9">
        <f t="shared" si="34"/>
        <v>13632.94</v>
      </c>
      <c r="BF77" s="9">
        <f t="shared" si="35"/>
        <v>40551.480000000003</v>
      </c>
      <c r="BG77" s="9">
        <f t="shared" si="36"/>
        <v>19624.48</v>
      </c>
      <c r="BH77" s="9">
        <f t="shared" si="37"/>
        <v>4775.87</v>
      </c>
      <c r="BI77" s="9">
        <f t="shared" si="38"/>
        <v>21448</v>
      </c>
      <c r="BJ77" s="9">
        <f t="shared" si="39"/>
        <v>1302.51</v>
      </c>
      <c r="BK77" s="9">
        <f t="shared" si="40"/>
        <v>17193.13</v>
      </c>
      <c r="BL77" s="9">
        <f t="shared" si="41"/>
        <v>2257.6799999999998</v>
      </c>
      <c r="BM77" s="9">
        <f t="shared" si="42"/>
        <v>955.17</v>
      </c>
      <c r="BN77" s="9">
        <f t="shared" si="43"/>
        <v>347.34</v>
      </c>
      <c r="BO77" s="9">
        <f t="shared" si="44"/>
        <v>4168.03</v>
      </c>
      <c r="BP77" s="9">
        <f t="shared" si="45"/>
        <v>1389.34</v>
      </c>
      <c r="BQ77" s="9">
        <f t="shared" si="46"/>
        <v>607.84</v>
      </c>
      <c r="BR77" s="9">
        <f t="shared" si="47"/>
        <v>43764.34</v>
      </c>
      <c r="BS77" s="9">
        <f t="shared" si="48"/>
        <v>1215.68</v>
      </c>
      <c r="BT77" s="9">
        <f t="shared" si="49"/>
        <v>17714.14</v>
      </c>
      <c r="BU77" s="9">
        <f t="shared" si="50"/>
        <v>21274.33</v>
      </c>
      <c r="BV77" s="17">
        <f t="shared" si="51"/>
        <v>212222.3</v>
      </c>
      <c r="BW77" s="17">
        <v>3.57</v>
      </c>
      <c r="BX77" s="17">
        <v>7.0000000000000007E-2</v>
      </c>
      <c r="BY77" s="17">
        <v>0.42</v>
      </c>
      <c r="BZ77" s="17">
        <v>7.0000000000000007E-2</v>
      </c>
      <c r="CA77" s="29">
        <v>6.33</v>
      </c>
      <c r="CB77" s="325"/>
      <c r="CC77" s="13">
        <v>455170.56</v>
      </c>
      <c r="CD77" s="13">
        <v>4780.16</v>
      </c>
      <c r="CE77" s="13">
        <v>17832.48</v>
      </c>
      <c r="CF77" s="13">
        <v>838.08</v>
      </c>
      <c r="CG77" s="13">
        <v>853.6</v>
      </c>
      <c r="CH77" s="13">
        <v>0</v>
      </c>
      <c r="CI77" s="13">
        <v>7851.66</v>
      </c>
      <c r="CJ77" s="13">
        <v>57552</v>
      </c>
      <c r="CK77" s="13">
        <v>3338.27</v>
      </c>
      <c r="CL77" s="13">
        <v>2090214.08</v>
      </c>
      <c r="CM77" s="13">
        <v>29073.74</v>
      </c>
      <c r="CN77" s="13">
        <v>83644.899999999994</v>
      </c>
      <c r="CO77" s="13">
        <v>2138.9899999999998</v>
      </c>
      <c r="CP77" s="13">
        <v>3921.54</v>
      </c>
      <c r="CQ77" s="13">
        <v>0</v>
      </c>
      <c r="CR77" s="13">
        <v>2030660.3</v>
      </c>
      <c r="CS77" s="13">
        <v>37985.4</v>
      </c>
      <c r="CT77" s="13">
        <v>76404.36</v>
      </c>
      <c r="CU77" s="13">
        <v>2138.3000000000002</v>
      </c>
      <c r="CV77" s="13">
        <v>3522.85</v>
      </c>
      <c r="CW77" s="13">
        <v>0</v>
      </c>
      <c r="CX77" s="13">
        <v>222415.48</v>
      </c>
      <c r="CY77" s="13">
        <v>-8388.6299999999992</v>
      </c>
      <c r="CZ77" s="13">
        <v>7562.85</v>
      </c>
      <c r="DA77" s="13">
        <v>664.37</v>
      </c>
      <c r="DB77" s="13">
        <v>518.67999999999995</v>
      </c>
      <c r="DC77" s="13"/>
      <c r="DD77" s="315">
        <v>2208993.25</v>
      </c>
      <c r="DE77" s="317">
        <v>2150711.21</v>
      </c>
      <c r="DF77" s="317">
        <v>97.36</v>
      </c>
      <c r="DG77" s="318">
        <v>222772.75</v>
      </c>
      <c r="DH77" s="310">
        <v>74894.880000000005</v>
      </c>
      <c r="DI77" s="310">
        <v>42833.16</v>
      </c>
      <c r="DJ77" s="312">
        <v>0</v>
      </c>
      <c r="DK77" s="362">
        <v>0</v>
      </c>
      <c r="DL77" s="362"/>
      <c r="DM77" s="362">
        <v>0</v>
      </c>
      <c r="DN77" s="362">
        <v>0</v>
      </c>
      <c r="DO77" s="362">
        <v>0</v>
      </c>
      <c r="DP77" s="362">
        <v>0</v>
      </c>
      <c r="DQ77" s="362">
        <v>0</v>
      </c>
      <c r="DR77" s="362"/>
      <c r="DS77" s="362">
        <v>0</v>
      </c>
      <c r="DT77" s="362"/>
      <c r="DU77" s="362">
        <v>0</v>
      </c>
      <c r="DV77" s="362">
        <v>0</v>
      </c>
      <c r="DW77" s="362">
        <v>206113.33</v>
      </c>
      <c r="DX77" s="362">
        <v>0</v>
      </c>
      <c r="DY77" s="362">
        <v>18000</v>
      </c>
      <c r="DZ77" s="375">
        <v>6912.01</v>
      </c>
      <c r="EA77" s="362">
        <v>0</v>
      </c>
      <c r="EB77" s="362">
        <v>0</v>
      </c>
      <c r="EC77" s="362"/>
      <c r="ED77" s="362">
        <v>719394.78</v>
      </c>
      <c r="EE77" s="362">
        <v>11355</v>
      </c>
      <c r="EF77" s="362"/>
      <c r="EG77" s="362">
        <v>20208</v>
      </c>
      <c r="EH77" s="362">
        <v>700</v>
      </c>
      <c r="EI77" s="362"/>
      <c r="EJ77" s="362">
        <v>0</v>
      </c>
      <c r="EK77" s="362"/>
      <c r="EL77" s="362">
        <v>0</v>
      </c>
      <c r="EM77" s="362">
        <v>4577.82</v>
      </c>
      <c r="EN77" s="362">
        <v>0</v>
      </c>
      <c r="EO77" s="362">
        <v>0</v>
      </c>
      <c r="EP77" s="362">
        <v>517032</v>
      </c>
      <c r="EQ77" s="362">
        <v>21870</v>
      </c>
      <c r="ER77" s="362">
        <v>10920</v>
      </c>
      <c r="ES77" s="362">
        <v>2826</v>
      </c>
      <c r="ET77" s="362">
        <v>17181</v>
      </c>
      <c r="EU77" s="362">
        <v>0</v>
      </c>
      <c r="EV77" s="362">
        <v>48726.21</v>
      </c>
      <c r="EW77" s="362"/>
      <c r="EX77" s="202"/>
      <c r="EY77" s="202"/>
      <c r="EZ77" s="229"/>
      <c r="FA77" s="368">
        <v>67579.06</v>
      </c>
      <c r="FB77" s="368">
        <v>102389.87</v>
      </c>
      <c r="FC77" s="368">
        <v>0</v>
      </c>
      <c r="FD77" s="368">
        <v>0</v>
      </c>
      <c r="FE77" s="368">
        <v>4439.58</v>
      </c>
      <c r="FF77" s="368">
        <v>5316.03</v>
      </c>
      <c r="FG77" s="368">
        <v>0</v>
      </c>
      <c r="FH77" s="368">
        <v>-2344.2800000000002</v>
      </c>
      <c r="FI77" s="368">
        <v>0</v>
      </c>
      <c r="FJ77" s="368">
        <v>0</v>
      </c>
      <c r="FK77" s="368">
        <v>128412.52</v>
      </c>
      <c r="FL77" s="368">
        <v>0</v>
      </c>
      <c r="FM77" s="368">
        <v>232110.77</v>
      </c>
      <c r="FN77" s="368">
        <v>147586.03</v>
      </c>
      <c r="FO77" s="323">
        <v>2103240.9900000002</v>
      </c>
      <c r="FP77" s="323">
        <v>305792.78000000003</v>
      </c>
      <c r="FQ77" s="323">
        <v>2409033.77</v>
      </c>
      <c r="FR77" s="338">
        <v>281078</v>
      </c>
      <c r="FS77" s="338">
        <v>7601.34</v>
      </c>
      <c r="FT77" s="377">
        <v>288679.34000000003</v>
      </c>
      <c r="FU77" s="377">
        <v>2610788.2999999998</v>
      </c>
      <c r="FV77" s="377">
        <v>146421.76000000001</v>
      </c>
      <c r="FW77" s="362">
        <v>2757210.06</v>
      </c>
      <c r="FX77" s="362">
        <v>2669450.8199999998</v>
      </c>
      <c r="FY77" s="362">
        <v>153665.82999999999</v>
      </c>
      <c r="FZ77" s="362">
        <v>2823116.65</v>
      </c>
      <c r="GA77" s="362">
        <v>222415.48</v>
      </c>
      <c r="GB77" s="362">
        <v>357.27</v>
      </c>
      <c r="GC77" s="362">
        <v>222772.75</v>
      </c>
      <c r="GD77" s="362">
        <v>236271.12</v>
      </c>
      <c r="GE77" s="362">
        <v>74105.41</v>
      </c>
      <c r="GF77" s="362">
        <v>310376.53000000003</v>
      </c>
      <c r="GG77" s="202">
        <v>0</v>
      </c>
      <c r="GH77" s="416">
        <v>95</v>
      </c>
      <c r="GI77" s="414">
        <v>3869.1</v>
      </c>
      <c r="GJ77" s="419">
        <v>479474.88</v>
      </c>
      <c r="GK77" s="396">
        <v>0</v>
      </c>
      <c r="GL77" s="202">
        <v>0</v>
      </c>
      <c r="GM77" s="202">
        <v>0</v>
      </c>
      <c r="GN77" s="323">
        <v>507547.31</v>
      </c>
      <c r="GO77" s="323">
        <v>-159371.01999999999</v>
      </c>
      <c r="GP77" s="323">
        <v>348176.29</v>
      </c>
      <c r="GQ77" s="323">
        <v>743818.43</v>
      </c>
      <c r="GR77" s="323">
        <v>-85265.61</v>
      </c>
      <c r="GS77" s="323">
        <v>658552.81999999995</v>
      </c>
    </row>
    <row r="78" spans="1:201" ht="12.75" customHeight="1" x14ac:dyDescent="0.2">
      <c r="A78" s="45" t="s">
        <v>126</v>
      </c>
      <c r="B78" s="60" t="s">
        <v>97</v>
      </c>
      <c r="C78" s="61" t="s">
        <v>79</v>
      </c>
      <c r="D78" s="388" t="s">
        <v>555</v>
      </c>
      <c r="E78" s="61" t="s">
        <v>9</v>
      </c>
      <c r="F78" s="11">
        <v>9</v>
      </c>
      <c r="G78" s="11">
        <v>2</v>
      </c>
      <c r="H78" s="11">
        <v>144</v>
      </c>
      <c r="I78" s="11">
        <v>144</v>
      </c>
      <c r="J78" s="11">
        <v>313</v>
      </c>
      <c r="K78" s="11">
        <v>375</v>
      </c>
      <c r="L78" s="11">
        <v>2</v>
      </c>
      <c r="M78" s="84">
        <v>1003.4</v>
      </c>
      <c r="N78" s="84">
        <v>1216.0999999999999</v>
      </c>
      <c r="O78" s="84">
        <v>1216.0999999999999</v>
      </c>
      <c r="P78" s="135">
        <f>488.3+515.1+4+4+31.4+13.2+73.2+11</f>
        <v>1140.2</v>
      </c>
      <c r="Q78" s="135">
        <v>839.5</v>
      </c>
      <c r="R78" s="135">
        <v>881.3</v>
      </c>
      <c r="S78" s="133">
        <f t="shared" si="52"/>
        <v>2861</v>
      </c>
      <c r="T78" s="134">
        <v>1140.2</v>
      </c>
      <c r="U78" s="130">
        <v>2.44</v>
      </c>
      <c r="V78" s="91">
        <v>1.9800000000000002E-2</v>
      </c>
      <c r="W78" s="91">
        <v>1.9800000000000002E-2</v>
      </c>
      <c r="X78" s="132">
        <v>1.32E-3</v>
      </c>
      <c r="Y78" s="91">
        <v>3.9699999999999999E-2</v>
      </c>
      <c r="Z78" s="29">
        <v>7517</v>
      </c>
      <c r="AA78" s="29"/>
      <c r="AB78" s="9">
        <f t="shared" si="29"/>
        <v>7517</v>
      </c>
      <c r="AC78" s="9">
        <f t="shared" si="28"/>
        <v>47582.61</v>
      </c>
      <c r="AD78" s="9">
        <v>1.81</v>
      </c>
      <c r="AE78" s="9">
        <v>4.75</v>
      </c>
      <c r="AF78" s="21">
        <f>2.47-AJ78</f>
        <v>2.2999999999999998</v>
      </c>
      <c r="AG78" s="18">
        <f>0.54-AQ78</f>
        <v>0.49</v>
      </c>
      <c r="AH78" s="9">
        <v>2.4700000000000002</v>
      </c>
      <c r="AI78" s="43">
        <v>1262</v>
      </c>
      <c r="AJ78" s="21">
        <f t="shared" si="30"/>
        <v>0.17</v>
      </c>
      <c r="AK78" s="9">
        <v>1.1499999999999999</v>
      </c>
      <c r="AL78" s="9">
        <v>0.1</v>
      </c>
      <c r="AM78" s="9">
        <v>0.13</v>
      </c>
      <c r="AN78" s="13"/>
      <c r="AO78" s="13">
        <v>813.4</v>
      </c>
      <c r="AP78" s="13">
        <f t="shared" si="53"/>
        <v>5.58</v>
      </c>
      <c r="AQ78" s="18">
        <f t="shared" si="31"/>
        <v>0.05</v>
      </c>
      <c r="AR78" s="9">
        <v>0.6</v>
      </c>
      <c r="AS78" s="9">
        <v>0.18</v>
      </c>
      <c r="AT78" s="9">
        <v>7.0000000000000007E-2</v>
      </c>
      <c r="AU78" s="9">
        <v>3.95</v>
      </c>
      <c r="AV78" s="9">
        <v>0.13</v>
      </c>
      <c r="AW78" s="9">
        <f>0.27+0.35+1.28</f>
        <v>1.9</v>
      </c>
      <c r="AX78" s="9">
        <f>1.77+0.47</f>
        <v>2.2400000000000002</v>
      </c>
      <c r="AY78" s="63">
        <f t="shared" si="54"/>
        <v>22.49</v>
      </c>
      <c r="AZ78" s="13">
        <v>22.49</v>
      </c>
      <c r="BA78" s="13">
        <f t="shared" si="32"/>
        <v>0</v>
      </c>
      <c r="BB78" s="9">
        <f t="shared" si="33"/>
        <v>169057.33</v>
      </c>
      <c r="BC78" s="9">
        <v>22.49</v>
      </c>
      <c r="BD78" s="10">
        <v>44378</v>
      </c>
      <c r="BE78" s="9">
        <f t="shared" si="34"/>
        <v>13605.77</v>
      </c>
      <c r="BF78" s="9">
        <f t="shared" si="35"/>
        <v>35705.75</v>
      </c>
      <c r="BG78" s="9">
        <f t="shared" si="36"/>
        <v>17289.099999999999</v>
      </c>
      <c r="BH78" s="9">
        <f t="shared" si="37"/>
        <v>3683.33</v>
      </c>
      <c r="BI78" s="9">
        <f t="shared" si="38"/>
        <v>18566.990000000002</v>
      </c>
      <c r="BJ78" s="9">
        <f t="shared" si="39"/>
        <v>1277.8900000000001</v>
      </c>
      <c r="BK78" s="9">
        <f t="shared" si="40"/>
        <v>8644.5499999999993</v>
      </c>
      <c r="BL78" s="9">
        <f t="shared" si="41"/>
        <v>751.7</v>
      </c>
      <c r="BM78" s="9">
        <f t="shared" si="42"/>
        <v>977.21</v>
      </c>
      <c r="BN78" s="9">
        <f t="shared" si="43"/>
        <v>375.85</v>
      </c>
      <c r="BO78" s="9">
        <f t="shared" si="44"/>
        <v>4510.2</v>
      </c>
      <c r="BP78" s="9">
        <f t="shared" si="45"/>
        <v>1353.06</v>
      </c>
      <c r="BQ78" s="9">
        <f t="shared" si="46"/>
        <v>526.19000000000005</v>
      </c>
      <c r="BR78" s="9">
        <f t="shared" si="47"/>
        <v>29692.15</v>
      </c>
      <c r="BS78" s="9">
        <f t="shared" si="48"/>
        <v>977.21</v>
      </c>
      <c r="BT78" s="9">
        <f t="shared" si="49"/>
        <v>14282.3</v>
      </c>
      <c r="BU78" s="9">
        <f t="shared" si="50"/>
        <v>16838.080000000002</v>
      </c>
      <c r="BV78" s="17">
        <f t="shared" si="51"/>
        <v>169057.33</v>
      </c>
      <c r="BW78" s="17">
        <v>4.17</v>
      </c>
      <c r="BX78" s="17">
        <v>0.09</v>
      </c>
      <c r="BY78" s="17">
        <v>0.54</v>
      </c>
      <c r="BZ78" s="17">
        <v>0.09</v>
      </c>
      <c r="CA78" s="29">
        <v>6.33</v>
      </c>
      <c r="CB78" s="325"/>
      <c r="CC78" s="13">
        <v>0</v>
      </c>
      <c r="CD78" s="13">
        <v>0</v>
      </c>
      <c r="CE78" s="13">
        <v>0</v>
      </c>
      <c r="CF78" s="13">
        <v>0</v>
      </c>
      <c r="CG78" s="13">
        <v>0</v>
      </c>
      <c r="CH78" s="13">
        <v>0</v>
      </c>
      <c r="CI78" s="13">
        <v>5699.25</v>
      </c>
      <c r="CJ78" s="13">
        <v>45300</v>
      </c>
      <c r="CK78" s="13">
        <v>2890.47</v>
      </c>
      <c r="CL78" s="13">
        <v>2028473.8</v>
      </c>
      <c r="CM78" s="13">
        <v>171453.63</v>
      </c>
      <c r="CN78" s="13">
        <v>545919.27</v>
      </c>
      <c r="CO78" s="13">
        <v>31191.56</v>
      </c>
      <c r="CP78" s="13">
        <v>20292.72</v>
      </c>
      <c r="CQ78" s="13">
        <v>0</v>
      </c>
      <c r="CR78" s="13">
        <v>2015918.32</v>
      </c>
      <c r="CS78" s="13">
        <v>175871.66</v>
      </c>
      <c r="CT78" s="13">
        <v>485346.65</v>
      </c>
      <c r="CU78" s="13">
        <v>30738.68</v>
      </c>
      <c r="CV78" s="13">
        <v>19954.14</v>
      </c>
      <c r="CW78" s="13">
        <v>0</v>
      </c>
      <c r="CX78" s="13">
        <v>198799.78</v>
      </c>
      <c r="CY78" s="13">
        <v>10239.370000000001</v>
      </c>
      <c r="CZ78" s="13">
        <v>79870.22</v>
      </c>
      <c r="DA78" s="13">
        <v>2761.44</v>
      </c>
      <c r="DB78" s="13">
        <v>1836.92</v>
      </c>
      <c r="DC78" s="13"/>
      <c r="DD78" s="315">
        <v>2797330.98</v>
      </c>
      <c r="DE78" s="317">
        <v>2727829.45</v>
      </c>
      <c r="DF78" s="317">
        <v>97.52</v>
      </c>
      <c r="DG78" s="318">
        <v>293507.73</v>
      </c>
      <c r="DH78" s="310">
        <v>78968.52</v>
      </c>
      <c r="DI78" s="310">
        <v>45162.96</v>
      </c>
      <c r="DJ78" s="312">
        <v>0</v>
      </c>
      <c r="DK78" s="362">
        <v>0</v>
      </c>
      <c r="DL78" s="362"/>
      <c r="DM78" s="362">
        <v>0</v>
      </c>
      <c r="DN78" s="362">
        <v>0</v>
      </c>
      <c r="DO78" s="362">
        <v>0</v>
      </c>
      <c r="DP78" s="362">
        <v>0</v>
      </c>
      <c r="DQ78" s="362">
        <v>0</v>
      </c>
      <c r="DR78" s="362"/>
      <c r="DS78" s="362">
        <v>0</v>
      </c>
      <c r="DT78" s="362"/>
      <c r="DU78" s="362">
        <v>0</v>
      </c>
      <c r="DV78" s="362">
        <v>0</v>
      </c>
      <c r="DW78" s="362">
        <v>103200</v>
      </c>
      <c r="DX78" s="362">
        <v>0</v>
      </c>
      <c r="DY78" s="362">
        <v>28000</v>
      </c>
      <c r="DZ78" s="375">
        <v>3112.01</v>
      </c>
      <c r="EA78" s="362">
        <v>0</v>
      </c>
      <c r="EB78" s="362">
        <v>0</v>
      </c>
      <c r="EC78" s="362"/>
      <c r="ED78" s="362">
        <v>655285.43999999994</v>
      </c>
      <c r="EE78" s="362">
        <v>11355</v>
      </c>
      <c r="EF78" s="362"/>
      <c r="EG78" s="362">
        <v>20082</v>
      </c>
      <c r="EH78" s="362">
        <v>0</v>
      </c>
      <c r="EI78" s="362"/>
      <c r="EJ78" s="362">
        <v>0</v>
      </c>
      <c r="EK78" s="362"/>
      <c r="EL78" s="362">
        <v>0</v>
      </c>
      <c r="EM78" s="362">
        <v>4538.76</v>
      </c>
      <c r="EN78" s="362">
        <v>0</v>
      </c>
      <c r="EO78" s="362">
        <v>0</v>
      </c>
      <c r="EP78" s="362">
        <v>446532</v>
      </c>
      <c r="EQ78" s="362">
        <v>0</v>
      </c>
      <c r="ER78" s="362">
        <v>8190</v>
      </c>
      <c r="ES78" s="362">
        <v>10362</v>
      </c>
      <c r="ET78" s="362">
        <v>18082</v>
      </c>
      <c r="EU78" s="362">
        <v>0</v>
      </c>
      <c r="EV78" s="362">
        <v>123351.85</v>
      </c>
      <c r="EW78" s="362"/>
      <c r="EX78" s="202"/>
      <c r="EY78" s="202"/>
      <c r="EZ78" s="229"/>
      <c r="FA78" s="368">
        <v>183509.16</v>
      </c>
      <c r="FB78" s="368">
        <v>526027.72</v>
      </c>
      <c r="FC78" s="368">
        <v>0</v>
      </c>
      <c r="FD78" s="368">
        <v>0</v>
      </c>
      <c r="FE78" s="368">
        <v>29866.15</v>
      </c>
      <c r="FF78" s="368">
        <v>19975.89</v>
      </c>
      <c r="FG78" s="368">
        <v>0</v>
      </c>
      <c r="FH78" s="368">
        <v>-2067.09</v>
      </c>
      <c r="FI78" s="368">
        <v>0</v>
      </c>
      <c r="FJ78" s="368">
        <v>0</v>
      </c>
      <c r="FK78" s="368">
        <v>168276.81</v>
      </c>
      <c r="FL78" s="368">
        <v>0</v>
      </c>
      <c r="FM78" s="368">
        <v>200940.66</v>
      </c>
      <c r="FN78" s="368">
        <v>127776.96000000001</v>
      </c>
      <c r="FO78" s="323">
        <v>1884940.16</v>
      </c>
      <c r="FP78" s="323">
        <v>925588.64</v>
      </c>
      <c r="FQ78" s="323">
        <v>2810528.8</v>
      </c>
      <c r="FR78" s="338">
        <v>148207.13</v>
      </c>
      <c r="FS78" s="338">
        <v>38637.9</v>
      </c>
      <c r="FT78" s="377">
        <v>186845.03</v>
      </c>
      <c r="FU78" s="377">
        <v>2079473.05</v>
      </c>
      <c r="FV78" s="377">
        <v>771747.65</v>
      </c>
      <c r="FW78" s="362">
        <v>2851220.7</v>
      </c>
      <c r="FX78" s="362">
        <v>2028880.4</v>
      </c>
      <c r="FY78" s="362">
        <v>715677.6</v>
      </c>
      <c r="FZ78" s="362">
        <v>2744558</v>
      </c>
      <c r="GA78" s="362">
        <v>198799.78</v>
      </c>
      <c r="GB78" s="362">
        <v>94707.95</v>
      </c>
      <c r="GC78" s="362">
        <v>293507.73</v>
      </c>
      <c r="GD78" s="362">
        <v>223937.59</v>
      </c>
      <c r="GE78" s="362">
        <v>-135413.59</v>
      </c>
      <c r="GF78" s="362">
        <v>88524</v>
      </c>
      <c r="GG78" s="202"/>
      <c r="GH78" s="416"/>
      <c r="GI78" s="414">
        <v>2950.55</v>
      </c>
      <c r="GJ78" s="419">
        <v>0</v>
      </c>
      <c r="GK78" s="396"/>
      <c r="GL78" s="202">
        <v>0</v>
      </c>
      <c r="GM78" s="202">
        <v>0</v>
      </c>
      <c r="GN78" s="323">
        <v>194532.89</v>
      </c>
      <c r="GO78" s="323">
        <v>-153840.99</v>
      </c>
      <c r="GP78" s="323">
        <v>40691.9</v>
      </c>
      <c r="GQ78" s="323">
        <v>418470.48</v>
      </c>
      <c r="GR78" s="323">
        <v>-289254.58</v>
      </c>
      <c r="GS78" s="323">
        <v>129215.9</v>
      </c>
    </row>
    <row r="79" spans="1:201" ht="12.75" customHeight="1" x14ac:dyDescent="0.2">
      <c r="A79" s="45" t="s">
        <v>128</v>
      </c>
      <c r="B79" s="156" t="s">
        <v>105</v>
      </c>
      <c r="C79" s="157" t="s">
        <v>106</v>
      </c>
      <c r="D79" s="388" t="s">
        <v>629</v>
      </c>
      <c r="E79" s="157" t="s">
        <v>39</v>
      </c>
      <c r="F79" s="11">
        <v>5</v>
      </c>
      <c r="G79" s="11">
        <v>1</v>
      </c>
      <c r="H79" s="11">
        <v>10</v>
      </c>
      <c r="I79" s="11">
        <v>10</v>
      </c>
      <c r="J79" s="11">
        <v>21</v>
      </c>
      <c r="K79" s="11"/>
      <c r="L79" s="11" t="s">
        <v>746</v>
      </c>
      <c r="M79" s="84"/>
      <c r="N79" s="84"/>
      <c r="O79" s="84"/>
      <c r="P79" s="138"/>
      <c r="Q79" s="138"/>
      <c r="R79" s="138"/>
      <c r="S79" s="133">
        <f t="shared" si="52"/>
        <v>0</v>
      </c>
      <c r="T79" s="138">
        <v>451.5</v>
      </c>
      <c r="U79" s="130">
        <v>1.53</v>
      </c>
      <c r="V79" s="131">
        <v>1.1299999999999999E-2</v>
      </c>
      <c r="W79" s="171" t="e">
        <v>#N/A</v>
      </c>
      <c r="X79" s="172" t="e">
        <v>#N/A</v>
      </c>
      <c r="Y79" s="131">
        <v>1.1299999999999999E-2</v>
      </c>
      <c r="Z79" s="29">
        <v>1548.7</v>
      </c>
      <c r="AA79" s="29"/>
      <c r="AB79" s="9">
        <f t="shared" si="29"/>
        <v>1548.7</v>
      </c>
      <c r="AC79" s="9">
        <f t="shared" si="28"/>
        <v>9803.27</v>
      </c>
      <c r="AD79" s="9">
        <v>4.2699999999999996</v>
      </c>
      <c r="AE79" s="9">
        <v>5.12</v>
      </c>
      <c r="AF79" s="21">
        <f>0.51-AJ79</f>
        <v>0.33</v>
      </c>
      <c r="AG79" s="18">
        <f>0.18-AQ79</f>
        <v>0.14000000000000001</v>
      </c>
      <c r="AH79" s="9">
        <v>1.81</v>
      </c>
      <c r="AI79" s="43">
        <v>283</v>
      </c>
      <c r="AJ79" s="21">
        <f t="shared" si="30"/>
        <v>0.18</v>
      </c>
      <c r="AK79" s="9">
        <v>0</v>
      </c>
      <c r="AL79" s="9">
        <v>0</v>
      </c>
      <c r="AM79" s="9">
        <v>0.38</v>
      </c>
      <c r="AN79" s="13"/>
      <c r="AO79" s="13">
        <v>149.6</v>
      </c>
      <c r="AP79" s="13">
        <f t="shared" si="53"/>
        <v>5.58</v>
      </c>
      <c r="AQ79" s="18">
        <f t="shared" si="31"/>
        <v>0.04</v>
      </c>
      <c r="AR79" s="9">
        <v>0</v>
      </c>
      <c r="AS79" s="9">
        <v>0</v>
      </c>
      <c r="AT79" s="9">
        <v>7.0000000000000007E-2</v>
      </c>
      <c r="AU79" s="9">
        <v>2.88</v>
      </c>
      <c r="AV79" s="9">
        <v>0.12</v>
      </c>
      <c r="AW79" s="9">
        <f>1.1+0.11+0.25</f>
        <v>1.46</v>
      </c>
      <c r="AX79" s="9">
        <f>1.48+0.35</f>
        <v>1.83</v>
      </c>
      <c r="AY79" s="159">
        <f t="shared" si="54"/>
        <v>18.63</v>
      </c>
      <c r="AZ79" s="13">
        <v>18.63</v>
      </c>
      <c r="BA79" s="13">
        <f t="shared" si="32"/>
        <v>0</v>
      </c>
      <c r="BB79" s="9">
        <f t="shared" si="33"/>
        <v>28852.28</v>
      </c>
      <c r="BC79" s="9">
        <v>18.63</v>
      </c>
      <c r="BD79" s="10">
        <v>44348</v>
      </c>
      <c r="BE79" s="9">
        <f t="shared" si="34"/>
        <v>6612.95</v>
      </c>
      <c r="BF79" s="9">
        <f t="shared" si="35"/>
        <v>7929.34</v>
      </c>
      <c r="BG79" s="9">
        <f t="shared" si="36"/>
        <v>511.07</v>
      </c>
      <c r="BH79" s="9">
        <f t="shared" si="37"/>
        <v>216.82</v>
      </c>
      <c r="BI79" s="9">
        <f t="shared" si="38"/>
        <v>2803.15</v>
      </c>
      <c r="BJ79" s="9">
        <f t="shared" si="39"/>
        <v>278.77</v>
      </c>
      <c r="BK79" s="9">
        <f t="shared" si="40"/>
        <v>0</v>
      </c>
      <c r="BL79" s="9">
        <f t="shared" si="41"/>
        <v>0</v>
      </c>
      <c r="BM79" s="9">
        <f t="shared" si="42"/>
        <v>588.51</v>
      </c>
      <c r="BN79" s="9">
        <f t="shared" si="43"/>
        <v>61.95</v>
      </c>
      <c r="BO79" s="9">
        <f t="shared" si="44"/>
        <v>0</v>
      </c>
      <c r="BP79" s="9">
        <f t="shared" si="45"/>
        <v>0</v>
      </c>
      <c r="BQ79" s="9">
        <f t="shared" si="46"/>
        <v>108.41</v>
      </c>
      <c r="BR79" s="9">
        <f t="shared" si="47"/>
        <v>4460.26</v>
      </c>
      <c r="BS79" s="9">
        <f t="shared" si="48"/>
        <v>185.84</v>
      </c>
      <c r="BT79" s="9">
        <f t="shared" si="49"/>
        <v>2261.1</v>
      </c>
      <c r="BU79" s="9">
        <f t="shared" si="50"/>
        <v>2834.12</v>
      </c>
      <c r="BV79" s="17">
        <f t="shared" si="51"/>
        <v>28852.29</v>
      </c>
      <c r="BW79" s="17">
        <v>1.79</v>
      </c>
      <c r="BX79" s="17">
        <v>0.04</v>
      </c>
      <c r="BY79" s="173">
        <v>0</v>
      </c>
      <c r="BZ79" s="17">
        <v>0.02</v>
      </c>
      <c r="CA79" s="29">
        <v>6.33</v>
      </c>
      <c r="CB79" s="325"/>
      <c r="CC79" s="13">
        <v>0</v>
      </c>
      <c r="CD79" s="13">
        <v>0</v>
      </c>
      <c r="CE79" s="13">
        <v>0</v>
      </c>
      <c r="CF79" s="13">
        <v>0</v>
      </c>
      <c r="CG79" s="13">
        <v>0</v>
      </c>
      <c r="CH79" s="13">
        <v>0</v>
      </c>
      <c r="CI79" s="13">
        <v>13559.82</v>
      </c>
      <c r="CJ79" s="13">
        <v>0</v>
      </c>
      <c r="CK79" s="13">
        <v>595.61</v>
      </c>
      <c r="CL79" s="13">
        <v>346227.48</v>
      </c>
      <c r="CM79" s="13">
        <v>19436.2</v>
      </c>
      <c r="CN79" s="13">
        <v>0</v>
      </c>
      <c r="CO79" s="13">
        <v>1672.6</v>
      </c>
      <c r="CP79" s="13">
        <v>882.77</v>
      </c>
      <c r="CQ79" s="13">
        <v>0</v>
      </c>
      <c r="CR79" s="13">
        <v>359043.88</v>
      </c>
      <c r="CS79" s="13">
        <v>19126</v>
      </c>
      <c r="CT79" s="13">
        <v>0</v>
      </c>
      <c r="CU79" s="13">
        <v>1613.54</v>
      </c>
      <c r="CV79" s="13">
        <v>847.17</v>
      </c>
      <c r="CW79" s="13">
        <v>0</v>
      </c>
      <c r="CX79" s="13">
        <v>64819.54</v>
      </c>
      <c r="CY79" s="13">
        <v>1260.5899999999999</v>
      </c>
      <c r="CZ79" s="13">
        <v>0</v>
      </c>
      <c r="DA79" s="13">
        <v>168.62</v>
      </c>
      <c r="DB79" s="13">
        <v>88.88</v>
      </c>
      <c r="DC79" s="13"/>
      <c r="DD79" s="315">
        <v>368219.05</v>
      </c>
      <c r="DE79" s="317">
        <v>380630.59</v>
      </c>
      <c r="DF79" s="317">
        <v>103.37</v>
      </c>
      <c r="DG79" s="318">
        <v>66337.63</v>
      </c>
      <c r="DH79" s="310">
        <v>16272.84</v>
      </c>
      <c r="DI79" s="310">
        <v>9306.6</v>
      </c>
      <c r="DJ79" s="312">
        <v>0</v>
      </c>
      <c r="DK79" s="362">
        <v>0</v>
      </c>
      <c r="DL79" s="362"/>
      <c r="DM79" s="362">
        <v>0</v>
      </c>
      <c r="DN79" s="362">
        <v>0</v>
      </c>
      <c r="DO79" s="362">
        <v>0</v>
      </c>
      <c r="DP79" s="362">
        <v>0</v>
      </c>
      <c r="DQ79" s="362">
        <v>0</v>
      </c>
      <c r="DR79" s="362"/>
      <c r="DS79" s="362">
        <v>0</v>
      </c>
      <c r="DT79" s="362"/>
      <c r="DU79" s="362">
        <v>0</v>
      </c>
      <c r="DV79" s="362">
        <v>0</v>
      </c>
      <c r="DW79" s="362">
        <v>0</v>
      </c>
      <c r="DX79" s="362">
        <v>0</v>
      </c>
      <c r="DY79" s="362">
        <v>0</v>
      </c>
      <c r="DZ79" s="375">
        <v>0</v>
      </c>
      <c r="EA79" s="362">
        <v>0</v>
      </c>
      <c r="EB79" s="362">
        <v>0</v>
      </c>
      <c r="EC79" s="362"/>
      <c r="ED79" s="362">
        <v>125494.68</v>
      </c>
      <c r="EE79" s="362">
        <v>64700</v>
      </c>
      <c r="EF79" s="362"/>
      <c r="EG79" s="362">
        <v>4506</v>
      </c>
      <c r="EH79" s="362">
        <v>0</v>
      </c>
      <c r="EI79" s="362"/>
      <c r="EJ79" s="362">
        <v>0</v>
      </c>
      <c r="EK79" s="362"/>
      <c r="EL79" s="362">
        <v>0</v>
      </c>
      <c r="EM79" s="362">
        <v>834.78</v>
      </c>
      <c r="EN79" s="362">
        <v>94672.62</v>
      </c>
      <c r="EO79" s="362">
        <v>0</v>
      </c>
      <c r="EP79" s="362">
        <v>0</v>
      </c>
      <c r="EQ79" s="362">
        <v>0</v>
      </c>
      <c r="ER79" s="362">
        <v>0</v>
      </c>
      <c r="ES79" s="362">
        <v>6924</v>
      </c>
      <c r="ET79" s="362">
        <v>1876</v>
      </c>
      <c r="EU79" s="362">
        <v>0</v>
      </c>
      <c r="EV79" s="362">
        <v>68055.88</v>
      </c>
      <c r="EW79" s="362"/>
      <c r="EX79" s="202"/>
      <c r="EY79" s="202"/>
      <c r="EZ79" s="229"/>
      <c r="FA79" s="368">
        <v>18776.89</v>
      </c>
      <c r="FB79" s="368">
        <v>0</v>
      </c>
      <c r="FC79" s="368">
        <v>0</v>
      </c>
      <c r="FD79" s="368">
        <v>0</v>
      </c>
      <c r="FE79" s="368">
        <v>1675.49</v>
      </c>
      <c r="FF79" s="368">
        <v>877.18</v>
      </c>
      <c r="FG79" s="368">
        <v>0</v>
      </c>
      <c r="FH79" s="368">
        <v>-396.23</v>
      </c>
      <c r="FI79" s="368">
        <v>0</v>
      </c>
      <c r="FJ79" s="368">
        <v>0</v>
      </c>
      <c r="FK79" s="368">
        <v>0</v>
      </c>
      <c r="FL79" s="368">
        <v>0</v>
      </c>
      <c r="FM79" s="368">
        <v>41404.589999999997</v>
      </c>
      <c r="FN79" s="368">
        <v>26326.959999999999</v>
      </c>
      <c r="FO79" s="323">
        <v>460374.95</v>
      </c>
      <c r="FP79" s="323">
        <v>20933.330000000002</v>
      </c>
      <c r="FQ79" s="323">
        <v>481308.28</v>
      </c>
      <c r="FR79" s="338">
        <v>48554.37</v>
      </c>
      <c r="FS79" s="338">
        <v>-882.13</v>
      </c>
      <c r="FT79" s="377">
        <v>47672.24</v>
      </c>
      <c r="FU79" s="377">
        <v>359787.3</v>
      </c>
      <c r="FV79" s="377">
        <v>22587.18</v>
      </c>
      <c r="FW79" s="362">
        <v>382374.48</v>
      </c>
      <c r="FX79" s="362">
        <v>343522.13</v>
      </c>
      <c r="FY79" s="362">
        <v>20186.96</v>
      </c>
      <c r="FZ79" s="362">
        <v>363709.09</v>
      </c>
      <c r="GA79" s="362">
        <v>64819.54</v>
      </c>
      <c r="GB79" s="362">
        <v>1518.09</v>
      </c>
      <c r="GC79" s="362">
        <v>66337.63</v>
      </c>
      <c r="GD79" s="362">
        <v>24905.47</v>
      </c>
      <c r="GE79" s="362">
        <v>5528.23</v>
      </c>
      <c r="GF79" s="362">
        <v>30433.7</v>
      </c>
      <c r="GG79" s="202"/>
      <c r="GH79" s="416"/>
      <c r="GI79" s="414">
        <v>0</v>
      </c>
      <c r="GJ79" s="419">
        <v>0</v>
      </c>
      <c r="GK79" s="396"/>
      <c r="GL79" s="202">
        <v>0</v>
      </c>
      <c r="GM79" s="202">
        <v>0</v>
      </c>
      <c r="GN79" s="323">
        <v>-100587.65</v>
      </c>
      <c r="GO79" s="323">
        <v>1653.85</v>
      </c>
      <c r="GP79" s="323">
        <v>-98933.8</v>
      </c>
      <c r="GQ79" s="323">
        <v>-75682.179999999993</v>
      </c>
      <c r="GR79" s="323">
        <v>7182.08</v>
      </c>
      <c r="GS79" s="323">
        <v>-68500.100000000006</v>
      </c>
    </row>
    <row r="80" spans="1:201" ht="12.75" customHeight="1" x14ac:dyDescent="0.2">
      <c r="A80" s="45" t="s">
        <v>130</v>
      </c>
      <c r="B80" s="60" t="s">
        <v>108</v>
      </c>
      <c r="C80" s="61" t="s">
        <v>109</v>
      </c>
      <c r="D80" s="388" t="s">
        <v>634</v>
      </c>
      <c r="E80" s="61" t="s">
        <v>12</v>
      </c>
      <c r="F80" s="11">
        <v>9</v>
      </c>
      <c r="G80" s="11">
        <v>4</v>
      </c>
      <c r="H80" s="11">
        <v>144</v>
      </c>
      <c r="I80" s="11">
        <v>145</v>
      </c>
      <c r="J80" s="11">
        <v>337</v>
      </c>
      <c r="K80" s="11">
        <v>427</v>
      </c>
      <c r="L80" s="11">
        <v>4</v>
      </c>
      <c r="M80" s="84">
        <v>503</v>
      </c>
      <c r="N80" s="84">
        <v>1231.5999999999999</v>
      </c>
      <c r="O80" s="84">
        <v>1231.5999999999999</v>
      </c>
      <c r="P80" s="138">
        <v>503</v>
      </c>
      <c r="Q80" s="138">
        <v>1231.5999999999999</v>
      </c>
      <c r="R80" s="138">
        <v>1231.5999999999999</v>
      </c>
      <c r="S80" s="133">
        <f t="shared" si="52"/>
        <v>2966.2</v>
      </c>
      <c r="T80" s="138">
        <v>1183</v>
      </c>
      <c r="U80" s="130">
        <v>2.44</v>
      </c>
      <c r="V80" s="131">
        <v>1.9800000000000002E-2</v>
      </c>
      <c r="W80" s="131">
        <v>1.9800000000000002E-2</v>
      </c>
      <c r="X80" s="132">
        <v>1.32E-3</v>
      </c>
      <c r="Y80" s="131">
        <v>3.9699999999999999E-2</v>
      </c>
      <c r="Z80" s="29">
        <v>7600.48</v>
      </c>
      <c r="AA80" s="29"/>
      <c r="AB80" s="9">
        <f t="shared" si="29"/>
        <v>7600.48</v>
      </c>
      <c r="AC80" s="9">
        <f t="shared" si="28"/>
        <v>48111.040000000001</v>
      </c>
      <c r="AD80" s="9">
        <v>2.14</v>
      </c>
      <c r="AE80" s="9">
        <v>4.1100000000000003</v>
      </c>
      <c r="AF80" s="21">
        <f>2.4-AJ80</f>
        <v>2.2400000000000002</v>
      </c>
      <c r="AG80" s="18">
        <f>0.64-AQ80</f>
        <v>0.59</v>
      </c>
      <c r="AH80" s="9">
        <v>2.78</v>
      </c>
      <c r="AI80" s="43">
        <v>1182</v>
      </c>
      <c r="AJ80" s="21">
        <f t="shared" si="30"/>
        <v>0.16</v>
      </c>
      <c r="AK80" s="9">
        <v>2.27</v>
      </c>
      <c r="AL80" s="9">
        <v>0.2</v>
      </c>
      <c r="AM80" s="9">
        <v>0.08</v>
      </c>
      <c r="AN80" s="13"/>
      <c r="AO80" s="13">
        <v>892.8</v>
      </c>
      <c r="AP80" s="13">
        <f t="shared" si="53"/>
        <v>5.58</v>
      </c>
      <c r="AQ80" s="18">
        <f t="shared" si="31"/>
        <v>0.05</v>
      </c>
      <c r="AR80" s="9">
        <v>0.59</v>
      </c>
      <c r="AS80" s="9">
        <v>0.18</v>
      </c>
      <c r="AT80" s="9">
        <v>7.0000000000000007E-2</v>
      </c>
      <c r="AU80" s="9">
        <v>4.17</v>
      </c>
      <c r="AV80" s="9">
        <v>0.15</v>
      </c>
      <c r="AW80" s="9">
        <f>1.39+0.27+0.37</f>
        <v>2.0299999999999998</v>
      </c>
      <c r="AX80" s="9">
        <f>1.95+0.49</f>
        <v>2.44</v>
      </c>
      <c r="AY80" s="63">
        <f t="shared" si="54"/>
        <v>24.25</v>
      </c>
      <c r="AZ80" s="13">
        <v>24.25</v>
      </c>
      <c r="BA80" s="13">
        <f t="shared" si="32"/>
        <v>0</v>
      </c>
      <c r="BB80" s="9">
        <f t="shared" si="33"/>
        <v>184311.64</v>
      </c>
      <c r="BC80" s="9">
        <v>24.25</v>
      </c>
      <c r="BD80" s="10">
        <v>44409</v>
      </c>
      <c r="BE80" s="9">
        <f t="shared" si="34"/>
        <v>16265.03</v>
      </c>
      <c r="BF80" s="9">
        <f t="shared" si="35"/>
        <v>31237.97</v>
      </c>
      <c r="BG80" s="9">
        <f t="shared" si="36"/>
        <v>17025.080000000002</v>
      </c>
      <c r="BH80" s="9">
        <f t="shared" si="37"/>
        <v>4484.28</v>
      </c>
      <c r="BI80" s="9">
        <f t="shared" si="38"/>
        <v>21129.33</v>
      </c>
      <c r="BJ80" s="9">
        <f t="shared" si="39"/>
        <v>1216.08</v>
      </c>
      <c r="BK80" s="9">
        <f t="shared" si="40"/>
        <v>17253.09</v>
      </c>
      <c r="BL80" s="9">
        <f t="shared" si="41"/>
        <v>1520.1</v>
      </c>
      <c r="BM80" s="9">
        <f t="shared" si="42"/>
        <v>608.04</v>
      </c>
      <c r="BN80" s="9">
        <f t="shared" si="43"/>
        <v>380.02</v>
      </c>
      <c r="BO80" s="9">
        <f t="shared" si="44"/>
        <v>4484.28</v>
      </c>
      <c r="BP80" s="9">
        <f t="shared" si="45"/>
        <v>1368.09</v>
      </c>
      <c r="BQ80" s="9">
        <f t="shared" si="46"/>
        <v>532.03</v>
      </c>
      <c r="BR80" s="9">
        <f t="shared" si="47"/>
        <v>31694</v>
      </c>
      <c r="BS80" s="9">
        <f t="shared" si="48"/>
        <v>1140.07</v>
      </c>
      <c r="BT80" s="9">
        <f t="shared" si="49"/>
        <v>15428.97</v>
      </c>
      <c r="BU80" s="9">
        <f t="shared" si="50"/>
        <v>18545.169999999998</v>
      </c>
      <c r="BV80" s="17">
        <f t="shared" si="51"/>
        <v>184311.63</v>
      </c>
      <c r="BW80" s="17">
        <v>3.21</v>
      </c>
      <c r="BX80" s="17">
        <v>0.09</v>
      </c>
      <c r="BY80" s="17">
        <v>0.59</v>
      </c>
      <c r="BZ80" s="17">
        <v>0.1</v>
      </c>
      <c r="CA80" s="29">
        <v>6.33</v>
      </c>
      <c r="CB80" s="325"/>
      <c r="CC80" s="13">
        <v>0</v>
      </c>
      <c r="CD80" s="13">
        <v>0</v>
      </c>
      <c r="CE80" s="13">
        <v>0</v>
      </c>
      <c r="CF80" s="13">
        <v>0</v>
      </c>
      <c r="CG80" s="13">
        <v>0</v>
      </c>
      <c r="CH80" s="13">
        <v>0</v>
      </c>
      <c r="CI80" s="13">
        <v>3030.05</v>
      </c>
      <c r="CJ80" s="13">
        <v>51480</v>
      </c>
      <c r="CK80" s="13">
        <v>2922.93</v>
      </c>
      <c r="CL80" s="13">
        <v>2211623.2999999998</v>
      </c>
      <c r="CM80" s="13">
        <v>212881.07</v>
      </c>
      <c r="CN80" s="13">
        <v>13376.95</v>
      </c>
      <c r="CO80" s="13">
        <v>83677.36</v>
      </c>
      <c r="CP80" s="13">
        <v>48945.02</v>
      </c>
      <c r="CQ80" s="13">
        <v>0</v>
      </c>
      <c r="CR80" s="13">
        <v>2128246.2200000002</v>
      </c>
      <c r="CS80" s="13">
        <v>187733.41</v>
      </c>
      <c r="CT80" s="13">
        <v>9019.34</v>
      </c>
      <c r="CU80" s="13">
        <v>71834.53</v>
      </c>
      <c r="CV80" s="13">
        <v>43374.3</v>
      </c>
      <c r="CW80" s="13">
        <v>0</v>
      </c>
      <c r="CX80" s="13">
        <v>278616.11</v>
      </c>
      <c r="CY80" s="13">
        <v>20900.14</v>
      </c>
      <c r="CZ80" s="13">
        <v>1262</v>
      </c>
      <c r="DA80" s="13">
        <v>15419.65</v>
      </c>
      <c r="DB80" s="13">
        <v>8919.7099999999991</v>
      </c>
      <c r="DC80" s="13"/>
      <c r="DD80" s="315">
        <v>2570503.7000000002</v>
      </c>
      <c r="DE80" s="317">
        <v>2440207.7999999998</v>
      </c>
      <c r="DF80" s="317">
        <v>94.93</v>
      </c>
      <c r="DG80" s="318">
        <v>325117.61</v>
      </c>
      <c r="DH80" s="310">
        <v>79836.72</v>
      </c>
      <c r="DI80" s="310">
        <v>45659.4</v>
      </c>
      <c r="DJ80" s="312">
        <v>0</v>
      </c>
      <c r="DK80" s="362">
        <v>0</v>
      </c>
      <c r="DL80" s="362"/>
      <c r="DM80" s="362">
        <v>0</v>
      </c>
      <c r="DN80" s="362">
        <v>0</v>
      </c>
      <c r="DO80" s="362">
        <v>0</v>
      </c>
      <c r="DP80" s="362">
        <v>0</v>
      </c>
      <c r="DQ80" s="362">
        <v>0</v>
      </c>
      <c r="DR80" s="362"/>
      <c r="DS80" s="362">
        <v>0</v>
      </c>
      <c r="DT80" s="362"/>
      <c r="DU80" s="362">
        <v>0</v>
      </c>
      <c r="DV80" s="362">
        <v>0</v>
      </c>
      <c r="DW80" s="362">
        <v>206113.33</v>
      </c>
      <c r="DX80" s="362">
        <v>0</v>
      </c>
      <c r="DY80" s="362">
        <v>18000</v>
      </c>
      <c r="DZ80" s="375">
        <v>0</v>
      </c>
      <c r="EA80" s="362">
        <v>0</v>
      </c>
      <c r="EB80" s="362">
        <v>0</v>
      </c>
      <c r="EC80" s="362"/>
      <c r="ED80" s="362">
        <v>631368.72</v>
      </c>
      <c r="EE80" s="362">
        <v>10540</v>
      </c>
      <c r="EF80" s="362"/>
      <c r="EG80" s="362">
        <v>18810</v>
      </c>
      <c r="EH80" s="362">
        <v>1400</v>
      </c>
      <c r="EI80" s="362"/>
      <c r="EJ80" s="362">
        <v>0</v>
      </c>
      <c r="EK80" s="362"/>
      <c r="EL80" s="362">
        <v>0</v>
      </c>
      <c r="EM80" s="362">
        <v>4981.83</v>
      </c>
      <c r="EN80" s="362">
        <v>0</v>
      </c>
      <c r="EO80" s="362">
        <v>0</v>
      </c>
      <c r="EP80" s="362">
        <v>481620</v>
      </c>
      <c r="EQ80" s="362">
        <v>21870</v>
      </c>
      <c r="ER80" s="362">
        <v>9555</v>
      </c>
      <c r="ES80" s="362">
        <v>6924</v>
      </c>
      <c r="ET80" s="362">
        <v>17976</v>
      </c>
      <c r="EU80" s="362">
        <v>0</v>
      </c>
      <c r="EV80" s="362">
        <v>16324.62</v>
      </c>
      <c r="EW80" s="362"/>
      <c r="EX80" s="202"/>
      <c r="EY80" s="202"/>
      <c r="EZ80" s="229"/>
      <c r="FA80" s="368">
        <v>214769.47</v>
      </c>
      <c r="FB80" s="368">
        <v>17822.23</v>
      </c>
      <c r="FC80" s="368">
        <v>0</v>
      </c>
      <c r="FD80" s="368">
        <v>0</v>
      </c>
      <c r="FE80" s="368">
        <v>82196.98</v>
      </c>
      <c r="FF80" s="368">
        <v>48427.18</v>
      </c>
      <c r="FG80" s="368">
        <v>-2351.09</v>
      </c>
      <c r="FH80" s="368">
        <v>-3285.82</v>
      </c>
      <c r="FI80" s="368">
        <v>0</v>
      </c>
      <c r="FJ80" s="368">
        <v>0</v>
      </c>
      <c r="FK80" s="368">
        <v>168171.15</v>
      </c>
      <c r="FL80" s="368">
        <v>0</v>
      </c>
      <c r="FM80" s="368">
        <v>203192.77</v>
      </c>
      <c r="FN80" s="368">
        <v>129199.66</v>
      </c>
      <c r="FO80" s="323">
        <v>1903372.05</v>
      </c>
      <c r="FP80" s="323">
        <v>525750.1</v>
      </c>
      <c r="FQ80" s="323">
        <v>2429122.15</v>
      </c>
      <c r="FR80" s="338">
        <v>186928.63</v>
      </c>
      <c r="FS80" s="338">
        <v>10922.25</v>
      </c>
      <c r="FT80" s="377">
        <v>197850.88</v>
      </c>
      <c r="FU80" s="377">
        <v>2266133.35</v>
      </c>
      <c r="FV80" s="377">
        <v>361803.33</v>
      </c>
      <c r="FW80" s="362">
        <v>2627936.6800000002</v>
      </c>
      <c r="FX80" s="362">
        <v>2174445.87</v>
      </c>
      <c r="FY80" s="362">
        <v>326224.08</v>
      </c>
      <c r="FZ80" s="362">
        <v>2500669.9500000002</v>
      </c>
      <c r="GA80" s="362">
        <v>278616.11</v>
      </c>
      <c r="GB80" s="362">
        <v>46501.5</v>
      </c>
      <c r="GC80" s="362">
        <v>325117.61</v>
      </c>
      <c r="GD80" s="362">
        <v>202360.55</v>
      </c>
      <c r="GE80" s="362">
        <v>16042.69</v>
      </c>
      <c r="GF80" s="362">
        <v>218403.24</v>
      </c>
      <c r="GG80" s="202"/>
      <c r="GH80" s="416"/>
      <c r="GI80" s="414">
        <v>2878</v>
      </c>
      <c r="GJ80" s="419">
        <v>0</v>
      </c>
      <c r="GK80" s="396"/>
      <c r="GL80" s="202">
        <v>0</v>
      </c>
      <c r="GM80" s="202">
        <v>0</v>
      </c>
      <c r="GN80" s="323">
        <v>362761.3</v>
      </c>
      <c r="GO80" s="323">
        <v>-163946.76999999999</v>
      </c>
      <c r="GP80" s="323">
        <v>198814.53</v>
      </c>
      <c r="GQ80" s="323">
        <v>565121.85</v>
      </c>
      <c r="GR80" s="323">
        <v>-147904.07999999999</v>
      </c>
      <c r="GS80" s="323">
        <v>417217.77</v>
      </c>
    </row>
    <row r="81" spans="1:201" ht="12.75" customHeight="1" x14ac:dyDescent="0.2">
      <c r="A81" s="45" t="s">
        <v>132</v>
      </c>
      <c r="B81" s="123" t="s">
        <v>108</v>
      </c>
      <c r="C81" s="124" t="s">
        <v>111</v>
      </c>
      <c r="D81" s="388" t="s">
        <v>630</v>
      </c>
      <c r="E81" s="124" t="s">
        <v>12</v>
      </c>
      <c r="F81" s="11">
        <v>9</v>
      </c>
      <c r="G81" s="11">
        <v>2</v>
      </c>
      <c r="H81" s="11">
        <v>72</v>
      </c>
      <c r="I81" s="11">
        <v>73</v>
      </c>
      <c r="J81" s="11">
        <v>171</v>
      </c>
      <c r="K81" s="11">
        <v>198</v>
      </c>
      <c r="L81" s="11">
        <v>2</v>
      </c>
      <c r="M81" s="84">
        <v>649</v>
      </c>
      <c r="N81" s="84">
        <v>616</v>
      </c>
      <c r="O81" s="84">
        <v>0</v>
      </c>
      <c r="P81" s="135">
        <v>649</v>
      </c>
      <c r="Q81" s="135">
        <v>616.29999999999995</v>
      </c>
      <c r="R81" s="133">
        <v>0</v>
      </c>
      <c r="S81" s="133">
        <f t="shared" si="52"/>
        <v>1265.3</v>
      </c>
      <c r="T81" s="134">
        <v>649</v>
      </c>
      <c r="U81" s="130">
        <v>2.44</v>
      </c>
      <c r="V81" s="131">
        <v>1.9800000000000002E-2</v>
      </c>
      <c r="W81" s="131">
        <v>1.9800000000000002E-2</v>
      </c>
      <c r="X81" s="132">
        <v>1.32E-3</v>
      </c>
      <c r="Y81" s="131">
        <v>3.9699999999999999E-2</v>
      </c>
      <c r="Z81" s="29">
        <v>3841.3</v>
      </c>
      <c r="AA81" s="29"/>
      <c r="AB81" s="9">
        <f t="shared" si="29"/>
        <v>3841.3</v>
      </c>
      <c r="AC81" s="9">
        <f t="shared" si="28"/>
        <v>24315.43</v>
      </c>
      <c r="AD81" s="9">
        <v>2.3199999999999998</v>
      </c>
      <c r="AE81" s="9">
        <v>4.17</v>
      </c>
      <c r="AF81" s="21">
        <f>2.48-AJ81</f>
        <v>2.33</v>
      </c>
      <c r="AG81" s="18">
        <f>0.62-AQ81</f>
        <v>0.56999999999999995</v>
      </c>
      <c r="AH81" s="9">
        <v>2.78</v>
      </c>
      <c r="AI81" s="43">
        <v>591</v>
      </c>
      <c r="AJ81" s="21">
        <f t="shared" si="30"/>
        <v>0.15</v>
      </c>
      <c r="AK81" s="9">
        <v>2.25</v>
      </c>
      <c r="AL81" s="9">
        <v>0.2</v>
      </c>
      <c r="AM81" s="9">
        <v>0</v>
      </c>
      <c r="AN81" s="13"/>
      <c r="AO81" s="13">
        <v>422.4</v>
      </c>
      <c r="AP81" s="13">
        <f t="shared" si="53"/>
        <v>5.58</v>
      </c>
      <c r="AQ81" s="18">
        <f t="shared" si="31"/>
        <v>0.05</v>
      </c>
      <c r="AR81" s="9">
        <v>0.59</v>
      </c>
      <c r="AS81" s="9">
        <v>0.36</v>
      </c>
      <c r="AT81" s="9">
        <v>7.0000000000000007E-2</v>
      </c>
      <c r="AU81" s="9">
        <v>3.85</v>
      </c>
      <c r="AV81" s="9">
        <v>0.17</v>
      </c>
      <c r="AW81" s="9">
        <f>1.42+0.34+0.26</f>
        <v>2.02</v>
      </c>
      <c r="AX81" s="9">
        <f>2+0.45</f>
        <v>2.4500000000000002</v>
      </c>
      <c r="AY81" s="126">
        <f t="shared" si="54"/>
        <v>24.33</v>
      </c>
      <c r="AZ81" s="13">
        <v>24.33</v>
      </c>
      <c r="BA81" s="13">
        <f t="shared" si="32"/>
        <v>0</v>
      </c>
      <c r="BB81" s="9">
        <f t="shared" si="33"/>
        <v>93458.83</v>
      </c>
      <c r="BC81" s="9">
        <v>24.33</v>
      </c>
      <c r="BD81" s="10">
        <v>44378</v>
      </c>
      <c r="BE81" s="9">
        <f t="shared" si="34"/>
        <v>8911.82</v>
      </c>
      <c r="BF81" s="9">
        <f t="shared" si="35"/>
        <v>16018.22</v>
      </c>
      <c r="BG81" s="9">
        <f t="shared" si="36"/>
        <v>8950.23</v>
      </c>
      <c r="BH81" s="9">
        <f t="shared" si="37"/>
        <v>2189.54</v>
      </c>
      <c r="BI81" s="9">
        <f t="shared" si="38"/>
        <v>10678.81</v>
      </c>
      <c r="BJ81" s="9">
        <f t="shared" si="39"/>
        <v>576.20000000000005</v>
      </c>
      <c r="BK81" s="9">
        <f t="shared" si="40"/>
        <v>8642.93</v>
      </c>
      <c r="BL81" s="9">
        <f t="shared" si="41"/>
        <v>768.26</v>
      </c>
      <c r="BM81" s="9">
        <f t="shared" si="42"/>
        <v>0</v>
      </c>
      <c r="BN81" s="9">
        <f t="shared" si="43"/>
        <v>192.07</v>
      </c>
      <c r="BO81" s="9">
        <f t="shared" si="44"/>
        <v>2266.37</v>
      </c>
      <c r="BP81" s="9">
        <f t="shared" si="45"/>
        <v>1382.87</v>
      </c>
      <c r="BQ81" s="9">
        <f t="shared" si="46"/>
        <v>268.89</v>
      </c>
      <c r="BR81" s="9">
        <f t="shared" si="47"/>
        <v>14789.01</v>
      </c>
      <c r="BS81" s="9">
        <f t="shared" si="48"/>
        <v>653.02</v>
      </c>
      <c r="BT81" s="9">
        <f t="shared" si="49"/>
        <v>7759.43</v>
      </c>
      <c r="BU81" s="9">
        <f t="shared" si="50"/>
        <v>9411.19</v>
      </c>
      <c r="BV81" s="17">
        <f t="shared" si="51"/>
        <v>93458.86</v>
      </c>
      <c r="BW81" s="17">
        <v>1.75</v>
      </c>
      <c r="BX81" s="17">
        <v>0.1</v>
      </c>
      <c r="BY81" s="17">
        <v>0.63</v>
      </c>
      <c r="BZ81" s="17">
        <v>0.11</v>
      </c>
      <c r="CA81" s="29">
        <v>6.33</v>
      </c>
      <c r="CB81" s="325"/>
      <c r="CC81" s="13">
        <v>0</v>
      </c>
      <c r="CD81" s="13">
        <v>0</v>
      </c>
      <c r="CE81" s="13">
        <v>0</v>
      </c>
      <c r="CF81" s="13">
        <v>0</v>
      </c>
      <c r="CG81" s="13">
        <v>0</v>
      </c>
      <c r="CH81" s="13">
        <v>0</v>
      </c>
      <c r="CI81" s="13">
        <v>6548.76</v>
      </c>
      <c r="CJ81" s="13">
        <v>34884</v>
      </c>
      <c r="CK81" s="13">
        <v>1476.78</v>
      </c>
      <c r="CL81" s="13">
        <v>1121299.45</v>
      </c>
      <c r="CM81" s="13">
        <v>83846.240000000005</v>
      </c>
      <c r="CN81" s="13">
        <v>241558.49</v>
      </c>
      <c r="CO81" s="13">
        <v>4148.8599999999997</v>
      </c>
      <c r="CP81" s="13">
        <v>4340.43</v>
      </c>
      <c r="CQ81" s="13">
        <v>0</v>
      </c>
      <c r="CR81" s="13">
        <v>1088507.96</v>
      </c>
      <c r="CS81" s="13">
        <v>76794.7</v>
      </c>
      <c r="CT81" s="13">
        <v>201379.77</v>
      </c>
      <c r="CU81" s="13">
        <v>3981.1</v>
      </c>
      <c r="CV81" s="13">
        <v>4203.8999999999996</v>
      </c>
      <c r="CW81" s="13">
        <v>0</v>
      </c>
      <c r="CX81" s="13">
        <v>171895.56</v>
      </c>
      <c r="CY81" s="13">
        <v>9764.18</v>
      </c>
      <c r="CZ81" s="13">
        <v>42718.99</v>
      </c>
      <c r="DA81" s="13">
        <v>609.92999999999995</v>
      </c>
      <c r="DB81" s="13">
        <v>647.72</v>
      </c>
      <c r="DC81" s="13"/>
      <c r="DD81" s="315">
        <v>1455193.47</v>
      </c>
      <c r="DE81" s="317">
        <v>1374867.43</v>
      </c>
      <c r="DF81" s="317">
        <v>94.48</v>
      </c>
      <c r="DG81" s="318">
        <v>225636.38</v>
      </c>
      <c r="DH81" s="310">
        <v>40345.32</v>
      </c>
      <c r="DI81" s="310">
        <v>23073.96</v>
      </c>
      <c r="DJ81" s="312">
        <v>0</v>
      </c>
      <c r="DK81" s="362">
        <v>0</v>
      </c>
      <c r="DL81" s="362"/>
      <c r="DM81" s="362">
        <v>0</v>
      </c>
      <c r="DN81" s="362">
        <v>0</v>
      </c>
      <c r="DO81" s="362">
        <v>0</v>
      </c>
      <c r="DP81" s="362">
        <v>0</v>
      </c>
      <c r="DQ81" s="362">
        <v>0</v>
      </c>
      <c r="DR81" s="362"/>
      <c r="DS81" s="362">
        <v>0</v>
      </c>
      <c r="DT81" s="362"/>
      <c r="DU81" s="362">
        <v>0</v>
      </c>
      <c r="DV81" s="362">
        <v>0</v>
      </c>
      <c r="DW81" s="362">
        <v>103200</v>
      </c>
      <c r="DX81" s="362">
        <v>0</v>
      </c>
      <c r="DY81" s="362">
        <v>9000</v>
      </c>
      <c r="DZ81" s="375">
        <v>0</v>
      </c>
      <c r="EA81" s="362">
        <v>344352</v>
      </c>
      <c r="EB81" s="362">
        <v>5603</v>
      </c>
      <c r="EC81" s="362"/>
      <c r="ED81" s="362">
        <v>0</v>
      </c>
      <c r="EE81" s="362">
        <v>0</v>
      </c>
      <c r="EF81" s="362"/>
      <c r="EG81" s="362">
        <v>9402</v>
      </c>
      <c r="EH81" s="362">
        <v>630</v>
      </c>
      <c r="EI81" s="362"/>
      <c r="EJ81" s="362">
        <v>0</v>
      </c>
      <c r="EK81" s="362"/>
      <c r="EL81" s="362">
        <v>282648</v>
      </c>
      <c r="EM81" s="362">
        <v>2356.98</v>
      </c>
      <c r="EN81" s="362">
        <v>0</v>
      </c>
      <c r="EO81" s="362">
        <v>0</v>
      </c>
      <c r="EP81" s="362">
        <v>0</v>
      </c>
      <c r="EQ81" s="362">
        <v>21870</v>
      </c>
      <c r="ER81" s="362">
        <v>16380</v>
      </c>
      <c r="ES81" s="362">
        <v>0</v>
      </c>
      <c r="ET81" s="362">
        <v>8988</v>
      </c>
      <c r="EU81" s="362">
        <v>0</v>
      </c>
      <c r="EV81" s="362">
        <v>27387.360000000001</v>
      </c>
      <c r="EW81" s="362"/>
      <c r="EX81" s="202"/>
      <c r="EY81" s="202"/>
      <c r="EZ81" s="229"/>
      <c r="FA81" s="368">
        <v>80364.58</v>
      </c>
      <c r="FB81" s="368">
        <v>300585.53000000003</v>
      </c>
      <c r="FC81" s="368">
        <v>0</v>
      </c>
      <c r="FD81" s="368">
        <v>0</v>
      </c>
      <c r="FE81" s="368">
        <v>4304.3900000000003</v>
      </c>
      <c r="FF81" s="368">
        <v>4629.1099999999997</v>
      </c>
      <c r="FG81" s="368">
        <v>0</v>
      </c>
      <c r="FH81" s="368">
        <v>-982.39</v>
      </c>
      <c r="FI81" s="368">
        <v>0</v>
      </c>
      <c r="FJ81" s="368">
        <v>0</v>
      </c>
      <c r="FK81" s="368">
        <v>0</v>
      </c>
      <c r="FL81" s="368">
        <v>0</v>
      </c>
      <c r="FM81" s="368">
        <v>102674.36</v>
      </c>
      <c r="FN81" s="368">
        <v>65289.23</v>
      </c>
      <c r="FO81" s="323">
        <v>1063200.21</v>
      </c>
      <c r="FP81" s="323">
        <v>388901.22</v>
      </c>
      <c r="FQ81" s="323">
        <v>1452101.43</v>
      </c>
      <c r="FR81" s="338">
        <v>123415.61</v>
      </c>
      <c r="FS81" s="338">
        <v>5495.96</v>
      </c>
      <c r="FT81" s="377">
        <v>128911.57</v>
      </c>
      <c r="FU81" s="377">
        <v>1162732.21</v>
      </c>
      <c r="FV81" s="377">
        <v>335370.8</v>
      </c>
      <c r="FW81" s="362">
        <v>1498103.01</v>
      </c>
      <c r="FX81" s="362">
        <v>1114252.26</v>
      </c>
      <c r="FY81" s="362">
        <v>287125.94</v>
      </c>
      <c r="FZ81" s="362">
        <v>1401378.2</v>
      </c>
      <c r="GA81" s="362">
        <v>171895.56</v>
      </c>
      <c r="GB81" s="362">
        <v>53740.82</v>
      </c>
      <c r="GC81" s="362">
        <v>225636.38</v>
      </c>
      <c r="GD81" s="362">
        <v>76949.119999999995</v>
      </c>
      <c r="GE81" s="362">
        <v>-61045.07</v>
      </c>
      <c r="GF81" s="362">
        <v>15904.05</v>
      </c>
      <c r="GG81" s="202"/>
      <c r="GH81" s="416"/>
      <c r="GI81" s="414">
        <v>2455</v>
      </c>
      <c r="GJ81" s="419">
        <v>0</v>
      </c>
      <c r="GK81" s="396"/>
      <c r="GL81" s="202">
        <v>0</v>
      </c>
      <c r="GM81" s="202">
        <v>0</v>
      </c>
      <c r="GN81" s="323">
        <v>99532</v>
      </c>
      <c r="GO81" s="323">
        <v>-53530.42</v>
      </c>
      <c r="GP81" s="323">
        <v>46001.58</v>
      </c>
      <c r="GQ81" s="323">
        <v>176481.12</v>
      </c>
      <c r="GR81" s="323">
        <v>-114575.49</v>
      </c>
      <c r="GS81" s="323">
        <v>61905.63</v>
      </c>
    </row>
    <row r="82" spans="1:201" ht="12.75" customHeight="1" x14ac:dyDescent="0.2">
      <c r="A82" s="45" t="s">
        <v>134</v>
      </c>
      <c r="B82" s="117" t="s">
        <v>108</v>
      </c>
      <c r="C82" s="118" t="s">
        <v>113</v>
      </c>
      <c r="D82" s="388" t="s">
        <v>692</v>
      </c>
      <c r="E82" s="118" t="s">
        <v>44</v>
      </c>
      <c r="F82" s="11">
        <v>5</v>
      </c>
      <c r="G82" s="11">
        <v>4</v>
      </c>
      <c r="H82" s="11">
        <v>80</v>
      </c>
      <c r="I82" s="11">
        <v>0</v>
      </c>
      <c r="J82" s="11">
        <v>143</v>
      </c>
      <c r="K82" s="11">
        <v>153</v>
      </c>
      <c r="L82" s="11" t="s">
        <v>746</v>
      </c>
      <c r="M82" s="84">
        <v>259</v>
      </c>
      <c r="N82" s="84">
        <v>879</v>
      </c>
      <c r="O82" s="84">
        <v>0</v>
      </c>
      <c r="P82" s="135">
        <v>259</v>
      </c>
      <c r="Q82" s="135">
        <v>417.3</v>
      </c>
      <c r="R82" s="133">
        <v>0</v>
      </c>
      <c r="S82" s="133">
        <f t="shared" si="52"/>
        <v>676.3</v>
      </c>
      <c r="T82" s="134">
        <v>259</v>
      </c>
      <c r="U82" s="130">
        <v>1.53</v>
      </c>
      <c r="V82" s="131">
        <v>1.9800000000000002E-2</v>
      </c>
      <c r="W82" s="91">
        <v>1.9800000000000002E-2</v>
      </c>
      <c r="X82" s="132">
        <v>1.32E-3</v>
      </c>
      <c r="Y82" s="131">
        <v>3.95E-2</v>
      </c>
      <c r="Z82" s="29">
        <v>3316.6</v>
      </c>
      <c r="AA82" s="29">
        <v>345.6</v>
      </c>
      <c r="AB82" s="9">
        <f t="shared" si="29"/>
        <v>3662.2</v>
      </c>
      <c r="AC82" s="9">
        <f t="shared" si="28"/>
        <v>23181.73</v>
      </c>
      <c r="AD82" s="9">
        <v>0.35</v>
      </c>
      <c r="AE82" s="9">
        <v>3.78</v>
      </c>
      <c r="AF82" s="21">
        <f>2.41-AJ82</f>
        <v>2.1800000000000002</v>
      </c>
      <c r="AG82" s="18">
        <f>0.53-AQ82</f>
        <v>0.43</v>
      </c>
      <c r="AH82" s="9">
        <v>2.78</v>
      </c>
      <c r="AI82" s="43">
        <v>844</v>
      </c>
      <c r="AJ82" s="21">
        <f t="shared" si="30"/>
        <v>0.23</v>
      </c>
      <c r="AK82" s="9">
        <v>0</v>
      </c>
      <c r="AL82" s="9">
        <v>0</v>
      </c>
      <c r="AM82" s="9">
        <v>0.32</v>
      </c>
      <c r="AN82" s="13"/>
      <c r="AO82" s="13">
        <v>801.6</v>
      </c>
      <c r="AP82" s="13">
        <f t="shared" si="53"/>
        <v>5.58</v>
      </c>
      <c r="AQ82" s="18">
        <f t="shared" si="31"/>
        <v>0.1</v>
      </c>
      <c r="AR82" s="9">
        <v>0.78</v>
      </c>
      <c r="AS82" s="9">
        <v>0.37</v>
      </c>
      <c r="AT82" s="9">
        <v>7.0000000000000007E-2</v>
      </c>
      <c r="AU82" s="9">
        <v>4.57</v>
      </c>
      <c r="AV82" s="9">
        <v>0.12</v>
      </c>
      <c r="AW82" s="9">
        <f>1.02+0.31+0.4</f>
        <v>1.73</v>
      </c>
      <c r="AX82" s="9">
        <f>1.4+0.54</f>
        <v>1.94</v>
      </c>
      <c r="AY82" s="120">
        <f t="shared" si="54"/>
        <v>19.75</v>
      </c>
      <c r="AZ82" s="13">
        <v>19.75</v>
      </c>
      <c r="BA82" s="13">
        <f t="shared" si="32"/>
        <v>0</v>
      </c>
      <c r="BB82" s="9">
        <f t="shared" si="33"/>
        <v>72328.45</v>
      </c>
      <c r="BC82" s="9">
        <v>19.75</v>
      </c>
      <c r="BD82" s="10">
        <v>44409</v>
      </c>
      <c r="BE82" s="9">
        <f t="shared" si="34"/>
        <v>1281.77</v>
      </c>
      <c r="BF82" s="9">
        <f t="shared" si="35"/>
        <v>13843.12</v>
      </c>
      <c r="BG82" s="9">
        <f t="shared" si="36"/>
        <v>7983.6</v>
      </c>
      <c r="BH82" s="9">
        <f t="shared" si="37"/>
        <v>1574.75</v>
      </c>
      <c r="BI82" s="9">
        <f t="shared" si="38"/>
        <v>10180.92</v>
      </c>
      <c r="BJ82" s="9">
        <f t="shared" si="39"/>
        <v>842.31</v>
      </c>
      <c r="BK82" s="9">
        <f t="shared" si="40"/>
        <v>0</v>
      </c>
      <c r="BL82" s="9">
        <f t="shared" si="41"/>
        <v>0</v>
      </c>
      <c r="BM82" s="9">
        <f t="shared" si="42"/>
        <v>1171.9000000000001</v>
      </c>
      <c r="BN82" s="9">
        <f t="shared" si="43"/>
        <v>366.22</v>
      </c>
      <c r="BO82" s="9">
        <f t="shared" si="44"/>
        <v>2856.52</v>
      </c>
      <c r="BP82" s="9">
        <f t="shared" si="45"/>
        <v>1355.01</v>
      </c>
      <c r="BQ82" s="9">
        <f t="shared" si="46"/>
        <v>256.35000000000002</v>
      </c>
      <c r="BR82" s="9">
        <f t="shared" si="47"/>
        <v>16736.25</v>
      </c>
      <c r="BS82" s="9">
        <f t="shared" si="48"/>
        <v>439.46</v>
      </c>
      <c r="BT82" s="9">
        <f t="shared" si="49"/>
        <v>6335.61</v>
      </c>
      <c r="BU82" s="9">
        <f t="shared" si="50"/>
        <v>7104.67</v>
      </c>
      <c r="BV82" s="17">
        <f t="shared" si="51"/>
        <v>72328.460000000006</v>
      </c>
      <c r="BW82" s="17">
        <v>1.1399999999999999</v>
      </c>
      <c r="BX82" s="17">
        <v>0.04</v>
      </c>
      <c r="BY82" s="17">
        <v>0.25</v>
      </c>
      <c r="BZ82" s="17">
        <v>0.04</v>
      </c>
      <c r="CA82" s="29">
        <v>6.33</v>
      </c>
      <c r="CB82" s="325"/>
      <c r="CC82" s="13">
        <v>81907.320000000007</v>
      </c>
      <c r="CD82" s="13">
        <v>1734.95</v>
      </c>
      <c r="CE82" s="13">
        <v>221.17</v>
      </c>
      <c r="CF82" s="13">
        <v>3355.78</v>
      </c>
      <c r="CG82" s="13">
        <v>1980.33</v>
      </c>
      <c r="CH82" s="13">
        <v>0</v>
      </c>
      <c r="CI82" s="13">
        <v>3485.73</v>
      </c>
      <c r="CJ82" s="13">
        <v>21588</v>
      </c>
      <c r="CK82" s="13">
        <v>1408.44</v>
      </c>
      <c r="CL82" s="13">
        <v>786036.71</v>
      </c>
      <c r="CM82" s="13">
        <v>16616.87</v>
      </c>
      <c r="CN82" s="13">
        <v>-5.47</v>
      </c>
      <c r="CO82" s="13">
        <v>34339.75</v>
      </c>
      <c r="CP82" s="13">
        <v>19011.53</v>
      </c>
      <c r="CQ82" s="13">
        <v>0</v>
      </c>
      <c r="CR82" s="13">
        <v>727496.52</v>
      </c>
      <c r="CS82" s="13">
        <v>15306.01</v>
      </c>
      <c r="CT82" s="13">
        <v>1133.56</v>
      </c>
      <c r="CU82" s="13">
        <v>30247.37</v>
      </c>
      <c r="CV82" s="13">
        <v>16759.189999999999</v>
      </c>
      <c r="CW82" s="13">
        <v>0</v>
      </c>
      <c r="CX82" s="13">
        <v>171604.09</v>
      </c>
      <c r="CY82" s="13">
        <v>2381.94</v>
      </c>
      <c r="CZ82" s="13">
        <v>-1327.48</v>
      </c>
      <c r="DA82" s="13">
        <v>8543.84</v>
      </c>
      <c r="DB82" s="13">
        <v>4783.57</v>
      </c>
      <c r="DC82" s="13"/>
      <c r="DD82" s="315">
        <v>855999.39</v>
      </c>
      <c r="DE82" s="317">
        <v>790942.65</v>
      </c>
      <c r="DF82" s="317">
        <v>92.4</v>
      </c>
      <c r="DG82" s="318">
        <v>185985.96</v>
      </c>
      <c r="DH82" s="310">
        <v>34848.959999999999</v>
      </c>
      <c r="DI82" s="310">
        <v>19930.439999999999</v>
      </c>
      <c r="DJ82" s="312">
        <v>0</v>
      </c>
      <c r="DK82" s="362">
        <v>0</v>
      </c>
      <c r="DL82" s="362"/>
      <c r="DM82" s="362">
        <v>0</v>
      </c>
      <c r="DN82" s="362">
        <v>0</v>
      </c>
      <c r="DO82" s="362">
        <v>0</v>
      </c>
      <c r="DP82" s="362">
        <v>0</v>
      </c>
      <c r="DQ82" s="362">
        <v>0</v>
      </c>
      <c r="DR82" s="362"/>
      <c r="DS82" s="362">
        <v>0</v>
      </c>
      <c r="DT82" s="362"/>
      <c r="DU82" s="362">
        <v>0</v>
      </c>
      <c r="DV82" s="362">
        <v>0</v>
      </c>
      <c r="DW82" s="362">
        <v>0</v>
      </c>
      <c r="DX82" s="362">
        <v>0</v>
      </c>
      <c r="DY82" s="362">
        <v>0</v>
      </c>
      <c r="DZ82" s="375">
        <v>0</v>
      </c>
      <c r="EA82" s="362">
        <v>210714</v>
      </c>
      <c r="EB82" s="362">
        <v>10766.67</v>
      </c>
      <c r="EC82" s="362"/>
      <c r="ED82" s="362">
        <v>0</v>
      </c>
      <c r="EE82" s="362">
        <v>0</v>
      </c>
      <c r="EF82" s="362"/>
      <c r="EG82" s="362">
        <v>13428</v>
      </c>
      <c r="EH82" s="362">
        <v>31115</v>
      </c>
      <c r="EI82" s="362"/>
      <c r="EJ82" s="362">
        <v>24120</v>
      </c>
      <c r="EK82" s="362"/>
      <c r="EL82" s="362">
        <v>0</v>
      </c>
      <c r="EM82" s="362">
        <v>4472.9399999999996</v>
      </c>
      <c r="EN82" s="362">
        <v>0</v>
      </c>
      <c r="EO82" s="362">
        <v>0</v>
      </c>
      <c r="EP82" s="362">
        <v>226104</v>
      </c>
      <c r="EQ82" s="362">
        <v>21870</v>
      </c>
      <c r="ER82" s="362">
        <v>16380</v>
      </c>
      <c r="ES82" s="362">
        <v>8078</v>
      </c>
      <c r="ET82" s="362">
        <v>12932</v>
      </c>
      <c r="EU82" s="362">
        <v>0</v>
      </c>
      <c r="EV82" s="362">
        <v>99517.54</v>
      </c>
      <c r="EW82" s="362"/>
      <c r="EX82" s="202"/>
      <c r="EY82" s="202"/>
      <c r="EZ82" s="229"/>
      <c r="FA82" s="368">
        <v>18806.97</v>
      </c>
      <c r="FB82" s="368">
        <v>0</v>
      </c>
      <c r="FC82" s="368">
        <v>0</v>
      </c>
      <c r="FD82" s="368">
        <v>0</v>
      </c>
      <c r="FE82" s="368">
        <v>35234.699999999997</v>
      </c>
      <c r="FF82" s="368">
        <v>19678.28</v>
      </c>
      <c r="FG82" s="368">
        <v>-702.62</v>
      </c>
      <c r="FH82" s="368">
        <v>-1329</v>
      </c>
      <c r="FI82" s="368">
        <v>0</v>
      </c>
      <c r="FJ82" s="368">
        <v>0</v>
      </c>
      <c r="FK82" s="368">
        <v>15310.92</v>
      </c>
      <c r="FL82" s="368">
        <v>0</v>
      </c>
      <c r="FM82" s="368">
        <v>97909.14</v>
      </c>
      <c r="FN82" s="368">
        <v>62255.22</v>
      </c>
      <c r="FO82" s="323">
        <v>894441.91</v>
      </c>
      <c r="FP82" s="323">
        <v>86999.25</v>
      </c>
      <c r="FQ82" s="323">
        <v>981441.16</v>
      </c>
      <c r="FR82" s="338">
        <v>119010.8</v>
      </c>
      <c r="FS82" s="338">
        <v>5013.21</v>
      </c>
      <c r="FT82" s="377">
        <v>124024.01</v>
      </c>
      <c r="FU82" s="377">
        <v>893017.76</v>
      </c>
      <c r="FV82" s="377">
        <v>78663.350000000006</v>
      </c>
      <c r="FW82" s="362">
        <v>971681.11</v>
      </c>
      <c r="FX82" s="362">
        <v>806375.08</v>
      </c>
      <c r="FY82" s="362">
        <v>66333.87</v>
      </c>
      <c r="FZ82" s="362">
        <v>872708.95</v>
      </c>
      <c r="GA82" s="362">
        <v>205653.48</v>
      </c>
      <c r="GB82" s="362">
        <v>17342.689999999999</v>
      </c>
      <c r="GC82" s="362">
        <v>222996.17</v>
      </c>
      <c r="GD82" s="362">
        <v>83165.03</v>
      </c>
      <c r="GE82" s="362">
        <v>851.96</v>
      </c>
      <c r="GF82" s="362">
        <v>84016.99</v>
      </c>
      <c r="GG82" s="202">
        <v>37010.21</v>
      </c>
      <c r="GH82" s="416">
        <v>92</v>
      </c>
      <c r="GI82" s="414">
        <v>1439</v>
      </c>
      <c r="GJ82" s="419">
        <v>89199.55</v>
      </c>
      <c r="GK82" s="396">
        <v>37010.21</v>
      </c>
      <c r="GL82" s="202">
        <v>34049.393199999999</v>
      </c>
      <c r="GM82" s="202">
        <v>2960.8168000000001</v>
      </c>
      <c r="GN82" s="323">
        <v>-1424.15</v>
      </c>
      <c r="GO82" s="323">
        <v>-8335.9</v>
      </c>
      <c r="GP82" s="323">
        <v>-9760.0499999999993</v>
      </c>
      <c r="GQ82" s="323">
        <v>81740.88</v>
      </c>
      <c r="GR82" s="323">
        <v>-7483.94</v>
      </c>
      <c r="GS82" s="323">
        <v>74256.94</v>
      </c>
    </row>
    <row r="83" spans="1:201" ht="12.75" customHeight="1" x14ac:dyDescent="0.2">
      <c r="A83" s="45" t="s">
        <v>136</v>
      </c>
      <c r="B83" s="141" t="s">
        <v>108</v>
      </c>
      <c r="C83" s="142" t="s">
        <v>115</v>
      </c>
      <c r="D83" s="388" t="s">
        <v>421</v>
      </c>
      <c r="E83" s="142" t="s">
        <v>12</v>
      </c>
      <c r="F83" s="11">
        <v>5</v>
      </c>
      <c r="G83" s="11">
        <v>6</v>
      </c>
      <c r="H83" s="11">
        <v>90</v>
      </c>
      <c r="I83" s="11">
        <v>91</v>
      </c>
      <c r="J83" s="11">
        <v>215</v>
      </c>
      <c r="K83" s="11">
        <v>217</v>
      </c>
      <c r="L83" s="11" t="s">
        <v>746</v>
      </c>
      <c r="M83" s="84">
        <v>416</v>
      </c>
      <c r="N83" s="84">
        <v>1264</v>
      </c>
      <c r="O83" s="84">
        <v>0</v>
      </c>
      <c r="P83" s="135">
        <v>416</v>
      </c>
      <c r="Q83" s="135">
        <v>1012.1</v>
      </c>
      <c r="R83" s="133">
        <v>0</v>
      </c>
      <c r="S83" s="133">
        <f t="shared" si="52"/>
        <v>1428.1</v>
      </c>
      <c r="T83" s="134">
        <v>416</v>
      </c>
      <c r="U83" s="130">
        <v>1.53</v>
      </c>
      <c r="V83" s="131">
        <v>1.9800000000000002E-2</v>
      </c>
      <c r="W83" s="131">
        <v>1.9800000000000002E-2</v>
      </c>
      <c r="X83" s="132">
        <v>1.2199999999999999E-3</v>
      </c>
      <c r="Y83" s="131">
        <v>3.95E-2</v>
      </c>
      <c r="Z83" s="29">
        <v>3988.3</v>
      </c>
      <c r="AA83" s="29"/>
      <c r="AB83" s="9">
        <f t="shared" si="29"/>
        <v>3988.3</v>
      </c>
      <c r="AC83" s="9">
        <f t="shared" si="28"/>
        <v>25245.94</v>
      </c>
      <c r="AD83" s="9">
        <v>0.52</v>
      </c>
      <c r="AE83" s="9">
        <v>4.96</v>
      </c>
      <c r="AF83" s="21">
        <f>2.5-AJ83</f>
        <v>2.2000000000000002</v>
      </c>
      <c r="AG83" s="18">
        <f>0.56-AQ83</f>
        <v>0.45</v>
      </c>
      <c r="AH83" s="9">
        <v>2.78</v>
      </c>
      <c r="AI83" s="43">
        <v>1213</v>
      </c>
      <c r="AJ83" s="21">
        <f t="shared" si="30"/>
        <v>0.3</v>
      </c>
      <c r="AK83" s="9">
        <v>0</v>
      </c>
      <c r="AL83" s="9">
        <v>0</v>
      </c>
      <c r="AM83" s="9">
        <v>0.14000000000000001</v>
      </c>
      <c r="AN83" s="13"/>
      <c r="AO83" s="13">
        <v>901.8</v>
      </c>
      <c r="AP83" s="13">
        <f t="shared" si="53"/>
        <v>5.58</v>
      </c>
      <c r="AQ83" s="18">
        <f t="shared" si="31"/>
        <v>0.11</v>
      </c>
      <c r="AR83" s="9">
        <v>0.79</v>
      </c>
      <c r="AS83" s="9">
        <v>0.34</v>
      </c>
      <c r="AT83" s="9">
        <v>7.0000000000000007E-2</v>
      </c>
      <c r="AU83" s="9">
        <v>3.57</v>
      </c>
      <c r="AV83" s="9">
        <v>0.13</v>
      </c>
      <c r="AW83" s="9">
        <f>1.13+0.32+0.32</f>
        <v>1.77</v>
      </c>
      <c r="AX83" s="9">
        <f>1.55+0.43</f>
        <v>1.98</v>
      </c>
      <c r="AY83" s="144">
        <f t="shared" si="54"/>
        <v>20.11</v>
      </c>
      <c r="AZ83" s="13">
        <v>20.11</v>
      </c>
      <c r="BA83" s="13">
        <f t="shared" si="32"/>
        <v>0</v>
      </c>
      <c r="BB83" s="9">
        <f t="shared" si="33"/>
        <v>80204.710000000006</v>
      </c>
      <c r="BC83" s="9">
        <v>20.11</v>
      </c>
      <c r="BD83" s="10">
        <v>44378</v>
      </c>
      <c r="BE83" s="9">
        <f t="shared" si="34"/>
        <v>2073.92</v>
      </c>
      <c r="BF83" s="9">
        <f t="shared" si="35"/>
        <v>19781.97</v>
      </c>
      <c r="BG83" s="9">
        <f t="shared" si="36"/>
        <v>8774.26</v>
      </c>
      <c r="BH83" s="9">
        <f t="shared" si="37"/>
        <v>1794.74</v>
      </c>
      <c r="BI83" s="9">
        <f t="shared" si="38"/>
        <v>11087.47</v>
      </c>
      <c r="BJ83" s="9">
        <f t="shared" si="39"/>
        <v>1196.49</v>
      </c>
      <c r="BK83" s="9">
        <f t="shared" si="40"/>
        <v>0</v>
      </c>
      <c r="BL83" s="9">
        <f t="shared" si="41"/>
        <v>0</v>
      </c>
      <c r="BM83" s="9">
        <f t="shared" si="42"/>
        <v>558.36</v>
      </c>
      <c r="BN83" s="9">
        <f t="shared" si="43"/>
        <v>438.71</v>
      </c>
      <c r="BO83" s="9">
        <f t="shared" si="44"/>
        <v>3150.76</v>
      </c>
      <c r="BP83" s="9">
        <f t="shared" si="45"/>
        <v>1356.02</v>
      </c>
      <c r="BQ83" s="9">
        <f t="shared" si="46"/>
        <v>279.18</v>
      </c>
      <c r="BR83" s="9">
        <f t="shared" si="47"/>
        <v>14238.23</v>
      </c>
      <c r="BS83" s="9">
        <f t="shared" si="48"/>
        <v>518.48</v>
      </c>
      <c r="BT83" s="9">
        <f t="shared" si="49"/>
        <v>7059.29</v>
      </c>
      <c r="BU83" s="9">
        <f t="shared" si="50"/>
        <v>7896.83</v>
      </c>
      <c r="BV83" s="17">
        <f t="shared" si="51"/>
        <v>80204.710000000006</v>
      </c>
      <c r="BW83" s="17">
        <v>0.64</v>
      </c>
      <c r="BX83" s="17">
        <v>0.06</v>
      </c>
      <c r="BY83" s="17">
        <v>0.35</v>
      </c>
      <c r="BZ83" s="17">
        <v>0.06</v>
      </c>
      <c r="CA83" s="29">
        <v>6.33</v>
      </c>
      <c r="CB83" s="325"/>
      <c r="CC83" s="13">
        <v>0</v>
      </c>
      <c r="CD83" s="13">
        <v>0</v>
      </c>
      <c r="CE83" s="13">
        <v>0</v>
      </c>
      <c r="CF83" s="13">
        <v>0</v>
      </c>
      <c r="CG83" s="13">
        <v>0</v>
      </c>
      <c r="CH83" s="13">
        <v>0</v>
      </c>
      <c r="CI83" s="13">
        <v>6963.7</v>
      </c>
      <c r="CJ83" s="13">
        <v>38856</v>
      </c>
      <c r="CK83" s="13">
        <v>1534.13</v>
      </c>
      <c r="CL83" s="13">
        <v>962608.04</v>
      </c>
      <c r="CM83" s="13">
        <v>65816.37</v>
      </c>
      <c r="CN83" s="13">
        <v>31748.21</v>
      </c>
      <c r="CO83" s="13">
        <v>3231.15</v>
      </c>
      <c r="CP83" s="13">
        <v>3111.29</v>
      </c>
      <c r="CQ83" s="13">
        <v>0</v>
      </c>
      <c r="CR83" s="13">
        <v>934824.32</v>
      </c>
      <c r="CS83" s="13">
        <v>61623.76</v>
      </c>
      <c r="CT83" s="13">
        <v>16818.189999999999</v>
      </c>
      <c r="CU83" s="13">
        <v>3607.39</v>
      </c>
      <c r="CV83" s="13">
        <v>2954.51</v>
      </c>
      <c r="CW83" s="13">
        <v>0</v>
      </c>
      <c r="CX83" s="13">
        <v>163514.44</v>
      </c>
      <c r="CY83" s="13">
        <v>10759.35</v>
      </c>
      <c r="CZ83" s="13">
        <v>10290.15</v>
      </c>
      <c r="DA83" s="13">
        <v>730.93</v>
      </c>
      <c r="DB83" s="13">
        <v>501.4</v>
      </c>
      <c r="DC83" s="13"/>
      <c r="DD83" s="315">
        <v>1066515.06</v>
      </c>
      <c r="DE83" s="317">
        <v>1019828.17</v>
      </c>
      <c r="DF83" s="317">
        <v>95.62</v>
      </c>
      <c r="DG83" s="318">
        <v>185796.27</v>
      </c>
      <c r="DH83" s="310">
        <v>41914.68</v>
      </c>
      <c r="DI83" s="310">
        <v>23971.439999999999</v>
      </c>
      <c r="DJ83" s="312">
        <v>0</v>
      </c>
      <c r="DK83" s="362">
        <v>0</v>
      </c>
      <c r="DL83" s="362"/>
      <c r="DM83" s="362">
        <v>0</v>
      </c>
      <c r="DN83" s="362">
        <v>0</v>
      </c>
      <c r="DO83" s="362">
        <v>0</v>
      </c>
      <c r="DP83" s="362">
        <v>0</v>
      </c>
      <c r="DQ83" s="362">
        <v>0</v>
      </c>
      <c r="DR83" s="362"/>
      <c r="DS83" s="362">
        <v>0</v>
      </c>
      <c r="DT83" s="362"/>
      <c r="DU83" s="362">
        <v>0</v>
      </c>
      <c r="DV83" s="362">
        <v>0</v>
      </c>
      <c r="DW83" s="362">
        <v>0</v>
      </c>
      <c r="DX83" s="362">
        <v>0</v>
      </c>
      <c r="DY83" s="362">
        <v>0</v>
      </c>
      <c r="DZ83" s="375">
        <v>0</v>
      </c>
      <c r="EA83" s="362">
        <v>303030</v>
      </c>
      <c r="EB83" s="362">
        <v>5603</v>
      </c>
      <c r="EC83" s="362"/>
      <c r="ED83" s="362">
        <v>0</v>
      </c>
      <c r="EE83" s="362">
        <v>0</v>
      </c>
      <c r="EF83" s="362"/>
      <c r="EG83" s="362">
        <v>19302</v>
      </c>
      <c r="EH83" s="362">
        <v>30240</v>
      </c>
      <c r="EI83" s="362"/>
      <c r="EJ83" s="362">
        <v>16800</v>
      </c>
      <c r="EK83" s="362"/>
      <c r="EL83" s="362">
        <v>293322</v>
      </c>
      <c r="EM83" s="362">
        <v>5032.05</v>
      </c>
      <c r="EN83" s="362">
        <v>0</v>
      </c>
      <c r="EO83" s="362">
        <v>0</v>
      </c>
      <c r="EP83" s="362">
        <v>0</v>
      </c>
      <c r="EQ83" s="362">
        <v>13800</v>
      </c>
      <c r="ER83" s="362">
        <v>16380</v>
      </c>
      <c r="ES83" s="362">
        <v>0</v>
      </c>
      <c r="ET83" s="362">
        <v>14628</v>
      </c>
      <c r="EU83" s="362">
        <v>0</v>
      </c>
      <c r="EV83" s="362">
        <v>47698.51</v>
      </c>
      <c r="EW83" s="362"/>
      <c r="EX83" s="202"/>
      <c r="EY83" s="202"/>
      <c r="EZ83" s="229"/>
      <c r="FA83" s="368">
        <v>81617.320000000007</v>
      </c>
      <c r="FB83" s="368">
        <v>48268.15</v>
      </c>
      <c r="FC83" s="368">
        <v>0</v>
      </c>
      <c r="FD83" s="368">
        <v>0</v>
      </c>
      <c r="FE83" s="368">
        <v>3327.32</v>
      </c>
      <c r="FF83" s="368">
        <v>2808.93</v>
      </c>
      <c r="FG83" s="368">
        <v>-28.94</v>
      </c>
      <c r="FH83" s="368">
        <v>-1012.91</v>
      </c>
      <c r="FI83" s="368">
        <v>0</v>
      </c>
      <c r="FJ83" s="368">
        <v>0</v>
      </c>
      <c r="FK83" s="368">
        <v>0</v>
      </c>
      <c r="FL83" s="368">
        <v>0</v>
      </c>
      <c r="FM83" s="368">
        <v>106644.17</v>
      </c>
      <c r="FN83" s="368">
        <v>67808.14</v>
      </c>
      <c r="FO83" s="323">
        <v>1006173.99</v>
      </c>
      <c r="FP83" s="323">
        <v>134979.87</v>
      </c>
      <c r="FQ83" s="323">
        <v>1141153.8600000001</v>
      </c>
      <c r="FR83" s="338">
        <v>122511.89</v>
      </c>
      <c r="FS83" s="338">
        <v>13320.41</v>
      </c>
      <c r="FT83" s="377">
        <v>135832.29999999999</v>
      </c>
      <c r="FU83" s="377">
        <v>1008427.74</v>
      </c>
      <c r="FV83" s="377">
        <v>105441.15</v>
      </c>
      <c r="FW83" s="362">
        <v>1113868.8899999999</v>
      </c>
      <c r="FX83" s="362">
        <v>967425.19</v>
      </c>
      <c r="FY83" s="362">
        <v>96479.73</v>
      </c>
      <c r="FZ83" s="362">
        <v>1063904.92</v>
      </c>
      <c r="GA83" s="362">
        <v>163514.44</v>
      </c>
      <c r="GB83" s="362">
        <v>22281.83</v>
      </c>
      <c r="GC83" s="362">
        <v>185796.27</v>
      </c>
      <c r="GD83" s="362">
        <v>108496.99</v>
      </c>
      <c r="GE83" s="362">
        <v>3437.87</v>
      </c>
      <c r="GF83" s="362">
        <v>111934.86</v>
      </c>
      <c r="GG83" s="202"/>
      <c r="GH83" s="416"/>
      <c r="GI83" s="414">
        <v>3386</v>
      </c>
      <c r="GJ83" s="419">
        <v>0</v>
      </c>
      <c r="GK83" s="396"/>
      <c r="GL83" s="202">
        <v>0</v>
      </c>
      <c r="GM83" s="202">
        <v>0</v>
      </c>
      <c r="GN83" s="323">
        <v>2253.75</v>
      </c>
      <c r="GO83" s="323">
        <v>-29538.720000000001</v>
      </c>
      <c r="GP83" s="323">
        <v>-27284.97</v>
      </c>
      <c r="GQ83" s="323">
        <v>110750.74</v>
      </c>
      <c r="GR83" s="323">
        <v>-26100.85</v>
      </c>
      <c r="GS83" s="323">
        <v>84649.89</v>
      </c>
    </row>
    <row r="84" spans="1:201" ht="12.75" customHeight="1" x14ac:dyDescent="0.2">
      <c r="A84" s="45" t="s">
        <v>138</v>
      </c>
      <c r="B84" s="117" t="s">
        <v>108</v>
      </c>
      <c r="C84" s="118" t="s">
        <v>117</v>
      </c>
      <c r="D84" s="388" t="s">
        <v>422</v>
      </c>
      <c r="E84" s="118" t="s">
        <v>12</v>
      </c>
      <c r="F84" s="11">
        <v>5</v>
      </c>
      <c r="G84" s="11">
        <v>4</v>
      </c>
      <c r="H84" s="11">
        <v>80</v>
      </c>
      <c r="I84" s="11">
        <v>0</v>
      </c>
      <c r="J84" s="11">
        <v>168</v>
      </c>
      <c r="K84" s="11">
        <v>196</v>
      </c>
      <c r="L84" s="11" t="s">
        <v>746</v>
      </c>
      <c r="M84" s="84">
        <v>278</v>
      </c>
      <c r="N84" s="84">
        <v>920</v>
      </c>
      <c r="O84" s="84">
        <v>0</v>
      </c>
      <c r="P84" s="135">
        <v>278</v>
      </c>
      <c r="Q84" s="135">
        <v>704</v>
      </c>
      <c r="R84" s="133">
        <v>0</v>
      </c>
      <c r="S84" s="133">
        <f t="shared" si="52"/>
        <v>982</v>
      </c>
      <c r="T84" s="134">
        <v>278</v>
      </c>
      <c r="U84" s="130">
        <v>1.53</v>
      </c>
      <c r="V84" s="131">
        <v>1.9800000000000002E-2</v>
      </c>
      <c r="W84" s="131">
        <v>1.9800000000000002E-2</v>
      </c>
      <c r="X84" s="132">
        <v>1.2199999999999999E-3</v>
      </c>
      <c r="Y84" s="131">
        <v>3.95E-2</v>
      </c>
      <c r="Z84" s="29">
        <v>3426.74</v>
      </c>
      <c r="AA84" s="29">
        <v>71.900000000000006</v>
      </c>
      <c r="AB84" s="9">
        <f t="shared" si="29"/>
        <v>3498.64</v>
      </c>
      <c r="AC84" s="9">
        <f t="shared" si="28"/>
        <v>22146.39</v>
      </c>
      <c r="AD84" s="9">
        <v>0.4</v>
      </c>
      <c r="AE84" s="9">
        <v>4.28</v>
      </c>
      <c r="AF84" s="21">
        <f>2.43-AJ84</f>
        <v>2.1800000000000002</v>
      </c>
      <c r="AG84" s="18">
        <f>0.54-AQ84</f>
        <v>0.43</v>
      </c>
      <c r="AH84" s="9">
        <v>2.78</v>
      </c>
      <c r="AI84" s="43">
        <v>883</v>
      </c>
      <c r="AJ84" s="21">
        <f t="shared" si="30"/>
        <v>0.25</v>
      </c>
      <c r="AK84" s="9">
        <v>0</v>
      </c>
      <c r="AL84" s="9">
        <v>0</v>
      </c>
      <c r="AM84" s="9">
        <v>0.27</v>
      </c>
      <c r="AN84" s="13"/>
      <c r="AO84" s="13">
        <v>801.6</v>
      </c>
      <c r="AP84" s="13">
        <f t="shared" si="53"/>
        <v>5.58</v>
      </c>
      <c r="AQ84" s="18">
        <f t="shared" si="31"/>
        <v>0.11</v>
      </c>
      <c r="AR84" s="9">
        <v>0.78</v>
      </c>
      <c r="AS84" s="9">
        <v>0.39</v>
      </c>
      <c r="AT84" s="9">
        <v>7.0000000000000007E-2</v>
      </c>
      <c r="AU84" s="9">
        <v>4.3</v>
      </c>
      <c r="AV84" s="9">
        <v>0.12</v>
      </c>
      <c r="AW84" s="9">
        <f>1.07+0.32+0.36</f>
        <v>1.75</v>
      </c>
      <c r="AX84" s="9">
        <f>1.47+0.51</f>
        <v>1.98</v>
      </c>
      <c r="AY84" s="120">
        <f t="shared" si="54"/>
        <v>20.09</v>
      </c>
      <c r="AZ84" s="13">
        <v>20.09</v>
      </c>
      <c r="BA84" s="13">
        <f t="shared" si="32"/>
        <v>0</v>
      </c>
      <c r="BB84" s="9">
        <f t="shared" si="33"/>
        <v>70287.679999999993</v>
      </c>
      <c r="BC84" s="9">
        <v>20.09</v>
      </c>
      <c r="BD84" s="10">
        <v>44409</v>
      </c>
      <c r="BE84" s="9">
        <f t="shared" si="34"/>
        <v>1399.46</v>
      </c>
      <c r="BF84" s="9">
        <f t="shared" si="35"/>
        <v>14974.18</v>
      </c>
      <c r="BG84" s="9">
        <f t="shared" si="36"/>
        <v>7627.04</v>
      </c>
      <c r="BH84" s="9">
        <f t="shared" si="37"/>
        <v>1504.42</v>
      </c>
      <c r="BI84" s="9">
        <f t="shared" si="38"/>
        <v>9726.2199999999993</v>
      </c>
      <c r="BJ84" s="9">
        <f t="shared" si="39"/>
        <v>874.66</v>
      </c>
      <c r="BK84" s="9">
        <f t="shared" si="40"/>
        <v>0</v>
      </c>
      <c r="BL84" s="9">
        <f t="shared" si="41"/>
        <v>0</v>
      </c>
      <c r="BM84" s="9">
        <f t="shared" si="42"/>
        <v>944.63</v>
      </c>
      <c r="BN84" s="9">
        <f t="shared" si="43"/>
        <v>384.85</v>
      </c>
      <c r="BO84" s="9">
        <f t="shared" si="44"/>
        <v>2728.94</v>
      </c>
      <c r="BP84" s="9">
        <f t="shared" si="45"/>
        <v>1364.47</v>
      </c>
      <c r="BQ84" s="9">
        <f t="shared" si="46"/>
        <v>244.9</v>
      </c>
      <c r="BR84" s="9">
        <f t="shared" si="47"/>
        <v>15044.15</v>
      </c>
      <c r="BS84" s="9">
        <f t="shared" si="48"/>
        <v>419.84</v>
      </c>
      <c r="BT84" s="9">
        <f t="shared" si="49"/>
        <v>6122.62</v>
      </c>
      <c r="BU84" s="9">
        <f t="shared" si="50"/>
        <v>6927.31</v>
      </c>
      <c r="BV84" s="17">
        <f t="shared" si="51"/>
        <v>70287.69</v>
      </c>
      <c r="BW84" s="17">
        <v>1.73</v>
      </c>
      <c r="BX84" s="17">
        <v>0.04</v>
      </c>
      <c r="BY84" s="17">
        <v>0.25</v>
      </c>
      <c r="BZ84" s="17">
        <v>0.05</v>
      </c>
      <c r="CA84" s="29">
        <v>6.33</v>
      </c>
      <c r="CB84" s="325"/>
      <c r="CC84" s="13">
        <v>17333.64</v>
      </c>
      <c r="CD84" s="13">
        <v>557.22</v>
      </c>
      <c r="CE84" s="13">
        <v>0</v>
      </c>
      <c r="CF84" s="13">
        <v>0</v>
      </c>
      <c r="CG84" s="13">
        <v>17.16</v>
      </c>
      <c r="CH84" s="13">
        <v>0</v>
      </c>
      <c r="CI84" s="13">
        <v>2264.5500000000002</v>
      </c>
      <c r="CJ84" s="13">
        <v>27684</v>
      </c>
      <c r="CK84" s="13">
        <v>1345.54</v>
      </c>
      <c r="CL84" s="13">
        <v>826118.76</v>
      </c>
      <c r="CM84" s="13">
        <v>19669.509999999998</v>
      </c>
      <c r="CN84" s="13">
        <v>0</v>
      </c>
      <c r="CO84" s="13">
        <v>0</v>
      </c>
      <c r="CP84" s="13">
        <v>822.48</v>
      </c>
      <c r="CQ84" s="13">
        <v>0</v>
      </c>
      <c r="CR84" s="13">
        <v>814750.83</v>
      </c>
      <c r="CS84" s="13">
        <v>20489.39</v>
      </c>
      <c r="CT84" s="13">
        <v>628.79999999999995</v>
      </c>
      <c r="CU84" s="13">
        <v>100.43</v>
      </c>
      <c r="CV84" s="13">
        <v>850.43</v>
      </c>
      <c r="CW84" s="13">
        <v>0</v>
      </c>
      <c r="CX84" s="13">
        <v>105983.81</v>
      </c>
      <c r="CY84" s="13">
        <v>-53.71</v>
      </c>
      <c r="CZ84" s="13">
        <v>-838.3</v>
      </c>
      <c r="DA84" s="13">
        <v>-133.75</v>
      </c>
      <c r="DB84" s="13">
        <v>52.09</v>
      </c>
      <c r="DC84" s="13"/>
      <c r="DD84" s="315">
        <v>846610.75</v>
      </c>
      <c r="DE84" s="317">
        <v>836819.88</v>
      </c>
      <c r="DF84" s="317">
        <v>98.84</v>
      </c>
      <c r="DG84" s="318">
        <v>105010.14</v>
      </c>
      <c r="DH84" s="310">
        <v>36006.239999999998</v>
      </c>
      <c r="DI84" s="310">
        <v>20592.36</v>
      </c>
      <c r="DJ84" s="312">
        <v>0</v>
      </c>
      <c r="DK84" s="362">
        <v>0</v>
      </c>
      <c r="DL84" s="362"/>
      <c r="DM84" s="362">
        <v>0</v>
      </c>
      <c r="DN84" s="362">
        <v>0</v>
      </c>
      <c r="DO84" s="362">
        <v>0</v>
      </c>
      <c r="DP84" s="362">
        <v>0</v>
      </c>
      <c r="DQ84" s="362">
        <v>0</v>
      </c>
      <c r="DR84" s="362"/>
      <c r="DS84" s="362">
        <v>0</v>
      </c>
      <c r="DT84" s="362"/>
      <c r="DU84" s="362">
        <v>0</v>
      </c>
      <c r="DV84" s="362">
        <v>0</v>
      </c>
      <c r="DW84" s="362">
        <v>0</v>
      </c>
      <c r="DX84" s="362">
        <v>0</v>
      </c>
      <c r="DY84" s="362">
        <v>0</v>
      </c>
      <c r="DZ84" s="375">
        <v>0</v>
      </c>
      <c r="EA84" s="362">
        <v>227238</v>
      </c>
      <c r="EB84" s="362">
        <v>10766.67</v>
      </c>
      <c r="EC84" s="362"/>
      <c r="ED84" s="362">
        <v>0</v>
      </c>
      <c r="EE84" s="362">
        <v>0</v>
      </c>
      <c r="EF84" s="362"/>
      <c r="EG84" s="362">
        <v>14052</v>
      </c>
      <c r="EH84" s="362">
        <v>33495</v>
      </c>
      <c r="EI84" s="362"/>
      <c r="EJ84" s="362">
        <v>21000</v>
      </c>
      <c r="EK84" s="362"/>
      <c r="EL84" s="362">
        <v>0</v>
      </c>
      <c r="EM84" s="362">
        <v>4472.9399999999996</v>
      </c>
      <c r="EN84" s="362">
        <v>0</v>
      </c>
      <c r="EO84" s="362">
        <v>0</v>
      </c>
      <c r="EP84" s="362">
        <v>216516</v>
      </c>
      <c r="EQ84" s="362">
        <v>13800</v>
      </c>
      <c r="ER84" s="362">
        <v>16380</v>
      </c>
      <c r="ES84" s="362">
        <v>11304</v>
      </c>
      <c r="ET84" s="362">
        <v>12826</v>
      </c>
      <c r="EU84" s="362">
        <v>0</v>
      </c>
      <c r="EV84" s="362">
        <v>91555.05</v>
      </c>
      <c r="EW84" s="362"/>
      <c r="EX84" s="202"/>
      <c r="EY84" s="202"/>
      <c r="EZ84" s="229"/>
      <c r="FA84" s="368">
        <v>20186.64</v>
      </c>
      <c r="FB84" s="368">
        <v>0</v>
      </c>
      <c r="FC84" s="368">
        <v>0</v>
      </c>
      <c r="FD84" s="368">
        <v>0</v>
      </c>
      <c r="FE84" s="368">
        <v>0</v>
      </c>
      <c r="FF84" s="368">
        <v>988.96</v>
      </c>
      <c r="FG84" s="368">
        <v>0</v>
      </c>
      <c r="FH84" s="368">
        <v>-921.09</v>
      </c>
      <c r="FI84" s="368">
        <v>0</v>
      </c>
      <c r="FJ84" s="368">
        <v>0</v>
      </c>
      <c r="FK84" s="368">
        <v>0</v>
      </c>
      <c r="FL84" s="368">
        <v>0</v>
      </c>
      <c r="FM84" s="368">
        <v>93536.35</v>
      </c>
      <c r="FN84" s="368">
        <v>59474.78</v>
      </c>
      <c r="FO84" s="323">
        <v>883015.39</v>
      </c>
      <c r="FP84" s="323">
        <v>20254.509999999998</v>
      </c>
      <c r="FQ84" s="323">
        <v>903269.9</v>
      </c>
      <c r="FR84" s="338">
        <v>95788.34</v>
      </c>
      <c r="FS84" s="338">
        <v>1057.81</v>
      </c>
      <c r="FT84" s="377">
        <v>96846.15</v>
      </c>
      <c r="FU84" s="377">
        <v>873400.95</v>
      </c>
      <c r="FV84" s="377">
        <v>22411.91</v>
      </c>
      <c r="FW84" s="362">
        <v>895812.86</v>
      </c>
      <c r="FX84" s="362">
        <v>859239.06</v>
      </c>
      <c r="FY84" s="362">
        <v>24320.720000000001</v>
      </c>
      <c r="FZ84" s="362">
        <v>883559.78</v>
      </c>
      <c r="GA84" s="362">
        <v>109950.23</v>
      </c>
      <c r="GB84" s="362">
        <v>-851</v>
      </c>
      <c r="GC84" s="362">
        <v>109099.23</v>
      </c>
      <c r="GD84" s="362">
        <v>81669.11</v>
      </c>
      <c r="GE84" s="362">
        <v>6432.32</v>
      </c>
      <c r="GF84" s="362">
        <v>88101.43</v>
      </c>
      <c r="GG84" s="202">
        <v>4089.09</v>
      </c>
      <c r="GH84" s="416">
        <v>97</v>
      </c>
      <c r="GI84" s="414">
        <v>2455</v>
      </c>
      <c r="GJ84" s="419">
        <v>17908.02</v>
      </c>
      <c r="GK84" s="396">
        <v>4089.09</v>
      </c>
      <c r="GL84" s="202">
        <v>3966.4173000000001</v>
      </c>
      <c r="GM84" s="202">
        <v>122.67270000000001</v>
      </c>
      <c r="GN84" s="323">
        <v>-9614.44</v>
      </c>
      <c r="GO84" s="323">
        <v>2157.4</v>
      </c>
      <c r="GP84" s="323">
        <v>-7457.04</v>
      </c>
      <c r="GQ84" s="323">
        <v>72054.67</v>
      </c>
      <c r="GR84" s="323">
        <v>8589.7199999999993</v>
      </c>
      <c r="GS84" s="323">
        <v>80644.39</v>
      </c>
    </row>
    <row r="85" spans="1:201" ht="12.75" customHeight="1" x14ac:dyDescent="0.2">
      <c r="A85" s="45" t="s">
        <v>139</v>
      </c>
      <c r="B85" s="123" t="s">
        <v>108</v>
      </c>
      <c r="C85" s="124" t="s">
        <v>119</v>
      </c>
      <c r="D85" s="388" t="s">
        <v>423</v>
      </c>
      <c r="E85" s="124" t="s">
        <v>12</v>
      </c>
      <c r="F85" s="11">
        <v>9</v>
      </c>
      <c r="G85" s="11">
        <v>2</v>
      </c>
      <c r="H85" s="11">
        <v>72</v>
      </c>
      <c r="I85" s="11">
        <v>73</v>
      </c>
      <c r="J85" s="11">
        <v>176</v>
      </c>
      <c r="K85" s="11">
        <v>184</v>
      </c>
      <c r="L85" s="83">
        <v>2</v>
      </c>
      <c r="M85" s="84">
        <v>639</v>
      </c>
      <c r="N85" s="84">
        <v>616</v>
      </c>
      <c r="O85" s="84">
        <v>0</v>
      </c>
      <c r="P85" s="135">
        <f>336.3+302.2</f>
        <v>638.5</v>
      </c>
      <c r="Q85" s="135">
        <v>619.20000000000005</v>
      </c>
      <c r="R85" s="133">
        <v>0</v>
      </c>
      <c r="S85" s="133">
        <f t="shared" si="52"/>
        <v>1257.7</v>
      </c>
      <c r="T85" s="134">
        <v>639</v>
      </c>
      <c r="U85" s="130">
        <v>2.44</v>
      </c>
      <c r="V85" s="131">
        <v>1.9800000000000002E-2</v>
      </c>
      <c r="W85" s="91">
        <v>1.9800000000000002E-2</v>
      </c>
      <c r="X85" s="132">
        <v>1.32E-3</v>
      </c>
      <c r="Y85" s="131">
        <v>3.9699999999999999E-2</v>
      </c>
      <c r="Z85" s="29">
        <v>3828.64</v>
      </c>
      <c r="AA85" s="29"/>
      <c r="AB85" s="9">
        <f t="shared" si="29"/>
        <v>3828.64</v>
      </c>
      <c r="AC85" s="9">
        <f t="shared" si="28"/>
        <v>24235.29</v>
      </c>
      <c r="AD85" s="9">
        <v>2.29</v>
      </c>
      <c r="AE85" s="9">
        <v>4.1399999999999997</v>
      </c>
      <c r="AF85" s="21">
        <f>2.48-AJ85</f>
        <v>2.33</v>
      </c>
      <c r="AG85" s="18">
        <f>0.62-AQ85</f>
        <v>0.56999999999999995</v>
      </c>
      <c r="AH85" s="9">
        <v>2.78</v>
      </c>
      <c r="AI85" s="43">
        <v>591</v>
      </c>
      <c r="AJ85" s="21">
        <f t="shared" si="30"/>
        <v>0.15</v>
      </c>
      <c r="AK85" s="9">
        <v>2.25</v>
      </c>
      <c r="AL85" s="9">
        <v>0.2</v>
      </c>
      <c r="AM85" s="9">
        <v>0.15</v>
      </c>
      <c r="AN85" s="13"/>
      <c r="AO85" s="13">
        <v>422.4</v>
      </c>
      <c r="AP85" s="13">
        <f t="shared" si="53"/>
        <v>5.58</v>
      </c>
      <c r="AQ85" s="18">
        <f t="shared" si="31"/>
        <v>0.05</v>
      </c>
      <c r="AR85" s="9">
        <v>0.59</v>
      </c>
      <c r="AS85" s="9">
        <v>0.36</v>
      </c>
      <c r="AT85" s="9">
        <v>7.0000000000000007E-2</v>
      </c>
      <c r="AU85" s="9">
        <v>3.85</v>
      </c>
      <c r="AV85" s="9">
        <v>0.17</v>
      </c>
      <c r="AW85" s="9">
        <f>1.43+0.34+0.27</f>
        <v>2.04</v>
      </c>
      <c r="AX85" s="9">
        <f>2.01+0.46</f>
        <v>2.4700000000000002</v>
      </c>
      <c r="AY85" s="126">
        <f t="shared" si="54"/>
        <v>24.46</v>
      </c>
      <c r="AZ85" s="13">
        <v>24.46</v>
      </c>
      <c r="BA85" s="13">
        <f t="shared" si="32"/>
        <v>0</v>
      </c>
      <c r="BB85" s="9">
        <f t="shared" si="33"/>
        <v>93648.53</v>
      </c>
      <c r="BC85" s="9">
        <v>24.46</v>
      </c>
      <c r="BD85" s="10">
        <v>44378</v>
      </c>
      <c r="BE85" s="9">
        <f t="shared" si="34"/>
        <v>8767.59</v>
      </c>
      <c r="BF85" s="9">
        <f t="shared" si="35"/>
        <v>15850.57</v>
      </c>
      <c r="BG85" s="9">
        <f t="shared" si="36"/>
        <v>8920.73</v>
      </c>
      <c r="BH85" s="9">
        <f t="shared" si="37"/>
        <v>2182.3200000000002</v>
      </c>
      <c r="BI85" s="9">
        <f t="shared" si="38"/>
        <v>10643.62</v>
      </c>
      <c r="BJ85" s="9">
        <f t="shared" si="39"/>
        <v>574.29999999999995</v>
      </c>
      <c r="BK85" s="9">
        <f t="shared" si="40"/>
        <v>8614.44</v>
      </c>
      <c r="BL85" s="9">
        <f t="shared" si="41"/>
        <v>765.73</v>
      </c>
      <c r="BM85" s="9">
        <f t="shared" si="42"/>
        <v>574.29999999999995</v>
      </c>
      <c r="BN85" s="9">
        <f t="shared" si="43"/>
        <v>191.43</v>
      </c>
      <c r="BO85" s="9">
        <f t="shared" si="44"/>
        <v>2258.9</v>
      </c>
      <c r="BP85" s="9">
        <f t="shared" si="45"/>
        <v>1378.31</v>
      </c>
      <c r="BQ85" s="9">
        <f t="shared" si="46"/>
        <v>268</v>
      </c>
      <c r="BR85" s="9">
        <f t="shared" si="47"/>
        <v>14740.26</v>
      </c>
      <c r="BS85" s="9">
        <f t="shared" si="48"/>
        <v>650.87</v>
      </c>
      <c r="BT85" s="9">
        <f t="shared" si="49"/>
        <v>7810.43</v>
      </c>
      <c r="BU85" s="9">
        <f t="shared" si="50"/>
        <v>9456.74</v>
      </c>
      <c r="BV85" s="17">
        <f t="shared" si="51"/>
        <v>93648.54</v>
      </c>
      <c r="BW85" s="17">
        <v>1.75</v>
      </c>
      <c r="BX85" s="17">
        <v>0.1</v>
      </c>
      <c r="BY85" s="17">
        <v>0.6</v>
      </c>
      <c r="BZ85" s="17">
        <v>0.11</v>
      </c>
      <c r="CA85" s="29">
        <v>6.33</v>
      </c>
      <c r="CB85" s="325"/>
      <c r="CC85" s="13">
        <v>0</v>
      </c>
      <c r="CD85" s="13">
        <v>0</v>
      </c>
      <c r="CE85" s="13">
        <v>0</v>
      </c>
      <c r="CF85" s="13">
        <v>0</v>
      </c>
      <c r="CG85" s="13">
        <v>0</v>
      </c>
      <c r="CH85" s="13">
        <v>0</v>
      </c>
      <c r="CI85" s="13">
        <v>2855.19</v>
      </c>
      <c r="CJ85" s="13">
        <v>34884</v>
      </c>
      <c r="CK85" s="13">
        <v>1472.17</v>
      </c>
      <c r="CL85" s="13">
        <v>1123704.2</v>
      </c>
      <c r="CM85" s="13">
        <v>95403.12</v>
      </c>
      <c r="CN85" s="13">
        <v>0</v>
      </c>
      <c r="CO85" s="13">
        <v>3981.51</v>
      </c>
      <c r="CP85" s="13">
        <v>4288.03</v>
      </c>
      <c r="CQ85" s="13">
        <v>0</v>
      </c>
      <c r="CR85" s="13">
        <v>1051907.6599999999</v>
      </c>
      <c r="CS85" s="13">
        <v>92611.7</v>
      </c>
      <c r="CT85" s="13">
        <v>1069.17</v>
      </c>
      <c r="CU85" s="13">
        <v>5775.76</v>
      </c>
      <c r="CV85" s="13">
        <v>4384.8500000000004</v>
      </c>
      <c r="CW85" s="13">
        <v>0</v>
      </c>
      <c r="CX85" s="13">
        <v>172080.37</v>
      </c>
      <c r="CY85" s="13">
        <v>11008.69</v>
      </c>
      <c r="CZ85" s="13">
        <v>-2854.83</v>
      </c>
      <c r="DA85" s="13">
        <v>1046.8</v>
      </c>
      <c r="DB85" s="13">
        <v>672.32</v>
      </c>
      <c r="DC85" s="13"/>
      <c r="DD85" s="315">
        <v>1227376.8600000001</v>
      </c>
      <c r="DE85" s="317">
        <v>1155749.1399999999</v>
      </c>
      <c r="DF85" s="317">
        <v>94.16</v>
      </c>
      <c r="DG85" s="318">
        <v>181953.35</v>
      </c>
      <c r="DH85" s="310">
        <v>40220.76</v>
      </c>
      <c r="DI85" s="310">
        <v>23002.68</v>
      </c>
      <c r="DJ85" s="312">
        <v>0</v>
      </c>
      <c r="DK85" s="362">
        <v>0</v>
      </c>
      <c r="DL85" s="362"/>
      <c r="DM85" s="362">
        <v>0</v>
      </c>
      <c r="DN85" s="362">
        <v>0</v>
      </c>
      <c r="DO85" s="362">
        <v>0</v>
      </c>
      <c r="DP85" s="362">
        <v>0</v>
      </c>
      <c r="DQ85" s="362">
        <v>0</v>
      </c>
      <c r="DR85" s="362"/>
      <c r="DS85" s="362">
        <v>0</v>
      </c>
      <c r="DT85" s="362"/>
      <c r="DU85" s="362">
        <v>0</v>
      </c>
      <c r="DV85" s="362">
        <v>0</v>
      </c>
      <c r="DW85" s="362">
        <v>102922.58</v>
      </c>
      <c r="DX85" s="362">
        <v>0</v>
      </c>
      <c r="DY85" s="362">
        <v>9000</v>
      </c>
      <c r="DZ85" s="375">
        <v>0</v>
      </c>
      <c r="EA85" s="362">
        <v>340212</v>
      </c>
      <c r="EB85" s="362">
        <v>5603</v>
      </c>
      <c r="EC85" s="362"/>
      <c r="ED85" s="362">
        <v>0</v>
      </c>
      <c r="EE85" s="362">
        <v>0</v>
      </c>
      <c r="EF85" s="362"/>
      <c r="EG85" s="362">
        <v>9402</v>
      </c>
      <c r="EH85" s="362">
        <v>1925</v>
      </c>
      <c r="EI85" s="362"/>
      <c r="EJ85" s="362">
        <v>0</v>
      </c>
      <c r="EK85" s="362"/>
      <c r="EL85" s="362">
        <v>281916</v>
      </c>
      <c r="EM85" s="362">
        <v>2356.98</v>
      </c>
      <c r="EN85" s="362">
        <v>0</v>
      </c>
      <c r="EO85" s="362">
        <v>0</v>
      </c>
      <c r="EP85" s="362">
        <v>0</v>
      </c>
      <c r="EQ85" s="362">
        <v>13800</v>
      </c>
      <c r="ER85" s="362">
        <v>16380</v>
      </c>
      <c r="ES85" s="362">
        <v>0</v>
      </c>
      <c r="ET85" s="362">
        <v>0</v>
      </c>
      <c r="EU85" s="362">
        <v>0</v>
      </c>
      <c r="EV85" s="362">
        <v>17001.71</v>
      </c>
      <c r="EW85" s="362"/>
      <c r="EX85" s="202"/>
      <c r="EY85" s="202"/>
      <c r="EZ85" s="229"/>
      <c r="FA85" s="368">
        <v>97819.85</v>
      </c>
      <c r="FB85" s="368">
        <v>0</v>
      </c>
      <c r="FC85" s="368">
        <v>0</v>
      </c>
      <c r="FD85" s="368">
        <v>0</v>
      </c>
      <c r="FE85" s="368">
        <v>5982.99</v>
      </c>
      <c r="FF85" s="368">
        <v>4557.75</v>
      </c>
      <c r="FG85" s="368">
        <v>0</v>
      </c>
      <c r="FH85" s="368">
        <v>-979.35</v>
      </c>
      <c r="FI85" s="368">
        <v>0</v>
      </c>
      <c r="FJ85" s="368">
        <v>0</v>
      </c>
      <c r="FK85" s="368">
        <v>563.44000000000005</v>
      </c>
      <c r="FL85" s="368">
        <v>0</v>
      </c>
      <c r="FM85" s="368">
        <v>102349.92</v>
      </c>
      <c r="FN85" s="368">
        <v>65078.68</v>
      </c>
      <c r="FO85" s="323">
        <v>1031171.31</v>
      </c>
      <c r="FP85" s="323">
        <v>107944.68</v>
      </c>
      <c r="FQ85" s="323">
        <v>1139115.99</v>
      </c>
      <c r="FR85" s="338">
        <v>113715.59</v>
      </c>
      <c r="FS85" s="338">
        <v>9194.65</v>
      </c>
      <c r="FT85" s="377">
        <v>122910.24</v>
      </c>
      <c r="FU85" s="377">
        <v>1161443.3899999999</v>
      </c>
      <c r="FV85" s="377">
        <v>105144.83</v>
      </c>
      <c r="FW85" s="362">
        <v>1266588.22</v>
      </c>
      <c r="FX85" s="362">
        <v>1103078.6100000001</v>
      </c>
      <c r="FY85" s="362">
        <v>104466.5</v>
      </c>
      <c r="FZ85" s="362">
        <v>1207545.1100000001</v>
      </c>
      <c r="GA85" s="362">
        <v>172080.37</v>
      </c>
      <c r="GB85" s="362">
        <v>9872.98</v>
      </c>
      <c r="GC85" s="362">
        <v>181953.35</v>
      </c>
      <c r="GD85" s="362">
        <v>86429.03</v>
      </c>
      <c r="GE85" s="362">
        <v>10465.780000000001</v>
      </c>
      <c r="GF85" s="362">
        <v>96894.81</v>
      </c>
      <c r="GG85" s="202"/>
      <c r="GH85" s="416"/>
      <c r="GI85" s="414">
        <v>2455</v>
      </c>
      <c r="GJ85" s="419">
        <v>0</v>
      </c>
      <c r="GK85" s="396"/>
      <c r="GL85" s="202">
        <v>0</v>
      </c>
      <c r="GM85" s="202">
        <v>0</v>
      </c>
      <c r="GN85" s="323">
        <v>130272.08</v>
      </c>
      <c r="GO85" s="323">
        <v>-2799.85</v>
      </c>
      <c r="GP85" s="323">
        <v>127472.23</v>
      </c>
      <c r="GQ85" s="323">
        <v>216701.11</v>
      </c>
      <c r="GR85" s="323">
        <v>7665.93</v>
      </c>
      <c r="GS85" s="323">
        <v>224367.04</v>
      </c>
    </row>
    <row r="86" spans="1:201" ht="12.75" customHeight="1" x14ac:dyDescent="0.2">
      <c r="A86" s="45" t="s">
        <v>141</v>
      </c>
      <c r="B86" s="141" t="s">
        <v>108</v>
      </c>
      <c r="C86" s="142" t="s">
        <v>119</v>
      </c>
      <c r="D86" s="388" t="s">
        <v>556</v>
      </c>
      <c r="E86" s="142" t="s">
        <v>9</v>
      </c>
      <c r="F86" s="11">
        <v>5</v>
      </c>
      <c r="G86" s="11">
        <v>3</v>
      </c>
      <c r="H86" s="11">
        <v>60</v>
      </c>
      <c r="I86" s="11">
        <v>60</v>
      </c>
      <c r="J86" s="11">
        <v>106</v>
      </c>
      <c r="K86" s="11">
        <v>121</v>
      </c>
      <c r="L86" s="11" t="s">
        <v>746</v>
      </c>
      <c r="M86" s="84">
        <v>209</v>
      </c>
      <c r="N86" s="84">
        <v>750</v>
      </c>
      <c r="O86" s="84">
        <v>0</v>
      </c>
      <c r="P86" s="135">
        <v>208.5</v>
      </c>
      <c r="Q86" s="135">
        <v>519.20000000000005</v>
      </c>
      <c r="R86" s="133">
        <v>0</v>
      </c>
      <c r="S86" s="133">
        <f t="shared" si="52"/>
        <v>727.7</v>
      </c>
      <c r="T86" s="134">
        <v>209</v>
      </c>
      <c r="U86" s="130">
        <v>1.53</v>
      </c>
      <c r="V86" s="131">
        <v>1.9800000000000002E-2</v>
      </c>
      <c r="W86" s="131">
        <v>1.9800000000000002E-2</v>
      </c>
      <c r="X86" s="132">
        <v>1.2199999999999999E-3</v>
      </c>
      <c r="Y86" s="131">
        <v>3.95E-2</v>
      </c>
      <c r="Z86" s="29">
        <v>2568.92</v>
      </c>
      <c r="AA86" s="29"/>
      <c r="AB86" s="9">
        <f t="shared" si="29"/>
        <v>2568.92</v>
      </c>
      <c r="AC86" s="9">
        <f t="shared" si="28"/>
        <v>16261.26</v>
      </c>
      <c r="AD86" s="9">
        <v>0.41</v>
      </c>
      <c r="AE86" s="9">
        <v>4.57</v>
      </c>
      <c r="AF86" s="21">
        <f>2.43-AJ86</f>
        <v>2.15</v>
      </c>
      <c r="AG86" s="18">
        <f>0.54-AQ86</f>
        <v>0.43</v>
      </c>
      <c r="AH86" s="9">
        <v>2.78</v>
      </c>
      <c r="AI86" s="43">
        <v>720</v>
      </c>
      <c r="AJ86" s="21">
        <f t="shared" si="30"/>
        <v>0.28000000000000003</v>
      </c>
      <c r="AK86" s="9">
        <v>0</v>
      </c>
      <c r="AL86" s="9">
        <v>0</v>
      </c>
      <c r="AM86" s="9">
        <v>0.22</v>
      </c>
      <c r="AN86" s="13"/>
      <c r="AO86" s="13">
        <v>601.20000000000005</v>
      </c>
      <c r="AP86" s="13">
        <f t="shared" si="53"/>
        <v>5.58</v>
      </c>
      <c r="AQ86" s="18">
        <f t="shared" si="31"/>
        <v>0.11</v>
      </c>
      <c r="AR86" s="9">
        <v>0.81</v>
      </c>
      <c r="AS86" s="9">
        <v>0.53</v>
      </c>
      <c r="AT86" s="9">
        <v>7.0000000000000007E-2</v>
      </c>
      <c r="AU86" s="9">
        <v>3.8</v>
      </c>
      <c r="AV86" s="9">
        <v>0.13</v>
      </c>
      <c r="AW86" s="9">
        <f>1.11+0.34+0.32</f>
        <v>1.77</v>
      </c>
      <c r="AX86" s="9">
        <f>1.52+0.45</f>
        <v>1.97</v>
      </c>
      <c r="AY86" s="144">
        <f t="shared" si="54"/>
        <v>20.03</v>
      </c>
      <c r="AZ86" s="13">
        <v>20.03</v>
      </c>
      <c r="BA86" s="13">
        <f t="shared" si="32"/>
        <v>0</v>
      </c>
      <c r="BB86" s="9">
        <f t="shared" si="33"/>
        <v>51455.47</v>
      </c>
      <c r="BC86" s="9">
        <v>20.03</v>
      </c>
      <c r="BD86" s="10">
        <v>44409</v>
      </c>
      <c r="BE86" s="9">
        <f t="shared" si="34"/>
        <v>1053.26</v>
      </c>
      <c r="BF86" s="9">
        <f t="shared" si="35"/>
        <v>11739.96</v>
      </c>
      <c r="BG86" s="9">
        <f t="shared" si="36"/>
        <v>5523.18</v>
      </c>
      <c r="BH86" s="9">
        <f t="shared" si="37"/>
        <v>1104.6400000000001</v>
      </c>
      <c r="BI86" s="9">
        <f t="shared" si="38"/>
        <v>7141.6</v>
      </c>
      <c r="BJ86" s="9">
        <f t="shared" si="39"/>
        <v>719.3</v>
      </c>
      <c r="BK86" s="9">
        <f t="shared" si="40"/>
        <v>0</v>
      </c>
      <c r="BL86" s="9">
        <f t="shared" si="41"/>
        <v>0</v>
      </c>
      <c r="BM86" s="9">
        <f t="shared" si="42"/>
        <v>565.16</v>
      </c>
      <c r="BN86" s="9">
        <f t="shared" si="43"/>
        <v>282.58</v>
      </c>
      <c r="BO86" s="9">
        <f t="shared" si="44"/>
        <v>2080.83</v>
      </c>
      <c r="BP86" s="9">
        <f t="shared" si="45"/>
        <v>1361.53</v>
      </c>
      <c r="BQ86" s="9">
        <f t="shared" si="46"/>
        <v>179.82</v>
      </c>
      <c r="BR86" s="9">
        <f t="shared" si="47"/>
        <v>9761.9</v>
      </c>
      <c r="BS86" s="9">
        <f t="shared" si="48"/>
        <v>333.96</v>
      </c>
      <c r="BT86" s="9">
        <f t="shared" si="49"/>
        <v>4546.99</v>
      </c>
      <c r="BU86" s="9">
        <f t="shared" si="50"/>
        <v>5060.7700000000004</v>
      </c>
      <c r="BV86" s="17">
        <f t="shared" si="51"/>
        <v>51455.48</v>
      </c>
      <c r="BW86" s="17">
        <v>1.74</v>
      </c>
      <c r="BX86" s="17">
        <v>0.05</v>
      </c>
      <c r="BY86" s="17">
        <v>0.27</v>
      </c>
      <c r="BZ86" s="17">
        <v>0.05</v>
      </c>
      <c r="CA86" s="29">
        <v>6.33</v>
      </c>
      <c r="CB86" s="325"/>
      <c r="CC86" s="13">
        <v>0</v>
      </c>
      <c r="CD86" s="13">
        <v>0</v>
      </c>
      <c r="CE86" s="13">
        <v>0</v>
      </c>
      <c r="CF86" s="13">
        <v>0</v>
      </c>
      <c r="CG86" s="13">
        <v>0</v>
      </c>
      <c r="CH86" s="13">
        <v>0</v>
      </c>
      <c r="CI86" s="13">
        <v>4263.4399999999996</v>
      </c>
      <c r="CJ86" s="13">
        <v>27684</v>
      </c>
      <c r="CK86" s="13">
        <v>987.98</v>
      </c>
      <c r="CL86" s="13">
        <v>617465.16</v>
      </c>
      <c r="CM86" s="13">
        <v>32676.58</v>
      </c>
      <c r="CN86" s="13">
        <v>8734.39</v>
      </c>
      <c r="CO86" s="13">
        <v>0</v>
      </c>
      <c r="CP86" s="13">
        <v>719.64</v>
      </c>
      <c r="CQ86" s="13">
        <v>0</v>
      </c>
      <c r="CR86" s="13">
        <v>579135.79</v>
      </c>
      <c r="CS86" s="13">
        <v>17701.27</v>
      </c>
      <c r="CT86" s="13">
        <v>8266.3799999999992</v>
      </c>
      <c r="CU86" s="13">
        <v>73.75</v>
      </c>
      <c r="CV86" s="13">
        <v>673.36</v>
      </c>
      <c r="CW86" s="13">
        <v>0</v>
      </c>
      <c r="CX86" s="13">
        <v>115906.06</v>
      </c>
      <c r="CY86" s="13">
        <v>1155.42</v>
      </c>
      <c r="CZ86" s="13">
        <v>355.3</v>
      </c>
      <c r="DA86" s="13">
        <v>-110.51</v>
      </c>
      <c r="DB86" s="13">
        <v>101.7</v>
      </c>
      <c r="DC86" s="13"/>
      <c r="DD86" s="315">
        <v>659595.77</v>
      </c>
      <c r="DE86" s="317">
        <v>605850.55000000005</v>
      </c>
      <c r="DF86" s="317">
        <v>91.85</v>
      </c>
      <c r="DG86" s="318">
        <v>117407.97</v>
      </c>
      <c r="DH86" s="310">
        <v>26992.799999999999</v>
      </c>
      <c r="DI86" s="310">
        <v>15437.4</v>
      </c>
      <c r="DJ86" s="312">
        <v>0</v>
      </c>
      <c r="DK86" s="362">
        <v>0</v>
      </c>
      <c r="DL86" s="362"/>
      <c r="DM86" s="362">
        <v>0</v>
      </c>
      <c r="DN86" s="362">
        <v>0</v>
      </c>
      <c r="DO86" s="362">
        <v>0</v>
      </c>
      <c r="DP86" s="362">
        <v>0</v>
      </c>
      <c r="DQ86" s="362">
        <v>0</v>
      </c>
      <c r="DR86" s="362"/>
      <c r="DS86" s="362">
        <v>0</v>
      </c>
      <c r="DT86" s="362"/>
      <c r="DU86" s="362">
        <v>0</v>
      </c>
      <c r="DV86" s="362">
        <v>0</v>
      </c>
      <c r="DW86" s="362">
        <v>0</v>
      </c>
      <c r="DX86" s="362">
        <v>0</v>
      </c>
      <c r="DY86" s="362">
        <v>0</v>
      </c>
      <c r="DZ86" s="375">
        <v>0</v>
      </c>
      <c r="EA86" s="362">
        <v>178002</v>
      </c>
      <c r="EB86" s="362">
        <v>5603</v>
      </c>
      <c r="EC86" s="362"/>
      <c r="ED86" s="362">
        <v>0</v>
      </c>
      <c r="EE86" s="362">
        <v>0</v>
      </c>
      <c r="EF86" s="362"/>
      <c r="EG86" s="362">
        <v>11460</v>
      </c>
      <c r="EH86" s="362">
        <v>26670</v>
      </c>
      <c r="EI86" s="362"/>
      <c r="EJ86" s="362">
        <v>14080</v>
      </c>
      <c r="EK86" s="362"/>
      <c r="EL86" s="362">
        <v>186138</v>
      </c>
      <c r="EM86" s="362">
        <v>3354.69</v>
      </c>
      <c r="EN86" s="362">
        <v>0</v>
      </c>
      <c r="EO86" s="362">
        <v>0</v>
      </c>
      <c r="EP86" s="362">
        <v>0</v>
      </c>
      <c r="EQ86" s="362">
        <v>13800</v>
      </c>
      <c r="ER86" s="362">
        <v>13650</v>
      </c>
      <c r="ES86" s="362">
        <v>6924</v>
      </c>
      <c r="ET86" s="362">
        <v>9699</v>
      </c>
      <c r="EU86" s="362">
        <v>0</v>
      </c>
      <c r="EV86" s="362">
        <v>55511.92</v>
      </c>
      <c r="EW86" s="362"/>
      <c r="EX86" s="202"/>
      <c r="EY86" s="202"/>
      <c r="EZ86" s="229"/>
      <c r="FA86" s="368">
        <v>33622.839999999997</v>
      </c>
      <c r="FB86" s="368">
        <v>8714.7900000000009</v>
      </c>
      <c r="FC86" s="368">
        <v>0</v>
      </c>
      <c r="FD86" s="368">
        <v>0</v>
      </c>
      <c r="FE86" s="368">
        <v>0</v>
      </c>
      <c r="FF86" s="368">
        <v>743.52</v>
      </c>
      <c r="FG86" s="368">
        <v>0</v>
      </c>
      <c r="FH86" s="368">
        <v>-676.78</v>
      </c>
      <c r="FI86" s="368">
        <v>0</v>
      </c>
      <c r="FJ86" s="368">
        <v>0</v>
      </c>
      <c r="FK86" s="368">
        <v>10845.2</v>
      </c>
      <c r="FL86" s="368">
        <v>0</v>
      </c>
      <c r="FM86" s="368">
        <v>68680.23</v>
      </c>
      <c r="FN86" s="368">
        <v>43670.09</v>
      </c>
      <c r="FO86" s="323">
        <v>679673.13</v>
      </c>
      <c r="FP86" s="323">
        <v>53249.57</v>
      </c>
      <c r="FQ86" s="323">
        <v>732922.7</v>
      </c>
      <c r="FR86" s="338">
        <v>69137.72</v>
      </c>
      <c r="FS86" s="338">
        <v>40.380000000000003</v>
      </c>
      <c r="FT86" s="377">
        <v>69178.100000000006</v>
      </c>
      <c r="FU86" s="377">
        <v>649412.6</v>
      </c>
      <c r="FV86" s="377">
        <v>43118.59</v>
      </c>
      <c r="FW86" s="362">
        <v>692531.19</v>
      </c>
      <c r="FX86" s="362">
        <v>602644.26</v>
      </c>
      <c r="FY86" s="362">
        <v>41657.06</v>
      </c>
      <c r="FZ86" s="362">
        <v>644301.31999999995</v>
      </c>
      <c r="GA86" s="362">
        <v>115906.06</v>
      </c>
      <c r="GB86" s="362">
        <v>1501.91</v>
      </c>
      <c r="GC86" s="362">
        <v>117407.97</v>
      </c>
      <c r="GD86" s="362">
        <v>37725.35</v>
      </c>
      <c r="GE86" s="362">
        <v>5338.86</v>
      </c>
      <c r="GF86" s="362">
        <v>43064.21</v>
      </c>
      <c r="GG86" s="202"/>
      <c r="GH86" s="416"/>
      <c r="GI86" s="414">
        <v>2455</v>
      </c>
      <c r="GJ86" s="419">
        <v>0</v>
      </c>
      <c r="GK86" s="396"/>
      <c r="GL86" s="202">
        <v>0</v>
      </c>
      <c r="GM86" s="202">
        <v>0</v>
      </c>
      <c r="GN86" s="323">
        <v>-30260.53</v>
      </c>
      <c r="GO86" s="323">
        <v>-10130.98</v>
      </c>
      <c r="GP86" s="323">
        <v>-40391.51</v>
      </c>
      <c r="GQ86" s="323">
        <v>7464.82</v>
      </c>
      <c r="GR86" s="323">
        <v>-4792.12</v>
      </c>
      <c r="GS86" s="323">
        <v>2672.7</v>
      </c>
    </row>
    <row r="87" spans="1:201" ht="12.75" customHeight="1" x14ac:dyDescent="0.2">
      <c r="A87" s="45" t="s">
        <v>143</v>
      </c>
      <c r="B87" s="117" t="s">
        <v>108</v>
      </c>
      <c r="C87" s="118" t="s">
        <v>122</v>
      </c>
      <c r="D87" s="388" t="s">
        <v>698</v>
      </c>
      <c r="E87" s="118" t="s">
        <v>19</v>
      </c>
      <c r="F87" s="11">
        <v>5</v>
      </c>
      <c r="G87" s="11">
        <v>6</v>
      </c>
      <c r="H87" s="11">
        <v>90</v>
      </c>
      <c r="I87" s="11">
        <v>0</v>
      </c>
      <c r="J87" s="11">
        <v>197</v>
      </c>
      <c r="K87" s="11">
        <v>233</v>
      </c>
      <c r="L87" s="11" t="s">
        <v>746</v>
      </c>
      <c r="M87" s="84">
        <v>415</v>
      </c>
      <c r="N87" s="84">
        <v>1151</v>
      </c>
      <c r="O87" s="84">
        <v>0</v>
      </c>
      <c r="P87" s="135">
        <v>414.5</v>
      </c>
      <c r="Q87" s="135">
        <v>417.3</v>
      </c>
      <c r="R87" s="133">
        <v>0</v>
      </c>
      <c r="S87" s="133">
        <f t="shared" si="52"/>
        <v>831.8</v>
      </c>
      <c r="T87" s="134">
        <v>415</v>
      </c>
      <c r="U87" s="130">
        <v>1.53</v>
      </c>
      <c r="V87" s="131">
        <v>1.9800000000000002E-2</v>
      </c>
      <c r="W87" s="131">
        <v>1.9800000000000002E-2</v>
      </c>
      <c r="X87" s="132">
        <v>1.2199999999999999E-3</v>
      </c>
      <c r="Y87" s="131">
        <v>3.95E-2</v>
      </c>
      <c r="Z87" s="29">
        <v>3986.97</v>
      </c>
      <c r="AA87" s="29"/>
      <c r="AB87" s="9">
        <f t="shared" si="29"/>
        <v>3986.97</v>
      </c>
      <c r="AC87" s="9">
        <f t="shared" si="28"/>
        <v>25237.52</v>
      </c>
      <c r="AD87" s="9">
        <v>0.52</v>
      </c>
      <c r="AE87" s="9">
        <v>5.1100000000000003</v>
      </c>
      <c r="AF87" s="21">
        <f>2.49-AJ87</f>
        <v>2.21</v>
      </c>
      <c r="AG87" s="18">
        <f>0.56-AQ87</f>
        <v>0.45</v>
      </c>
      <c r="AH87" s="9">
        <v>2.78</v>
      </c>
      <c r="AI87" s="43">
        <v>1105</v>
      </c>
      <c r="AJ87" s="21">
        <f t="shared" si="30"/>
        <v>0.28000000000000003</v>
      </c>
      <c r="AK87" s="9">
        <v>0</v>
      </c>
      <c r="AL87" s="9">
        <v>0</v>
      </c>
      <c r="AM87" s="9">
        <v>0</v>
      </c>
      <c r="AN87" s="13"/>
      <c r="AO87" s="13">
        <v>901.8</v>
      </c>
      <c r="AP87" s="13">
        <f t="shared" si="53"/>
        <v>5.58</v>
      </c>
      <c r="AQ87" s="18">
        <f t="shared" si="31"/>
        <v>0.11</v>
      </c>
      <c r="AR87" s="9">
        <v>0.79</v>
      </c>
      <c r="AS87" s="9">
        <v>0.34</v>
      </c>
      <c r="AT87" s="9">
        <v>7.0000000000000007E-2</v>
      </c>
      <c r="AU87" s="9">
        <v>3.34</v>
      </c>
      <c r="AV87" s="9">
        <v>0.12</v>
      </c>
      <c r="AW87" s="9">
        <f>1.13+0.32+0.42</f>
        <v>1.87</v>
      </c>
      <c r="AX87" s="9">
        <f>1.55+0.56</f>
        <v>2.11</v>
      </c>
      <c r="AY87" s="120">
        <f t="shared" si="54"/>
        <v>20.100000000000001</v>
      </c>
      <c r="AZ87" s="13">
        <v>20.100000000000001</v>
      </c>
      <c r="BA87" s="13">
        <f t="shared" si="32"/>
        <v>0</v>
      </c>
      <c r="BB87" s="9">
        <f t="shared" si="33"/>
        <v>80138.100000000006</v>
      </c>
      <c r="BC87" s="9">
        <v>20.100000000000001</v>
      </c>
      <c r="BD87" s="10">
        <v>44409</v>
      </c>
      <c r="BE87" s="9">
        <f t="shared" si="34"/>
        <v>2073.2199999999998</v>
      </c>
      <c r="BF87" s="9">
        <f t="shared" si="35"/>
        <v>20373.419999999998</v>
      </c>
      <c r="BG87" s="9">
        <f t="shared" si="36"/>
        <v>8811.2000000000007</v>
      </c>
      <c r="BH87" s="9">
        <f t="shared" si="37"/>
        <v>1794.14</v>
      </c>
      <c r="BI87" s="9">
        <f t="shared" si="38"/>
        <v>11083.78</v>
      </c>
      <c r="BJ87" s="9">
        <f t="shared" si="39"/>
        <v>1116.3499999999999</v>
      </c>
      <c r="BK87" s="9">
        <f t="shared" si="40"/>
        <v>0</v>
      </c>
      <c r="BL87" s="9">
        <f t="shared" si="41"/>
        <v>0</v>
      </c>
      <c r="BM87" s="9">
        <f t="shared" si="42"/>
        <v>0</v>
      </c>
      <c r="BN87" s="9">
        <f t="shared" si="43"/>
        <v>438.57</v>
      </c>
      <c r="BO87" s="9">
        <f t="shared" si="44"/>
        <v>3149.71</v>
      </c>
      <c r="BP87" s="9">
        <f t="shared" si="45"/>
        <v>1355.57</v>
      </c>
      <c r="BQ87" s="9">
        <f t="shared" si="46"/>
        <v>279.08999999999997</v>
      </c>
      <c r="BR87" s="9">
        <f t="shared" si="47"/>
        <v>13316.48</v>
      </c>
      <c r="BS87" s="9">
        <f t="shared" si="48"/>
        <v>478.44</v>
      </c>
      <c r="BT87" s="9">
        <f t="shared" si="49"/>
        <v>7455.63</v>
      </c>
      <c r="BU87" s="9">
        <f t="shared" si="50"/>
        <v>8412.51</v>
      </c>
      <c r="BV87" s="17">
        <f t="shared" si="51"/>
        <v>80138.11</v>
      </c>
      <c r="BW87" s="17">
        <v>0.64</v>
      </c>
      <c r="BX87" s="17">
        <v>0.06</v>
      </c>
      <c r="BY87" s="17">
        <v>0.35</v>
      </c>
      <c r="BZ87" s="17">
        <v>0.06</v>
      </c>
      <c r="CA87" s="29">
        <v>6.33</v>
      </c>
      <c r="CB87" s="325"/>
      <c r="CC87" s="13">
        <v>0</v>
      </c>
      <c r="CD87" s="13">
        <v>0</v>
      </c>
      <c r="CE87" s="13">
        <v>0</v>
      </c>
      <c r="CF87" s="13">
        <v>0</v>
      </c>
      <c r="CG87" s="13">
        <v>0</v>
      </c>
      <c r="CH87" s="13">
        <v>0</v>
      </c>
      <c r="CI87" s="13">
        <v>2596.37</v>
      </c>
      <c r="CJ87" s="13">
        <v>33780</v>
      </c>
      <c r="CK87" s="13">
        <v>1533.34</v>
      </c>
      <c r="CL87" s="13">
        <v>961659.81</v>
      </c>
      <c r="CM87" s="13">
        <v>39989.800000000003</v>
      </c>
      <c r="CN87" s="13">
        <v>25756.27</v>
      </c>
      <c r="CO87" s="13">
        <v>2871.24</v>
      </c>
      <c r="CP87" s="13">
        <v>2871.24</v>
      </c>
      <c r="CQ87" s="13">
        <v>0</v>
      </c>
      <c r="CR87" s="13">
        <v>883359.66</v>
      </c>
      <c r="CS87" s="13">
        <v>38199.79</v>
      </c>
      <c r="CT87" s="13">
        <v>21230.03</v>
      </c>
      <c r="CU87" s="13">
        <v>2561.0300000000002</v>
      </c>
      <c r="CV87" s="13">
        <v>2637.5</v>
      </c>
      <c r="CW87" s="13">
        <v>0</v>
      </c>
      <c r="CX87" s="13">
        <v>149869.82</v>
      </c>
      <c r="CY87" s="13">
        <v>5673.13</v>
      </c>
      <c r="CZ87" s="13">
        <v>-82.14</v>
      </c>
      <c r="DA87" s="13">
        <v>447.36</v>
      </c>
      <c r="DB87" s="13">
        <v>447.38</v>
      </c>
      <c r="DC87" s="13"/>
      <c r="DD87" s="315">
        <v>1033148.36</v>
      </c>
      <c r="DE87" s="317">
        <v>947988.01</v>
      </c>
      <c r="DF87" s="317">
        <v>91.76</v>
      </c>
      <c r="DG87" s="318">
        <v>156355.54999999999</v>
      </c>
      <c r="DH87" s="310">
        <v>41894.160000000003</v>
      </c>
      <c r="DI87" s="310">
        <v>23959.68</v>
      </c>
      <c r="DJ87" s="312">
        <v>0</v>
      </c>
      <c r="DK87" s="362">
        <v>0</v>
      </c>
      <c r="DL87" s="362"/>
      <c r="DM87" s="362">
        <v>0</v>
      </c>
      <c r="DN87" s="362">
        <v>0</v>
      </c>
      <c r="DO87" s="362">
        <v>0</v>
      </c>
      <c r="DP87" s="362">
        <v>0</v>
      </c>
      <c r="DQ87" s="362">
        <v>0</v>
      </c>
      <c r="DR87" s="362"/>
      <c r="DS87" s="362">
        <v>0</v>
      </c>
      <c r="DT87" s="362"/>
      <c r="DU87" s="362">
        <v>0</v>
      </c>
      <c r="DV87" s="362">
        <v>0</v>
      </c>
      <c r="DW87" s="362">
        <v>0</v>
      </c>
      <c r="DX87" s="362">
        <v>0</v>
      </c>
      <c r="DY87" s="362">
        <v>0</v>
      </c>
      <c r="DZ87" s="375">
        <v>0</v>
      </c>
      <c r="EA87" s="362">
        <v>311490</v>
      </c>
      <c r="EB87" s="362">
        <v>7667</v>
      </c>
      <c r="EC87" s="362"/>
      <c r="ED87" s="362">
        <v>0</v>
      </c>
      <c r="EE87" s="362">
        <v>0</v>
      </c>
      <c r="EF87" s="362"/>
      <c r="EG87" s="362">
        <v>17586</v>
      </c>
      <c r="EH87" s="362">
        <v>64365</v>
      </c>
      <c r="EI87" s="362"/>
      <c r="EJ87" s="362">
        <v>30840</v>
      </c>
      <c r="EK87" s="362"/>
      <c r="EL87" s="362">
        <v>0</v>
      </c>
      <c r="EM87" s="362">
        <v>5032.05</v>
      </c>
      <c r="EN87" s="362">
        <v>0</v>
      </c>
      <c r="EO87" s="362">
        <v>0</v>
      </c>
      <c r="EP87" s="362">
        <v>251124</v>
      </c>
      <c r="EQ87" s="362">
        <v>13800</v>
      </c>
      <c r="ER87" s="362">
        <v>16380</v>
      </c>
      <c r="ES87" s="362">
        <v>0</v>
      </c>
      <c r="ET87" s="362">
        <v>14628</v>
      </c>
      <c r="EU87" s="362">
        <v>0</v>
      </c>
      <c r="EV87" s="362">
        <v>18753</v>
      </c>
      <c r="EW87" s="362"/>
      <c r="EX87" s="202"/>
      <c r="EY87" s="202"/>
      <c r="EZ87" s="229"/>
      <c r="FA87" s="368">
        <v>40009.089999999997</v>
      </c>
      <c r="FB87" s="368">
        <v>31090.33</v>
      </c>
      <c r="FC87" s="368">
        <v>0</v>
      </c>
      <c r="FD87" s="368">
        <v>0</v>
      </c>
      <c r="FE87" s="368">
        <v>2752.46</v>
      </c>
      <c r="FF87" s="368">
        <v>2945.12</v>
      </c>
      <c r="FG87" s="368">
        <v>0</v>
      </c>
      <c r="FH87" s="368">
        <v>-1020.07</v>
      </c>
      <c r="FI87" s="368">
        <v>0</v>
      </c>
      <c r="FJ87" s="368">
        <v>0</v>
      </c>
      <c r="FK87" s="368">
        <v>7088.31</v>
      </c>
      <c r="FL87" s="368">
        <v>0</v>
      </c>
      <c r="FM87" s="368">
        <v>106591.89</v>
      </c>
      <c r="FN87" s="368">
        <v>67776.100000000006</v>
      </c>
      <c r="FO87" s="323">
        <v>991886.88</v>
      </c>
      <c r="FP87" s="323">
        <v>82865.240000000005</v>
      </c>
      <c r="FQ87" s="323">
        <v>1074752.1200000001</v>
      </c>
      <c r="FR87" s="338">
        <v>79674.33</v>
      </c>
      <c r="FS87" s="338">
        <v>2637.4</v>
      </c>
      <c r="FT87" s="377">
        <v>82311.73</v>
      </c>
      <c r="FU87" s="377">
        <v>998036.18</v>
      </c>
      <c r="FV87" s="377">
        <v>73021.89</v>
      </c>
      <c r="FW87" s="362">
        <v>1071058.07</v>
      </c>
      <c r="FX87" s="362">
        <v>927840.69</v>
      </c>
      <c r="FY87" s="362">
        <v>69173.56</v>
      </c>
      <c r="FZ87" s="362">
        <v>997014.25</v>
      </c>
      <c r="GA87" s="362">
        <v>149869.82</v>
      </c>
      <c r="GB87" s="362">
        <v>6485.73</v>
      </c>
      <c r="GC87" s="362">
        <v>156355.54999999999</v>
      </c>
      <c r="GD87" s="362">
        <v>68965.17</v>
      </c>
      <c r="GE87" s="362">
        <v>10617.66</v>
      </c>
      <c r="GF87" s="362">
        <v>79582.83</v>
      </c>
      <c r="GG87" s="202"/>
      <c r="GH87" s="416"/>
      <c r="GI87" s="414">
        <v>2963</v>
      </c>
      <c r="GJ87" s="419">
        <v>0</v>
      </c>
      <c r="GK87" s="396"/>
      <c r="GL87" s="202">
        <v>0</v>
      </c>
      <c r="GM87" s="202">
        <v>0</v>
      </c>
      <c r="GN87" s="323">
        <v>6149.3</v>
      </c>
      <c r="GO87" s="323">
        <v>-9843.35</v>
      </c>
      <c r="GP87" s="323">
        <v>-3694.05</v>
      </c>
      <c r="GQ87" s="323">
        <v>75114.47</v>
      </c>
      <c r="GR87" s="323">
        <v>774.31</v>
      </c>
      <c r="GS87" s="323">
        <v>75888.78</v>
      </c>
    </row>
    <row r="88" spans="1:201" ht="12.75" customHeight="1" x14ac:dyDescent="0.2">
      <c r="A88" s="45" t="s">
        <v>145</v>
      </c>
      <c r="B88" s="141" t="s">
        <v>108</v>
      </c>
      <c r="C88" s="142" t="s">
        <v>124</v>
      </c>
      <c r="D88" s="388" t="s">
        <v>424</v>
      </c>
      <c r="E88" s="142" t="s">
        <v>12</v>
      </c>
      <c r="F88" s="11">
        <v>5</v>
      </c>
      <c r="G88" s="11">
        <v>6</v>
      </c>
      <c r="H88" s="11">
        <v>90</v>
      </c>
      <c r="I88" s="11">
        <v>90</v>
      </c>
      <c r="J88" s="11">
        <v>162</v>
      </c>
      <c r="K88" s="11">
        <v>195</v>
      </c>
      <c r="L88" s="11" t="s">
        <v>746</v>
      </c>
      <c r="M88" s="84">
        <v>412</v>
      </c>
      <c r="N88" s="84">
        <v>616</v>
      </c>
      <c r="O88" s="84">
        <v>0</v>
      </c>
      <c r="P88" s="135">
        <v>412</v>
      </c>
      <c r="Q88" s="135">
        <v>253.6</v>
      </c>
      <c r="R88" s="133">
        <v>0</v>
      </c>
      <c r="S88" s="133">
        <f t="shared" si="52"/>
        <v>665.6</v>
      </c>
      <c r="T88" s="134">
        <v>412</v>
      </c>
      <c r="U88" s="130">
        <v>1.53</v>
      </c>
      <c r="V88" s="131">
        <v>1.9800000000000002E-2</v>
      </c>
      <c r="W88" s="131">
        <v>1.9800000000000002E-2</v>
      </c>
      <c r="X88" s="132">
        <v>1.2199999999999999E-3</v>
      </c>
      <c r="Y88" s="131">
        <v>3.95E-2</v>
      </c>
      <c r="Z88" s="29">
        <v>3955.64</v>
      </c>
      <c r="AA88" s="29">
        <v>448.1</v>
      </c>
      <c r="AB88" s="9">
        <f t="shared" si="29"/>
        <v>4403.74</v>
      </c>
      <c r="AC88" s="9">
        <f t="shared" si="28"/>
        <v>27875.67</v>
      </c>
      <c r="AD88" s="9">
        <v>0.45</v>
      </c>
      <c r="AE88" s="9">
        <v>3.81</v>
      </c>
      <c r="AF88" s="21">
        <f>2.45-AJ88</f>
        <v>2.17</v>
      </c>
      <c r="AG88" s="18">
        <f>0.55-AQ88</f>
        <v>0.45</v>
      </c>
      <c r="AH88" s="9">
        <v>2.78</v>
      </c>
      <c r="AI88" s="43">
        <v>1213</v>
      </c>
      <c r="AJ88" s="21">
        <f t="shared" si="30"/>
        <v>0.28000000000000003</v>
      </c>
      <c r="AK88" s="9">
        <v>0</v>
      </c>
      <c r="AL88" s="9">
        <v>0</v>
      </c>
      <c r="AM88" s="9">
        <v>0.13</v>
      </c>
      <c r="AN88" s="13"/>
      <c r="AO88" s="13">
        <v>901.8</v>
      </c>
      <c r="AP88" s="13">
        <f t="shared" si="53"/>
        <v>5.58</v>
      </c>
      <c r="AQ88" s="18">
        <f t="shared" si="31"/>
        <v>0.1</v>
      </c>
      <c r="AR88" s="9">
        <v>0.72</v>
      </c>
      <c r="AS88" s="9">
        <v>0.31</v>
      </c>
      <c r="AT88" s="9">
        <v>7.0000000000000007E-2</v>
      </c>
      <c r="AU88" s="9">
        <v>4.8899999999999997</v>
      </c>
      <c r="AV88" s="9">
        <v>0.12</v>
      </c>
      <c r="AW88" s="9">
        <f>1.01+0.32+0.42</f>
        <v>1.75</v>
      </c>
      <c r="AX88" s="9">
        <f>1.38+0.58</f>
        <v>1.96</v>
      </c>
      <c r="AY88" s="144">
        <f t="shared" si="54"/>
        <v>19.989999999999998</v>
      </c>
      <c r="AZ88" s="13">
        <v>19.989999999999998</v>
      </c>
      <c r="BA88" s="13">
        <f t="shared" si="32"/>
        <v>0</v>
      </c>
      <c r="BB88" s="9">
        <f t="shared" si="33"/>
        <v>88030.76</v>
      </c>
      <c r="BC88" s="9">
        <v>19.989999999999998</v>
      </c>
      <c r="BD88" s="10">
        <v>44409</v>
      </c>
      <c r="BE88" s="9">
        <f t="shared" si="34"/>
        <v>1981.68</v>
      </c>
      <c r="BF88" s="9">
        <f t="shared" si="35"/>
        <v>16778.25</v>
      </c>
      <c r="BG88" s="9">
        <f t="shared" si="36"/>
        <v>9556.1200000000008</v>
      </c>
      <c r="BH88" s="9">
        <f t="shared" si="37"/>
        <v>1981.68</v>
      </c>
      <c r="BI88" s="9">
        <f t="shared" si="38"/>
        <v>12242.4</v>
      </c>
      <c r="BJ88" s="9">
        <f t="shared" si="39"/>
        <v>1233.05</v>
      </c>
      <c r="BK88" s="9">
        <f t="shared" si="40"/>
        <v>0</v>
      </c>
      <c r="BL88" s="9">
        <f t="shared" si="41"/>
        <v>0</v>
      </c>
      <c r="BM88" s="9">
        <f t="shared" si="42"/>
        <v>572.49</v>
      </c>
      <c r="BN88" s="9">
        <f t="shared" si="43"/>
        <v>440.37</v>
      </c>
      <c r="BO88" s="9">
        <f t="shared" si="44"/>
        <v>3170.69</v>
      </c>
      <c r="BP88" s="9">
        <f t="shared" si="45"/>
        <v>1365.16</v>
      </c>
      <c r="BQ88" s="9">
        <f t="shared" si="46"/>
        <v>308.26</v>
      </c>
      <c r="BR88" s="9">
        <f t="shared" si="47"/>
        <v>21534.29</v>
      </c>
      <c r="BS88" s="9">
        <f t="shared" si="48"/>
        <v>528.45000000000005</v>
      </c>
      <c r="BT88" s="9">
        <f t="shared" si="49"/>
        <v>7706.55</v>
      </c>
      <c r="BU88" s="9">
        <f t="shared" si="50"/>
        <v>8631.33</v>
      </c>
      <c r="BV88" s="17">
        <f t="shared" si="51"/>
        <v>88030.77</v>
      </c>
      <c r="BW88" s="17">
        <v>0.93</v>
      </c>
      <c r="BX88" s="17">
        <v>0.05</v>
      </c>
      <c r="BY88" s="17">
        <v>0.31</v>
      </c>
      <c r="BZ88" s="17">
        <v>0.06</v>
      </c>
      <c r="CA88" s="29">
        <v>6.33</v>
      </c>
      <c r="CB88" s="325"/>
      <c r="CC88" s="13">
        <v>99252.44</v>
      </c>
      <c r="CD88" s="13">
        <v>-526.38</v>
      </c>
      <c r="CE88" s="13">
        <v>3195.44</v>
      </c>
      <c r="CF88" s="13">
        <v>342.59</v>
      </c>
      <c r="CG88" s="13">
        <v>264.8</v>
      </c>
      <c r="CH88" s="13">
        <v>0</v>
      </c>
      <c r="CI88" s="13">
        <v>4987.45</v>
      </c>
      <c r="CJ88" s="13">
        <v>38856</v>
      </c>
      <c r="CK88" s="13">
        <v>1693.36</v>
      </c>
      <c r="CL88" s="13">
        <v>942848.27</v>
      </c>
      <c r="CM88" s="13">
        <v>52412.04</v>
      </c>
      <c r="CN88" s="13">
        <v>32486.37</v>
      </c>
      <c r="CO88" s="13">
        <v>2360.25</v>
      </c>
      <c r="CP88" s="13">
        <v>2556.73</v>
      </c>
      <c r="CQ88" s="13">
        <v>0</v>
      </c>
      <c r="CR88" s="13">
        <v>914280.45</v>
      </c>
      <c r="CS88" s="13">
        <v>50711.15</v>
      </c>
      <c r="CT88" s="13">
        <v>20017.84</v>
      </c>
      <c r="CU88" s="13">
        <v>2220.2399999999998</v>
      </c>
      <c r="CV88" s="13">
        <v>2452.5300000000002</v>
      </c>
      <c r="CW88" s="13">
        <v>0</v>
      </c>
      <c r="CX88" s="13">
        <v>132083.67000000001</v>
      </c>
      <c r="CY88" s="13">
        <v>16068.35</v>
      </c>
      <c r="CZ88" s="13">
        <v>1482.44</v>
      </c>
      <c r="DA88" s="13">
        <v>330.87</v>
      </c>
      <c r="DB88" s="13">
        <v>367.34</v>
      </c>
      <c r="DC88" s="13"/>
      <c r="DD88" s="315">
        <v>1032663.66</v>
      </c>
      <c r="DE88" s="317">
        <v>989682.21</v>
      </c>
      <c r="DF88" s="317">
        <v>95.84</v>
      </c>
      <c r="DG88" s="318">
        <v>150332.67000000001</v>
      </c>
      <c r="DH88" s="310">
        <v>41555.4</v>
      </c>
      <c r="DI88" s="310">
        <v>23766</v>
      </c>
      <c r="DJ88" s="312">
        <v>0</v>
      </c>
      <c r="DK88" s="362">
        <v>0</v>
      </c>
      <c r="DL88" s="362"/>
      <c r="DM88" s="362">
        <v>0</v>
      </c>
      <c r="DN88" s="362">
        <v>0</v>
      </c>
      <c r="DO88" s="362">
        <v>0</v>
      </c>
      <c r="DP88" s="362">
        <v>0</v>
      </c>
      <c r="DQ88" s="362">
        <v>0</v>
      </c>
      <c r="DR88" s="362"/>
      <c r="DS88" s="362">
        <v>0</v>
      </c>
      <c r="DT88" s="362"/>
      <c r="DU88" s="362">
        <v>0</v>
      </c>
      <c r="DV88" s="362">
        <v>0</v>
      </c>
      <c r="DW88" s="362">
        <v>0</v>
      </c>
      <c r="DX88" s="362">
        <v>0</v>
      </c>
      <c r="DY88" s="362">
        <v>0</v>
      </c>
      <c r="DZ88" s="375">
        <v>0</v>
      </c>
      <c r="EA88" s="362">
        <v>258210</v>
      </c>
      <c r="EB88" s="362">
        <v>10233</v>
      </c>
      <c r="EC88" s="362"/>
      <c r="ED88" s="362">
        <v>0</v>
      </c>
      <c r="EE88" s="362">
        <v>0</v>
      </c>
      <c r="EF88" s="362"/>
      <c r="EG88" s="362">
        <v>19302</v>
      </c>
      <c r="EH88" s="362">
        <v>61215</v>
      </c>
      <c r="EI88" s="362"/>
      <c r="EJ88" s="362">
        <v>28000</v>
      </c>
      <c r="EK88" s="362"/>
      <c r="EL88" s="362">
        <v>316692</v>
      </c>
      <c r="EM88" s="362">
        <v>5032.05</v>
      </c>
      <c r="EN88" s="362">
        <v>0</v>
      </c>
      <c r="EO88" s="362">
        <v>0</v>
      </c>
      <c r="EP88" s="362">
        <v>0</v>
      </c>
      <c r="EQ88" s="362">
        <v>13800</v>
      </c>
      <c r="ER88" s="362">
        <v>16380</v>
      </c>
      <c r="ES88" s="362">
        <v>0</v>
      </c>
      <c r="ET88" s="362">
        <v>14575</v>
      </c>
      <c r="EU88" s="362">
        <v>0</v>
      </c>
      <c r="EV88" s="362">
        <v>126955.38</v>
      </c>
      <c r="EW88" s="362"/>
      <c r="EX88" s="202"/>
      <c r="EY88" s="202"/>
      <c r="EZ88" s="229"/>
      <c r="FA88" s="368">
        <v>58421.26</v>
      </c>
      <c r="FB88" s="368">
        <v>38558.870000000003</v>
      </c>
      <c r="FC88" s="368">
        <v>0</v>
      </c>
      <c r="FD88" s="368">
        <v>0</v>
      </c>
      <c r="FE88" s="368">
        <v>2732.52</v>
      </c>
      <c r="FF88" s="368">
        <v>2923.83</v>
      </c>
      <c r="FG88" s="368">
        <v>0</v>
      </c>
      <c r="FH88" s="368">
        <v>-1126.5</v>
      </c>
      <c r="FI88" s="368">
        <v>0</v>
      </c>
      <c r="FJ88" s="368">
        <v>0</v>
      </c>
      <c r="FK88" s="368">
        <v>7833.46</v>
      </c>
      <c r="FL88" s="368">
        <v>0</v>
      </c>
      <c r="FM88" s="368">
        <v>117725.71</v>
      </c>
      <c r="FN88" s="368">
        <v>74855.28</v>
      </c>
      <c r="FO88" s="323">
        <v>1128296.82</v>
      </c>
      <c r="FP88" s="323">
        <v>109343.44</v>
      </c>
      <c r="FQ88" s="323">
        <v>1237640.26</v>
      </c>
      <c r="FR88" s="338">
        <v>118733.23</v>
      </c>
      <c r="FS88" s="338">
        <v>8471.24</v>
      </c>
      <c r="FT88" s="377">
        <v>127204.47</v>
      </c>
      <c r="FU88" s="377">
        <v>1085944.1599999999</v>
      </c>
      <c r="FV88" s="377">
        <v>94785.2</v>
      </c>
      <c r="FW88" s="362">
        <v>1180729.3600000001</v>
      </c>
      <c r="FX88" s="362">
        <v>1040539.13</v>
      </c>
      <c r="FY88" s="362">
        <v>84016.06</v>
      </c>
      <c r="FZ88" s="362">
        <v>1124555.19</v>
      </c>
      <c r="GA88" s="362">
        <v>164138.26</v>
      </c>
      <c r="GB88" s="362">
        <v>19240.38</v>
      </c>
      <c r="GC88" s="362">
        <v>183378.64</v>
      </c>
      <c r="GD88" s="362">
        <v>124893.51</v>
      </c>
      <c r="GE88" s="362">
        <v>7377.16</v>
      </c>
      <c r="GF88" s="362">
        <v>132270.67000000001</v>
      </c>
      <c r="GG88" s="202">
        <v>33045.97</v>
      </c>
      <c r="GH88" s="416">
        <v>97</v>
      </c>
      <c r="GI88" s="414">
        <v>3894</v>
      </c>
      <c r="GJ88" s="419">
        <v>102528.89</v>
      </c>
      <c r="GK88" s="396">
        <v>33045.97</v>
      </c>
      <c r="GL88" s="202">
        <v>32054.590899999999</v>
      </c>
      <c r="GM88" s="202">
        <v>991.37910000000204</v>
      </c>
      <c r="GN88" s="323">
        <v>-42352.66</v>
      </c>
      <c r="GO88" s="323">
        <v>-14558.24</v>
      </c>
      <c r="GP88" s="323">
        <v>-56910.9</v>
      </c>
      <c r="GQ88" s="323">
        <v>82540.850000000006</v>
      </c>
      <c r="GR88" s="323">
        <v>-7181.08</v>
      </c>
      <c r="GS88" s="323">
        <v>75359.77</v>
      </c>
    </row>
    <row r="89" spans="1:201" ht="12.75" customHeight="1" x14ac:dyDescent="0.2">
      <c r="A89" s="45" t="s">
        <v>147</v>
      </c>
      <c r="B89" s="141" t="s">
        <v>108</v>
      </c>
      <c r="C89" s="142" t="s">
        <v>124</v>
      </c>
      <c r="D89" s="388" t="s">
        <v>557</v>
      </c>
      <c r="E89" s="142" t="s">
        <v>9</v>
      </c>
      <c r="F89" s="11">
        <v>5</v>
      </c>
      <c r="G89" s="11">
        <v>3</v>
      </c>
      <c r="H89" s="11">
        <v>60</v>
      </c>
      <c r="I89" s="11">
        <v>60</v>
      </c>
      <c r="J89" s="11">
        <v>99</v>
      </c>
      <c r="K89" s="11">
        <v>116</v>
      </c>
      <c r="L89" s="11" t="s">
        <v>746</v>
      </c>
      <c r="M89" s="84">
        <v>207</v>
      </c>
      <c r="N89" s="84">
        <v>750</v>
      </c>
      <c r="O89" s="84">
        <v>0</v>
      </c>
      <c r="P89" s="135">
        <v>207</v>
      </c>
      <c r="Q89" s="135">
        <v>525</v>
      </c>
      <c r="R89" s="133">
        <v>0</v>
      </c>
      <c r="S89" s="133">
        <f t="shared" si="52"/>
        <v>732</v>
      </c>
      <c r="T89" s="134">
        <v>207</v>
      </c>
      <c r="U89" s="130">
        <v>1.53</v>
      </c>
      <c r="V89" s="131">
        <v>1.9800000000000002E-2</v>
      </c>
      <c r="W89" s="131">
        <v>1.9800000000000002E-2</v>
      </c>
      <c r="X89" s="132">
        <v>1.2199999999999999E-3</v>
      </c>
      <c r="Y89" s="131">
        <v>3.95E-2</v>
      </c>
      <c r="Z89" s="29">
        <v>2553.1799999999998</v>
      </c>
      <c r="AA89" s="29"/>
      <c r="AB89" s="9">
        <f t="shared" si="29"/>
        <v>2553.1799999999998</v>
      </c>
      <c r="AC89" s="9">
        <f t="shared" si="28"/>
        <v>16161.63</v>
      </c>
      <c r="AD89" s="9">
        <v>0.4</v>
      </c>
      <c r="AE89" s="9">
        <v>4.53</v>
      </c>
      <c r="AF89" s="21">
        <f>2.44-AJ89</f>
        <v>2.16</v>
      </c>
      <c r="AG89" s="18">
        <f>0.54-AQ89</f>
        <v>0.43</v>
      </c>
      <c r="AH89" s="9">
        <v>2.78</v>
      </c>
      <c r="AI89" s="43">
        <v>720</v>
      </c>
      <c r="AJ89" s="21">
        <f t="shared" si="30"/>
        <v>0.28000000000000003</v>
      </c>
      <c r="AK89" s="9">
        <v>0</v>
      </c>
      <c r="AL89" s="9">
        <v>0</v>
      </c>
      <c r="AM89" s="9">
        <v>0.22</v>
      </c>
      <c r="AN89" s="13"/>
      <c r="AO89" s="13">
        <v>601.20000000000005</v>
      </c>
      <c r="AP89" s="13">
        <f t="shared" si="53"/>
        <v>5.58</v>
      </c>
      <c r="AQ89" s="18">
        <f t="shared" si="31"/>
        <v>0.11</v>
      </c>
      <c r="AR89" s="9">
        <v>0.81</v>
      </c>
      <c r="AS89" s="9">
        <v>0.53</v>
      </c>
      <c r="AT89" s="9">
        <v>7.0000000000000007E-2</v>
      </c>
      <c r="AU89" s="9">
        <v>3.8</v>
      </c>
      <c r="AV89" s="9">
        <v>0.13</v>
      </c>
      <c r="AW89" s="9">
        <f>1.1+0.34+0.32</f>
        <v>1.76</v>
      </c>
      <c r="AX89" s="9">
        <f>1.52+0.45</f>
        <v>1.97</v>
      </c>
      <c r="AY89" s="144">
        <f t="shared" si="54"/>
        <v>19.98</v>
      </c>
      <c r="AZ89" s="13">
        <v>19.98</v>
      </c>
      <c r="BA89" s="13">
        <f t="shared" si="32"/>
        <v>0</v>
      </c>
      <c r="BB89" s="9">
        <f t="shared" si="33"/>
        <v>51012.54</v>
      </c>
      <c r="BC89" s="9">
        <v>19.98</v>
      </c>
      <c r="BD89" s="10">
        <v>44378</v>
      </c>
      <c r="BE89" s="9">
        <f t="shared" si="34"/>
        <v>1021.27</v>
      </c>
      <c r="BF89" s="9">
        <f t="shared" si="35"/>
        <v>11565.91</v>
      </c>
      <c r="BG89" s="9">
        <f t="shared" si="36"/>
        <v>5514.87</v>
      </c>
      <c r="BH89" s="9">
        <f t="shared" si="37"/>
        <v>1097.8699999999999</v>
      </c>
      <c r="BI89" s="9">
        <f t="shared" si="38"/>
        <v>7097.84</v>
      </c>
      <c r="BJ89" s="9">
        <f t="shared" si="39"/>
        <v>714.89</v>
      </c>
      <c r="BK89" s="9">
        <f t="shared" si="40"/>
        <v>0</v>
      </c>
      <c r="BL89" s="9">
        <f t="shared" si="41"/>
        <v>0</v>
      </c>
      <c r="BM89" s="9">
        <f t="shared" si="42"/>
        <v>561.70000000000005</v>
      </c>
      <c r="BN89" s="9">
        <f t="shared" si="43"/>
        <v>280.85000000000002</v>
      </c>
      <c r="BO89" s="9">
        <f t="shared" si="44"/>
        <v>2068.08</v>
      </c>
      <c r="BP89" s="9">
        <f t="shared" si="45"/>
        <v>1353.19</v>
      </c>
      <c r="BQ89" s="9">
        <f t="shared" si="46"/>
        <v>178.72</v>
      </c>
      <c r="BR89" s="9">
        <f t="shared" si="47"/>
        <v>9702.08</v>
      </c>
      <c r="BS89" s="9">
        <f t="shared" si="48"/>
        <v>331.91</v>
      </c>
      <c r="BT89" s="9">
        <f t="shared" si="49"/>
        <v>4493.6000000000004</v>
      </c>
      <c r="BU89" s="9">
        <f t="shared" si="50"/>
        <v>5029.76</v>
      </c>
      <c r="BV89" s="17">
        <f t="shared" si="51"/>
        <v>51012.54</v>
      </c>
      <c r="BW89" s="17">
        <v>1.76</v>
      </c>
      <c r="BX89" s="17">
        <v>0.05</v>
      </c>
      <c r="BY89" s="17">
        <v>0.27</v>
      </c>
      <c r="BZ89" s="17">
        <v>0.05</v>
      </c>
      <c r="CA89" s="29">
        <v>6.33</v>
      </c>
      <c r="CB89" s="325"/>
      <c r="CC89" s="13">
        <v>0</v>
      </c>
      <c r="CD89" s="13">
        <v>0</v>
      </c>
      <c r="CE89" s="13">
        <v>0</v>
      </c>
      <c r="CF89" s="13">
        <v>0</v>
      </c>
      <c r="CG89" s="13">
        <v>0</v>
      </c>
      <c r="CH89" s="13">
        <v>0</v>
      </c>
      <c r="CI89" s="13">
        <v>2534.9299999999998</v>
      </c>
      <c r="CJ89" s="13">
        <v>21588</v>
      </c>
      <c r="CK89" s="13">
        <v>981.93</v>
      </c>
      <c r="CL89" s="13">
        <v>612150.12</v>
      </c>
      <c r="CM89" s="13">
        <v>0</v>
      </c>
      <c r="CN89" s="13">
        <v>31795.51</v>
      </c>
      <c r="CO89" s="13">
        <v>440.34</v>
      </c>
      <c r="CP89" s="13">
        <v>1003.68</v>
      </c>
      <c r="CQ89" s="13">
        <v>0</v>
      </c>
      <c r="CR89" s="13">
        <v>563298.03</v>
      </c>
      <c r="CS89" s="13">
        <v>2311.63</v>
      </c>
      <c r="CT89" s="13">
        <v>20957.77</v>
      </c>
      <c r="CU89" s="13">
        <v>1049.48</v>
      </c>
      <c r="CV89" s="13">
        <v>1054.49</v>
      </c>
      <c r="CW89" s="13">
        <v>0</v>
      </c>
      <c r="CX89" s="13">
        <v>129712.21</v>
      </c>
      <c r="CY89" s="13">
        <v>-5232.57</v>
      </c>
      <c r="CZ89" s="13">
        <v>4837.6899999999996</v>
      </c>
      <c r="DA89" s="13">
        <v>89.62</v>
      </c>
      <c r="DB89" s="13">
        <v>167.02</v>
      </c>
      <c r="DC89" s="13"/>
      <c r="DD89" s="315">
        <v>645389.65</v>
      </c>
      <c r="DE89" s="317">
        <v>588671.4</v>
      </c>
      <c r="DF89" s="317">
        <v>91.21</v>
      </c>
      <c r="DG89" s="318">
        <v>129573.97</v>
      </c>
      <c r="DH89" s="310">
        <v>26827.32</v>
      </c>
      <c r="DI89" s="310">
        <v>15342.84</v>
      </c>
      <c r="DJ89" s="312">
        <v>0</v>
      </c>
      <c r="DK89" s="362">
        <v>0</v>
      </c>
      <c r="DL89" s="362"/>
      <c r="DM89" s="362">
        <v>0</v>
      </c>
      <c r="DN89" s="362">
        <v>0</v>
      </c>
      <c r="DO89" s="362">
        <v>0</v>
      </c>
      <c r="DP89" s="362">
        <v>0</v>
      </c>
      <c r="DQ89" s="362">
        <v>0</v>
      </c>
      <c r="DR89" s="362"/>
      <c r="DS89" s="362">
        <v>0</v>
      </c>
      <c r="DT89" s="362"/>
      <c r="DU89" s="362">
        <v>0</v>
      </c>
      <c r="DV89" s="362">
        <v>0</v>
      </c>
      <c r="DW89" s="362">
        <v>0</v>
      </c>
      <c r="DX89" s="362">
        <v>0</v>
      </c>
      <c r="DY89" s="362">
        <v>0</v>
      </c>
      <c r="DZ89" s="375">
        <v>0</v>
      </c>
      <c r="EA89" s="362">
        <v>176244</v>
      </c>
      <c r="EB89" s="362">
        <v>5603</v>
      </c>
      <c r="EC89" s="362"/>
      <c r="ED89" s="362">
        <v>0</v>
      </c>
      <c r="EE89" s="362">
        <v>0</v>
      </c>
      <c r="EF89" s="362"/>
      <c r="EG89" s="362">
        <v>11460</v>
      </c>
      <c r="EH89" s="362">
        <v>21280</v>
      </c>
      <c r="EI89" s="362"/>
      <c r="EJ89" s="362">
        <v>10560</v>
      </c>
      <c r="EK89" s="362"/>
      <c r="EL89" s="362">
        <v>186138</v>
      </c>
      <c r="EM89" s="362">
        <v>3354.69</v>
      </c>
      <c r="EN89" s="362">
        <v>0</v>
      </c>
      <c r="EO89" s="362">
        <v>0</v>
      </c>
      <c r="EP89" s="362">
        <v>0</v>
      </c>
      <c r="EQ89" s="362">
        <v>13800</v>
      </c>
      <c r="ER89" s="362">
        <v>16380</v>
      </c>
      <c r="ES89" s="362">
        <v>5193</v>
      </c>
      <c r="ET89" s="362">
        <v>9699</v>
      </c>
      <c r="EU89" s="362">
        <v>0</v>
      </c>
      <c r="EV89" s="362">
        <v>18657.400000000001</v>
      </c>
      <c r="EW89" s="362"/>
      <c r="EX89" s="202"/>
      <c r="EY89" s="202"/>
      <c r="EZ89" s="229"/>
      <c r="FA89" s="368">
        <v>0</v>
      </c>
      <c r="FB89" s="368">
        <v>31918.48</v>
      </c>
      <c r="FC89" s="368">
        <v>0</v>
      </c>
      <c r="FD89" s="368">
        <v>0</v>
      </c>
      <c r="FE89" s="368">
        <v>5519.48</v>
      </c>
      <c r="FF89" s="368">
        <v>3689.25</v>
      </c>
      <c r="FG89" s="368">
        <v>0</v>
      </c>
      <c r="FH89" s="368">
        <v>-672.56</v>
      </c>
      <c r="FI89" s="368">
        <v>0</v>
      </c>
      <c r="FJ89" s="368">
        <v>0</v>
      </c>
      <c r="FK89" s="368">
        <v>942.06</v>
      </c>
      <c r="FL89" s="368">
        <v>0</v>
      </c>
      <c r="FM89" s="368">
        <v>68259.42</v>
      </c>
      <c r="FN89" s="368">
        <v>43402.53</v>
      </c>
      <c r="FO89" s="323">
        <v>632201.19999999995</v>
      </c>
      <c r="FP89" s="323">
        <v>41396.71</v>
      </c>
      <c r="FQ89" s="323">
        <v>673597.91</v>
      </c>
      <c r="FR89" s="338">
        <v>77148.92</v>
      </c>
      <c r="FS89" s="338">
        <v>-2990.13</v>
      </c>
      <c r="FT89" s="377">
        <v>74158.789999999994</v>
      </c>
      <c r="FU89" s="377">
        <v>636273.05000000005</v>
      </c>
      <c r="FV89" s="377">
        <v>34221.46</v>
      </c>
      <c r="FW89" s="362">
        <v>670494.51</v>
      </c>
      <c r="FX89" s="362">
        <v>583709.76</v>
      </c>
      <c r="FY89" s="362">
        <v>31369.57</v>
      </c>
      <c r="FZ89" s="362">
        <v>615079.32999999996</v>
      </c>
      <c r="GA89" s="362">
        <v>129712.21</v>
      </c>
      <c r="GB89" s="362">
        <v>-138.24</v>
      </c>
      <c r="GC89" s="362">
        <v>129573.97</v>
      </c>
      <c r="GD89" s="362">
        <v>65659.460000000006</v>
      </c>
      <c r="GE89" s="362">
        <v>6262.57</v>
      </c>
      <c r="GF89" s="362">
        <v>71922.03</v>
      </c>
      <c r="GG89" s="202"/>
      <c r="GH89" s="416"/>
      <c r="GI89" s="414">
        <v>1947</v>
      </c>
      <c r="GJ89" s="419">
        <v>0</v>
      </c>
      <c r="GK89" s="396"/>
      <c r="GL89" s="202">
        <v>0</v>
      </c>
      <c r="GM89" s="202">
        <v>0</v>
      </c>
      <c r="GN89" s="323">
        <v>4071.85</v>
      </c>
      <c r="GO89" s="323">
        <v>-7175.25</v>
      </c>
      <c r="GP89" s="323">
        <v>-3103.4</v>
      </c>
      <c r="GQ89" s="323">
        <v>69731.31</v>
      </c>
      <c r="GR89" s="323">
        <v>-912.68</v>
      </c>
      <c r="GS89" s="323">
        <v>68818.63</v>
      </c>
    </row>
    <row r="90" spans="1:201" ht="12.75" customHeight="1" x14ac:dyDescent="0.2">
      <c r="A90" s="45" t="s">
        <v>149</v>
      </c>
      <c r="B90" s="117" t="s">
        <v>108</v>
      </c>
      <c r="C90" s="118" t="s">
        <v>127</v>
      </c>
      <c r="D90" s="388" t="s">
        <v>558</v>
      </c>
      <c r="E90" s="118" t="s">
        <v>9</v>
      </c>
      <c r="F90" s="11">
        <v>5</v>
      </c>
      <c r="G90" s="11">
        <v>4</v>
      </c>
      <c r="H90" s="11">
        <v>80</v>
      </c>
      <c r="I90" s="11">
        <v>0</v>
      </c>
      <c r="J90" s="11">
        <v>165</v>
      </c>
      <c r="K90" s="11">
        <v>200</v>
      </c>
      <c r="L90" s="11" t="s">
        <v>746</v>
      </c>
      <c r="M90" s="84">
        <v>221</v>
      </c>
      <c r="N90" s="84">
        <v>989</v>
      </c>
      <c r="O90" s="84">
        <v>0</v>
      </c>
      <c r="P90" s="135">
        <v>220.8</v>
      </c>
      <c r="Q90" s="135">
        <v>718</v>
      </c>
      <c r="R90" s="133">
        <v>0</v>
      </c>
      <c r="S90" s="133">
        <f t="shared" si="52"/>
        <v>938.8</v>
      </c>
      <c r="T90" s="134">
        <v>256.8</v>
      </c>
      <c r="U90" s="130">
        <v>1.53</v>
      </c>
      <c r="V90" s="131">
        <v>1.9800000000000002E-2</v>
      </c>
      <c r="W90" s="131">
        <v>1.9800000000000002E-2</v>
      </c>
      <c r="X90" s="132">
        <v>1.2199999999999999E-3</v>
      </c>
      <c r="Y90" s="131">
        <v>3.95E-2</v>
      </c>
      <c r="Z90" s="29">
        <v>3525.58</v>
      </c>
      <c r="AA90" s="29"/>
      <c r="AB90" s="9">
        <f t="shared" si="29"/>
        <v>3525.58</v>
      </c>
      <c r="AC90" s="9">
        <f t="shared" si="28"/>
        <v>22316.92</v>
      </c>
      <c r="AD90" s="9">
        <v>0.39</v>
      </c>
      <c r="AE90" s="9">
        <v>5.1100000000000003</v>
      </c>
      <c r="AF90" s="21">
        <f>2.44-AJ90</f>
        <v>2.17</v>
      </c>
      <c r="AG90" s="18">
        <f>0.54-AQ90</f>
        <v>0.43</v>
      </c>
      <c r="AH90" s="9">
        <v>2.78</v>
      </c>
      <c r="AI90" s="43">
        <v>949</v>
      </c>
      <c r="AJ90" s="21">
        <f t="shared" si="30"/>
        <v>0.27</v>
      </c>
      <c r="AK90" s="9">
        <v>0</v>
      </c>
      <c r="AL90" s="9">
        <v>0</v>
      </c>
      <c r="AM90" s="9">
        <v>0</v>
      </c>
      <c r="AN90" s="13"/>
      <c r="AO90" s="13">
        <v>801.6</v>
      </c>
      <c r="AP90" s="13">
        <f t="shared" si="53"/>
        <v>5.58</v>
      </c>
      <c r="AQ90" s="18">
        <f t="shared" si="31"/>
        <v>0.11</v>
      </c>
      <c r="AR90" s="9">
        <v>0.78</v>
      </c>
      <c r="AS90" s="9">
        <v>0.39</v>
      </c>
      <c r="AT90" s="9">
        <v>7.0000000000000007E-2</v>
      </c>
      <c r="AU90" s="9">
        <v>3.34</v>
      </c>
      <c r="AV90" s="9">
        <v>0.13</v>
      </c>
      <c r="AW90" s="9">
        <f>1.12+0.32+0.29</f>
        <v>1.73</v>
      </c>
      <c r="AX90" s="9">
        <f>1.53+0.39</f>
        <v>1.92</v>
      </c>
      <c r="AY90" s="120">
        <f t="shared" si="54"/>
        <v>19.62</v>
      </c>
      <c r="AZ90" s="13">
        <v>19.62</v>
      </c>
      <c r="BA90" s="13">
        <f t="shared" si="32"/>
        <v>0</v>
      </c>
      <c r="BB90" s="9">
        <f t="shared" si="33"/>
        <v>69171.88</v>
      </c>
      <c r="BC90" s="9">
        <v>19.62</v>
      </c>
      <c r="BD90" s="10">
        <v>44409</v>
      </c>
      <c r="BE90" s="9">
        <f t="shared" si="34"/>
        <v>1374.98</v>
      </c>
      <c r="BF90" s="9">
        <f t="shared" si="35"/>
        <v>18015.71</v>
      </c>
      <c r="BG90" s="9">
        <f t="shared" si="36"/>
        <v>7650.51</v>
      </c>
      <c r="BH90" s="9">
        <f t="shared" si="37"/>
        <v>1516</v>
      </c>
      <c r="BI90" s="9">
        <f t="shared" si="38"/>
        <v>9801.11</v>
      </c>
      <c r="BJ90" s="9">
        <f t="shared" si="39"/>
        <v>951.91</v>
      </c>
      <c r="BK90" s="9">
        <f t="shared" si="40"/>
        <v>0</v>
      </c>
      <c r="BL90" s="9">
        <f t="shared" si="41"/>
        <v>0</v>
      </c>
      <c r="BM90" s="9">
        <f t="shared" si="42"/>
        <v>0</v>
      </c>
      <c r="BN90" s="9">
        <f t="shared" si="43"/>
        <v>387.81</v>
      </c>
      <c r="BO90" s="9">
        <f t="shared" si="44"/>
        <v>2749.95</v>
      </c>
      <c r="BP90" s="9">
        <f t="shared" si="45"/>
        <v>1374.98</v>
      </c>
      <c r="BQ90" s="9">
        <f t="shared" si="46"/>
        <v>246.79</v>
      </c>
      <c r="BR90" s="9">
        <f t="shared" si="47"/>
        <v>11775.44</v>
      </c>
      <c r="BS90" s="9">
        <f t="shared" si="48"/>
        <v>458.33</v>
      </c>
      <c r="BT90" s="9">
        <f t="shared" si="49"/>
        <v>6099.25</v>
      </c>
      <c r="BU90" s="9">
        <f t="shared" si="50"/>
        <v>6769.11</v>
      </c>
      <c r="BV90" s="17">
        <f t="shared" si="51"/>
        <v>69171.88</v>
      </c>
      <c r="BW90" s="17">
        <v>1.64</v>
      </c>
      <c r="BX90" s="17">
        <v>0.04</v>
      </c>
      <c r="BY90" s="17">
        <v>0.21</v>
      </c>
      <c r="BZ90" s="17">
        <v>0.04</v>
      </c>
      <c r="CA90" s="29">
        <v>6.33</v>
      </c>
      <c r="CB90" s="325"/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H90" s="13">
        <v>0</v>
      </c>
      <c r="CI90" s="13">
        <v>4070.4</v>
      </c>
      <c r="CJ90" s="13">
        <v>27684</v>
      </c>
      <c r="CK90" s="13">
        <v>1355.9</v>
      </c>
      <c r="CL90" s="13">
        <v>830062.44</v>
      </c>
      <c r="CM90" s="13">
        <v>21858.7</v>
      </c>
      <c r="CN90" s="13">
        <v>0</v>
      </c>
      <c r="CO90" s="13">
        <v>1692.12</v>
      </c>
      <c r="CP90" s="13">
        <v>1692.12</v>
      </c>
      <c r="CQ90" s="13">
        <v>0</v>
      </c>
      <c r="CR90" s="13">
        <v>730895.79</v>
      </c>
      <c r="CS90" s="13">
        <v>24917.16</v>
      </c>
      <c r="CT90" s="13">
        <v>1007.07</v>
      </c>
      <c r="CU90" s="13">
        <v>1451.12</v>
      </c>
      <c r="CV90" s="13">
        <v>1489.81</v>
      </c>
      <c r="CW90" s="13">
        <v>0</v>
      </c>
      <c r="CX90" s="13">
        <v>173403.79</v>
      </c>
      <c r="CY90" s="13">
        <v>2429.38</v>
      </c>
      <c r="CZ90" s="13">
        <v>-1393.95</v>
      </c>
      <c r="DA90" s="13">
        <v>353.64</v>
      </c>
      <c r="DB90" s="13">
        <v>353.64</v>
      </c>
      <c r="DC90" s="13"/>
      <c r="DD90" s="315">
        <v>855305.38</v>
      </c>
      <c r="DE90" s="317">
        <v>759760.95</v>
      </c>
      <c r="DF90" s="317">
        <v>88.83</v>
      </c>
      <c r="DG90" s="318">
        <v>175146.5</v>
      </c>
      <c r="DH90" s="310">
        <v>37044.720000000001</v>
      </c>
      <c r="DI90" s="310">
        <v>21186.36</v>
      </c>
      <c r="DJ90" s="312">
        <v>0</v>
      </c>
      <c r="DK90" s="362">
        <v>0</v>
      </c>
      <c r="DL90" s="362"/>
      <c r="DM90" s="362">
        <v>0</v>
      </c>
      <c r="DN90" s="362">
        <v>0</v>
      </c>
      <c r="DO90" s="362">
        <v>0</v>
      </c>
      <c r="DP90" s="362">
        <v>0</v>
      </c>
      <c r="DQ90" s="362">
        <v>0</v>
      </c>
      <c r="DR90" s="362"/>
      <c r="DS90" s="362">
        <v>0</v>
      </c>
      <c r="DT90" s="362"/>
      <c r="DU90" s="362">
        <v>0</v>
      </c>
      <c r="DV90" s="362">
        <v>0</v>
      </c>
      <c r="DW90" s="362">
        <v>0</v>
      </c>
      <c r="DX90" s="362">
        <v>0</v>
      </c>
      <c r="DY90" s="362">
        <v>0</v>
      </c>
      <c r="DZ90" s="375">
        <v>0</v>
      </c>
      <c r="EA90" s="362">
        <v>268938</v>
      </c>
      <c r="EB90" s="362">
        <v>7667</v>
      </c>
      <c r="EC90" s="362"/>
      <c r="ED90" s="362">
        <v>0</v>
      </c>
      <c r="EE90" s="362">
        <v>0</v>
      </c>
      <c r="EF90" s="362"/>
      <c r="EG90" s="362">
        <v>15102</v>
      </c>
      <c r="EH90" s="362">
        <v>50925</v>
      </c>
      <c r="EI90" s="362"/>
      <c r="EJ90" s="362">
        <v>13440</v>
      </c>
      <c r="EK90" s="362"/>
      <c r="EL90" s="362">
        <v>0</v>
      </c>
      <c r="EM90" s="362">
        <v>4472.9399999999996</v>
      </c>
      <c r="EN90" s="362">
        <v>0</v>
      </c>
      <c r="EO90" s="362">
        <v>0</v>
      </c>
      <c r="EP90" s="362">
        <v>218466</v>
      </c>
      <c r="EQ90" s="362">
        <v>13800</v>
      </c>
      <c r="ER90" s="362">
        <v>16380</v>
      </c>
      <c r="ES90" s="362">
        <v>0</v>
      </c>
      <c r="ET90" s="362">
        <v>12932</v>
      </c>
      <c r="EU90" s="362">
        <v>0</v>
      </c>
      <c r="EV90" s="362">
        <v>10452.25</v>
      </c>
      <c r="EW90" s="362"/>
      <c r="EX90" s="202"/>
      <c r="EY90" s="202"/>
      <c r="EZ90" s="229"/>
      <c r="FA90" s="368">
        <v>16996.03</v>
      </c>
      <c r="FB90" s="368">
        <v>0</v>
      </c>
      <c r="FC90" s="368">
        <v>0</v>
      </c>
      <c r="FD90" s="368">
        <v>0</v>
      </c>
      <c r="FE90" s="368">
        <v>1703.2</v>
      </c>
      <c r="FF90" s="368">
        <v>1822.4</v>
      </c>
      <c r="FG90" s="368">
        <v>0</v>
      </c>
      <c r="FH90" s="368">
        <v>-902.02</v>
      </c>
      <c r="FI90" s="368">
        <v>0</v>
      </c>
      <c r="FJ90" s="368">
        <v>0</v>
      </c>
      <c r="FK90" s="368">
        <v>9562.94</v>
      </c>
      <c r="FL90" s="368">
        <v>0</v>
      </c>
      <c r="FM90" s="368">
        <v>94256.6</v>
      </c>
      <c r="FN90" s="368">
        <v>59932.73</v>
      </c>
      <c r="FO90" s="323">
        <v>844995.6</v>
      </c>
      <c r="FP90" s="323">
        <v>29182.55</v>
      </c>
      <c r="FQ90" s="323">
        <v>874178.15</v>
      </c>
      <c r="FR90" s="338">
        <v>82569.75</v>
      </c>
      <c r="FS90" s="338">
        <v>4329.1400000000003</v>
      </c>
      <c r="FT90" s="377">
        <v>86898.89</v>
      </c>
      <c r="FU90" s="377">
        <v>861816.84</v>
      </c>
      <c r="FV90" s="377">
        <v>26598.84</v>
      </c>
      <c r="FW90" s="362">
        <v>888415.68</v>
      </c>
      <c r="FX90" s="362">
        <v>770982.8</v>
      </c>
      <c r="FY90" s="362">
        <v>29185.27</v>
      </c>
      <c r="FZ90" s="362">
        <v>800168.07</v>
      </c>
      <c r="GA90" s="362">
        <v>173403.79</v>
      </c>
      <c r="GB90" s="362">
        <v>1742.71</v>
      </c>
      <c r="GC90" s="362">
        <v>175146.5</v>
      </c>
      <c r="GD90" s="362">
        <v>60687.44</v>
      </c>
      <c r="GE90" s="362">
        <v>3260.44</v>
      </c>
      <c r="GF90" s="362">
        <v>63947.88</v>
      </c>
      <c r="GG90" s="202"/>
      <c r="GH90" s="416"/>
      <c r="GI90" s="414">
        <v>2455</v>
      </c>
      <c r="GJ90" s="419">
        <v>0</v>
      </c>
      <c r="GK90" s="396"/>
      <c r="GL90" s="202">
        <v>0</v>
      </c>
      <c r="GM90" s="202">
        <v>0</v>
      </c>
      <c r="GN90" s="323">
        <v>16821.240000000002</v>
      </c>
      <c r="GO90" s="323">
        <v>-2583.71</v>
      </c>
      <c r="GP90" s="323">
        <v>14237.53</v>
      </c>
      <c r="GQ90" s="323">
        <v>77508.679999999993</v>
      </c>
      <c r="GR90" s="323">
        <v>676.73</v>
      </c>
      <c r="GS90" s="323">
        <v>78185.41</v>
      </c>
    </row>
    <row r="91" spans="1:201" ht="12.75" customHeight="1" x14ac:dyDescent="0.2">
      <c r="A91" s="45" t="s">
        <v>151</v>
      </c>
      <c r="B91" s="123" t="s">
        <v>108</v>
      </c>
      <c r="C91" s="124" t="s">
        <v>129</v>
      </c>
      <c r="D91" s="388" t="s">
        <v>699</v>
      </c>
      <c r="E91" s="124" t="s">
        <v>44</v>
      </c>
      <c r="F91" s="11">
        <v>9</v>
      </c>
      <c r="G91" s="11">
        <v>2</v>
      </c>
      <c r="H91" s="11">
        <v>72</v>
      </c>
      <c r="I91" s="11">
        <v>74</v>
      </c>
      <c r="J91" s="11">
        <v>166</v>
      </c>
      <c r="K91" s="11">
        <v>197</v>
      </c>
      <c r="L91" s="83">
        <v>2</v>
      </c>
      <c r="M91" s="84">
        <v>654</v>
      </c>
      <c r="N91" s="84">
        <v>616</v>
      </c>
      <c r="O91" s="84">
        <v>0</v>
      </c>
      <c r="P91" s="135">
        <v>654</v>
      </c>
      <c r="Q91" s="135">
        <v>662.6</v>
      </c>
      <c r="R91" s="133">
        <v>0</v>
      </c>
      <c r="S91" s="133">
        <f t="shared" si="52"/>
        <v>1316.6</v>
      </c>
      <c r="T91" s="134">
        <v>654</v>
      </c>
      <c r="U91" s="130">
        <v>2.44</v>
      </c>
      <c r="V91" s="131">
        <v>1.9800000000000002E-2</v>
      </c>
      <c r="W91" s="131">
        <v>1.9800000000000002E-2</v>
      </c>
      <c r="X91" s="132">
        <v>1.32E-3</v>
      </c>
      <c r="Y91" s="131">
        <v>3.9699999999999999E-2</v>
      </c>
      <c r="Z91" s="29">
        <v>3783.69</v>
      </c>
      <c r="AA91" s="29">
        <v>57.6</v>
      </c>
      <c r="AB91" s="9">
        <f t="shared" si="29"/>
        <v>3841.29</v>
      </c>
      <c r="AC91" s="9">
        <f t="shared" si="28"/>
        <v>24315.37</v>
      </c>
      <c r="AD91" s="9">
        <v>1.84</v>
      </c>
      <c r="AE91" s="9">
        <v>4.7699999999999996</v>
      </c>
      <c r="AF91" s="21">
        <f>2.47-AJ91</f>
        <v>2.3199999999999998</v>
      </c>
      <c r="AG91" s="18">
        <f>0.62-AQ91</f>
        <v>0.56999999999999995</v>
      </c>
      <c r="AH91" s="9">
        <v>2.78</v>
      </c>
      <c r="AI91" s="43">
        <v>591</v>
      </c>
      <c r="AJ91" s="21">
        <f t="shared" si="30"/>
        <v>0.15</v>
      </c>
      <c r="AK91" s="9">
        <v>2.2400000000000002</v>
      </c>
      <c r="AL91" s="9">
        <v>0.2</v>
      </c>
      <c r="AM91" s="9">
        <v>0.15</v>
      </c>
      <c r="AN91" s="13"/>
      <c r="AO91" s="13">
        <v>422.4</v>
      </c>
      <c r="AP91" s="13">
        <f t="shared" si="53"/>
        <v>5.58</v>
      </c>
      <c r="AQ91" s="18">
        <f t="shared" si="31"/>
        <v>0.05</v>
      </c>
      <c r="AR91" s="9">
        <v>0.57999999999999996</v>
      </c>
      <c r="AS91" s="9">
        <v>0.36</v>
      </c>
      <c r="AT91" s="9">
        <v>7.0000000000000007E-2</v>
      </c>
      <c r="AU91" s="9">
        <v>3.85</v>
      </c>
      <c r="AV91" s="9">
        <v>0.17</v>
      </c>
      <c r="AW91" s="9">
        <f>1.44+0.34+0.25</f>
        <v>2.0299999999999998</v>
      </c>
      <c r="AX91" s="9">
        <f>2.03+0.45</f>
        <v>2.48</v>
      </c>
      <c r="AY91" s="126">
        <f t="shared" si="54"/>
        <v>24.61</v>
      </c>
      <c r="AZ91" s="13">
        <v>24.61</v>
      </c>
      <c r="BA91" s="13">
        <f t="shared" si="32"/>
        <v>0</v>
      </c>
      <c r="BB91" s="9">
        <f t="shared" si="33"/>
        <v>94534.15</v>
      </c>
      <c r="BC91" s="9">
        <v>24.61</v>
      </c>
      <c r="BD91" s="10">
        <v>44378</v>
      </c>
      <c r="BE91" s="9">
        <f t="shared" si="34"/>
        <v>7067.97</v>
      </c>
      <c r="BF91" s="9">
        <f t="shared" si="35"/>
        <v>18322.95</v>
      </c>
      <c r="BG91" s="9">
        <f t="shared" si="36"/>
        <v>8911.7900000000009</v>
      </c>
      <c r="BH91" s="9">
        <f t="shared" si="37"/>
        <v>2189.54</v>
      </c>
      <c r="BI91" s="9">
        <f t="shared" si="38"/>
        <v>10678.79</v>
      </c>
      <c r="BJ91" s="9">
        <f t="shared" si="39"/>
        <v>576.19000000000005</v>
      </c>
      <c r="BK91" s="9">
        <f t="shared" si="40"/>
        <v>8604.49</v>
      </c>
      <c r="BL91" s="9">
        <f t="shared" si="41"/>
        <v>768.26</v>
      </c>
      <c r="BM91" s="9">
        <f t="shared" si="42"/>
        <v>576.19000000000005</v>
      </c>
      <c r="BN91" s="9">
        <f t="shared" si="43"/>
        <v>192.06</v>
      </c>
      <c r="BO91" s="9">
        <f t="shared" si="44"/>
        <v>2227.9499999999998</v>
      </c>
      <c r="BP91" s="9">
        <f t="shared" si="45"/>
        <v>1382.86</v>
      </c>
      <c r="BQ91" s="9">
        <f t="shared" si="46"/>
        <v>268.89</v>
      </c>
      <c r="BR91" s="9">
        <f t="shared" si="47"/>
        <v>14788.97</v>
      </c>
      <c r="BS91" s="9">
        <f t="shared" si="48"/>
        <v>653.02</v>
      </c>
      <c r="BT91" s="9">
        <f t="shared" si="49"/>
        <v>7797.82</v>
      </c>
      <c r="BU91" s="9">
        <f t="shared" si="50"/>
        <v>9526.4</v>
      </c>
      <c r="BV91" s="17">
        <f t="shared" si="51"/>
        <v>94534.14</v>
      </c>
      <c r="BW91" s="17">
        <v>1.79</v>
      </c>
      <c r="BX91" s="17">
        <v>0.1</v>
      </c>
      <c r="BY91" s="17">
        <v>0.65</v>
      </c>
      <c r="BZ91" s="17">
        <v>0.11</v>
      </c>
      <c r="CA91" s="29">
        <v>6.33</v>
      </c>
      <c r="CB91" s="325"/>
      <c r="CC91" s="13">
        <v>17260.41</v>
      </c>
      <c r="CD91" s="13">
        <v>1445.75</v>
      </c>
      <c r="CE91" s="13">
        <v>413.57</v>
      </c>
      <c r="CF91" s="13">
        <v>78.900000000000006</v>
      </c>
      <c r="CG91" s="13">
        <v>58.19</v>
      </c>
      <c r="CH91" s="13">
        <v>0</v>
      </c>
      <c r="CI91" s="13">
        <v>2078.2600000000002</v>
      </c>
      <c r="CJ91" s="13">
        <v>34884</v>
      </c>
      <c r="CK91" s="13">
        <v>1477.32</v>
      </c>
      <c r="CL91" s="13">
        <v>1117398.48</v>
      </c>
      <c r="CM91" s="13">
        <v>101970.37</v>
      </c>
      <c r="CN91" s="13">
        <v>31480.68</v>
      </c>
      <c r="CO91" s="13">
        <v>2459.29</v>
      </c>
      <c r="CP91" s="13">
        <v>3782.34</v>
      </c>
      <c r="CQ91" s="13">
        <v>0</v>
      </c>
      <c r="CR91" s="13">
        <v>1010477.65</v>
      </c>
      <c r="CS91" s="13">
        <v>82334.880000000005</v>
      </c>
      <c r="CT91" s="13">
        <v>22036.02</v>
      </c>
      <c r="CU91" s="13">
        <v>2410.63</v>
      </c>
      <c r="CV91" s="13">
        <v>3121.65</v>
      </c>
      <c r="CW91" s="13">
        <v>0</v>
      </c>
      <c r="CX91" s="13">
        <v>229129.36</v>
      </c>
      <c r="CY91" s="13">
        <v>24518.38</v>
      </c>
      <c r="CZ91" s="13">
        <v>4544.34</v>
      </c>
      <c r="DA91" s="13">
        <v>993.32</v>
      </c>
      <c r="DB91" s="13">
        <v>848.61</v>
      </c>
      <c r="DC91" s="13"/>
      <c r="DD91" s="315">
        <v>1257091.1599999999</v>
      </c>
      <c r="DE91" s="317">
        <v>1120380.83</v>
      </c>
      <c r="DF91" s="317">
        <v>89.12</v>
      </c>
      <c r="DG91" s="318">
        <v>260034.01</v>
      </c>
      <c r="DH91" s="310">
        <v>39756.839999999997</v>
      </c>
      <c r="DI91" s="310">
        <v>22737.360000000001</v>
      </c>
      <c r="DJ91" s="312">
        <v>0</v>
      </c>
      <c r="DK91" s="362">
        <v>0</v>
      </c>
      <c r="DL91" s="362"/>
      <c r="DM91" s="362">
        <v>0</v>
      </c>
      <c r="DN91" s="362">
        <v>0</v>
      </c>
      <c r="DO91" s="362">
        <v>0</v>
      </c>
      <c r="DP91" s="362">
        <v>0</v>
      </c>
      <c r="DQ91" s="362">
        <v>0</v>
      </c>
      <c r="DR91" s="362"/>
      <c r="DS91" s="362">
        <v>0</v>
      </c>
      <c r="DT91" s="362"/>
      <c r="DU91" s="362">
        <v>0</v>
      </c>
      <c r="DV91" s="362">
        <v>0</v>
      </c>
      <c r="DW91" s="362">
        <v>103200</v>
      </c>
      <c r="DX91" s="362">
        <v>0</v>
      </c>
      <c r="DY91" s="362">
        <v>9000</v>
      </c>
      <c r="DZ91" s="375">
        <v>0</v>
      </c>
      <c r="EA91" s="362">
        <v>351738</v>
      </c>
      <c r="EB91" s="362">
        <v>10233</v>
      </c>
      <c r="EC91" s="362"/>
      <c r="ED91" s="362">
        <v>0</v>
      </c>
      <c r="EE91" s="362">
        <v>0</v>
      </c>
      <c r="EF91" s="362"/>
      <c r="EG91" s="362">
        <v>9402</v>
      </c>
      <c r="EH91" s="362">
        <v>1400</v>
      </c>
      <c r="EI91" s="362"/>
      <c r="EJ91" s="362">
        <v>0</v>
      </c>
      <c r="EK91" s="362"/>
      <c r="EL91" s="362">
        <v>282870</v>
      </c>
      <c r="EM91" s="362">
        <v>2356.98</v>
      </c>
      <c r="EN91" s="362">
        <v>0</v>
      </c>
      <c r="EO91" s="362">
        <v>0</v>
      </c>
      <c r="EP91" s="362">
        <v>0</v>
      </c>
      <c r="EQ91" s="362">
        <v>13800</v>
      </c>
      <c r="ER91" s="362">
        <v>16380</v>
      </c>
      <c r="ES91" s="362">
        <v>4616</v>
      </c>
      <c r="ET91" s="362">
        <v>8935</v>
      </c>
      <c r="EU91" s="362">
        <v>0</v>
      </c>
      <c r="EV91" s="362">
        <v>4616.6099999999997</v>
      </c>
      <c r="EW91" s="362"/>
      <c r="EX91" s="202"/>
      <c r="EY91" s="202"/>
      <c r="EZ91" s="229"/>
      <c r="FA91" s="368">
        <v>108384.61</v>
      </c>
      <c r="FB91" s="368">
        <v>42926.49</v>
      </c>
      <c r="FC91" s="368">
        <v>0</v>
      </c>
      <c r="FD91" s="368">
        <v>0</v>
      </c>
      <c r="FE91" s="368">
        <v>4021.98</v>
      </c>
      <c r="FF91" s="368">
        <v>3928.26</v>
      </c>
      <c r="FG91" s="368">
        <v>0</v>
      </c>
      <c r="FH91" s="368">
        <v>-982.79</v>
      </c>
      <c r="FI91" s="368">
        <v>0</v>
      </c>
      <c r="FJ91" s="368">
        <v>0</v>
      </c>
      <c r="FK91" s="368">
        <v>23973.89</v>
      </c>
      <c r="FL91" s="368">
        <v>0</v>
      </c>
      <c r="FM91" s="368">
        <v>102697.11</v>
      </c>
      <c r="FN91" s="368">
        <v>65299.61</v>
      </c>
      <c r="FO91" s="323">
        <v>1049038.51</v>
      </c>
      <c r="FP91" s="323">
        <v>182252.44</v>
      </c>
      <c r="FQ91" s="323">
        <v>1231290.95</v>
      </c>
      <c r="FR91" s="338">
        <v>126949.94</v>
      </c>
      <c r="FS91" s="338">
        <v>9437.19</v>
      </c>
      <c r="FT91" s="377">
        <v>136387.13</v>
      </c>
      <c r="FU91" s="377">
        <v>1171621.1499999999</v>
      </c>
      <c r="FV91" s="377">
        <v>143166.41</v>
      </c>
      <c r="FW91" s="362">
        <v>1314787.56</v>
      </c>
      <c r="FX91" s="362">
        <v>1060795.83</v>
      </c>
      <c r="FY91" s="362">
        <v>120738.29</v>
      </c>
      <c r="FZ91" s="362">
        <v>1181534.1200000001</v>
      </c>
      <c r="GA91" s="362">
        <v>237775.26</v>
      </c>
      <c r="GB91" s="362">
        <v>31865.31</v>
      </c>
      <c r="GC91" s="362">
        <v>269640.57</v>
      </c>
      <c r="GD91" s="362">
        <v>120423.75</v>
      </c>
      <c r="GE91" s="362">
        <v>12406.41</v>
      </c>
      <c r="GF91" s="362">
        <v>132830.16</v>
      </c>
      <c r="GG91" s="202">
        <v>9606.56</v>
      </c>
      <c r="GH91" s="416">
        <v>90</v>
      </c>
      <c r="GI91" s="414">
        <v>2455</v>
      </c>
      <c r="GJ91" s="419">
        <v>19256.82</v>
      </c>
      <c r="GK91" s="396">
        <v>9606.56</v>
      </c>
      <c r="GL91" s="202">
        <v>8645.9040000000005</v>
      </c>
      <c r="GM91" s="202">
        <v>960.65599999999904</v>
      </c>
      <c r="GN91" s="323">
        <v>122582.64</v>
      </c>
      <c r="GO91" s="323">
        <v>-39086.03</v>
      </c>
      <c r="GP91" s="323">
        <v>83496.61</v>
      </c>
      <c r="GQ91" s="323">
        <v>243006.39</v>
      </c>
      <c r="GR91" s="323">
        <v>-26679.62</v>
      </c>
      <c r="GS91" s="323">
        <v>216326.77</v>
      </c>
    </row>
    <row r="92" spans="1:201" ht="12.75" customHeight="1" x14ac:dyDescent="0.2">
      <c r="A92" s="45" t="s">
        <v>152</v>
      </c>
      <c r="B92" s="117" t="s">
        <v>108</v>
      </c>
      <c r="C92" s="118" t="s">
        <v>131</v>
      </c>
      <c r="D92" s="388" t="s">
        <v>425</v>
      </c>
      <c r="E92" s="118" t="s">
        <v>12</v>
      </c>
      <c r="F92" s="11">
        <v>5</v>
      </c>
      <c r="G92" s="11">
        <v>6</v>
      </c>
      <c r="H92" s="11">
        <v>90</v>
      </c>
      <c r="I92" s="11">
        <v>0</v>
      </c>
      <c r="J92" s="11">
        <v>185</v>
      </c>
      <c r="K92" s="11">
        <v>214</v>
      </c>
      <c r="L92" s="11" t="s">
        <v>746</v>
      </c>
      <c r="M92" s="84">
        <v>496</v>
      </c>
      <c r="N92" s="84">
        <v>1155</v>
      </c>
      <c r="O92" s="84">
        <v>0</v>
      </c>
      <c r="P92" s="135">
        <v>496.2</v>
      </c>
      <c r="Q92" s="135">
        <v>1008.2</v>
      </c>
      <c r="R92" s="133">
        <v>0</v>
      </c>
      <c r="S92" s="133">
        <f t="shared" si="52"/>
        <v>1504.4</v>
      </c>
      <c r="T92" s="134">
        <v>496</v>
      </c>
      <c r="U92" s="130">
        <v>1.53</v>
      </c>
      <c r="V92" s="131">
        <v>1.9800000000000002E-2</v>
      </c>
      <c r="W92" s="131">
        <v>1.9800000000000002E-2</v>
      </c>
      <c r="X92" s="132">
        <v>1.2199999999999999E-3</v>
      </c>
      <c r="Y92" s="131">
        <v>3.95E-2</v>
      </c>
      <c r="Z92" s="29">
        <v>3985.93</v>
      </c>
      <c r="AA92" s="29"/>
      <c r="AB92" s="9">
        <f t="shared" si="29"/>
        <v>3985.93</v>
      </c>
      <c r="AC92" s="9">
        <f t="shared" si="28"/>
        <v>25230.94</v>
      </c>
      <c r="AD92" s="9">
        <v>0.51</v>
      </c>
      <c r="AE92" s="9">
        <v>3.95</v>
      </c>
      <c r="AF92" s="21">
        <f>2.48-AJ92</f>
        <v>2.2000000000000002</v>
      </c>
      <c r="AG92" s="18">
        <f>0.56-AQ92</f>
        <v>0.45</v>
      </c>
      <c r="AH92" s="9">
        <v>2.78</v>
      </c>
      <c r="AI92" s="43">
        <v>1108</v>
      </c>
      <c r="AJ92" s="21">
        <f t="shared" si="30"/>
        <v>0.28000000000000003</v>
      </c>
      <c r="AK92" s="9">
        <v>0</v>
      </c>
      <c r="AL92" s="9">
        <v>0</v>
      </c>
      <c r="AM92" s="9">
        <v>0.14000000000000001</v>
      </c>
      <c r="AN92" s="13"/>
      <c r="AO92" s="13">
        <v>901.8</v>
      </c>
      <c r="AP92" s="13">
        <f t="shared" si="53"/>
        <v>5.58</v>
      </c>
      <c r="AQ92" s="18">
        <f t="shared" si="31"/>
        <v>0.11</v>
      </c>
      <c r="AR92" s="9">
        <v>0.79</v>
      </c>
      <c r="AS92" s="9">
        <v>0.34</v>
      </c>
      <c r="AT92" s="9">
        <v>7.0000000000000007E-2</v>
      </c>
      <c r="AU92" s="9">
        <v>4.55</v>
      </c>
      <c r="AV92" s="9">
        <v>0.12</v>
      </c>
      <c r="AW92" s="9">
        <f>1.04+0.32+0.4</f>
        <v>1.76</v>
      </c>
      <c r="AX92" s="9">
        <f>1.43+0.54</f>
        <v>1.97</v>
      </c>
      <c r="AY92" s="120">
        <f t="shared" si="54"/>
        <v>20.02</v>
      </c>
      <c r="AZ92" s="13">
        <v>20.02</v>
      </c>
      <c r="BA92" s="13">
        <f t="shared" si="32"/>
        <v>0</v>
      </c>
      <c r="BB92" s="9">
        <f t="shared" si="33"/>
        <v>79798.320000000007</v>
      </c>
      <c r="BC92" s="9">
        <v>20.02</v>
      </c>
      <c r="BD92" s="10">
        <v>44409</v>
      </c>
      <c r="BE92" s="9">
        <f t="shared" si="34"/>
        <v>2032.82</v>
      </c>
      <c r="BF92" s="9">
        <f t="shared" si="35"/>
        <v>15744.42</v>
      </c>
      <c r="BG92" s="9">
        <f t="shared" si="36"/>
        <v>8769.0499999999993</v>
      </c>
      <c r="BH92" s="9">
        <f t="shared" si="37"/>
        <v>1793.67</v>
      </c>
      <c r="BI92" s="9">
        <f t="shared" si="38"/>
        <v>11080.89</v>
      </c>
      <c r="BJ92" s="9">
        <f t="shared" si="39"/>
        <v>1116.06</v>
      </c>
      <c r="BK92" s="9">
        <f t="shared" si="40"/>
        <v>0</v>
      </c>
      <c r="BL92" s="9">
        <f t="shared" si="41"/>
        <v>0</v>
      </c>
      <c r="BM92" s="9">
        <f t="shared" si="42"/>
        <v>558.03</v>
      </c>
      <c r="BN92" s="9">
        <f t="shared" si="43"/>
        <v>438.45</v>
      </c>
      <c r="BO92" s="9">
        <f t="shared" si="44"/>
        <v>3148.88</v>
      </c>
      <c r="BP92" s="9">
        <f t="shared" si="45"/>
        <v>1355.22</v>
      </c>
      <c r="BQ92" s="9">
        <f t="shared" si="46"/>
        <v>279.02</v>
      </c>
      <c r="BR92" s="9">
        <f t="shared" si="47"/>
        <v>18135.98</v>
      </c>
      <c r="BS92" s="9">
        <f t="shared" si="48"/>
        <v>478.31</v>
      </c>
      <c r="BT92" s="9">
        <f t="shared" si="49"/>
        <v>7015.24</v>
      </c>
      <c r="BU92" s="9">
        <f t="shared" si="50"/>
        <v>7852.28</v>
      </c>
      <c r="BV92" s="17">
        <f t="shared" si="51"/>
        <v>79798.320000000007</v>
      </c>
      <c r="BW92" s="17">
        <v>0.77</v>
      </c>
      <c r="BX92" s="17">
        <v>7.0000000000000007E-2</v>
      </c>
      <c r="BY92" s="17">
        <v>0.41</v>
      </c>
      <c r="BZ92" s="17">
        <v>0.08</v>
      </c>
      <c r="CA92" s="29">
        <v>6.33</v>
      </c>
      <c r="CB92" s="325"/>
      <c r="CC92" s="13">
        <v>0</v>
      </c>
      <c r="CD92" s="13">
        <v>0</v>
      </c>
      <c r="CE92" s="13">
        <v>0</v>
      </c>
      <c r="CF92" s="13">
        <v>0</v>
      </c>
      <c r="CG92" s="13">
        <v>0</v>
      </c>
      <c r="CH92" s="13">
        <v>0</v>
      </c>
      <c r="CI92" s="13">
        <v>11579.61</v>
      </c>
      <c r="CJ92" s="13">
        <v>45972</v>
      </c>
      <c r="CK92" s="13">
        <v>1532.66</v>
      </c>
      <c r="CL92" s="13">
        <v>957419.16</v>
      </c>
      <c r="CM92" s="13">
        <v>39775.89</v>
      </c>
      <c r="CN92" s="13">
        <v>0</v>
      </c>
      <c r="CO92" s="13">
        <v>3985.33</v>
      </c>
      <c r="CP92" s="13">
        <v>3825.78</v>
      </c>
      <c r="CQ92" s="13">
        <v>0</v>
      </c>
      <c r="CR92" s="13">
        <v>826382.2</v>
      </c>
      <c r="CS92" s="13">
        <v>35923.370000000003</v>
      </c>
      <c r="CT92" s="13">
        <v>866.69</v>
      </c>
      <c r="CU92" s="13">
        <v>2867.26</v>
      </c>
      <c r="CV92" s="13">
        <v>2950.69</v>
      </c>
      <c r="CW92" s="13">
        <v>0</v>
      </c>
      <c r="CX92" s="13">
        <v>248509.55</v>
      </c>
      <c r="CY92" s="13">
        <v>19622.43</v>
      </c>
      <c r="CZ92" s="13">
        <v>-1246.05</v>
      </c>
      <c r="DA92" s="13">
        <v>984.53</v>
      </c>
      <c r="DB92" s="13">
        <v>934.15</v>
      </c>
      <c r="DC92" s="13"/>
      <c r="DD92" s="315">
        <v>1005006.16</v>
      </c>
      <c r="DE92" s="317">
        <v>868990.21</v>
      </c>
      <c r="DF92" s="317">
        <v>86.47</v>
      </c>
      <c r="DG92" s="318">
        <v>268804.61</v>
      </c>
      <c r="DH92" s="310">
        <v>41873.519999999997</v>
      </c>
      <c r="DI92" s="310">
        <v>23947.919999999998</v>
      </c>
      <c r="DJ92" s="312">
        <v>0</v>
      </c>
      <c r="DK92" s="362">
        <v>0</v>
      </c>
      <c r="DL92" s="362"/>
      <c r="DM92" s="362">
        <v>0</v>
      </c>
      <c r="DN92" s="362">
        <v>0</v>
      </c>
      <c r="DO92" s="362">
        <v>0</v>
      </c>
      <c r="DP92" s="362">
        <v>0</v>
      </c>
      <c r="DQ92" s="362">
        <v>0</v>
      </c>
      <c r="DR92" s="362"/>
      <c r="DS92" s="362">
        <v>0</v>
      </c>
      <c r="DT92" s="362"/>
      <c r="DU92" s="362">
        <v>0</v>
      </c>
      <c r="DV92" s="362">
        <v>0</v>
      </c>
      <c r="DW92" s="362">
        <v>0</v>
      </c>
      <c r="DX92" s="362">
        <v>0</v>
      </c>
      <c r="DY92" s="362">
        <v>0</v>
      </c>
      <c r="DZ92" s="375">
        <v>0</v>
      </c>
      <c r="EA92" s="362">
        <v>247914</v>
      </c>
      <c r="EB92" s="362">
        <v>7667</v>
      </c>
      <c r="EC92" s="362"/>
      <c r="ED92" s="362">
        <v>0</v>
      </c>
      <c r="EE92" s="362">
        <v>0</v>
      </c>
      <c r="EF92" s="362"/>
      <c r="EG92" s="362">
        <v>17634</v>
      </c>
      <c r="EH92" s="362">
        <v>39690</v>
      </c>
      <c r="EI92" s="362"/>
      <c r="EJ92" s="362">
        <v>25800</v>
      </c>
      <c r="EK92" s="362"/>
      <c r="EL92" s="362">
        <v>0</v>
      </c>
      <c r="EM92" s="362">
        <v>5032.05</v>
      </c>
      <c r="EN92" s="362">
        <v>0</v>
      </c>
      <c r="EO92" s="362">
        <v>0</v>
      </c>
      <c r="EP92" s="362">
        <v>250458</v>
      </c>
      <c r="EQ92" s="362">
        <v>27540</v>
      </c>
      <c r="ER92" s="362">
        <v>16380</v>
      </c>
      <c r="ES92" s="362">
        <v>5193</v>
      </c>
      <c r="ET92" s="362">
        <v>14628</v>
      </c>
      <c r="EU92" s="362">
        <v>0</v>
      </c>
      <c r="EV92" s="362">
        <v>2298</v>
      </c>
      <c r="EW92" s="362"/>
      <c r="EX92" s="202"/>
      <c r="EY92" s="202"/>
      <c r="EZ92" s="229"/>
      <c r="FA92" s="368">
        <v>59023.57</v>
      </c>
      <c r="FB92" s="368">
        <v>0</v>
      </c>
      <c r="FC92" s="368">
        <v>0</v>
      </c>
      <c r="FD92" s="368">
        <v>0</v>
      </c>
      <c r="FE92" s="368">
        <v>4262.51</v>
      </c>
      <c r="FF92" s="368">
        <v>3929.79</v>
      </c>
      <c r="FG92" s="368">
        <v>0</v>
      </c>
      <c r="FH92" s="368">
        <v>-1065.9100000000001</v>
      </c>
      <c r="FI92" s="368">
        <v>0</v>
      </c>
      <c r="FJ92" s="368">
        <v>0</v>
      </c>
      <c r="FK92" s="368">
        <v>0</v>
      </c>
      <c r="FL92" s="368">
        <v>0</v>
      </c>
      <c r="FM92" s="368">
        <v>106546.23</v>
      </c>
      <c r="FN92" s="368">
        <v>67748.36</v>
      </c>
      <c r="FO92" s="323">
        <v>900350.08</v>
      </c>
      <c r="FP92" s="323">
        <v>66149.960000000006</v>
      </c>
      <c r="FQ92" s="323">
        <v>966500.04</v>
      </c>
      <c r="FR92" s="338">
        <v>130531.89</v>
      </c>
      <c r="FS92" s="338">
        <v>12378.46</v>
      </c>
      <c r="FT92" s="377">
        <v>142910.35</v>
      </c>
      <c r="FU92" s="377">
        <v>1014970.77</v>
      </c>
      <c r="FV92" s="377">
        <v>49119.66</v>
      </c>
      <c r="FW92" s="362">
        <v>1064090.43</v>
      </c>
      <c r="FX92" s="362">
        <v>896993.11</v>
      </c>
      <c r="FY92" s="362">
        <v>41203.06</v>
      </c>
      <c r="FZ92" s="362">
        <v>938196.17</v>
      </c>
      <c r="GA92" s="362">
        <v>248509.55</v>
      </c>
      <c r="GB92" s="362">
        <v>20295.060000000001</v>
      </c>
      <c r="GC92" s="362">
        <v>268804.61</v>
      </c>
      <c r="GD92" s="362">
        <v>108809.01</v>
      </c>
      <c r="GE92" s="362">
        <v>13620.81</v>
      </c>
      <c r="GF92" s="362">
        <v>122429.82</v>
      </c>
      <c r="GG92" s="202"/>
      <c r="GH92" s="416"/>
      <c r="GI92" s="414">
        <v>4487</v>
      </c>
      <c r="GJ92" s="419">
        <v>0</v>
      </c>
      <c r="GK92" s="396"/>
      <c r="GL92" s="202">
        <v>0</v>
      </c>
      <c r="GM92" s="202">
        <v>0</v>
      </c>
      <c r="GN92" s="323">
        <v>114620.69</v>
      </c>
      <c r="GO92" s="323">
        <v>-17030.3</v>
      </c>
      <c r="GP92" s="323">
        <v>97590.39</v>
      </c>
      <c r="GQ92" s="323">
        <v>223429.7</v>
      </c>
      <c r="GR92" s="323">
        <v>-3409.49</v>
      </c>
      <c r="GS92" s="323">
        <v>220020.21</v>
      </c>
    </row>
    <row r="93" spans="1:201" ht="12.75" customHeight="1" x14ac:dyDescent="0.2">
      <c r="A93" s="45" t="s">
        <v>154</v>
      </c>
      <c r="B93" s="117" t="s">
        <v>108</v>
      </c>
      <c r="C93" s="118" t="s">
        <v>133</v>
      </c>
      <c r="D93" s="388" t="s">
        <v>559</v>
      </c>
      <c r="E93" s="118" t="s">
        <v>30</v>
      </c>
      <c r="F93" s="11">
        <v>5</v>
      </c>
      <c r="G93" s="11">
        <v>5</v>
      </c>
      <c r="H93" s="11">
        <v>100</v>
      </c>
      <c r="I93" s="11">
        <v>0</v>
      </c>
      <c r="J93" s="11">
        <v>148</v>
      </c>
      <c r="K93" s="11">
        <v>193</v>
      </c>
      <c r="L93" s="11" t="s">
        <v>746</v>
      </c>
      <c r="M93" s="84">
        <v>342</v>
      </c>
      <c r="N93" s="84">
        <v>1098</v>
      </c>
      <c r="O93" s="84">
        <v>0</v>
      </c>
      <c r="P93" s="135">
        <v>342</v>
      </c>
      <c r="Q93" s="135">
        <v>863.5</v>
      </c>
      <c r="R93" s="133">
        <v>0</v>
      </c>
      <c r="S93" s="133">
        <f t="shared" si="52"/>
        <v>1205.5</v>
      </c>
      <c r="T93" s="134">
        <v>342</v>
      </c>
      <c r="U93" s="130">
        <v>1.53</v>
      </c>
      <c r="V93" s="131">
        <v>1.9800000000000002E-2</v>
      </c>
      <c r="W93" s="131">
        <v>1.9800000000000002E-2</v>
      </c>
      <c r="X93" s="132">
        <v>1.2199999999999999E-3</v>
      </c>
      <c r="Y93" s="131">
        <v>3.95E-2</v>
      </c>
      <c r="Z93" s="29">
        <v>3384.16</v>
      </c>
      <c r="AA93" s="29"/>
      <c r="AB93" s="9">
        <f t="shared" si="29"/>
        <v>3384.16</v>
      </c>
      <c r="AC93" s="9">
        <f t="shared" si="28"/>
        <v>21421.73</v>
      </c>
      <c r="AD93" s="9">
        <v>0.5</v>
      </c>
      <c r="AE93" s="9">
        <v>4.49</v>
      </c>
      <c r="AF93" s="21">
        <f>2.49-AJ93</f>
        <v>2.1800000000000002</v>
      </c>
      <c r="AG93" s="18">
        <f>0.56-AQ93</f>
        <v>0.42</v>
      </c>
      <c r="AH93" s="9">
        <v>2.78</v>
      </c>
      <c r="AI93" s="43">
        <v>1053</v>
      </c>
      <c r="AJ93" s="21">
        <f t="shared" si="30"/>
        <v>0.31</v>
      </c>
      <c r="AK93" s="9">
        <v>0</v>
      </c>
      <c r="AL93" s="9">
        <v>0</v>
      </c>
      <c r="AM93" s="9">
        <v>0.17</v>
      </c>
      <c r="AN93" s="13"/>
      <c r="AO93" s="13">
        <v>1002</v>
      </c>
      <c r="AP93" s="13">
        <f t="shared" si="53"/>
        <v>5.58</v>
      </c>
      <c r="AQ93" s="18">
        <f t="shared" si="31"/>
        <v>0.14000000000000001</v>
      </c>
      <c r="AR93" s="9">
        <v>1.02</v>
      </c>
      <c r="AS93" s="9">
        <v>0.4</v>
      </c>
      <c r="AT93" s="9">
        <v>7.0000000000000007E-2</v>
      </c>
      <c r="AU93" s="9">
        <v>3.69</v>
      </c>
      <c r="AV93" s="9">
        <v>0.13</v>
      </c>
      <c r="AW93" s="9">
        <f>1.12+0.41+0.33</f>
        <v>1.86</v>
      </c>
      <c r="AX93" s="9">
        <f>1.54+0.44</f>
        <v>1.98</v>
      </c>
      <c r="AY93" s="120">
        <f t="shared" si="54"/>
        <v>20.14</v>
      </c>
      <c r="AZ93" s="13">
        <v>20.14</v>
      </c>
      <c r="BA93" s="13">
        <f t="shared" si="32"/>
        <v>0</v>
      </c>
      <c r="BB93" s="9">
        <f t="shared" si="33"/>
        <v>68156.98</v>
      </c>
      <c r="BC93" s="9">
        <v>20.14</v>
      </c>
      <c r="BD93" s="10">
        <v>44409</v>
      </c>
      <c r="BE93" s="9">
        <f t="shared" si="34"/>
        <v>1692.08</v>
      </c>
      <c r="BF93" s="9">
        <f t="shared" si="35"/>
        <v>15194.88</v>
      </c>
      <c r="BG93" s="9">
        <f t="shared" si="36"/>
        <v>7377.47</v>
      </c>
      <c r="BH93" s="9">
        <f t="shared" si="37"/>
        <v>1421.35</v>
      </c>
      <c r="BI93" s="9">
        <f t="shared" si="38"/>
        <v>9407.9599999999991</v>
      </c>
      <c r="BJ93" s="9">
        <f t="shared" si="39"/>
        <v>1049.0899999999999</v>
      </c>
      <c r="BK93" s="9">
        <f t="shared" si="40"/>
        <v>0</v>
      </c>
      <c r="BL93" s="9">
        <f t="shared" si="41"/>
        <v>0</v>
      </c>
      <c r="BM93" s="9">
        <f t="shared" si="42"/>
        <v>575.30999999999995</v>
      </c>
      <c r="BN93" s="9">
        <f t="shared" si="43"/>
        <v>473.78</v>
      </c>
      <c r="BO93" s="9">
        <f t="shared" si="44"/>
        <v>3451.84</v>
      </c>
      <c r="BP93" s="9">
        <f t="shared" si="45"/>
        <v>1353.66</v>
      </c>
      <c r="BQ93" s="9">
        <f t="shared" si="46"/>
        <v>236.89</v>
      </c>
      <c r="BR93" s="9">
        <f t="shared" si="47"/>
        <v>12487.55</v>
      </c>
      <c r="BS93" s="9">
        <f t="shared" si="48"/>
        <v>439.94</v>
      </c>
      <c r="BT93" s="9">
        <f t="shared" si="49"/>
        <v>6294.54</v>
      </c>
      <c r="BU93" s="9">
        <f t="shared" si="50"/>
        <v>6700.64</v>
      </c>
      <c r="BV93" s="17">
        <f t="shared" si="51"/>
        <v>68156.98</v>
      </c>
      <c r="BW93" s="17">
        <v>1.89</v>
      </c>
      <c r="BX93" s="17">
        <v>0.06</v>
      </c>
      <c r="BY93" s="17">
        <v>0.31</v>
      </c>
      <c r="BZ93" s="17">
        <v>0.06</v>
      </c>
      <c r="CA93" s="29">
        <v>6.33</v>
      </c>
      <c r="CB93" s="325"/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H93" s="13">
        <v>0</v>
      </c>
      <c r="CI93" s="13">
        <v>5852.29</v>
      </c>
      <c r="CJ93" s="13">
        <v>21588</v>
      </c>
      <c r="CK93" s="13">
        <v>1300.69</v>
      </c>
      <c r="CL93" s="13">
        <v>817570.06</v>
      </c>
      <c r="CM93" s="13">
        <v>26859.96</v>
      </c>
      <c r="CN93" s="13">
        <v>122336.16</v>
      </c>
      <c r="CO93" s="13">
        <v>6795.92</v>
      </c>
      <c r="CP93" s="13">
        <v>4801.74</v>
      </c>
      <c r="CQ93" s="13">
        <v>0</v>
      </c>
      <c r="CR93" s="13">
        <v>783738.71</v>
      </c>
      <c r="CS93" s="13">
        <v>25715.33</v>
      </c>
      <c r="CT93" s="13">
        <v>100047.56</v>
      </c>
      <c r="CU93" s="13">
        <v>11472.62</v>
      </c>
      <c r="CV93" s="13">
        <v>6740.21</v>
      </c>
      <c r="CW93" s="13">
        <v>0</v>
      </c>
      <c r="CX93" s="13">
        <v>136969</v>
      </c>
      <c r="CY93" s="13">
        <v>2505.06</v>
      </c>
      <c r="CZ93" s="13">
        <v>9786.7900000000009</v>
      </c>
      <c r="DA93" s="13">
        <v>1439.29</v>
      </c>
      <c r="DB93" s="13">
        <v>811.77</v>
      </c>
      <c r="DC93" s="13"/>
      <c r="DD93" s="315">
        <v>978363.84</v>
      </c>
      <c r="DE93" s="317">
        <v>927714.43</v>
      </c>
      <c r="DF93" s="317">
        <v>94.82</v>
      </c>
      <c r="DG93" s="318">
        <v>151511.91</v>
      </c>
      <c r="DH93" s="310">
        <v>35526.239999999998</v>
      </c>
      <c r="DI93" s="310">
        <v>20317.8</v>
      </c>
      <c r="DJ93" s="312">
        <v>0</v>
      </c>
      <c r="DK93" s="362">
        <v>0</v>
      </c>
      <c r="DL93" s="362"/>
      <c r="DM93" s="362">
        <v>0</v>
      </c>
      <c r="DN93" s="362">
        <v>0</v>
      </c>
      <c r="DO93" s="362">
        <v>0</v>
      </c>
      <c r="DP93" s="362">
        <v>0</v>
      </c>
      <c r="DQ93" s="362">
        <v>0</v>
      </c>
      <c r="DR93" s="362"/>
      <c r="DS93" s="362">
        <v>0</v>
      </c>
      <c r="DT93" s="362"/>
      <c r="DU93" s="362">
        <v>0</v>
      </c>
      <c r="DV93" s="362">
        <v>0</v>
      </c>
      <c r="DW93" s="362">
        <v>0</v>
      </c>
      <c r="DX93" s="362">
        <v>0</v>
      </c>
      <c r="DY93" s="362">
        <v>0</v>
      </c>
      <c r="DZ93" s="375">
        <v>0</v>
      </c>
      <c r="EA93" s="362">
        <v>234306</v>
      </c>
      <c r="EB93" s="362">
        <v>7769</v>
      </c>
      <c r="EC93" s="362"/>
      <c r="ED93" s="362">
        <v>0</v>
      </c>
      <c r="EE93" s="362">
        <v>0</v>
      </c>
      <c r="EF93" s="362"/>
      <c r="EG93" s="362">
        <v>16758</v>
      </c>
      <c r="EH93" s="362">
        <v>37800</v>
      </c>
      <c r="EI93" s="362"/>
      <c r="EJ93" s="362">
        <v>14760</v>
      </c>
      <c r="EK93" s="362"/>
      <c r="EL93" s="362">
        <v>0</v>
      </c>
      <c r="EM93" s="362">
        <v>5591.16</v>
      </c>
      <c r="EN93" s="362">
        <v>0</v>
      </c>
      <c r="EO93" s="362">
        <v>0</v>
      </c>
      <c r="EP93" s="362">
        <v>212472</v>
      </c>
      <c r="EQ93" s="362">
        <v>0</v>
      </c>
      <c r="ER93" s="362">
        <v>16380</v>
      </c>
      <c r="ES93" s="362">
        <v>0</v>
      </c>
      <c r="ET93" s="362">
        <v>16165</v>
      </c>
      <c r="EU93" s="362">
        <v>0</v>
      </c>
      <c r="EV93" s="362">
        <v>12476.52</v>
      </c>
      <c r="EW93" s="362"/>
      <c r="EX93" s="202"/>
      <c r="EY93" s="202"/>
      <c r="EZ93" s="229"/>
      <c r="FA93" s="368">
        <v>27647.8</v>
      </c>
      <c r="FB93" s="368">
        <v>129296.09</v>
      </c>
      <c r="FC93" s="368">
        <v>0</v>
      </c>
      <c r="FD93" s="368">
        <v>0</v>
      </c>
      <c r="FE93" s="368">
        <v>5765.71</v>
      </c>
      <c r="FF93" s="368">
        <v>3817.3</v>
      </c>
      <c r="FG93" s="368">
        <v>-999.89</v>
      </c>
      <c r="FH93" s="368">
        <v>-1388.51</v>
      </c>
      <c r="FI93" s="368">
        <v>0</v>
      </c>
      <c r="FJ93" s="368">
        <v>0</v>
      </c>
      <c r="FK93" s="368">
        <v>0</v>
      </c>
      <c r="FL93" s="368">
        <v>0</v>
      </c>
      <c r="FM93" s="368">
        <v>90439.22</v>
      </c>
      <c r="FN93" s="368">
        <v>57505.73</v>
      </c>
      <c r="FO93" s="323">
        <v>778266.67</v>
      </c>
      <c r="FP93" s="323">
        <v>164138.5</v>
      </c>
      <c r="FQ93" s="323">
        <v>942405.17</v>
      </c>
      <c r="FR93" s="338">
        <v>83878.09</v>
      </c>
      <c r="FS93" s="338">
        <v>6718.21</v>
      </c>
      <c r="FT93" s="377">
        <v>90596.3</v>
      </c>
      <c r="FU93" s="377">
        <v>845010.35</v>
      </c>
      <c r="FV93" s="377">
        <v>162094.47</v>
      </c>
      <c r="FW93" s="362">
        <v>1007104.82</v>
      </c>
      <c r="FX93" s="362">
        <v>791919.44</v>
      </c>
      <c r="FY93" s="362">
        <v>154269.76999999999</v>
      </c>
      <c r="FZ93" s="362">
        <v>946189.21</v>
      </c>
      <c r="GA93" s="362">
        <v>136969</v>
      </c>
      <c r="GB93" s="362">
        <v>14542.91</v>
      </c>
      <c r="GC93" s="362">
        <v>151511.91</v>
      </c>
      <c r="GD93" s="362">
        <v>72063.42</v>
      </c>
      <c r="GE93" s="362">
        <v>-6747.67</v>
      </c>
      <c r="GF93" s="362">
        <v>65315.75</v>
      </c>
      <c r="GG93" s="202"/>
      <c r="GH93" s="416"/>
      <c r="GI93" s="414">
        <v>1947</v>
      </c>
      <c r="GJ93" s="419">
        <v>0</v>
      </c>
      <c r="GK93" s="396"/>
      <c r="GL93" s="202">
        <v>0</v>
      </c>
      <c r="GM93" s="202">
        <v>0</v>
      </c>
      <c r="GN93" s="323">
        <v>66743.679999999993</v>
      </c>
      <c r="GO93" s="323">
        <v>-2044.03</v>
      </c>
      <c r="GP93" s="323">
        <v>64699.65</v>
      </c>
      <c r="GQ93" s="323">
        <v>138807.1</v>
      </c>
      <c r="GR93" s="323">
        <v>-8791.7000000000007</v>
      </c>
      <c r="GS93" s="323">
        <v>130015.4</v>
      </c>
    </row>
    <row r="94" spans="1:201" ht="12.75" customHeight="1" x14ac:dyDescent="0.2">
      <c r="A94" s="45" t="s">
        <v>156</v>
      </c>
      <c r="B94" s="123" t="s">
        <v>108</v>
      </c>
      <c r="C94" s="124" t="s">
        <v>135</v>
      </c>
      <c r="D94" s="388" t="s">
        <v>426</v>
      </c>
      <c r="E94" s="124" t="s">
        <v>12</v>
      </c>
      <c r="F94" s="11">
        <v>9</v>
      </c>
      <c r="G94" s="11">
        <v>6</v>
      </c>
      <c r="H94" s="11">
        <v>216</v>
      </c>
      <c r="I94" s="11">
        <v>219</v>
      </c>
      <c r="J94" s="11">
        <v>499</v>
      </c>
      <c r="K94" s="11">
        <v>583</v>
      </c>
      <c r="L94" s="83">
        <v>6</v>
      </c>
      <c r="M94" s="84">
        <v>1521</v>
      </c>
      <c r="N94" s="139">
        <v>1807</v>
      </c>
      <c r="O94" s="84">
        <v>0</v>
      </c>
      <c r="P94" s="135">
        <v>1520.8</v>
      </c>
      <c r="Q94" s="139">
        <v>1807</v>
      </c>
      <c r="R94" s="133">
        <v>0</v>
      </c>
      <c r="S94" s="133">
        <f t="shared" si="52"/>
        <v>3327.8</v>
      </c>
      <c r="T94" s="134">
        <v>1521</v>
      </c>
      <c r="U94" s="130">
        <v>2.72</v>
      </c>
      <c r="V94" s="131">
        <v>1.21E-2</v>
      </c>
      <c r="W94" s="131">
        <v>1.9800000000000002E-2</v>
      </c>
      <c r="X94" s="132">
        <v>1.2700000000000001E-3</v>
      </c>
      <c r="Y94" s="131">
        <v>1.21E-2</v>
      </c>
      <c r="Z94" s="29">
        <v>11120.73</v>
      </c>
      <c r="AA94" s="29"/>
      <c r="AB94" s="9">
        <f t="shared" si="29"/>
        <v>11120.73</v>
      </c>
      <c r="AC94" s="9">
        <f t="shared" si="28"/>
        <v>70394.22</v>
      </c>
      <c r="AD94" s="9">
        <v>1.9</v>
      </c>
      <c r="AE94" s="9">
        <v>4.84</v>
      </c>
      <c r="AF94" s="21">
        <f>2.49-AJ94</f>
        <v>2.33</v>
      </c>
      <c r="AG94" s="18">
        <f>0.64-AQ94</f>
        <v>0.59</v>
      </c>
      <c r="AH94" s="19">
        <f>2.78+0.05+0.11</f>
        <v>2.94</v>
      </c>
      <c r="AI94" s="43">
        <v>1735</v>
      </c>
      <c r="AJ94" s="21">
        <f t="shared" si="30"/>
        <v>0.16</v>
      </c>
      <c r="AK94" s="9">
        <v>2.34</v>
      </c>
      <c r="AL94" s="9">
        <v>0.2</v>
      </c>
      <c r="AM94" s="9">
        <v>0.05</v>
      </c>
      <c r="AN94" s="13"/>
      <c r="AO94" s="13">
        <v>1267.2</v>
      </c>
      <c r="AP94" s="13">
        <f t="shared" si="53"/>
        <v>5.58</v>
      </c>
      <c r="AQ94" s="18">
        <f t="shared" si="31"/>
        <v>0.05</v>
      </c>
      <c r="AR94" s="9">
        <v>0.61</v>
      </c>
      <c r="AS94" s="9">
        <v>0.12</v>
      </c>
      <c r="AT94" s="9">
        <v>7.0000000000000007E-2</v>
      </c>
      <c r="AU94" s="9">
        <v>3.46</v>
      </c>
      <c r="AV94" s="9">
        <v>0.17</v>
      </c>
      <c r="AW94" s="9">
        <f>1.45+0.31+0.26</f>
        <v>2.02</v>
      </c>
      <c r="AX94" s="9">
        <f>2.04+0.41</f>
        <v>2.4500000000000002</v>
      </c>
      <c r="AY94" s="126">
        <f t="shared" si="54"/>
        <v>24.3</v>
      </c>
      <c r="AZ94" s="13">
        <v>24.3</v>
      </c>
      <c r="BA94" s="13">
        <f t="shared" si="32"/>
        <v>0</v>
      </c>
      <c r="BB94" s="9">
        <f t="shared" si="33"/>
        <v>270233.74</v>
      </c>
      <c r="BC94" s="9">
        <v>24.3</v>
      </c>
      <c r="BD94" s="10">
        <v>44409</v>
      </c>
      <c r="BE94" s="9">
        <f t="shared" si="34"/>
        <v>21129.39</v>
      </c>
      <c r="BF94" s="9">
        <f t="shared" si="35"/>
        <v>53824.33</v>
      </c>
      <c r="BG94" s="9">
        <f t="shared" si="36"/>
        <v>25911.3</v>
      </c>
      <c r="BH94" s="9">
        <f t="shared" si="37"/>
        <v>6561.23</v>
      </c>
      <c r="BI94" s="9">
        <f t="shared" si="38"/>
        <v>32694.95</v>
      </c>
      <c r="BJ94" s="9">
        <f t="shared" si="39"/>
        <v>1779.32</v>
      </c>
      <c r="BK94" s="9">
        <f t="shared" si="40"/>
        <v>26022.51</v>
      </c>
      <c r="BL94" s="9">
        <f t="shared" si="41"/>
        <v>2224.15</v>
      </c>
      <c r="BM94" s="9">
        <f t="shared" si="42"/>
        <v>556.04</v>
      </c>
      <c r="BN94" s="9">
        <f t="shared" si="43"/>
        <v>556.04</v>
      </c>
      <c r="BO94" s="9">
        <f t="shared" si="44"/>
        <v>6783.65</v>
      </c>
      <c r="BP94" s="9">
        <f t="shared" si="45"/>
        <v>1334.49</v>
      </c>
      <c r="BQ94" s="9">
        <f t="shared" si="46"/>
        <v>778.45</v>
      </c>
      <c r="BR94" s="9">
        <f t="shared" si="47"/>
        <v>38477.730000000003</v>
      </c>
      <c r="BS94" s="9">
        <f t="shared" si="48"/>
        <v>1890.52</v>
      </c>
      <c r="BT94" s="9">
        <f t="shared" si="49"/>
        <v>22463.87</v>
      </c>
      <c r="BU94" s="9">
        <f t="shared" si="50"/>
        <v>27245.79</v>
      </c>
      <c r="BV94" s="17">
        <f t="shared" si="51"/>
        <v>270233.76</v>
      </c>
      <c r="BW94" s="17">
        <v>3.27</v>
      </c>
      <c r="BX94" s="17">
        <v>0.05</v>
      </c>
      <c r="BY94" s="17">
        <v>0.44</v>
      </c>
      <c r="BZ94" s="17">
        <v>0.03</v>
      </c>
      <c r="CA94" s="29">
        <v>6.33</v>
      </c>
      <c r="CB94" s="325"/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H94" s="13">
        <v>0</v>
      </c>
      <c r="CI94" s="13">
        <v>7829.66</v>
      </c>
      <c r="CJ94" s="13">
        <v>82044</v>
      </c>
      <c r="CK94" s="13">
        <v>4276.74</v>
      </c>
      <c r="CL94" s="13">
        <v>3245052.87</v>
      </c>
      <c r="CM94" s="13">
        <v>311320.86</v>
      </c>
      <c r="CN94" s="13">
        <v>9400.23</v>
      </c>
      <c r="CO94" s="13">
        <v>145799.4</v>
      </c>
      <c r="CP94" s="13">
        <v>77463.72</v>
      </c>
      <c r="CQ94" s="13">
        <v>0</v>
      </c>
      <c r="CR94" s="13">
        <v>3056267.42</v>
      </c>
      <c r="CS94" s="13">
        <v>274860.76</v>
      </c>
      <c r="CT94" s="13">
        <v>19325.82</v>
      </c>
      <c r="CU94" s="13">
        <v>125791.88</v>
      </c>
      <c r="CV94" s="13">
        <v>66540.98</v>
      </c>
      <c r="CW94" s="13">
        <v>0</v>
      </c>
      <c r="CX94" s="13">
        <v>488343.33</v>
      </c>
      <c r="CY94" s="13">
        <v>45581.36</v>
      </c>
      <c r="CZ94" s="13">
        <v>-1768.71</v>
      </c>
      <c r="DA94" s="13">
        <v>33433.61</v>
      </c>
      <c r="DB94" s="13">
        <v>18142.91</v>
      </c>
      <c r="DC94" s="13"/>
      <c r="DD94" s="315">
        <v>3789037.08</v>
      </c>
      <c r="DE94" s="317">
        <v>3542786.86</v>
      </c>
      <c r="DF94" s="317">
        <v>93.5</v>
      </c>
      <c r="DG94" s="318">
        <v>583732.5</v>
      </c>
      <c r="DH94" s="310">
        <v>116844.96</v>
      </c>
      <c r="DI94" s="310">
        <v>66824.88</v>
      </c>
      <c r="DJ94" s="312">
        <v>0</v>
      </c>
      <c r="DK94" s="362">
        <v>0</v>
      </c>
      <c r="DL94" s="362"/>
      <c r="DM94" s="362">
        <v>0</v>
      </c>
      <c r="DN94" s="362">
        <v>0</v>
      </c>
      <c r="DO94" s="362">
        <v>0</v>
      </c>
      <c r="DP94" s="362">
        <v>0</v>
      </c>
      <c r="DQ94" s="362">
        <v>0</v>
      </c>
      <c r="DR94" s="362"/>
      <c r="DS94" s="362">
        <v>0</v>
      </c>
      <c r="DT94" s="362"/>
      <c r="DU94" s="362">
        <v>0</v>
      </c>
      <c r="DV94" s="362">
        <v>0</v>
      </c>
      <c r="DW94" s="362">
        <v>309600</v>
      </c>
      <c r="DX94" s="362">
        <v>0</v>
      </c>
      <c r="DY94" s="362">
        <v>27000</v>
      </c>
      <c r="DZ94" s="375">
        <v>0</v>
      </c>
      <c r="EA94" s="362">
        <v>1029480</v>
      </c>
      <c r="EB94" s="362">
        <v>7675</v>
      </c>
      <c r="EC94" s="362"/>
      <c r="ED94" s="362">
        <v>0</v>
      </c>
      <c r="EE94" s="362">
        <v>0</v>
      </c>
      <c r="EF94" s="362"/>
      <c r="EG94" s="362">
        <v>27612</v>
      </c>
      <c r="EH94" s="362">
        <v>0</v>
      </c>
      <c r="EI94" s="362"/>
      <c r="EJ94" s="362">
        <v>0</v>
      </c>
      <c r="EK94" s="362"/>
      <c r="EL94" s="362">
        <v>825222</v>
      </c>
      <c r="EM94" s="362">
        <v>7070.97</v>
      </c>
      <c r="EN94" s="362">
        <v>0</v>
      </c>
      <c r="EO94" s="362">
        <v>0</v>
      </c>
      <c r="EP94" s="362">
        <v>0</v>
      </c>
      <c r="EQ94" s="362">
        <v>27540</v>
      </c>
      <c r="ER94" s="362">
        <v>16380</v>
      </c>
      <c r="ES94" s="362">
        <v>4039</v>
      </c>
      <c r="ET94" s="362">
        <v>26964</v>
      </c>
      <c r="EU94" s="362">
        <v>0</v>
      </c>
      <c r="EV94" s="362">
        <v>22879.81</v>
      </c>
      <c r="EW94" s="362"/>
      <c r="EX94" s="202"/>
      <c r="EY94" s="202"/>
      <c r="EZ94" s="229"/>
      <c r="FA94" s="368">
        <v>329193.95</v>
      </c>
      <c r="FB94" s="368">
        <v>9971.9</v>
      </c>
      <c r="FC94" s="368">
        <v>0</v>
      </c>
      <c r="FD94" s="368">
        <v>0</v>
      </c>
      <c r="FE94" s="368">
        <v>127724.44</v>
      </c>
      <c r="FF94" s="368">
        <v>65140.39</v>
      </c>
      <c r="FG94" s="368">
        <v>2187.0500000000002</v>
      </c>
      <c r="FH94" s="368">
        <v>996.07</v>
      </c>
      <c r="FI94" s="368">
        <v>-46.73</v>
      </c>
      <c r="FJ94" s="368">
        <v>0</v>
      </c>
      <c r="FK94" s="368">
        <v>507.35</v>
      </c>
      <c r="FL94" s="368">
        <v>0</v>
      </c>
      <c r="FM94" s="368">
        <v>297307.77</v>
      </c>
      <c r="FN94" s="368">
        <v>189042.05</v>
      </c>
      <c r="FO94" s="323">
        <v>3001482.44</v>
      </c>
      <c r="FP94" s="323">
        <v>535674.42000000004</v>
      </c>
      <c r="FQ94" s="323">
        <v>3537156.86</v>
      </c>
      <c r="FR94" s="338">
        <v>276853.81</v>
      </c>
      <c r="FS94" s="338">
        <v>26188.959999999999</v>
      </c>
      <c r="FT94" s="377">
        <v>303042.77</v>
      </c>
      <c r="FU94" s="377">
        <v>3334926.53</v>
      </c>
      <c r="FV94" s="377">
        <v>548260.94999999995</v>
      </c>
      <c r="FW94" s="362">
        <v>3883187.48</v>
      </c>
      <c r="FX94" s="362">
        <v>3123437.01</v>
      </c>
      <c r="FY94" s="362">
        <v>479060.74</v>
      </c>
      <c r="FZ94" s="362">
        <v>3602497.75</v>
      </c>
      <c r="GA94" s="362">
        <v>488343.33</v>
      </c>
      <c r="GB94" s="362">
        <v>95389.17</v>
      </c>
      <c r="GC94" s="362">
        <v>583732.5</v>
      </c>
      <c r="GD94" s="362">
        <v>261736.01</v>
      </c>
      <c r="GE94" s="362">
        <v>-126533.14</v>
      </c>
      <c r="GF94" s="362">
        <v>135202.87</v>
      </c>
      <c r="GG94" s="202"/>
      <c r="GH94" s="416"/>
      <c r="GI94" s="414">
        <v>5333</v>
      </c>
      <c r="GJ94" s="419">
        <v>0</v>
      </c>
      <c r="GK94" s="396"/>
      <c r="GL94" s="202">
        <v>0</v>
      </c>
      <c r="GM94" s="202">
        <v>0</v>
      </c>
      <c r="GN94" s="323">
        <v>333444.09000000003</v>
      </c>
      <c r="GO94" s="323">
        <v>12586.53</v>
      </c>
      <c r="GP94" s="323">
        <v>346030.62</v>
      </c>
      <c r="GQ94" s="323">
        <v>595180.1</v>
      </c>
      <c r="GR94" s="323">
        <v>-113946.61</v>
      </c>
      <c r="GS94" s="323">
        <v>481233.49</v>
      </c>
    </row>
    <row r="95" spans="1:201" ht="12.75" customHeight="1" x14ac:dyDescent="0.2">
      <c r="A95" s="45" t="s">
        <v>157</v>
      </c>
      <c r="B95" s="123" t="s">
        <v>108</v>
      </c>
      <c r="C95" s="124" t="s">
        <v>135</v>
      </c>
      <c r="D95" s="390" t="s">
        <v>631</v>
      </c>
      <c r="E95" s="124" t="s">
        <v>9</v>
      </c>
      <c r="F95" s="11">
        <v>9</v>
      </c>
      <c r="G95" s="11">
        <v>1</v>
      </c>
      <c r="H95" s="11">
        <v>171</v>
      </c>
      <c r="I95" s="11">
        <v>170</v>
      </c>
      <c r="J95" s="11">
        <v>218</v>
      </c>
      <c r="K95" s="11">
        <v>243</v>
      </c>
      <c r="L95" s="11">
        <v>1</v>
      </c>
      <c r="M95" s="84">
        <v>934</v>
      </c>
      <c r="N95" s="139">
        <v>888</v>
      </c>
      <c r="O95" s="84">
        <v>0</v>
      </c>
      <c r="P95" s="135">
        <v>934</v>
      </c>
      <c r="Q95" s="139">
        <v>888</v>
      </c>
      <c r="R95" s="133">
        <v>0</v>
      </c>
      <c r="S95" s="133">
        <f t="shared" si="52"/>
        <v>1822</v>
      </c>
      <c r="T95" s="134">
        <v>934</v>
      </c>
      <c r="U95" s="130">
        <v>2.72</v>
      </c>
      <c r="V95" s="131">
        <v>1.21E-2</v>
      </c>
      <c r="W95" s="131">
        <v>1.9800000000000002E-2</v>
      </c>
      <c r="X95" s="132">
        <v>1.2700000000000001E-3</v>
      </c>
      <c r="Y95" s="131">
        <v>1.21E-2</v>
      </c>
      <c r="Z95" s="29">
        <v>4251.1899999999996</v>
      </c>
      <c r="AA95" s="29">
        <v>21.1</v>
      </c>
      <c r="AB95" s="9">
        <f t="shared" si="29"/>
        <v>4272.29</v>
      </c>
      <c r="AC95" s="9">
        <f t="shared" si="28"/>
        <v>27043.599999999999</v>
      </c>
      <c r="AD95" s="9">
        <v>2.95</v>
      </c>
      <c r="AE95" s="9">
        <v>3.26</v>
      </c>
      <c r="AF95" s="21">
        <f>2.42-AJ95</f>
        <v>2.2200000000000002</v>
      </c>
      <c r="AG95" s="18">
        <f>0.67-AQ95</f>
        <v>0.56000000000000005</v>
      </c>
      <c r="AH95" s="9">
        <v>2.77</v>
      </c>
      <c r="AI95" s="43">
        <v>852</v>
      </c>
      <c r="AJ95" s="21">
        <f t="shared" si="30"/>
        <v>0.2</v>
      </c>
      <c r="AK95" s="9">
        <v>1.01</v>
      </c>
      <c r="AL95" s="9">
        <v>0.09</v>
      </c>
      <c r="AM95" s="9">
        <v>0.22</v>
      </c>
      <c r="AN95" s="13"/>
      <c r="AO95" s="13">
        <v>1014.6</v>
      </c>
      <c r="AP95" s="13">
        <f t="shared" si="53"/>
        <v>5.58</v>
      </c>
      <c r="AQ95" s="18">
        <f t="shared" si="31"/>
        <v>0.11</v>
      </c>
      <c r="AR95" s="9">
        <v>1.22</v>
      </c>
      <c r="AS95" s="9">
        <v>0.32</v>
      </c>
      <c r="AT95" s="9">
        <v>7.0000000000000007E-2</v>
      </c>
      <c r="AU95" s="9">
        <v>3.59</v>
      </c>
      <c r="AV95" s="9">
        <v>0.16</v>
      </c>
      <c r="AW95" s="9">
        <f>1.35+0.32+0.55</f>
        <v>2.2200000000000002</v>
      </c>
      <c r="AX95" s="9">
        <f>1.88+0.42</f>
        <v>2.2999999999999998</v>
      </c>
      <c r="AY95" s="126">
        <f t="shared" si="54"/>
        <v>23.27</v>
      </c>
      <c r="AZ95" s="13">
        <v>23.27</v>
      </c>
      <c r="BA95" s="13">
        <f t="shared" si="32"/>
        <v>0</v>
      </c>
      <c r="BB95" s="9">
        <f t="shared" si="33"/>
        <v>99416.19</v>
      </c>
      <c r="BC95" s="9">
        <v>23.27</v>
      </c>
      <c r="BD95" s="10">
        <v>44440</v>
      </c>
      <c r="BE95" s="9">
        <f t="shared" si="34"/>
        <v>12603.26</v>
      </c>
      <c r="BF95" s="9">
        <f t="shared" si="35"/>
        <v>13927.67</v>
      </c>
      <c r="BG95" s="9">
        <f t="shared" si="36"/>
        <v>9484.48</v>
      </c>
      <c r="BH95" s="9">
        <f t="shared" si="37"/>
        <v>2392.48</v>
      </c>
      <c r="BI95" s="9">
        <f t="shared" si="38"/>
        <v>11834.24</v>
      </c>
      <c r="BJ95" s="9">
        <f t="shared" si="39"/>
        <v>854.46</v>
      </c>
      <c r="BK95" s="9">
        <f t="shared" si="40"/>
        <v>4315.01</v>
      </c>
      <c r="BL95" s="9">
        <f t="shared" si="41"/>
        <v>384.51</v>
      </c>
      <c r="BM95" s="9">
        <f t="shared" si="42"/>
        <v>939.9</v>
      </c>
      <c r="BN95" s="9">
        <f t="shared" si="43"/>
        <v>469.95</v>
      </c>
      <c r="BO95" s="9">
        <f t="shared" si="44"/>
        <v>5212.1899999999996</v>
      </c>
      <c r="BP95" s="9">
        <f t="shared" si="45"/>
        <v>1367.13</v>
      </c>
      <c r="BQ95" s="9">
        <f t="shared" si="46"/>
        <v>299.06</v>
      </c>
      <c r="BR95" s="9">
        <f t="shared" si="47"/>
        <v>15337.52</v>
      </c>
      <c r="BS95" s="9">
        <f t="shared" si="48"/>
        <v>683.57</v>
      </c>
      <c r="BT95" s="9">
        <f t="shared" si="49"/>
        <v>9484.48</v>
      </c>
      <c r="BU95" s="9">
        <f t="shared" si="50"/>
        <v>9826.27</v>
      </c>
      <c r="BV95" s="17">
        <f t="shared" si="51"/>
        <v>99416.18</v>
      </c>
      <c r="BW95" s="17">
        <v>2.42</v>
      </c>
      <c r="BX95" s="17">
        <v>0.08</v>
      </c>
      <c r="BY95" s="17">
        <v>0.71</v>
      </c>
      <c r="BZ95" s="17">
        <v>0.04</v>
      </c>
      <c r="CA95" s="29">
        <v>6.33</v>
      </c>
      <c r="CB95" s="325"/>
      <c r="CC95" s="13">
        <v>0</v>
      </c>
      <c r="CD95" s="13">
        <v>-2105.79</v>
      </c>
      <c r="CE95" s="13">
        <v>0</v>
      </c>
      <c r="CF95" s="13">
        <v>0</v>
      </c>
      <c r="CG95" s="13">
        <v>0</v>
      </c>
      <c r="CH95" s="13">
        <v>744</v>
      </c>
      <c r="CI95" s="13">
        <v>6985.22</v>
      </c>
      <c r="CJ95" s="13">
        <v>29484</v>
      </c>
      <c r="CK95" s="13">
        <v>1643.15</v>
      </c>
      <c r="CL95" s="13">
        <v>1187121.82</v>
      </c>
      <c r="CM95" s="13">
        <v>45318.8</v>
      </c>
      <c r="CN95" s="13">
        <v>6759.42</v>
      </c>
      <c r="CO95" s="13">
        <v>29500.92</v>
      </c>
      <c r="CP95" s="13">
        <v>15473.21</v>
      </c>
      <c r="CQ95" s="13">
        <v>0</v>
      </c>
      <c r="CR95" s="13">
        <v>1092474.5</v>
      </c>
      <c r="CS95" s="13">
        <v>42961.16</v>
      </c>
      <c r="CT95" s="13">
        <v>8062.81</v>
      </c>
      <c r="CU95" s="13">
        <v>31168.61</v>
      </c>
      <c r="CV95" s="13">
        <v>16201.91</v>
      </c>
      <c r="CW95" s="13">
        <v>0</v>
      </c>
      <c r="CX95" s="13">
        <v>221074.97</v>
      </c>
      <c r="CY95" s="13">
        <v>-1145.07</v>
      </c>
      <c r="CZ95" s="13">
        <v>-885.46</v>
      </c>
      <c r="DA95" s="13">
        <v>2351.19</v>
      </c>
      <c r="DB95" s="13">
        <v>1169.32</v>
      </c>
      <c r="DC95" s="13"/>
      <c r="DD95" s="315">
        <v>1284174.17</v>
      </c>
      <c r="DE95" s="317">
        <v>1190868.99</v>
      </c>
      <c r="DF95" s="317">
        <v>92.73</v>
      </c>
      <c r="DG95" s="318">
        <v>222564.95</v>
      </c>
      <c r="DH95" s="310">
        <v>44662.8</v>
      </c>
      <c r="DI95" s="310">
        <v>25543.08</v>
      </c>
      <c r="DJ95" s="312">
        <v>0</v>
      </c>
      <c r="DK95" s="362">
        <v>0</v>
      </c>
      <c r="DL95" s="362"/>
      <c r="DM95" s="362">
        <v>0</v>
      </c>
      <c r="DN95" s="362">
        <v>0</v>
      </c>
      <c r="DO95" s="362">
        <v>0</v>
      </c>
      <c r="DP95" s="362">
        <v>0</v>
      </c>
      <c r="DQ95" s="362">
        <v>0</v>
      </c>
      <c r="DR95" s="362"/>
      <c r="DS95" s="362">
        <v>0</v>
      </c>
      <c r="DT95" s="362"/>
      <c r="DU95" s="362">
        <v>0</v>
      </c>
      <c r="DV95" s="362">
        <v>0</v>
      </c>
      <c r="DW95" s="362">
        <v>51292.86</v>
      </c>
      <c r="DX95" s="362">
        <v>0</v>
      </c>
      <c r="DY95" s="362">
        <v>4500</v>
      </c>
      <c r="DZ95" s="375">
        <v>0</v>
      </c>
      <c r="EA95" s="362">
        <v>366054</v>
      </c>
      <c r="EB95" s="362">
        <v>7675</v>
      </c>
      <c r="EC95" s="362"/>
      <c r="ED95" s="362">
        <v>0</v>
      </c>
      <c r="EE95" s="362">
        <v>0</v>
      </c>
      <c r="EF95" s="362"/>
      <c r="EG95" s="362">
        <v>13560</v>
      </c>
      <c r="EH95" s="362">
        <v>4725</v>
      </c>
      <c r="EI95" s="362"/>
      <c r="EJ95" s="362">
        <v>0</v>
      </c>
      <c r="EK95" s="362"/>
      <c r="EL95" s="362">
        <v>312972</v>
      </c>
      <c r="EM95" s="362">
        <v>5661.48</v>
      </c>
      <c r="EN95" s="362">
        <v>0</v>
      </c>
      <c r="EO95" s="362">
        <v>372</v>
      </c>
      <c r="EP95" s="362">
        <v>0</v>
      </c>
      <c r="EQ95" s="362">
        <v>23400</v>
      </c>
      <c r="ER95" s="362">
        <v>16380</v>
      </c>
      <c r="ES95" s="362">
        <v>11304</v>
      </c>
      <c r="ET95" s="362">
        <v>20896</v>
      </c>
      <c r="EU95" s="362">
        <v>0</v>
      </c>
      <c r="EV95" s="362">
        <v>1001192.07</v>
      </c>
      <c r="EW95" s="362"/>
      <c r="EX95" s="202"/>
      <c r="EY95" s="202"/>
      <c r="EZ95" s="229"/>
      <c r="FA95" s="368">
        <v>46486.03</v>
      </c>
      <c r="FB95" s="368">
        <v>6862.42</v>
      </c>
      <c r="FC95" s="368">
        <v>0</v>
      </c>
      <c r="FD95" s="368">
        <v>0</v>
      </c>
      <c r="FE95" s="368">
        <v>-3513.12</v>
      </c>
      <c r="FF95" s="368">
        <v>-1839.24</v>
      </c>
      <c r="FG95" s="368">
        <v>3513.12</v>
      </c>
      <c r="FH95" s="368">
        <v>746.12</v>
      </c>
      <c r="FI95" s="368">
        <v>-3396.83</v>
      </c>
      <c r="FJ95" s="368">
        <v>0</v>
      </c>
      <c r="FK95" s="368">
        <v>18584.11</v>
      </c>
      <c r="FL95" s="368">
        <v>0</v>
      </c>
      <c r="FM95" s="368">
        <v>114223.49</v>
      </c>
      <c r="FN95" s="368">
        <v>72628.47</v>
      </c>
      <c r="FO95" s="323">
        <v>2097042.25</v>
      </c>
      <c r="FP95" s="323">
        <v>67442.61</v>
      </c>
      <c r="FQ95" s="323">
        <v>2164484.86</v>
      </c>
      <c r="FR95" s="338">
        <v>109300.31</v>
      </c>
      <c r="FS95" s="338">
        <v>-4261.7</v>
      </c>
      <c r="FT95" s="377">
        <v>105038.61</v>
      </c>
      <c r="FU95" s="377">
        <v>1223591.04</v>
      </c>
      <c r="FV95" s="377">
        <v>97333.71</v>
      </c>
      <c r="FW95" s="362">
        <v>1320924.75</v>
      </c>
      <c r="FX95" s="362">
        <v>1111816.3799999999</v>
      </c>
      <c r="FY95" s="362">
        <v>91582.03</v>
      </c>
      <c r="FZ95" s="362">
        <v>1203398.4099999999</v>
      </c>
      <c r="GA95" s="362">
        <v>221074.97</v>
      </c>
      <c r="GB95" s="362">
        <v>1489.98</v>
      </c>
      <c r="GC95" s="362">
        <v>222564.95</v>
      </c>
      <c r="GD95" s="362">
        <v>101606.05</v>
      </c>
      <c r="GE95" s="362">
        <v>-24760.98</v>
      </c>
      <c r="GF95" s="362">
        <v>76845.070000000007</v>
      </c>
      <c r="GG95" s="202">
        <v>0</v>
      </c>
      <c r="GH95" s="416">
        <v>0</v>
      </c>
      <c r="GI95" s="414">
        <v>2455</v>
      </c>
      <c r="GJ95" s="419">
        <v>-1361.79</v>
      </c>
      <c r="GK95" s="396">
        <v>0</v>
      </c>
      <c r="GL95" s="202">
        <v>0</v>
      </c>
      <c r="GM95" s="202">
        <v>0</v>
      </c>
      <c r="GN95" s="323">
        <v>-873451.21</v>
      </c>
      <c r="GO95" s="323">
        <v>29891.1</v>
      </c>
      <c r="GP95" s="323">
        <v>-843560.11</v>
      </c>
      <c r="GQ95" s="323">
        <v>-771845.16</v>
      </c>
      <c r="GR95" s="323">
        <v>5130.12</v>
      </c>
      <c r="GS95" s="323">
        <v>-766715.04</v>
      </c>
    </row>
    <row r="96" spans="1:201" ht="12.75" customHeight="1" x14ac:dyDescent="0.2">
      <c r="A96" s="45" t="s">
        <v>158</v>
      </c>
      <c r="B96" s="141" t="s">
        <v>108</v>
      </c>
      <c r="C96" s="142" t="s">
        <v>137</v>
      </c>
      <c r="D96" s="388" t="s">
        <v>427</v>
      </c>
      <c r="E96" s="142" t="s">
        <v>12</v>
      </c>
      <c r="F96" s="11">
        <v>5</v>
      </c>
      <c r="G96" s="11">
        <v>6</v>
      </c>
      <c r="H96" s="11">
        <v>90</v>
      </c>
      <c r="I96" s="11">
        <v>93</v>
      </c>
      <c r="J96" s="11">
        <v>170</v>
      </c>
      <c r="K96" s="11">
        <v>196</v>
      </c>
      <c r="L96" s="11" t="s">
        <v>746</v>
      </c>
      <c r="M96" s="84">
        <v>419</v>
      </c>
      <c r="N96" s="84">
        <v>1287</v>
      </c>
      <c r="O96" s="84">
        <v>0</v>
      </c>
      <c r="P96" s="135">
        <v>408.4</v>
      </c>
      <c r="Q96" s="135">
        <v>720.5</v>
      </c>
      <c r="R96" s="135">
        <v>720.5</v>
      </c>
      <c r="S96" s="133">
        <f t="shared" si="52"/>
        <v>1849.4</v>
      </c>
      <c r="T96" s="134">
        <v>419</v>
      </c>
      <c r="U96" s="130">
        <v>1.53</v>
      </c>
      <c r="V96" s="131">
        <v>1.9800000000000002E-2</v>
      </c>
      <c r="W96" s="131">
        <v>1.9800000000000002E-2</v>
      </c>
      <c r="X96" s="132">
        <v>1.2199999999999999E-3</v>
      </c>
      <c r="Y96" s="131">
        <v>3.95E-2</v>
      </c>
      <c r="Z96" s="29">
        <v>3947.81</v>
      </c>
      <c r="AA96" s="29">
        <v>44.3</v>
      </c>
      <c r="AB96" s="9">
        <f t="shared" si="29"/>
        <v>3992.11</v>
      </c>
      <c r="AC96" s="9">
        <f t="shared" si="28"/>
        <v>25270.06</v>
      </c>
      <c r="AD96" s="9">
        <v>0.52</v>
      </c>
      <c r="AE96" s="9">
        <v>4.74</v>
      </c>
      <c r="AF96" s="21">
        <f>2.51-AJ96</f>
        <v>2.2000000000000002</v>
      </c>
      <c r="AG96" s="18">
        <f>0.56-AQ96</f>
        <v>0.45</v>
      </c>
      <c r="AH96" s="9">
        <v>2.78</v>
      </c>
      <c r="AI96" s="43">
        <v>1236</v>
      </c>
      <c r="AJ96" s="21">
        <f t="shared" si="30"/>
        <v>0.31</v>
      </c>
      <c r="AK96" s="9">
        <v>0</v>
      </c>
      <c r="AL96" s="9">
        <v>0</v>
      </c>
      <c r="AM96" s="9">
        <v>0.14000000000000001</v>
      </c>
      <c r="AN96" s="13"/>
      <c r="AO96" s="13">
        <v>901.8</v>
      </c>
      <c r="AP96" s="13">
        <f t="shared" si="53"/>
        <v>5.58</v>
      </c>
      <c r="AQ96" s="18">
        <f t="shared" si="31"/>
        <v>0.11</v>
      </c>
      <c r="AR96" s="9">
        <v>0.85</v>
      </c>
      <c r="AS96" s="9">
        <v>0.34</v>
      </c>
      <c r="AT96" s="9">
        <v>7.0000000000000007E-2</v>
      </c>
      <c r="AU96" s="9">
        <v>3.59</v>
      </c>
      <c r="AV96" s="9">
        <v>0.13</v>
      </c>
      <c r="AW96" s="9">
        <f>1.12+0.32+0.33</f>
        <v>1.77</v>
      </c>
      <c r="AX96" s="9">
        <f>1.54+0.42</f>
        <v>1.96</v>
      </c>
      <c r="AY96" s="144">
        <f t="shared" si="54"/>
        <v>19.96</v>
      </c>
      <c r="AZ96" s="13">
        <v>19.96</v>
      </c>
      <c r="BA96" s="13">
        <f t="shared" si="32"/>
        <v>0</v>
      </c>
      <c r="BB96" s="9">
        <f t="shared" si="33"/>
        <v>79682.52</v>
      </c>
      <c r="BC96" s="9">
        <v>19.96</v>
      </c>
      <c r="BD96" s="10">
        <v>44409</v>
      </c>
      <c r="BE96" s="9">
        <f t="shared" si="34"/>
        <v>2075.9</v>
      </c>
      <c r="BF96" s="9">
        <f t="shared" si="35"/>
        <v>18922.599999999999</v>
      </c>
      <c r="BG96" s="9">
        <f t="shared" si="36"/>
        <v>8782.64</v>
      </c>
      <c r="BH96" s="9">
        <f t="shared" si="37"/>
        <v>1796.45</v>
      </c>
      <c r="BI96" s="9">
        <f t="shared" si="38"/>
        <v>11098.07</v>
      </c>
      <c r="BJ96" s="9">
        <f t="shared" si="39"/>
        <v>1237.55</v>
      </c>
      <c r="BK96" s="9">
        <f t="shared" si="40"/>
        <v>0</v>
      </c>
      <c r="BL96" s="9">
        <f t="shared" si="41"/>
        <v>0</v>
      </c>
      <c r="BM96" s="9">
        <f t="shared" si="42"/>
        <v>558.9</v>
      </c>
      <c r="BN96" s="9">
        <f t="shared" si="43"/>
        <v>439.13</v>
      </c>
      <c r="BO96" s="9">
        <f t="shared" si="44"/>
        <v>3393.29</v>
      </c>
      <c r="BP96" s="9">
        <f t="shared" si="45"/>
        <v>1357.32</v>
      </c>
      <c r="BQ96" s="9">
        <f t="shared" si="46"/>
        <v>279.45</v>
      </c>
      <c r="BR96" s="9">
        <f t="shared" si="47"/>
        <v>14331.67</v>
      </c>
      <c r="BS96" s="9">
        <f t="shared" si="48"/>
        <v>518.97</v>
      </c>
      <c r="BT96" s="9">
        <f t="shared" si="49"/>
        <v>7066.03</v>
      </c>
      <c r="BU96" s="9">
        <f t="shared" si="50"/>
        <v>7824.54</v>
      </c>
      <c r="BV96" s="17">
        <f t="shared" si="51"/>
        <v>79682.509999999995</v>
      </c>
      <c r="BW96" s="17">
        <v>2.2200000000000002</v>
      </c>
      <c r="BX96" s="17">
        <v>0.06</v>
      </c>
      <c r="BY96" s="17">
        <v>0.32</v>
      </c>
      <c r="BZ96" s="17">
        <v>0.06</v>
      </c>
      <c r="CA96" s="29">
        <v>6.33</v>
      </c>
      <c r="CB96" s="325"/>
      <c r="CC96" s="13">
        <v>14696.47</v>
      </c>
      <c r="CD96" s="13">
        <v>1215.9100000000001</v>
      </c>
      <c r="CE96" s="13">
        <v>324.26</v>
      </c>
      <c r="CF96" s="13">
        <v>188.62</v>
      </c>
      <c r="CG96" s="13">
        <v>39.65</v>
      </c>
      <c r="CH96" s="13">
        <v>0</v>
      </c>
      <c r="CI96" s="13">
        <v>11155.62</v>
      </c>
      <c r="CJ96" s="13">
        <v>44952</v>
      </c>
      <c r="CK96" s="13">
        <v>1535.04</v>
      </c>
      <c r="CL96" s="13">
        <v>941885.82</v>
      </c>
      <c r="CM96" s="13">
        <v>60599.68</v>
      </c>
      <c r="CN96" s="13">
        <v>36992.03</v>
      </c>
      <c r="CO96" s="13">
        <v>2595.13</v>
      </c>
      <c r="CP96" s="13">
        <v>2635.47</v>
      </c>
      <c r="CQ96" s="13">
        <v>0</v>
      </c>
      <c r="CR96" s="13">
        <v>858259.06</v>
      </c>
      <c r="CS96" s="13">
        <v>49615.28</v>
      </c>
      <c r="CT96" s="13">
        <v>29257.65</v>
      </c>
      <c r="CU96" s="13">
        <v>2598.71</v>
      </c>
      <c r="CV96" s="13">
        <v>2248.66</v>
      </c>
      <c r="CW96" s="13">
        <v>0</v>
      </c>
      <c r="CX96" s="13">
        <v>202809.59</v>
      </c>
      <c r="CY96" s="13">
        <v>15015.48</v>
      </c>
      <c r="CZ96" s="13">
        <v>11086.56</v>
      </c>
      <c r="DA96" s="13">
        <v>724.11</v>
      </c>
      <c r="DB96" s="13">
        <v>535.66</v>
      </c>
      <c r="DC96" s="13"/>
      <c r="DD96" s="315">
        <v>1044708.13</v>
      </c>
      <c r="DE96" s="317">
        <v>941979.36</v>
      </c>
      <c r="DF96" s="317">
        <v>90.17</v>
      </c>
      <c r="DG96" s="318">
        <v>230171.4</v>
      </c>
      <c r="DH96" s="310">
        <v>41472.959999999999</v>
      </c>
      <c r="DI96" s="310">
        <v>23718.84</v>
      </c>
      <c r="DJ96" s="312">
        <v>0</v>
      </c>
      <c r="DK96" s="362">
        <v>0</v>
      </c>
      <c r="DL96" s="362"/>
      <c r="DM96" s="362">
        <v>0</v>
      </c>
      <c r="DN96" s="362">
        <v>0</v>
      </c>
      <c r="DO96" s="362">
        <v>0</v>
      </c>
      <c r="DP96" s="362">
        <v>0</v>
      </c>
      <c r="DQ96" s="362">
        <v>0</v>
      </c>
      <c r="DR96" s="362"/>
      <c r="DS96" s="362">
        <v>0</v>
      </c>
      <c r="DT96" s="362"/>
      <c r="DU96" s="362">
        <v>0</v>
      </c>
      <c r="DV96" s="362">
        <v>0</v>
      </c>
      <c r="DW96" s="362">
        <v>0</v>
      </c>
      <c r="DX96" s="362">
        <v>0</v>
      </c>
      <c r="DY96" s="362">
        <v>0</v>
      </c>
      <c r="DZ96" s="375">
        <v>0</v>
      </c>
      <c r="EA96" s="362">
        <v>290448</v>
      </c>
      <c r="EB96" s="362">
        <v>7675</v>
      </c>
      <c r="EC96" s="362"/>
      <c r="ED96" s="362">
        <v>0</v>
      </c>
      <c r="EE96" s="362">
        <v>0</v>
      </c>
      <c r="EF96" s="362"/>
      <c r="EG96" s="362">
        <v>19668</v>
      </c>
      <c r="EH96" s="362">
        <v>77875</v>
      </c>
      <c r="EI96" s="362"/>
      <c r="EJ96" s="362">
        <v>39900</v>
      </c>
      <c r="EK96" s="362"/>
      <c r="EL96" s="362">
        <v>293580</v>
      </c>
      <c r="EM96" s="362">
        <v>5032.05</v>
      </c>
      <c r="EN96" s="362">
        <v>0</v>
      </c>
      <c r="EO96" s="362">
        <v>0</v>
      </c>
      <c r="EP96" s="362">
        <v>0</v>
      </c>
      <c r="EQ96" s="362">
        <v>23400</v>
      </c>
      <c r="ER96" s="362">
        <v>16380</v>
      </c>
      <c r="ES96" s="362">
        <v>0</v>
      </c>
      <c r="ET96" s="362">
        <v>17755</v>
      </c>
      <c r="EU96" s="362">
        <v>0</v>
      </c>
      <c r="EV96" s="362">
        <v>0</v>
      </c>
      <c r="EW96" s="362"/>
      <c r="EX96" s="202"/>
      <c r="EY96" s="202"/>
      <c r="EZ96" s="229"/>
      <c r="FA96" s="368">
        <v>87509.78</v>
      </c>
      <c r="FB96" s="368">
        <v>37426.5</v>
      </c>
      <c r="FC96" s="368">
        <v>0</v>
      </c>
      <c r="FD96" s="368">
        <v>0</v>
      </c>
      <c r="FE96" s="368">
        <v>3699.14</v>
      </c>
      <c r="FF96" s="368">
        <v>3011.47</v>
      </c>
      <c r="FG96" s="368">
        <v>-785.21</v>
      </c>
      <c r="FH96" s="368">
        <v>-1409.47</v>
      </c>
      <c r="FI96" s="368">
        <v>0</v>
      </c>
      <c r="FJ96" s="368">
        <v>0</v>
      </c>
      <c r="FK96" s="368">
        <v>21144.2</v>
      </c>
      <c r="FL96" s="368">
        <v>0</v>
      </c>
      <c r="FM96" s="368">
        <v>106720.31</v>
      </c>
      <c r="FN96" s="368">
        <v>67857.56</v>
      </c>
      <c r="FO96" s="323">
        <v>1031482.72</v>
      </c>
      <c r="FP96" s="323">
        <v>150596.41</v>
      </c>
      <c r="FQ96" s="323">
        <v>1182079.1299999999</v>
      </c>
      <c r="FR96" s="338">
        <v>131654.44</v>
      </c>
      <c r="FS96" s="338">
        <v>4539.8999999999996</v>
      </c>
      <c r="FT96" s="377">
        <v>136194.34</v>
      </c>
      <c r="FU96" s="377">
        <v>1012689.91</v>
      </c>
      <c r="FV96" s="377">
        <v>106125.79</v>
      </c>
      <c r="FW96" s="362">
        <v>1118815.7</v>
      </c>
      <c r="FX96" s="362">
        <v>938155.84</v>
      </c>
      <c r="FY96" s="362">
        <v>82886.259999999995</v>
      </c>
      <c r="FZ96" s="362">
        <v>1021042.1</v>
      </c>
      <c r="GA96" s="362">
        <v>206188.51</v>
      </c>
      <c r="GB96" s="362">
        <v>27779.43</v>
      </c>
      <c r="GC96" s="362">
        <v>233967.94</v>
      </c>
      <c r="GD96" s="362">
        <v>73327.649999999994</v>
      </c>
      <c r="GE96" s="362">
        <v>20828.25</v>
      </c>
      <c r="GF96" s="362">
        <v>94155.9</v>
      </c>
      <c r="GG96" s="202">
        <v>3796.54</v>
      </c>
      <c r="GH96" s="416">
        <v>89</v>
      </c>
      <c r="GI96" s="414">
        <v>4402</v>
      </c>
      <c r="GJ96" s="419">
        <v>16464.91</v>
      </c>
      <c r="GK96" s="396">
        <v>3796.54</v>
      </c>
      <c r="GL96" s="202">
        <v>3378.9205999999999</v>
      </c>
      <c r="GM96" s="202">
        <v>417.61939999999998</v>
      </c>
      <c r="GN96" s="323">
        <v>-18792.810000000001</v>
      </c>
      <c r="GO96" s="323">
        <v>-44470.62</v>
      </c>
      <c r="GP96" s="323">
        <v>-63263.43</v>
      </c>
      <c r="GQ96" s="323">
        <v>54534.84</v>
      </c>
      <c r="GR96" s="323">
        <v>-23642.37</v>
      </c>
      <c r="GS96" s="323">
        <v>30892.47</v>
      </c>
    </row>
    <row r="97" spans="1:201" ht="12.75" customHeight="1" x14ac:dyDescent="0.2">
      <c r="A97" s="45" t="s">
        <v>159</v>
      </c>
      <c r="B97" s="141" t="s">
        <v>108</v>
      </c>
      <c r="C97" s="142" t="s">
        <v>137</v>
      </c>
      <c r="D97" s="388" t="s">
        <v>560</v>
      </c>
      <c r="E97" s="142" t="s">
        <v>9</v>
      </c>
      <c r="F97" s="11">
        <v>5</v>
      </c>
      <c r="G97" s="11">
        <v>4</v>
      </c>
      <c r="H97" s="11">
        <v>69</v>
      </c>
      <c r="I97" s="11">
        <v>69</v>
      </c>
      <c r="J97" s="11">
        <v>168</v>
      </c>
      <c r="K97" s="11">
        <v>176</v>
      </c>
      <c r="L97" s="11" t="s">
        <v>746</v>
      </c>
      <c r="M97" s="84">
        <v>417</v>
      </c>
      <c r="N97" s="139">
        <v>1014</v>
      </c>
      <c r="O97" s="84">
        <v>0</v>
      </c>
      <c r="P97" s="135">
        <v>260.5</v>
      </c>
      <c r="Q97" s="139">
        <v>1014</v>
      </c>
      <c r="R97" s="133">
        <v>0</v>
      </c>
      <c r="S97" s="133">
        <f t="shared" si="52"/>
        <v>1274.5</v>
      </c>
      <c r="T97" s="134">
        <v>261</v>
      </c>
      <c r="U97" s="130">
        <v>1.53</v>
      </c>
      <c r="V97" s="131">
        <v>1.9800000000000002E-2</v>
      </c>
      <c r="W97" s="131">
        <v>1.9800000000000002E-2</v>
      </c>
      <c r="X97" s="132">
        <v>1.2199999999999999E-3</v>
      </c>
      <c r="Y97" s="131">
        <v>3.95E-2</v>
      </c>
      <c r="Z97" s="29">
        <v>3350.64</v>
      </c>
      <c r="AA97" s="29">
        <v>84.1</v>
      </c>
      <c r="AB97" s="9">
        <f t="shared" si="29"/>
        <v>3434.74</v>
      </c>
      <c r="AC97" s="9">
        <f t="shared" si="28"/>
        <v>21741.9</v>
      </c>
      <c r="AD97" s="9">
        <v>0.33</v>
      </c>
      <c r="AE97" s="9">
        <v>4.82</v>
      </c>
      <c r="AF97" s="21">
        <f>2.4-AJ97</f>
        <v>2.12</v>
      </c>
      <c r="AG97" s="18">
        <f>0.52-AQ97</f>
        <v>0.44</v>
      </c>
      <c r="AH97" s="9">
        <v>2.78</v>
      </c>
      <c r="AI97" s="43">
        <v>973</v>
      </c>
      <c r="AJ97" s="21">
        <f t="shared" si="30"/>
        <v>0.28000000000000003</v>
      </c>
      <c r="AK97" s="9">
        <v>0</v>
      </c>
      <c r="AL97" s="9">
        <v>0</v>
      </c>
      <c r="AM97" s="9">
        <v>0.14000000000000001</v>
      </c>
      <c r="AN97" s="13"/>
      <c r="AO97" s="13">
        <v>601.20000000000005</v>
      </c>
      <c r="AP97" s="13">
        <f t="shared" si="53"/>
        <v>5.58</v>
      </c>
      <c r="AQ97" s="18">
        <f t="shared" si="31"/>
        <v>0.08</v>
      </c>
      <c r="AR97" s="9">
        <v>0.62</v>
      </c>
      <c r="AS97" s="9">
        <v>0.34</v>
      </c>
      <c r="AT97" s="9">
        <v>7.0000000000000007E-2</v>
      </c>
      <c r="AU97" s="9">
        <v>4.1900000000000004</v>
      </c>
      <c r="AV97" s="9">
        <v>0.12</v>
      </c>
      <c r="AW97" s="9">
        <f>1.08+0.37+0.29</f>
        <v>1.74</v>
      </c>
      <c r="AX97" s="9">
        <f>1.47+0.49</f>
        <v>1.96</v>
      </c>
      <c r="AY97" s="144">
        <f t="shared" si="54"/>
        <v>20.03</v>
      </c>
      <c r="AZ97" s="13">
        <v>20.03</v>
      </c>
      <c r="BA97" s="13">
        <f t="shared" si="32"/>
        <v>0</v>
      </c>
      <c r="BB97" s="9">
        <f t="shared" si="33"/>
        <v>68797.84</v>
      </c>
      <c r="BC97" s="9">
        <v>20.03</v>
      </c>
      <c r="BD97" s="10">
        <v>44409</v>
      </c>
      <c r="BE97" s="9">
        <f t="shared" si="34"/>
        <v>1133.46</v>
      </c>
      <c r="BF97" s="9">
        <f t="shared" si="35"/>
        <v>16555.45</v>
      </c>
      <c r="BG97" s="9">
        <f t="shared" si="36"/>
        <v>7281.65</v>
      </c>
      <c r="BH97" s="9">
        <f t="shared" si="37"/>
        <v>1511.29</v>
      </c>
      <c r="BI97" s="9">
        <f t="shared" si="38"/>
        <v>9548.58</v>
      </c>
      <c r="BJ97" s="9">
        <f t="shared" si="39"/>
        <v>961.73</v>
      </c>
      <c r="BK97" s="9">
        <f t="shared" si="40"/>
        <v>0</v>
      </c>
      <c r="BL97" s="9">
        <f t="shared" si="41"/>
        <v>0</v>
      </c>
      <c r="BM97" s="9">
        <f t="shared" si="42"/>
        <v>480.86</v>
      </c>
      <c r="BN97" s="9">
        <f t="shared" si="43"/>
        <v>274.77999999999997</v>
      </c>
      <c r="BO97" s="9">
        <f t="shared" si="44"/>
        <v>2129.54</v>
      </c>
      <c r="BP97" s="9">
        <f t="shared" si="45"/>
        <v>1167.81</v>
      </c>
      <c r="BQ97" s="9">
        <f t="shared" si="46"/>
        <v>240.43</v>
      </c>
      <c r="BR97" s="9">
        <f t="shared" si="47"/>
        <v>14391.56</v>
      </c>
      <c r="BS97" s="9">
        <f t="shared" si="48"/>
        <v>412.17</v>
      </c>
      <c r="BT97" s="9">
        <f t="shared" si="49"/>
        <v>5976.45</v>
      </c>
      <c r="BU97" s="9">
        <f t="shared" si="50"/>
        <v>6732.09</v>
      </c>
      <c r="BV97" s="17">
        <f t="shared" si="51"/>
        <v>68797.850000000006</v>
      </c>
      <c r="BW97" s="17">
        <v>0.47</v>
      </c>
      <c r="BX97" s="17">
        <v>0.04</v>
      </c>
      <c r="BY97" s="17">
        <v>0.24</v>
      </c>
      <c r="BZ97" s="17">
        <v>0.05</v>
      </c>
      <c r="CA97" s="29">
        <v>6.33</v>
      </c>
      <c r="CB97" s="325"/>
      <c r="CC97" s="13">
        <v>14350.3</v>
      </c>
      <c r="CD97" s="13">
        <v>1017.31</v>
      </c>
      <c r="CE97" s="13">
        <v>1248.42</v>
      </c>
      <c r="CF97" s="13">
        <v>73.36</v>
      </c>
      <c r="CG97" s="13">
        <v>24.34</v>
      </c>
      <c r="CH97" s="13">
        <v>0</v>
      </c>
      <c r="CI97" s="13">
        <v>4765.66</v>
      </c>
      <c r="CJ97" s="13">
        <v>37899.69</v>
      </c>
      <c r="CK97" s="13">
        <v>1320.97</v>
      </c>
      <c r="CL97" s="13">
        <v>805360.68</v>
      </c>
      <c r="CM97" s="13">
        <v>74819.89</v>
      </c>
      <c r="CN97" s="13">
        <v>103099.55</v>
      </c>
      <c r="CO97" s="13">
        <v>1373.27</v>
      </c>
      <c r="CP97" s="13">
        <v>1776.85</v>
      </c>
      <c r="CQ97" s="13">
        <v>0</v>
      </c>
      <c r="CR97" s="13">
        <v>692825.88</v>
      </c>
      <c r="CS97" s="13">
        <v>59973.63</v>
      </c>
      <c r="CT97" s="13">
        <v>90505.41</v>
      </c>
      <c r="CU97" s="13">
        <v>2015.02</v>
      </c>
      <c r="CV97" s="13">
        <v>1515.11</v>
      </c>
      <c r="CW97" s="13">
        <v>0</v>
      </c>
      <c r="CX97" s="13">
        <v>165828.82</v>
      </c>
      <c r="CY97" s="13">
        <v>25920.41</v>
      </c>
      <c r="CZ97" s="13">
        <v>14780.78</v>
      </c>
      <c r="DA97" s="13">
        <v>593.95000000000005</v>
      </c>
      <c r="DB97" s="13">
        <v>405.38</v>
      </c>
      <c r="DC97" s="13"/>
      <c r="DD97" s="315">
        <v>986430.24</v>
      </c>
      <c r="DE97" s="317">
        <v>846835.05</v>
      </c>
      <c r="DF97" s="317">
        <v>85.85</v>
      </c>
      <c r="DG97" s="318">
        <v>207529.34</v>
      </c>
      <c r="DH97" s="310">
        <v>35206.559999999998</v>
      </c>
      <c r="DI97" s="310">
        <v>20135.04</v>
      </c>
      <c r="DJ97" s="312">
        <v>0</v>
      </c>
      <c r="DK97" s="362">
        <v>0</v>
      </c>
      <c r="DL97" s="362"/>
      <c r="DM97" s="362">
        <v>0</v>
      </c>
      <c r="DN97" s="362">
        <v>0</v>
      </c>
      <c r="DO97" s="362">
        <v>0</v>
      </c>
      <c r="DP97" s="362">
        <v>0</v>
      </c>
      <c r="DQ97" s="362">
        <v>0</v>
      </c>
      <c r="DR97" s="362"/>
      <c r="DS97" s="362">
        <v>0</v>
      </c>
      <c r="DT97" s="362"/>
      <c r="DU97" s="362">
        <v>0</v>
      </c>
      <c r="DV97" s="362">
        <v>0</v>
      </c>
      <c r="DW97" s="362">
        <v>0</v>
      </c>
      <c r="DX97" s="362">
        <v>0</v>
      </c>
      <c r="DY97" s="362">
        <v>0</v>
      </c>
      <c r="DZ97" s="375">
        <v>0</v>
      </c>
      <c r="EA97" s="362">
        <v>216774</v>
      </c>
      <c r="EB97" s="362">
        <v>7675</v>
      </c>
      <c r="EC97" s="362"/>
      <c r="ED97" s="362">
        <v>0</v>
      </c>
      <c r="EE97" s="362">
        <v>0</v>
      </c>
      <c r="EF97" s="362"/>
      <c r="EG97" s="362">
        <v>15486</v>
      </c>
      <c r="EH97" s="362">
        <v>46760</v>
      </c>
      <c r="EI97" s="362"/>
      <c r="EJ97" s="362">
        <v>27480</v>
      </c>
      <c r="EK97" s="362"/>
      <c r="EL97" s="362">
        <v>276540</v>
      </c>
      <c r="EM97" s="362">
        <v>3354.69</v>
      </c>
      <c r="EN97" s="362">
        <v>0</v>
      </c>
      <c r="EO97" s="362">
        <v>0</v>
      </c>
      <c r="EP97" s="362">
        <v>0</v>
      </c>
      <c r="EQ97" s="362">
        <v>0</v>
      </c>
      <c r="ER97" s="362">
        <v>16380</v>
      </c>
      <c r="ES97" s="362">
        <v>0</v>
      </c>
      <c r="ET97" s="362">
        <v>12349</v>
      </c>
      <c r="EU97" s="362">
        <v>0</v>
      </c>
      <c r="EV97" s="362">
        <v>0</v>
      </c>
      <c r="EW97" s="362"/>
      <c r="EX97" s="202"/>
      <c r="EY97" s="202"/>
      <c r="EZ97" s="229"/>
      <c r="FA97" s="368">
        <v>75260.820000000007</v>
      </c>
      <c r="FB97" s="368">
        <v>91780.18</v>
      </c>
      <c r="FC97" s="368">
        <v>0</v>
      </c>
      <c r="FD97" s="368">
        <v>0</v>
      </c>
      <c r="FE97" s="368">
        <v>2442.27</v>
      </c>
      <c r="FF97" s="368">
        <v>1852.27</v>
      </c>
      <c r="FG97" s="368">
        <v>0</v>
      </c>
      <c r="FH97" s="368">
        <v>-878.78</v>
      </c>
      <c r="FI97" s="368">
        <v>0</v>
      </c>
      <c r="FJ97" s="368">
        <v>0</v>
      </c>
      <c r="FK97" s="368">
        <v>22384.86</v>
      </c>
      <c r="FL97" s="368">
        <v>0</v>
      </c>
      <c r="FM97" s="368">
        <v>91827.99</v>
      </c>
      <c r="FN97" s="368">
        <v>58388.52</v>
      </c>
      <c r="FO97" s="323">
        <v>828356.8</v>
      </c>
      <c r="FP97" s="323">
        <v>192841.62</v>
      </c>
      <c r="FQ97" s="323">
        <v>1021198.42</v>
      </c>
      <c r="FR97" s="338">
        <v>76918.53</v>
      </c>
      <c r="FS97" s="338">
        <v>9090.39</v>
      </c>
      <c r="FT97" s="377">
        <v>86008.92</v>
      </c>
      <c r="FU97" s="377">
        <v>862376.33</v>
      </c>
      <c r="FV97" s="377">
        <v>184753.96</v>
      </c>
      <c r="FW97" s="362">
        <v>1047130.29</v>
      </c>
      <c r="FX97" s="362">
        <v>764027.22</v>
      </c>
      <c r="FY97" s="362">
        <v>150607.28</v>
      </c>
      <c r="FZ97" s="362">
        <v>914634.5</v>
      </c>
      <c r="GA97" s="362">
        <v>175267.64</v>
      </c>
      <c r="GB97" s="362">
        <v>43237.07</v>
      </c>
      <c r="GC97" s="362">
        <v>218504.71</v>
      </c>
      <c r="GD97" s="362">
        <v>15681.1</v>
      </c>
      <c r="GE97" s="362">
        <v>-29220.79</v>
      </c>
      <c r="GF97" s="362">
        <v>-13539.69</v>
      </c>
      <c r="GG97" s="202">
        <v>10975.37</v>
      </c>
      <c r="GH97" s="416">
        <v>86</v>
      </c>
      <c r="GI97" s="414">
        <v>2455</v>
      </c>
      <c r="GJ97" s="419">
        <v>16713.73</v>
      </c>
      <c r="GK97" s="396">
        <v>10975.37</v>
      </c>
      <c r="GL97" s="202">
        <v>9438.8181999999997</v>
      </c>
      <c r="GM97" s="202">
        <v>1536.5518</v>
      </c>
      <c r="GN97" s="323">
        <v>34019.53</v>
      </c>
      <c r="GO97" s="323">
        <v>-8087.66</v>
      </c>
      <c r="GP97" s="323">
        <v>25931.87</v>
      </c>
      <c r="GQ97" s="323">
        <v>49700.63</v>
      </c>
      <c r="GR97" s="323">
        <v>-37308.449999999997</v>
      </c>
      <c r="GS97" s="323">
        <v>12392.18</v>
      </c>
    </row>
    <row r="98" spans="1:201" ht="12.75" customHeight="1" x14ac:dyDescent="0.2">
      <c r="A98" s="45" t="s">
        <v>160</v>
      </c>
      <c r="B98" s="78" t="s">
        <v>108</v>
      </c>
      <c r="C98" s="79" t="s">
        <v>140</v>
      </c>
      <c r="D98" s="388" t="s">
        <v>428</v>
      </c>
      <c r="E98" s="79" t="s">
        <v>12</v>
      </c>
      <c r="F98" s="11">
        <v>9</v>
      </c>
      <c r="G98" s="11">
        <v>2</v>
      </c>
      <c r="H98" s="11">
        <v>72</v>
      </c>
      <c r="I98" s="11">
        <v>72</v>
      </c>
      <c r="J98" s="11">
        <v>170</v>
      </c>
      <c r="K98" s="11">
        <v>214</v>
      </c>
      <c r="L98" s="11">
        <v>2</v>
      </c>
      <c r="M98" s="84">
        <v>594</v>
      </c>
      <c r="N98" s="84">
        <v>629</v>
      </c>
      <c r="O98" s="84">
        <v>0</v>
      </c>
      <c r="P98" s="135">
        <f>280+314.1+9.3+4.8+32</f>
        <v>640.20000000000005</v>
      </c>
      <c r="Q98" s="135">
        <v>550.70000000000005</v>
      </c>
      <c r="R98" s="133">
        <v>0</v>
      </c>
      <c r="S98" s="133">
        <f t="shared" si="52"/>
        <v>1190.9000000000001</v>
      </c>
      <c r="T98" s="134">
        <v>640.20000000000005</v>
      </c>
      <c r="U98" s="130">
        <v>2.44</v>
      </c>
      <c r="V98" s="91">
        <v>1.9800000000000002E-2</v>
      </c>
      <c r="W98" s="91">
        <v>1.9800000000000002E-2</v>
      </c>
      <c r="X98" s="132">
        <v>1.32E-3</v>
      </c>
      <c r="Y98" s="91">
        <v>3.9699999999999999E-2</v>
      </c>
      <c r="Z98" s="29">
        <v>3809.79</v>
      </c>
      <c r="AA98" s="29"/>
      <c r="AB98" s="9">
        <f t="shared" si="29"/>
        <v>3809.79</v>
      </c>
      <c r="AC98" s="9">
        <f t="shared" si="28"/>
        <v>24115.97</v>
      </c>
      <c r="AD98" s="9">
        <v>2.13</v>
      </c>
      <c r="AE98" s="9">
        <v>4.26</v>
      </c>
      <c r="AF98" s="21">
        <f>2.49-AJ98</f>
        <v>2.33</v>
      </c>
      <c r="AG98" s="18">
        <f>0.62-AQ98</f>
        <v>0.56999999999999995</v>
      </c>
      <c r="AH98" s="9">
        <v>2.78</v>
      </c>
      <c r="AI98" s="43">
        <v>604</v>
      </c>
      <c r="AJ98" s="21">
        <f t="shared" si="30"/>
        <v>0.16</v>
      </c>
      <c r="AK98" s="9">
        <v>2.2400000000000002</v>
      </c>
      <c r="AL98" s="9">
        <v>0.2</v>
      </c>
      <c r="AM98" s="9">
        <v>0.15</v>
      </c>
      <c r="AN98" s="13"/>
      <c r="AO98" s="13">
        <v>422.4</v>
      </c>
      <c r="AP98" s="13">
        <f t="shared" si="53"/>
        <v>5.58</v>
      </c>
      <c r="AQ98" s="18">
        <f t="shared" si="31"/>
        <v>0.05</v>
      </c>
      <c r="AR98" s="9">
        <v>0.59</v>
      </c>
      <c r="AS98" s="9">
        <v>0.36</v>
      </c>
      <c r="AT98" s="9">
        <v>7.0000000000000007E-2</v>
      </c>
      <c r="AU98" s="9">
        <v>3.88</v>
      </c>
      <c r="AV98" s="9">
        <v>0.15</v>
      </c>
      <c r="AW98" s="9">
        <f>1.43+0.34+0.26</f>
        <v>2.0299999999999998</v>
      </c>
      <c r="AX98" s="9">
        <f>2.01+0.46</f>
        <v>2.4700000000000002</v>
      </c>
      <c r="AY98" s="81">
        <f t="shared" si="54"/>
        <v>24.42</v>
      </c>
      <c r="AZ98" s="13">
        <v>24.42</v>
      </c>
      <c r="BA98" s="13">
        <f t="shared" si="32"/>
        <v>0</v>
      </c>
      <c r="BB98" s="9">
        <f t="shared" si="33"/>
        <v>93035.07</v>
      </c>
      <c r="BC98" s="9">
        <v>24.42</v>
      </c>
      <c r="BD98" s="10">
        <v>44378</v>
      </c>
      <c r="BE98" s="9">
        <f t="shared" si="34"/>
        <v>8114.85</v>
      </c>
      <c r="BF98" s="9">
        <f t="shared" si="35"/>
        <v>16229.71</v>
      </c>
      <c r="BG98" s="9">
        <f t="shared" si="36"/>
        <v>8876.81</v>
      </c>
      <c r="BH98" s="9">
        <f t="shared" si="37"/>
        <v>2171.58</v>
      </c>
      <c r="BI98" s="9">
        <f t="shared" si="38"/>
        <v>10591.22</v>
      </c>
      <c r="BJ98" s="9">
        <f t="shared" si="39"/>
        <v>609.57000000000005</v>
      </c>
      <c r="BK98" s="9">
        <f t="shared" si="40"/>
        <v>8533.93</v>
      </c>
      <c r="BL98" s="9">
        <f t="shared" si="41"/>
        <v>761.96</v>
      </c>
      <c r="BM98" s="9">
        <f t="shared" si="42"/>
        <v>571.47</v>
      </c>
      <c r="BN98" s="9">
        <f t="shared" si="43"/>
        <v>190.49</v>
      </c>
      <c r="BO98" s="9">
        <f t="shared" si="44"/>
        <v>2247.7800000000002</v>
      </c>
      <c r="BP98" s="9">
        <f t="shared" si="45"/>
        <v>1371.52</v>
      </c>
      <c r="BQ98" s="9">
        <f t="shared" si="46"/>
        <v>266.69</v>
      </c>
      <c r="BR98" s="9">
        <f t="shared" si="47"/>
        <v>14781.99</v>
      </c>
      <c r="BS98" s="9">
        <f t="shared" si="48"/>
        <v>571.47</v>
      </c>
      <c r="BT98" s="9">
        <f t="shared" si="49"/>
        <v>7733.87</v>
      </c>
      <c r="BU98" s="9">
        <f t="shared" si="50"/>
        <v>9410.18</v>
      </c>
      <c r="BV98" s="17">
        <f t="shared" si="51"/>
        <v>93035.09</v>
      </c>
      <c r="BW98" s="17">
        <v>3.27</v>
      </c>
      <c r="BX98" s="17">
        <v>0.09</v>
      </c>
      <c r="BY98" s="17">
        <v>0.6</v>
      </c>
      <c r="BZ98" s="17">
        <v>0.1</v>
      </c>
      <c r="CA98" s="29">
        <v>6.33</v>
      </c>
      <c r="CB98" s="325"/>
      <c r="CC98" s="13">
        <v>0</v>
      </c>
      <c r="CD98" s="13">
        <v>0</v>
      </c>
      <c r="CE98" s="13">
        <v>0</v>
      </c>
      <c r="CF98" s="13">
        <v>0</v>
      </c>
      <c r="CG98" s="13">
        <v>0</v>
      </c>
      <c r="CH98" s="13">
        <v>0</v>
      </c>
      <c r="CI98" s="13">
        <v>5123.1499999999996</v>
      </c>
      <c r="CJ98" s="13">
        <v>31284</v>
      </c>
      <c r="CK98" s="13">
        <v>1465.2</v>
      </c>
      <c r="CL98" s="13">
        <v>1116421.32</v>
      </c>
      <c r="CM98" s="13">
        <v>83206.070000000007</v>
      </c>
      <c r="CN98" s="13">
        <v>0</v>
      </c>
      <c r="CO98" s="13">
        <v>20725.64</v>
      </c>
      <c r="CP98" s="13">
        <v>13296.89</v>
      </c>
      <c r="CQ98" s="13">
        <v>0</v>
      </c>
      <c r="CR98" s="13">
        <v>1006586.97</v>
      </c>
      <c r="CS98" s="13">
        <v>70896.039999999994</v>
      </c>
      <c r="CT98" s="13">
        <v>5990.8</v>
      </c>
      <c r="CU98" s="13">
        <v>17560.04</v>
      </c>
      <c r="CV98" s="13">
        <v>11459.93</v>
      </c>
      <c r="CW98" s="13">
        <v>0</v>
      </c>
      <c r="CX98" s="13">
        <v>214876.14</v>
      </c>
      <c r="CY98" s="13">
        <v>9541.74</v>
      </c>
      <c r="CZ98" s="13">
        <v>-7193.43</v>
      </c>
      <c r="DA98" s="13">
        <v>4232.67</v>
      </c>
      <c r="DB98" s="13">
        <v>2687.15</v>
      </c>
      <c r="DC98" s="13"/>
      <c r="DD98" s="315">
        <v>1233649.92</v>
      </c>
      <c r="DE98" s="317">
        <v>1112493.78</v>
      </c>
      <c r="DF98" s="317">
        <v>90.18</v>
      </c>
      <c r="DG98" s="318">
        <v>224144.27</v>
      </c>
      <c r="DH98" s="310">
        <v>40031.040000000001</v>
      </c>
      <c r="DI98" s="310">
        <v>22894.2</v>
      </c>
      <c r="DJ98" s="312">
        <v>0</v>
      </c>
      <c r="DK98" s="362">
        <v>0</v>
      </c>
      <c r="DL98" s="362"/>
      <c r="DM98" s="362">
        <v>0</v>
      </c>
      <c r="DN98" s="362">
        <v>0</v>
      </c>
      <c r="DO98" s="362">
        <v>0</v>
      </c>
      <c r="DP98" s="362">
        <v>0</v>
      </c>
      <c r="DQ98" s="362">
        <v>0</v>
      </c>
      <c r="DR98" s="362"/>
      <c r="DS98" s="362">
        <v>0</v>
      </c>
      <c r="DT98" s="362"/>
      <c r="DU98" s="362">
        <v>0</v>
      </c>
      <c r="DV98" s="362">
        <v>0</v>
      </c>
      <c r="DW98" s="362">
        <v>103200</v>
      </c>
      <c r="DX98" s="362">
        <v>0</v>
      </c>
      <c r="DY98" s="362">
        <v>9000</v>
      </c>
      <c r="DZ98" s="375">
        <v>0</v>
      </c>
      <c r="EA98" s="362">
        <v>340362</v>
      </c>
      <c r="EB98" s="362">
        <v>15866.67</v>
      </c>
      <c r="EC98" s="362"/>
      <c r="ED98" s="362">
        <v>0</v>
      </c>
      <c r="EE98" s="362">
        <v>0</v>
      </c>
      <c r="EF98" s="362"/>
      <c r="EG98" s="362">
        <v>9612</v>
      </c>
      <c r="EH98" s="362">
        <v>0</v>
      </c>
      <c r="EI98" s="362"/>
      <c r="EJ98" s="362">
        <v>0</v>
      </c>
      <c r="EK98" s="362"/>
      <c r="EL98" s="362">
        <v>0</v>
      </c>
      <c r="EM98" s="362">
        <v>2356.98</v>
      </c>
      <c r="EN98" s="362">
        <v>0</v>
      </c>
      <c r="EO98" s="362">
        <v>0</v>
      </c>
      <c r="EP98" s="362">
        <v>243336</v>
      </c>
      <c r="EQ98" s="362">
        <v>0</v>
      </c>
      <c r="ER98" s="362">
        <v>16380</v>
      </c>
      <c r="ES98" s="362">
        <v>5770</v>
      </c>
      <c r="ET98" s="362">
        <v>8988</v>
      </c>
      <c r="EU98" s="362">
        <v>0</v>
      </c>
      <c r="EV98" s="362">
        <v>5219</v>
      </c>
      <c r="EW98" s="362"/>
      <c r="EX98" s="202"/>
      <c r="EY98" s="202"/>
      <c r="EZ98" s="229"/>
      <c r="FA98" s="368">
        <v>93152.75</v>
      </c>
      <c r="FB98" s="368">
        <v>0</v>
      </c>
      <c r="FC98" s="368">
        <v>0</v>
      </c>
      <c r="FD98" s="368">
        <v>0</v>
      </c>
      <c r="FE98" s="368">
        <v>21845.09</v>
      </c>
      <c r="FF98" s="368">
        <v>14016.71</v>
      </c>
      <c r="FG98" s="368">
        <v>-108.1</v>
      </c>
      <c r="FH98" s="368">
        <v>-1091.0999999999999</v>
      </c>
      <c r="FI98" s="368">
        <v>0</v>
      </c>
      <c r="FJ98" s="368">
        <v>0</v>
      </c>
      <c r="FK98" s="368">
        <v>10947.83</v>
      </c>
      <c r="FL98" s="368">
        <v>0</v>
      </c>
      <c r="FM98" s="368">
        <v>101854.97</v>
      </c>
      <c r="FN98" s="368">
        <v>64764.15</v>
      </c>
      <c r="FO98" s="323">
        <v>989635.01</v>
      </c>
      <c r="FP98" s="323">
        <v>138763.18</v>
      </c>
      <c r="FQ98" s="323">
        <v>1128398.19</v>
      </c>
      <c r="FR98" s="338">
        <v>109653.75999999999</v>
      </c>
      <c r="FS98" s="338">
        <v>7640.87</v>
      </c>
      <c r="FT98" s="377">
        <v>117294.63</v>
      </c>
      <c r="FU98" s="377">
        <v>1152828.47</v>
      </c>
      <c r="FV98" s="377">
        <v>118693.8</v>
      </c>
      <c r="FW98" s="362">
        <v>1271522.27</v>
      </c>
      <c r="FX98" s="362">
        <v>1047606.09</v>
      </c>
      <c r="FY98" s="362">
        <v>117066.54</v>
      </c>
      <c r="FZ98" s="362">
        <v>1164672.6299999999</v>
      </c>
      <c r="GA98" s="362">
        <v>214876.14</v>
      </c>
      <c r="GB98" s="362">
        <v>9268.1299999999992</v>
      </c>
      <c r="GC98" s="362">
        <v>224144.27</v>
      </c>
      <c r="GD98" s="362">
        <v>76639.94</v>
      </c>
      <c r="GE98" s="362">
        <v>8868.3700000000008</v>
      </c>
      <c r="GF98" s="362">
        <v>85508.31</v>
      </c>
      <c r="GG98" s="202"/>
      <c r="GH98" s="416"/>
      <c r="GI98" s="414">
        <v>2455</v>
      </c>
      <c r="GJ98" s="419">
        <v>0</v>
      </c>
      <c r="GK98" s="396"/>
      <c r="GL98" s="202">
        <v>0</v>
      </c>
      <c r="GM98" s="202">
        <v>0</v>
      </c>
      <c r="GN98" s="323">
        <v>163193.46</v>
      </c>
      <c r="GO98" s="323">
        <v>-20069.38</v>
      </c>
      <c r="GP98" s="323">
        <v>143124.07999999999</v>
      </c>
      <c r="GQ98" s="323">
        <v>239833.4</v>
      </c>
      <c r="GR98" s="323">
        <v>-11201.01</v>
      </c>
      <c r="GS98" s="323">
        <v>228632.39</v>
      </c>
    </row>
    <row r="99" spans="1:201" ht="12.75" customHeight="1" x14ac:dyDescent="0.2">
      <c r="A99" s="45" t="s">
        <v>161</v>
      </c>
      <c r="B99" s="141" t="s">
        <v>108</v>
      </c>
      <c r="C99" s="142" t="s">
        <v>142</v>
      </c>
      <c r="D99" s="388" t="s">
        <v>429</v>
      </c>
      <c r="E99" s="142" t="s">
        <v>12</v>
      </c>
      <c r="F99" s="11">
        <v>5</v>
      </c>
      <c r="G99" s="11">
        <v>6</v>
      </c>
      <c r="H99" s="11">
        <v>100</v>
      </c>
      <c r="I99" s="11">
        <v>101</v>
      </c>
      <c r="J99" s="11">
        <v>181</v>
      </c>
      <c r="K99" s="11">
        <v>231</v>
      </c>
      <c r="L99" s="11" t="s">
        <v>746</v>
      </c>
      <c r="M99" s="84">
        <v>501</v>
      </c>
      <c r="N99" s="84">
        <v>1339</v>
      </c>
      <c r="O99" s="84">
        <v>0</v>
      </c>
      <c r="P99" s="135">
        <v>775.5</v>
      </c>
      <c r="Q99" s="135">
        <v>953.5</v>
      </c>
      <c r="R99" s="133">
        <v>0</v>
      </c>
      <c r="S99" s="133">
        <f t="shared" si="52"/>
        <v>1729</v>
      </c>
      <c r="T99" s="139">
        <v>501</v>
      </c>
      <c r="U99" s="130">
        <v>1.53</v>
      </c>
      <c r="V99" s="131">
        <v>1.9800000000000002E-2</v>
      </c>
      <c r="W99" s="131">
        <v>1.9800000000000002E-2</v>
      </c>
      <c r="X99" s="132">
        <v>1.2199999999999999E-3</v>
      </c>
      <c r="Y99" s="131">
        <v>3.95E-2</v>
      </c>
      <c r="Z99" s="29">
        <v>4530.6499999999996</v>
      </c>
      <c r="AA99" s="29">
        <v>40.200000000000003</v>
      </c>
      <c r="AB99" s="9">
        <f t="shared" si="29"/>
        <v>4570.8500000000004</v>
      </c>
      <c r="AC99" s="9">
        <f t="shared" si="28"/>
        <v>28933.48</v>
      </c>
      <c r="AD99" s="9">
        <v>0.43</v>
      </c>
      <c r="AE99" s="9">
        <v>4.1100000000000003</v>
      </c>
      <c r="AF99" s="21">
        <f>2.47-AJ99</f>
        <v>2.19</v>
      </c>
      <c r="AG99" s="18">
        <f>0.55-AQ99</f>
        <v>0.45</v>
      </c>
      <c r="AH99" s="9">
        <v>2.78</v>
      </c>
      <c r="AI99" s="43">
        <v>1285</v>
      </c>
      <c r="AJ99" s="21">
        <f t="shared" si="30"/>
        <v>0.28000000000000003</v>
      </c>
      <c r="AK99" s="9">
        <v>0</v>
      </c>
      <c r="AL99" s="9">
        <v>0</v>
      </c>
      <c r="AM99" s="9">
        <v>0.13</v>
      </c>
      <c r="AN99" s="13"/>
      <c r="AO99" s="13">
        <v>945</v>
      </c>
      <c r="AP99" s="13">
        <f t="shared" si="53"/>
        <v>5.58</v>
      </c>
      <c r="AQ99" s="18">
        <f t="shared" si="31"/>
        <v>0.1</v>
      </c>
      <c r="AR99" s="9">
        <v>0.8</v>
      </c>
      <c r="AS99" s="9">
        <v>0.3</v>
      </c>
      <c r="AT99" s="9">
        <v>7.0000000000000007E-2</v>
      </c>
      <c r="AU99" s="9">
        <v>4.57</v>
      </c>
      <c r="AV99" s="9">
        <v>0.12</v>
      </c>
      <c r="AW99" s="9">
        <f>1.02+0.4+0.31</f>
        <v>1.73</v>
      </c>
      <c r="AX99" s="9">
        <f>1.43+0.54</f>
        <v>1.97</v>
      </c>
      <c r="AY99" s="144">
        <f t="shared" si="54"/>
        <v>20.03</v>
      </c>
      <c r="AZ99" s="13">
        <v>20.03</v>
      </c>
      <c r="BA99" s="13">
        <f t="shared" si="32"/>
        <v>0</v>
      </c>
      <c r="BB99" s="9">
        <f t="shared" si="33"/>
        <v>91554.13</v>
      </c>
      <c r="BC99" s="9">
        <v>20.03</v>
      </c>
      <c r="BD99" s="10">
        <v>44409</v>
      </c>
      <c r="BE99" s="9">
        <f t="shared" si="34"/>
        <v>1965.47</v>
      </c>
      <c r="BF99" s="9">
        <f t="shared" si="35"/>
        <v>18786.189999999999</v>
      </c>
      <c r="BG99" s="9">
        <f t="shared" si="36"/>
        <v>10010.16</v>
      </c>
      <c r="BH99" s="9">
        <f t="shared" si="37"/>
        <v>2056.88</v>
      </c>
      <c r="BI99" s="9">
        <f t="shared" si="38"/>
        <v>12706.96</v>
      </c>
      <c r="BJ99" s="9">
        <f t="shared" si="39"/>
        <v>1279.8399999999999</v>
      </c>
      <c r="BK99" s="9">
        <f t="shared" si="40"/>
        <v>0</v>
      </c>
      <c r="BL99" s="9">
        <f t="shared" si="41"/>
        <v>0</v>
      </c>
      <c r="BM99" s="9">
        <f t="shared" si="42"/>
        <v>594.21</v>
      </c>
      <c r="BN99" s="9">
        <f t="shared" si="43"/>
        <v>457.09</v>
      </c>
      <c r="BO99" s="9">
        <f t="shared" si="44"/>
        <v>3656.68</v>
      </c>
      <c r="BP99" s="9">
        <f t="shared" si="45"/>
        <v>1371.26</v>
      </c>
      <c r="BQ99" s="9">
        <f t="shared" si="46"/>
        <v>319.95999999999998</v>
      </c>
      <c r="BR99" s="9">
        <f t="shared" si="47"/>
        <v>20888.78</v>
      </c>
      <c r="BS99" s="9">
        <f t="shared" si="48"/>
        <v>548.5</v>
      </c>
      <c r="BT99" s="9">
        <f t="shared" si="49"/>
        <v>7907.57</v>
      </c>
      <c r="BU99" s="9">
        <f t="shared" si="50"/>
        <v>9004.57</v>
      </c>
      <c r="BV99" s="17">
        <f t="shared" si="51"/>
        <v>91554.12</v>
      </c>
      <c r="BW99" s="17">
        <v>1.8</v>
      </c>
      <c r="BX99" s="17">
        <v>0.05</v>
      </c>
      <c r="BY99" s="17">
        <v>0.28000000000000003</v>
      </c>
      <c r="BZ99" s="17">
        <v>0.05</v>
      </c>
      <c r="CA99" s="29">
        <v>6.33</v>
      </c>
      <c r="CB99" s="325"/>
      <c r="CC99" s="13">
        <v>9662.52</v>
      </c>
      <c r="CD99" s="13">
        <v>335.67</v>
      </c>
      <c r="CE99" s="13">
        <v>24.12</v>
      </c>
      <c r="CF99" s="13">
        <v>180.91</v>
      </c>
      <c r="CG99" s="13">
        <v>124.23</v>
      </c>
      <c r="CH99" s="13">
        <v>0</v>
      </c>
      <c r="CI99" s="13">
        <v>6848.08</v>
      </c>
      <c r="CJ99" s="13">
        <v>40632</v>
      </c>
      <c r="CK99" s="13">
        <v>1758.22</v>
      </c>
      <c r="CL99" s="13">
        <v>1089167.96</v>
      </c>
      <c r="CM99" s="13">
        <v>37838.44</v>
      </c>
      <c r="CN99" s="13">
        <v>0.32</v>
      </c>
      <c r="CO99" s="13">
        <v>23110.97</v>
      </c>
      <c r="CP99" s="13">
        <v>14002.77</v>
      </c>
      <c r="CQ99" s="13">
        <v>0</v>
      </c>
      <c r="CR99" s="13">
        <v>974946.25</v>
      </c>
      <c r="CS99" s="13">
        <v>40418.9</v>
      </c>
      <c r="CT99" s="13">
        <v>1466.04</v>
      </c>
      <c r="CU99" s="13">
        <v>20757.7</v>
      </c>
      <c r="CV99" s="13">
        <v>12522.85</v>
      </c>
      <c r="CW99" s="13">
        <v>0</v>
      </c>
      <c r="CX99" s="13">
        <v>250873.23</v>
      </c>
      <c r="CY99" s="13">
        <v>751.25</v>
      </c>
      <c r="CZ99" s="13">
        <v>-2142.4499999999998</v>
      </c>
      <c r="DA99" s="13">
        <v>5676.36</v>
      </c>
      <c r="DB99" s="13">
        <v>3468.38</v>
      </c>
      <c r="DC99" s="13"/>
      <c r="DD99" s="315">
        <v>1164120.46</v>
      </c>
      <c r="DE99" s="317">
        <v>1050111.74</v>
      </c>
      <c r="DF99" s="317">
        <v>90.21</v>
      </c>
      <c r="DG99" s="318">
        <v>258626.77</v>
      </c>
      <c r="DH99" s="310">
        <v>47614.92</v>
      </c>
      <c r="DI99" s="310">
        <v>27231.48</v>
      </c>
      <c r="DJ99" s="312">
        <v>0</v>
      </c>
      <c r="DK99" s="362">
        <v>0</v>
      </c>
      <c r="DL99" s="362"/>
      <c r="DM99" s="362">
        <v>0</v>
      </c>
      <c r="DN99" s="362">
        <v>0</v>
      </c>
      <c r="DO99" s="362">
        <v>0</v>
      </c>
      <c r="DP99" s="362">
        <v>0</v>
      </c>
      <c r="DQ99" s="362">
        <v>0</v>
      </c>
      <c r="DR99" s="362"/>
      <c r="DS99" s="362">
        <v>0</v>
      </c>
      <c r="DT99" s="362"/>
      <c r="DU99" s="362">
        <v>0</v>
      </c>
      <c r="DV99" s="362">
        <v>0</v>
      </c>
      <c r="DW99" s="362">
        <v>0</v>
      </c>
      <c r="DX99" s="362">
        <v>0</v>
      </c>
      <c r="DY99" s="362">
        <v>0</v>
      </c>
      <c r="DZ99" s="375">
        <v>0</v>
      </c>
      <c r="EA99" s="362">
        <v>288090</v>
      </c>
      <c r="EB99" s="362">
        <v>8840</v>
      </c>
      <c r="EC99" s="362"/>
      <c r="ED99" s="362">
        <v>0</v>
      </c>
      <c r="EE99" s="362">
        <v>0</v>
      </c>
      <c r="EF99" s="362"/>
      <c r="EG99" s="362">
        <v>20448</v>
      </c>
      <c r="EH99" s="362">
        <v>30310</v>
      </c>
      <c r="EI99" s="362"/>
      <c r="EJ99" s="362">
        <v>23600</v>
      </c>
      <c r="EK99" s="362"/>
      <c r="EL99" s="362">
        <v>333258</v>
      </c>
      <c r="EM99" s="362">
        <v>5270.1</v>
      </c>
      <c r="EN99" s="362">
        <v>0</v>
      </c>
      <c r="EO99" s="362">
        <v>0</v>
      </c>
      <c r="EP99" s="362">
        <v>0</v>
      </c>
      <c r="EQ99" s="362">
        <v>0</v>
      </c>
      <c r="ER99" s="362">
        <v>13650</v>
      </c>
      <c r="ES99" s="362">
        <v>6924</v>
      </c>
      <c r="ET99" s="362">
        <v>18285</v>
      </c>
      <c r="EU99" s="362">
        <v>0</v>
      </c>
      <c r="EV99" s="362">
        <v>129604.81</v>
      </c>
      <c r="EW99" s="362"/>
      <c r="EX99" s="202"/>
      <c r="EY99" s="202"/>
      <c r="EZ99" s="229"/>
      <c r="FA99" s="368">
        <v>38145.03</v>
      </c>
      <c r="FB99" s="368">
        <v>0</v>
      </c>
      <c r="FC99" s="368">
        <v>0</v>
      </c>
      <c r="FD99" s="368">
        <v>0</v>
      </c>
      <c r="FE99" s="368">
        <v>21409.56</v>
      </c>
      <c r="FF99" s="368">
        <v>13198.02</v>
      </c>
      <c r="FG99" s="368">
        <v>-1470.9</v>
      </c>
      <c r="FH99" s="368">
        <v>-1957.15</v>
      </c>
      <c r="FI99" s="368">
        <v>0</v>
      </c>
      <c r="FJ99" s="368">
        <v>0</v>
      </c>
      <c r="FK99" s="368">
        <v>9068.69</v>
      </c>
      <c r="FL99" s="368">
        <v>0</v>
      </c>
      <c r="FM99" s="368">
        <v>122222.02</v>
      </c>
      <c r="FN99" s="368">
        <v>77713.03</v>
      </c>
      <c r="FO99" s="323">
        <v>1153061.3600000001</v>
      </c>
      <c r="FP99" s="323">
        <v>78393.25</v>
      </c>
      <c r="FQ99" s="323">
        <v>1231454.6100000001</v>
      </c>
      <c r="FR99" s="338">
        <v>135985.44</v>
      </c>
      <c r="FS99" s="338">
        <v>4054.84</v>
      </c>
      <c r="FT99" s="377">
        <v>140040.28</v>
      </c>
      <c r="FU99" s="377">
        <v>1146310.56</v>
      </c>
      <c r="FV99" s="377">
        <v>77375.649999999994</v>
      </c>
      <c r="FW99" s="362">
        <v>1223686.21</v>
      </c>
      <c r="FX99" s="362">
        <v>1025848.65</v>
      </c>
      <c r="FY99" s="362">
        <v>73321.16</v>
      </c>
      <c r="FZ99" s="362">
        <v>1099169.81</v>
      </c>
      <c r="GA99" s="362">
        <v>256447.35</v>
      </c>
      <c r="GB99" s="362">
        <v>8109.33</v>
      </c>
      <c r="GC99" s="362">
        <v>264556.68</v>
      </c>
      <c r="GD99" s="362">
        <v>96575.95</v>
      </c>
      <c r="GE99" s="362">
        <v>6188.41</v>
      </c>
      <c r="GF99" s="362">
        <v>102764.36</v>
      </c>
      <c r="GG99" s="202">
        <v>5929.91</v>
      </c>
      <c r="GH99" s="416">
        <v>94</v>
      </c>
      <c r="GI99" s="414">
        <v>4402</v>
      </c>
      <c r="GJ99" s="419">
        <v>10327.450000000001</v>
      </c>
      <c r="GK99" s="396">
        <v>5929.91</v>
      </c>
      <c r="GL99" s="202">
        <v>5574.1153999999997</v>
      </c>
      <c r="GM99" s="202">
        <v>355.7946</v>
      </c>
      <c r="GN99" s="323">
        <v>-6750.8</v>
      </c>
      <c r="GO99" s="323">
        <v>-1017.6</v>
      </c>
      <c r="GP99" s="323">
        <v>-7768.4</v>
      </c>
      <c r="GQ99" s="323">
        <v>89825.15</v>
      </c>
      <c r="GR99" s="323">
        <v>5170.8100000000004</v>
      </c>
      <c r="GS99" s="323">
        <v>94995.96</v>
      </c>
    </row>
    <row r="100" spans="1:201" ht="12.75" customHeight="1" x14ac:dyDescent="0.2">
      <c r="A100" s="45" t="s">
        <v>162</v>
      </c>
      <c r="B100" s="78" t="s">
        <v>108</v>
      </c>
      <c r="C100" s="79" t="s">
        <v>144</v>
      </c>
      <c r="D100" s="388" t="s">
        <v>430</v>
      </c>
      <c r="E100" s="79" t="s">
        <v>12</v>
      </c>
      <c r="F100" s="11">
        <v>9</v>
      </c>
      <c r="G100" s="11">
        <v>2</v>
      </c>
      <c r="H100" s="11">
        <v>72</v>
      </c>
      <c r="I100" s="11">
        <v>74</v>
      </c>
      <c r="J100" s="11">
        <v>176</v>
      </c>
      <c r="K100" s="11">
        <v>226</v>
      </c>
      <c r="L100" s="11">
        <v>2</v>
      </c>
      <c r="M100" s="84">
        <v>622</v>
      </c>
      <c r="N100" s="84">
        <v>629</v>
      </c>
      <c r="O100" s="84">
        <v>0</v>
      </c>
      <c r="P100" s="135">
        <v>622.70000000000005</v>
      </c>
      <c r="Q100" s="135">
        <v>465.1</v>
      </c>
      <c r="R100" s="133">
        <v>0</v>
      </c>
      <c r="S100" s="133">
        <f t="shared" si="52"/>
        <v>1087.8</v>
      </c>
      <c r="T100" s="134">
        <v>622</v>
      </c>
      <c r="U100" s="130">
        <v>2.44</v>
      </c>
      <c r="V100" s="131">
        <v>1.9800000000000002E-2</v>
      </c>
      <c r="W100" s="131">
        <v>1.9800000000000002E-2</v>
      </c>
      <c r="X100" s="132">
        <v>1.32E-3</v>
      </c>
      <c r="Y100" s="131">
        <v>3.9699999999999999E-2</v>
      </c>
      <c r="Z100" s="29">
        <v>3862.11</v>
      </c>
      <c r="AA100" s="29"/>
      <c r="AB100" s="9">
        <f t="shared" si="29"/>
        <v>3862.11</v>
      </c>
      <c r="AC100" s="9">
        <f t="shared" si="28"/>
        <v>24447.16</v>
      </c>
      <c r="AD100" s="9">
        <v>2.21</v>
      </c>
      <c r="AE100" s="9">
        <v>3.72</v>
      </c>
      <c r="AF100" s="21">
        <f>2.41-AJ100</f>
        <v>2.25</v>
      </c>
      <c r="AG100" s="18">
        <f>0.62-AQ100</f>
        <v>0.56999999999999995</v>
      </c>
      <c r="AH100" s="9">
        <v>2.78</v>
      </c>
      <c r="AI100" s="43">
        <v>604</v>
      </c>
      <c r="AJ100" s="21">
        <f t="shared" si="30"/>
        <v>0.16</v>
      </c>
      <c r="AK100" s="9">
        <v>2.23</v>
      </c>
      <c r="AL100" s="9">
        <v>0.61</v>
      </c>
      <c r="AM100" s="9">
        <v>0.15</v>
      </c>
      <c r="AN100" s="13"/>
      <c r="AO100" s="13">
        <v>422.4</v>
      </c>
      <c r="AP100" s="13">
        <f t="shared" si="53"/>
        <v>5.58</v>
      </c>
      <c r="AQ100" s="18">
        <f t="shared" si="31"/>
        <v>0.05</v>
      </c>
      <c r="AR100" s="9">
        <v>0.57999999999999996</v>
      </c>
      <c r="AS100" s="9">
        <v>0.35</v>
      </c>
      <c r="AT100" s="9">
        <v>7.0000000000000007E-2</v>
      </c>
      <c r="AU100" s="9">
        <v>4.3499999999999996</v>
      </c>
      <c r="AV100" s="9">
        <v>0.17</v>
      </c>
      <c r="AW100" s="9">
        <f>1.41+0.27+0.38</f>
        <v>2.06</v>
      </c>
      <c r="AX100" s="9">
        <f>2+0.52</f>
        <v>2.52</v>
      </c>
      <c r="AY100" s="81">
        <f t="shared" si="54"/>
        <v>24.83</v>
      </c>
      <c r="AZ100" s="13">
        <v>24.83</v>
      </c>
      <c r="BA100" s="13">
        <f t="shared" si="32"/>
        <v>0</v>
      </c>
      <c r="BB100" s="9">
        <f t="shared" si="33"/>
        <v>95896.19</v>
      </c>
      <c r="BC100" s="9">
        <v>24.83</v>
      </c>
      <c r="BD100" s="10">
        <v>44409</v>
      </c>
      <c r="BE100" s="9">
        <f t="shared" si="34"/>
        <v>8535.26</v>
      </c>
      <c r="BF100" s="9">
        <f t="shared" si="35"/>
        <v>14367.05</v>
      </c>
      <c r="BG100" s="9">
        <f t="shared" si="36"/>
        <v>8689.75</v>
      </c>
      <c r="BH100" s="9">
        <f t="shared" si="37"/>
        <v>2201.4</v>
      </c>
      <c r="BI100" s="9">
        <f t="shared" si="38"/>
        <v>10736.67</v>
      </c>
      <c r="BJ100" s="9">
        <f t="shared" si="39"/>
        <v>617.94000000000005</v>
      </c>
      <c r="BK100" s="9">
        <f t="shared" si="40"/>
        <v>8612.51</v>
      </c>
      <c r="BL100" s="9">
        <f t="shared" si="41"/>
        <v>2355.89</v>
      </c>
      <c r="BM100" s="9">
        <f t="shared" si="42"/>
        <v>579.32000000000005</v>
      </c>
      <c r="BN100" s="9">
        <f t="shared" si="43"/>
        <v>193.11</v>
      </c>
      <c r="BO100" s="9">
        <f t="shared" si="44"/>
        <v>2240.02</v>
      </c>
      <c r="BP100" s="9">
        <f t="shared" si="45"/>
        <v>1351.74</v>
      </c>
      <c r="BQ100" s="9">
        <f t="shared" si="46"/>
        <v>270.35000000000002</v>
      </c>
      <c r="BR100" s="9">
        <f t="shared" si="47"/>
        <v>16800.18</v>
      </c>
      <c r="BS100" s="9">
        <f t="shared" si="48"/>
        <v>656.56</v>
      </c>
      <c r="BT100" s="9">
        <f t="shared" si="49"/>
        <v>7955.95</v>
      </c>
      <c r="BU100" s="9">
        <f t="shared" si="50"/>
        <v>9732.52</v>
      </c>
      <c r="BV100" s="17">
        <f t="shared" si="51"/>
        <v>95896.22</v>
      </c>
      <c r="BW100" s="17">
        <v>2.88</v>
      </c>
      <c r="BX100" s="17">
        <v>0.1</v>
      </c>
      <c r="BY100" s="17">
        <v>0.62</v>
      </c>
      <c r="BZ100" s="17">
        <v>0.11</v>
      </c>
      <c r="CA100" s="29">
        <v>6.33</v>
      </c>
      <c r="CB100" s="325"/>
      <c r="CC100" s="13">
        <v>0</v>
      </c>
      <c r="CD100" s="13">
        <v>0</v>
      </c>
      <c r="CE100" s="13">
        <v>0</v>
      </c>
      <c r="CF100" s="13">
        <v>0</v>
      </c>
      <c r="CG100" s="13">
        <v>0</v>
      </c>
      <c r="CH100" s="13">
        <v>0</v>
      </c>
      <c r="CI100" s="13">
        <v>4184.42</v>
      </c>
      <c r="CJ100" s="13">
        <v>31284</v>
      </c>
      <c r="CK100" s="13">
        <v>1485.33</v>
      </c>
      <c r="CL100" s="13">
        <v>1150754.6399999999</v>
      </c>
      <c r="CM100" s="13">
        <v>125673.12</v>
      </c>
      <c r="CN100" s="13">
        <v>138109.21</v>
      </c>
      <c r="CO100" s="13">
        <v>18576.78</v>
      </c>
      <c r="CP100" s="13">
        <v>12050.09</v>
      </c>
      <c r="CQ100" s="13">
        <v>0</v>
      </c>
      <c r="CR100" s="13">
        <v>1058027.24</v>
      </c>
      <c r="CS100" s="13">
        <v>112143.58</v>
      </c>
      <c r="CT100" s="13">
        <v>118757.35</v>
      </c>
      <c r="CU100" s="13">
        <v>18535.09</v>
      </c>
      <c r="CV100" s="13">
        <v>11647.75</v>
      </c>
      <c r="CW100" s="13">
        <v>0</v>
      </c>
      <c r="CX100" s="13">
        <v>215403.62</v>
      </c>
      <c r="CY100" s="13">
        <v>23108.7</v>
      </c>
      <c r="CZ100" s="13">
        <v>23163.29</v>
      </c>
      <c r="DA100" s="13">
        <v>5499.23</v>
      </c>
      <c r="DB100" s="13">
        <v>3335.09</v>
      </c>
      <c r="DC100" s="13"/>
      <c r="DD100" s="315">
        <v>1445163.84</v>
      </c>
      <c r="DE100" s="317">
        <v>1319111.01</v>
      </c>
      <c r="DF100" s="317">
        <v>91.28</v>
      </c>
      <c r="DG100" s="318">
        <v>270509.93</v>
      </c>
      <c r="DH100" s="310">
        <v>40580.879999999997</v>
      </c>
      <c r="DI100" s="310">
        <v>23208.6</v>
      </c>
      <c r="DJ100" s="312">
        <v>0</v>
      </c>
      <c r="DK100" s="362">
        <v>0</v>
      </c>
      <c r="DL100" s="362"/>
      <c r="DM100" s="362">
        <v>0</v>
      </c>
      <c r="DN100" s="362">
        <v>0</v>
      </c>
      <c r="DO100" s="362">
        <v>0</v>
      </c>
      <c r="DP100" s="362">
        <v>0</v>
      </c>
      <c r="DQ100" s="362">
        <v>0</v>
      </c>
      <c r="DR100" s="362"/>
      <c r="DS100" s="362">
        <v>0</v>
      </c>
      <c r="DT100" s="362"/>
      <c r="DU100" s="362">
        <v>0</v>
      </c>
      <c r="DV100" s="362">
        <v>0</v>
      </c>
      <c r="DW100" s="362">
        <v>103200</v>
      </c>
      <c r="DX100" s="362">
        <v>0</v>
      </c>
      <c r="DY100" s="362">
        <v>9000</v>
      </c>
      <c r="DZ100" s="375">
        <v>0</v>
      </c>
      <c r="EA100" s="362">
        <v>317316</v>
      </c>
      <c r="EB100" s="362">
        <v>7820</v>
      </c>
      <c r="EC100" s="362"/>
      <c r="ED100" s="362">
        <v>0</v>
      </c>
      <c r="EE100" s="362">
        <v>0</v>
      </c>
      <c r="EF100" s="362"/>
      <c r="EG100" s="362">
        <v>9612</v>
      </c>
      <c r="EH100" s="362">
        <v>0</v>
      </c>
      <c r="EI100" s="362"/>
      <c r="EJ100" s="362">
        <v>0</v>
      </c>
      <c r="EK100" s="362"/>
      <c r="EL100" s="362">
        <v>0</v>
      </c>
      <c r="EM100" s="362">
        <v>2356.98</v>
      </c>
      <c r="EN100" s="362">
        <v>0</v>
      </c>
      <c r="EO100" s="362">
        <v>0</v>
      </c>
      <c r="EP100" s="362">
        <v>240732</v>
      </c>
      <c r="EQ100" s="362">
        <v>0</v>
      </c>
      <c r="ER100" s="362">
        <v>16380</v>
      </c>
      <c r="ES100" s="362">
        <v>5193</v>
      </c>
      <c r="ET100" s="362">
        <v>8988</v>
      </c>
      <c r="EU100" s="362">
        <v>0</v>
      </c>
      <c r="EV100" s="362">
        <v>38961.21</v>
      </c>
      <c r="EW100" s="362"/>
      <c r="EX100" s="202"/>
      <c r="EY100" s="202"/>
      <c r="EZ100" s="229"/>
      <c r="FA100" s="368">
        <v>130848.46</v>
      </c>
      <c r="FB100" s="368">
        <v>159553.93</v>
      </c>
      <c r="FC100" s="368">
        <v>0</v>
      </c>
      <c r="FD100" s="368">
        <v>0</v>
      </c>
      <c r="FE100" s="368">
        <v>20899.830000000002</v>
      </c>
      <c r="FF100" s="368">
        <v>13269.22</v>
      </c>
      <c r="FG100" s="368">
        <v>110.89</v>
      </c>
      <c r="FH100" s="368">
        <v>-951.88</v>
      </c>
      <c r="FI100" s="368">
        <v>0</v>
      </c>
      <c r="FJ100" s="368">
        <v>0</v>
      </c>
      <c r="FK100" s="368">
        <v>11547.51</v>
      </c>
      <c r="FL100" s="368">
        <v>0</v>
      </c>
      <c r="FM100" s="368">
        <v>103253.75</v>
      </c>
      <c r="FN100" s="368">
        <v>65653.55</v>
      </c>
      <c r="FO100" s="323">
        <v>992255.97</v>
      </c>
      <c r="FP100" s="323">
        <v>335277.96000000002</v>
      </c>
      <c r="FQ100" s="323">
        <v>1327533.93</v>
      </c>
      <c r="FR100" s="338">
        <v>113058.65</v>
      </c>
      <c r="FS100" s="338">
        <v>16663.37</v>
      </c>
      <c r="FT100" s="377">
        <v>129722.02</v>
      </c>
      <c r="FU100" s="377">
        <v>1186223.06</v>
      </c>
      <c r="FV100" s="377">
        <v>295894.53000000003</v>
      </c>
      <c r="FW100" s="362">
        <v>1482117.59</v>
      </c>
      <c r="FX100" s="362">
        <v>1083878.0900000001</v>
      </c>
      <c r="FY100" s="362">
        <v>257451.59</v>
      </c>
      <c r="FZ100" s="362">
        <v>1341329.68</v>
      </c>
      <c r="GA100" s="362">
        <v>215403.62</v>
      </c>
      <c r="GB100" s="362">
        <v>55106.31</v>
      </c>
      <c r="GC100" s="362">
        <v>270509.93</v>
      </c>
      <c r="GD100" s="362">
        <v>131408.15</v>
      </c>
      <c r="GE100" s="362">
        <v>5439.5</v>
      </c>
      <c r="GF100" s="362">
        <v>136847.65</v>
      </c>
      <c r="GG100" s="202"/>
      <c r="GH100" s="416"/>
      <c r="GI100" s="414">
        <v>2455</v>
      </c>
      <c r="GJ100" s="419">
        <v>0</v>
      </c>
      <c r="GK100" s="396"/>
      <c r="GL100" s="202">
        <v>0</v>
      </c>
      <c r="GM100" s="202">
        <v>0</v>
      </c>
      <c r="GN100" s="323">
        <v>193967.09</v>
      </c>
      <c r="GO100" s="323">
        <v>-39383.43</v>
      </c>
      <c r="GP100" s="323">
        <v>154583.66</v>
      </c>
      <c r="GQ100" s="323">
        <v>325375.24</v>
      </c>
      <c r="GR100" s="323">
        <v>-33943.93</v>
      </c>
      <c r="GS100" s="323">
        <v>291431.31</v>
      </c>
    </row>
    <row r="101" spans="1:201" ht="12.75" customHeight="1" x14ac:dyDescent="0.2">
      <c r="A101" s="45" t="s">
        <v>163</v>
      </c>
      <c r="B101" s="78" t="s">
        <v>108</v>
      </c>
      <c r="C101" s="79" t="s">
        <v>146</v>
      </c>
      <c r="D101" s="388" t="s">
        <v>431</v>
      </c>
      <c r="E101" s="79" t="s">
        <v>12</v>
      </c>
      <c r="F101" s="11">
        <v>9</v>
      </c>
      <c r="G101" s="11">
        <v>4</v>
      </c>
      <c r="H101" s="11">
        <v>144</v>
      </c>
      <c r="I101" s="11">
        <v>146</v>
      </c>
      <c r="J101" s="11">
        <v>358</v>
      </c>
      <c r="K101" s="11">
        <v>411</v>
      </c>
      <c r="L101" s="83">
        <v>4</v>
      </c>
      <c r="M101" s="84">
        <v>1246</v>
      </c>
      <c r="N101" s="84">
        <v>1234</v>
      </c>
      <c r="O101" s="84">
        <v>0</v>
      </c>
      <c r="P101" s="135">
        <f>705.6+539.9</f>
        <v>1245.5</v>
      </c>
      <c r="Q101" s="135">
        <v>1022.8</v>
      </c>
      <c r="R101" s="133">
        <v>0</v>
      </c>
      <c r="S101" s="133">
        <f t="shared" si="52"/>
        <v>2268.3000000000002</v>
      </c>
      <c r="T101" s="134">
        <v>1245.5</v>
      </c>
      <c r="U101" s="130">
        <v>2.44</v>
      </c>
      <c r="V101" s="131">
        <v>1.9800000000000002E-2</v>
      </c>
      <c r="W101" s="131">
        <v>1.9800000000000002E-2</v>
      </c>
      <c r="X101" s="132">
        <v>1.32E-3</v>
      </c>
      <c r="Y101" s="131">
        <v>3.9699999999999999E-2</v>
      </c>
      <c r="Z101" s="29">
        <v>7601.62</v>
      </c>
      <c r="AA101" s="29"/>
      <c r="AB101" s="9">
        <f t="shared" si="29"/>
        <v>7601.62</v>
      </c>
      <c r="AC101" s="9">
        <f t="shared" ref="AC101:AC164" si="55">SUM(AB101*6.33)</f>
        <v>48118.25</v>
      </c>
      <c r="AD101" s="9">
        <v>2.2400000000000002</v>
      </c>
      <c r="AE101" s="9">
        <v>3.95</v>
      </c>
      <c r="AF101" s="21">
        <f>2.42-AJ101</f>
        <v>2.2599999999999998</v>
      </c>
      <c r="AG101" s="18">
        <f>0.64-AQ101</f>
        <v>0.59</v>
      </c>
      <c r="AH101" s="9">
        <v>2.78</v>
      </c>
      <c r="AI101" s="43">
        <v>1185</v>
      </c>
      <c r="AJ101" s="21">
        <f t="shared" si="30"/>
        <v>0.16</v>
      </c>
      <c r="AK101" s="9">
        <v>2.27</v>
      </c>
      <c r="AL101" s="9">
        <v>0.41</v>
      </c>
      <c r="AM101" s="9">
        <v>0.08</v>
      </c>
      <c r="AN101" s="13"/>
      <c r="AO101" s="13">
        <v>844.8</v>
      </c>
      <c r="AP101" s="13">
        <f t="shared" si="53"/>
        <v>5.58</v>
      </c>
      <c r="AQ101" s="18">
        <f t="shared" si="31"/>
        <v>0.05</v>
      </c>
      <c r="AR101" s="9">
        <v>0.51</v>
      </c>
      <c r="AS101" s="9">
        <v>0.18</v>
      </c>
      <c r="AT101" s="9">
        <v>7.0000000000000007E-2</v>
      </c>
      <c r="AU101" s="9">
        <v>4.38</v>
      </c>
      <c r="AV101" s="9">
        <v>0.14000000000000001</v>
      </c>
      <c r="AW101" s="9">
        <f>1.39+0.27+0.39</f>
        <v>2.0499999999999998</v>
      </c>
      <c r="AX101" s="9">
        <f>1.96+0.52</f>
        <v>2.48</v>
      </c>
      <c r="AY101" s="81">
        <f t="shared" si="54"/>
        <v>24.6</v>
      </c>
      <c r="AZ101" s="13">
        <v>24.6</v>
      </c>
      <c r="BA101" s="13">
        <f t="shared" si="32"/>
        <v>0</v>
      </c>
      <c r="BB101" s="9">
        <f t="shared" si="33"/>
        <v>186999.85</v>
      </c>
      <c r="BC101" s="9">
        <v>24.6</v>
      </c>
      <c r="BD101" s="10">
        <v>44409</v>
      </c>
      <c r="BE101" s="9">
        <f t="shared" si="34"/>
        <v>17027.63</v>
      </c>
      <c r="BF101" s="9">
        <f t="shared" si="35"/>
        <v>30026.400000000001</v>
      </c>
      <c r="BG101" s="9">
        <f t="shared" si="36"/>
        <v>17179.66</v>
      </c>
      <c r="BH101" s="9">
        <f t="shared" si="37"/>
        <v>4484.96</v>
      </c>
      <c r="BI101" s="9">
        <f t="shared" si="38"/>
        <v>21132.5</v>
      </c>
      <c r="BJ101" s="9">
        <f t="shared" si="39"/>
        <v>1216.26</v>
      </c>
      <c r="BK101" s="9">
        <f t="shared" si="40"/>
        <v>17255.68</v>
      </c>
      <c r="BL101" s="9">
        <f t="shared" si="41"/>
        <v>3116.66</v>
      </c>
      <c r="BM101" s="9">
        <f t="shared" si="42"/>
        <v>608.13</v>
      </c>
      <c r="BN101" s="9">
        <f t="shared" si="43"/>
        <v>380.08</v>
      </c>
      <c r="BO101" s="9">
        <f t="shared" si="44"/>
        <v>3876.83</v>
      </c>
      <c r="BP101" s="9">
        <f t="shared" si="45"/>
        <v>1368.29</v>
      </c>
      <c r="BQ101" s="9">
        <f t="shared" si="46"/>
        <v>532.11</v>
      </c>
      <c r="BR101" s="9">
        <f t="shared" si="47"/>
        <v>33295.1</v>
      </c>
      <c r="BS101" s="9">
        <f t="shared" si="48"/>
        <v>1064.23</v>
      </c>
      <c r="BT101" s="9">
        <f t="shared" si="49"/>
        <v>15583.32</v>
      </c>
      <c r="BU101" s="9">
        <f t="shared" si="50"/>
        <v>18852.02</v>
      </c>
      <c r="BV101" s="17">
        <f t="shared" si="51"/>
        <v>186999.86</v>
      </c>
      <c r="BW101" s="17">
        <v>2.93</v>
      </c>
      <c r="BX101" s="17">
        <v>0.1</v>
      </c>
      <c r="BY101" s="17">
        <v>0.64</v>
      </c>
      <c r="BZ101" s="17">
        <v>0.11</v>
      </c>
      <c r="CA101" s="29">
        <v>6.33</v>
      </c>
      <c r="CB101" s="325"/>
      <c r="CC101" s="13">
        <v>0</v>
      </c>
      <c r="CD101" s="13">
        <v>0</v>
      </c>
      <c r="CE101" s="13">
        <v>0</v>
      </c>
      <c r="CF101" s="13">
        <v>0</v>
      </c>
      <c r="CG101" s="13">
        <v>0</v>
      </c>
      <c r="CH101" s="13">
        <v>0</v>
      </c>
      <c r="CI101" s="13">
        <v>5480.19</v>
      </c>
      <c r="CJ101" s="13">
        <v>50700</v>
      </c>
      <c r="CK101" s="13">
        <v>2942.35</v>
      </c>
      <c r="CL101" s="13">
        <v>2241856.84</v>
      </c>
      <c r="CM101" s="13">
        <v>253606.8</v>
      </c>
      <c r="CN101" s="13">
        <v>2.91</v>
      </c>
      <c r="CO101" s="13">
        <v>21401.61</v>
      </c>
      <c r="CP101" s="13">
        <v>15691.58</v>
      </c>
      <c r="CQ101" s="13">
        <v>0</v>
      </c>
      <c r="CR101" s="13">
        <v>2057060.29</v>
      </c>
      <c r="CS101" s="13">
        <v>225525.45</v>
      </c>
      <c r="CT101" s="13">
        <v>2980.58</v>
      </c>
      <c r="CU101" s="13">
        <v>19463.740000000002</v>
      </c>
      <c r="CV101" s="13">
        <v>14233.64</v>
      </c>
      <c r="CW101" s="13">
        <v>0</v>
      </c>
      <c r="CX101" s="13">
        <v>428528.89</v>
      </c>
      <c r="CY101" s="13">
        <v>53870.91</v>
      </c>
      <c r="CZ101" s="13">
        <v>-3894.99</v>
      </c>
      <c r="DA101" s="13">
        <v>5599.35</v>
      </c>
      <c r="DB101" s="13">
        <v>3949.57</v>
      </c>
      <c r="DC101" s="13"/>
      <c r="DD101" s="315">
        <v>2532559.7400000002</v>
      </c>
      <c r="DE101" s="317">
        <v>2319263.7000000002</v>
      </c>
      <c r="DF101" s="317">
        <v>91.58</v>
      </c>
      <c r="DG101" s="318">
        <v>488053.73</v>
      </c>
      <c r="DH101" s="310">
        <v>80388.36</v>
      </c>
      <c r="DI101" s="310">
        <v>45975</v>
      </c>
      <c r="DJ101" s="312">
        <v>0</v>
      </c>
      <c r="DK101" s="362">
        <v>0</v>
      </c>
      <c r="DL101" s="362"/>
      <c r="DM101" s="362">
        <v>0</v>
      </c>
      <c r="DN101" s="362">
        <v>0</v>
      </c>
      <c r="DO101" s="362">
        <v>0</v>
      </c>
      <c r="DP101" s="362">
        <v>0</v>
      </c>
      <c r="DQ101" s="362">
        <v>0</v>
      </c>
      <c r="DR101" s="362"/>
      <c r="DS101" s="362">
        <v>0</v>
      </c>
      <c r="DT101" s="362"/>
      <c r="DU101" s="362">
        <v>0</v>
      </c>
      <c r="DV101" s="362">
        <v>0</v>
      </c>
      <c r="DW101" s="362">
        <v>205970</v>
      </c>
      <c r="DX101" s="362">
        <v>0</v>
      </c>
      <c r="DY101" s="362">
        <v>37000</v>
      </c>
      <c r="DZ101" s="375">
        <v>0</v>
      </c>
      <c r="EA101" s="362">
        <v>651390</v>
      </c>
      <c r="EB101" s="362">
        <v>7820</v>
      </c>
      <c r="EC101" s="362"/>
      <c r="ED101" s="362">
        <v>0</v>
      </c>
      <c r="EE101" s="362">
        <v>0</v>
      </c>
      <c r="EF101" s="362"/>
      <c r="EG101" s="362">
        <v>18858</v>
      </c>
      <c r="EH101" s="362">
        <v>2100</v>
      </c>
      <c r="EI101" s="362"/>
      <c r="EJ101" s="362">
        <v>0</v>
      </c>
      <c r="EK101" s="362"/>
      <c r="EL101" s="362">
        <v>0</v>
      </c>
      <c r="EM101" s="362">
        <v>4713.99</v>
      </c>
      <c r="EN101" s="362">
        <v>0</v>
      </c>
      <c r="EO101" s="362">
        <v>0</v>
      </c>
      <c r="EP101" s="362">
        <v>476250</v>
      </c>
      <c r="EQ101" s="362">
        <v>0</v>
      </c>
      <c r="ER101" s="362">
        <v>13650</v>
      </c>
      <c r="ES101" s="362">
        <v>6924</v>
      </c>
      <c r="ET101" s="362">
        <v>10536</v>
      </c>
      <c r="EU101" s="362">
        <v>0</v>
      </c>
      <c r="EV101" s="362">
        <v>90924.64</v>
      </c>
      <c r="EW101" s="362"/>
      <c r="EX101" s="202"/>
      <c r="EY101" s="202"/>
      <c r="EZ101" s="229"/>
      <c r="FA101" s="368">
        <v>265809.34000000003</v>
      </c>
      <c r="FB101" s="368">
        <v>0</v>
      </c>
      <c r="FC101" s="368">
        <v>0</v>
      </c>
      <c r="FD101" s="368">
        <v>0</v>
      </c>
      <c r="FE101" s="368">
        <v>27936.81</v>
      </c>
      <c r="FF101" s="368">
        <v>19477.87</v>
      </c>
      <c r="FG101" s="368">
        <v>-837.74</v>
      </c>
      <c r="FH101" s="368">
        <v>-2513.35</v>
      </c>
      <c r="FI101" s="368">
        <v>0</v>
      </c>
      <c r="FJ101" s="368">
        <v>0</v>
      </c>
      <c r="FK101" s="368">
        <v>1342.26</v>
      </c>
      <c r="FL101" s="368">
        <v>0</v>
      </c>
      <c r="FM101" s="368">
        <v>203763.83</v>
      </c>
      <c r="FN101" s="368">
        <v>129585.38</v>
      </c>
      <c r="FO101" s="323">
        <v>1985849.2</v>
      </c>
      <c r="FP101" s="323">
        <v>311215.19</v>
      </c>
      <c r="FQ101" s="323">
        <v>2297064.39</v>
      </c>
      <c r="FR101" s="338">
        <v>214886.64</v>
      </c>
      <c r="FS101" s="338">
        <v>27116.36</v>
      </c>
      <c r="FT101" s="377">
        <v>242003</v>
      </c>
      <c r="FU101" s="377">
        <v>2298037.0299999998</v>
      </c>
      <c r="FV101" s="377">
        <v>293645.25</v>
      </c>
      <c r="FW101" s="362">
        <v>2591682.2799999998</v>
      </c>
      <c r="FX101" s="362">
        <v>2084394.78</v>
      </c>
      <c r="FY101" s="362">
        <v>261236.77</v>
      </c>
      <c r="FZ101" s="362">
        <v>2345631.5499999998</v>
      </c>
      <c r="GA101" s="362">
        <v>428528.89</v>
      </c>
      <c r="GB101" s="362">
        <v>59524.84</v>
      </c>
      <c r="GC101" s="362">
        <v>488053.73</v>
      </c>
      <c r="GD101" s="362">
        <v>176638.74</v>
      </c>
      <c r="GE101" s="362">
        <v>6607.09</v>
      </c>
      <c r="GF101" s="362">
        <v>183245.83</v>
      </c>
      <c r="GG101" s="202"/>
      <c r="GH101" s="416"/>
      <c r="GI101" s="414">
        <v>2963</v>
      </c>
      <c r="GJ101" s="419">
        <v>0</v>
      </c>
      <c r="GK101" s="396"/>
      <c r="GL101" s="202">
        <v>0</v>
      </c>
      <c r="GM101" s="202">
        <v>0</v>
      </c>
      <c r="GN101" s="323">
        <v>312187.83</v>
      </c>
      <c r="GO101" s="323">
        <v>-17569.939999999999</v>
      </c>
      <c r="GP101" s="323">
        <v>294617.89</v>
      </c>
      <c r="GQ101" s="323">
        <v>488826.57</v>
      </c>
      <c r="GR101" s="323">
        <v>-10962.85</v>
      </c>
      <c r="GS101" s="323">
        <v>477863.72</v>
      </c>
    </row>
    <row r="102" spans="1:201" ht="12.75" customHeight="1" x14ac:dyDescent="0.2">
      <c r="A102" s="45" t="s">
        <v>164</v>
      </c>
      <c r="B102" s="78" t="s">
        <v>108</v>
      </c>
      <c r="C102" s="79" t="s">
        <v>148</v>
      </c>
      <c r="D102" s="388" t="s">
        <v>632</v>
      </c>
      <c r="E102" s="79" t="s">
        <v>32</v>
      </c>
      <c r="F102" s="11">
        <v>9</v>
      </c>
      <c r="G102" s="11">
        <v>2</v>
      </c>
      <c r="H102" s="11">
        <v>72</v>
      </c>
      <c r="I102" s="11">
        <v>74</v>
      </c>
      <c r="J102" s="11">
        <v>182</v>
      </c>
      <c r="K102" s="11">
        <v>205</v>
      </c>
      <c r="L102" s="83">
        <v>2</v>
      </c>
      <c r="M102" s="84">
        <v>502</v>
      </c>
      <c r="N102" s="139">
        <v>602</v>
      </c>
      <c r="O102" s="84">
        <v>0</v>
      </c>
      <c r="P102" s="135">
        <v>501.9</v>
      </c>
      <c r="Q102" s="139">
        <v>602</v>
      </c>
      <c r="R102" s="133">
        <v>0</v>
      </c>
      <c r="S102" s="133">
        <f t="shared" si="52"/>
        <v>1103.9000000000001</v>
      </c>
      <c r="T102" s="134">
        <v>502</v>
      </c>
      <c r="U102" s="130">
        <v>2.72</v>
      </c>
      <c r="V102" s="131">
        <v>1.21E-2</v>
      </c>
      <c r="W102" s="131">
        <v>1.9800000000000002E-2</v>
      </c>
      <c r="X102" s="132">
        <v>1.2700000000000001E-3</v>
      </c>
      <c r="Y102" s="131">
        <v>1.21E-2</v>
      </c>
      <c r="Z102" s="29">
        <v>3780.35</v>
      </c>
      <c r="AA102" s="29"/>
      <c r="AB102" s="9">
        <f t="shared" si="29"/>
        <v>3780.35</v>
      </c>
      <c r="AC102" s="9">
        <f t="shared" si="55"/>
        <v>23929.62</v>
      </c>
      <c r="AD102" s="9">
        <v>1.85</v>
      </c>
      <c r="AE102" s="9">
        <v>4.75</v>
      </c>
      <c r="AF102" s="21">
        <f>2.42-AJ102</f>
        <v>2.27</v>
      </c>
      <c r="AG102" s="18">
        <f>0.62-AQ102</f>
        <v>0.56999999999999995</v>
      </c>
      <c r="AH102" s="19">
        <f>2.78+0.19+0.15</f>
        <v>3.12</v>
      </c>
      <c r="AI102" s="43">
        <v>578</v>
      </c>
      <c r="AJ102" s="21">
        <f t="shared" si="30"/>
        <v>0.15</v>
      </c>
      <c r="AK102" s="9">
        <v>2.29</v>
      </c>
      <c r="AL102" s="9">
        <v>0.2</v>
      </c>
      <c r="AM102" s="9">
        <v>0.13</v>
      </c>
      <c r="AN102" s="13"/>
      <c r="AO102" s="13">
        <v>422.4</v>
      </c>
      <c r="AP102" s="13">
        <f t="shared" si="53"/>
        <v>5.58</v>
      </c>
      <c r="AQ102" s="18">
        <f t="shared" si="31"/>
        <v>0.05</v>
      </c>
      <c r="AR102" s="9">
        <v>0.51</v>
      </c>
      <c r="AS102" s="9">
        <v>0.36</v>
      </c>
      <c r="AT102" s="9">
        <v>7.0000000000000007E-2</v>
      </c>
      <c r="AU102" s="9">
        <v>3.41</v>
      </c>
      <c r="AV102" s="9">
        <v>0.17</v>
      </c>
      <c r="AW102" s="9">
        <f>1.47+0.3+0.28</f>
        <v>2.0499999999999998</v>
      </c>
      <c r="AX102" s="9">
        <f>2.06+0.41</f>
        <v>2.4700000000000002</v>
      </c>
      <c r="AY102" s="81">
        <f t="shared" si="54"/>
        <v>24.42</v>
      </c>
      <c r="AZ102" s="13">
        <v>24.42</v>
      </c>
      <c r="BA102" s="13">
        <f t="shared" si="32"/>
        <v>0</v>
      </c>
      <c r="BB102" s="9">
        <f t="shared" si="33"/>
        <v>92316.15</v>
      </c>
      <c r="BC102" s="9">
        <v>24.42</v>
      </c>
      <c r="BD102" s="10">
        <v>44378</v>
      </c>
      <c r="BE102" s="9">
        <f t="shared" si="34"/>
        <v>6993.65</v>
      </c>
      <c r="BF102" s="9">
        <f t="shared" si="35"/>
        <v>17956.66</v>
      </c>
      <c r="BG102" s="9">
        <f t="shared" si="36"/>
        <v>8581.39</v>
      </c>
      <c r="BH102" s="9">
        <f t="shared" si="37"/>
        <v>2154.8000000000002</v>
      </c>
      <c r="BI102" s="9">
        <f t="shared" si="38"/>
        <v>11794.69</v>
      </c>
      <c r="BJ102" s="9">
        <f t="shared" si="39"/>
        <v>567.04999999999995</v>
      </c>
      <c r="BK102" s="9">
        <f t="shared" si="40"/>
        <v>8657</v>
      </c>
      <c r="BL102" s="9">
        <f t="shared" si="41"/>
        <v>756.07</v>
      </c>
      <c r="BM102" s="9">
        <f t="shared" si="42"/>
        <v>491.45</v>
      </c>
      <c r="BN102" s="9">
        <f t="shared" si="43"/>
        <v>189.02</v>
      </c>
      <c r="BO102" s="9">
        <f t="shared" si="44"/>
        <v>1927.98</v>
      </c>
      <c r="BP102" s="9">
        <f t="shared" si="45"/>
        <v>1360.93</v>
      </c>
      <c r="BQ102" s="9">
        <f t="shared" si="46"/>
        <v>264.62</v>
      </c>
      <c r="BR102" s="9">
        <f t="shared" si="47"/>
        <v>12890.99</v>
      </c>
      <c r="BS102" s="9">
        <f t="shared" si="48"/>
        <v>642.66</v>
      </c>
      <c r="BT102" s="9">
        <f t="shared" si="49"/>
        <v>7749.72</v>
      </c>
      <c r="BU102" s="9">
        <f t="shared" si="50"/>
        <v>9337.4599999999991</v>
      </c>
      <c r="BV102" s="17">
        <f t="shared" si="51"/>
        <v>92316.14</v>
      </c>
      <c r="BW102" s="17">
        <v>1.55</v>
      </c>
      <c r="BX102" s="17">
        <v>0.05</v>
      </c>
      <c r="BY102" s="17">
        <v>0.46</v>
      </c>
      <c r="BZ102" s="17">
        <v>0.03</v>
      </c>
      <c r="CA102" s="29">
        <v>6.33</v>
      </c>
      <c r="CB102" s="325"/>
      <c r="CC102" s="13">
        <v>0</v>
      </c>
      <c r="CD102" s="13">
        <v>0</v>
      </c>
      <c r="CE102" s="13">
        <v>0</v>
      </c>
      <c r="CF102" s="13">
        <v>0</v>
      </c>
      <c r="CG102" s="13">
        <v>0</v>
      </c>
      <c r="CH102" s="13">
        <v>0</v>
      </c>
      <c r="CI102" s="13">
        <v>4039.26</v>
      </c>
      <c r="CJ102" s="13">
        <v>23388</v>
      </c>
      <c r="CK102" s="13">
        <v>1453.88</v>
      </c>
      <c r="CL102" s="13">
        <v>1107794.04</v>
      </c>
      <c r="CM102" s="13">
        <v>113183.87</v>
      </c>
      <c r="CN102" s="13">
        <v>22153.05</v>
      </c>
      <c r="CO102" s="13">
        <v>125016.89</v>
      </c>
      <c r="CP102" s="13">
        <v>69180.89</v>
      </c>
      <c r="CQ102" s="13">
        <v>0</v>
      </c>
      <c r="CR102" s="13">
        <v>1041779.91</v>
      </c>
      <c r="CS102" s="13">
        <v>95235.33</v>
      </c>
      <c r="CT102" s="13">
        <v>24771.13</v>
      </c>
      <c r="CU102" s="13">
        <v>113875.29</v>
      </c>
      <c r="CV102" s="13">
        <v>61291.64</v>
      </c>
      <c r="CW102" s="13">
        <v>0</v>
      </c>
      <c r="CX102" s="13">
        <v>197429.89</v>
      </c>
      <c r="CY102" s="13">
        <v>23075.03</v>
      </c>
      <c r="CZ102" s="13">
        <v>2568.37</v>
      </c>
      <c r="DA102" s="13">
        <v>24695.43</v>
      </c>
      <c r="DB102" s="13">
        <v>11469.33</v>
      </c>
      <c r="DC102" s="13"/>
      <c r="DD102" s="315">
        <v>1437328.74</v>
      </c>
      <c r="DE102" s="317">
        <v>1336953.3</v>
      </c>
      <c r="DF102" s="317">
        <v>93.02</v>
      </c>
      <c r="DG102" s="318">
        <v>259238.05</v>
      </c>
      <c r="DH102" s="310">
        <v>39721.800000000003</v>
      </c>
      <c r="DI102" s="310">
        <v>22717.32</v>
      </c>
      <c r="DJ102" s="312">
        <v>0</v>
      </c>
      <c r="DK102" s="362">
        <v>0</v>
      </c>
      <c r="DL102" s="362"/>
      <c r="DM102" s="362">
        <v>0</v>
      </c>
      <c r="DN102" s="362">
        <v>0</v>
      </c>
      <c r="DO102" s="362">
        <v>0</v>
      </c>
      <c r="DP102" s="362">
        <v>0</v>
      </c>
      <c r="DQ102" s="362">
        <v>0</v>
      </c>
      <c r="DR102" s="362"/>
      <c r="DS102" s="362">
        <v>0</v>
      </c>
      <c r="DT102" s="362"/>
      <c r="DU102" s="362">
        <v>0</v>
      </c>
      <c r="DV102" s="362">
        <v>0</v>
      </c>
      <c r="DW102" s="362">
        <v>103200</v>
      </c>
      <c r="DX102" s="362">
        <v>0</v>
      </c>
      <c r="DY102" s="362">
        <v>9000</v>
      </c>
      <c r="DZ102" s="375">
        <v>0</v>
      </c>
      <c r="EA102" s="362">
        <v>342786</v>
      </c>
      <c r="EB102" s="362">
        <v>8330</v>
      </c>
      <c r="EC102" s="362"/>
      <c r="ED102" s="362">
        <v>0</v>
      </c>
      <c r="EE102" s="362">
        <v>0</v>
      </c>
      <c r="EF102" s="362"/>
      <c r="EG102" s="362">
        <v>9198</v>
      </c>
      <c r="EH102" s="362">
        <v>0</v>
      </c>
      <c r="EI102" s="362"/>
      <c r="EJ102" s="362">
        <v>0</v>
      </c>
      <c r="EK102" s="362"/>
      <c r="EL102" s="362">
        <v>280404</v>
      </c>
      <c r="EM102" s="362">
        <v>2356.98</v>
      </c>
      <c r="EN102" s="362">
        <v>0</v>
      </c>
      <c r="EO102" s="362">
        <v>0</v>
      </c>
      <c r="EP102" s="362">
        <v>0</v>
      </c>
      <c r="EQ102" s="362">
        <v>0</v>
      </c>
      <c r="ER102" s="362">
        <v>9555</v>
      </c>
      <c r="ES102" s="362">
        <v>6924</v>
      </c>
      <c r="ET102" s="362">
        <v>5268</v>
      </c>
      <c r="EU102" s="362">
        <v>0</v>
      </c>
      <c r="EV102" s="362">
        <v>57730</v>
      </c>
      <c r="EW102" s="362"/>
      <c r="EX102" s="202"/>
      <c r="EY102" s="202"/>
      <c r="EZ102" s="229"/>
      <c r="FA102" s="368">
        <v>113014.9</v>
      </c>
      <c r="FB102" s="368">
        <v>10819.03</v>
      </c>
      <c r="FC102" s="368">
        <v>0</v>
      </c>
      <c r="FD102" s="368">
        <v>0</v>
      </c>
      <c r="FE102" s="368">
        <v>149229.99</v>
      </c>
      <c r="FF102" s="368">
        <v>80103.12</v>
      </c>
      <c r="FG102" s="368">
        <v>-1944.25</v>
      </c>
      <c r="FH102" s="368">
        <v>-1116.04</v>
      </c>
      <c r="FI102" s="368">
        <v>0</v>
      </c>
      <c r="FJ102" s="368">
        <v>0</v>
      </c>
      <c r="FK102" s="368">
        <v>18713.13</v>
      </c>
      <c r="FL102" s="368">
        <v>0</v>
      </c>
      <c r="FM102" s="368">
        <v>101067.88</v>
      </c>
      <c r="FN102" s="368">
        <v>64263.67</v>
      </c>
      <c r="FO102" s="323">
        <v>1062522.6499999999</v>
      </c>
      <c r="FP102" s="323">
        <v>368819.88</v>
      </c>
      <c r="FQ102" s="323">
        <v>1431342.53</v>
      </c>
      <c r="FR102" s="338">
        <v>122419.26</v>
      </c>
      <c r="FS102" s="338">
        <v>28253.38</v>
      </c>
      <c r="FT102" s="377">
        <v>150672.64000000001</v>
      </c>
      <c r="FU102" s="377">
        <v>1135221.3</v>
      </c>
      <c r="FV102" s="377">
        <v>330988.58</v>
      </c>
      <c r="FW102" s="362">
        <v>1466209.88</v>
      </c>
      <c r="FX102" s="362">
        <v>1060210.67</v>
      </c>
      <c r="FY102" s="362">
        <v>297433.8</v>
      </c>
      <c r="FZ102" s="362">
        <v>1357644.47</v>
      </c>
      <c r="GA102" s="362">
        <v>197429.89</v>
      </c>
      <c r="GB102" s="362">
        <v>61808.160000000003</v>
      </c>
      <c r="GC102" s="362">
        <v>259238.05</v>
      </c>
      <c r="GD102" s="362">
        <v>99659.09</v>
      </c>
      <c r="GE102" s="362">
        <v>-69321.25</v>
      </c>
      <c r="GF102" s="362">
        <v>30337.84</v>
      </c>
      <c r="GG102" s="202"/>
      <c r="GH102" s="416"/>
      <c r="GI102" s="414">
        <v>1947</v>
      </c>
      <c r="GJ102" s="419">
        <v>0</v>
      </c>
      <c r="GK102" s="396"/>
      <c r="GL102" s="202">
        <v>0</v>
      </c>
      <c r="GM102" s="202">
        <v>0</v>
      </c>
      <c r="GN102" s="323">
        <v>72698.649999999994</v>
      </c>
      <c r="GO102" s="323">
        <v>-37831.300000000003</v>
      </c>
      <c r="GP102" s="323">
        <v>34867.35</v>
      </c>
      <c r="GQ102" s="323">
        <v>172357.74</v>
      </c>
      <c r="GR102" s="323">
        <v>-107152.55</v>
      </c>
      <c r="GS102" s="323">
        <v>65205.19</v>
      </c>
    </row>
    <row r="103" spans="1:201" ht="12.75" customHeight="1" x14ac:dyDescent="0.2">
      <c r="A103" s="45" t="s">
        <v>165</v>
      </c>
      <c r="B103" s="78" t="s">
        <v>108</v>
      </c>
      <c r="C103" s="79" t="s">
        <v>150</v>
      </c>
      <c r="D103" s="388" t="s">
        <v>432</v>
      </c>
      <c r="E103" s="79" t="s">
        <v>12</v>
      </c>
      <c r="F103" s="11">
        <v>9</v>
      </c>
      <c r="G103" s="11">
        <v>4</v>
      </c>
      <c r="H103" s="11">
        <v>144</v>
      </c>
      <c r="I103" s="11">
        <v>146</v>
      </c>
      <c r="J103" s="11">
        <v>365</v>
      </c>
      <c r="K103" s="11">
        <v>418</v>
      </c>
      <c r="L103" s="83">
        <v>4</v>
      </c>
      <c r="M103" s="84">
        <v>1185</v>
      </c>
      <c r="N103" s="139">
        <v>1288</v>
      </c>
      <c r="O103" s="84">
        <v>0</v>
      </c>
      <c r="P103" s="135">
        <v>1185.0999999999999</v>
      </c>
      <c r="Q103" s="139">
        <v>1288</v>
      </c>
      <c r="R103" s="133">
        <v>0</v>
      </c>
      <c r="S103" s="133">
        <f t="shared" si="52"/>
        <v>2473.1</v>
      </c>
      <c r="T103" s="134">
        <v>1185</v>
      </c>
      <c r="U103" s="130">
        <v>2.72</v>
      </c>
      <c r="V103" s="131">
        <v>1.21E-2</v>
      </c>
      <c r="W103" s="131">
        <v>1.9800000000000002E-2</v>
      </c>
      <c r="X103" s="132">
        <v>1.2700000000000001E-3</v>
      </c>
      <c r="Y103" s="131">
        <v>1.21E-2</v>
      </c>
      <c r="Z103" s="29">
        <v>7582.63</v>
      </c>
      <c r="AA103" s="29"/>
      <c r="AB103" s="9">
        <f t="shared" si="29"/>
        <v>7582.63</v>
      </c>
      <c r="AC103" s="9">
        <f t="shared" si="55"/>
        <v>47998.05</v>
      </c>
      <c r="AD103" s="9">
        <v>2.14</v>
      </c>
      <c r="AE103" s="9">
        <v>4.2300000000000004</v>
      </c>
      <c r="AF103" s="21">
        <f>2.49-AJ103</f>
        <v>2.33</v>
      </c>
      <c r="AG103" s="18">
        <f>0.64-AQ103</f>
        <v>0.59</v>
      </c>
      <c r="AH103" s="19">
        <f>2.78+0.07+0.1</f>
        <v>2.95</v>
      </c>
      <c r="AI103" s="43">
        <v>1236</v>
      </c>
      <c r="AJ103" s="21">
        <f t="shared" si="30"/>
        <v>0.16</v>
      </c>
      <c r="AK103" s="9">
        <v>2.27</v>
      </c>
      <c r="AL103" s="9">
        <v>0.2</v>
      </c>
      <c r="AM103" s="9">
        <v>0.08</v>
      </c>
      <c r="AN103" s="13"/>
      <c r="AO103" s="13">
        <v>844.8</v>
      </c>
      <c r="AP103" s="13">
        <f t="shared" si="53"/>
        <v>5.58</v>
      </c>
      <c r="AQ103" s="18">
        <f t="shared" si="31"/>
        <v>0.05</v>
      </c>
      <c r="AR103" s="9">
        <v>0.51</v>
      </c>
      <c r="AS103" s="9">
        <v>0.18</v>
      </c>
      <c r="AT103" s="9">
        <v>7.0000000000000007E-2</v>
      </c>
      <c r="AU103" s="9">
        <v>4.4000000000000004</v>
      </c>
      <c r="AV103" s="9">
        <v>0.15</v>
      </c>
      <c r="AW103" s="9">
        <f>1.41+0.27+0.39</f>
        <v>2.0699999999999998</v>
      </c>
      <c r="AX103" s="9">
        <f>1.98+0.52</f>
        <v>2.5</v>
      </c>
      <c r="AY103" s="81">
        <f t="shared" si="54"/>
        <v>24.88</v>
      </c>
      <c r="AZ103" s="13">
        <v>24.88</v>
      </c>
      <c r="BA103" s="13">
        <f t="shared" si="32"/>
        <v>0</v>
      </c>
      <c r="BB103" s="9">
        <f t="shared" si="33"/>
        <v>188655.83</v>
      </c>
      <c r="BC103" s="9">
        <v>24.88</v>
      </c>
      <c r="BD103" s="10">
        <v>44409</v>
      </c>
      <c r="BE103" s="9">
        <f t="shared" si="34"/>
        <v>16226.83</v>
      </c>
      <c r="BF103" s="9">
        <f t="shared" si="35"/>
        <v>32074.52</v>
      </c>
      <c r="BG103" s="9">
        <f t="shared" si="36"/>
        <v>17667.53</v>
      </c>
      <c r="BH103" s="9">
        <f t="shared" si="37"/>
        <v>4473.75</v>
      </c>
      <c r="BI103" s="9">
        <f t="shared" si="38"/>
        <v>22368.76</v>
      </c>
      <c r="BJ103" s="9">
        <f t="shared" si="39"/>
        <v>1213.22</v>
      </c>
      <c r="BK103" s="9">
        <f t="shared" si="40"/>
        <v>17212.57</v>
      </c>
      <c r="BL103" s="9">
        <f t="shared" si="41"/>
        <v>1516.53</v>
      </c>
      <c r="BM103" s="9">
        <f t="shared" si="42"/>
        <v>606.61</v>
      </c>
      <c r="BN103" s="9">
        <f t="shared" si="43"/>
        <v>379.13</v>
      </c>
      <c r="BO103" s="9">
        <f t="shared" si="44"/>
        <v>3867.14</v>
      </c>
      <c r="BP103" s="9">
        <f t="shared" si="45"/>
        <v>1364.87</v>
      </c>
      <c r="BQ103" s="9">
        <f t="shared" si="46"/>
        <v>530.78</v>
      </c>
      <c r="BR103" s="9">
        <f t="shared" si="47"/>
        <v>33363.57</v>
      </c>
      <c r="BS103" s="9">
        <f t="shared" si="48"/>
        <v>1137.3900000000001</v>
      </c>
      <c r="BT103" s="9">
        <f t="shared" si="49"/>
        <v>15696.04</v>
      </c>
      <c r="BU103" s="9">
        <f t="shared" si="50"/>
        <v>18956.580000000002</v>
      </c>
      <c r="BV103" s="17">
        <f t="shared" si="51"/>
        <v>188655.82</v>
      </c>
      <c r="BW103" s="17">
        <v>1.83</v>
      </c>
      <c r="BX103" s="17">
        <v>0.06</v>
      </c>
      <c r="BY103" s="17">
        <v>0.54</v>
      </c>
      <c r="BZ103" s="17">
        <v>0.03</v>
      </c>
      <c r="CA103" s="29">
        <v>6.33</v>
      </c>
      <c r="CB103" s="325"/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H103" s="13">
        <v>0</v>
      </c>
      <c r="CI103" s="13">
        <v>14448.5</v>
      </c>
      <c r="CJ103" s="13">
        <v>45276</v>
      </c>
      <c r="CK103" s="13">
        <v>2916.2</v>
      </c>
      <c r="CL103" s="13">
        <v>2263869.84</v>
      </c>
      <c r="CM103" s="13">
        <v>57862.92</v>
      </c>
      <c r="CN103" s="13">
        <v>458347.67</v>
      </c>
      <c r="CO103" s="13">
        <v>116384</v>
      </c>
      <c r="CP103" s="13">
        <v>65888.81</v>
      </c>
      <c r="CQ103" s="13">
        <v>0</v>
      </c>
      <c r="CR103" s="13">
        <v>1995020.43</v>
      </c>
      <c r="CS103" s="13">
        <v>51893.1</v>
      </c>
      <c r="CT103" s="13">
        <v>383570.22</v>
      </c>
      <c r="CU103" s="13">
        <v>87319.18</v>
      </c>
      <c r="CV103" s="13">
        <v>51461.07</v>
      </c>
      <c r="CW103" s="13">
        <v>0</v>
      </c>
      <c r="CX103" s="13">
        <v>566448.07999999996</v>
      </c>
      <c r="CY103" s="13">
        <v>13080.47</v>
      </c>
      <c r="CZ103" s="13">
        <v>118351.49</v>
      </c>
      <c r="DA103" s="13">
        <v>22119.32</v>
      </c>
      <c r="DB103" s="13">
        <v>13041.98</v>
      </c>
      <c r="DC103" s="13"/>
      <c r="DD103" s="315">
        <v>2962353.24</v>
      </c>
      <c r="DE103" s="317">
        <v>2569264</v>
      </c>
      <c r="DF103" s="317">
        <v>86.73</v>
      </c>
      <c r="DG103" s="318">
        <v>733041.34</v>
      </c>
      <c r="DH103" s="310">
        <v>79673.88</v>
      </c>
      <c r="DI103" s="310">
        <v>45566.400000000001</v>
      </c>
      <c r="DJ103" s="312">
        <v>0</v>
      </c>
      <c r="DK103" s="362">
        <v>0</v>
      </c>
      <c r="DL103" s="362"/>
      <c r="DM103" s="362">
        <v>0</v>
      </c>
      <c r="DN103" s="362">
        <v>0</v>
      </c>
      <c r="DO103" s="362">
        <v>0</v>
      </c>
      <c r="DP103" s="362">
        <v>0</v>
      </c>
      <c r="DQ103" s="362">
        <v>0</v>
      </c>
      <c r="DR103" s="362"/>
      <c r="DS103" s="362">
        <v>0</v>
      </c>
      <c r="DT103" s="362"/>
      <c r="DU103" s="362">
        <v>0</v>
      </c>
      <c r="DV103" s="362">
        <v>0</v>
      </c>
      <c r="DW103" s="362">
        <v>206400</v>
      </c>
      <c r="DX103" s="362">
        <v>0</v>
      </c>
      <c r="DY103" s="362">
        <v>18000</v>
      </c>
      <c r="DZ103" s="375">
        <v>0</v>
      </c>
      <c r="EA103" s="362">
        <v>668268</v>
      </c>
      <c r="EB103" s="362">
        <v>7820</v>
      </c>
      <c r="EC103" s="362"/>
      <c r="ED103" s="362">
        <v>0</v>
      </c>
      <c r="EE103" s="362">
        <v>0</v>
      </c>
      <c r="EF103" s="362"/>
      <c r="EG103" s="362">
        <v>19668</v>
      </c>
      <c r="EH103" s="362">
        <v>7700</v>
      </c>
      <c r="EI103" s="362"/>
      <c r="EJ103" s="362">
        <v>0</v>
      </c>
      <c r="EK103" s="362"/>
      <c r="EL103" s="362">
        <v>567954</v>
      </c>
      <c r="EM103" s="362">
        <v>4713.99</v>
      </c>
      <c r="EN103" s="362">
        <v>0</v>
      </c>
      <c r="EO103" s="362">
        <v>0</v>
      </c>
      <c r="EP103" s="362">
        <v>0</v>
      </c>
      <c r="EQ103" s="362">
        <v>0</v>
      </c>
      <c r="ER103" s="362">
        <v>16380</v>
      </c>
      <c r="ES103" s="362">
        <v>6924</v>
      </c>
      <c r="ET103" s="362">
        <v>10536</v>
      </c>
      <c r="EU103" s="362">
        <v>0</v>
      </c>
      <c r="EV103" s="362">
        <v>21198.71</v>
      </c>
      <c r="EW103" s="362"/>
      <c r="EX103" s="202"/>
      <c r="EY103" s="202"/>
      <c r="EZ103" s="229"/>
      <c r="FA103" s="368">
        <v>63869.71</v>
      </c>
      <c r="FB103" s="368">
        <v>369672.91</v>
      </c>
      <c r="FC103" s="368">
        <v>0</v>
      </c>
      <c r="FD103" s="368">
        <v>0</v>
      </c>
      <c r="FE103" s="368">
        <v>71937.22</v>
      </c>
      <c r="FF103" s="368">
        <v>42989.89</v>
      </c>
      <c r="FG103" s="368">
        <v>7107.31</v>
      </c>
      <c r="FH103" s="368">
        <v>1670.25</v>
      </c>
      <c r="FI103" s="368">
        <v>0</v>
      </c>
      <c r="FJ103" s="368">
        <v>0</v>
      </c>
      <c r="FK103" s="368">
        <v>9207.7000000000007</v>
      </c>
      <c r="FL103" s="368">
        <v>0</v>
      </c>
      <c r="FM103" s="368">
        <v>202722.06</v>
      </c>
      <c r="FN103" s="368">
        <v>128900.16</v>
      </c>
      <c r="FO103" s="323">
        <v>2012425.2</v>
      </c>
      <c r="FP103" s="323">
        <v>566454.99</v>
      </c>
      <c r="FQ103" s="323">
        <v>2578880.19</v>
      </c>
      <c r="FR103" s="338">
        <v>266075.95</v>
      </c>
      <c r="FS103" s="338">
        <v>41962.89</v>
      </c>
      <c r="FT103" s="377">
        <v>308038.84000000003</v>
      </c>
      <c r="FU103" s="377">
        <v>2323594.34</v>
      </c>
      <c r="FV103" s="377">
        <v>701399.6</v>
      </c>
      <c r="FW103" s="362">
        <v>3024993.94</v>
      </c>
      <c r="FX103" s="362">
        <v>2023222.21</v>
      </c>
      <c r="FY103" s="362">
        <v>576769.23</v>
      </c>
      <c r="FZ103" s="362">
        <v>2599991.44</v>
      </c>
      <c r="GA103" s="362">
        <v>566448.07999999996</v>
      </c>
      <c r="GB103" s="362">
        <v>166593.26</v>
      </c>
      <c r="GC103" s="362">
        <v>733041.34</v>
      </c>
      <c r="GD103" s="362">
        <v>223168.13</v>
      </c>
      <c r="GE103" s="362">
        <v>-173645.08</v>
      </c>
      <c r="GF103" s="362">
        <v>49523.05</v>
      </c>
      <c r="GG103" s="202"/>
      <c r="GH103" s="416"/>
      <c r="GI103" s="414">
        <v>3979</v>
      </c>
      <c r="GJ103" s="419">
        <v>0</v>
      </c>
      <c r="GK103" s="396"/>
      <c r="GL103" s="202">
        <v>0</v>
      </c>
      <c r="GM103" s="202">
        <v>0</v>
      </c>
      <c r="GN103" s="323">
        <v>311169.14</v>
      </c>
      <c r="GO103" s="323">
        <v>134944.60999999999</v>
      </c>
      <c r="GP103" s="323">
        <v>446113.75</v>
      </c>
      <c r="GQ103" s="323">
        <v>534337.27</v>
      </c>
      <c r="GR103" s="323">
        <v>-38700.47</v>
      </c>
      <c r="GS103" s="323">
        <v>495636.8</v>
      </c>
    </row>
    <row r="104" spans="1:201" ht="12.75" customHeight="1" x14ac:dyDescent="0.2">
      <c r="A104" s="45" t="s">
        <v>166</v>
      </c>
      <c r="B104" s="117" t="s">
        <v>108</v>
      </c>
      <c r="C104" s="118" t="s">
        <v>150</v>
      </c>
      <c r="D104" s="388" t="s">
        <v>561</v>
      </c>
      <c r="E104" s="118" t="s">
        <v>9</v>
      </c>
      <c r="F104" s="11">
        <v>5</v>
      </c>
      <c r="G104" s="11">
        <v>6</v>
      </c>
      <c r="H104" s="11">
        <v>90</v>
      </c>
      <c r="I104" s="11">
        <v>0</v>
      </c>
      <c r="J104" s="11">
        <v>199</v>
      </c>
      <c r="K104" s="11">
        <v>222</v>
      </c>
      <c r="L104" s="11" t="s">
        <v>746</v>
      </c>
      <c r="M104" s="84">
        <v>419</v>
      </c>
      <c r="N104" s="84">
        <v>1288</v>
      </c>
      <c r="O104" s="84">
        <v>0</v>
      </c>
      <c r="P104" s="139">
        <v>403.5</v>
      </c>
      <c r="Q104" s="139">
        <v>1012.8</v>
      </c>
      <c r="R104" s="139">
        <v>0</v>
      </c>
      <c r="S104" s="133">
        <f t="shared" si="52"/>
        <v>1416.3</v>
      </c>
      <c r="T104" s="139">
        <v>419</v>
      </c>
      <c r="U104" s="130">
        <v>1.83</v>
      </c>
      <c r="V104" s="131">
        <v>1.1299999999999999E-2</v>
      </c>
      <c r="W104" s="131">
        <v>1.9800000000000002E-2</v>
      </c>
      <c r="X104" s="132">
        <v>1.2700000000000001E-3</v>
      </c>
      <c r="Y104" s="131">
        <v>1.1299999999999999E-2</v>
      </c>
      <c r="Z104" s="29">
        <v>3976</v>
      </c>
      <c r="AA104" s="29"/>
      <c r="AB104" s="9">
        <f t="shared" si="29"/>
        <v>3976</v>
      </c>
      <c r="AC104" s="9">
        <f t="shared" si="55"/>
        <v>25168.080000000002</v>
      </c>
      <c r="AD104" s="9">
        <v>0.51</v>
      </c>
      <c r="AE104" s="9">
        <v>4.25</v>
      </c>
      <c r="AF104" s="21">
        <f>2.5-AJ104</f>
        <v>2.19</v>
      </c>
      <c r="AG104" s="18">
        <f>0.56-AQ104</f>
        <v>0.45</v>
      </c>
      <c r="AH104" s="19">
        <f>2.78+0.13+0.18</f>
        <v>3.09</v>
      </c>
      <c r="AI104" s="43">
        <v>1236</v>
      </c>
      <c r="AJ104" s="21">
        <f t="shared" si="30"/>
        <v>0.31</v>
      </c>
      <c r="AK104" s="9">
        <v>0</v>
      </c>
      <c r="AL104" s="9">
        <v>0</v>
      </c>
      <c r="AM104" s="9">
        <v>0.15</v>
      </c>
      <c r="AN104" s="13"/>
      <c r="AO104" s="13">
        <v>901.8</v>
      </c>
      <c r="AP104" s="13">
        <f t="shared" si="53"/>
        <v>5.58</v>
      </c>
      <c r="AQ104" s="18">
        <f t="shared" si="31"/>
        <v>0.11</v>
      </c>
      <c r="AR104" s="9">
        <v>0.79</v>
      </c>
      <c r="AS104" s="9">
        <v>0.34</v>
      </c>
      <c r="AT104" s="9">
        <v>7.0000000000000007E-2</v>
      </c>
      <c r="AU104" s="9">
        <v>4.05</v>
      </c>
      <c r="AV104" s="9">
        <v>0.13</v>
      </c>
      <c r="AW104" s="9">
        <f>1.1+0.32+0.36</f>
        <v>1.78</v>
      </c>
      <c r="AX104" s="9">
        <f>1.5+0.48</f>
        <v>1.98</v>
      </c>
      <c r="AY104" s="120">
        <f t="shared" si="54"/>
        <v>20.2</v>
      </c>
      <c r="AZ104" s="13">
        <v>20.2</v>
      </c>
      <c r="BA104" s="13">
        <f t="shared" si="32"/>
        <v>0</v>
      </c>
      <c r="BB104" s="9">
        <f t="shared" si="33"/>
        <v>80315.199999999997</v>
      </c>
      <c r="BC104" s="9">
        <v>20.2</v>
      </c>
      <c r="BD104" s="10">
        <v>44409</v>
      </c>
      <c r="BE104" s="9">
        <f t="shared" si="34"/>
        <v>2027.76</v>
      </c>
      <c r="BF104" s="9">
        <f t="shared" si="35"/>
        <v>16898</v>
      </c>
      <c r="BG104" s="9">
        <f t="shared" si="36"/>
        <v>8707.44</v>
      </c>
      <c r="BH104" s="9">
        <f t="shared" si="37"/>
        <v>1789.2</v>
      </c>
      <c r="BI104" s="9">
        <f t="shared" si="38"/>
        <v>12285.84</v>
      </c>
      <c r="BJ104" s="9">
        <f t="shared" si="39"/>
        <v>1232.56</v>
      </c>
      <c r="BK104" s="9">
        <f t="shared" si="40"/>
        <v>0</v>
      </c>
      <c r="BL104" s="9">
        <f t="shared" si="41"/>
        <v>0</v>
      </c>
      <c r="BM104" s="9">
        <f t="shared" si="42"/>
        <v>596.4</v>
      </c>
      <c r="BN104" s="9">
        <f t="shared" si="43"/>
        <v>437.36</v>
      </c>
      <c r="BO104" s="9">
        <f t="shared" si="44"/>
        <v>3141.04</v>
      </c>
      <c r="BP104" s="9">
        <f t="shared" si="45"/>
        <v>1351.84</v>
      </c>
      <c r="BQ104" s="9">
        <f t="shared" si="46"/>
        <v>278.32</v>
      </c>
      <c r="BR104" s="9">
        <f t="shared" si="47"/>
        <v>16102.8</v>
      </c>
      <c r="BS104" s="9">
        <f t="shared" si="48"/>
        <v>516.88</v>
      </c>
      <c r="BT104" s="9">
        <f t="shared" si="49"/>
        <v>7077.28</v>
      </c>
      <c r="BU104" s="9">
        <f t="shared" si="50"/>
        <v>7872.48</v>
      </c>
      <c r="BV104" s="17">
        <f t="shared" si="51"/>
        <v>80315.199999999997</v>
      </c>
      <c r="BW104" s="17">
        <v>0.75</v>
      </c>
      <c r="BX104" s="17">
        <v>0.03</v>
      </c>
      <c r="BY104" s="17">
        <v>0.33</v>
      </c>
      <c r="BZ104" s="17">
        <v>0.02</v>
      </c>
      <c r="CA104" s="29">
        <v>6.33</v>
      </c>
      <c r="CB104" s="325"/>
      <c r="CC104" s="13">
        <v>0</v>
      </c>
      <c r="CD104" s="13">
        <v>0</v>
      </c>
      <c r="CE104" s="13">
        <v>0</v>
      </c>
      <c r="CF104" s="13">
        <v>0</v>
      </c>
      <c r="CG104" s="13">
        <v>0</v>
      </c>
      <c r="CH104" s="13">
        <v>0</v>
      </c>
      <c r="CI104" s="13">
        <v>2860.41</v>
      </c>
      <c r="CJ104" s="13">
        <v>39876</v>
      </c>
      <c r="CK104" s="13">
        <v>1529.13</v>
      </c>
      <c r="CL104" s="13">
        <v>963782.4</v>
      </c>
      <c r="CM104" s="13">
        <v>9780.7999999999993</v>
      </c>
      <c r="CN104" s="13">
        <v>0</v>
      </c>
      <c r="CO104" s="13">
        <v>49938.66</v>
      </c>
      <c r="CP104" s="13">
        <v>26202.27</v>
      </c>
      <c r="CQ104" s="13">
        <v>0</v>
      </c>
      <c r="CR104" s="13">
        <v>847662.13</v>
      </c>
      <c r="CS104" s="13">
        <v>21711.16</v>
      </c>
      <c r="CT104" s="13">
        <v>970.69</v>
      </c>
      <c r="CU104" s="13">
        <v>47289.35</v>
      </c>
      <c r="CV104" s="13">
        <v>24976.49</v>
      </c>
      <c r="CW104" s="13">
        <v>0</v>
      </c>
      <c r="CX104" s="13">
        <v>225436.79999999999</v>
      </c>
      <c r="CY104" s="13">
        <v>-3558.22</v>
      </c>
      <c r="CZ104" s="13">
        <v>-1443.3</v>
      </c>
      <c r="DA104" s="13">
        <v>8371.08</v>
      </c>
      <c r="DB104" s="13">
        <v>4362.25</v>
      </c>
      <c r="DC104" s="13"/>
      <c r="DD104" s="315">
        <v>1049704.1299999999</v>
      </c>
      <c r="DE104" s="317">
        <v>942609.82</v>
      </c>
      <c r="DF104" s="317">
        <v>89.8</v>
      </c>
      <c r="DG104" s="318">
        <v>233168.61</v>
      </c>
      <c r="DH104" s="310">
        <v>41777.519999999997</v>
      </c>
      <c r="DI104" s="310">
        <v>23892.959999999999</v>
      </c>
      <c r="DJ104" s="312">
        <v>0</v>
      </c>
      <c r="DK104" s="362">
        <v>0</v>
      </c>
      <c r="DL104" s="362"/>
      <c r="DM104" s="362">
        <v>0</v>
      </c>
      <c r="DN104" s="362">
        <v>0</v>
      </c>
      <c r="DO104" s="362">
        <v>0</v>
      </c>
      <c r="DP104" s="362">
        <v>0</v>
      </c>
      <c r="DQ104" s="362">
        <v>0</v>
      </c>
      <c r="DR104" s="362"/>
      <c r="DS104" s="362">
        <v>0</v>
      </c>
      <c r="DT104" s="362"/>
      <c r="DU104" s="362">
        <v>0</v>
      </c>
      <c r="DV104" s="362">
        <v>0</v>
      </c>
      <c r="DW104" s="362">
        <v>0</v>
      </c>
      <c r="DX104" s="362">
        <v>0</v>
      </c>
      <c r="DY104" s="362">
        <v>0</v>
      </c>
      <c r="DZ104" s="375">
        <v>0</v>
      </c>
      <c r="EA104" s="362">
        <v>262578</v>
      </c>
      <c r="EB104" s="362">
        <v>8330</v>
      </c>
      <c r="EC104" s="362"/>
      <c r="ED104" s="362">
        <v>0</v>
      </c>
      <c r="EE104" s="362">
        <v>0</v>
      </c>
      <c r="EF104" s="362"/>
      <c r="EG104" s="362">
        <v>19668</v>
      </c>
      <c r="EH104" s="362">
        <v>0</v>
      </c>
      <c r="EI104" s="362"/>
      <c r="EJ104" s="362">
        <v>5700</v>
      </c>
      <c r="EK104" s="362"/>
      <c r="EL104" s="362">
        <v>298080</v>
      </c>
      <c r="EM104" s="362">
        <v>5032.05</v>
      </c>
      <c r="EN104" s="362">
        <v>0</v>
      </c>
      <c r="EO104" s="362">
        <v>0</v>
      </c>
      <c r="EP104" s="362">
        <v>0</v>
      </c>
      <c r="EQ104" s="362">
        <v>0</v>
      </c>
      <c r="ER104" s="362">
        <v>16380</v>
      </c>
      <c r="ES104" s="362">
        <v>4616</v>
      </c>
      <c r="ET104" s="362">
        <v>14628</v>
      </c>
      <c r="EU104" s="362">
        <v>0</v>
      </c>
      <c r="EV104" s="362">
        <v>72089.69</v>
      </c>
      <c r="EW104" s="362"/>
      <c r="EX104" s="202"/>
      <c r="EY104" s="202"/>
      <c r="EZ104" s="229"/>
      <c r="FA104" s="368">
        <v>9800.36</v>
      </c>
      <c r="FB104" s="368">
        <v>0</v>
      </c>
      <c r="FC104" s="368">
        <v>0</v>
      </c>
      <c r="FD104" s="368">
        <v>0</v>
      </c>
      <c r="FE104" s="368">
        <v>31762.26</v>
      </c>
      <c r="FF104" s="368">
        <v>16701.46</v>
      </c>
      <c r="FG104" s="368">
        <v>405.36</v>
      </c>
      <c r="FH104" s="368">
        <v>-805.04</v>
      </c>
      <c r="FI104" s="368">
        <v>0</v>
      </c>
      <c r="FJ104" s="368">
        <v>0</v>
      </c>
      <c r="FK104" s="368">
        <v>0</v>
      </c>
      <c r="FL104" s="368">
        <v>0</v>
      </c>
      <c r="FM104" s="368">
        <v>106298.58</v>
      </c>
      <c r="FN104" s="368">
        <v>67589.600000000006</v>
      </c>
      <c r="FO104" s="323">
        <v>946660.4</v>
      </c>
      <c r="FP104" s="323">
        <v>57864.4</v>
      </c>
      <c r="FQ104" s="323">
        <v>1004524.8</v>
      </c>
      <c r="FR104" s="338">
        <v>109036.51</v>
      </c>
      <c r="FS104" s="338">
        <v>17197.63</v>
      </c>
      <c r="FT104" s="377">
        <v>126234.14</v>
      </c>
      <c r="FU104" s="377">
        <v>1006518.81</v>
      </c>
      <c r="FV104" s="377">
        <v>87450.86</v>
      </c>
      <c r="FW104" s="362">
        <v>1093969.67</v>
      </c>
      <c r="FX104" s="362">
        <v>890118.52</v>
      </c>
      <c r="FY104" s="362">
        <v>96916.68</v>
      </c>
      <c r="FZ104" s="362">
        <v>987035.2</v>
      </c>
      <c r="GA104" s="362">
        <v>225436.79999999999</v>
      </c>
      <c r="GB104" s="362">
        <v>7731.81</v>
      </c>
      <c r="GC104" s="362">
        <v>233168.61</v>
      </c>
      <c r="GD104" s="362">
        <v>88709.77</v>
      </c>
      <c r="GE104" s="362">
        <v>-15385.28</v>
      </c>
      <c r="GF104" s="362">
        <v>73324.490000000005</v>
      </c>
      <c r="GG104" s="202"/>
      <c r="GH104" s="416"/>
      <c r="GI104" s="414">
        <v>3979</v>
      </c>
      <c r="GJ104" s="419">
        <v>0</v>
      </c>
      <c r="GK104" s="396"/>
      <c r="GL104" s="202">
        <v>0</v>
      </c>
      <c r="GM104" s="202">
        <v>0</v>
      </c>
      <c r="GN104" s="323">
        <v>59858.41</v>
      </c>
      <c r="GO104" s="323">
        <v>29586.46</v>
      </c>
      <c r="GP104" s="323">
        <v>89444.87</v>
      </c>
      <c r="GQ104" s="323">
        <v>148568.18</v>
      </c>
      <c r="GR104" s="323">
        <v>14201.18</v>
      </c>
      <c r="GS104" s="323">
        <v>162769.35999999999</v>
      </c>
    </row>
    <row r="105" spans="1:201" ht="12.75" customHeight="1" x14ac:dyDescent="0.2">
      <c r="A105" s="45" t="s">
        <v>167</v>
      </c>
      <c r="B105" s="78" t="s">
        <v>108</v>
      </c>
      <c r="C105" s="79" t="s">
        <v>153</v>
      </c>
      <c r="D105" s="388" t="s">
        <v>433</v>
      </c>
      <c r="E105" s="79" t="s">
        <v>12</v>
      </c>
      <c r="F105" s="11">
        <v>9</v>
      </c>
      <c r="G105" s="11">
        <v>2</v>
      </c>
      <c r="H105" s="11">
        <v>108</v>
      </c>
      <c r="I105" s="11">
        <v>110</v>
      </c>
      <c r="J105" s="11">
        <v>186</v>
      </c>
      <c r="K105" s="11">
        <v>237</v>
      </c>
      <c r="L105" s="83">
        <v>2</v>
      </c>
      <c r="M105" s="84">
        <v>553</v>
      </c>
      <c r="N105" s="84">
        <v>826</v>
      </c>
      <c r="O105" s="84">
        <v>0</v>
      </c>
      <c r="P105" s="135">
        <v>553.5</v>
      </c>
      <c r="Q105" s="135">
        <v>491</v>
      </c>
      <c r="R105" s="133">
        <v>0</v>
      </c>
      <c r="S105" s="133">
        <f t="shared" si="52"/>
        <v>1044.5</v>
      </c>
      <c r="T105" s="134">
        <v>553</v>
      </c>
      <c r="U105" s="130">
        <v>2.72</v>
      </c>
      <c r="V105" s="131">
        <v>1.21E-2</v>
      </c>
      <c r="W105" s="131">
        <v>1.9800000000000002E-2</v>
      </c>
      <c r="X105" s="132">
        <v>1.2700000000000001E-3</v>
      </c>
      <c r="Y105" s="131">
        <v>1.21E-2</v>
      </c>
      <c r="Z105" s="29">
        <v>4659.1000000000004</v>
      </c>
      <c r="AA105" s="29"/>
      <c r="AB105" s="9">
        <f t="shared" si="29"/>
        <v>4659.1000000000004</v>
      </c>
      <c r="AC105" s="9">
        <f t="shared" si="55"/>
        <v>29492.1</v>
      </c>
      <c r="AD105" s="9">
        <v>1.65</v>
      </c>
      <c r="AE105" s="9">
        <v>3.57</v>
      </c>
      <c r="AF105" s="21">
        <f>2.49-AJ105</f>
        <v>2.3199999999999998</v>
      </c>
      <c r="AG105" s="18">
        <f>0.59-AQ105</f>
        <v>0.53</v>
      </c>
      <c r="AH105" s="9">
        <v>2.77</v>
      </c>
      <c r="AI105" s="43">
        <v>793</v>
      </c>
      <c r="AJ105" s="21">
        <f t="shared" si="30"/>
        <v>0.17</v>
      </c>
      <c r="AK105" s="9">
        <v>1.86</v>
      </c>
      <c r="AL105" s="9">
        <v>0.5</v>
      </c>
      <c r="AM105" s="9">
        <v>0.12</v>
      </c>
      <c r="AN105" s="13"/>
      <c r="AO105" s="13">
        <v>611.79999999999995</v>
      </c>
      <c r="AP105" s="13">
        <f t="shared" si="53"/>
        <v>5.58</v>
      </c>
      <c r="AQ105" s="18">
        <f t="shared" si="31"/>
        <v>0.06</v>
      </c>
      <c r="AR105" s="9">
        <v>0.75</v>
      </c>
      <c r="AS105" s="9">
        <v>0.3</v>
      </c>
      <c r="AT105" s="9">
        <v>7.0000000000000007E-2</v>
      </c>
      <c r="AU105" s="9">
        <v>4.9800000000000004</v>
      </c>
      <c r="AV105" s="9">
        <v>0.15</v>
      </c>
      <c r="AW105" s="9">
        <f>1.32+0.44+0.33</f>
        <v>2.09</v>
      </c>
      <c r="AX105" s="9">
        <f>1.86+0.59</f>
        <v>2.4500000000000002</v>
      </c>
      <c r="AY105" s="81">
        <f t="shared" si="54"/>
        <v>24.34</v>
      </c>
      <c r="AZ105" s="13">
        <v>24.34</v>
      </c>
      <c r="BA105" s="13">
        <f t="shared" si="32"/>
        <v>0</v>
      </c>
      <c r="BB105" s="9">
        <f t="shared" si="33"/>
        <v>113402.49</v>
      </c>
      <c r="BC105" s="9">
        <v>24.34</v>
      </c>
      <c r="BD105" s="10">
        <v>44378</v>
      </c>
      <c r="BE105" s="9">
        <f t="shared" si="34"/>
        <v>7687.52</v>
      </c>
      <c r="BF105" s="9">
        <f t="shared" si="35"/>
        <v>16632.990000000002</v>
      </c>
      <c r="BG105" s="9">
        <f t="shared" si="36"/>
        <v>10809.11</v>
      </c>
      <c r="BH105" s="9">
        <f t="shared" si="37"/>
        <v>2469.3200000000002</v>
      </c>
      <c r="BI105" s="9">
        <f t="shared" si="38"/>
        <v>12905.71</v>
      </c>
      <c r="BJ105" s="9">
        <f t="shared" si="39"/>
        <v>792.05</v>
      </c>
      <c r="BK105" s="9">
        <f t="shared" si="40"/>
        <v>8665.93</v>
      </c>
      <c r="BL105" s="9">
        <f t="shared" si="41"/>
        <v>2329.5500000000002</v>
      </c>
      <c r="BM105" s="9">
        <f t="shared" si="42"/>
        <v>559.09</v>
      </c>
      <c r="BN105" s="9">
        <f t="shared" si="43"/>
        <v>279.55</v>
      </c>
      <c r="BO105" s="9">
        <f t="shared" si="44"/>
        <v>3494.33</v>
      </c>
      <c r="BP105" s="9">
        <f t="shared" si="45"/>
        <v>1397.73</v>
      </c>
      <c r="BQ105" s="9">
        <f t="shared" si="46"/>
        <v>326.14</v>
      </c>
      <c r="BR105" s="9">
        <f t="shared" si="47"/>
        <v>23202.32</v>
      </c>
      <c r="BS105" s="9">
        <f t="shared" si="48"/>
        <v>698.87</v>
      </c>
      <c r="BT105" s="9">
        <f t="shared" si="49"/>
        <v>9737.52</v>
      </c>
      <c r="BU105" s="9">
        <f t="shared" si="50"/>
        <v>11414.8</v>
      </c>
      <c r="BV105" s="17">
        <f t="shared" si="51"/>
        <v>113402.53</v>
      </c>
      <c r="BW105" s="17">
        <v>4.4800000000000004</v>
      </c>
      <c r="BX105" s="17">
        <v>0.05</v>
      </c>
      <c r="BY105" s="17">
        <v>0.45</v>
      </c>
      <c r="BZ105" s="17">
        <v>0.03</v>
      </c>
      <c r="CA105" s="29">
        <v>6.33</v>
      </c>
      <c r="CB105" s="325"/>
      <c r="CC105" s="13">
        <v>0</v>
      </c>
      <c r="CD105" s="13">
        <v>0</v>
      </c>
      <c r="CE105" s="13">
        <v>0</v>
      </c>
      <c r="CF105" s="13">
        <v>0</v>
      </c>
      <c r="CG105" s="13">
        <v>0</v>
      </c>
      <c r="CH105" s="13">
        <v>0</v>
      </c>
      <c r="CI105" s="13">
        <v>3937.78</v>
      </c>
      <c r="CJ105" s="13">
        <v>31284</v>
      </c>
      <c r="CK105" s="13">
        <v>1791.88</v>
      </c>
      <c r="CL105" s="13">
        <v>1359798.37</v>
      </c>
      <c r="CM105" s="13">
        <v>69280.789999999994</v>
      </c>
      <c r="CN105" s="13">
        <v>0</v>
      </c>
      <c r="CO105" s="13">
        <v>21806.99</v>
      </c>
      <c r="CP105" s="13">
        <v>11835.53</v>
      </c>
      <c r="CQ105" s="13">
        <v>0</v>
      </c>
      <c r="CR105" s="13">
        <v>1255635.4099999999</v>
      </c>
      <c r="CS105" s="13">
        <v>77801.83</v>
      </c>
      <c r="CT105" s="13">
        <v>2161.19</v>
      </c>
      <c r="CU105" s="13">
        <v>15532.98</v>
      </c>
      <c r="CV105" s="13">
        <v>8777.07</v>
      </c>
      <c r="CW105" s="13">
        <v>0</v>
      </c>
      <c r="CX105" s="13">
        <v>268120.68</v>
      </c>
      <c r="CY105" s="13">
        <v>8206.5300000000007</v>
      </c>
      <c r="CZ105" s="13">
        <v>-1964.88</v>
      </c>
      <c r="DA105" s="13">
        <v>5700.19</v>
      </c>
      <c r="DB105" s="13">
        <v>3024.73</v>
      </c>
      <c r="DC105" s="13"/>
      <c r="DD105" s="315">
        <v>1462721.68</v>
      </c>
      <c r="DE105" s="317">
        <v>1359908.48</v>
      </c>
      <c r="DF105" s="317">
        <v>92.97</v>
      </c>
      <c r="DG105" s="318">
        <v>283087.25</v>
      </c>
      <c r="DH105" s="310">
        <v>48955.199999999997</v>
      </c>
      <c r="DI105" s="310">
        <v>27997.919999999998</v>
      </c>
      <c r="DJ105" s="312">
        <v>0</v>
      </c>
      <c r="DK105" s="362">
        <v>0</v>
      </c>
      <c r="DL105" s="362"/>
      <c r="DM105" s="362">
        <v>0</v>
      </c>
      <c r="DN105" s="362">
        <v>0</v>
      </c>
      <c r="DO105" s="362">
        <v>0</v>
      </c>
      <c r="DP105" s="362">
        <v>0</v>
      </c>
      <c r="DQ105" s="362">
        <v>0</v>
      </c>
      <c r="DR105" s="362"/>
      <c r="DS105" s="362">
        <v>0</v>
      </c>
      <c r="DT105" s="362"/>
      <c r="DU105" s="362">
        <v>0</v>
      </c>
      <c r="DV105" s="362">
        <v>0</v>
      </c>
      <c r="DW105" s="362">
        <v>102367.74</v>
      </c>
      <c r="DX105" s="362">
        <v>0</v>
      </c>
      <c r="DY105" s="362">
        <v>9000</v>
      </c>
      <c r="DZ105" s="375">
        <v>0</v>
      </c>
      <c r="EA105" s="362">
        <v>334968</v>
      </c>
      <c r="EB105" s="362">
        <v>12461</v>
      </c>
      <c r="EC105" s="362"/>
      <c r="ED105" s="362">
        <v>0</v>
      </c>
      <c r="EE105" s="362">
        <v>0</v>
      </c>
      <c r="EF105" s="362"/>
      <c r="EG105" s="362">
        <v>12618</v>
      </c>
      <c r="EH105" s="362">
        <v>0</v>
      </c>
      <c r="EI105" s="362"/>
      <c r="EJ105" s="362">
        <v>0</v>
      </c>
      <c r="EK105" s="362"/>
      <c r="EL105" s="362">
        <v>338952</v>
      </c>
      <c r="EM105" s="362">
        <v>3413.85</v>
      </c>
      <c r="EN105" s="362">
        <v>0</v>
      </c>
      <c r="EO105" s="362">
        <v>0</v>
      </c>
      <c r="EP105" s="362">
        <v>0</v>
      </c>
      <c r="EQ105" s="362">
        <v>0</v>
      </c>
      <c r="ER105" s="362">
        <v>15015</v>
      </c>
      <c r="ES105" s="362">
        <v>6924</v>
      </c>
      <c r="ET105" s="362">
        <v>13694</v>
      </c>
      <c r="EU105" s="362">
        <v>0</v>
      </c>
      <c r="EV105" s="362">
        <v>91693.42</v>
      </c>
      <c r="EW105" s="362"/>
      <c r="EX105" s="202"/>
      <c r="EY105" s="202"/>
      <c r="EZ105" s="229"/>
      <c r="FA105" s="368">
        <v>62173.16</v>
      </c>
      <c r="FB105" s="368">
        <v>0</v>
      </c>
      <c r="FC105" s="368">
        <v>0</v>
      </c>
      <c r="FD105" s="368">
        <v>0</v>
      </c>
      <c r="FE105" s="368">
        <v>9067.5</v>
      </c>
      <c r="FF105" s="368">
        <v>4872.8599999999997</v>
      </c>
      <c r="FG105" s="368">
        <v>354.66</v>
      </c>
      <c r="FH105" s="368">
        <v>-850.95</v>
      </c>
      <c r="FI105" s="368">
        <v>0</v>
      </c>
      <c r="FJ105" s="368">
        <v>0</v>
      </c>
      <c r="FK105" s="368">
        <v>0</v>
      </c>
      <c r="FL105" s="368">
        <v>0</v>
      </c>
      <c r="FM105" s="368">
        <v>124561.32</v>
      </c>
      <c r="FN105" s="368">
        <v>79208.7</v>
      </c>
      <c r="FO105" s="323">
        <v>1221830.1499999999</v>
      </c>
      <c r="FP105" s="323">
        <v>75617.23</v>
      </c>
      <c r="FQ105" s="323">
        <v>1297447.3799999999</v>
      </c>
      <c r="FR105" s="338">
        <v>154644.12</v>
      </c>
      <c r="FS105" s="338">
        <v>8847.25</v>
      </c>
      <c r="FT105" s="377">
        <v>163491.37</v>
      </c>
      <c r="FU105" s="377">
        <v>1395020.15</v>
      </c>
      <c r="FV105" s="377">
        <v>104715.19</v>
      </c>
      <c r="FW105" s="362">
        <v>1499735.34</v>
      </c>
      <c r="FX105" s="362">
        <v>1281543.5900000001</v>
      </c>
      <c r="FY105" s="362">
        <v>98595.87</v>
      </c>
      <c r="FZ105" s="362">
        <v>1380139.46</v>
      </c>
      <c r="GA105" s="362">
        <v>268120.68</v>
      </c>
      <c r="GB105" s="362">
        <v>14966.57</v>
      </c>
      <c r="GC105" s="362">
        <v>283087.25</v>
      </c>
      <c r="GD105" s="362">
        <v>179655.24</v>
      </c>
      <c r="GE105" s="362">
        <v>-17699.759999999998</v>
      </c>
      <c r="GF105" s="362">
        <v>161955.48000000001</v>
      </c>
      <c r="GG105" s="202"/>
      <c r="GH105" s="416"/>
      <c r="GI105" s="414">
        <v>2963</v>
      </c>
      <c r="GJ105" s="419">
        <v>0</v>
      </c>
      <c r="GK105" s="396"/>
      <c r="GL105" s="202">
        <v>0</v>
      </c>
      <c r="GM105" s="202">
        <v>0</v>
      </c>
      <c r="GN105" s="323">
        <v>173190</v>
      </c>
      <c r="GO105" s="323">
        <v>29097.96</v>
      </c>
      <c r="GP105" s="323">
        <v>202287.96</v>
      </c>
      <c r="GQ105" s="323">
        <v>352845.24</v>
      </c>
      <c r="GR105" s="323">
        <v>11398.2</v>
      </c>
      <c r="GS105" s="323">
        <v>364243.44</v>
      </c>
    </row>
    <row r="106" spans="1:201" ht="12.75" customHeight="1" x14ac:dyDescent="0.2">
      <c r="A106" s="45" t="s">
        <v>168</v>
      </c>
      <c r="B106" s="78" t="s">
        <v>108</v>
      </c>
      <c r="C106" s="79" t="s">
        <v>267</v>
      </c>
      <c r="D106" s="390" t="s">
        <v>633</v>
      </c>
      <c r="E106" s="79"/>
      <c r="F106" s="11">
        <v>9</v>
      </c>
      <c r="G106" s="11">
        <v>1</v>
      </c>
      <c r="H106" s="11">
        <v>216</v>
      </c>
      <c r="I106" s="11">
        <v>134</v>
      </c>
      <c r="J106" s="11">
        <v>188</v>
      </c>
      <c r="K106" s="11">
        <v>274</v>
      </c>
      <c r="L106" s="11">
        <v>2</v>
      </c>
      <c r="M106" s="84">
        <v>1932</v>
      </c>
      <c r="N106" s="84">
        <v>814</v>
      </c>
      <c r="O106" s="84">
        <v>0</v>
      </c>
      <c r="P106" s="135">
        <f>214+58.6</f>
        <v>272.60000000000002</v>
      </c>
      <c r="Q106" s="139">
        <v>689.6</v>
      </c>
      <c r="R106" s="133">
        <v>0</v>
      </c>
      <c r="S106" s="133">
        <f t="shared" si="52"/>
        <v>962.2</v>
      </c>
      <c r="T106" s="134">
        <v>1932</v>
      </c>
      <c r="U106" s="130">
        <v>2.72</v>
      </c>
      <c r="V106" s="91">
        <v>1.21E-2</v>
      </c>
      <c r="W106" s="91">
        <v>1.9800000000000002E-2</v>
      </c>
      <c r="X106" s="132">
        <v>1.2700000000000001E-3</v>
      </c>
      <c r="Y106" s="91">
        <v>1.21E-2</v>
      </c>
      <c r="Z106" s="29">
        <v>4943.46</v>
      </c>
      <c r="AA106" s="29">
        <v>526.5</v>
      </c>
      <c r="AB106" s="9">
        <f t="shared" si="29"/>
        <v>5469.96</v>
      </c>
      <c r="AC106" s="9">
        <f t="shared" si="55"/>
        <v>34624.85</v>
      </c>
      <c r="AD106" s="9">
        <v>0.68</v>
      </c>
      <c r="AE106" s="9">
        <v>4.59</v>
      </c>
      <c r="AF106" s="21">
        <f>2.47-AJ106</f>
        <v>2.35</v>
      </c>
      <c r="AG106" s="18">
        <f>0.62-AQ106</f>
        <v>0.51</v>
      </c>
      <c r="AH106" s="19">
        <f>2.77+0.09+0.13</f>
        <v>2.99</v>
      </c>
      <c r="AI106" s="43">
        <v>633</v>
      </c>
      <c r="AJ106" s="21">
        <f t="shared" si="30"/>
        <v>0.12</v>
      </c>
      <c r="AK106" s="9">
        <v>1.5</v>
      </c>
      <c r="AL106" s="9">
        <v>0.41</v>
      </c>
      <c r="AM106" s="9">
        <v>0.1</v>
      </c>
      <c r="AN106" s="13"/>
      <c r="AO106" s="13">
        <v>1281.5999999999999</v>
      </c>
      <c r="AP106" s="13">
        <f t="shared" si="53"/>
        <v>5.58</v>
      </c>
      <c r="AQ106" s="18">
        <f t="shared" si="31"/>
        <v>0.11</v>
      </c>
      <c r="AR106" s="9">
        <v>0</v>
      </c>
      <c r="AS106" s="9">
        <v>0.24</v>
      </c>
      <c r="AT106" s="9">
        <v>7.0000000000000007E-2</v>
      </c>
      <c r="AU106" s="9">
        <v>4.95</v>
      </c>
      <c r="AV106" s="9">
        <v>0.14000000000000001</v>
      </c>
      <c r="AW106" s="9">
        <f>1.23+0.44+0.41</f>
        <v>2.08</v>
      </c>
      <c r="AX106" s="9">
        <f>1.7+0.58</f>
        <v>2.2799999999999998</v>
      </c>
      <c r="AY106" s="81">
        <f t="shared" si="54"/>
        <v>23.12</v>
      </c>
      <c r="AZ106" s="13">
        <v>23.12</v>
      </c>
      <c r="BA106" s="13">
        <f t="shared" si="32"/>
        <v>0</v>
      </c>
      <c r="BB106" s="9">
        <f t="shared" si="33"/>
        <v>126465.48</v>
      </c>
      <c r="BC106" s="9">
        <v>23.12</v>
      </c>
      <c r="BD106" s="10">
        <v>44440</v>
      </c>
      <c r="BE106" s="9">
        <f t="shared" si="34"/>
        <v>3719.57</v>
      </c>
      <c r="BF106" s="9">
        <f t="shared" si="35"/>
        <v>25107.119999999999</v>
      </c>
      <c r="BG106" s="9">
        <f t="shared" si="36"/>
        <v>12854.41</v>
      </c>
      <c r="BH106" s="9">
        <f t="shared" si="37"/>
        <v>2789.68</v>
      </c>
      <c r="BI106" s="9">
        <f t="shared" si="38"/>
        <v>16355.18</v>
      </c>
      <c r="BJ106" s="9">
        <f t="shared" si="39"/>
        <v>656.4</v>
      </c>
      <c r="BK106" s="9">
        <f t="shared" si="40"/>
        <v>8204.94</v>
      </c>
      <c r="BL106" s="9">
        <f t="shared" si="41"/>
        <v>2242.6799999999998</v>
      </c>
      <c r="BM106" s="9">
        <f t="shared" si="42"/>
        <v>547</v>
      </c>
      <c r="BN106" s="9">
        <f t="shared" si="43"/>
        <v>601.70000000000005</v>
      </c>
      <c r="BO106" s="9">
        <f t="shared" si="44"/>
        <v>0</v>
      </c>
      <c r="BP106" s="9">
        <f t="shared" si="45"/>
        <v>1312.79</v>
      </c>
      <c r="BQ106" s="9">
        <f t="shared" si="46"/>
        <v>382.9</v>
      </c>
      <c r="BR106" s="9">
        <f t="shared" si="47"/>
        <v>27076.3</v>
      </c>
      <c r="BS106" s="9">
        <f t="shared" si="48"/>
        <v>765.79</v>
      </c>
      <c r="BT106" s="9">
        <f t="shared" si="49"/>
        <v>11377.52</v>
      </c>
      <c r="BU106" s="9">
        <f t="shared" si="50"/>
        <v>12471.51</v>
      </c>
      <c r="BV106" s="17">
        <f t="shared" si="51"/>
        <v>126465.49</v>
      </c>
      <c r="BW106" s="17">
        <v>3.07</v>
      </c>
      <c r="BX106" s="17">
        <v>0.02</v>
      </c>
      <c r="BY106" s="17">
        <v>0.17</v>
      </c>
      <c r="BZ106" s="17">
        <v>0.01</v>
      </c>
      <c r="CA106" s="29">
        <v>6.33</v>
      </c>
      <c r="CB106" s="325"/>
      <c r="CC106" s="13">
        <v>152915.68</v>
      </c>
      <c r="CD106" s="13">
        <v>38990.199999999997</v>
      </c>
      <c r="CE106" s="13">
        <v>454.52</v>
      </c>
      <c r="CF106" s="13">
        <v>11196.81</v>
      </c>
      <c r="CG106" s="13">
        <v>6182.82</v>
      </c>
      <c r="CH106" s="13">
        <v>0</v>
      </c>
      <c r="CI106" s="13">
        <v>13221.91</v>
      </c>
      <c r="CJ106" s="13">
        <v>43500</v>
      </c>
      <c r="CK106" s="13">
        <v>2103.79</v>
      </c>
      <c r="CL106" s="13">
        <v>1365238.65</v>
      </c>
      <c r="CM106" s="13">
        <v>360024.05</v>
      </c>
      <c r="CN106" s="13">
        <v>-2.89</v>
      </c>
      <c r="CO106" s="13">
        <v>98202.87</v>
      </c>
      <c r="CP106" s="13">
        <v>51423.99</v>
      </c>
      <c r="CQ106" s="13">
        <v>0</v>
      </c>
      <c r="CR106" s="13">
        <v>1046885.07</v>
      </c>
      <c r="CS106" s="13">
        <v>257629.48</v>
      </c>
      <c r="CT106" s="13">
        <v>2709.6</v>
      </c>
      <c r="CU106" s="13">
        <v>67940.399999999994</v>
      </c>
      <c r="CV106" s="13">
        <v>35927.800000000003</v>
      </c>
      <c r="CW106" s="13">
        <v>0</v>
      </c>
      <c r="CX106" s="13">
        <v>567591.47</v>
      </c>
      <c r="CY106" s="13">
        <v>147744.51</v>
      </c>
      <c r="CZ106" s="13">
        <v>-2824.34</v>
      </c>
      <c r="DA106" s="13">
        <v>38058.97</v>
      </c>
      <c r="DB106" s="13">
        <v>18995.22</v>
      </c>
      <c r="DC106" s="13"/>
      <c r="DD106" s="315">
        <v>1874886.67</v>
      </c>
      <c r="DE106" s="317">
        <v>1411092.35</v>
      </c>
      <c r="DF106" s="317">
        <v>75.260000000000005</v>
      </c>
      <c r="DG106" s="318">
        <v>769565.83</v>
      </c>
      <c r="DH106" s="310">
        <v>51946.2</v>
      </c>
      <c r="DI106" s="310">
        <v>29708.639999999999</v>
      </c>
      <c r="DJ106" s="312">
        <v>0</v>
      </c>
      <c r="DK106" s="362">
        <v>0</v>
      </c>
      <c r="DL106" s="362"/>
      <c r="DM106" s="362">
        <v>0</v>
      </c>
      <c r="DN106" s="362">
        <v>0</v>
      </c>
      <c r="DO106" s="362">
        <v>0</v>
      </c>
      <c r="DP106" s="362">
        <v>0</v>
      </c>
      <c r="DQ106" s="362">
        <v>0</v>
      </c>
      <c r="DR106" s="362"/>
      <c r="DS106" s="362">
        <v>0</v>
      </c>
      <c r="DT106" s="362"/>
      <c r="DU106" s="362">
        <v>0</v>
      </c>
      <c r="DV106" s="362">
        <v>0</v>
      </c>
      <c r="DW106" s="362">
        <v>103200</v>
      </c>
      <c r="DX106" s="362">
        <v>0</v>
      </c>
      <c r="DY106" s="362">
        <v>28000</v>
      </c>
      <c r="DZ106" s="375">
        <v>0</v>
      </c>
      <c r="EA106" s="362">
        <v>346710</v>
      </c>
      <c r="EB106" s="362">
        <v>15300</v>
      </c>
      <c r="EC106" s="362"/>
      <c r="ED106" s="362">
        <v>0</v>
      </c>
      <c r="EE106" s="362">
        <v>0</v>
      </c>
      <c r="EF106" s="362"/>
      <c r="EG106" s="362">
        <v>10074</v>
      </c>
      <c r="EH106" s="362">
        <v>0</v>
      </c>
      <c r="EI106" s="362"/>
      <c r="EJ106" s="362">
        <v>0</v>
      </c>
      <c r="EK106" s="362"/>
      <c r="EL106" s="362">
        <v>480258</v>
      </c>
      <c r="EM106" s="362">
        <v>7151.34</v>
      </c>
      <c r="EN106" s="362">
        <v>0</v>
      </c>
      <c r="EO106" s="362">
        <v>0</v>
      </c>
      <c r="EP106" s="362">
        <v>0</v>
      </c>
      <c r="EQ106" s="362">
        <v>0</v>
      </c>
      <c r="ER106" s="362">
        <v>16380</v>
      </c>
      <c r="ES106" s="362">
        <v>6924</v>
      </c>
      <c r="ET106" s="362">
        <v>0</v>
      </c>
      <c r="EU106" s="362">
        <v>0</v>
      </c>
      <c r="EV106" s="362">
        <v>56611.79</v>
      </c>
      <c r="EW106" s="362"/>
      <c r="EX106" s="202"/>
      <c r="EY106" s="202"/>
      <c r="EZ106" s="229"/>
      <c r="FA106" s="368">
        <v>472446.79</v>
      </c>
      <c r="FB106" s="368">
        <v>0</v>
      </c>
      <c r="FC106" s="368">
        <v>0</v>
      </c>
      <c r="FD106" s="368">
        <v>0</v>
      </c>
      <c r="FE106" s="368">
        <v>14165.03</v>
      </c>
      <c r="FF106" s="368">
        <v>5425.9</v>
      </c>
      <c r="FG106" s="368">
        <v>15399.23</v>
      </c>
      <c r="FH106" s="368">
        <v>8709.0300000000007</v>
      </c>
      <c r="FI106" s="368">
        <v>0</v>
      </c>
      <c r="FJ106" s="368">
        <v>0</v>
      </c>
      <c r="FK106" s="368">
        <v>0</v>
      </c>
      <c r="FL106" s="368">
        <v>0</v>
      </c>
      <c r="FM106" s="368">
        <v>146243.79999999999</v>
      </c>
      <c r="FN106" s="368">
        <v>92988.69</v>
      </c>
      <c r="FO106" s="323">
        <v>1391496.46</v>
      </c>
      <c r="FP106" s="323">
        <v>516145.98</v>
      </c>
      <c r="FQ106" s="323">
        <v>1907642.44</v>
      </c>
      <c r="FR106" s="338">
        <v>247177.58</v>
      </c>
      <c r="FS106" s="338">
        <v>56375.42</v>
      </c>
      <c r="FT106" s="377">
        <v>303553</v>
      </c>
      <c r="FU106" s="377">
        <v>1574876.24</v>
      </c>
      <c r="FV106" s="377">
        <v>568576.16</v>
      </c>
      <c r="FW106" s="362">
        <v>2143452.4</v>
      </c>
      <c r="FX106" s="362">
        <v>1254129.57</v>
      </c>
      <c r="FY106" s="362">
        <v>422854.14</v>
      </c>
      <c r="FZ106" s="362">
        <v>1676983.71</v>
      </c>
      <c r="GA106" s="362">
        <v>567924.25</v>
      </c>
      <c r="GB106" s="362">
        <v>202097.44</v>
      </c>
      <c r="GC106" s="362">
        <v>770021.69</v>
      </c>
      <c r="GD106" s="362">
        <v>126750.2</v>
      </c>
      <c r="GE106" s="362">
        <v>-256957.2</v>
      </c>
      <c r="GF106" s="362">
        <v>-130207</v>
      </c>
      <c r="GG106" s="202">
        <v>455.86</v>
      </c>
      <c r="GH106" s="416">
        <v>73</v>
      </c>
      <c r="GI106" s="414">
        <v>3471</v>
      </c>
      <c r="GJ106" s="419">
        <v>209740.03</v>
      </c>
      <c r="GK106" s="396">
        <v>455.86</v>
      </c>
      <c r="GL106" s="202">
        <v>332.77780000000001</v>
      </c>
      <c r="GM106" s="202">
        <v>123.0822</v>
      </c>
      <c r="GN106" s="323">
        <v>183379.78</v>
      </c>
      <c r="GO106" s="323">
        <v>52430.18</v>
      </c>
      <c r="GP106" s="323">
        <v>235809.96</v>
      </c>
      <c r="GQ106" s="323">
        <v>310129.98</v>
      </c>
      <c r="GR106" s="323">
        <v>-204527.02</v>
      </c>
      <c r="GS106" s="323">
        <v>105602.96</v>
      </c>
    </row>
    <row r="107" spans="1:201" ht="12.75" customHeight="1" x14ac:dyDescent="0.2">
      <c r="A107" s="45" t="s">
        <v>169</v>
      </c>
      <c r="B107" s="55" t="s">
        <v>155</v>
      </c>
      <c r="C107" s="56" t="s">
        <v>8</v>
      </c>
      <c r="D107" s="388" t="s">
        <v>449</v>
      </c>
      <c r="E107" s="56" t="s">
        <v>12</v>
      </c>
      <c r="F107" s="11">
        <v>3</v>
      </c>
      <c r="G107" s="11">
        <v>3</v>
      </c>
      <c r="H107" s="11">
        <v>27</v>
      </c>
      <c r="I107" s="11">
        <v>34</v>
      </c>
      <c r="J107" s="11">
        <v>66</v>
      </c>
      <c r="K107" s="11">
        <v>77</v>
      </c>
      <c r="L107" s="11" t="s">
        <v>746</v>
      </c>
      <c r="M107" s="84">
        <v>153.6</v>
      </c>
      <c r="N107" s="84">
        <v>424</v>
      </c>
      <c r="O107" s="84">
        <v>424</v>
      </c>
      <c r="P107" s="135">
        <v>153.6</v>
      </c>
      <c r="Q107" s="135">
        <v>526.5</v>
      </c>
      <c r="R107" s="133">
        <v>526.5</v>
      </c>
      <c r="S107" s="133">
        <f t="shared" si="52"/>
        <v>1206.5999999999999</v>
      </c>
      <c r="T107" s="134">
        <v>153.6</v>
      </c>
      <c r="U107" s="130">
        <v>0.84</v>
      </c>
      <c r="V107" s="91">
        <v>1.1299999999999999E-2</v>
      </c>
      <c r="W107" s="91" t="s">
        <v>823</v>
      </c>
      <c r="X107" s="132" t="s">
        <v>823</v>
      </c>
      <c r="Y107" s="91">
        <v>1.1299999999999999E-2</v>
      </c>
      <c r="Z107" s="29">
        <v>1882.83</v>
      </c>
      <c r="AA107" s="29"/>
      <c r="AB107" s="9">
        <f t="shared" si="29"/>
        <v>1882.83</v>
      </c>
      <c r="AC107" s="9">
        <f t="shared" si="55"/>
        <v>11918.31</v>
      </c>
      <c r="AD107" s="9">
        <v>0.4</v>
      </c>
      <c r="AE107" s="9">
        <v>3.62</v>
      </c>
      <c r="AF107" s="21">
        <f>2.47-AJ107</f>
        <v>2.04</v>
      </c>
      <c r="AG107" s="18">
        <f>0.54-AQ107</f>
        <v>0.45</v>
      </c>
      <c r="AH107" s="9">
        <v>2.17</v>
      </c>
      <c r="AI107" s="13">
        <v>813</v>
      </c>
      <c r="AJ107" s="21">
        <f t="shared" si="30"/>
        <v>0.43</v>
      </c>
      <c r="AK107" s="9">
        <v>0</v>
      </c>
      <c r="AL107" s="9">
        <v>0</v>
      </c>
      <c r="AM107" s="9">
        <v>0.31</v>
      </c>
      <c r="AN107" s="13">
        <v>126.9</v>
      </c>
      <c r="AO107" s="13">
        <v>253.8</v>
      </c>
      <c r="AP107" s="13">
        <f t="shared" si="53"/>
        <v>5.58</v>
      </c>
      <c r="AQ107" s="18">
        <f t="shared" si="31"/>
        <v>0.09</v>
      </c>
      <c r="AR107" s="9">
        <v>0.64</v>
      </c>
      <c r="AS107" s="9">
        <v>0.72</v>
      </c>
      <c r="AT107" s="9">
        <v>7.0000000000000007E-2</v>
      </c>
      <c r="AU107" s="9">
        <v>4.33</v>
      </c>
      <c r="AV107" s="9">
        <v>0.11</v>
      </c>
      <c r="AW107" s="9">
        <f>0.38+0.25+0.98</f>
        <v>1.61</v>
      </c>
      <c r="AX107" s="9">
        <f>1.36+0.52</f>
        <v>1.88</v>
      </c>
      <c r="AY107" s="58">
        <f t="shared" si="54"/>
        <v>18.87</v>
      </c>
      <c r="AZ107" s="13">
        <v>18.87</v>
      </c>
      <c r="BA107" s="13">
        <f t="shared" si="32"/>
        <v>0</v>
      </c>
      <c r="BB107" s="9">
        <f t="shared" si="33"/>
        <v>35529</v>
      </c>
      <c r="BC107" s="9">
        <v>18.87</v>
      </c>
      <c r="BD107" s="10">
        <v>44378</v>
      </c>
      <c r="BE107" s="9">
        <f t="shared" si="34"/>
        <v>753.13</v>
      </c>
      <c r="BF107" s="9">
        <f t="shared" si="35"/>
        <v>6815.84</v>
      </c>
      <c r="BG107" s="9">
        <f t="shared" si="36"/>
        <v>3840.97</v>
      </c>
      <c r="BH107" s="9">
        <f t="shared" si="37"/>
        <v>847.27</v>
      </c>
      <c r="BI107" s="9">
        <f t="shared" si="38"/>
        <v>4085.74</v>
      </c>
      <c r="BJ107" s="9">
        <f t="shared" si="39"/>
        <v>809.62</v>
      </c>
      <c r="BK107" s="9">
        <f t="shared" si="40"/>
        <v>0</v>
      </c>
      <c r="BL107" s="9">
        <f t="shared" si="41"/>
        <v>0</v>
      </c>
      <c r="BM107" s="9">
        <f t="shared" si="42"/>
        <v>583.67999999999995</v>
      </c>
      <c r="BN107" s="9">
        <f t="shared" si="43"/>
        <v>169.45</v>
      </c>
      <c r="BO107" s="9">
        <f t="shared" si="44"/>
        <v>1205.01</v>
      </c>
      <c r="BP107" s="9">
        <f t="shared" si="45"/>
        <v>1355.64</v>
      </c>
      <c r="BQ107" s="9">
        <f t="shared" si="46"/>
        <v>131.80000000000001</v>
      </c>
      <c r="BR107" s="9">
        <f t="shared" si="47"/>
        <v>8152.65</v>
      </c>
      <c r="BS107" s="9">
        <f t="shared" si="48"/>
        <v>207.11</v>
      </c>
      <c r="BT107" s="9">
        <f t="shared" si="49"/>
        <v>3031.36</v>
      </c>
      <c r="BU107" s="9">
        <f t="shared" si="50"/>
        <v>3539.72</v>
      </c>
      <c r="BV107" s="17">
        <f t="shared" si="51"/>
        <v>35528.99</v>
      </c>
      <c r="BW107" s="17">
        <v>2.56</v>
      </c>
      <c r="BX107" s="17">
        <v>0.03</v>
      </c>
      <c r="BY107" s="173">
        <v>0</v>
      </c>
      <c r="BZ107" s="17">
        <v>0.01</v>
      </c>
      <c r="CA107" s="29">
        <v>6.33</v>
      </c>
      <c r="CB107" s="325"/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H107" s="13">
        <v>0</v>
      </c>
      <c r="CI107" s="13">
        <v>434.51</v>
      </c>
      <c r="CJ107" s="13">
        <v>5076</v>
      </c>
      <c r="CK107" s="13">
        <v>724.12</v>
      </c>
      <c r="CL107" s="13">
        <v>426348.48</v>
      </c>
      <c r="CM107" s="13">
        <v>6062.75</v>
      </c>
      <c r="CN107" s="13">
        <v>0</v>
      </c>
      <c r="CO107" s="13">
        <v>38786.370000000003</v>
      </c>
      <c r="CP107" s="13">
        <v>20146.43</v>
      </c>
      <c r="CQ107" s="13">
        <v>0</v>
      </c>
      <c r="CR107" s="13">
        <v>345390.71</v>
      </c>
      <c r="CS107" s="13">
        <v>5597.63</v>
      </c>
      <c r="CT107" s="13">
        <v>0</v>
      </c>
      <c r="CU107" s="13">
        <v>39252.58</v>
      </c>
      <c r="CV107" s="13">
        <v>20640.330000000002</v>
      </c>
      <c r="CW107" s="13">
        <v>0</v>
      </c>
      <c r="CX107" s="13">
        <v>129259.26</v>
      </c>
      <c r="CY107" s="13">
        <v>-88.5</v>
      </c>
      <c r="CZ107" s="13">
        <v>0</v>
      </c>
      <c r="DA107" s="13">
        <v>13495.04</v>
      </c>
      <c r="DB107" s="13">
        <v>7026.24</v>
      </c>
      <c r="DC107" s="13"/>
      <c r="DD107" s="315">
        <v>491344.03</v>
      </c>
      <c r="DE107" s="317">
        <v>410881.25</v>
      </c>
      <c r="DF107" s="317">
        <v>83.62</v>
      </c>
      <c r="DG107" s="318">
        <v>149692.04</v>
      </c>
      <c r="DH107" s="310">
        <v>19783.68</v>
      </c>
      <c r="DI107" s="310">
        <v>11314.56</v>
      </c>
      <c r="DJ107" s="312">
        <v>0</v>
      </c>
      <c r="DK107" s="362">
        <v>0</v>
      </c>
      <c r="DL107" s="362"/>
      <c r="DM107" s="362">
        <v>0</v>
      </c>
      <c r="DN107" s="362">
        <v>0</v>
      </c>
      <c r="DO107" s="362">
        <v>0</v>
      </c>
      <c r="DP107" s="362">
        <v>12926.7</v>
      </c>
      <c r="DQ107" s="362">
        <v>79965</v>
      </c>
      <c r="DR107" s="362"/>
      <c r="DS107" s="362">
        <v>46500</v>
      </c>
      <c r="DT107" s="362"/>
      <c r="DU107" s="362">
        <v>0</v>
      </c>
      <c r="DV107" s="362">
        <v>0</v>
      </c>
      <c r="DW107" s="362">
        <v>0</v>
      </c>
      <c r="DX107" s="362">
        <v>0</v>
      </c>
      <c r="DY107" s="362">
        <v>0</v>
      </c>
      <c r="DZ107" s="375">
        <v>0</v>
      </c>
      <c r="EA107" s="362">
        <v>0</v>
      </c>
      <c r="EB107" s="362">
        <v>0</v>
      </c>
      <c r="EC107" s="362"/>
      <c r="ED107" s="362">
        <v>101455.38</v>
      </c>
      <c r="EE107" s="362">
        <v>7361</v>
      </c>
      <c r="EF107" s="362"/>
      <c r="EG107" s="362">
        <v>0</v>
      </c>
      <c r="EH107" s="362">
        <v>0</v>
      </c>
      <c r="EI107" s="362"/>
      <c r="EJ107" s="362">
        <v>0</v>
      </c>
      <c r="EK107" s="362"/>
      <c r="EL107" s="362">
        <v>0</v>
      </c>
      <c r="EM107" s="362">
        <v>2124.3000000000002</v>
      </c>
      <c r="EN107" s="362">
        <v>0</v>
      </c>
      <c r="EO107" s="362">
        <v>0</v>
      </c>
      <c r="EP107" s="362">
        <v>99030</v>
      </c>
      <c r="EQ107" s="362">
        <v>0</v>
      </c>
      <c r="ER107" s="362">
        <v>15015</v>
      </c>
      <c r="ES107" s="362">
        <v>1731</v>
      </c>
      <c r="ET107" s="362">
        <v>7170</v>
      </c>
      <c r="EU107" s="362">
        <v>0</v>
      </c>
      <c r="EV107" s="362">
        <v>0</v>
      </c>
      <c r="EW107" s="362"/>
      <c r="EX107" s="202"/>
      <c r="EY107" s="202"/>
      <c r="EZ107" s="229"/>
      <c r="FA107" s="368">
        <v>6123.31</v>
      </c>
      <c r="FB107" s="368">
        <v>0</v>
      </c>
      <c r="FC107" s="368">
        <v>0</v>
      </c>
      <c r="FD107" s="368">
        <v>0</v>
      </c>
      <c r="FE107" s="368">
        <v>20911.47</v>
      </c>
      <c r="FF107" s="368">
        <v>10854.83</v>
      </c>
      <c r="FG107" s="368">
        <v>41.88</v>
      </c>
      <c r="FH107" s="368">
        <v>-423.32</v>
      </c>
      <c r="FI107" s="368">
        <v>0</v>
      </c>
      <c r="FJ107" s="368">
        <v>0</v>
      </c>
      <c r="FK107" s="368">
        <v>0</v>
      </c>
      <c r="FL107" s="368">
        <v>0</v>
      </c>
      <c r="FM107" s="368">
        <v>50337.59</v>
      </c>
      <c r="FN107" s="368">
        <v>32006.98</v>
      </c>
      <c r="FO107" s="323">
        <v>486721.19</v>
      </c>
      <c r="FP107" s="323">
        <v>37508.17</v>
      </c>
      <c r="FQ107" s="323">
        <v>524229.36</v>
      </c>
      <c r="FR107" s="338">
        <v>49773.1</v>
      </c>
      <c r="FS107" s="338">
        <v>20411.64</v>
      </c>
      <c r="FT107" s="377">
        <v>70184.740000000005</v>
      </c>
      <c r="FU107" s="377">
        <v>431858.99</v>
      </c>
      <c r="FV107" s="377">
        <v>65719.67</v>
      </c>
      <c r="FW107" s="362">
        <v>497578.66</v>
      </c>
      <c r="FX107" s="362">
        <v>352372.83</v>
      </c>
      <c r="FY107" s="362">
        <v>65698.53</v>
      </c>
      <c r="FZ107" s="362">
        <v>418071.36</v>
      </c>
      <c r="GA107" s="362">
        <v>129259.26</v>
      </c>
      <c r="GB107" s="362">
        <v>20432.78</v>
      </c>
      <c r="GC107" s="362">
        <v>149692.04</v>
      </c>
      <c r="GD107" s="362">
        <v>28810.75</v>
      </c>
      <c r="GE107" s="362">
        <v>-26770.59</v>
      </c>
      <c r="GF107" s="362">
        <v>2040.16</v>
      </c>
      <c r="GG107" s="202"/>
      <c r="GH107" s="416"/>
      <c r="GI107" s="414">
        <v>423</v>
      </c>
      <c r="GJ107" s="419">
        <v>0</v>
      </c>
      <c r="GK107" s="396"/>
      <c r="GL107" s="202">
        <v>0</v>
      </c>
      <c r="GM107" s="202">
        <v>0</v>
      </c>
      <c r="GN107" s="323">
        <v>-54862.2</v>
      </c>
      <c r="GO107" s="323">
        <v>28211.5</v>
      </c>
      <c r="GP107" s="323">
        <v>-26650.7</v>
      </c>
      <c r="GQ107" s="323">
        <v>-26051.45</v>
      </c>
      <c r="GR107" s="323">
        <v>1440.91</v>
      </c>
      <c r="GS107" s="323">
        <v>-24610.54</v>
      </c>
    </row>
    <row r="108" spans="1:201" ht="12.75" customHeight="1" x14ac:dyDescent="0.2">
      <c r="A108" s="45" t="s">
        <v>170</v>
      </c>
      <c r="B108" s="55" t="s">
        <v>155</v>
      </c>
      <c r="C108" s="56" t="s">
        <v>44</v>
      </c>
      <c r="D108" s="388" t="s">
        <v>636</v>
      </c>
      <c r="E108" s="56" t="s">
        <v>12</v>
      </c>
      <c r="F108" s="11">
        <v>3</v>
      </c>
      <c r="G108" s="11">
        <v>3</v>
      </c>
      <c r="H108" s="11">
        <v>27</v>
      </c>
      <c r="I108" s="11">
        <v>36</v>
      </c>
      <c r="J108" s="11">
        <v>83</v>
      </c>
      <c r="K108" s="11">
        <v>94</v>
      </c>
      <c r="L108" s="11" t="s">
        <v>746</v>
      </c>
      <c r="M108" s="84">
        <v>150</v>
      </c>
      <c r="N108" s="84">
        <v>684.7</v>
      </c>
      <c r="O108" s="84">
        <v>684.7</v>
      </c>
      <c r="P108" s="139">
        <v>137.69999999999999</v>
      </c>
      <c r="Q108" s="135">
        <v>588.20000000000005</v>
      </c>
      <c r="R108" s="133">
        <v>653.24</v>
      </c>
      <c r="S108" s="133">
        <f t="shared" si="52"/>
        <v>1379.14</v>
      </c>
      <c r="T108" s="139">
        <v>150</v>
      </c>
      <c r="U108" s="130">
        <v>0.84</v>
      </c>
      <c r="V108" s="91">
        <v>1.1299999999999999E-2</v>
      </c>
      <c r="W108" s="91" t="s">
        <v>823</v>
      </c>
      <c r="X108" s="132" t="s">
        <v>823</v>
      </c>
      <c r="Y108" s="91">
        <v>1.1299999999999999E-2</v>
      </c>
      <c r="Z108" s="29">
        <v>1878.01</v>
      </c>
      <c r="AA108" s="29"/>
      <c r="AB108" s="9">
        <f t="shared" si="29"/>
        <v>1878.01</v>
      </c>
      <c r="AC108" s="9">
        <f t="shared" si="55"/>
        <v>11887.8</v>
      </c>
      <c r="AD108" s="9">
        <v>0.35</v>
      </c>
      <c r="AE108" s="9">
        <v>3.69</v>
      </c>
      <c r="AF108" s="21">
        <f>2.47-AJ108</f>
        <v>1.53</v>
      </c>
      <c r="AG108" s="18">
        <f>0.54-AQ108</f>
        <v>0.45</v>
      </c>
      <c r="AH108" s="9">
        <v>2.17</v>
      </c>
      <c r="AI108" s="13">
        <v>1771</v>
      </c>
      <c r="AJ108" s="21">
        <f t="shared" si="30"/>
        <v>0.94</v>
      </c>
      <c r="AK108" s="9">
        <v>0</v>
      </c>
      <c r="AL108" s="9">
        <v>0</v>
      </c>
      <c r="AM108" s="9">
        <v>0.31</v>
      </c>
      <c r="AN108" s="13">
        <v>126.9</v>
      </c>
      <c r="AO108" s="13">
        <v>253.8</v>
      </c>
      <c r="AP108" s="13">
        <f t="shared" si="53"/>
        <v>5.58</v>
      </c>
      <c r="AQ108" s="18">
        <f t="shared" si="31"/>
        <v>0.09</v>
      </c>
      <c r="AR108" s="9">
        <v>0.64</v>
      </c>
      <c r="AS108" s="9">
        <v>0.73</v>
      </c>
      <c r="AT108" s="9">
        <v>7.0000000000000007E-2</v>
      </c>
      <c r="AU108" s="9">
        <v>4.6399999999999997</v>
      </c>
      <c r="AV108" s="9">
        <v>0.11</v>
      </c>
      <c r="AW108" s="9">
        <f>0.98+0.26+0.41</f>
        <v>1.65</v>
      </c>
      <c r="AX108" s="9">
        <f>1.36+0.56</f>
        <v>1.92</v>
      </c>
      <c r="AY108" s="58">
        <f t="shared" si="54"/>
        <v>19.29</v>
      </c>
      <c r="AZ108" s="13">
        <v>19.29</v>
      </c>
      <c r="BA108" s="13">
        <f t="shared" si="32"/>
        <v>0</v>
      </c>
      <c r="BB108" s="9">
        <f t="shared" si="33"/>
        <v>36226.81</v>
      </c>
      <c r="BC108" s="9">
        <v>19.29</v>
      </c>
      <c r="BD108" s="10">
        <v>44378</v>
      </c>
      <c r="BE108" s="9">
        <f t="shared" si="34"/>
        <v>657.3</v>
      </c>
      <c r="BF108" s="9">
        <f t="shared" si="35"/>
        <v>6929.86</v>
      </c>
      <c r="BG108" s="9">
        <f t="shared" si="36"/>
        <v>2873.36</v>
      </c>
      <c r="BH108" s="9">
        <f t="shared" si="37"/>
        <v>845.1</v>
      </c>
      <c r="BI108" s="9">
        <f t="shared" si="38"/>
        <v>4075.28</v>
      </c>
      <c r="BJ108" s="9">
        <f t="shared" si="39"/>
        <v>1765.33</v>
      </c>
      <c r="BK108" s="9">
        <f t="shared" si="40"/>
        <v>0</v>
      </c>
      <c r="BL108" s="9">
        <f t="shared" si="41"/>
        <v>0</v>
      </c>
      <c r="BM108" s="9">
        <f t="shared" si="42"/>
        <v>582.17999999999995</v>
      </c>
      <c r="BN108" s="9">
        <f t="shared" si="43"/>
        <v>169.02</v>
      </c>
      <c r="BO108" s="9">
        <f t="shared" si="44"/>
        <v>1201.93</v>
      </c>
      <c r="BP108" s="9">
        <f t="shared" si="45"/>
        <v>1370.95</v>
      </c>
      <c r="BQ108" s="9">
        <f t="shared" si="46"/>
        <v>131.46</v>
      </c>
      <c r="BR108" s="9">
        <f t="shared" si="47"/>
        <v>8713.9699999999993</v>
      </c>
      <c r="BS108" s="9">
        <f t="shared" si="48"/>
        <v>206.58</v>
      </c>
      <c r="BT108" s="9">
        <f t="shared" si="49"/>
        <v>3098.72</v>
      </c>
      <c r="BU108" s="9">
        <f t="shared" si="50"/>
        <v>3605.78</v>
      </c>
      <c r="BV108" s="17">
        <f t="shared" si="51"/>
        <v>36226.82</v>
      </c>
      <c r="BW108" s="17">
        <v>1.99</v>
      </c>
      <c r="BX108" s="17">
        <v>0.02</v>
      </c>
      <c r="BY108" s="173">
        <v>0</v>
      </c>
      <c r="BZ108" s="17">
        <v>0.01</v>
      </c>
      <c r="CA108" s="29">
        <v>6.33</v>
      </c>
      <c r="CB108" s="325"/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4523.1099999999997</v>
      </c>
      <c r="CJ108" s="13">
        <v>17268</v>
      </c>
      <c r="CK108" s="13">
        <v>722.27</v>
      </c>
      <c r="CL108" s="13">
        <v>434721.72</v>
      </c>
      <c r="CM108" s="13">
        <v>51626.6</v>
      </c>
      <c r="CN108" s="13">
        <v>0</v>
      </c>
      <c r="CO108" s="13">
        <v>0</v>
      </c>
      <c r="CP108" s="13">
        <v>0</v>
      </c>
      <c r="CQ108" s="13">
        <v>0</v>
      </c>
      <c r="CR108" s="13">
        <v>384279.63</v>
      </c>
      <c r="CS108" s="13">
        <v>51525.31</v>
      </c>
      <c r="CT108" s="13">
        <v>0</v>
      </c>
      <c r="CU108" s="13">
        <v>12.44</v>
      </c>
      <c r="CV108" s="13">
        <v>6.2</v>
      </c>
      <c r="CW108" s="13">
        <v>0</v>
      </c>
      <c r="CX108" s="13">
        <v>107140.98</v>
      </c>
      <c r="CY108" s="13">
        <v>7285.05</v>
      </c>
      <c r="CZ108" s="13">
        <v>0</v>
      </c>
      <c r="DA108" s="13">
        <v>-35.83</v>
      </c>
      <c r="DB108" s="13">
        <v>-17.93</v>
      </c>
      <c r="DC108" s="13"/>
      <c r="DD108" s="315">
        <v>486348.32</v>
      </c>
      <c r="DE108" s="317">
        <v>435823.58</v>
      </c>
      <c r="DF108" s="317">
        <v>89.61</v>
      </c>
      <c r="DG108" s="318">
        <v>114372.27</v>
      </c>
      <c r="DH108" s="310">
        <v>19733.04</v>
      </c>
      <c r="DI108" s="310">
        <v>11285.52</v>
      </c>
      <c r="DJ108" s="312">
        <v>0</v>
      </c>
      <c r="DK108" s="362">
        <v>0</v>
      </c>
      <c r="DL108" s="362"/>
      <c r="DM108" s="362">
        <v>0</v>
      </c>
      <c r="DN108" s="362">
        <v>0</v>
      </c>
      <c r="DO108" s="362">
        <v>0</v>
      </c>
      <c r="DP108" s="362">
        <v>28158.9</v>
      </c>
      <c r="DQ108" s="362">
        <v>79830</v>
      </c>
      <c r="DR108" s="362"/>
      <c r="DS108" s="362">
        <v>42625</v>
      </c>
      <c r="DT108" s="362"/>
      <c r="DU108" s="362">
        <v>0</v>
      </c>
      <c r="DV108" s="362">
        <v>0</v>
      </c>
      <c r="DW108" s="362">
        <v>0</v>
      </c>
      <c r="DX108" s="362">
        <v>0</v>
      </c>
      <c r="DY108" s="362">
        <v>0</v>
      </c>
      <c r="DZ108" s="375">
        <v>0</v>
      </c>
      <c r="EA108" s="362">
        <v>0</v>
      </c>
      <c r="EB108" s="362">
        <v>0</v>
      </c>
      <c r="EC108" s="362"/>
      <c r="ED108" s="362">
        <v>101618.82</v>
      </c>
      <c r="EE108" s="362">
        <v>7939</v>
      </c>
      <c r="EF108" s="362"/>
      <c r="EG108" s="362">
        <v>0</v>
      </c>
      <c r="EH108" s="362">
        <v>0</v>
      </c>
      <c r="EI108" s="362"/>
      <c r="EJ108" s="362">
        <v>0</v>
      </c>
      <c r="EK108" s="362"/>
      <c r="EL108" s="362">
        <v>0</v>
      </c>
      <c r="EM108" s="362">
        <v>2124.3000000000002</v>
      </c>
      <c r="EN108" s="362">
        <v>0</v>
      </c>
      <c r="EO108" s="362">
        <v>0</v>
      </c>
      <c r="EP108" s="362">
        <v>87822</v>
      </c>
      <c r="EQ108" s="362">
        <v>0</v>
      </c>
      <c r="ER108" s="362">
        <v>16380</v>
      </c>
      <c r="ES108" s="362">
        <v>6924</v>
      </c>
      <c r="ET108" s="362">
        <v>7170</v>
      </c>
      <c r="EU108" s="362">
        <v>0</v>
      </c>
      <c r="EV108" s="362">
        <v>4390.1400000000003</v>
      </c>
      <c r="EW108" s="362"/>
      <c r="EX108" s="202"/>
      <c r="EY108" s="202"/>
      <c r="EZ108" s="229"/>
      <c r="FA108" s="368">
        <v>46657.9</v>
      </c>
      <c r="FB108" s="368">
        <v>0</v>
      </c>
      <c r="FC108" s="368">
        <v>0</v>
      </c>
      <c r="FD108" s="368">
        <v>0</v>
      </c>
      <c r="FE108" s="368">
        <v>0</v>
      </c>
      <c r="FF108" s="368">
        <v>0</v>
      </c>
      <c r="FG108" s="368">
        <v>0</v>
      </c>
      <c r="FH108" s="368">
        <v>-480.49</v>
      </c>
      <c r="FI108" s="368">
        <v>0</v>
      </c>
      <c r="FJ108" s="368">
        <v>0</v>
      </c>
      <c r="FK108" s="368">
        <v>0</v>
      </c>
      <c r="FL108" s="368">
        <v>0</v>
      </c>
      <c r="FM108" s="368">
        <v>50208.71</v>
      </c>
      <c r="FN108" s="368">
        <v>31925.06</v>
      </c>
      <c r="FO108" s="323">
        <v>498134.49</v>
      </c>
      <c r="FP108" s="323">
        <v>46177.41</v>
      </c>
      <c r="FQ108" s="323">
        <v>544311.9</v>
      </c>
      <c r="FR108" s="338">
        <v>53953.41</v>
      </c>
      <c r="FS108" s="338">
        <v>6537.66</v>
      </c>
      <c r="FT108" s="377">
        <v>60491.07</v>
      </c>
      <c r="FU108" s="377">
        <v>456512.83</v>
      </c>
      <c r="FV108" s="377">
        <v>52348.87</v>
      </c>
      <c r="FW108" s="362">
        <v>508861.7</v>
      </c>
      <c r="FX108" s="362">
        <v>403325.26</v>
      </c>
      <c r="FY108" s="362">
        <v>51655.24</v>
      </c>
      <c r="FZ108" s="362">
        <v>454980.5</v>
      </c>
      <c r="GA108" s="362">
        <v>107140.98</v>
      </c>
      <c r="GB108" s="362">
        <v>7231.29</v>
      </c>
      <c r="GC108" s="362">
        <v>114372.27</v>
      </c>
      <c r="GD108" s="362">
        <v>9505.42</v>
      </c>
      <c r="GE108" s="362">
        <v>-222.57</v>
      </c>
      <c r="GF108" s="362">
        <v>9282.85</v>
      </c>
      <c r="GG108" s="202"/>
      <c r="GH108" s="416"/>
      <c r="GI108" s="414">
        <v>1947</v>
      </c>
      <c r="GJ108" s="419">
        <v>0</v>
      </c>
      <c r="GK108" s="396"/>
      <c r="GL108" s="202">
        <v>0</v>
      </c>
      <c r="GM108" s="202">
        <v>0</v>
      </c>
      <c r="GN108" s="323">
        <v>-41621.660000000003</v>
      </c>
      <c r="GO108" s="323">
        <v>6171.46</v>
      </c>
      <c r="GP108" s="323">
        <v>-35450.199999999997</v>
      </c>
      <c r="GQ108" s="323">
        <v>-32116.240000000002</v>
      </c>
      <c r="GR108" s="323">
        <v>5948.89</v>
      </c>
      <c r="GS108" s="323">
        <v>-26167.35</v>
      </c>
    </row>
    <row r="109" spans="1:201" ht="12.75" customHeight="1" x14ac:dyDescent="0.2">
      <c r="A109" s="45" t="s">
        <v>171</v>
      </c>
      <c r="B109" s="55" t="s">
        <v>155</v>
      </c>
      <c r="C109" s="56" t="s">
        <v>11</v>
      </c>
      <c r="D109" s="388" t="s">
        <v>434</v>
      </c>
      <c r="E109" s="56" t="s">
        <v>12</v>
      </c>
      <c r="F109" s="11">
        <v>3</v>
      </c>
      <c r="G109" s="11">
        <v>3</v>
      </c>
      <c r="H109" s="11">
        <v>22</v>
      </c>
      <c r="I109" s="11">
        <v>24</v>
      </c>
      <c r="J109" s="11">
        <v>55</v>
      </c>
      <c r="K109" s="11">
        <v>61</v>
      </c>
      <c r="L109" s="11" t="s">
        <v>746</v>
      </c>
      <c r="M109" s="84">
        <v>152.69999999999999</v>
      </c>
      <c r="N109" s="84">
        <v>0</v>
      </c>
      <c r="O109" s="84">
        <v>420</v>
      </c>
      <c r="P109" s="135">
        <f>152.7+2.2</f>
        <v>154.9</v>
      </c>
      <c r="Q109" s="135">
        <v>132.5</v>
      </c>
      <c r="R109" s="133">
        <v>347.2</v>
      </c>
      <c r="S109" s="133">
        <f t="shared" si="52"/>
        <v>634.6</v>
      </c>
      <c r="T109" s="134">
        <v>154.9</v>
      </c>
      <c r="U109" s="130">
        <v>0.84</v>
      </c>
      <c r="V109" s="91">
        <v>1.1299999999999999E-2</v>
      </c>
      <c r="W109" s="91" t="s">
        <v>823</v>
      </c>
      <c r="X109" s="132" t="s">
        <v>823</v>
      </c>
      <c r="Y109" s="91">
        <v>1.1299999999999999E-2</v>
      </c>
      <c r="Z109" s="29">
        <v>1544.62</v>
      </c>
      <c r="AA109" s="29">
        <v>675.6</v>
      </c>
      <c r="AB109" s="9">
        <f t="shared" si="29"/>
        <v>2220.2199999999998</v>
      </c>
      <c r="AC109" s="9">
        <f t="shared" si="55"/>
        <v>14053.99</v>
      </c>
      <c r="AD109" s="9">
        <v>0.31</v>
      </c>
      <c r="AE109" s="9">
        <v>3.69</v>
      </c>
      <c r="AF109" s="21">
        <f>2.43-AJ109</f>
        <v>2.06</v>
      </c>
      <c r="AG109" s="18">
        <f>0.52-AQ109</f>
        <v>0.47</v>
      </c>
      <c r="AH109" s="9">
        <v>2.17</v>
      </c>
      <c r="AI109" s="13">
        <v>827</v>
      </c>
      <c r="AJ109" s="21">
        <f t="shared" si="30"/>
        <v>0.37</v>
      </c>
      <c r="AK109" s="9">
        <v>0</v>
      </c>
      <c r="AL109" s="9">
        <v>0</v>
      </c>
      <c r="AM109" s="9">
        <v>0.26</v>
      </c>
      <c r="AN109" s="13">
        <v>84.6</v>
      </c>
      <c r="AO109" s="13">
        <v>169.2</v>
      </c>
      <c r="AP109" s="13">
        <f t="shared" si="53"/>
        <v>5.58</v>
      </c>
      <c r="AQ109" s="18">
        <f t="shared" si="31"/>
        <v>0.05</v>
      </c>
      <c r="AR109" s="9">
        <v>0.46</v>
      </c>
      <c r="AS109" s="9">
        <v>0.61</v>
      </c>
      <c r="AT109" s="9">
        <v>0</v>
      </c>
      <c r="AU109" s="9">
        <v>4.33</v>
      </c>
      <c r="AV109" s="9">
        <v>0.11</v>
      </c>
      <c r="AW109" s="9">
        <f>0.2+0.94+0.38</f>
        <v>1.52</v>
      </c>
      <c r="AX109" s="9">
        <f>1.29+0.51</f>
        <v>1.8</v>
      </c>
      <c r="AY109" s="58">
        <f t="shared" si="54"/>
        <v>18.21</v>
      </c>
      <c r="AZ109" s="13">
        <v>18.21</v>
      </c>
      <c r="BA109" s="13">
        <f t="shared" si="32"/>
        <v>0</v>
      </c>
      <c r="BB109" s="9">
        <f t="shared" si="33"/>
        <v>40430.21</v>
      </c>
      <c r="BC109" s="9">
        <v>18.21</v>
      </c>
      <c r="BD109" s="10">
        <v>44378</v>
      </c>
      <c r="BE109" s="9">
        <f t="shared" si="34"/>
        <v>688.27</v>
      </c>
      <c r="BF109" s="9">
        <f t="shared" si="35"/>
        <v>8192.61</v>
      </c>
      <c r="BG109" s="9">
        <f t="shared" si="36"/>
        <v>4573.6499999999996</v>
      </c>
      <c r="BH109" s="9">
        <f t="shared" si="37"/>
        <v>1043.5</v>
      </c>
      <c r="BI109" s="9">
        <f t="shared" si="38"/>
        <v>4817.88</v>
      </c>
      <c r="BJ109" s="9">
        <f t="shared" si="39"/>
        <v>821.48</v>
      </c>
      <c r="BK109" s="9">
        <f t="shared" si="40"/>
        <v>0</v>
      </c>
      <c r="BL109" s="9">
        <f t="shared" si="41"/>
        <v>0</v>
      </c>
      <c r="BM109" s="9">
        <f t="shared" si="42"/>
        <v>577.26</v>
      </c>
      <c r="BN109" s="9">
        <f t="shared" si="43"/>
        <v>111.01</v>
      </c>
      <c r="BO109" s="9">
        <f t="shared" si="44"/>
        <v>1021.3</v>
      </c>
      <c r="BP109" s="9">
        <f t="shared" si="45"/>
        <v>1354.33</v>
      </c>
      <c r="BQ109" s="9">
        <f t="shared" si="46"/>
        <v>0</v>
      </c>
      <c r="BR109" s="9">
        <f t="shared" si="47"/>
        <v>9613.5499999999993</v>
      </c>
      <c r="BS109" s="9">
        <f t="shared" si="48"/>
        <v>244.22</v>
      </c>
      <c r="BT109" s="9">
        <f t="shared" si="49"/>
        <v>3374.73</v>
      </c>
      <c r="BU109" s="9">
        <f t="shared" si="50"/>
        <v>3996.4</v>
      </c>
      <c r="BV109" s="17">
        <f t="shared" si="51"/>
        <v>40430.19</v>
      </c>
      <c r="BW109" s="17">
        <v>0.87</v>
      </c>
      <c r="BX109" s="17">
        <v>0.02</v>
      </c>
      <c r="BY109" s="173">
        <v>0</v>
      </c>
      <c r="BZ109" s="17">
        <v>0.01</v>
      </c>
      <c r="CA109" s="29">
        <v>6.33</v>
      </c>
      <c r="CB109" s="325"/>
      <c r="CC109" s="13">
        <v>147632.16</v>
      </c>
      <c r="CD109" s="13">
        <v>1817.41</v>
      </c>
      <c r="CE109" s="13">
        <v>20.28</v>
      </c>
      <c r="CF109" s="13">
        <v>10235.36</v>
      </c>
      <c r="CG109" s="13">
        <v>5404.8</v>
      </c>
      <c r="CH109" s="13">
        <v>0</v>
      </c>
      <c r="CI109" s="13">
        <v>417.84</v>
      </c>
      <c r="CJ109" s="13">
        <v>17268</v>
      </c>
      <c r="CK109" s="13">
        <v>853.87</v>
      </c>
      <c r="CL109" s="13">
        <v>337530.6</v>
      </c>
      <c r="CM109" s="13">
        <v>4154.9799999999996</v>
      </c>
      <c r="CN109" s="13">
        <v>0</v>
      </c>
      <c r="CO109" s="13">
        <v>23447.51</v>
      </c>
      <c r="CP109" s="13">
        <v>12357.14</v>
      </c>
      <c r="CQ109" s="13">
        <v>0</v>
      </c>
      <c r="CR109" s="13">
        <v>292430.58</v>
      </c>
      <c r="CS109" s="13">
        <v>3995.72</v>
      </c>
      <c r="CT109" s="13">
        <v>0</v>
      </c>
      <c r="CU109" s="13">
        <v>22970.89</v>
      </c>
      <c r="CV109" s="13">
        <v>12042.23</v>
      </c>
      <c r="CW109" s="13">
        <v>0</v>
      </c>
      <c r="CX109" s="13">
        <v>80145.45</v>
      </c>
      <c r="CY109" s="13">
        <v>50.87</v>
      </c>
      <c r="CZ109" s="13">
        <v>0</v>
      </c>
      <c r="DA109" s="13">
        <v>5075.8100000000004</v>
      </c>
      <c r="DB109" s="13">
        <v>2654.95</v>
      </c>
      <c r="DC109" s="13"/>
      <c r="DD109" s="315">
        <v>377490.23</v>
      </c>
      <c r="DE109" s="317">
        <v>331439.42</v>
      </c>
      <c r="DF109" s="317">
        <v>87.8</v>
      </c>
      <c r="DG109" s="318">
        <v>87927.08</v>
      </c>
      <c r="DH109" s="310">
        <v>16230</v>
      </c>
      <c r="DI109" s="310">
        <v>9282.1200000000008</v>
      </c>
      <c r="DJ109" s="312">
        <v>0</v>
      </c>
      <c r="DK109" s="362">
        <v>0</v>
      </c>
      <c r="DL109" s="362"/>
      <c r="DM109" s="362">
        <v>0</v>
      </c>
      <c r="DN109" s="362">
        <v>0</v>
      </c>
      <c r="DO109" s="362">
        <v>0</v>
      </c>
      <c r="DP109" s="362">
        <v>13149.3</v>
      </c>
      <c r="DQ109" s="362">
        <v>67725</v>
      </c>
      <c r="DR109" s="362"/>
      <c r="DS109" s="362">
        <v>40250</v>
      </c>
      <c r="DT109" s="362"/>
      <c r="DU109" s="362">
        <v>0</v>
      </c>
      <c r="DV109" s="362">
        <v>0</v>
      </c>
      <c r="DW109" s="362">
        <v>0</v>
      </c>
      <c r="DX109" s="362">
        <v>0</v>
      </c>
      <c r="DY109" s="362">
        <v>0</v>
      </c>
      <c r="DZ109" s="375">
        <v>0</v>
      </c>
      <c r="EA109" s="362">
        <v>0</v>
      </c>
      <c r="EB109" s="362">
        <v>0</v>
      </c>
      <c r="EC109" s="362"/>
      <c r="ED109" s="362">
        <v>117254.58</v>
      </c>
      <c r="EE109" s="362">
        <v>7361</v>
      </c>
      <c r="EF109" s="362"/>
      <c r="EG109" s="362">
        <v>0</v>
      </c>
      <c r="EH109" s="362">
        <v>0</v>
      </c>
      <c r="EI109" s="362"/>
      <c r="EJ109" s="362">
        <v>0</v>
      </c>
      <c r="EK109" s="362"/>
      <c r="EL109" s="362">
        <v>0</v>
      </c>
      <c r="EM109" s="362">
        <v>1416.21</v>
      </c>
      <c r="EN109" s="362">
        <v>0</v>
      </c>
      <c r="EO109" s="362">
        <v>0</v>
      </c>
      <c r="EP109" s="362">
        <v>117882</v>
      </c>
      <c r="EQ109" s="362">
        <v>0</v>
      </c>
      <c r="ER109" s="362">
        <v>15015</v>
      </c>
      <c r="ES109" s="362">
        <v>2885</v>
      </c>
      <c r="ET109" s="362">
        <v>6285</v>
      </c>
      <c r="EU109" s="362">
        <v>0</v>
      </c>
      <c r="EV109" s="362">
        <v>118597.34</v>
      </c>
      <c r="EW109" s="362"/>
      <c r="EX109" s="202"/>
      <c r="EY109" s="202"/>
      <c r="EZ109" s="229"/>
      <c r="FA109" s="368">
        <v>6087.69</v>
      </c>
      <c r="FB109" s="368">
        <v>0</v>
      </c>
      <c r="FC109" s="368">
        <v>0</v>
      </c>
      <c r="FD109" s="368">
        <v>0</v>
      </c>
      <c r="FE109" s="368">
        <v>27580.74</v>
      </c>
      <c r="FF109" s="368">
        <v>14469.31</v>
      </c>
      <c r="FG109" s="368">
        <v>0</v>
      </c>
      <c r="FH109" s="368">
        <v>-568.04</v>
      </c>
      <c r="FI109" s="368">
        <v>0</v>
      </c>
      <c r="FJ109" s="368">
        <v>0</v>
      </c>
      <c r="FK109" s="368">
        <v>0</v>
      </c>
      <c r="FL109" s="368">
        <v>0</v>
      </c>
      <c r="FM109" s="368">
        <v>59357.72</v>
      </c>
      <c r="FN109" s="368">
        <v>37742.410000000003</v>
      </c>
      <c r="FO109" s="323">
        <v>630432.68000000005</v>
      </c>
      <c r="FP109" s="323">
        <v>47569.7</v>
      </c>
      <c r="FQ109" s="323">
        <v>678002.38</v>
      </c>
      <c r="FR109" s="338">
        <v>70890.59</v>
      </c>
      <c r="FS109" s="338">
        <v>12509.64</v>
      </c>
      <c r="FT109" s="377">
        <v>83400.23</v>
      </c>
      <c r="FU109" s="377">
        <v>502848.6</v>
      </c>
      <c r="FV109" s="377">
        <v>58291.35</v>
      </c>
      <c r="FW109" s="362">
        <v>561139.94999999995</v>
      </c>
      <c r="FX109" s="362">
        <v>379751.37</v>
      </c>
      <c r="FY109" s="362">
        <v>48948.95</v>
      </c>
      <c r="FZ109" s="362">
        <v>428700.32</v>
      </c>
      <c r="GA109" s="362">
        <v>193987.82</v>
      </c>
      <c r="GB109" s="362">
        <v>21852.04</v>
      </c>
      <c r="GC109" s="362">
        <v>215839.86</v>
      </c>
      <c r="GD109" s="362">
        <v>30961.98</v>
      </c>
      <c r="GE109" s="362">
        <v>-8223.76</v>
      </c>
      <c r="GF109" s="362">
        <v>22738.22</v>
      </c>
      <c r="GG109" s="202">
        <v>127912.78</v>
      </c>
      <c r="GH109" s="416">
        <v>89</v>
      </c>
      <c r="GI109" s="414">
        <v>1947</v>
      </c>
      <c r="GJ109" s="419">
        <v>165110.01</v>
      </c>
      <c r="GK109" s="396">
        <v>127912.78</v>
      </c>
      <c r="GL109" s="202">
        <v>113842.37420000001</v>
      </c>
      <c r="GM109" s="202">
        <v>14070.4058</v>
      </c>
      <c r="GN109" s="323">
        <v>-127584.08</v>
      </c>
      <c r="GO109" s="323">
        <v>10721.65</v>
      </c>
      <c r="GP109" s="323">
        <v>-116862.43</v>
      </c>
      <c r="GQ109" s="323">
        <v>-96622.1</v>
      </c>
      <c r="GR109" s="323">
        <v>2497.89</v>
      </c>
      <c r="GS109" s="323">
        <v>-94124.21</v>
      </c>
    </row>
    <row r="110" spans="1:201" ht="12.75" customHeight="1" x14ac:dyDescent="0.2">
      <c r="A110" s="45" t="s">
        <v>172</v>
      </c>
      <c r="B110" s="55" t="s">
        <v>155</v>
      </c>
      <c r="C110" s="56" t="s">
        <v>46</v>
      </c>
      <c r="D110" s="388" t="s">
        <v>435</v>
      </c>
      <c r="E110" s="56" t="s">
        <v>12</v>
      </c>
      <c r="F110" s="11">
        <v>3</v>
      </c>
      <c r="G110" s="11">
        <v>3</v>
      </c>
      <c r="H110" s="11">
        <v>22</v>
      </c>
      <c r="I110" s="11">
        <v>32</v>
      </c>
      <c r="J110" s="11">
        <v>50</v>
      </c>
      <c r="K110" s="11">
        <v>76</v>
      </c>
      <c r="L110" s="11" t="s">
        <v>746</v>
      </c>
      <c r="M110" s="84">
        <v>49.6</v>
      </c>
      <c r="N110" s="84">
        <v>420.8</v>
      </c>
      <c r="O110" s="84">
        <v>420</v>
      </c>
      <c r="P110" s="135">
        <v>166.4</v>
      </c>
      <c r="Q110" s="135">
        <v>263.10000000000002</v>
      </c>
      <c r="R110" s="133">
        <v>454</v>
      </c>
      <c r="S110" s="133">
        <f t="shared" si="52"/>
        <v>883.5</v>
      </c>
      <c r="T110" s="134">
        <v>166.4</v>
      </c>
      <c r="U110" s="130">
        <v>0.84</v>
      </c>
      <c r="V110" s="91">
        <v>1.1299999999999999E-2</v>
      </c>
      <c r="W110" s="91" t="s">
        <v>823</v>
      </c>
      <c r="X110" s="132" t="s">
        <v>823</v>
      </c>
      <c r="Y110" s="91">
        <v>1.1299999999999999E-2</v>
      </c>
      <c r="Z110" s="29">
        <v>1601.24</v>
      </c>
      <c r="AA110" s="29">
        <v>519.29999999999995</v>
      </c>
      <c r="AB110" s="9">
        <f t="shared" si="29"/>
        <v>2120.54</v>
      </c>
      <c r="AC110" s="9">
        <f t="shared" si="55"/>
        <v>13423.02</v>
      </c>
      <c r="AD110" s="9">
        <v>0.35</v>
      </c>
      <c r="AE110" s="9">
        <v>3.67</v>
      </c>
      <c r="AF110" s="21">
        <f>2.43-AJ110</f>
        <v>2.04</v>
      </c>
      <c r="AG110" s="18">
        <f>0.52-AQ110</f>
        <v>0.46</v>
      </c>
      <c r="AH110" s="9">
        <v>2.17</v>
      </c>
      <c r="AI110" s="13">
        <v>826</v>
      </c>
      <c r="AJ110" s="21">
        <f t="shared" si="30"/>
        <v>0.39</v>
      </c>
      <c r="AK110" s="9">
        <v>0</v>
      </c>
      <c r="AL110" s="9">
        <v>0</v>
      </c>
      <c r="AM110" s="9">
        <v>0.28000000000000003</v>
      </c>
      <c r="AN110" s="13">
        <v>84.6</v>
      </c>
      <c r="AO110" s="13">
        <v>169.2</v>
      </c>
      <c r="AP110" s="13">
        <f t="shared" si="53"/>
        <v>5.58</v>
      </c>
      <c r="AQ110" s="18">
        <f t="shared" si="31"/>
        <v>0.06</v>
      </c>
      <c r="AR110" s="9">
        <v>0.49</v>
      </c>
      <c r="AS110" s="9">
        <v>0.65</v>
      </c>
      <c r="AT110" s="9">
        <v>7.0000000000000007E-2</v>
      </c>
      <c r="AU110" s="9">
        <v>4.33</v>
      </c>
      <c r="AV110" s="9">
        <v>0.11</v>
      </c>
      <c r="AW110" s="9">
        <f>0.29+0.38+0.95</f>
        <v>1.62</v>
      </c>
      <c r="AX110" s="9">
        <f>1.31+0.51</f>
        <v>1.82</v>
      </c>
      <c r="AY110" s="58">
        <f t="shared" si="54"/>
        <v>18.510000000000002</v>
      </c>
      <c r="AZ110" s="13">
        <v>18.510000000000002</v>
      </c>
      <c r="BA110" s="13">
        <f t="shared" si="32"/>
        <v>0</v>
      </c>
      <c r="BB110" s="9">
        <f t="shared" si="33"/>
        <v>39251.199999999997</v>
      </c>
      <c r="BC110" s="9">
        <v>18.510000000000002</v>
      </c>
      <c r="BD110" s="10">
        <v>44378</v>
      </c>
      <c r="BE110" s="9">
        <f t="shared" si="34"/>
        <v>742.19</v>
      </c>
      <c r="BF110" s="9">
        <f t="shared" si="35"/>
        <v>7782.38</v>
      </c>
      <c r="BG110" s="9">
        <f t="shared" si="36"/>
        <v>4325.8999999999996</v>
      </c>
      <c r="BH110" s="9">
        <f t="shared" si="37"/>
        <v>975.45</v>
      </c>
      <c r="BI110" s="9">
        <f t="shared" si="38"/>
        <v>4601.57</v>
      </c>
      <c r="BJ110" s="9">
        <f t="shared" si="39"/>
        <v>827.01</v>
      </c>
      <c r="BK110" s="9">
        <f t="shared" si="40"/>
        <v>0</v>
      </c>
      <c r="BL110" s="9">
        <f t="shared" si="41"/>
        <v>0</v>
      </c>
      <c r="BM110" s="9">
        <f t="shared" si="42"/>
        <v>593.75</v>
      </c>
      <c r="BN110" s="9">
        <f t="shared" si="43"/>
        <v>127.23</v>
      </c>
      <c r="BO110" s="9">
        <f t="shared" si="44"/>
        <v>1039.06</v>
      </c>
      <c r="BP110" s="9">
        <f t="shared" si="45"/>
        <v>1378.35</v>
      </c>
      <c r="BQ110" s="9">
        <f t="shared" si="46"/>
        <v>148.44</v>
      </c>
      <c r="BR110" s="9">
        <f t="shared" si="47"/>
        <v>9181.94</v>
      </c>
      <c r="BS110" s="9">
        <f t="shared" si="48"/>
        <v>233.26</v>
      </c>
      <c r="BT110" s="9">
        <f t="shared" si="49"/>
        <v>3435.27</v>
      </c>
      <c r="BU110" s="9">
        <f t="shared" si="50"/>
        <v>3859.38</v>
      </c>
      <c r="BV110" s="17">
        <f t="shared" si="51"/>
        <v>39251.18</v>
      </c>
      <c r="BW110" s="17">
        <v>1.68</v>
      </c>
      <c r="BX110" s="17">
        <v>0.02</v>
      </c>
      <c r="BY110" s="173">
        <v>0</v>
      </c>
      <c r="BZ110" s="17">
        <v>0.01</v>
      </c>
      <c r="CA110" s="29">
        <v>6.33</v>
      </c>
      <c r="CB110" s="325"/>
      <c r="CC110" s="13">
        <v>115347</v>
      </c>
      <c r="CD110" s="13">
        <v>27590.46</v>
      </c>
      <c r="CE110" s="13">
        <v>0</v>
      </c>
      <c r="CF110" s="13">
        <v>1739.68</v>
      </c>
      <c r="CG110" s="13">
        <v>903.6</v>
      </c>
      <c r="CH110" s="13">
        <v>0</v>
      </c>
      <c r="CI110" s="13">
        <v>1691.25</v>
      </c>
      <c r="CJ110" s="13">
        <v>17268</v>
      </c>
      <c r="CK110" s="13">
        <v>815.54</v>
      </c>
      <c r="CL110" s="13">
        <v>355667.52</v>
      </c>
      <c r="CM110" s="13">
        <v>85074.09</v>
      </c>
      <c r="CN110" s="13">
        <v>0</v>
      </c>
      <c r="CO110" s="13">
        <v>5364.2</v>
      </c>
      <c r="CP110" s="13">
        <v>2786.16</v>
      </c>
      <c r="CQ110" s="13">
        <v>0</v>
      </c>
      <c r="CR110" s="13">
        <v>323370.03000000003</v>
      </c>
      <c r="CS110" s="13">
        <v>77111.759999999995</v>
      </c>
      <c r="CT110" s="13">
        <v>0</v>
      </c>
      <c r="CU110" s="13">
        <v>7164.17</v>
      </c>
      <c r="CV110" s="13">
        <v>3731.89</v>
      </c>
      <c r="CW110" s="13">
        <v>0</v>
      </c>
      <c r="CX110" s="13">
        <v>58978.52</v>
      </c>
      <c r="CY110" s="13">
        <v>17517.97</v>
      </c>
      <c r="CZ110" s="13">
        <v>0</v>
      </c>
      <c r="DA110" s="13">
        <v>952.36</v>
      </c>
      <c r="DB110" s="13">
        <v>497.53</v>
      </c>
      <c r="DC110" s="13"/>
      <c r="DD110" s="315">
        <v>448891.97</v>
      </c>
      <c r="DE110" s="317">
        <v>411377.85</v>
      </c>
      <c r="DF110" s="317">
        <v>91.64</v>
      </c>
      <c r="DG110" s="318">
        <v>77946.38</v>
      </c>
      <c r="DH110" s="310">
        <v>16824.96</v>
      </c>
      <c r="DI110" s="310">
        <v>9622.32</v>
      </c>
      <c r="DJ110" s="312">
        <v>0</v>
      </c>
      <c r="DK110" s="362">
        <v>0</v>
      </c>
      <c r="DL110" s="362"/>
      <c r="DM110" s="362">
        <v>0</v>
      </c>
      <c r="DN110" s="362">
        <v>0</v>
      </c>
      <c r="DO110" s="362">
        <v>0</v>
      </c>
      <c r="DP110" s="362">
        <v>13133.4</v>
      </c>
      <c r="DQ110" s="362">
        <v>110250</v>
      </c>
      <c r="DR110" s="362"/>
      <c r="DS110" s="362">
        <v>47700</v>
      </c>
      <c r="DT110" s="362"/>
      <c r="DU110" s="362">
        <v>0</v>
      </c>
      <c r="DV110" s="362">
        <v>0</v>
      </c>
      <c r="DW110" s="362">
        <v>0</v>
      </c>
      <c r="DX110" s="362">
        <v>0</v>
      </c>
      <c r="DY110" s="362">
        <v>0</v>
      </c>
      <c r="DZ110" s="375">
        <v>0</v>
      </c>
      <c r="EA110" s="362">
        <v>0</v>
      </c>
      <c r="EB110" s="362">
        <v>0</v>
      </c>
      <c r="EC110" s="362"/>
      <c r="ED110" s="362">
        <v>112651.02</v>
      </c>
      <c r="EE110" s="362">
        <v>7939</v>
      </c>
      <c r="EF110" s="362"/>
      <c r="EG110" s="362">
        <v>0</v>
      </c>
      <c r="EH110" s="362">
        <v>0</v>
      </c>
      <c r="EI110" s="362"/>
      <c r="EJ110" s="362">
        <v>0</v>
      </c>
      <c r="EK110" s="362"/>
      <c r="EL110" s="362">
        <v>0</v>
      </c>
      <c r="EM110" s="362">
        <v>1416.21</v>
      </c>
      <c r="EN110" s="362">
        <v>0</v>
      </c>
      <c r="EO110" s="362">
        <v>0</v>
      </c>
      <c r="EP110" s="362">
        <v>110484</v>
      </c>
      <c r="EQ110" s="362">
        <v>0</v>
      </c>
      <c r="ER110" s="362">
        <v>16380</v>
      </c>
      <c r="ES110" s="362">
        <v>6924</v>
      </c>
      <c r="ET110" s="362">
        <v>6285</v>
      </c>
      <c r="EU110" s="362">
        <v>0</v>
      </c>
      <c r="EV110" s="362">
        <v>48848.81</v>
      </c>
      <c r="EW110" s="362"/>
      <c r="EX110" s="202"/>
      <c r="EY110" s="202"/>
      <c r="EZ110" s="229"/>
      <c r="FA110" s="368">
        <v>137076.84</v>
      </c>
      <c r="FB110" s="368">
        <v>0</v>
      </c>
      <c r="FC110" s="368">
        <v>0</v>
      </c>
      <c r="FD110" s="368">
        <v>0</v>
      </c>
      <c r="FE110" s="368">
        <v>3972.53</v>
      </c>
      <c r="FF110" s="368">
        <v>2065.61</v>
      </c>
      <c r="FG110" s="368">
        <v>0</v>
      </c>
      <c r="FH110" s="368">
        <v>-542.54</v>
      </c>
      <c r="FI110" s="368">
        <v>0</v>
      </c>
      <c r="FJ110" s="368">
        <v>0</v>
      </c>
      <c r="FK110" s="368">
        <v>0</v>
      </c>
      <c r="FL110" s="368">
        <v>0</v>
      </c>
      <c r="FM110" s="368">
        <v>56692.75</v>
      </c>
      <c r="FN110" s="368">
        <v>36047.9</v>
      </c>
      <c r="FO110" s="323">
        <v>601199.37</v>
      </c>
      <c r="FP110" s="323">
        <v>142572.44</v>
      </c>
      <c r="FQ110" s="323">
        <v>743771.81</v>
      </c>
      <c r="FR110" s="338">
        <v>71083.179999999993</v>
      </c>
      <c r="FS110" s="338">
        <v>19221.37</v>
      </c>
      <c r="FT110" s="377">
        <v>90304.55</v>
      </c>
      <c r="FU110" s="377">
        <v>489973.77</v>
      </c>
      <c r="FV110" s="377">
        <v>124273.73</v>
      </c>
      <c r="FW110" s="362">
        <v>614247.5</v>
      </c>
      <c r="FX110" s="362">
        <v>437264.8</v>
      </c>
      <c r="FY110" s="362">
        <v>107298.3</v>
      </c>
      <c r="FZ110" s="362">
        <v>544563.1</v>
      </c>
      <c r="GA110" s="362">
        <v>123792.15</v>
      </c>
      <c r="GB110" s="362">
        <v>36196.800000000003</v>
      </c>
      <c r="GC110" s="362">
        <v>159988.95000000001</v>
      </c>
      <c r="GD110" s="362">
        <v>23213.66</v>
      </c>
      <c r="GE110" s="362">
        <v>-6046.26</v>
      </c>
      <c r="GF110" s="362">
        <v>17167.400000000001</v>
      </c>
      <c r="GG110" s="202">
        <v>82042.570000000007</v>
      </c>
      <c r="GH110" s="416">
        <v>79</v>
      </c>
      <c r="GI110" s="414">
        <v>1947</v>
      </c>
      <c r="GJ110" s="419">
        <v>145580.74</v>
      </c>
      <c r="GK110" s="396">
        <v>82042.570000000007</v>
      </c>
      <c r="GL110" s="202">
        <v>64813.630299999997</v>
      </c>
      <c r="GM110" s="202">
        <v>17228.939699999999</v>
      </c>
      <c r="GN110" s="323">
        <v>-111225.60000000001</v>
      </c>
      <c r="GO110" s="323">
        <v>-18298.71</v>
      </c>
      <c r="GP110" s="323">
        <v>-129524.31</v>
      </c>
      <c r="GQ110" s="323">
        <v>-88011.94</v>
      </c>
      <c r="GR110" s="323">
        <v>-24344.97</v>
      </c>
      <c r="GS110" s="323">
        <v>-112356.91</v>
      </c>
    </row>
    <row r="111" spans="1:201" ht="12.75" customHeight="1" x14ac:dyDescent="0.2">
      <c r="A111" s="45" t="s">
        <v>174</v>
      </c>
      <c r="B111" s="55" t="s">
        <v>155</v>
      </c>
      <c r="C111" s="56" t="s">
        <v>67</v>
      </c>
      <c r="D111" s="388" t="s">
        <v>436</v>
      </c>
      <c r="E111" s="56" t="s">
        <v>12</v>
      </c>
      <c r="F111" s="11">
        <v>3</v>
      </c>
      <c r="G111" s="11">
        <v>3</v>
      </c>
      <c r="H111" s="11">
        <v>30</v>
      </c>
      <c r="I111" s="11">
        <v>0</v>
      </c>
      <c r="J111" s="11">
        <v>62</v>
      </c>
      <c r="K111" s="11">
        <v>0</v>
      </c>
      <c r="L111" s="11" t="s">
        <v>746</v>
      </c>
      <c r="M111" s="84">
        <v>54.9</v>
      </c>
      <c r="N111" s="84">
        <v>187.9</v>
      </c>
      <c r="O111" s="84">
        <v>380</v>
      </c>
      <c r="P111" s="135">
        <f>164.7+267.9</f>
        <v>432.6</v>
      </c>
      <c r="Q111" s="135">
        <v>187.9</v>
      </c>
      <c r="R111" s="133">
        <v>187.9</v>
      </c>
      <c r="S111" s="133">
        <f t="shared" si="52"/>
        <v>808.4</v>
      </c>
      <c r="T111" s="134">
        <v>432.6</v>
      </c>
      <c r="U111" s="130">
        <v>0.84</v>
      </c>
      <c r="V111" s="91">
        <v>1.1299999999999999E-2</v>
      </c>
      <c r="W111" s="91" t="s">
        <v>823</v>
      </c>
      <c r="X111" s="132" t="s">
        <v>823</v>
      </c>
      <c r="Y111" s="91">
        <v>1.1299999999999999E-2</v>
      </c>
      <c r="Z111" s="29">
        <v>1785.66</v>
      </c>
      <c r="AA111" s="29">
        <v>159.69999999999999</v>
      </c>
      <c r="AB111" s="9">
        <f t="shared" si="29"/>
        <v>1945.36</v>
      </c>
      <c r="AC111" s="9">
        <f t="shared" si="55"/>
        <v>12314.13</v>
      </c>
      <c r="AD111" s="9">
        <v>0.38</v>
      </c>
      <c r="AE111" s="9">
        <v>3.46</v>
      </c>
      <c r="AF111" s="21">
        <f>2.38-AJ111</f>
        <v>2</v>
      </c>
      <c r="AG111" s="18">
        <f>0.52-AQ111</f>
        <v>0.43</v>
      </c>
      <c r="AH111" s="9">
        <v>2.09</v>
      </c>
      <c r="AI111" s="13">
        <v>737</v>
      </c>
      <c r="AJ111" s="21">
        <f t="shared" si="30"/>
        <v>0.38</v>
      </c>
      <c r="AK111" s="9">
        <v>0</v>
      </c>
      <c r="AL111" s="9">
        <v>0</v>
      </c>
      <c r="AM111" s="9">
        <v>0.3</v>
      </c>
      <c r="AN111" s="13">
        <v>126.9</v>
      </c>
      <c r="AO111" s="13">
        <v>253.8</v>
      </c>
      <c r="AP111" s="13">
        <f t="shared" si="53"/>
        <v>5.58</v>
      </c>
      <c r="AQ111" s="18">
        <f t="shared" si="31"/>
        <v>0.09</v>
      </c>
      <c r="AR111" s="9">
        <v>0.61</v>
      </c>
      <c r="AS111" s="9">
        <v>0.7</v>
      </c>
      <c r="AT111" s="9">
        <v>7.0000000000000007E-2</v>
      </c>
      <c r="AU111" s="9">
        <v>4.33</v>
      </c>
      <c r="AV111" s="9">
        <v>0.11</v>
      </c>
      <c r="AW111" s="9">
        <f>0.27+1.04+0.33</f>
        <v>1.64</v>
      </c>
      <c r="AX111" s="9">
        <f>1.6+0.55</f>
        <v>2.15</v>
      </c>
      <c r="AY111" s="58">
        <f t="shared" si="54"/>
        <v>18.739999999999998</v>
      </c>
      <c r="AZ111" s="13">
        <v>18.739999999999998</v>
      </c>
      <c r="BA111" s="13">
        <f t="shared" si="32"/>
        <v>0</v>
      </c>
      <c r="BB111" s="9">
        <f t="shared" si="33"/>
        <v>36456.050000000003</v>
      </c>
      <c r="BC111" s="9">
        <v>18.739999999999998</v>
      </c>
      <c r="BD111" s="10">
        <v>44378</v>
      </c>
      <c r="BE111" s="9">
        <f t="shared" si="34"/>
        <v>739.24</v>
      </c>
      <c r="BF111" s="9">
        <f t="shared" si="35"/>
        <v>6730.95</v>
      </c>
      <c r="BG111" s="9">
        <f t="shared" si="36"/>
        <v>3890.72</v>
      </c>
      <c r="BH111" s="9">
        <f t="shared" si="37"/>
        <v>836.5</v>
      </c>
      <c r="BI111" s="9">
        <f t="shared" si="38"/>
        <v>4065.8</v>
      </c>
      <c r="BJ111" s="9">
        <f t="shared" si="39"/>
        <v>739.24</v>
      </c>
      <c r="BK111" s="9">
        <f t="shared" si="40"/>
        <v>0</v>
      </c>
      <c r="BL111" s="9">
        <f t="shared" si="41"/>
        <v>0</v>
      </c>
      <c r="BM111" s="9">
        <f t="shared" si="42"/>
        <v>583.61</v>
      </c>
      <c r="BN111" s="9">
        <f t="shared" si="43"/>
        <v>175.08</v>
      </c>
      <c r="BO111" s="9">
        <f t="shared" si="44"/>
        <v>1186.67</v>
      </c>
      <c r="BP111" s="9">
        <f t="shared" si="45"/>
        <v>1361.75</v>
      </c>
      <c r="BQ111" s="9">
        <f t="shared" si="46"/>
        <v>136.18</v>
      </c>
      <c r="BR111" s="9">
        <f t="shared" si="47"/>
        <v>8423.41</v>
      </c>
      <c r="BS111" s="9">
        <f t="shared" si="48"/>
        <v>213.99</v>
      </c>
      <c r="BT111" s="9">
        <f t="shared" si="49"/>
        <v>3190.39</v>
      </c>
      <c r="BU111" s="9">
        <f t="shared" si="50"/>
        <v>4182.5200000000004</v>
      </c>
      <c r="BV111" s="17">
        <f t="shared" si="51"/>
        <v>36456.050000000003</v>
      </c>
      <c r="BW111" s="17">
        <v>1.87</v>
      </c>
      <c r="BX111" s="17">
        <v>0.03</v>
      </c>
      <c r="BY111" s="173">
        <v>0</v>
      </c>
      <c r="BZ111" s="17">
        <v>0.01</v>
      </c>
      <c r="CA111" s="29">
        <v>6.33</v>
      </c>
      <c r="CB111" s="325"/>
      <c r="CC111" s="13">
        <v>35913.360000000001</v>
      </c>
      <c r="CD111" s="13">
        <v>180.51</v>
      </c>
      <c r="CE111" s="13">
        <v>0</v>
      </c>
      <c r="CF111" s="13">
        <v>558.95000000000005</v>
      </c>
      <c r="CG111" s="13">
        <v>292.26</v>
      </c>
      <c r="CH111" s="13">
        <v>0</v>
      </c>
      <c r="CI111" s="13">
        <v>463.03</v>
      </c>
      <c r="CJ111" s="13">
        <v>17268</v>
      </c>
      <c r="CK111" s="13">
        <v>748.16</v>
      </c>
      <c r="CL111" s="13">
        <v>401559.36</v>
      </c>
      <c r="CM111" s="13">
        <v>2017.47</v>
      </c>
      <c r="CN111" s="13">
        <v>0</v>
      </c>
      <c r="CO111" s="13">
        <v>6249.81</v>
      </c>
      <c r="CP111" s="13">
        <v>3267.75</v>
      </c>
      <c r="CQ111" s="13">
        <v>0</v>
      </c>
      <c r="CR111" s="13">
        <v>370145.23</v>
      </c>
      <c r="CS111" s="13">
        <v>3197.66</v>
      </c>
      <c r="CT111" s="13">
        <v>0</v>
      </c>
      <c r="CU111" s="13">
        <v>7765.49</v>
      </c>
      <c r="CV111" s="13">
        <v>4050.88</v>
      </c>
      <c r="CW111" s="13">
        <v>0</v>
      </c>
      <c r="CX111" s="13">
        <v>79152.600000000006</v>
      </c>
      <c r="CY111" s="13">
        <v>-2137.79</v>
      </c>
      <c r="CZ111" s="13">
        <v>0</v>
      </c>
      <c r="DA111" s="13">
        <v>1025.25</v>
      </c>
      <c r="DB111" s="13">
        <v>538.46</v>
      </c>
      <c r="DC111" s="13"/>
      <c r="DD111" s="315">
        <v>413094.39</v>
      </c>
      <c r="DE111" s="317">
        <v>385159.26</v>
      </c>
      <c r="DF111" s="317">
        <v>93.24</v>
      </c>
      <c r="DG111" s="318">
        <v>78578.52</v>
      </c>
      <c r="DH111" s="310">
        <v>18762.72</v>
      </c>
      <c r="DI111" s="310">
        <v>10730.64</v>
      </c>
      <c r="DJ111" s="312">
        <v>0</v>
      </c>
      <c r="DK111" s="362">
        <v>0</v>
      </c>
      <c r="DL111" s="362"/>
      <c r="DM111" s="362">
        <v>0</v>
      </c>
      <c r="DN111" s="362">
        <v>0</v>
      </c>
      <c r="DO111" s="362">
        <v>0</v>
      </c>
      <c r="DP111" s="362">
        <v>11718.3</v>
      </c>
      <c r="DQ111" s="362">
        <v>75600</v>
      </c>
      <c r="DR111" s="362"/>
      <c r="DS111" s="362">
        <v>41800</v>
      </c>
      <c r="DT111" s="362"/>
      <c r="DU111" s="362">
        <v>0</v>
      </c>
      <c r="DV111" s="362">
        <v>0</v>
      </c>
      <c r="DW111" s="362">
        <v>0</v>
      </c>
      <c r="DX111" s="362">
        <v>0</v>
      </c>
      <c r="DY111" s="362">
        <v>0</v>
      </c>
      <c r="DZ111" s="375">
        <v>0</v>
      </c>
      <c r="EA111" s="362">
        <v>0</v>
      </c>
      <c r="EB111" s="362">
        <v>0</v>
      </c>
      <c r="EC111" s="362"/>
      <c r="ED111" s="362">
        <v>103811.64</v>
      </c>
      <c r="EE111" s="362">
        <v>7361</v>
      </c>
      <c r="EF111" s="362"/>
      <c r="EG111" s="362">
        <v>0</v>
      </c>
      <c r="EH111" s="362">
        <v>0</v>
      </c>
      <c r="EI111" s="362"/>
      <c r="EJ111" s="362">
        <v>0</v>
      </c>
      <c r="EK111" s="362"/>
      <c r="EL111" s="362">
        <v>0</v>
      </c>
      <c r="EM111" s="362">
        <v>2124.3000000000002</v>
      </c>
      <c r="EN111" s="362">
        <v>0</v>
      </c>
      <c r="EO111" s="362">
        <v>0</v>
      </c>
      <c r="EP111" s="362">
        <v>103692</v>
      </c>
      <c r="EQ111" s="362">
        <v>0</v>
      </c>
      <c r="ER111" s="362">
        <v>16380</v>
      </c>
      <c r="ES111" s="362">
        <v>6924</v>
      </c>
      <c r="ET111" s="362">
        <v>6142</v>
      </c>
      <c r="EU111" s="362">
        <v>0</v>
      </c>
      <c r="EV111" s="362">
        <v>53091.48</v>
      </c>
      <c r="EW111" s="362"/>
      <c r="EX111" s="202"/>
      <c r="EY111" s="202"/>
      <c r="EZ111" s="229"/>
      <c r="FA111" s="368">
        <v>2188.85</v>
      </c>
      <c r="FB111" s="368">
        <v>0</v>
      </c>
      <c r="FC111" s="368">
        <v>0</v>
      </c>
      <c r="FD111" s="368">
        <v>0</v>
      </c>
      <c r="FE111" s="368">
        <v>2561.1</v>
      </c>
      <c r="FF111" s="368">
        <v>1340.21</v>
      </c>
      <c r="FG111" s="368">
        <v>6.18</v>
      </c>
      <c r="FH111" s="368">
        <v>-493.87</v>
      </c>
      <c r="FI111" s="368">
        <v>0</v>
      </c>
      <c r="FJ111" s="368">
        <v>0</v>
      </c>
      <c r="FK111" s="368">
        <v>0</v>
      </c>
      <c r="FL111" s="368">
        <v>0</v>
      </c>
      <c r="FM111" s="368">
        <v>52009.31</v>
      </c>
      <c r="FN111" s="368">
        <v>33069.949999999997</v>
      </c>
      <c r="FO111" s="323">
        <v>543217.34</v>
      </c>
      <c r="FP111" s="323">
        <v>5602.47</v>
      </c>
      <c r="FQ111" s="323">
        <v>548819.81000000006</v>
      </c>
      <c r="FR111" s="338">
        <v>52545.03</v>
      </c>
      <c r="FS111" s="338">
        <v>3222.18</v>
      </c>
      <c r="FT111" s="377">
        <v>55767.21</v>
      </c>
      <c r="FU111" s="377">
        <v>455203.75</v>
      </c>
      <c r="FV111" s="377">
        <v>13314.91</v>
      </c>
      <c r="FW111" s="362">
        <v>468518.66</v>
      </c>
      <c r="FX111" s="362">
        <v>403620.83</v>
      </c>
      <c r="FY111" s="362">
        <v>16338.74</v>
      </c>
      <c r="FZ111" s="362">
        <v>419959.57</v>
      </c>
      <c r="GA111" s="362">
        <v>104127.95</v>
      </c>
      <c r="GB111" s="362">
        <v>198.35</v>
      </c>
      <c r="GC111" s="362">
        <v>104326.3</v>
      </c>
      <c r="GD111" s="362">
        <v>49485.36</v>
      </c>
      <c r="GE111" s="362">
        <v>-3886.2</v>
      </c>
      <c r="GF111" s="362">
        <v>45599.16</v>
      </c>
      <c r="GG111" s="202">
        <v>25747.78</v>
      </c>
      <c r="GH111" s="416">
        <v>97</v>
      </c>
      <c r="GI111" s="414">
        <v>1947</v>
      </c>
      <c r="GJ111" s="419">
        <v>36945.08</v>
      </c>
      <c r="GK111" s="396">
        <v>25747.78</v>
      </c>
      <c r="GL111" s="202">
        <v>24975.346600000001</v>
      </c>
      <c r="GM111" s="202">
        <v>772.43339999999796</v>
      </c>
      <c r="GN111" s="323">
        <v>-88013.59</v>
      </c>
      <c r="GO111" s="323">
        <v>7712.44</v>
      </c>
      <c r="GP111" s="323">
        <v>-80301.149999999994</v>
      </c>
      <c r="GQ111" s="323">
        <v>-38528.230000000003</v>
      </c>
      <c r="GR111" s="323">
        <v>3826.24</v>
      </c>
      <c r="GS111" s="323">
        <v>-34701.99</v>
      </c>
    </row>
    <row r="112" spans="1:201" ht="12.75" customHeight="1" x14ac:dyDescent="0.2">
      <c r="A112" s="45" t="s">
        <v>175</v>
      </c>
      <c r="B112" s="55" t="s">
        <v>155</v>
      </c>
      <c r="C112" s="56" t="s">
        <v>15</v>
      </c>
      <c r="D112" s="388" t="s">
        <v>437</v>
      </c>
      <c r="E112" s="56" t="s">
        <v>12</v>
      </c>
      <c r="F112" s="11">
        <v>3</v>
      </c>
      <c r="G112" s="11">
        <v>3</v>
      </c>
      <c r="H112" s="11">
        <v>24</v>
      </c>
      <c r="I112" s="11">
        <v>27</v>
      </c>
      <c r="J112" s="11">
        <v>51</v>
      </c>
      <c r="K112" s="11">
        <v>60</v>
      </c>
      <c r="L112" s="11" t="s">
        <v>746</v>
      </c>
      <c r="M112" s="84">
        <v>33.4</v>
      </c>
      <c r="N112" s="84">
        <v>369.5</v>
      </c>
      <c r="O112" s="84">
        <v>369.5</v>
      </c>
      <c r="P112" s="135">
        <f>112.5+17.7</f>
        <v>130.19999999999999</v>
      </c>
      <c r="Q112" s="135">
        <v>263.3</v>
      </c>
      <c r="R112" s="133">
        <v>407.2</v>
      </c>
      <c r="S112" s="133">
        <f t="shared" si="52"/>
        <v>800.7</v>
      </c>
      <c r="T112" s="134">
        <v>130.19999999999999</v>
      </c>
      <c r="U112" s="130">
        <v>0.84</v>
      </c>
      <c r="V112" s="91">
        <v>1.1299999999999999E-2</v>
      </c>
      <c r="W112" s="91" t="s">
        <v>823</v>
      </c>
      <c r="X112" s="132" t="s">
        <v>823</v>
      </c>
      <c r="Y112" s="91">
        <v>1.1299999999999999E-2</v>
      </c>
      <c r="Z112" s="29">
        <v>1453.69</v>
      </c>
      <c r="AA112" s="29">
        <v>155.30000000000001</v>
      </c>
      <c r="AB112" s="9">
        <f t="shared" si="29"/>
        <v>1608.99</v>
      </c>
      <c r="AC112" s="9">
        <f t="shared" si="55"/>
        <v>10184.91</v>
      </c>
      <c r="AD112" s="9">
        <v>0.4</v>
      </c>
      <c r="AE112" s="9">
        <v>3.52</v>
      </c>
      <c r="AF112" s="21">
        <f>2.48-AJ112</f>
        <v>2.08</v>
      </c>
      <c r="AG112" s="18">
        <f>0.56-AQ112</f>
        <v>0.45</v>
      </c>
      <c r="AH112" s="9">
        <v>2.17</v>
      </c>
      <c r="AI112" s="13">
        <v>639</v>
      </c>
      <c r="AJ112" s="21">
        <f t="shared" si="30"/>
        <v>0.4</v>
      </c>
      <c r="AK112" s="9">
        <v>0</v>
      </c>
      <c r="AL112" s="9">
        <v>0</v>
      </c>
      <c r="AM112" s="9">
        <v>0.36</v>
      </c>
      <c r="AN112" s="13">
        <v>126.9</v>
      </c>
      <c r="AO112" s="13">
        <v>253.8</v>
      </c>
      <c r="AP112" s="13">
        <f t="shared" si="53"/>
        <v>5.58</v>
      </c>
      <c r="AQ112" s="18">
        <f t="shared" si="31"/>
        <v>0.11</v>
      </c>
      <c r="AR112" s="9">
        <v>0.67</v>
      </c>
      <c r="AS112" s="9">
        <v>0.85</v>
      </c>
      <c r="AT112" s="9">
        <v>7.0000000000000007E-2</v>
      </c>
      <c r="AU112" s="9">
        <v>4.3499999999999996</v>
      </c>
      <c r="AV112" s="9">
        <v>0.12</v>
      </c>
      <c r="AW112" s="9">
        <f>0.27+0.38+0.99</f>
        <v>1.64</v>
      </c>
      <c r="AX112" s="9">
        <f>1.38+0.52</f>
        <v>1.9</v>
      </c>
      <c r="AY112" s="58">
        <f t="shared" si="54"/>
        <v>19.09</v>
      </c>
      <c r="AZ112" s="13">
        <v>19.09</v>
      </c>
      <c r="BA112" s="13">
        <f t="shared" si="32"/>
        <v>0</v>
      </c>
      <c r="BB112" s="9">
        <f t="shared" si="33"/>
        <v>30715.62</v>
      </c>
      <c r="BC112" s="9">
        <v>19.09</v>
      </c>
      <c r="BD112" s="10">
        <v>44378</v>
      </c>
      <c r="BE112" s="9">
        <f t="shared" si="34"/>
        <v>643.6</v>
      </c>
      <c r="BF112" s="9">
        <f t="shared" si="35"/>
        <v>5663.64</v>
      </c>
      <c r="BG112" s="9">
        <f t="shared" si="36"/>
        <v>3346.7</v>
      </c>
      <c r="BH112" s="9">
        <f t="shared" si="37"/>
        <v>724.05</v>
      </c>
      <c r="BI112" s="9">
        <f t="shared" si="38"/>
        <v>3491.51</v>
      </c>
      <c r="BJ112" s="9">
        <f t="shared" si="39"/>
        <v>643.6</v>
      </c>
      <c r="BK112" s="9">
        <f t="shared" si="40"/>
        <v>0</v>
      </c>
      <c r="BL112" s="9">
        <f t="shared" si="41"/>
        <v>0</v>
      </c>
      <c r="BM112" s="9">
        <f t="shared" si="42"/>
        <v>579.24</v>
      </c>
      <c r="BN112" s="9">
        <f t="shared" si="43"/>
        <v>176.99</v>
      </c>
      <c r="BO112" s="9">
        <f t="shared" si="44"/>
        <v>1078.02</v>
      </c>
      <c r="BP112" s="9">
        <f t="shared" si="45"/>
        <v>1367.64</v>
      </c>
      <c r="BQ112" s="9">
        <f t="shared" si="46"/>
        <v>112.63</v>
      </c>
      <c r="BR112" s="9">
        <f t="shared" si="47"/>
        <v>6999.11</v>
      </c>
      <c r="BS112" s="9">
        <f t="shared" si="48"/>
        <v>193.08</v>
      </c>
      <c r="BT112" s="9">
        <f t="shared" si="49"/>
        <v>2638.74</v>
      </c>
      <c r="BU112" s="9">
        <f t="shared" si="50"/>
        <v>3057.08</v>
      </c>
      <c r="BV112" s="17">
        <f t="shared" si="51"/>
        <v>30715.63</v>
      </c>
      <c r="BW112" s="17">
        <v>1.98</v>
      </c>
      <c r="BX112" s="17">
        <v>0.03</v>
      </c>
      <c r="BY112" s="173">
        <v>0</v>
      </c>
      <c r="BZ112" s="17">
        <v>0.01</v>
      </c>
      <c r="CA112" s="29">
        <v>6.33</v>
      </c>
      <c r="CB112" s="325"/>
      <c r="CC112" s="13">
        <v>35576.160000000003</v>
      </c>
      <c r="CD112" s="13">
        <v>130.44</v>
      </c>
      <c r="CE112" s="13">
        <v>0</v>
      </c>
      <c r="CF112" s="13">
        <v>983.06</v>
      </c>
      <c r="CG112" s="13">
        <v>520.26</v>
      </c>
      <c r="CH112" s="13">
        <v>0</v>
      </c>
      <c r="CI112" s="13">
        <v>1807.56</v>
      </c>
      <c r="CJ112" s="13">
        <v>5076</v>
      </c>
      <c r="CK112" s="13">
        <v>618.79999999999995</v>
      </c>
      <c r="CL112" s="13">
        <v>333049.82</v>
      </c>
      <c r="CM112" s="13">
        <v>1219.68</v>
      </c>
      <c r="CN112" s="13">
        <v>0</v>
      </c>
      <c r="CO112" s="13">
        <v>9204.08</v>
      </c>
      <c r="CP112" s="13">
        <v>4871.18</v>
      </c>
      <c r="CQ112" s="13">
        <v>0</v>
      </c>
      <c r="CR112" s="13">
        <v>299334.52</v>
      </c>
      <c r="CS112" s="13">
        <v>2607.34</v>
      </c>
      <c r="CT112" s="13">
        <v>0</v>
      </c>
      <c r="CU112" s="13">
        <v>10129.66</v>
      </c>
      <c r="CV112" s="13">
        <v>5730.67</v>
      </c>
      <c r="CW112" s="13">
        <v>0</v>
      </c>
      <c r="CX112" s="13">
        <v>68068.649999999994</v>
      </c>
      <c r="CY112" s="13">
        <v>-2777.71</v>
      </c>
      <c r="CZ112" s="13">
        <v>0</v>
      </c>
      <c r="DA112" s="13">
        <v>1767.92</v>
      </c>
      <c r="DB112" s="13">
        <v>930.6</v>
      </c>
      <c r="DC112" s="13"/>
      <c r="DD112" s="315">
        <v>348344.76</v>
      </c>
      <c r="DE112" s="317">
        <v>317802.19</v>
      </c>
      <c r="DF112" s="317">
        <v>91.23</v>
      </c>
      <c r="DG112" s="318">
        <v>67989.460000000006</v>
      </c>
      <c r="DH112" s="310">
        <v>15285</v>
      </c>
      <c r="DI112" s="310">
        <v>8741.64</v>
      </c>
      <c r="DJ112" s="312">
        <v>0</v>
      </c>
      <c r="DK112" s="362">
        <v>0</v>
      </c>
      <c r="DL112" s="362"/>
      <c r="DM112" s="362">
        <v>0</v>
      </c>
      <c r="DN112" s="362">
        <v>0</v>
      </c>
      <c r="DO112" s="362">
        <v>0</v>
      </c>
      <c r="DP112" s="362">
        <v>10160.1</v>
      </c>
      <c r="DQ112" s="362">
        <v>51885</v>
      </c>
      <c r="DR112" s="362"/>
      <c r="DS112" s="362">
        <v>25800</v>
      </c>
      <c r="DT112" s="362"/>
      <c r="DU112" s="362">
        <v>0</v>
      </c>
      <c r="DV112" s="362">
        <v>0</v>
      </c>
      <c r="DW112" s="362">
        <v>0</v>
      </c>
      <c r="DX112" s="362">
        <v>0</v>
      </c>
      <c r="DY112" s="362">
        <v>0</v>
      </c>
      <c r="DZ112" s="375">
        <v>0</v>
      </c>
      <c r="EA112" s="362">
        <v>0</v>
      </c>
      <c r="EB112" s="362">
        <v>0</v>
      </c>
      <c r="EC112" s="362"/>
      <c r="ED112" s="362">
        <v>84089.88</v>
      </c>
      <c r="EE112" s="362">
        <v>11900</v>
      </c>
      <c r="EF112" s="362"/>
      <c r="EG112" s="362">
        <v>0</v>
      </c>
      <c r="EH112" s="362">
        <v>0</v>
      </c>
      <c r="EI112" s="362"/>
      <c r="EJ112" s="362">
        <v>0</v>
      </c>
      <c r="EK112" s="362"/>
      <c r="EL112" s="362">
        <v>0</v>
      </c>
      <c r="EM112" s="362">
        <v>2124.3000000000002</v>
      </c>
      <c r="EN112" s="362">
        <v>0</v>
      </c>
      <c r="EO112" s="362">
        <v>0</v>
      </c>
      <c r="EP112" s="362">
        <v>85044</v>
      </c>
      <c r="EQ112" s="362">
        <v>0</v>
      </c>
      <c r="ER112" s="362">
        <v>16380</v>
      </c>
      <c r="ES112" s="362">
        <v>6924</v>
      </c>
      <c r="ET112" s="362">
        <v>6391</v>
      </c>
      <c r="EU112" s="362">
        <v>0</v>
      </c>
      <c r="EV112" s="362">
        <v>33059</v>
      </c>
      <c r="EW112" s="362"/>
      <c r="EX112" s="202"/>
      <c r="EY112" s="202"/>
      <c r="EZ112" s="229"/>
      <c r="FA112" s="368">
        <v>1331.72</v>
      </c>
      <c r="FB112" s="368">
        <v>0</v>
      </c>
      <c r="FC112" s="368">
        <v>0</v>
      </c>
      <c r="FD112" s="368">
        <v>0</v>
      </c>
      <c r="FE112" s="368">
        <v>11988.01</v>
      </c>
      <c r="FF112" s="368">
        <v>6426.06</v>
      </c>
      <c r="FG112" s="368">
        <v>0</v>
      </c>
      <c r="FH112" s="368">
        <v>-411.92</v>
      </c>
      <c r="FI112" s="368">
        <v>0</v>
      </c>
      <c r="FJ112" s="368">
        <v>0</v>
      </c>
      <c r="FK112" s="368">
        <v>0</v>
      </c>
      <c r="FL112" s="368">
        <v>0</v>
      </c>
      <c r="FM112" s="368">
        <v>43020.91</v>
      </c>
      <c r="FN112" s="368">
        <v>27354.54</v>
      </c>
      <c r="FO112" s="323">
        <v>428159.37</v>
      </c>
      <c r="FP112" s="323">
        <v>19333.87</v>
      </c>
      <c r="FQ112" s="323">
        <v>447493.24</v>
      </c>
      <c r="FR112" s="338">
        <v>45180.88</v>
      </c>
      <c r="FS112" s="338">
        <v>6383.3</v>
      </c>
      <c r="FT112" s="377">
        <v>51564.18</v>
      </c>
      <c r="FU112" s="377">
        <v>375509.54</v>
      </c>
      <c r="FV112" s="377">
        <v>17547.5</v>
      </c>
      <c r="FW112" s="362">
        <v>393057.04</v>
      </c>
      <c r="FX112" s="362">
        <v>343541.21</v>
      </c>
      <c r="FY112" s="362">
        <v>23631.63</v>
      </c>
      <c r="FZ112" s="362">
        <v>367172.84</v>
      </c>
      <c r="GA112" s="362">
        <v>77149.210000000006</v>
      </c>
      <c r="GB112" s="362">
        <v>299.17</v>
      </c>
      <c r="GC112" s="362">
        <v>77448.38</v>
      </c>
      <c r="GD112" s="362">
        <v>28619.31</v>
      </c>
      <c r="GE112" s="362">
        <v>-950.58</v>
      </c>
      <c r="GF112" s="362">
        <v>27668.73</v>
      </c>
      <c r="GG112" s="202">
        <v>9458.92</v>
      </c>
      <c r="GH112" s="416">
        <v>96</v>
      </c>
      <c r="GI112" s="414">
        <v>423</v>
      </c>
      <c r="GJ112" s="419">
        <v>37209.919999999998</v>
      </c>
      <c r="GK112" s="396">
        <v>9458.92</v>
      </c>
      <c r="GL112" s="202">
        <v>9080.5632000000005</v>
      </c>
      <c r="GM112" s="202">
        <v>378.35680000000002</v>
      </c>
      <c r="GN112" s="323">
        <v>-52649.83</v>
      </c>
      <c r="GO112" s="323">
        <v>-1786.37</v>
      </c>
      <c r="GP112" s="323">
        <v>-54436.2</v>
      </c>
      <c r="GQ112" s="323">
        <v>-24030.52</v>
      </c>
      <c r="GR112" s="323">
        <v>-2736.95</v>
      </c>
      <c r="GS112" s="323">
        <v>-26767.47</v>
      </c>
    </row>
    <row r="113" spans="1:201" ht="12.75" customHeight="1" x14ac:dyDescent="0.2">
      <c r="A113" s="45" t="s">
        <v>176</v>
      </c>
      <c r="B113" s="55" t="s">
        <v>155</v>
      </c>
      <c r="C113" s="56" t="s">
        <v>17</v>
      </c>
      <c r="D113" s="388" t="s">
        <v>438</v>
      </c>
      <c r="E113" s="56" t="s">
        <v>12</v>
      </c>
      <c r="F113" s="11">
        <v>3</v>
      </c>
      <c r="G113" s="11">
        <v>3</v>
      </c>
      <c r="H113" s="11">
        <v>24</v>
      </c>
      <c r="I113" s="11">
        <v>28</v>
      </c>
      <c r="J113" s="11">
        <v>53</v>
      </c>
      <c r="K113" s="11">
        <v>77</v>
      </c>
      <c r="L113" s="11" t="s">
        <v>746</v>
      </c>
      <c r="M113" s="84">
        <v>42.3</v>
      </c>
      <c r="N113" s="84">
        <v>123</v>
      </c>
      <c r="O113" s="84">
        <v>412.3</v>
      </c>
      <c r="P113" s="135">
        <v>126.9</v>
      </c>
      <c r="Q113" s="135">
        <v>224.4</v>
      </c>
      <c r="R113" s="133">
        <v>412.3</v>
      </c>
      <c r="S113" s="133">
        <f t="shared" si="52"/>
        <v>763.6</v>
      </c>
      <c r="T113" s="134">
        <v>126.9</v>
      </c>
      <c r="U113" s="130">
        <v>0.84</v>
      </c>
      <c r="V113" s="91">
        <v>1.1299999999999999E-2</v>
      </c>
      <c r="W113" s="91" t="s">
        <v>823</v>
      </c>
      <c r="X113" s="132" t="s">
        <v>823</v>
      </c>
      <c r="Y113" s="91">
        <v>1.1299999999999999E-2</v>
      </c>
      <c r="Z113" s="29">
        <v>1433.17</v>
      </c>
      <c r="AA113" s="29">
        <v>187.9</v>
      </c>
      <c r="AB113" s="9">
        <f t="shared" si="29"/>
        <v>1621.07</v>
      </c>
      <c r="AC113" s="9">
        <f t="shared" si="55"/>
        <v>10261.370000000001</v>
      </c>
      <c r="AD113" s="9">
        <v>0.38</v>
      </c>
      <c r="AE113" s="9">
        <v>4.3</v>
      </c>
      <c r="AF113" s="21">
        <f>2.48-AJ113</f>
        <v>2.09</v>
      </c>
      <c r="AG113" s="18">
        <f>0.55-AQ113</f>
        <v>0.44</v>
      </c>
      <c r="AH113" s="9">
        <v>2.17</v>
      </c>
      <c r="AI113" s="13">
        <v>627</v>
      </c>
      <c r="AJ113" s="21">
        <f t="shared" si="30"/>
        <v>0.39</v>
      </c>
      <c r="AK113" s="9">
        <v>0</v>
      </c>
      <c r="AL113" s="9">
        <v>0</v>
      </c>
      <c r="AM113" s="9">
        <v>0.35</v>
      </c>
      <c r="AN113" s="13">
        <v>126.9</v>
      </c>
      <c r="AO113" s="13">
        <v>253.8</v>
      </c>
      <c r="AP113" s="13">
        <f t="shared" si="53"/>
        <v>5.58</v>
      </c>
      <c r="AQ113" s="18">
        <f t="shared" si="31"/>
        <v>0.11</v>
      </c>
      <c r="AR113" s="9">
        <v>0.66</v>
      </c>
      <c r="AS113" s="9">
        <v>0.83</v>
      </c>
      <c r="AT113" s="9">
        <v>7.0000000000000007E-2</v>
      </c>
      <c r="AU113" s="9">
        <v>3.35</v>
      </c>
      <c r="AV113" s="9">
        <v>0.12</v>
      </c>
      <c r="AW113" s="9">
        <f>0.28+1.06+0.3</f>
        <v>1.64</v>
      </c>
      <c r="AX113" s="9">
        <f>1.47+0.39</f>
        <v>1.86</v>
      </c>
      <c r="AY113" s="58">
        <f t="shared" si="54"/>
        <v>18.760000000000002</v>
      </c>
      <c r="AZ113" s="13">
        <v>18.760000000000002</v>
      </c>
      <c r="BA113" s="13">
        <f t="shared" si="32"/>
        <v>0</v>
      </c>
      <c r="BB113" s="9">
        <f t="shared" si="33"/>
        <v>30411.27</v>
      </c>
      <c r="BC113" s="9">
        <v>18.760000000000002</v>
      </c>
      <c r="BD113" s="10">
        <v>44378</v>
      </c>
      <c r="BE113" s="9">
        <f t="shared" si="34"/>
        <v>616.01</v>
      </c>
      <c r="BF113" s="9">
        <f t="shared" si="35"/>
        <v>6970.6</v>
      </c>
      <c r="BG113" s="9">
        <f t="shared" si="36"/>
        <v>3388.04</v>
      </c>
      <c r="BH113" s="9">
        <f t="shared" si="37"/>
        <v>713.27</v>
      </c>
      <c r="BI113" s="9">
        <f t="shared" si="38"/>
        <v>3517.72</v>
      </c>
      <c r="BJ113" s="9">
        <f t="shared" si="39"/>
        <v>632.22</v>
      </c>
      <c r="BK113" s="9">
        <f t="shared" si="40"/>
        <v>0</v>
      </c>
      <c r="BL113" s="9">
        <f t="shared" si="41"/>
        <v>0</v>
      </c>
      <c r="BM113" s="9">
        <f t="shared" si="42"/>
        <v>567.37</v>
      </c>
      <c r="BN113" s="9">
        <f t="shared" si="43"/>
        <v>178.32</v>
      </c>
      <c r="BO113" s="9">
        <f t="shared" si="44"/>
        <v>1069.9100000000001</v>
      </c>
      <c r="BP113" s="9">
        <f t="shared" si="45"/>
        <v>1345.49</v>
      </c>
      <c r="BQ113" s="9">
        <f t="shared" si="46"/>
        <v>113.47</v>
      </c>
      <c r="BR113" s="9">
        <f t="shared" si="47"/>
        <v>5430.58</v>
      </c>
      <c r="BS113" s="9">
        <f t="shared" si="48"/>
        <v>194.53</v>
      </c>
      <c r="BT113" s="9">
        <f t="shared" si="49"/>
        <v>2658.55</v>
      </c>
      <c r="BU113" s="9">
        <f t="shared" si="50"/>
        <v>3015.19</v>
      </c>
      <c r="BV113" s="17">
        <f t="shared" si="51"/>
        <v>30411.27</v>
      </c>
      <c r="BW113" s="17">
        <v>1.57</v>
      </c>
      <c r="BX113" s="17">
        <v>0.02</v>
      </c>
      <c r="BY113" s="173">
        <v>0</v>
      </c>
      <c r="BZ113" s="17">
        <v>0.01</v>
      </c>
      <c r="CA113" s="29">
        <v>6.33</v>
      </c>
      <c r="CB113" s="325"/>
      <c r="CC113" s="13">
        <v>42300</v>
      </c>
      <c r="CD113" s="13">
        <v>189.76</v>
      </c>
      <c r="CE113" s="13">
        <v>0</v>
      </c>
      <c r="CF113" s="13">
        <v>969.56</v>
      </c>
      <c r="CG113" s="13">
        <v>507.33</v>
      </c>
      <c r="CH113" s="13">
        <v>0</v>
      </c>
      <c r="CI113" s="13">
        <v>2994.18</v>
      </c>
      <c r="CJ113" s="13">
        <v>0</v>
      </c>
      <c r="CK113" s="13">
        <v>629.79</v>
      </c>
      <c r="CL113" s="13">
        <v>322629.18</v>
      </c>
      <c r="CM113" s="13">
        <v>1454.96</v>
      </c>
      <c r="CN113" s="13">
        <v>0</v>
      </c>
      <c r="CO113" s="13">
        <v>7394.5</v>
      </c>
      <c r="CP113" s="13">
        <v>3869.24</v>
      </c>
      <c r="CQ113" s="13">
        <v>0</v>
      </c>
      <c r="CR113" s="13">
        <v>269821.44</v>
      </c>
      <c r="CS113" s="13">
        <v>2442.5700000000002</v>
      </c>
      <c r="CT113" s="13">
        <v>0</v>
      </c>
      <c r="CU113" s="13">
        <v>10878.6</v>
      </c>
      <c r="CV113" s="13">
        <v>5696.54</v>
      </c>
      <c r="CW113" s="13">
        <v>0</v>
      </c>
      <c r="CX113" s="13">
        <v>106119.98</v>
      </c>
      <c r="CY113" s="13">
        <v>-957.8</v>
      </c>
      <c r="CZ113" s="13">
        <v>0</v>
      </c>
      <c r="DA113" s="13">
        <v>4992.53</v>
      </c>
      <c r="DB113" s="13">
        <v>2614.81</v>
      </c>
      <c r="DC113" s="13"/>
      <c r="DD113" s="315">
        <v>335347.88</v>
      </c>
      <c r="DE113" s="317">
        <v>288839.15000000002</v>
      </c>
      <c r="DF113" s="317">
        <v>86.13</v>
      </c>
      <c r="DG113" s="318">
        <v>112769.52</v>
      </c>
      <c r="DH113" s="310">
        <v>15246.72</v>
      </c>
      <c r="DI113" s="310">
        <v>8719.7999999999993</v>
      </c>
      <c r="DJ113" s="312">
        <v>0</v>
      </c>
      <c r="DK113" s="362">
        <v>0</v>
      </c>
      <c r="DL113" s="362"/>
      <c r="DM113" s="362">
        <v>0</v>
      </c>
      <c r="DN113" s="362">
        <v>0</v>
      </c>
      <c r="DO113" s="362">
        <v>0</v>
      </c>
      <c r="DP113" s="362">
        <v>9969.2999999999993</v>
      </c>
      <c r="DQ113" s="362">
        <v>33750</v>
      </c>
      <c r="DR113" s="362"/>
      <c r="DS113" s="362">
        <v>37500</v>
      </c>
      <c r="DT113" s="362"/>
      <c r="DU113" s="362">
        <v>0</v>
      </c>
      <c r="DV113" s="362">
        <v>0</v>
      </c>
      <c r="DW113" s="362">
        <v>0</v>
      </c>
      <c r="DX113" s="362">
        <v>0</v>
      </c>
      <c r="DY113" s="362">
        <v>0</v>
      </c>
      <c r="DZ113" s="375">
        <v>0</v>
      </c>
      <c r="EA113" s="362">
        <v>0</v>
      </c>
      <c r="EB113" s="362">
        <v>0</v>
      </c>
      <c r="EC113" s="362"/>
      <c r="ED113" s="362">
        <v>102354.3</v>
      </c>
      <c r="EE113" s="362">
        <v>8500</v>
      </c>
      <c r="EF113" s="362"/>
      <c r="EG113" s="362">
        <v>0</v>
      </c>
      <c r="EH113" s="362">
        <v>0</v>
      </c>
      <c r="EI113" s="362"/>
      <c r="EJ113" s="362">
        <v>0</v>
      </c>
      <c r="EK113" s="362"/>
      <c r="EL113" s="362">
        <v>0</v>
      </c>
      <c r="EM113" s="362">
        <v>2124.3000000000002</v>
      </c>
      <c r="EN113" s="362">
        <v>0</v>
      </c>
      <c r="EO113" s="362">
        <v>0</v>
      </c>
      <c r="EP113" s="362">
        <v>87144</v>
      </c>
      <c r="EQ113" s="362">
        <v>0</v>
      </c>
      <c r="ER113" s="362">
        <v>15015</v>
      </c>
      <c r="ES113" s="362">
        <v>6924</v>
      </c>
      <c r="ET113" s="362">
        <v>6391</v>
      </c>
      <c r="EU113" s="362">
        <v>0</v>
      </c>
      <c r="EV113" s="362">
        <v>53384.160000000003</v>
      </c>
      <c r="EW113" s="362"/>
      <c r="EX113" s="202"/>
      <c r="EY113" s="202"/>
      <c r="EZ113" s="229"/>
      <c r="FA113" s="368">
        <v>1686.25</v>
      </c>
      <c r="FB113" s="368">
        <v>0</v>
      </c>
      <c r="FC113" s="368">
        <v>0</v>
      </c>
      <c r="FD113" s="368">
        <v>0</v>
      </c>
      <c r="FE113" s="368">
        <v>3242.88</v>
      </c>
      <c r="FF113" s="368">
        <v>1697.76</v>
      </c>
      <c r="FG113" s="368">
        <v>-702.62</v>
      </c>
      <c r="FH113" s="368">
        <v>-787.17</v>
      </c>
      <c r="FI113" s="368">
        <v>0</v>
      </c>
      <c r="FJ113" s="368">
        <v>0</v>
      </c>
      <c r="FK113" s="368">
        <v>0</v>
      </c>
      <c r="FL113" s="368">
        <v>0</v>
      </c>
      <c r="FM113" s="368">
        <v>43540.27</v>
      </c>
      <c r="FN113" s="368">
        <v>27689.17</v>
      </c>
      <c r="FO113" s="323">
        <v>458252.02</v>
      </c>
      <c r="FP113" s="323">
        <v>5137.1000000000004</v>
      </c>
      <c r="FQ113" s="323">
        <v>463389.12</v>
      </c>
      <c r="FR113" s="338">
        <v>63059.69</v>
      </c>
      <c r="FS113" s="338">
        <v>13293.7</v>
      </c>
      <c r="FT113" s="377">
        <v>76353.39</v>
      </c>
      <c r="FU113" s="377">
        <v>367923.36</v>
      </c>
      <c r="FV113" s="377">
        <v>15015.14</v>
      </c>
      <c r="FW113" s="362">
        <v>382938.5</v>
      </c>
      <c r="FX113" s="362">
        <v>281780.53999999998</v>
      </c>
      <c r="FY113" s="362">
        <v>19864.189999999999</v>
      </c>
      <c r="FZ113" s="362">
        <v>301644.73</v>
      </c>
      <c r="GA113" s="362">
        <v>149202.51</v>
      </c>
      <c r="GB113" s="362">
        <v>8444.65</v>
      </c>
      <c r="GC113" s="362">
        <v>157647.16</v>
      </c>
      <c r="GD113" s="362">
        <v>-3458.9</v>
      </c>
      <c r="GE113" s="362">
        <v>-6975.39</v>
      </c>
      <c r="GF113" s="362">
        <v>-10434.290000000001</v>
      </c>
      <c r="GG113" s="202">
        <v>44877.64</v>
      </c>
      <c r="GH113" s="416">
        <v>96</v>
      </c>
      <c r="GI113" s="414">
        <v>0</v>
      </c>
      <c r="GJ113" s="419">
        <v>43966.65</v>
      </c>
      <c r="GK113" s="396">
        <v>44877.64</v>
      </c>
      <c r="GL113" s="202">
        <v>43082.534399999997</v>
      </c>
      <c r="GM113" s="202">
        <v>1795.1056000000001</v>
      </c>
      <c r="GN113" s="323">
        <v>-90328.66</v>
      </c>
      <c r="GO113" s="323">
        <v>9878.0400000000009</v>
      </c>
      <c r="GP113" s="323">
        <v>-80450.62</v>
      </c>
      <c r="GQ113" s="323">
        <v>-93787.56</v>
      </c>
      <c r="GR113" s="323">
        <v>2902.65</v>
      </c>
      <c r="GS113" s="323">
        <v>-90884.91</v>
      </c>
    </row>
    <row r="114" spans="1:201" ht="12.75" customHeight="1" x14ac:dyDescent="0.2">
      <c r="A114" s="45" t="s">
        <v>177</v>
      </c>
      <c r="B114" s="48" t="s">
        <v>155</v>
      </c>
      <c r="C114" s="49" t="s">
        <v>21</v>
      </c>
      <c r="D114" s="390" t="s">
        <v>635</v>
      </c>
      <c r="E114" s="49" t="s">
        <v>9</v>
      </c>
      <c r="F114" s="11">
        <v>9</v>
      </c>
      <c r="G114" s="11">
        <v>1</v>
      </c>
      <c r="H114" s="11">
        <v>143</v>
      </c>
      <c r="I114" s="11">
        <v>143</v>
      </c>
      <c r="J114" s="11">
        <v>204</v>
      </c>
      <c r="K114" s="11">
        <v>194</v>
      </c>
      <c r="L114" s="11">
        <v>1</v>
      </c>
      <c r="M114" s="84">
        <v>695.7</v>
      </c>
      <c r="N114" s="84">
        <v>849.3</v>
      </c>
      <c r="O114" s="84">
        <v>849.3</v>
      </c>
      <c r="P114" s="139">
        <v>695.7</v>
      </c>
      <c r="Q114" s="139">
        <v>849.3</v>
      </c>
      <c r="R114" s="139">
        <v>849.3</v>
      </c>
      <c r="S114" s="133">
        <f t="shared" si="52"/>
        <v>2394.3000000000002</v>
      </c>
      <c r="T114" s="139">
        <v>845</v>
      </c>
      <c r="U114" s="130">
        <v>2.44</v>
      </c>
      <c r="V114" s="91">
        <v>1.9800000000000002E-2</v>
      </c>
      <c r="W114" s="91">
        <v>1.9800000000000002E-2</v>
      </c>
      <c r="X114" s="132">
        <v>1.32E-3</v>
      </c>
      <c r="Y114" s="91">
        <v>3.9699999999999999E-2</v>
      </c>
      <c r="Z114" s="29">
        <v>4949.2</v>
      </c>
      <c r="AA114" s="29"/>
      <c r="AB114" s="9">
        <f t="shared" si="29"/>
        <v>4949.2</v>
      </c>
      <c r="AC114" s="9">
        <f t="shared" si="55"/>
        <v>31328.44</v>
      </c>
      <c r="AD114" s="9">
        <v>2.2400000000000002</v>
      </c>
      <c r="AE114" s="9">
        <v>2.95</v>
      </c>
      <c r="AF114" s="21">
        <f>2.42-AJ114</f>
        <v>2.2599999999999998</v>
      </c>
      <c r="AG114" s="18">
        <f>0.63-AQ114</f>
        <v>0.55000000000000004</v>
      </c>
      <c r="AH114" s="9">
        <v>2.4700000000000002</v>
      </c>
      <c r="AI114" s="13">
        <v>815</v>
      </c>
      <c r="AJ114" s="21">
        <f t="shared" si="30"/>
        <v>0.16</v>
      </c>
      <c r="AK114" s="9">
        <v>0.88</v>
      </c>
      <c r="AL114" s="9">
        <v>0.24</v>
      </c>
      <c r="AM114" s="9">
        <v>0.12</v>
      </c>
      <c r="AN114" s="13"/>
      <c r="AO114" s="13">
        <v>854.4</v>
      </c>
      <c r="AP114" s="13">
        <f t="shared" si="53"/>
        <v>5.58</v>
      </c>
      <c r="AQ114" s="18">
        <f t="shared" si="31"/>
        <v>0.08</v>
      </c>
      <c r="AR114" s="9">
        <v>0.88</v>
      </c>
      <c r="AS114" s="9">
        <v>0.28000000000000003</v>
      </c>
      <c r="AT114" s="9">
        <v>7.0000000000000007E-2</v>
      </c>
      <c r="AU114" s="9">
        <v>5.08</v>
      </c>
      <c r="AV114" s="9">
        <v>0.14000000000000001</v>
      </c>
      <c r="AW114" s="9">
        <f>0.4+1.18+0.44</f>
        <v>2.02</v>
      </c>
      <c r="AX114" s="9">
        <f>1.65+0.6</f>
        <v>2.25</v>
      </c>
      <c r="AY114" s="46">
        <f t="shared" si="54"/>
        <v>22.67</v>
      </c>
      <c r="AZ114" s="13">
        <v>22.67</v>
      </c>
      <c r="BA114" s="13">
        <f t="shared" si="32"/>
        <v>0</v>
      </c>
      <c r="BB114" s="9">
        <f t="shared" si="33"/>
        <v>112198.36</v>
      </c>
      <c r="BC114" s="9">
        <v>22.67</v>
      </c>
      <c r="BD114" s="10">
        <v>44440</v>
      </c>
      <c r="BE114" s="9">
        <f t="shared" si="34"/>
        <v>11086.21</v>
      </c>
      <c r="BF114" s="9">
        <f t="shared" si="35"/>
        <v>14600.14</v>
      </c>
      <c r="BG114" s="9">
        <f t="shared" si="36"/>
        <v>11185.19</v>
      </c>
      <c r="BH114" s="9">
        <f t="shared" si="37"/>
        <v>2722.06</v>
      </c>
      <c r="BI114" s="9">
        <f t="shared" si="38"/>
        <v>12224.52</v>
      </c>
      <c r="BJ114" s="9">
        <f t="shared" si="39"/>
        <v>791.87</v>
      </c>
      <c r="BK114" s="9">
        <f t="shared" si="40"/>
        <v>4355.3</v>
      </c>
      <c r="BL114" s="9">
        <f t="shared" si="41"/>
        <v>1187.81</v>
      </c>
      <c r="BM114" s="9">
        <f t="shared" si="42"/>
        <v>593.9</v>
      </c>
      <c r="BN114" s="9">
        <f t="shared" si="43"/>
        <v>395.94</v>
      </c>
      <c r="BO114" s="9">
        <f t="shared" si="44"/>
        <v>4355.3</v>
      </c>
      <c r="BP114" s="9">
        <f t="shared" si="45"/>
        <v>1385.78</v>
      </c>
      <c r="BQ114" s="9">
        <f t="shared" si="46"/>
        <v>346.44</v>
      </c>
      <c r="BR114" s="9">
        <f t="shared" si="47"/>
        <v>25141.94</v>
      </c>
      <c r="BS114" s="9">
        <f t="shared" si="48"/>
        <v>692.89</v>
      </c>
      <c r="BT114" s="9">
        <f t="shared" si="49"/>
        <v>9997.3799999999992</v>
      </c>
      <c r="BU114" s="9">
        <f t="shared" si="50"/>
        <v>11135.7</v>
      </c>
      <c r="BV114" s="17">
        <f t="shared" si="51"/>
        <v>112198.37</v>
      </c>
      <c r="BW114" s="17">
        <v>4.7300000000000004</v>
      </c>
      <c r="BX114" s="17">
        <v>0.1</v>
      </c>
      <c r="BY114" s="17">
        <v>0.62</v>
      </c>
      <c r="BZ114" s="17">
        <v>0.11</v>
      </c>
      <c r="CA114" s="29">
        <v>6.33</v>
      </c>
      <c r="CB114" s="325"/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I114" s="13">
        <v>8534.2199999999993</v>
      </c>
      <c r="CJ114" s="13">
        <v>29508</v>
      </c>
      <c r="CK114" s="13">
        <v>1903.42</v>
      </c>
      <c r="CL114" s="13">
        <v>1346363.63</v>
      </c>
      <c r="CM114" s="13">
        <v>293683.38</v>
      </c>
      <c r="CN114" s="13">
        <v>0</v>
      </c>
      <c r="CO114" s="13">
        <v>9897.82</v>
      </c>
      <c r="CP114" s="13">
        <v>8364.6</v>
      </c>
      <c r="CQ114" s="13">
        <v>0</v>
      </c>
      <c r="CR114" s="13">
        <v>1273857.49</v>
      </c>
      <c r="CS114" s="13">
        <v>256630.3</v>
      </c>
      <c r="CT114" s="13">
        <v>4536.6499999999996</v>
      </c>
      <c r="CU114" s="13">
        <v>10878.72</v>
      </c>
      <c r="CV114" s="13">
        <v>7850.58</v>
      </c>
      <c r="CW114" s="13">
        <v>0</v>
      </c>
      <c r="CX114" s="13">
        <v>245973.81</v>
      </c>
      <c r="CY114" s="13">
        <v>53394.09</v>
      </c>
      <c r="CZ114" s="13">
        <v>-5394.65</v>
      </c>
      <c r="DA114" s="13">
        <v>1516.52</v>
      </c>
      <c r="DB114" s="13">
        <v>1093.6199999999999</v>
      </c>
      <c r="DC114" s="13"/>
      <c r="DD114" s="315">
        <v>1658309.43</v>
      </c>
      <c r="DE114" s="317">
        <v>1553753.74</v>
      </c>
      <c r="DF114" s="317">
        <v>93.7</v>
      </c>
      <c r="DG114" s="318">
        <v>296583.39</v>
      </c>
      <c r="DH114" s="310">
        <v>51994.92</v>
      </c>
      <c r="DI114" s="310">
        <v>29736.48</v>
      </c>
      <c r="DJ114" s="312">
        <v>0</v>
      </c>
      <c r="DK114" s="362">
        <v>0</v>
      </c>
      <c r="DL114" s="362"/>
      <c r="DM114" s="362">
        <v>0</v>
      </c>
      <c r="DN114" s="362">
        <v>0</v>
      </c>
      <c r="DO114" s="362">
        <v>0</v>
      </c>
      <c r="DP114" s="362">
        <v>12958.5</v>
      </c>
      <c r="DQ114" s="362">
        <v>0</v>
      </c>
      <c r="DR114" s="362"/>
      <c r="DS114" s="362">
        <v>0</v>
      </c>
      <c r="DT114" s="362"/>
      <c r="DU114" s="362">
        <v>0</v>
      </c>
      <c r="DV114" s="362">
        <v>0</v>
      </c>
      <c r="DW114" s="362">
        <v>0</v>
      </c>
      <c r="DX114" s="362">
        <v>51600</v>
      </c>
      <c r="DY114" s="362">
        <v>14000</v>
      </c>
      <c r="DZ114" s="375">
        <v>0</v>
      </c>
      <c r="EA114" s="362">
        <v>0</v>
      </c>
      <c r="EB114" s="362">
        <v>0</v>
      </c>
      <c r="EC114" s="362"/>
      <c r="ED114" s="362">
        <v>340677.06</v>
      </c>
      <c r="EE114" s="362">
        <v>8500</v>
      </c>
      <c r="EF114" s="362"/>
      <c r="EG114" s="362">
        <v>0</v>
      </c>
      <c r="EH114" s="362">
        <v>0</v>
      </c>
      <c r="EI114" s="362"/>
      <c r="EJ114" s="362">
        <v>0</v>
      </c>
      <c r="EK114" s="362"/>
      <c r="EL114" s="362">
        <v>0</v>
      </c>
      <c r="EM114" s="362">
        <v>4767.54</v>
      </c>
      <c r="EN114" s="362">
        <v>0</v>
      </c>
      <c r="EO114" s="362">
        <v>0</v>
      </c>
      <c r="EP114" s="362">
        <v>292734</v>
      </c>
      <c r="EQ114" s="362">
        <v>0</v>
      </c>
      <c r="ER114" s="362">
        <v>9555</v>
      </c>
      <c r="ES114" s="362">
        <v>577</v>
      </c>
      <c r="ET114" s="362">
        <v>17552</v>
      </c>
      <c r="EU114" s="362">
        <v>0</v>
      </c>
      <c r="EV114" s="362">
        <v>42086.21</v>
      </c>
      <c r="EW114" s="362"/>
      <c r="EX114" s="202"/>
      <c r="EY114" s="202"/>
      <c r="EZ114" s="229"/>
      <c r="FA114" s="368">
        <v>295059.99</v>
      </c>
      <c r="FB114" s="368">
        <v>3124.4</v>
      </c>
      <c r="FC114" s="368">
        <v>0</v>
      </c>
      <c r="FD114" s="368">
        <v>0</v>
      </c>
      <c r="FE114" s="368">
        <v>8796.81</v>
      </c>
      <c r="FF114" s="368">
        <v>6593.49</v>
      </c>
      <c r="FG114" s="368">
        <v>216.19</v>
      </c>
      <c r="FH114" s="368">
        <v>-1153.06</v>
      </c>
      <c r="FI114" s="368">
        <v>0</v>
      </c>
      <c r="FJ114" s="368">
        <v>0</v>
      </c>
      <c r="FK114" s="368">
        <v>21933.4</v>
      </c>
      <c r="FL114" s="368">
        <v>0</v>
      </c>
      <c r="FM114" s="368">
        <v>132317.17000000001</v>
      </c>
      <c r="FN114" s="368">
        <v>84133.440000000002</v>
      </c>
      <c r="FO114" s="323">
        <v>1093189.32</v>
      </c>
      <c r="FP114" s="323">
        <v>334571.21999999997</v>
      </c>
      <c r="FQ114" s="323">
        <v>1427760.54</v>
      </c>
      <c r="FR114" s="338">
        <v>145719.13</v>
      </c>
      <c r="FS114" s="338">
        <v>25605.89</v>
      </c>
      <c r="FT114" s="377">
        <v>171325.02</v>
      </c>
      <c r="FU114" s="377">
        <v>1384405.85</v>
      </c>
      <c r="FV114" s="377">
        <v>313849.21999999997</v>
      </c>
      <c r="FW114" s="362">
        <v>1698255.07</v>
      </c>
      <c r="FX114" s="362">
        <v>1284151.17</v>
      </c>
      <c r="FY114" s="362">
        <v>288845.53000000003</v>
      </c>
      <c r="FZ114" s="362">
        <v>1572996.7</v>
      </c>
      <c r="GA114" s="362">
        <v>245973.81</v>
      </c>
      <c r="GB114" s="362">
        <v>50609.58</v>
      </c>
      <c r="GC114" s="362">
        <v>296583.39</v>
      </c>
      <c r="GD114" s="362">
        <v>136018.5</v>
      </c>
      <c r="GE114" s="362">
        <v>-1063.01</v>
      </c>
      <c r="GF114" s="362">
        <v>134955.49</v>
      </c>
      <c r="GG114" s="202"/>
      <c r="GH114" s="416"/>
      <c r="GI114" s="414">
        <v>1947</v>
      </c>
      <c r="GJ114" s="419">
        <v>0</v>
      </c>
      <c r="GK114" s="396"/>
      <c r="GL114" s="202">
        <v>0</v>
      </c>
      <c r="GM114" s="202">
        <v>0</v>
      </c>
      <c r="GN114" s="323">
        <v>291216.53000000003</v>
      </c>
      <c r="GO114" s="323">
        <v>-20722</v>
      </c>
      <c r="GP114" s="323">
        <v>270494.53000000003</v>
      </c>
      <c r="GQ114" s="323">
        <v>427235.03</v>
      </c>
      <c r="GR114" s="323">
        <v>-21785.01</v>
      </c>
      <c r="GS114" s="323">
        <v>405450.02</v>
      </c>
    </row>
    <row r="115" spans="1:201" ht="12.75" customHeight="1" x14ac:dyDescent="0.2">
      <c r="A115" s="45" t="s">
        <v>178</v>
      </c>
      <c r="B115" s="55" t="s">
        <v>155</v>
      </c>
      <c r="C115" s="56" t="s">
        <v>23</v>
      </c>
      <c r="D115" s="388" t="s">
        <v>439</v>
      </c>
      <c r="E115" s="56" t="s">
        <v>12</v>
      </c>
      <c r="F115" s="11">
        <v>3</v>
      </c>
      <c r="G115" s="11">
        <v>3</v>
      </c>
      <c r="H115" s="11">
        <v>20</v>
      </c>
      <c r="I115" s="11">
        <v>22</v>
      </c>
      <c r="J115" s="11">
        <v>45</v>
      </c>
      <c r="K115" s="11">
        <v>51</v>
      </c>
      <c r="L115" s="11" t="s">
        <v>746</v>
      </c>
      <c r="M115" s="84">
        <v>43.6</v>
      </c>
      <c r="N115" s="84">
        <v>454.4</v>
      </c>
      <c r="O115" s="84">
        <v>454.4</v>
      </c>
      <c r="P115" s="135">
        <v>130.80000000000001</v>
      </c>
      <c r="Q115" s="135">
        <v>250.9</v>
      </c>
      <c r="R115" s="133">
        <v>454.4</v>
      </c>
      <c r="S115" s="133">
        <f t="shared" si="52"/>
        <v>836.1</v>
      </c>
      <c r="T115" s="134">
        <v>130.80000000000001</v>
      </c>
      <c r="U115" s="130">
        <v>0.84</v>
      </c>
      <c r="V115" s="91">
        <v>1.1299999999999999E-2</v>
      </c>
      <c r="W115" s="91" t="s">
        <v>823</v>
      </c>
      <c r="X115" s="132" t="s">
        <v>823</v>
      </c>
      <c r="Y115" s="91">
        <v>1.1299999999999999E-2</v>
      </c>
      <c r="Z115" s="29">
        <v>1079.25</v>
      </c>
      <c r="AA115" s="29">
        <v>447.5</v>
      </c>
      <c r="AB115" s="9">
        <f t="shared" si="29"/>
        <v>1526.75</v>
      </c>
      <c r="AC115" s="9">
        <f t="shared" si="55"/>
        <v>9664.33</v>
      </c>
      <c r="AD115" s="9">
        <v>0.37</v>
      </c>
      <c r="AE115" s="9">
        <v>3.1</v>
      </c>
      <c r="AF115" s="21">
        <f>2.43-AJ115</f>
        <v>2.0299999999999998</v>
      </c>
      <c r="AG115" s="18">
        <f>0.56-AQ115</f>
        <v>0.48</v>
      </c>
      <c r="AH115" s="9">
        <v>2.17</v>
      </c>
      <c r="AI115" s="13">
        <v>614</v>
      </c>
      <c r="AJ115" s="21">
        <f t="shared" si="30"/>
        <v>0.4</v>
      </c>
      <c r="AK115" s="9">
        <v>0</v>
      </c>
      <c r="AL115" s="9">
        <v>0</v>
      </c>
      <c r="AM115" s="9">
        <v>0.38</v>
      </c>
      <c r="AN115" s="13">
        <v>84.6</v>
      </c>
      <c r="AO115" s="13">
        <v>169.2</v>
      </c>
      <c r="AP115" s="13">
        <f t="shared" si="53"/>
        <v>5.58</v>
      </c>
      <c r="AQ115" s="18">
        <f t="shared" si="31"/>
        <v>0.08</v>
      </c>
      <c r="AR115" s="9">
        <v>1.08</v>
      </c>
      <c r="AS115" s="9">
        <v>0.9</v>
      </c>
      <c r="AT115" s="9">
        <v>7.0000000000000007E-2</v>
      </c>
      <c r="AU115" s="9">
        <v>4.62</v>
      </c>
      <c r="AV115" s="9">
        <v>0.12</v>
      </c>
      <c r="AW115" s="9">
        <f>0.29+0.41+0.99</f>
        <v>1.69</v>
      </c>
      <c r="AX115" s="9">
        <f>1.4+0.55</f>
        <v>1.95</v>
      </c>
      <c r="AY115" s="58">
        <f t="shared" si="54"/>
        <v>19.440000000000001</v>
      </c>
      <c r="AZ115" s="13">
        <v>19.440000000000001</v>
      </c>
      <c r="BA115" s="13">
        <f t="shared" si="32"/>
        <v>0</v>
      </c>
      <c r="BB115" s="9">
        <f t="shared" si="33"/>
        <v>29680.02</v>
      </c>
      <c r="BC115" s="9">
        <v>19.440000000000001</v>
      </c>
      <c r="BD115" s="10">
        <v>44378</v>
      </c>
      <c r="BE115" s="9">
        <f t="shared" si="34"/>
        <v>564.9</v>
      </c>
      <c r="BF115" s="9">
        <f t="shared" si="35"/>
        <v>4732.93</v>
      </c>
      <c r="BG115" s="9">
        <f t="shared" si="36"/>
        <v>3099.3</v>
      </c>
      <c r="BH115" s="9">
        <f t="shared" si="37"/>
        <v>732.84</v>
      </c>
      <c r="BI115" s="9">
        <f t="shared" si="38"/>
        <v>3313.05</v>
      </c>
      <c r="BJ115" s="9">
        <f t="shared" si="39"/>
        <v>610.70000000000005</v>
      </c>
      <c r="BK115" s="9">
        <f t="shared" si="40"/>
        <v>0</v>
      </c>
      <c r="BL115" s="9">
        <f t="shared" si="41"/>
        <v>0</v>
      </c>
      <c r="BM115" s="9">
        <f t="shared" si="42"/>
        <v>580.16999999999996</v>
      </c>
      <c r="BN115" s="9">
        <f t="shared" si="43"/>
        <v>122.14</v>
      </c>
      <c r="BO115" s="9">
        <f t="shared" si="44"/>
        <v>1648.89</v>
      </c>
      <c r="BP115" s="9">
        <f t="shared" si="45"/>
        <v>1374.08</v>
      </c>
      <c r="BQ115" s="9">
        <f t="shared" si="46"/>
        <v>106.87</v>
      </c>
      <c r="BR115" s="9">
        <f t="shared" si="47"/>
        <v>7053.59</v>
      </c>
      <c r="BS115" s="9">
        <f t="shared" si="48"/>
        <v>183.21</v>
      </c>
      <c r="BT115" s="9">
        <f t="shared" si="49"/>
        <v>2580.21</v>
      </c>
      <c r="BU115" s="9">
        <f t="shared" si="50"/>
        <v>2977.16</v>
      </c>
      <c r="BV115" s="17">
        <f t="shared" si="51"/>
        <v>29680.04</v>
      </c>
      <c r="BW115" s="17">
        <v>2.69</v>
      </c>
      <c r="BX115" s="17">
        <v>0.03</v>
      </c>
      <c r="BY115" s="173">
        <v>0</v>
      </c>
      <c r="BZ115" s="17">
        <v>0.02</v>
      </c>
      <c r="CA115" s="29">
        <v>6.33</v>
      </c>
      <c r="CB115" s="325"/>
      <c r="CC115" s="13">
        <v>104392.8</v>
      </c>
      <c r="CD115" s="13">
        <v>4193.08</v>
      </c>
      <c r="CE115" s="13">
        <v>1279.8499999999999</v>
      </c>
      <c r="CF115" s="13">
        <v>13917.27</v>
      </c>
      <c r="CG115" s="13">
        <v>8099.75</v>
      </c>
      <c r="CH115" s="13">
        <v>0</v>
      </c>
      <c r="CI115" s="13">
        <v>575.51</v>
      </c>
      <c r="CJ115" s="13">
        <v>5076</v>
      </c>
      <c r="CK115" s="13">
        <v>587.16999999999996</v>
      </c>
      <c r="CL115" s="13">
        <v>251767.32</v>
      </c>
      <c r="CM115" s="13">
        <v>10112.59</v>
      </c>
      <c r="CN115" s="13">
        <v>0</v>
      </c>
      <c r="CO115" s="13">
        <v>36651.47</v>
      </c>
      <c r="CP115" s="13">
        <v>19534.64</v>
      </c>
      <c r="CQ115" s="13">
        <v>0</v>
      </c>
      <c r="CR115" s="13">
        <v>240814.4</v>
      </c>
      <c r="CS115" s="13">
        <v>7805.9</v>
      </c>
      <c r="CT115" s="13">
        <v>0</v>
      </c>
      <c r="CU115" s="13">
        <v>34691.39</v>
      </c>
      <c r="CV115" s="13">
        <v>19137.91</v>
      </c>
      <c r="CW115" s="13">
        <v>0</v>
      </c>
      <c r="CX115" s="13">
        <v>33303.599999999999</v>
      </c>
      <c r="CY115" s="13">
        <v>2988.34</v>
      </c>
      <c r="CZ115" s="13">
        <v>0</v>
      </c>
      <c r="DA115" s="13">
        <v>5404.66</v>
      </c>
      <c r="DB115" s="13">
        <v>2964.25</v>
      </c>
      <c r="DC115" s="13"/>
      <c r="DD115" s="315">
        <v>318066.02</v>
      </c>
      <c r="DE115" s="317">
        <v>302449.59999999998</v>
      </c>
      <c r="DF115" s="317">
        <v>95.09</v>
      </c>
      <c r="DG115" s="318">
        <v>44660.85</v>
      </c>
      <c r="DH115" s="310">
        <v>11340.12</v>
      </c>
      <c r="DI115" s="310">
        <v>6485.52</v>
      </c>
      <c r="DJ115" s="312">
        <v>0</v>
      </c>
      <c r="DK115" s="362">
        <v>0</v>
      </c>
      <c r="DL115" s="362"/>
      <c r="DM115" s="362">
        <v>0</v>
      </c>
      <c r="DN115" s="362">
        <v>0</v>
      </c>
      <c r="DO115" s="362">
        <v>0</v>
      </c>
      <c r="DP115" s="362">
        <v>9762.6</v>
      </c>
      <c r="DQ115" s="362">
        <v>61695</v>
      </c>
      <c r="DR115" s="362"/>
      <c r="DS115" s="362">
        <v>29700</v>
      </c>
      <c r="DT115" s="362"/>
      <c r="DU115" s="362">
        <v>0</v>
      </c>
      <c r="DV115" s="362">
        <v>0</v>
      </c>
      <c r="DW115" s="362">
        <v>0</v>
      </c>
      <c r="DX115" s="362">
        <v>0</v>
      </c>
      <c r="DY115" s="362">
        <v>0</v>
      </c>
      <c r="DZ115" s="375">
        <v>0</v>
      </c>
      <c r="EA115" s="362">
        <v>0</v>
      </c>
      <c r="EB115" s="362">
        <v>0</v>
      </c>
      <c r="EC115" s="362"/>
      <c r="ED115" s="362">
        <v>70987.44</v>
      </c>
      <c r="EE115" s="362">
        <v>15300</v>
      </c>
      <c r="EF115" s="362"/>
      <c r="EG115" s="362">
        <v>0</v>
      </c>
      <c r="EH115" s="362">
        <v>0</v>
      </c>
      <c r="EI115" s="362"/>
      <c r="EJ115" s="362">
        <v>0</v>
      </c>
      <c r="EK115" s="362"/>
      <c r="EL115" s="362">
        <v>0</v>
      </c>
      <c r="EM115" s="362">
        <v>1416.21</v>
      </c>
      <c r="EN115" s="362">
        <v>0</v>
      </c>
      <c r="EO115" s="362">
        <v>0</v>
      </c>
      <c r="EP115" s="362">
        <v>80412</v>
      </c>
      <c r="EQ115" s="362">
        <v>0</v>
      </c>
      <c r="ER115" s="362">
        <v>15015</v>
      </c>
      <c r="ES115" s="362">
        <v>6924</v>
      </c>
      <c r="ET115" s="362">
        <v>13619</v>
      </c>
      <c r="EU115" s="362">
        <v>0</v>
      </c>
      <c r="EV115" s="362">
        <v>38277.839999999997</v>
      </c>
      <c r="EW115" s="362"/>
      <c r="EX115" s="202"/>
      <c r="EY115" s="202"/>
      <c r="EZ115" s="229"/>
      <c r="FA115" s="368">
        <v>20599.57</v>
      </c>
      <c r="FB115" s="368">
        <v>0</v>
      </c>
      <c r="FC115" s="368">
        <v>0</v>
      </c>
      <c r="FD115" s="368">
        <v>0</v>
      </c>
      <c r="FE115" s="368">
        <v>48430.38</v>
      </c>
      <c r="FF115" s="368">
        <v>25884.7</v>
      </c>
      <c r="FG115" s="368">
        <v>0</v>
      </c>
      <c r="FH115" s="368">
        <v>-390.62</v>
      </c>
      <c r="FI115" s="368">
        <v>0</v>
      </c>
      <c r="FJ115" s="368">
        <v>0</v>
      </c>
      <c r="FK115" s="368">
        <v>0</v>
      </c>
      <c r="FL115" s="368">
        <v>0</v>
      </c>
      <c r="FM115" s="368">
        <v>40817.75</v>
      </c>
      <c r="FN115" s="368">
        <v>25953.82</v>
      </c>
      <c r="FO115" s="323">
        <v>427706.3</v>
      </c>
      <c r="FP115" s="323">
        <v>94524.03</v>
      </c>
      <c r="FQ115" s="323">
        <v>522230.33</v>
      </c>
      <c r="FR115" s="338">
        <v>52294.46</v>
      </c>
      <c r="FS115" s="338">
        <v>14947.88</v>
      </c>
      <c r="FT115" s="377">
        <v>67242.34</v>
      </c>
      <c r="FU115" s="377">
        <v>361811.63</v>
      </c>
      <c r="FV115" s="377">
        <v>94375.82</v>
      </c>
      <c r="FW115" s="362">
        <v>456187.45</v>
      </c>
      <c r="FX115" s="362">
        <v>380194.43</v>
      </c>
      <c r="FY115" s="362">
        <v>97804.81</v>
      </c>
      <c r="FZ115" s="362">
        <v>477999.24</v>
      </c>
      <c r="GA115" s="362">
        <v>33911.660000000003</v>
      </c>
      <c r="GB115" s="362">
        <v>11518.89</v>
      </c>
      <c r="GC115" s="362">
        <v>45430.55</v>
      </c>
      <c r="GD115" s="362">
        <v>41127.980000000003</v>
      </c>
      <c r="GE115" s="362">
        <v>-5378.19</v>
      </c>
      <c r="GF115" s="362">
        <v>35749.79</v>
      </c>
      <c r="GG115" s="202">
        <v>769.7</v>
      </c>
      <c r="GH115" s="416">
        <v>79</v>
      </c>
      <c r="GI115" s="414">
        <v>423</v>
      </c>
      <c r="GJ115" s="419">
        <v>131882.75</v>
      </c>
      <c r="GK115" s="396">
        <v>769.70000000000095</v>
      </c>
      <c r="GL115" s="202">
        <v>608.06300000000101</v>
      </c>
      <c r="GM115" s="202">
        <v>161.637</v>
      </c>
      <c r="GN115" s="323">
        <v>-65894.67</v>
      </c>
      <c r="GO115" s="323">
        <v>-148.21</v>
      </c>
      <c r="GP115" s="323">
        <v>-66042.880000000005</v>
      </c>
      <c r="GQ115" s="323">
        <v>-24766.69</v>
      </c>
      <c r="GR115" s="323">
        <v>-5526.4</v>
      </c>
      <c r="GS115" s="323">
        <v>-30293.09</v>
      </c>
    </row>
    <row r="116" spans="1:201" ht="12.75" customHeight="1" x14ac:dyDescent="0.2">
      <c r="A116" s="45" t="s">
        <v>180</v>
      </c>
      <c r="B116" s="55" t="s">
        <v>155</v>
      </c>
      <c r="C116" s="56" t="s">
        <v>62</v>
      </c>
      <c r="D116" s="388" t="s">
        <v>440</v>
      </c>
      <c r="E116" s="56" t="s">
        <v>12</v>
      </c>
      <c r="F116" s="11">
        <v>3</v>
      </c>
      <c r="G116" s="11">
        <v>3</v>
      </c>
      <c r="H116" s="11">
        <v>20</v>
      </c>
      <c r="I116" s="11">
        <v>20</v>
      </c>
      <c r="J116" s="11">
        <v>47</v>
      </c>
      <c r="K116" s="11">
        <v>43</v>
      </c>
      <c r="L116" s="11" t="s">
        <v>746</v>
      </c>
      <c r="M116" s="84">
        <v>42.3</v>
      </c>
      <c r="N116" s="84">
        <v>358.7</v>
      </c>
      <c r="O116" s="84">
        <v>358.7</v>
      </c>
      <c r="P116" s="135">
        <v>126.9</v>
      </c>
      <c r="Q116" s="135">
        <v>230</v>
      </c>
      <c r="R116" s="133">
        <v>452.1</v>
      </c>
      <c r="S116" s="133">
        <f t="shared" si="52"/>
        <v>809</v>
      </c>
      <c r="T116" s="134">
        <v>126.9</v>
      </c>
      <c r="U116" s="130">
        <v>0.84</v>
      </c>
      <c r="V116" s="91">
        <v>1.1299999999999999E-2</v>
      </c>
      <c r="W116" s="91" t="s">
        <v>823</v>
      </c>
      <c r="X116" s="132" t="s">
        <v>823</v>
      </c>
      <c r="Y116" s="91">
        <v>1.1299999999999999E-2</v>
      </c>
      <c r="Z116" s="29">
        <v>1116.5999999999999</v>
      </c>
      <c r="AA116" s="29">
        <v>290.5</v>
      </c>
      <c r="AB116" s="9">
        <f t="shared" si="29"/>
        <v>1407.1</v>
      </c>
      <c r="AC116" s="9">
        <f t="shared" si="55"/>
        <v>8906.94</v>
      </c>
      <c r="AD116" s="9">
        <v>0.45</v>
      </c>
      <c r="AE116" s="9">
        <v>3.46</v>
      </c>
      <c r="AF116" s="21">
        <f>2.46-AJ116</f>
        <v>2.0099999999999998</v>
      </c>
      <c r="AG116" s="18">
        <f>0.55-AQ116</f>
        <v>0.47</v>
      </c>
      <c r="AH116" s="9">
        <f>2.17</f>
        <v>2.17</v>
      </c>
      <c r="AI116" s="13">
        <v>631</v>
      </c>
      <c r="AJ116" s="21">
        <f t="shared" si="30"/>
        <v>0.45</v>
      </c>
      <c r="AK116" s="9">
        <v>0</v>
      </c>
      <c r="AL116" s="9">
        <v>0</v>
      </c>
      <c r="AM116" s="9">
        <v>0.41</v>
      </c>
      <c r="AN116" s="13">
        <v>84.6</v>
      </c>
      <c r="AO116" s="13">
        <v>169.2</v>
      </c>
      <c r="AP116" s="13">
        <f t="shared" si="53"/>
        <v>5.58</v>
      </c>
      <c r="AQ116" s="18">
        <f t="shared" si="31"/>
        <v>0.08</v>
      </c>
      <c r="AR116" s="9">
        <v>0.69</v>
      </c>
      <c r="AS116" s="9">
        <v>0.97</v>
      </c>
      <c r="AT116" s="9">
        <v>7.0000000000000007E-2</v>
      </c>
      <c r="AU116" s="9">
        <v>4.5999999999999996</v>
      </c>
      <c r="AV116" s="9">
        <v>0.12</v>
      </c>
      <c r="AW116" s="9">
        <f>1.01+0.23+0.41</f>
        <v>1.65</v>
      </c>
      <c r="AX116" s="9">
        <f>1.41+0.54</f>
        <v>1.95</v>
      </c>
      <c r="AY116" s="58">
        <f t="shared" si="54"/>
        <v>19.55</v>
      </c>
      <c r="AZ116" s="13">
        <v>19.55</v>
      </c>
      <c r="BA116" s="13">
        <f t="shared" si="32"/>
        <v>0</v>
      </c>
      <c r="BB116" s="9">
        <f t="shared" si="33"/>
        <v>27508.81</v>
      </c>
      <c r="BC116" s="9">
        <v>19.55</v>
      </c>
      <c r="BD116" s="10">
        <v>44378</v>
      </c>
      <c r="BE116" s="9">
        <f t="shared" si="34"/>
        <v>633.20000000000005</v>
      </c>
      <c r="BF116" s="9">
        <f t="shared" si="35"/>
        <v>4868.57</v>
      </c>
      <c r="BG116" s="9">
        <f t="shared" si="36"/>
        <v>2828.27</v>
      </c>
      <c r="BH116" s="9">
        <f t="shared" si="37"/>
        <v>661.34</v>
      </c>
      <c r="BI116" s="9">
        <f t="shared" si="38"/>
        <v>3053.41</v>
      </c>
      <c r="BJ116" s="9">
        <f t="shared" si="39"/>
        <v>633.20000000000005</v>
      </c>
      <c r="BK116" s="9">
        <f t="shared" si="40"/>
        <v>0</v>
      </c>
      <c r="BL116" s="9">
        <f t="shared" si="41"/>
        <v>0</v>
      </c>
      <c r="BM116" s="9">
        <f t="shared" si="42"/>
        <v>576.91</v>
      </c>
      <c r="BN116" s="9">
        <f t="shared" si="43"/>
        <v>112.57</v>
      </c>
      <c r="BO116" s="9">
        <f t="shared" si="44"/>
        <v>970.9</v>
      </c>
      <c r="BP116" s="9">
        <f t="shared" si="45"/>
        <v>1364.89</v>
      </c>
      <c r="BQ116" s="9">
        <f t="shared" si="46"/>
        <v>98.5</v>
      </c>
      <c r="BR116" s="9">
        <f t="shared" si="47"/>
        <v>6472.66</v>
      </c>
      <c r="BS116" s="9">
        <f t="shared" si="48"/>
        <v>168.85</v>
      </c>
      <c r="BT116" s="9">
        <f t="shared" si="49"/>
        <v>2321.7199999999998</v>
      </c>
      <c r="BU116" s="9">
        <f t="shared" si="50"/>
        <v>2743.85</v>
      </c>
      <c r="BV116" s="17">
        <f t="shared" si="51"/>
        <v>27508.84</v>
      </c>
      <c r="BW116" s="17">
        <v>3.01</v>
      </c>
      <c r="BX116" s="17">
        <v>0.03</v>
      </c>
      <c r="BY116" s="173">
        <v>0</v>
      </c>
      <c r="BZ116" s="17">
        <v>0.02</v>
      </c>
      <c r="CA116" s="29">
        <v>6.33</v>
      </c>
      <c r="CB116" s="325"/>
      <c r="CC116" s="13">
        <v>70755.06</v>
      </c>
      <c r="CD116" s="13">
        <v>776.95</v>
      </c>
      <c r="CE116" s="13">
        <v>11.63</v>
      </c>
      <c r="CF116" s="13">
        <v>1214.5999999999999</v>
      </c>
      <c r="CG116" s="13">
        <v>427.06</v>
      </c>
      <c r="CH116" s="13">
        <v>0</v>
      </c>
      <c r="CI116" s="13">
        <v>162.22999999999999</v>
      </c>
      <c r="CJ116" s="13">
        <v>5076</v>
      </c>
      <c r="CK116" s="13">
        <v>541.16</v>
      </c>
      <c r="CL116" s="13">
        <v>261954.96</v>
      </c>
      <c r="CM116" s="13">
        <v>1339.92</v>
      </c>
      <c r="CN116" s="13">
        <v>0</v>
      </c>
      <c r="CO116" s="13">
        <v>3115.39</v>
      </c>
      <c r="CP116" s="13">
        <v>1641.42</v>
      </c>
      <c r="CQ116" s="13">
        <v>0</v>
      </c>
      <c r="CR116" s="13">
        <v>254653.1</v>
      </c>
      <c r="CS116" s="13">
        <v>3006.12</v>
      </c>
      <c r="CT116" s="13">
        <v>0</v>
      </c>
      <c r="CU116" s="13">
        <v>4223.99</v>
      </c>
      <c r="CV116" s="13">
        <v>2165.04</v>
      </c>
      <c r="CW116" s="13">
        <v>0</v>
      </c>
      <c r="CX116" s="13">
        <v>18904.45</v>
      </c>
      <c r="CY116" s="13">
        <v>-3105.32</v>
      </c>
      <c r="CZ116" s="13">
        <v>0</v>
      </c>
      <c r="DA116" s="13">
        <v>51.16</v>
      </c>
      <c r="DB116" s="13">
        <v>21.94</v>
      </c>
      <c r="DC116" s="13"/>
      <c r="DD116" s="315">
        <v>268051.69</v>
      </c>
      <c r="DE116" s="317">
        <v>264048.25</v>
      </c>
      <c r="DF116" s="317">
        <v>98.51</v>
      </c>
      <c r="DG116" s="318">
        <v>15872.23</v>
      </c>
      <c r="DH116" s="310">
        <v>11732.64</v>
      </c>
      <c r="DI116" s="310">
        <v>6710.04</v>
      </c>
      <c r="DJ116" s="312">
        <v>0</v>
      </c>
      <c r="DK116" s="362">
        <v>0</v>
      </c>
      <c r="DL116" s="362"/>
      <c r="DM116" s="362">
        <v>0</v>
      </c>
      <c r="DN116" s="362">
        <v>0</v>
      </c>
      <c r="DO116" s="362">
        <v>0</v>
      </c>
      <c r="DP116" s="362">
        <v>10032.9</v>
      </c>
      <c r="DQ116" s="362">
        <v>37530</v>
      </c>
      <c r="DR116" s="362"/>
      <c r="DS116" s="362">
        <v>41700</v>
      </c>
      <c r="DT116" s="362"/>
      <c r="DU116" s="362">
        <v>0</v>
      </c>
      <c r="DV116" s="362">
        <v>0</v>
      </c>
      <c r="DW116" s="362">
        <v>0</v>
      </c>
      <c r="DX116" s="362">
        <v>0</v>
      </c>
      <c r="DY116" s="362">
        <v>0</v>
      </c>
      <c r="DZ116" s="375">
        <v>0</v>
      </c>
      <c r="EA116" s="362">
        <v>0</v>
      </c>
      <c r="EB116" s="362">
        <v>0</v>
      </c>
      <c r="EC116" s="362"/>
      <c r="ED116" s="362">
        <v>73983.839999999997</v>
      </c>
      <c r="EE116" s="362">
        <v>8500</v>
      </c>
      <c r="EF116" s="362"/>
      <c r="EG116" s="362">
        <v>0</v>
      </c>
      <c r="EH116" s="362">
        <v>0</v>
      </c>
      <c r="EI116" s="362"/>
      <c r="EJ116" s="362">
        <v>0</v>
      </c>
      <c r="EK116" s="362"/>
      <c r="EL116" s="362">
        <v>0</v>
      </c>
      <c r="EM116" s="362">
        <v>1416.21</v>
      </c>
      <c r="EN116" s="362">
        <v>0</v>
      </c>
      <c r="EO116" s="362">
        <v>0</v>
      </c>
      <c r="EP116" s="362">
        <v>74094</v>
      </c>
      <c r="EQ116" s="362">
        <v>0</v>
      </c>
      <c r="ER116" s="362">
        <v>15015</v>
      </c>
      <c r="ES116" s="362">
        <v>0</v>
      </c>
      <c r="ET116" s="362">
        <v>6179</v>
      </c>
      <c r="EU116" s="362">
        <v>0</v>
      </c>
      <c r="EV116" s="362">
        <v>39026.35</v>
      </c>
      <c r="EW116" s="362"/>
      <c r="EX116" s="202"/>
      <c r="EY116" s="202"/>
      <c r="EZ116" s="229"/>
      <c r="FA116" s="368">
        <v>1686.25</v>
      </c>
      <c r="FB116" s="368">
        <v>0</v>
      </c>
      <c r="FC116" s="368">
        <v>0</v>
      </c>
      <c r="FD116" s="368">
        <v>0</v>
      </c>
      <c r="FE116" s="368">
        <v>2508.13</v>
      </c>
      <c r="FF116" s="368">
        <v>1235.73</v>
      </c>
      <c r="FG116" s="368">
        <v>0</v>
      </c>
      <c r="FH116" s="368">
        <v>-360.01</v>
      </c>
      <c r="FI116" s="368">
        <v>0</v>
      </c>
      <c r="FJ116" s="368">
        <v>0</v>
      </c>
      <c r="FK116" s="368">
        <v>0</v>
      </c>
      <c r="FL116" s="368">
        <v>0</v>
      </c>
      <c r="FM116" s="368">
        <v>37618.910000000003</v>
      </c>
      <c r="FN116" s="368">
        <v>23919.85</v>
      </c>
      <c r="FO116" s="323">
        <v>387458.74</v>
      </c>
      <c r="FP116" s="323">
        <v>5070.1000000000004</v>
      </c>
      <c r="FQ116" s="323">
        <v>392528.84</v>
      </c>
      <c r="FR116" s="338">
        <v>32783.360000000001</v>
      </c>
      <c r="FS116" s="338">
        <v>1421.76</v>
      </c>
      <c r="FT116" s="377">
        <v>34205.120000000003</v>
      </c>
      <c r="FU116" s="377">
        <v>337948.25</v>
      </c>
      <c r="FV116" s="377">
        <v>9068.1299999999992</v>
      </c>
      <c r="FW116" s="362">
        <v>347016.38</v>
      </c>
      <c r="FX116" s="362">
        <v>301307.5</v>
      </c>
      <c r="FY116" s="362">
        <v>11959.65</v>
      </c>
      <c r="FZ116" s="362">
        <v>313267.15000000002</v>
      </c>
      <c r="GA116" s="362">
        <v>69424.11</v>
      </c>
      <c r="GB116" s="362">
        <v>-1469.76</v>
      </c>
      <c r="GC116" s="362">
        <v>67954.350000000006</v>
      </c>
      <c r="GD116" s="362">
        <v>34222.11</v>
      </c>
      <c r="GE116" s="362">
        <v>-378.69</v>
      </c>
      <c r="GF116" s="362">
        <v>33843.42</v>
      </c>
      <c r="GG116" s="202">
        <v>52082.12</v>
      </c>
      <c r="GH116" s="416">
        <v>97</v>
      </c>
      <c r="GI116" s="414">
        <v>423</v>
      </c>
      <c r="GJ116" s="419">
        <v>73185.3</v>
      </c>
      <c r="GK116" s="396">
        <v>52082.12</v>
      </c>
      <c r="GL116" s="202">
        <v>50519.6564</v>
      </c>
      <c r="GM116" s="202">
        <v>1562.4636</v>
      </c>
      <c r="GN116" s="323">
        <v>-49510.49</v>
      </c>
      <c r="GO116" s="323">
        <v>3998.03</v>
      </c>
      <c r="GP116" s="323">
        <v>-45512.46</v>
      </c>
      <c r="GQ116" s="323">
        <v>-15288.38</v>
      </c>
      <c r="GR116" s="323">
        <v>3619.34</v>
      </c>
      <c r="GS116" s="323">
        <v>-11669.04</v>
      </c>
    </row>
    <row r="117" spans="1:201" ht="12.75" customHeight="1" x14ac:dyDescent="0.2">
      <c r="A117" s="45" t="s">
        <v>181</v>
      </c>
      <c r="B117" s="51" t="s">
        <v>155</v>
      </c>
      <c r="C117" s="52" t="s">
        <v>25</v>
      </c>
      <c r="D117" s="388" t="s">
        <v>441</v>
      </c>
      <c r="E117" s="52" t="s">
        <v>12</v>
      </c>
      <c r="F117" s="11">
        <v>4</v>
      </c>
      <c r="G117" s="11">
        <v>4</v>
      </c>
      <c r="H117" s="11">
        <v>35</v>
      </c>
      <c r="I117" s="11">
        <v>43</v>
      </c>
      <c r="J117" s="11">
        <v>76</v>
      </c>
      <c r="K117" s="11">
        <v>81</v>
      </c>
      <c r="L117" s="11" t="s">
        <v>746</v>
      </c>
      <c r="M117" s="84">
        <v>628</v>
      </c>
      <c r="N117" s="84">
        <v>635.1</v>
      </c>
      <c r="O117" s="84">
        <v>635.1</v>
      </c>
      <c r="P117" s="139">
        <f>201.2+50</f>
        <v>251.2</v>
      </c>
      <c r="Q117" s="135">
        <v>458.9</v>
      </c>
      <c r="R117" s="133">
        <v>635.1</v>
      </c>
      <c r="S117" s="133">
        <f t="shared" si="52"/>
        <v>1345.2</v>
      </c>
      <c r="T117" s="139">
        <v>263.7</v>
      </c>
      <c r="U117" s="130">
        <v>0.84</v>
      </c>
      <c r="V117" s="91">
        <v>1.1299999999999999E-2</v>
      </c>
      <c r="W117" s="91" t="s">
        <v>823</v>
      </c>
      <c r="X117" s="132" t="s">
        <v>823</v>
      </c>
      <c r="Y117" s="91">
        <v>1.1299999999999999E-2</v>
      </c>
      <c r="Z117" s="29">
        <v>2164.7199999999998</v>
      </c>
      <c r="AA117" s="29">
        <v>624.4</v>
      </c>
      <c r="AB117" s="9">
        <f t="shared" si="29"/>
        <v>2789.12</v>
      </c>
      <c r="AC117" s="9">
        <f t="shared" si="55"/>
        <v>17655.13</v>
      </c>
      <c r="AD117" s="9">
        <v>0.44</v>
      </c>
      <c r="AE117" s="9">
        <v>3.92</v>
      </c>
      <c r="AF117" s="21">
        <f>2.41-AJ117</f>
        <v>2.1</v>
      </c>
      <c r="AG117" s="18">
        <f>0.52-AQ117</f>
        <v>0.45</v>
      </c>
      <c r="AH117" s="9">
        <v>2.17</v>
      </c>
      <c r="AI117" s="13">
        <v>855</v>
      </c>
      <c r="AJ117" s="21">
        <f t="shared" si="30"/>
        <v>0.31</v>
      </c>
      <c r="AK117" s="9">
        <v>0</v>
      </c>
      <c r="AL117" s="9">
        <v>0</v>
      </c>
      <c r="AM117" s="9">
        <v>0.21</v>
      </c>
      <c r="AN117" s="13">
        <v>138.4</v>
      </c>
      <c r="AO117" s="13">
        <v>276.8</v>
      </c>
      <c r="AP117" s="13">
        <f t="shared" si="53"/>
        <v>5.58</v>
      </c>
      <c r="AQ117" s="18">
        <f t="shared" si="31"/>
        <v>7.0000000000000007E-2</v>
      </c>
      <c r="AR117" s="9">
        <v>0.49</v>
      </c>
      <c r="AS117" s="9">
        <v>0.49</v>
      </c>
      <c r="AT117" s="9">
        <v>7.0000000000000007E-2</v>
      </c>
      <c r="AU117" s="9">
        <v>4.38</v>
      </c>
      <c r="AV117" s="9">
        <v>0.11</v>
      </c>
      <c r="AW117" s="9">
        <f>0.26+0.96+0.37</f>
        <v>1.59</v>
      </c>
      <c r="AX117" s="9">
        <f>1.31+0.52</f>
        <v>1.83</v>
      </c>
      <c r="AY117" s="54">
        <f t="shared" si="54"/>
        <v>18.63</v>
      </c>
      <c r="AZ117" s="13">
        <v>18.63</v>
      </c>
      <c r="BA117" s="13">
        <f t="shared" si="32"/>
        <v>0</v>
      </c>
      <c r="BB117" s="9">
        <f t="shared" si="33"/>
        <v>51961.31</v>
      </c>
      <c r="BC117" s="9">
        <v>18.63</v>
      </c>
      <c r="BD117" s="10">
        <v>44378</v>
      </c>
      <c r="BE117" s="9">
        <f t="shared" si="34"/>
        <v>1227.21</v>
      </c>
      <c r="BF117" s="9">
        <f t="shared" si="35"/>
        <v>10933.35</v>
      </c>
      <c r="BG117" s="9">
        <f t="shared" si="36"/>
        <v>5857.15</v>
      </c>
      <c r="BH117" s="9">
        <f t="shared" si="37"/>
        <v>1255.0999999999999</v>
      </c>
      <c r="BI117" s="9">
        <f t="shared" si="38"/>
        <v>6052.39</v>
      </c>
      <c r="BJ117" s="9">
        <f t="shared" si="39"/>
        <v>864.63</v>
      </c>
      <c r="BK117" s="9">
        <f t="shared" si="40"/>
        <v>0</v>
      </c>
      <c r="BL117" s="9">
        <f t="shared" si="41"/>
        <v>0</v>
      </c>
      <c r="BM117" s="9">
        <f t="shared" si="42"/>
        <v>585.72</v>
      </c>
      <c r="BN117" s="9">
        <f t="shared" si="43"/>
        <v>195.24</v>
      </c>
      <c r="BO117" s="9">
        <f t="shared" si="44"/>
        <v>1366.67</v>
      </c>
      <c r="BP117" s="9">
        <f t="shared" si="45"/>
        <v>1366.67</v>
      </c>
      <c r="BQ117" s="9">
        <f t="shared" si="46"/>
        <v>195.24</v>
      </c>
      <c r="BR117" s="9">
        <f t="shared" si="47"/>
        <v>12216.35</v>
      </c>
      <c r="BS117" s="9">
        <f t="shared" si="48"/>
        <v>306.8</v>
      </c>
      <c r="BT117" s="9">
        <f t="shared" si="49"/>
        <v>4434.7</v>
      </c>
      <c r="BU117" s="9">
        <f t="shared" si="50"/>
        <v>5104.09</v>
      </c>
      <c r="BV117" s="17">
        <f t="shared" si="51"/>
        <v>51961.31</v>
      </c>
      <c r="BW117" s="17">
        <v>2.11</v>
      </c>
      <c r="BX117" s="17">
        <v>0.03</v>
      </c>
      <c r="BY117" s="173">
        <v>0</v>
      </c>
      <c r="BZ117" s="17">
        <v>0.02</v>
      </c>
      <c r="CA117" s="29">
        <v>6.33</v>
      </c>
      <c r="CB117" s="325"/>
      <c r="CC117" s="13">
        <v>139590.72</v>
      </c>
      <c r="CD117" s="13">
        <v>24251.68</v>
      </c>
      <c r="CE117" s="13">
        <v>1910.66</v>
      </c>
      <c r="CF117" s="13">
        <v>12012.24</v>
      </c>
      <c r="CG117" s="13">
        <v>7605.18</v>
      </c>
      <c r="CH117" s="13">
        <v>0</v>
      </c>
      <c r="CI117" s="13">
        <v>6816.35</v>
      </c>
      <c r="CJ117" s="13">
        <v>11172</v>
      </c>
      <c r="CK117" s="13">
        <v>1113.47</v>
      </c>
      <c r="CL117" s="13">
        <v>484149.96</v>
      </c>
      <c r="CM117" s="13">
        <v>85624.79</v>
      </c>
      <c r="CN117" s="13">
        <v>0</v>
      </c>
      <c r="CO117" s="13">
        <v>50236.12</v>
      </c>
      <c r="CP117" s="13">
        <v>26746.36</v>
      </c>
      <c r="CQ117" s="13">
        <v>0</v>
      </c>
      <c r="CR117" s="13">
        <v>452731.94</v>
      </c>
      <c r="CS117" s="13">
        <v>76179.02</v>
      </c>
      <c r="CT117" s="13">
        <v>0</v>
      </c>
      <c r="CU117" s="13">
        <v>44443.97</v>
      </c>
      <c r="CV117" s="13">
        <v>24499.56</v>
      </c>
      <c r="CW117" s="13">
        <v>0</v>
      </c>
      <c r="CX117" s="13">
        <v>121487.14</v>
      </c>
      <c r="CY117" s="13">
        <v>22793.119999999999</v>
      </c>
      <c r="CZ117" s="13">
        <v>0</v>
      </c>
      <c r="DA117" s="13">
        <v>13878.21</v>
      </c>
      <c r="DB117" s="13">
        <v>7009.23</v>
      </c>
      <c r="DC117" s="13"/>
      <c r="DD117" s="315">
        <v>646757.23</v>
      </c>
      <c r="DE117" s="317">
        <v>597854.49</v>
      </c>
      <c r="DF117" s="317">
        <v>92.44</v>
      </c>
      <c r="DG117" s="318">
        <v>165167.70000000001</v>
      </c>
      <c r="DH117" s="310">
        <v>23377.08</v>
      </c>
      <c r="DI117" s="310">
        <v>13369.68</v>
      </c>
      <c r="DJ117" s="312">
        <v>0</v>
      </c>
      <c r="DK117" s="362">
        <v>0</v>
      </c>
      <c r="DL117" s="362"/>
      <c r="DM117" s="362">
        <v>0</v>
      </c>
      <c r="DN117" s="362">
        <v>0</v>
      </c>
      <c r="DO117" s="362">
        <v>0</v>
      </c>
      <c r="DP117" s="362">
        <v>13594.5</v>
      </c>
      <c r="DQ117" s="362">
        <v>71010</v>
      </c>
      <c r="DR117" s="362"/>
      <c r="DS117" s="362">
        <v>47300</v>
      </c>
      <c r="DT117" s="362"/>
      <c r="DU117" s="362">
        <v>0</v>
      </c>
      <c r="DV117" s="362">
        <v>0</v>
      </c>
      <c r="DW117" s="362">
        <v>0</v>
      </c>
      <c r="DX117" s="362">
        <v>0</v>
      </c>
      <c r="DY117" s="362">
        <v>0</v>
      </c>
      <c r="DZ117" s="375">
        <v>0</v>
      </c>
      <c r="EA117" s="362">
        <v>0</v>
      </c>
      <c r="EB117" s="362">
        <v>0</v>
      </c>
      <c r="EC117" s="362"/>
      <c r="ED117" s="362">
        <v>163167.6</v>
      </c>
      <c r="EE117" s="362">
        <v>17000</v>
      </c>
      <c r="EF117" s="362"/>
      <c r="EG117" s="362">
        <v>0</v>
      </c>
      <c r="EH117" s="362">
        <v>0</v>
      </c>
      <c r="EI117" s="362"/>
      <c r="EJ117" s="362">
        <v>0</v>
      </c>
      <c r="EK117" s="362"/>
      <c r="EL117" s="362">
        <v>0</v>
      </c>
      <c r="EM117" s="362">
        <v>2316.81</v>
      </c>
      <c r="EN117" s="362">
        <v>0</v>
      </c>
      <c r="EO117" s="362">
        <v>0</v>
      </c>
      <c r="EP117" s="362">
        <v>149436</v>
      </c>
      <c r="EQ117" s="362">
        <v>0</v>
      </c>
      <c r="ER117" s="362">
        <v>16380</v>
      </c>
      <c r="ES117" s="362">
        <v>6924</v>
      </c>
      <c r="ET117" s="362">
        <v>7027</v>
      </c>
      <c r="EU117" s="362">
        <v>0</v>
      </c>
      <c r="EV117" s="362">
        <v>15226.6</v>
      </c>
      <c r="EW117" s="362"/>
      <c r="EX117" s="202"/>
      <c r="EY117" s="202"/>
      <c r="EZ117" s="229"/>
      <c r="FA117" s="368">
        <v>114813.14</v>
      </c>
      <c r="FB117" s="368">
        <v>0</v>
      </c>
      <c r="FC117" s="368">
        <v>0</v>
      </c>
      <c r="FD117" s="368">
        <v>0</v>
      </c>
      <c r="FE117" s="368">
        <v>67209.490000000005</v>
      </c>
      <c r="FF117" s="368">
        <v>35778.800000000003</v>
      </c>
      <c r="FG117" s="368">
        <v>-2837.52</v>
      </c>
      <c r="FH117" s="368">
        <v>-2228.56</v>
      </c>
      <c r="FI117" s="368">
        <v>0</v>
      </c>
      <c r="FJ117" s="368">
        <v>0</v>
      </c>
      <c r="FK117" s="368">
        <v>0</v>
      </c>
      <c r="FL117" s="368">
        <v>0</v>
      </c>
      <c r="FM117" s="368">
        <v>75917.440000000002</v>
      </c>
      <c r="FN117" s="368">
        <v>48289.53</v>
      </c>
      <c r="FO117" s="323">
        <v>670336.24</v>
      </c>
      <c r="FP117" s="323">
        <v>212735.35</v>
      </c>
      <c r="FQ117" s="323">
        <v>883071.59</v>
      </c>
      <c r="FR117" s="338">
        <v>128194.46</v>
      </c>
      <c r="FS117" s="338">
        <v>40531.74</v>
      </c>
      <c r="FT117" s="377">
        <v>168726.2</v>
      </c>
      <c r="FU117" s="377">
        <v>641729.03</v>
      </c>
      <c r="FV117" s="377">
        <v>209500.5</v>
      </c>
      <c r="FW117" s="362">
        <v>851229.53</v>
      </c>
      <c r="FX117" s="362">
        <v>605278.73</v>
      </c>
      <c r="FY117" s="362">
        <v>191965.81</v>
      </c>
      <c r="FZ117" s="362">
        <v>797244.54</v>
      </c>
      <c r="GA117" s="362">
        <v>164644.76</v>
      </c>
      <c r="GB117" s="362">
        <v>58066.43</v>
      </c>
      <c r="GC117" s="362">
        <v>222711.19</v>
      </c>
      <c r="GD117" s="362">
        <v>53227.6</v>
      </c>
      <c r="GE117" s="362">
        <v>-29686.04</v>
      </c>
      <c r="GF117" s="362">
        <v>23541.56</v>
      </c>
      <c r="GG117" s="202">
        <v>57543.49</v>
      </c>
      <c r="GH117" s="416">
        <v>75</v>
      </c>
      <c r="GI117" s="414">
        <v>1439</v>
      </c>
      <c r="GJ117" s="419">
        <v>185370.48</v>
      </c>
      <c r="GK117" s="396">
        <v>57543.49</v>
      </c>
      <c r="GL117" s="202">
        <v>43157.6175</v>
      </c>
      <c r="GM117" s="202">
        <v>14385.872499999999</v>
      </c>
      <c r="GN117" s="323">
        <v>-28607.21</v>
      </c>
      <c r="GO117" s="323">
        <v>-3234.85</v>
      </c>
      <c r="GP117" s="323">
        <v>-31842.06</v>
      </c>
      <c r="GQ117" s="323">
        <v>24620.39</v>
      </c>
      <c r="GR117" s="323">
        <v>-32920.89</v>
      </c>
      <c r="GS117" s="323">
        <v>-8300.5</v>
      </c>
    </row>
    <row r="118" spans="1:201" ht="12.75" customHeight="1" x14ac:dyDescent="0.2">
      <c r="A118" s="45" t="s">
        <v>183</v>
      </c>
      <c r="B118" s="55" t="s">
        <v>155</v>
      </c>
      <c r="C118" s="56" t="s">
        <v>64</v>
      </c>
      <c r="D118" s="388" t="s">
        <v>442</v>
      </c>
      <c r="E118" s="56" t="s">
        <v>12</v>
      </c>
      <c r="F118" s="11">
        <v>4</v>
      </c>
      <c r="G118" s="11">
        <v>4</v>
      </c>
      <c r="H118" s="11">
        <v>35</v>
      </c>
      <c r="I118" s="11">
        <v>42</v>
      </c>
      <c r="J118" s="11">
        <v>76</v>
      </c>
      <c r="K118" s="11">
        <v>88</v>
      </c>
      <c r="L118" s="11" t="s">
        <v>746</v>
      </c>
      <c r="M118" s="84">
        <v>66.5</v>
      </c>
      <c r="N118" s="84">
        <v>486.7</v>
      </c>
      <c r="O118" s="84">
        <v>486</v>
      </c>
      <c r="P118" s="135">
        <v>266</v>
      </c>
      <c r="Q118" s="135">
        <v>447.8</v>
      </c>
      <c r="R118" s="133">
        <v>624.29999999999995</v>
      </c>
      <c r="S118" s="133">
        <f t="shared" si="52"/>
        <v>1338.1</v>
      </c>
      <c r="T118" s="134">
        <v>263.7</v>
      </c>
      <c r="U118" s="130">
        <v>0.84</v>
      </c>
      <c r="V118" s="131">
        <v>1.1299999999999999E-2</v>
      </c>
      <c r="W118" s="131" t="s">
        <v>823</v>
      </c>
      <c r="X118" s="132" t="s">
        <v>823</v>
      </c>
      <c r="Y118" s="131">
        <v>1.1299999999999999E-2</v>
      </c>
      <c r="Z118" s="29">
        <v>2271.77</v>
      </c>
      <c r="AA118" s="29">
        <v>311.5</v>
      </c>
      <c r="AB118" s="9">
        <f t="shared" si="29"/>
        <v>2583.27</v>
      </c>
      <c r="AC118" s="9">
        <f t="shared" si="55"/>
        <v>16352.1</v>
      </c>
      <c r="AD118" s="9">
        <v>0.5</v>
      </c>
      <c r="AE118" s="9">
        <v>3.76</v>
      </c>
      <c r="AF118" s="21">
        <f>2.39-AJ118</f>
        <v>2.06</v>
      </c>
      <c r="AG118" s="18">
        <f>0.53-AQ118</f>
        <v>0.46</v>
      </c>
      <c r="AH118" s="9">
        <v>2.17</v>
      </c>
      <c r="AI118" s="13">
        <v>851</v>
      </c>
      <c r="AJ118" s="21">
        <f t="shared" si="30"/>
        <v>0.33</v>
      </c>
      <c r="AK118" s="9">
        <v>0</v>
      </c>
      <c r="AL118" s="9">
        <v>0</v>
      </c>
      <c r="AM118" s="9">
        <v>0.22</v>
      </c>
      <c r="AN118" s="13">
        <v>138.4</v>
      </c>
      <c r="AO118" s="13">
        <v>276.8</v>
      </c>
      <c r="AP118" s="13">
        <f t="shared" si="53"/>
        <v>5.58</v>
      </c>
      <c r="AQ118" s="18">
        <f t="shared" si="31"/>
        <v>7.0000000000000007E-2</v>
      </c>
      <c r="AR118" s="9">
        <v>0.53</v>
      </c>
      <c r="AS118" s="9">
        <v>0.53</v>
      </c>
      <c r="AT118" s="9">
        <v>7.0000000000000007E-2</v>
      </c>
      <c r="AU118" s="9">
        <v>4.3899999999999997</v>
      </c>
      <c r="AV118" s="9">
        <v>0.11</v>
      </c>
      <c r="AW118" s="9">
        <f>0.26+0.96+0.38</f>
        <v>1.6</v>
      </c>
      <c r="AX118" s="9">
        <f>1.32+0.52</f>
        <v>1.84</v>
      </c>
      <c r="AY118" s="58">
        <f t="shared" si="54"/>
        <v>18.64</v>
      </c>
      <c r="AZ118" s="13">
        <v>18.64</v>
      </c>
      <c r="BA118" s="13">
        <f t="shared" si="32"/>
        <v>0</v>
      </c>
      <c r="BB118" s="9">
        <f t="shared" si="33"/>
        <v>48152.15</v>
      </c>
      <c r="BC118" s="9">
        <v>18.64</v>
      </c>
      <c r="BD118" s="10">
        <v>44378</v>
      </c>
      <c r="BE118" s="9">
        <f t="shared" si="34"/>
        <v>1291.6400000000001</v>
      </c>
      <c r="BF118" s="9">
        <f t="shared" si="35"/>
        <v>9713.1</v>
      </c>
      <c r="BG118" s="9">
        <f t="shared" si="36"/>
        <v>5321.54</v>
      </c>
      <c r="BH118" s="9">
        <f t="shared" si="37"/>
        <v>1188.3</v>
      </c>
      <c r="BI118" s="9">
        <f t="shared" si="38"/>
        <v>5605.7</v>
      </c>
      <c r="BJ118" s="9">
        <f t="shared" si="39"/>
        <v>852.48</v>
      </c>
      <c r="BK118" s="9">
        <f t="shared" si="40"/>
        <v>0</v>
      </c>
      <c r="BL118" s="9">
        <f t="shared" si="41"/>
        <v>0</v>
      </c>
      <c r="BM118" s="9">
        <f t="shared" si="42"/>
        <v>568.32000000000005</v>
      </c>
      <c r="BN118" s="9">
        <f t="shared" si="43"/>
        <v>180.83</v>
      </c>
      <c r="BO118" s="9">
        <f t="shared" si="44"/>
        <v>1369.13</v>
      </c>
      <c r="BP118" s="9">
        <f t="shared" si="45"/>
        <v>1369.13</v>
      </c>
      <c r="BQ118" s="9">
        <f t="shared" si="46"/>
        <v>180.83</v>
      </c>
      <c r="BR118" s="9">
        <f t="shared" si="47"/>
        <v>11340.56</v>
      </c>
      <c r="BS118" s="9">
        <f t="shared" si="48"/>
        <v>284.16000000000003</v>
      </c>
      <c r="BT118" s="9">
        <f t="shared" si="49"/>
        <v>4133.2299999999996</v>
      </c>
      <c r="BU118" s="9">
        <f t="shared" si="50"/>
        <v>4753.22</v>
      </c>
      <c r="BV118" s="17">
        <f t="shared" si="51"/>
        <v>48152.17</v>
      </c>
      <c r="BW118" s="17">
        <v>2.34</v>
      </c>
      <c r="BX118" s="17">
        <v>0.03</v>
      </c>
      <c r="BY118" s="173">
        <v>0</v>
      </c>
      <c r="BZ118" s="17">
        <v>0.02</v>
      </c>
      <c r="CA118" s="29">
        <v>6.33</v>
      </c>
      <c r="CB118" s="325"/>
      <c r="CC118" s="13">
        <v>69676.320000000007</v>
      </c>
      <c r="CD118" s="13">
        <v>314.64</v>
      </c>
      <c r="CE118" s="13">
        <v>0</v>
      </c>
      <c r="CF118" s="13">
        <v>987.46</v>
      </c>
      <c r="CG118" s="13">
        <v>520.20000000000005</v>
      </c>
      <c r="CH118" s="13">
        <v>0</v>
      </c>
      <c r="CI118" s="13">
        <v>3236.52</v>
      </c>
      <c r="CJ118" s="13">
        <v>21588</v>
      </c>
      <c r="CK118" s="13">
        <v>993.5</v>
      </c>
      <c r="CL118" s="13">
        <v>508149.72</v>
      </c>
      <c r="CM118" s="13">
        <v>2294.2399999999998</v>
      </c>
      <c r="CN118" s="13">
        <v>0</v>
      </c>
      <c r="CO118" s="13">
        <v>7201.54</v>
      </c>
      <c r="CP118" s="13">
        <v>3793.79</v>
      </c>
      <c r="CQ118" s="13">
        <v>0</v>
      </c>
      <c r="CR118" s="13">
        <v>465849.94</v>
      </c>
      <c r="CS118" s="13">
        <v>5304.86</v>
      </c>
      <c r="CT118" s="13">
        <v>0</v>
      </c>
      <c r="CU118" s="13">
        <v>12603.58</v>
      </c>
      <c r="CV118" s="13">
        <v>6614.8</v>
      </c>
      <c r="CW118" s="13">
        <v>0</v>
      </c>
      <c r="CX118" s="13">
        <v>101518.49</v>
      </c>
      <c r="CY118" s="13">
        <v>-4170.87</v>
      </c>
      <c r="CZ118" s="13">
        <v>0</v>
      </c>
      <c r="DA118" s="13">
        <v>1577.54</v>
      </c>
      <c r="DB118" s="13">
        <v>820.02</v>
      </c>
      <c r="DC118" s="13"/>
      <c r="DD118" s="315">
        <v>521439.29</v>
      </c>
      <c r="DE118" s="317">
        <v>490373.18</v>
      </c>
      <c r="DF118" s="317">
        <v>94.04</v>
      </c>
      <c r="DG118" s="318">
        <v>99745.18</v>
      </c>
      <c r="DH118" s="310">
        <v>23870.400000000001</v>
      </c>
      <c r="DI118" s="310">
        <v>13651.8</v>
      </c>
      <c r="DJ118" s="312">
        <v>0</v>
      </c>
      <c r="DK118" s="362">
        <v>0</v>
      </c>
      <c r="DL118" s="362"/>
      <c r="DM118" s="362">
        <v>0</v>
      </c>
      <c r="DN118" s="362">
        <v>0</v>
      </c>
      <c r="DO118" s="362">
        <v>0</v>
      </c>
      <c r="DP118" s="362">
        <v>13530.9</v>
      </c>
      <c r="DQ118" s="362">
        <v>135360</v>
      </c>
      <c r="DR118" s="362"/>
      <c r="DS118" s="362">
        <v>60900</v>
      </c>
      <c r="DT118" s="362"/>
      <c r="DU118" s="362">
        <v>0</v>
      </c>
      <c r="DV118" s="362">
        <v>0</v>
      </c>
      <c r="DW118" s="362">
        <v>0</v>
      </c>
      <c r="DX118" s="362">
        <v>0</v>
      </c>
      <c r="DY118" s="362">
        <v>0</v>
      </c>
      <c r="DZ118" s="375">
        <v>0</v>
      </c>
      <c r="EA118" s="362">
        <v>0</v>
      </c>
      <c r="EB118" s="362">
        <v>0</v>
      </c>
      <c r="EC118" s="362"/>
      <c r="ED118" s="362">
        <v>147463.74</v>
      </c>
      <c r="EE118" s="362">
        <v>8500</v>
      </c>
      <c r="EF118" s="362"/>
      <c r="EG118" s="362">
        <v>0</v>
      </c>
      <c r="EH118" s="362">
        <v>0</v>
      </c>
      <c r="EI118" s="362"/>
      <c r="EJ118" s="362">
        <v>0</v>
      </c>
      <c r="EK118" s="362"/>
      <c r="EL118" s="362">
        <v>0</v>
      </c>
      <c r="EM118" s="362">
        <v>2316.81</v>
      </c>
      <c r="EN118" s="362">
        <v>0</v>
      </c>
      <c r="EO118" s="362">
        <v>0</v>
      </c>
      <c r="EP118" s="362">
        <v>137238</v>
      </c>
      <c r="EQ118" s="362">
        <v>0</v>
      </c>
      <c r="ER118" s="362">
        <v>16380</v>
      </c>
      <c r="ES118" s="362">
        <v>6924</v>
      </c>
      <c r="ET118" s="362">
        <v>7027</v>
      </c>
      <c r="EU118" s="362">
        <v>0</v>
      </c>
      <c r="EV118" s="362">
        <v>1500.58</v>
      </c>
      <c r="EW118" s="362"/>
      <c r="EX118" s="202"/>
      <c r="EY118" s="202"/>
      <c r="EZ118" s="229"/>
      <c r="FA118" s="368">
        <v>2651.11</v>
      </c>
      <c r="FB118" s="368">
        <v>0</v>
      </c>
      <c r="FC118" s="368">
        <v>0</v>
      </c>
      <c r="FD118" s="368">
        <v>0</v>
      </c>
      <c r="FE118" s="368">
        <v>8971.9699999999993</v>
      </c>
      <c r="FF118" s="368">
        <v>4697.1400000000003</v>
      </c>
      <c r="FG118" s="368">
        <v>-4215.74</v>
      </c>
      <c r="FH118" s="368">
        <v>-2868.02</v>
      </c>
      <c r="FI118" s="368">
        <v>0</v>
      </c>
      <c r="FJ118" s="368">
        <v>0</v>
      </c>
      <c r="FK118" s="368">
        <v>0</v>
      </c>
      <c r="FL118" s="368">
        <v>0</v>
      </c>
      <c r="FM118" s="368">
        <v>69063.87</v>
      </c>
      <c r="FN118" s="368">
        <v>43914.03</v>
      </c>
      <c r="FO118" s="323">
        <v>687641.13</v>
      </c>
      <c r="FP118" s="323">
        <v>9236.4599999999991</v>
      </c>
      <c r="FQ118" s="323">
        <v>696877.59</v>
      </c>
      <c r="FR118" s="338">
        <v>87462.92</v>
      </c>
      <c r="FS118" s="338">
        <v>5130.0200000000004</v>
      </c>
      <c r="FT118" s="377">
        <v>92592.94</v>
      </c>
      <c r="FU118" s="377">
        <v>602650.56000000006</v>
      </c>
      <c r="FV118" s="377">
        <v>16105.37</v>
      </c>
      <c r="FW118" s="362">
        <v>618755.93000000005</v>
      </c>
      <c r="FX118" s="362">
        <v>587989.69999999995</v>
      </c>
      <c r="FY118" s="362">
        <v>22989.98</v>
      </c>
      <c r="FZ118" s="362">
        <v>610979.68000000005</v>
      </c>
      <c r="GA118" s="362">
        <v>102123.78</v>
      </c>
      <c r="GB118" s="362">
        <v>-1754.59</v>
      </c>
      <c r="GC118" s="362">
        <v>100369.19</v>
      </c>
      <c r="GD118" s="362">
        <v>46533.16</v>
      </c>
      <c r="GE118" s="362">
        <v>-1596.39</v>
      </c>
      <c r="GF118" s="362">
        <v>44936.77</v>
      </c>
      <c r="GG118" s="202">
        <v>624.01</v>
      </c>
      <c r="GH118" s="416">
        <v>97</v>
      </c>
      <c r="GI118" s="414">
        <v>1947</v>
      </c>
      <c r="GJ118" s="419">
        <v>71498.62</v>
      </c>
      <c r="GK118" s="396">
        <v>624.01</v>
      </c>
      <c r="GL118" s="202">
        <v>605.28970000000004</v>
      </c>
      <c r="GM118" s="202">
        <v>18.720300000000002</v>
      </c>
      <c r="GN118" s="323">
        <v>-84990.57</v>
      </c>
      <c r="GO118" s="323">
        <v>6868.91</v>
      </c>
      <c r="GP118" s="323">
        <v>-78121.66</v>
      </c>
      <c r="GQ118" s="323">
        <v>-38457.410000000003</v>
      </c>
      <c r="GR118" s="323">
        <v>5272.52</v>
      </c>
      <c r="GS118" s="323">
        <v>-33184.89</v>
      </c>
    </row>
    <row r="119" spans="1:201" ht="12.75" customHeight="1" x14ac:dyDescent="0.2">
      <c r="A119" s="45" t="s">
        <v>185</v>
      </c>
      <c r="B119" s="55" t="s">
        <v>155</v>
      </c>
      <c r="C119" s="56" t="s">
        <v>79</v>
      </c>
      <c r="D119" s="388" t="s">
        <v>443</v>
      </c>
      <c r="E119" s="56" t="s">
        <v>12</v>
      </c>
      <c r="F119" s="11">
        <v>4</v>
      </c>
      <c r="G119" s="11">
        <v>2</v>
      </c>
      <c r="H119" s="11">
        <v>32</v>
      </c>
      <c r="I119" s="11">
        <v>32</v>
      </c>
      <c r="J119" s="11">
        <v>62</v>
      </c>
      <c r="K119" s="11">
        <v>64</v>
      </c>
      <c r="L119" s="11" t="s">
        <v>746</v>
      </c>
      <c r="M119" s="84">
        <v>24.5</v>
      </c>
      <c r="N119" s="84">
        <v>236</v>
      </c>
      <c r="O119" s="84">
        <v>236</v>
      </c>
      <c r="P119" s="135">
        <v>98</v>
      </c>
      <c r="Q119" s="135">
        <v>302.3</v>
      </c>
      <c r="R119" s="133">
        <v>345.3</v>
      </c>
      <c r="S119" s="133">
        <f t="shared" si="52"/>
        <v>745.6</v>
      </c>
      <c r="T119" s="134">
        <v>98</v>
      </c>
      <c r="U119" s="130">
        <v>0.84</v>
      </c>
      <c r="V119" s="91">
        <v>1.1299999999999999E-2</v>
      </c>
      <c r="W119" s="91" t="s">
        <v>823</v>
      </c>
      <c r="X119" s="132" t="s">
        <v>823</v>
      </c>
      <c r="Y119" s="91">
        <v>1.1299999999999999E-2</v>
      </c>
      <c r="Z119" s="29">
        <v>1292.9000000000001</v>
      </c>
      <c r="AA119" s="29">
        <v>72.8</v>
      </c>
      <c r="AB119" s="9">
        <f t="shared" si="29"/>
        <v>1365.7</v>
      </c>
      <c r="AC119" s="9">
        <f t="shared" si="55"/>
        <v>8644.8799999999992</v>
      </c>
      <c r="AD119" s="9">
        <v>0.36</v>
      </c>
      <c r="AE119" s="9">
        <v>3.08</v>
      </c>
      <c r="AF119" s="21">
        <f>2.4-AJ119</f>
        <v>2.09</v>
      </c>
      <c r="AG119" s="18">
        <f>0.55-AQ119</f>
        <v>0.41</v>
      </c>
      <c r="AH119" s="9">
        <v>2.16</v>
      </c>
      <c r="AI119" s="13">
        <v>419</v>
      </c>
      <c r="AJ119" s="21">
        <f t="shared" si="30"/>
        <v>0.31</v>
      </c>
      <c r="AK119" s="9">
        <v>0</v>
      </c>
      <c r="AL119" s="9">
        <v>0</v>
      </c>
      <c r="AM119" s="9">
        <v>0.42</v>
      </c>
      <c r="AN119" s="13">
        <v>138.4</v>
      </c>
      <c r="AO119" s="13">
        <v>276.8</v>
      </c>
      <c r="AP119" s="13">
        <f t="shared" si="53"/>
        <v>5.58</v>
      </c>
      <c r="AQ119" s="18">
        <f t="shared" si="31"/>
        <v>0.14000000000000001</v>
      </c>
      <c r="AR119" s="9">
        <v>0.91</v>
      </c>
      <c r="AS119" s="9">
        <v>1</v>
      </c>
      <c r="AT119" s="9">
        <v>7.0000000000000007E-2</v>
      </c>
      <c r="AU119" s="9">
        <v>4.66</v>
      </c>
      <c r="AV119" s="9">
        <v>0.12</v>
      </c>
      <c r="AW119" s="9">
        <f>0.34+0.41+0.98</f>
        <v>1.73</v>
      </c>
      <c r="AX119" s="9">
        <f>1.38+0.55</f>
        <v>1.93</v>
      </c>
      <c r="AY119" s="58">
        <f t="shared" si="54"/>
        <v>19.39</v>
      </c>
      <c r="AZ119" s="13">
        <v>19.39</v>
      </c>
      <c r="BA119" s="13">
        <f t="shared" si="32"/>
        <v>0</v>
      </c>
      <c r="BB119" s="9">
        <f t="shared" si="33"/>
        <v>26480.92</v>
      </c>
      <c r="BC119" s="9">
        <v>19.39</v>
      </c>
      <c r="BD119" s="10">
        <v>44378</v>
      </c>
      <c r="BE119" s="9">
        <f t="shared" si="34"/>
        <v>491.65</v>
      </c>
      <c r="BF119" s="9">
        <f t="shared" si="35"/>
        <v>4206.3599999999997</v>
      </c>
      <c r="BG119" s="9">
        <f t="shared" si="36"/>
        <v>2854.31</v>
      </c>
      <c r="BH119" s="9">
        <f t="shared" si="37"/>
        <v>559.94000000000005</v>
      </c>
      <c r="BI119" s="9">
        <f t="shared" si="38"/>
        <v>2949.91</v>
      </c>
      <c r="BJ119" s="9">
        <f t="shared" si="39"/>
        <v>423.37</v>
      </c>
      <c r="BK119" s="9">
        <f t="shared" si="40"/>
        <v>0</v>
      </c>
      <c r="BL119" s="9">
        <f t="shared" si="41"/>
        <v>0</v>
      </c>
      <c r="BM119" s="9">
        <f t="shared" si="42"/>
        <v>573.59</v>
      </c>
      <c r="BN119" s="9">
        <f t="shared" si="43"/>
        <v>191.2</v>
      </c>
      <c r="BO119" s="9">
        <f t="shared" si="44"/>
        <v>1242.79</v>
      </c>
      <c r="BP119" s="9">
        <f t="shared" si="45"/>
        <v>1365.7</v>
      </c>
      <c r="BQ119" s="9">
        <f t="shared" si="46"/>
        <v>95.6</v>
      </c>
      <c r="BR119" s="9">
        <f t="shared" si="47"/>
        <v>6364.16</v>
      </c>
      <c r="BS119" s="9">
        <f t="shared" si="48"/>
        <v>163.88</v>
      </c>
      <c r="BT119" s="9">
        <f t="shared" si="49"/>
        <v>2362.66</v>
      </c>
      <c r="BU119" s="9">
        <f t="shared" si="50"/>
        <v>2635.8</v>
      </c>
      <c r="BV119" s="17">
        <f t="shared" si="51"/>
        <v>26480.92</v>
      </c>
      <c r="BW119" s="17">
        <v>2.08</v>
      </c>
      <c r="BX119" s="17">
        <v>0.02</v>
      </c>
      <c r="BY119" s="173">
        <v>0</v>
      </c>
      <c r="BZ119" s="17">
        <v>0.01</v>
      </c>
      <c r="CA119" s="29">
        <v>6.33</v>
      </c>
      <c r="CB119" s="325"/>
      <c r="CC119" s="13">
        <v>16939.080000000002</v>
      </c>
      <c r="CD119" s="13">
        <v>52.44</v>
      </c>
      <c r="CE119" s="13">
        <v>268.63</v>
      </c>
      <c r="CF119" s="13">
        <v>2641.9</v>
      </c>
      <c r="CG119" s="13">
        <v>1527.34</v>
      </c>
      <c r="CH119" s="13">
        <v>0</v>
      </c>
      <c r="CI119" s="13">
        <v>1802.66</v>
      </c>
      <c r="CJ119" s="13">
        <v>17268</v>
      </c>
      <c r="CK119" s="13">
        <v>525.23</v>
      </c>
      <c r="CL119" s="13">
        <v>300832.32</v>
      </c>
      <c r="CM119" s="13">
        <v>930.96</v>
      </c>
      <c r="CN119" s="13">
        <v>0</v>
      </c>
      <c r="CO119" s="13">
        <v>51690.28</v>
      </c>
      <c r="CP119" s="13">
        <v>27125.03</v>
      </c>
      <c r="CQ119" s="13">
        <v>0</v>
      </c>
      <c r="CR119" s="13">
        <v>285373.83</v>
      </c>
      <c r="CS119" s="13">
        <v>3095.94</v>
      </c>
      <c r="CT119" s="13">
        <v>0</v>
      </c>
      <c r="CU119" s="13">
        <v>42278.1</v>
      </c>
      <c r="CV119" s="13">
        <v>23624.73</v>
      </c>
      <c r="CW119" s="13">
        <v>0</v>
      </c>
      <c r="CX119" s="13">
        <v>26449.66</v>
      </c>
      <c r="CY119" s="13">
        <v>-4909.2</v>
      </c>
      <c r="CZ119" s="13">
        <v>0</v>
      </c>
      <c r="DA119" s="13">
        <v>7320.53</v>
      </c>
      <c r="DB119" s="13">
        <v>3869.06</v>
      </c>
      <c r="DC119" s="13"/>
      <c r="DD119" s="315">
        <v>380578.59</v>
      </c>
      <c r="DE119" s="317">
        <v>354372.6</v>
      </c>
      <c r="DF119" s="317">
        <v>93.11</v>
      </c>
      <c r="DG119" s="318">
        <v>32730.05</v>
      </c>
      <c r="DH119" s="310">
        <v>13585.08</v>
      </c>
      <c r="DI119" s="310">
        <v>7769.4</v>
      </c>
      <c r="DJ119" s="312">
        <v>0</v>
      </c>
      <c r="DK119" s="362">
        <v>0</v>
      </c>
      <c r="DL119" s="362"/>
      <c r="DM119" s="362">
        <v>0</v>
      </c>
      <c r="DN119" s="362">
        <v>0</v>
      </c>
      <c r="DO119" s="362">
        <v>0</v>
      </c>
      <c r="DP119" s="362">
        <v>6662.1</v>
      </c>
      <c r="DQ119" s="362">
        <v>27540</v>
      </c>
      <c r="DR119" s="362"/>
      <c r="DS119" s="362">
        <v>25500</v>
      </c>
      <c r="DT119" s="362"/>
      <c r="DU119" s="362">
        <v>0</v>
      </c>
      <c r="DV119" s="362">
        <v>0</v>
      </c>
      <c r="DW119" s="362">
        <v>0</v>
      </c>
      <c r="DX119" s="362">
        <v>0</v>
      </c>
      <c r="DY119" s="362">
        <v>0</v>
      </c>
      <c r="DZ119" s="375">
        <v>0</v>
      </c>
      <c r="EA119" s="362">
        <v>0</v>
      </c>
      <c r="EB119" s="362">
        <v>0</v>
      </c>
      <c r="EC119" s="362"/>
      <c r="ED119" s="362">
        <v>63333</v>
      </c>
      <c r="EE119" s="362">
        <v>8500</v>
      </c>
      <c r="EF119" s="362"/>
      <c r="EG119" s="362">
        <v>0</v>
      </c>
      <c r="EH119" s="362">
        <v>0</v>
      </c>
      <c r="EI119" s="362"/>
      <c r="EJ119" s="362">
        <v>0</v>
      </c>
      <c r="EK119" s="362"/>
      <c r="EL119" s="362">
        <v>0</v>
      </c>
      <c r="EM119" s="362">
        <v>2316.81</v>
      </c>
      <c r="EN119" s="362">
        <v>0</v>
      </c>
      <c r="EO119" s="362">
        <v>0</v>
      </c>
      <c r="EP119" s="362">
        <v>72240</v>
      </c>
      <c r="EQ119" s="362">
        <v>0</v>
      </c>
      <c r="ER119" s="362">
        <v>16380</v>
      </c>
      <c r="ES119" s="362">
        <v>6924</v>
      </c>
      <c r="ET119" s="362">
        <v>6762</v>
      </c>
      <c r="EU119" s="362">
        <v>0</v>
      </c>
      <c r="EV119" s="362">
        <v>3090.81</v>
      </c>
      <c r="EW119" s="362"/>
      <c r="EX119" s="202"/>
      <c r="EY119" s="202"/>
      <c r="EZ119" s="229"/>
      <c r="FA119" s="368">
        <v>976.71</v>
      </c>
      <c r="FB119" s="368">
        <v>0</v>
      </c>
      <c r="FC119" s="368">
        <v>0</v>
      </c>
      <c r="FD119" s="368">
        <v>0</v>
      </c>
      <c r="FE119" s="368">
        <v>64744.83</v>
      </c>
      <c r="FF119" s="368">
        <v>34628.86</v>
      </c>
      <c r="FG119" s="368">
        <v>-1621.44</v>
      </c>
      <c r="FH119" s="368">
        <v>-1198.29</v>
      </c>
      <c r="FI119" s="368">
        <v>0</v>
      </c>
      <c r="FJ119" s="368">
        <v>0</v>
      </c>
      <c r="FK119" s="368">
        <v>0</v>
      </c>
      <c r="FL119" s="368">
        <v>0</v>
      </c>
      <c r="FM119" s="368">
        <v>36512.06</v>
      </c>
      <c r="FN119" s="368">
        <v>23216.09</v>
      </c>
      <c r="FO119" s="323">
        <v>320331.34999999998</v>
      </c>
      <c r="FP119" s="323">
        <v>97530.67</v>
      </c>
      <c r="FQ119" s="323">
        <v>417862.02</v>
      </c>
      <c r="FR119" s="338">
        <v>13578.71</v>
      </c>
      <c r="FS119" s="338">
        <v>-3033.97</v>
      </c>
      <c r="FT119" s="377">
        <v>10544.74</v>
      </c>
      <c r="FU119" s="377">
        <v>336842.06</v>
      </c>
      <c r="FV119" s="377">
        <v>84761.81</v>
      </c>
      <c r="FW119" s="362">
        <v>421603.87</v>
      </c>
      <c r="FX119" s="362">
        <v>322504.55</v>
      </c>
      <c r="FY119" s="362">
        <v>75057.61</v>
      </c>
      <c r="FZ119" s="362">
        <v>397562.16</v>
      </c>
      <c r="GA119" s="362">
        <v>27916.22</v>
      </c>
      <c r="GB119" s="362">
        <v>6670.23</v>
      </c>
      <c r="GC119" s="362">
        <v>34586.449999999997</v>
      </c>
      <c r="GD119" s="362">
        <v>39943</v>
      </c>
      <c r="GE119" s="362">
        <v>2422.4299999999998</v>
      </c>
      <c r="GF119" s="362">
        <v>42365.43</v>
      </c>
      <c r="GG119" s="202">
        <v>1856.4</v>
      </c>
      <c r="GH119" s="416">
        <v>79</v>
      </c>
      <c r="GI119" s="414">
        <v>1947</v>
      </c>
      <c r="GJ119" s="419">
        <v>21429.39</v>
      </c>
      <c r="GK119" s="396">
        <v>1856.4</v>
      </c>
      <c r="GL119" s="202">
        <v>1466.556</v>
      </c>
      <c r="GM119" s="202">
        <v>389.84399999999999</v>
      </c>
      <c r="GN119" s="323">
        <v>16510.71</v>
      </c>
      <c r="GO119" s="323">
        <v>-12768.86</v>
      </c>
      <c r="GP119" s="323">
        <v>3741.85</v>
      </c>
      <c r="GQ119" s="323">
        <v>56453.71</v>
      </c>
      <c r="GR119" s="323">
        <v>-10346.43</v>
      </c>
      <c r="GS119" s="323">
        <v>46107.28</v>
      </c>
    </row>
    <row r="120" spans="1:201" ht="12.75" customHeight="1" x14ac:dyDescent="0.2">
      <c r="A120" s="45" t="s">
        <v>186</v>
      </c>
      <c r="B120" s="51" t="s">
        <v>155</v>
      </c>
      <c r="C120" s="52" t="s">
        <v>32</v>
      </c>
      <c r="D120" s="388" t="s">
        <v>444</v>
      </c>
      <c r="E120" s="52" t="s">
        <v>12</v>
      </c>
      <c r="F120" s="11">
        <v>4</v>
      </c>
      <c r="G120" s="11">
        <v>4</v>
      </c>
      <c r="H120" s="11">
        <v>40</v>
      </c>
      <c r="I120" s="11">
        <v>53</v>
      </c>
      <c r="J120" s="11">
        <v>88</v>
      </c>
      <c r="K120" s="11">
        <v>105</v>
      </c>
      <c r="L120" s="11" t="s">
        <v>746</v>
      </c>
      <c r="M120" s="84">
        <v>64.599999999999994</v>
      </c>
      <c r="N120" s="84">
        <v>595</v>
      </c>
      <c r="O120" s="84">
        <v>595</v>
      </c>
      <c r="P120" s="139">
        <f>213.6+44.8</f>
        <v>258.39999999999998</v>
      </c>
      <c r="Q120" s="135">
        <v>375.7</v>
      </c>
      <c r="R120" s="133">
        <v>673.5</v>
      </c>
      <c r="S120" s="133">
        <f t="shared" si="52"/>
        <v>1307.5999999999999</v>
      </c>
      <c r="T120" s="139">
        <v>249.2</v>
      </c>
      <c r="U120" s="130">
        <v>0.84</v>
      </c>
      <c r="V120" s="91">
        <v>1.1299999999999999E-2</v>
      </c>
      <c r="W120" s="91" t="s">
        <v>823</v>
      </c>
      <c r="X120" s="132" t="s">
        <v>823</v>
      </c>
      <c r="Y120" s="91">
        <v>1.1299999999999999E-2</v>
      </c>
      <c r="Z120" s="29">
        <v>2589.16</v>
      </c>
      <c r="AA120" s="29">
        <v>309.8</v>
      </c>
      <c r="AB120" s="9">
        <f t="shared" si="29"/>
        <v>2898.96</v>
      </c>
      <c r="AC120" s="9">
        <f t="shared" si="55"/>
        <v>18350.419999999998</v>
      </c>
      <c r="AD120" s="9">
        <v>0.44</v>
      </c>
      <c r="AE120" s="9">
        <v>3.91</v>
      </c>
      <c r="AF120" s="21">
        <f>2.4-AJ120</f>
        <v>2.1</v>
      </c>
      <c r="AG120" s="18">
        <f>0.53-AQ120</f>
        <v>0.43</v>
      </c>
      <c r="AH120" s="9">
        <v>2.17</v>
      </c>
      <c r="AI120" s="13">
        <v>860</v>
      </c>
      <c r="AJ120" s="21">
        <f t="shared" si="30"/>
        <v>0.3</v>
      </c>
      <c r="AK120" s="9">
        <v>0</v>
      </c>
      <c r="AL120" s="9">
        <v>0</v>
      </c>
      <c r="AM120" s="9">
        <v>0.2</v>
      </c>
      <c r="AN120" s="13">
        <v>207.6</v>
      </c>
      <c r="AO120" s="13">
        <v>415.2</v>
      </c>
      <c r="AP120" s="13">
        <f t="shared" si="53"/>
        <v>5.58</v>
      </c>
      <c r="AQ120" s="18">
        <f t="shared" si="31"/>
        <v>0.1</v>
      </c>
      <c r="AR120" s="9">
        <v>0.51</v>
      </c>
      <c r="AS120" s="9">
        <v>0.47</v>
      </c>
      <c r="AT120" s="9">
        <v>7.0000000000000007E-2</v>
      </c>
      <c r="AU120" s="9">
        <v>4.3499999999999996</v>
      </c>
      <c r="AV120" s="9">
        <v>0.11</v>
      </c>
      <c r="AW120" s="9">
        <f>0.29+0.38+0.95</f>
        <v>1.62</v>
      </c>
      <c r="AX120" s="9">
        <f>1.31+0.51</f>
        <v>1.82</v>
      </c>
      <c r="AY120" s="54">
        <f t="shared" si="54"/>
        <v>18.600000000000001</v>
      </c>
      <c r="AZ120" s="13">
        <v>18.600000000000001</v>
      </c>
      <c r="BA120" s="13">
        <f t="shared" si="32"/>
        <v>0</v>
      </c>
      <c r="BB120" s="9">
        <f t="shared" si="33"/>
        <v>53920.66</v>
      </c>
      <c r="BC120" s="9">
        <v>18.600000000000001</v>
      </c>
      <c r="BD120" s="10">
        <v>44378</v>
      </c>
      <c r="BE120" s="9">
        <f t="shared" si="34"/>
        <v>1275.54</v>
      </c>
      <c r="BF120" s="9">
        <f t="shared" si="35"/>
        <v>11334.93</v>
      </c>
      <c r="BG120" s="9">
        <f t="shared" si="36"/>
        <v>6087.82</v>
      </c>
      <c r="BH120" s="9">
        <f t="shared" si="37"/>
        <v>1246.55</v>
      </c>
      <c r="BI120" s="9">
        <f t="shared" si="38"/>
        <v>6290.74</v>
      </c>
      <c r="BJ120" s="9">
        <f t="shared" si="39"/>
        <v>869.69</v>
      </c>
      <c r="BK120" s="9">
        <f t="shared" si="40"/>
        <v>0</v>
      </c>
      <c r="BL120" s="9">
        <f t="shared" si="41"/>
        <v>0</v>
      </c>
      <c r="BM120" s="9">
        <f t="shared" si="42"/>
        <v>579.79</v>
      </c>
      <c r="BN120" s="9">
        <f t="shared" si="43"/>
        <v>289.89999999999998</v>
      </c>
      <c r="BO120" s="9">
        <f t="shared" si="44"/>
        <v>1478.47</v>
      </c>
      <c r="BP120" s="9">
        <f t="shared" si="45"/>
        <v>1362.51</v>
      </c>
      <c r="BQ120" s="9">
        <f t="shared" si="46"/>
        <v>202.93</v>
      </c>
      <c r="BR120" s="9">
        <f t="shared" si="47"/>
        <v>12610.48</v>
      </c>
      <c r="BS120" s="9">
        <f t="shared" si="48"/>
        <v>318.89</v>
      </c>
      <c r="BT120" s="9">
        <f t="shared" si="49"/>
        <v>4696.32</v>
      </c>
      <c r="BU120" s="9">
        <f t="shared" si="50"/>
        <v>5276.11</v>
      </c>
      <c r="BV120" s="17">
        <f t="shared" si="51"/>
        <v>53920.67</v>
      </c>
      <c r="BW120" s="17">
        <v>2.16</v>
      </c>
      <c r="BX120" s="17">
        <v>0.03</v>
      </c>
      <c r="BY120" s="173">
        <v>0</v>
      </c>
      <c r="BZ120" s="17">
        <v>0.02</v>
      </c>
      <c r="CA120" s="29">
        <v>6.33</v>
      </c>
      <c r="CB120" s="325"/>
      <c r="CC120" s="13">
        <v>64149.21</v>
      </c>
      <c r="CD120" s="13">
        <v>12209.22</v>
      </c>
      <c r="CE120" s="13">
        <v>254.03</v>
      </c>
      <c r="CF120" s="13">
        <v>3999.52</v>
      </c>
      <c r="CG120" s="13">
        <v>2534.1799999999998</v>
      </c>
      <c r="CH120" s="13">
        <v>0</v>
      </c>
      <c r="CI120" s="13">
        <v>2927.48</v>
      </c>
      <c r="CJ120" s="13">
        <v>22608</v>
      </c>
      <c r="CK120" s="13">
        <v>1114.9100000000001</v>
      </c>
      <c r="CL120" s="13">
        <v>577900.31999999995</v>
      </c>
      <c r="CM120" s="13">
        <v>102039.03</v>
      </c>
      <c r="CN120" s="13">
        <v>0</v>
      </c>
      <c r="CO120" s="13">
        <v>35549.61</v>
      </c>
      <c r="CP120" s="13">
        <v>18952.830000000002</v>
      </c>
      <c r="CQ120" s="13">
        <v>0</v>
      </c>
      <c r="CR120" s="13">
        <v>468955.69</v>
      </c>
      <c r="CS120" s="13">
        <v>83516.259999999995</v>
      </c>
      <c r="CT120" s="13">
        <v>0</v>
      </c>
      <c r="CU120" s="13">
        <v>26182.240000000002</v>
      </c>
      <c r="CV120" s="13">
        <v>14452.58</v>
      </c>
      <c r="CW120" s="13">
        <v>0</v>
      </c>
      <c r="CX120" s="13">
        <v>179831.46</v>
      </c>
      <c r="CY120" s="13">
        <v>33713.71</v>
      </c>
      <c r="CZ120" s="13">
        <v>0</v>
      </c>
      <c r="DA120" s="13">
        <v>7981.47</v>
      </c>
      <c r="DB120" s="13">
        <v>4291.8100000000004</v>
      </c>
      <c r="DC120" s="13"/>
      <c r="DD120" s="315">
        <v>734441.79</v>
      </c>
      <c r="DE120" s="317">
        <v>593106.77</v>
      </c>
      <c r="DF120" s="317">
        <v>80.760000000000005</v>
      </c>
      <c r="DG120" s="318">
        <v>225818.45</v>
      </c>
      <c r="DH120" s="310">
        <v>27205.439999999999</v>
      </c>
      <c r="DI120" s="310">
        <v>15559.08</v>
      </c>
      <c r="DJ120" s="312">
        <v>0</v>
      </c>
      <c r="DK120" s="362">
        <v>0</v>
      </c>
      <c r="DL120" s="362"/>
      <c r="DM120" s="362">
        <v>0</v>
      </c>
      <c r="DN120" s="362">
        <v>0</v>
      </c>
      <c r="DO120" s="362">
        <v>0</v>
      </c>
      <c r="DP120" s="362">
        <v>13674</v>
      </c>
      <c r="DQ120" s="362">
        <v>73215</v>
      </c>
      <c r="DR120" s="362"/>
      <c r="DS120" s="362">
        <v>54600</v>
      </c>
      <c r="DT120" s="362"/>
      <c r="DU120" s="362">
        <v>0</v>
      </c>
      <c r="DV120" s="362">
        <v>0</v>
      </c>
      <c r="DW120" s="362">
        <v>0</v>
      </c>
      <c r="DX120" s="362">
        <v>0</v>
      </c>
      <c r="DY120" s="362">
        <v>0</v>
      </c>
      <c r="DZ120" s="375">
        <v>0</v>
      </c>
      <c r="EA120" s="362">
        <v>0</v>
      </c>
      <c r="EB120" s="362">
        <v>0</v>
      </c>
      <c r="EC120" s="362"/>
      <c r="ED120" s="362">
        <v>168465.78</v>
      </c>
      <c r="EE120" s="362">
        <v>8500</v>
      </c>
      <c r="EF120" s="362"/>
      <c r="EG120" s="362">
        <v>0</v>
      </c>
      <c r="EH120" s="362">
        <v>0</v>
      </c>
      <c r="EI120" s="362"/>
      <c r="EJ120" s="362">
        <v>0</v>
      </c>
      <c r="EK120" s="362"/>
      <c r="EL120" s="362">
        <v>0</v>
      </c>
      <c r="EM120" s="362">
        <v>3475.23</v>
      </c>
      <c r="EN120" s="362">
        <v>0</v>
      </c>
      <c r="EO120" s="362">
        <v>0</v>
      </c>
      <c r="EP120" s="362">
        <v>153948</v>
      </c>
      <c r="EQ120" s="362">
        <v>0</v>
      </c>
      <c r="ER120" s="362">
        <v>16380</v>
      </c>
      <c r="ES120" s="362">
        <v>6924</v>
      </c>
      <c r="ET120" s="362">
        <v>7292</v>
      </c>
      <c r="EU120" s="362">
        <v>0</v>
      </c>
      <c r="EV120" s="362">
        <v>54951.97</v>
      </c>
      <c r="EW120" s="362"/>
      <c r="EX120" s="202"/>
      <c r="EY120" s="202"/>
      <c r="EZ120" s="229"/>
      <c r="FA120" s="368">
        <v>121569.82</v>
      </c>
      <c r="FB120" s="368">
        <v>0</v>
      </c>
      <c r="FC120" s="368">
        <v>0</v>
      </c>
      <c r="FD120" s="368">
        <v>0</v>
      </c>
      <c r="FE120" s="368">
        <v>37770.620000000003</v>
      </c>
      <c r="FF120" s="368">
        <v>20144.45</v>
      </c>
      <c r="FG120" s="368">
        <v>-2837.52</v>
      </c>
      <c r="FH120" s="368">
        <v>-2227.2399999999998</v>
      </c>
      <c r="FI120" s="368">
        <v>0</v>
      </c>
      <c r="FJ120" s="368">
        <v>0</v>
      </c>
      <c r="FK120" s="368">
        <v>0</v>
      </c>
      <c r="FL120" s="368">
        <v>0</v>
      </c>
      <c r="FM120" s="368">
        <v>77503.86</v>
      </c>
      <c r="FN120" s="368">
        <v>49280.59</v>
      </c>
      <c r="FO120" s="323">
        <v>730974.95</v>
      </c>
      <c r="FP120" s="323">
        <v>174420.13</v>
      </c>
      <c r="FQ120" s="323">
        <v>905395.08</v>
      </c>
      <c r="FR120" s="338">
        <v>95038.28</v>
      </c>
      <c r="FS120" s="338">
        <v>23963.99</v>
      </c>
      <c r="FT120" s="377">
        <v>119002.27</v>
      </c>
      <c r="FU120" s="377">
        <v>667585.01</v>
      </c>
      <c r="FV120" s="377">
        <v>176653.33</v>
      </c>
      <c r="FW120" s="362">
        <v>844238.34</v>
      </c>
      <c r="FX120" s="362">
        <v>561517.69999999995</v>
      </c>
      <c r="FY120" s="362">
        <v>148275.72</v>
      </c>
      <c r="FZ120" s="362">
        <v>709793.42</v>
      </c>
      <c r="GA120" s="362">
        <v>201105.59</v>
      </c>
      <c r="GB120" s="362">
        <v>52341.599999999999</v>
      </c>
      <c r="GC120" s="362">
        <v>253447.19</v>
      </c>
      <c r="GD120" s="362">
        <v>41500.74</v>
      </c>
      <c r="GE120" s="362">
        <v>-14946.29</v>
      </c>
      <c r="GF120" s="362">
        <v>26554.45</v>
      </c>
      <c r="GG120" s="202">
        <v>27628.74</v>
      </c>
      <c r="GH120" s="416">
        <v>77</v>
      </c>
      <c r="GI120" s="414">
        <v>2019.55</v>
      </c>
      <c r="GJ120" s="419">
        <v>83146.16</v>
      </c>
      <c r="GK120" s="396">
        <v>27628.74</v>
      </c>
      <c r="GL120" s="202">
        <v>21274.129799999999</v>
      </c>
      <c r="GM120" s="202">
        <v>6354.6102000000001</v>
      </c>
      <c r="GN120" s="323">
        <v>-63389.94</v>
      </c>
      <c r="GO120" s="323">
        <v>2233.1999999999998</v>
      </c>
      <c r="GP120" s="323">
        <v>-61156.74</v>
      </c>
      <c r="GQ120" s="323">
        <v>-21889.200000000001</v>
      </c>
      <c r="GR120" s="323">
        <v>-12713.09</v>
      </c>
      <c r="GS120" s="323">
        <v>-34602.29</v>
      </c>
    </row>
    <row r="121" spans="1:201" ht="12.75" customHeight="1" x14ac:dyDescent="0.2">
      <c r="A121" s="45" t="s">
        <v>187</v>
      </c>
      <c r="B121" s="55" t="s">
        <v>155</v>
      </c>
      <c r="C121" s="56" t="s">
        <v>89</v>
      </c>
      <c r="D121" s="388" t="s">
        <v>445</v>
      </c>
      <c r="E121" s="56" t="s">
        <v>12</v>
      </c>
      <c r="F121" s="11">
        <v>4</v>
      </c>
      <c r="G121" s="11">
        <v>4</v>
      </c>
      <c r="H121" s="11">
        <v>42</v>
      </c>
      <c r="I121" s="11">
        <v>45</v>
      </c>
      <c r="J121" s="11">
        <v>74</v>
      </c>
      <c r="K121" s="11">
        <v>98</v>
      </c>
      <c r="L121" s="11" t="s">
        <v>746</v>
      </c>
      <c r="M121" s="84">
        <v>64</v>
      </c>
      <c r="N121" s="84">
        <v>411.8</v>
      </c>
      <c r="O121" s="84">
        <v>411.8</v>
      </c>
      <c r="P121" s="139">
        <f>228+37.2</f>
        <v>265.2</v>
      </c>
      <c r="Q121" s="135">
        <v>364</v>
      </c>
      <c r="R121" s="133">
        <v>653.5</v>
      </c>
      <c r="S121" s="133">
        <f t="shared" si="52"/>
        <v>1282.7</v>
      </c>
      <c r="T121" s="139">
        <v>253.1</v>
      </c>
      <c r="U121" s="130">
        <v>0.84</v>
      </c>
      <c r="V121" s="91">
        <v>1.1299999999999999E-2</v>
      </c>
      <c r="W121" s="91" t="s">
        <v>823</v>
      </c>
      <c r="X121" s="132" t="s">
        <v>823</v>
      </c>
      <c r="Y121" s="91">
        <v>1.1299999999999999E-2</v>
      </c>
      <c r="Z121" s="29">
        <v>2359.5100000000002</v>
      </c>
      <c r="AA121" s="29">
        <v>529.70000000000005</v>
      </c>
      <c r="AB121" s="9">
        <f t="shared" si="29"/>
        <v>2889.21</v>
      </c>
      <c r="AC121" s="9">
        <f t="shared" si="55"/>
        <v>18288.7</v>
      </c>
      <c r="AD121" s="9">
        <v>0.44</v>
      </c>
      <c r="AE121" s="9">
        <v>3.77</v>
      </c>
      <c r="AF121" s="21">
        <f>2.43-AJ121</f>
        <v>2.14</v>
      </c>
      <c r="AG121" s="18">
        <f>0.53-AQ121</f>
        <v>0.43</v>
      </c>
      <c r="AH121" s="9">
        <v>2.17</v>
      </c>
      <c r="AI121" s="13">
        <v>850</v>
      </c>
      <c r="AJ121" s="21">
        <f t="shared" si="30"/>
        <v>0.28999999999999998</v>
      </c>
      <c r="AK121" s="9">
        <v>0</v>
      </c>
      <c r="AL121" s="9">
        <v>0</v>
      </c>
      <c r="AM121" s="9">
        <v>0.2</v>
      </c>
      <c r="AN121" s="13">
        <v>207.6</v>
      </c>
      <c r="AO121" s="13">
        <v>415.2</v>
      </c>
      <c r="AP121" s="13">
        <f t="shared" si="53"/>
        <v>5.58</v>
      </c>
      <c r="AQ121" s="18">
        <f t="shared" si="31"/>
        <v>0.1</v>
      </c>
      <c r="AR121" s="9">
        <v>0.49</v>
      </c>
      <c r="AS121" s="9">
        <v>0.47</v>
      </c>
      <c r="AT121" s="9">
        <v>7.0000000000000007E-2</v>
      </c>
      <c r="AU121" s="9">
        <v>4.37</v>
      </c>
      <c r="AV121" s="9">
        <v>0.11</v>
      </c>
      <c r="AW121" s="9">
        <f>0.26+0.39+0.94</f>
        <v>1.59</v>
      </c>
      <c r="AX121" s="9">
        <f>1.3+0.51</f>
        <v>1.81</v>
      </c>
      <c r="AY121" s="58">
        <f t="shared" si="54"/>
        <v>18.45</v>
      </c>
      <c r="AZ121" s="13">
        <v>18.45</v>
      </c>
      <c r="BA121" s="13">
        <f t="shared" si="32"/>
        <v>0</v>
      </c>
      <c r="BB121" s="9">
        <f t="shared" si="33"/>
        <v>53305.919999999998</v>
      </c>
      <c r="BC121" s="9">
        <v>18.45</v>
      </c>
      <c r="BD121" s="10">
        <v>44378</v>
      </c>
      <c r="BE121" s="9">
        <f t="shared" si="34"/>
        <v>1271.25</v>
      </c>
      <c r="BF121" s="9">
        <f t="shared" si="35"/>
        <v>10892.32</v>
      </c>
      <c r="BG121" s="9">
        <f t="shared" si="36"/>
        <v>6182.91</v>
      </c>
      <c r="BH121" s="9">
        <f t="shared" si="37"/>
        <v>1242.3599999999999</v>
      </c>
      <c r="BI121" s="9">
        <f t="shared" si="38"/>
        <v>6269.59</v>
      </c>
      <c r="BJ121" s="9">
        <f t="shared" si="39"/>
        <v>837.87</v>
      </c>
      <c r="BK121" s="9">
        <f t="shared" si="40"/>
        <v>0</v>
      </c>
      <c r="BL121" s="9">
        <f t="shared" si="41"/>
        <v>0</v>
      </c>
      <c r="BM121" s="9">
        <f t="shared" si="42"/>
        <v>577.84</v>
      </c>
      <c r="BN121" s="9">
        <f t="shared" si="43"/>
        <v>288.92</v>
      </c>
      <c r="BO121" s="9">
        <f t="shared" si="44"/>
        <v>1415.71</v>
      </c>
      <c r="BP121" s="9">
        <f t="shared" si="45"/>
        <v>1357.93</v>
      </c>
      <c r="BQ121" s="9">
        <f t="shared" si="46"/>
        <v>202.24</v>
      </c>
      <c r="BR121" s="9">
        <f t="shared" si="47"/>
        <v>12625.85</v>
      </c>
      <c r="BS121" s="9">
        <f t="shared" si="48"/>
        <v>317.81</v>
      </c>
      <c r="BT121" s="9">
        <f t="shared" si="49"/>
        <v>4593.84</v>
      </c>
      <c r="BU121" s="9">
        <f t="shared" si="50"/>
        <v>5229.47</v>
      </c>
      <c r="BV121" s="17">
        <f t="shared" si="51"/>
        <v>53305.91</v>
      </c>
      <c r="BW121" s="17">
        <v>1.22</v>
      </c>
      <c r="BX121" s="17">
        <v>0.03</v>
      </c>
      <c r="BY121" s="173">
        <v>0</v>
      </c>
      <c r="BZ121" s="17">
        <v>0.02</v>
      </c>
      <c r="CA121" s="29">
        <v>6.33</v>
      </c>
      <c r="CB121" s="325"/>
      <c r="CC121" s="13">
        <v>117275.76</v>
      </c>
      <c r="CD121" s="13">
        <v>444.96</v>
      </c>
      <c r="CE121" s="13">
        <v>185.4</v>
      </c>
      <c r="CF121" s="13">
        <v>4867.95</v>
      </c>
      <c r="CG121" s="13">
        <v>2659.08</v>
      </c>
      <c r="CH121" s="13">
        <v>0</v>
      </c>
      <c r="CI121" s="13">
        <v>3047.74</v>
      </c>
      <c r="CJ121" s="13">
        <v>21588</v>
      </c>
      <c r="CK121" s="13">
        <v>1111.1600000000001</v>
      </c>
      <c r="CL121" s="13">
        <v>522341.8</v>
      </c>
      <c r="CM121" s="13">
        <v>1981.59</v>
      </c>
      <c r="CN121" s="13">
        <v>0</v>
      </c>
      <c r="CO121" s="13">
        <v>22509.84</v>
      </c>
      <c r="CP121" s="13">
        <v>11844.78</v>
      </c>
      <c r="CQ121" s="13">
        <v>0</v>
      </c>
      <c r="CR121" s="13">
        <v>489280.31</v>
      </c>
      <c r="CS121" s="13">
        <v>2753.14</v>
      </c>
      <c r="CT121" s="13">
        <v>0</v>
      </c>
      <c r="CU121" s="13">
        <v>20217.32</v>
      </c>
      <c r="CV121" s="13">
        <v>10660.79</v>
      </c>
      <c r="CW121" s="13">
        <v>0</v>
      </c>
      <c r="CX121" s="13">
        <v>98558.83</v>
      </c>
      <c r="CY121" s="13">
        <v>-2125.3200000000002</v>
      </c>
      <c r="CZ121" s="13">
        <v>0</v>
      </c>
      <c r="DA121" s="13">
        <v>3098.78</v>
      </c>
      <c r="DB121" s="13">
        <v>1621.55</v>
      </c>
      <c r="DC121" s="13"/>
      <c r="DD121" s="315">
        <v>558678.01</v>
      </c>
      <c r="DE121" s="317">
        <v>522911.56</v>
      </c>
      <c r="DF121" s="317">
        <v>93.6</v>
      </c>
      <c r="DG121" s="318">
        <v>101153.84</v>
      </c>
      <c r="DH121" s="310">
        <v>24761.16</v>
      </c>
      <c r="DI121" s="310">
        <v>14161.2</v>
      </c>
      <c r="DJ121" s="312">
        <v>0</v>
      </c>
      <c r="DK121" s="362">
        <v>0</v>
      </c>
      <c r="DL121" s="362"/>
      <c r="DM121" s="362">
        <v>0</v>
      </c>
      <c r="DN121" s="362">
        <v>0</v>
      </c>
      <c r="DO121" s="362">
        <v>0</v>
      </c>
      <c r="DP121" s="362">
        <v>13515</v>
      </c>
      <c r="DQ121" s="362">
        <v>84375</v>
      </c>
      <c r="DR121" s="362"/>
      <c r="DS121" s="362">
        <v>42500</v>
      </c>
      <c r="DT121" s="362"/>
      <c r="DU121" s="362">
        <v>0</v>
      </c>
      <c r="DV121" s="362">
        <v>0</v>
      </c>
      <c r="DW121" s="362">
        <v>0</v>
      </c>
      <c r="DX121" s="362">
        <v>0</v>
      </c>
      <c r="DY121" s="362">
        <v>0</v>
      </c>
      <c r="DZ121" s="375">
        <v>0</v>
      </c>
      <c r="EA121" s="362">
        <v>0</v>
      </c>
      <c r="EB121" s="362">
        <v>0</v>
      </c>
      <c r="EC121" s="362"/>
      <c r="ED121" s="362">
        <v>162214.20000000001</v>
      </c>
      <c r="EE121" s="362">
        <v>17000</v>
      </c>
      <c r="EF121" s="362"/>
      <c r="EG121" s="362">
        <v>0</v>
      </c>
      <c r="EH121" s="362">
        <v>0</v>
      </c>
      <c r="EI121" s="362"/>
      <c r="EJ121" s="362">
        <v>0</v>
      </c>
      <c r="EK121" s="362"/>
      <c r="EL121" s="362">
        <v>0</v>
      </c>
      <c r="EM121" s="362">
        <v>3475.23</v>
      </c>
      <c r="EN121" s="362">
        <v>0</v>
      </c>
      <c r="EO121" s="362">
        <v>0</v>
      </c>
      <c r="EP121" s="362">
        <v>154110</v>
      </c>
      <c r="EQ121" s="362">
        <v>0</v>
      </c>
      <c r="ER121" s="362">
        <v>16380</v>
      </c>
      <c r="ES121" s="362">
        <v>5770</v>
      </c>
      <c r="ET121" s="362">
        <v>7133</v>
      </c>
      <c r="EU121" s="362">
        <v>0</v>
      </c>
      <c r="EV121" s="362">
        <v>0</v>
      </c>
      <c r="EW121" s="362"/>
      <c r="EX121" s="202"/>
      <c r="EY121" s="202"/>
      <c r="EZ121" s="229"/>
      <c r="FA121" s="368">
        <v>2551.4699999999998</v>
      </c>
      <c r="FB121" s="368">
        <v>0</v>
      </c>
      <c r="FC121" s="368">
        <v>0</v>
      </c>
      <c r="FD121" s="368">
        <v>0</v>
      </c>
      <c r="FE121" s="368">
        <v>28377.02</v>
      </c>
      <c r="FF121" s="368">
        <v>14951.15</v>
      </c>
      <c r="FG121" s="368">
        <v>0</v>
      </c>
      <c r="FH121" s="368">
        <v>-739.2</v>
      </c>
      <c r="FI121" s="368">
        <v>0</v>
      </c>
      <c r="FJ121" s="368">
        <v>0</v>
      </c>
      <c r="FK121" s="368">
        <v>0</v>
      </c>
      <c r="FL121" s="368">
        <v>0</v>
      </c>
      <c r="FM121" s="368">
        <v>77243.19</v>
      </c>
      <c r="FN121" s="368">
        <v>49114.84</v>
      </c>
      <c r="FO121" s="323">
        <v>671752.82</v>
      </c>
      <c r="FP121" s="323">
        <v>45140.44</v>
      </c>
      <c r="FQ121" s="323">
        <v>716893.26</v>
      </c>
      <c r="FR121" s="338">
        <v>93060.12</v>
      </c>
      <c r="FS121" s="338">
        <v>-1363.27</v>
      </c>
      <c r="FT121" s="377">
        <v>91696.85</v>
      </c>
      <c r="FU121" s="377">
        <v>664253.30000000005</v>
      </c>
      <c r="FV121" s="377">
        <v>45604.76</v>
      </c>
      <c r="FW121" s="362">
        <v>709858.06</v>
      </c>
      <c r="FX121" s="362">
        <v>634763.75</v>
      </c>
      <c r="FY121" s="362">
        <v>39840.720000000001</v>
      </c>
      <c r="FZ121" s="362">
        <v>674604.47</v>
      </c>
      <c r="GA121" s="362">
        <v>122549.67</v>
      </c>
      <c r="GB121" s="362">
        <v>4400.7700000000004</v>
      </c>
      <c r="GC121" s="362">
        <v>126950.44</v>
      </c>
      <c r="GD121" s="362">
        <v>20383.509999999998</v>
      </c>
      <c r="GE121" s="362">
        <v>3238.23</v>
      </c>
      <c r="GF121" s="362">
        <v>23621.74</v>
      </c>
      <c r="GG121" s="202">
        <v>25796.6</v>
      </c>
      <c r="GH121" s="416">
        <v>93</v>
      </c>
      <c r="GI121" s="414">
        <v>1947</v>
      </c>
      <c r="GJ121" s="419">
        <v>125433.15</v>
      </c>
      <c r="GK121" s="396">
        <v>25796.6</v>
      </c>
      <c r="GL121" s="202">
        <v>23990.838</v>
      </c>
      <c r="GM121" s="202">
        <v>1805.7619999999999</v>
      </c>
      <c r="GN121" s="323">
        <v>-7499.52</v>
      </c>
      <c r="GO121" s="323">
        <v>464.32</v>
      </c>
      <c r="GP121" s="323">
        <v>-7035.2</v>
      </c>
      <c r="GQ121" s="323">
        <v>12883.99</v>
      </c>
      <c r="GR121" s="323">
        <v>3702.55</v>
      </c>
      <c r="GS121" s="323">
        <v>16586.54</v>
      </c>
    </row>
    <row r="122" spans="1:201" ht="12.75" customHeight="1" x14ac:dyDescent="0.2">
      <c r="A122" s="45" t="s">
        <v>188</v>
      </c>
      <c r="B122" s="51" t="s">
        <v>155</v>
      </c>
      <c r="C122" s="52" t="s">
        <v>34</v>
      </c>
      <c r="D122" s="388" t="s">
        <v>446</v>
      </c>
      <c r="E122" s="52" t="s">
        <v>12</v>
      </c>
      <c r="F122" s="11">
        <v>5</v>
      </c>
      <c r="G122" s="11">
        <v>3</v>
      </c>
      <c r="H122" s="11">
        <v>56</v>
      </c>
      <c r="I122" s="11">
        <v>57</v>
      </c>
      <c r="J122" s="11">
        <v>101</v>
      </c>
      <c r="K122" s="11">
        <v>107</v>
      </c>
      <c r="L122" s="11" t="s">
        <v>746</v>
      </c>
      <c r="M122" s="84">
        <v>183</v>
      </c>
      <c r="N122" s="84">
        <v>353.8</v>
      </c>
      <c r="O122" s="84">
        <v>353.8</v>
      </c>
      <c r="P122" s="135">
        <v>183</v>
      </c>
      <c r="Q122" s="135">
        <v>354.3</v>
      </c>
      <c r="R122" s="133">
        <v>354.3</v>
      </c>
      <c r="S122" s="133">
        <f t="shared" si="52"/>
        <v>891.6</v>
      </c>
      <c r="T122" s="134">
        <v>183</v>
      </c>
      <c r="U122" s="130">
        <v>1.53</v>
      </c>
      <c r="V122" s="91">
        <v>1.1299999999999999E-2</v>
      </c>
      <c r="W122" s="91" t="s">
        <v>823</v>
      </c>
      <c r="X122" s="132" t="s">
        <v>823</v>
      </c>
      <c r="Y122" s="91">
        <v>1.1299999999999999E-2</v>
      </c>
      <c r="Z122" s="29">
        <v>2319.65</v>
      </c>
      <c r="AA122" s="29">
        <v>219.6</v>
      </c>
      <c r="AB122" s="9">
        <f t="shared" si="29"/>
        <v>2539.25</v>
      </c>
      <c r="AC122" s="9">
        <f t="shared" si="55"/>
        <v>16073.45</v>
      </c>
      <c r="AD122" s="9">
        <v>0.36</v>
      </c>
      <c r="AE122" s="9">
        <v>3.43</v>
      </c>
      <c r="AF122" s="21">
        <f>2.44-AJ122</f>
        <v>2.1800000000000002</v>
      </c>
      <c r="AG122" s="18">
        <f>0.53-AQ122</f>
        <v>0.39</v>
      </c>
      <c r="AH122" s="9">
        <v>2.16</v>
      </c>
      <c r="AI122" s="13">
        <v>668</v>
      </c>
      <c r="AJ122" s="21">
        <f t="shared" si="30"/>
        <v>0.26</v>
      </c>
      <c r="AK122" s="9">
        <v>0</v>
      </c>
      <c r="AL122" s="9">
        <v>0</v>
      </c>
      <c r="AM122" s="9">
        <v>0.23</v>
      </c>
      <c r="AN122" s="13">
        <v>246</v>
      </c>
      <c r="AO122" s="13">
        <v>492</v>
      </c>
      <c r="AP122" s="13">
        <f t="shared" si="53"/>
        <v>5.58</v>
      </c>
      <c r="AQ122" s="18">
        <f t="shared" si="31"/>
        <v>0.14000000000000001</v>
      </c>
      <c r="AR122" s="9">
        <v>0.81</v>
      </c>
      <c r="AS122" s="9">
        <v>0.54</v>
      </c>
      <c r="AT122" s="9">
        <v>7.0000000000000007E-2</v>
      </c>
      <c r="AU122" s="9">
        <v>4.6500000000000004</v>
      </c>
      <c r="AV122" s="9">
        <v>0.11</v>
      </c>
      <c r="AW122" s="9">
        <f>0.95+0.32+0.41</f>
        <v>1.68</v>
      </c>
      <c r="AX122" s="9">
        <f>1.31+0.55</f>
        <v>1.86</v>
      </c>
      <c r="AY122" s="54">
        <f t="shared" si="54"/>
        <v>18.87</v>
      </c>
      <c r="AZ122" s="13">
        <v>18.87</v>
      </c>
      <c r="BA122" s="13">
        <f t="shared" si="32"/>
        <v>0</v>
      </c>
      <c r="BB122" s="9">
        <f t="shared" si="33"/>
        <v>47915.65</v>
      </c>
      <c r="BC122" s="9">
        <v>18.87</v>
      </c>
      <c r="BD122" s="10">
        <v>44378</v>
      </c>
      <c r="BE122" s="9">
        <f t="shared" si="34"/>
        <v>914.13</v>
      </c>
      <c r="BF122" s="9">
        <f t="shared" si="35"/>
        <v>8709.6299999999992</v>
      </c>
      <c r="BG122" s="9">
        <f t="shared" si="36"/>
        <v>5535.57</v>
      </c>
      <c r="BH122" s="9">
        <f t="shared" si="37"/>
        <v>990.31</v>
      </c>
      <c r="BI122" s="9">
        <f t="shared" si="38"/>
        <v>5484.78</v>
      </c>
      <c r="BJ122" s="9">
        <f t="shared" si="39"/>
        <v>660.21</v>
      </c>
      <c r="BK122" s="9">
        <f t="shared" si="40"/>
        <v>0</v>
      </c>
      <c r="BL122" s="9">
        <f t="shared" si="41"/>
        <v>0</v>
      </c>
      <c r="BM122" s="9">
        <f t="shared" si="42"/>
        <v>584.03</v>
      </c>
      <c r="BN122" s="9">
        <f t="shared" si="43"/>
        <v>355.5</v>
      </c>
      <c r="BO122" s="9">
        <f t="shared" si="44"/>
        <v>2056.79</v>
      </c>
      <c r="BP122" s="9">
        <f t="shared" si="45"/>
        <v>1371.2</v>
      </c>
      <c r="BQ122" s="9">
        <f t="shared" si="46"/>
        <v>177.75</v>
      </c>
      <c r="BR122" s="9">
        <f t="shared" si="47"/>
        <v>11807.51</v>
      </c>
      <c r="BS122" s="9">
        <f t="shared" si="48"/>
        <v>279.32</v>
      </c>
      <c r="BT122" s="9">
        <f t="shared" si="49"/>
        <v>4265.9399999999996</v>
      </c>
      <c r="BU122" s="9">
        <f t="shared" si="50"/>
        <v>4723.01</v>
      </c>
      <c r="BV122" s="17">
        <f t="shared" si="51"/>
        <v>47915.68</v>
      </c>
      <c r="BW122" s="17">
        <v>2.46</v>
      </c>
      <c r="BX122" s="17">
        <v>0.02</v>
      </c>
      <c r="BY122" s="173">
        <v>0</v>
      </c>
      <c r="BZ122" s="17">
        <v>0.01</v>
      </c>
      <c r="CA122" s="29">
        <v>6.33</v>
      </c>
      <c r="CB122" s="325"/>
      <c r="CC122" s="13">
        <v>49726.32</v>
      </c>
      <c r="CD122" s="13">
        <v>1128.71</v>
      </c>
      <c r="CE122" s="13">
        <v>6.59</v>
      </c>
      <c r="CF122" s="13">
        <v>2707.7</v>
      </c>
      <c r="CG122" s="13">
        <v>1550.4</v>
      </c>
      <c r="CH122" s="13">
        <v>0</v>
      </c>
      <c r="CI122" s="13">
        <v>8236.56</v>
      </c>
      <c r="CJ122" s="13">
        <v>22608</v>
      </c>
      <c r="CK122" s="13">
        <v>976.54</v>
      </c>
      <c r="CL122" s="13">
        <v>525248.73</v>
      </c>
      <c r="CM122" s="13">
        <v>11922.94</v>
      </c>
      <c r="CN122" s="13">
        <v>0</v>
      </c>
      <c r="CO122" s="13">
        <v>30989.51</v>
      </c>
      <c r="CP122" s="13">
        <v>16376.27</v>
      </c>
      <c r="CQ122" s="13">
        <v>0</v>
      </c>
      <c r="CR122" s="13">
        <v>494961.78</v>
      </c>
      <c r="CS122" s="13">
        <v>12609.78</v>
      </c>
      <c r="CT122" s="13">
        <v>0</v>
      </c>
      <c r="CU122" s="13">
        <v>37281.17</v>
      </c>
      <c r="CV122" s="13">
        <v>19496.62</v>
      </c>
      <c r="CW122" s="13">
        <v>0</v>
      </c>
      <c r="CX122" s="13">
        <v>103938.64</v>
      </c>
      <c r="CY122" s="13">
        <v>-576.05999999999995</v>
      </c>
      <c r="CZ122" s="13">
        <v>0</v>
      </c>
      <c r="DA122" s="13">
        <v>5556.77</v>
      </c>
      <c r="DB122" s="13">
        <v>2912.84</v>
      </c>
      <c r="DC122" s="13"/>
      <c r="DD122" s="315">
        <v>584537.44999999995</v>
      </c>
      <c r="DE122" s="317">
        <v>564349.35</v>
      </c>
      <c r="DF122" s="317">
        <v>96.55</v>
      </c>
      <c r="DG122" s="318">
        <v>111832.19</v>
      </c>
      <c r="DH122" s="310">
        <v>24372.48</v>
      </c>
      <c r="DI122" s="310">
        <v>13938.84</v>
      </c>
      <c r="DJ122" s="312">
        <v>0</v>
      </c>
      <c r="DK122" s="362">
        <v>0</v>
      </c>
      <c r="DL122" s="362"/>
      <c r="DM122" s="362">
        <v>0</v>
      </c>
      <c r="DN122" s="362">
        <v>0</v>
      </c>
      <c r="DO122" s="362">
        <v>0</v>
      </c>
      <c r="DP122" s="362">
        <v>10621.2</v>
      </c>
      <c r="DQ122" s="362">
        <v>65880</v>
      </c>
      <c r="DR122" s="362"/>
      <c r="DS122" s="362">
        <v>41600</v>
      </c>
      <c r="DT122" s="362"/>
      <c r="DU122" s="362">
        <v>0</v>
      </c>
      <c r="DV122" s="362">
        <v>0</v>
      </c>
      <c r="DW122" s="362">
        <v>0</v>
      </c>
      <c r="DX122" s="362">
        <v>0</v>
      </c>
      <c r="DY122" s="362">
        <v>0</v>
      </c>
      <c r="DZ122" s="375">
        <v>0</v>
      </c>
      <c r="EA122" s="362">
        <v>0</v>
      </c>
      <c r="EB122" s="362">
        <v>0</v>
      </c>
      <c r="EC122" s="362"/>
      <c r="ED122" s="362">
        <v>128967.78</v>
      </c>
      <c r="EE122" s="362">
        <v>9220</v>
      </c>
      <c r="EF122" s="362"/>
      <c r="EG122" s="362">
        <v>0</v>
      </c>
      <c r="EH122" s="362">
        <v>0</v>
      </c>
      <c r="EI122" s="362"/>
      <c r="EJ122" s="362">
        <v>0</v>
      </c>
      <c r="EK122" s="362"/>
      <c r="EL122" s="362">
        <v>0</v>
      </c>
      <c r="EM122" s="362">
        <v>4118.04</v>
      </c>
      <c r="EN122" s="362">
        <v>0</v>
      </c>
      <c r="EO122" s="362">
        <v>0</v>
      </c>
      <c r="EP122" s="362">
        <v>135954</v>
      </c>
      <c r="EQ122" s="362">
        <v>0</v>
      </c>
      <c r="ER122" s="362">
        <v>16380</v>
      </c>
      <c r="ES122" s="362">
        <v>2885</v>
      </c>
      <c r="ET122" s="362">
        <v>10567</v>
      </c>
      <c r="EU122" s="362">
        <v>0</v>
      </c>
      <c r="EV122" s="362">
        <v>45762.06</v>
      </c>
      <c r="EW122" s="362"/>
      <c r="EX122" s="202"/>
      <c r="EY122" s="202"/>
      <c r="EZ122" s="229"/>
      <c r="FA122" s="368">
        <v>13288.32</v>
      </c>
      <c r="FB122" s="368">
        <v>0</v>
      </c>
      <c r="FC122" s="368">
        <v>0</v>
      </c>
      <c r="FD122" s="368">
        <v>0</v>
      </c>
      <c r="FE122" s="368">
        <v>32844.160000000003</v>
      </c>
      <c r="FF122" s="368">
        <v>17241.97</v>
      </c>
      <c r="FG122" s="368">
        <v>-5026.47</v>
      </c>
      <c r="FH122" s="368">
        <v>-3281.17</v>
      </c>
      <c r="FI122" s="368">
        <v>0</v>
      </c>
      <c r="FJ122" s="368">
        <v>0</v>
      </c>
      <c r="FK122" s="368">
        <v>0</v>
      </c>
      <c r="FL122" s="368">
        <v>0</v>
      </c>
      <c r="FM122" s="368">
        <v>67885.440000000002</v>
      </c>
      <c r="FN122" s="368">
        <v>43164.73</v>
      </c>
      <c r="FO122" s="323">
        <v>621316.56999999995</v>
      </c>
      <c r="FP122" s="323">
        <v>55066.81</v>
      </c>
      <c r="FQ122" s="323">
        <v>676383.38</v>
      </c>
      <c r="FR122" s="338">
        <v>89901.88</v>
      </c>
      <c r="FS122" s="338">
        <v>11320.17</v>
      </c>
      <c r="FT122" s="377">
        <v>101222.05</v>
      </c>
      <c r="FU122" s="377">
        <v>605819.61</v>
      </c>
      <c r="FV122" s="377">
        <v>65658.66</v>
      </c>
      <c r="FW122" s="362">
        <v>671478.27</v>
      </c>
      <c r="FX122" s="362">
        <v>591614.19999999995</v>
      </c>
      <c r="FY122" s="362">
        <v>69066.539999999994</v>
      </c>
      <c r="FZ122" s="362">
        <v>660680.74</v>
      </c>
      <c r="GA122" s="362">
        <v>104107.29</v>
      </c>
      <c r="GB122" s="362">
        <v>7912.29</v>
      </c>
      <c r="GC122" s="362">
        <v>112019.58</v>
      </c>
      <c r="GD122" s="362">
        <v>63234.96</v>
      </c>
      <c r="GE122" s="362">
        <v>-5640.06</v>
      </c>
      <c r="GF122" s="362">
        <v>57594.9</v>
      </c>
      <c r="GG122" s="202">
        <v>187.39</v>
      </c>
      <c r="GH122" s="416">
        <v>90</v>
      </c>
      <c r="GI122" s="414">
        <v>2019.55</v>
      </c>
      <c r="GJ122" s="419">
        <v>55119.72</v>
      </c>
      <c r="GK122" s="396">
        <v>187.39</v>
      </c>
      <c r="GL122" s="202">
        <v>168.65100000000001</v>
      </c>
      <c r="GM122" s="202">
        <v>18.739000000000001</v>
      </c>
      <c r="GN122" s="323">
        <v>-15496.96</v>
      </c>
      <c r="GO122" s="323">
        <v>10591.85</v>
      </c>
      <c r="GP122" s="323">
        <v>-4905.1099999999997</v>
      </c>
      <c r="GQ122" s="323">
        <v>47738</v>
      </c>
      <c r="GR122" s="323">
        <v>4951.79</v>
      </c>
      <c r="GS122" s="323">
        <v>52689.79</v>
      </c>
    </row>
    <row r="123" spans="1:201" ht="12.75" customHeight="1" x14ac:dyDescent="0.2">
      <c r="A123" s="45" t="s">
        <v>189</v>
      </c>
      <c r="B123" s="55" t="s">
        <v>155</v>
      </c>
      <c r="C123" s="56" t="s">
        <v>37</v>
      </c>
      <c r="D123" s="388" t="s">
        <v>447</v>
      </c>
      <c r="E123" s="56" t="s">
        <v>12</v>
      </c>
      <c r="F123" s="11">
        <v>5</v>
      </c>
      <c r="G123" s="11">
        <v>2</v>
      </c>
      <c r="H123" s="11">
        <v>40</v>
      </c>
      <c r="I123" s="11">
        <v>40</v>
      </c>
      <c r="J123" s="11">
        <v>69</v>
      </c>
      <c r="K123" s="11">
        <v>91</v>
      </c>
      <c r="L123" s="11" t="s">
        <v>746</v>
      </c>
      <c r="M123" s="84">
        <v>170</v>
      </c>
      <c r="N123" s="84">
        <v>247</v>
      </c>
      <c r="O123" s="84">
        <v>247</v>
      </c>
      <c r="P123" s="139">
        <v>122</v>
      </c>
      <c r="Q123" s="135">
        <v>333.7</v>
      </c>
      <c r="R123" s="133">
        <v>333.7</v>
      </c>
      <c r="S123" s="133">
        <f t="shared" si="52"/>
        <v>789.4</v>
      </c>
      <c r="T123" s="139">
        <v>170</v>
      </c>
      <c r="U123" s="130">
        <v>1.53</v>
      </c>
      <c r="V123" s="91">
        <v>1.1299999999999999E-2</v>
      </c>
      <c r="W123" s="91" t="s">
        <v>823</v>
      </c>
      <c r="X123" s="132" t="s">
        <v>823</v>
      </c>
      <c r="Y123" s="91">
        <v>1.1299999999999999E-2</v>
      </c>
      <c r="Z123" s="29">
        <v>1452.53</v>
      </c>
      <c r="AA123" s="29">
        <v>166.7</v>
      </c>
      <c r="AB123" s="9">
        <f t="shared" si="29"/>
        <v>1619.23</v>
      </c>
      <c r="AC123" s="9">
        <f t="shared" si="55"/>
        <v>10249.73</v>
      </c>
      <c r="AD123" s="9">
        <v>0.51</v>
      </c>
      <c r="AE123" s="9">
        <v>3.1</v>
      </c>
      <c r="AF123" s="21">
        <f>2.44-AJ123</f>
        <v>2.1</v>
      </c>
      <c r="AG123" s="18">
        <f>0.54-AQ123</f>
        <v>0.4</v>
      </c>
      <c r="AH123" s="9">
        <v>2.16</v>
      </c>
      <c r="AI123" s="13">
        <v>545</v>
      </c>
      <c r="AJ123" s="21">
        <f t="shared" si="30"/>
        <v>0.34</v>
      </c>
      <c r="AK123" s="9">
        <v>0</v>
      </c>
      <c r="AL123" s="9">
        <v>0</v>
      </c>
      <c r="AM123" s="9">
        <v>0.36</v>
      </c>
      <c r="AN123" s="13">
        <v>164</v>
      </c>
      <c r="AO123" s="13">
        <v>328</v>
      </c>
      <c r="AP123" s="13">
        <f t="shared" si="53"/>
        <v>5.58</v>
      </c>
      <c r="AQ123" s="18">
        <f t="shared" si="31"/>
        <v>0.14000000000000001</v>
      </c>
      <c r="AR123" s="9">
        <v>0.83</v>
      </c>
      <c r="AS123" s="9">
        <v>0.84</v>
      </c>
      <c r="AT123" s="9">
        <v>7.0000000000000007E-2</v>
      </c>
      <c r="AU123" s="9">
        <v>4.6500000000000004</v>
      </c>
      <c r="AV123" s="9">
        <v>0.11</v>
      </c>
      <c r="AW123" s="9">
        <f>0.35+0.97+0.4</f>
        <v>1.72</v>
      </c>
      <c r="AX123" s="9">
        <f>1.36+0.55</f>
        <v>1.91</v>
      </c>
      <c r="AY123" s="58">
        <f t="shared" si="54"/>
        <v>19.239999999999998</v>
      </c>
      <c r="AZ123" s="13">
        <v>19.239999999999998</v>
      </c>
      <c r="BA123" s="13">
        <f t="shared" si="32"/>
        <v>0</v>
      </c>
      <c r="BB123" s="9">
        <f t="shared" si="33"/>
        <v>31153.99</v>
      </c>
      <c r="BC123" s="9">
        <v>19.239999999999998</v>
      </c>
      <c r="BD123" s="10">
        <v>44378</v>
      </c>
      <c r="BE123" s="9">
        <f t="shared" si="34"/>
        <v>825.81</v>
      </c>
      <c r="BF123" s="9">
        <f t="shared" si="35"/>
        <v>5019.6099999999997</v>
      </c>
      <c r="BG123" s="9">
        <f t="shared" si="36"/>
        <v>3400.38</v>
      </c>
      <c r="BH123" s="9">
        <f t="shared" si="37"/>
        <v>647.69000000000005</v>
      </c>
      <c r="BI123" s="9">
        <f t="shared" si="38"/>
        <v>3497.54</v>
      </c>
      <c r="BJ123" s="9">
        <f t="shared" si="39"/>
        <v>550.54</v>
      </c>
      <c r="BK123" s="9">
        <f t="shared" si="40"/>
        <v>0</v>
      </c>
      <c r="BL123" s="9">
        <f t="shared" si="41"/>
        <v>0</v>
      </c>
      <c r="BM123" s="9">
        <f t="shared" si="42"/>
        <v>582.91999999999996</v>
      </c>
      <c r="BN123" s="9">
        <f t="shared" si="43"/>
        <v>226.69</v>
      </c>
      <c r="BO123" s="9">
        <f t="shared" si="44"/>
        <v>1343.96</v>
      </c>
      <c r="BP123" s="9">
        <f t="shared" si="45"/>
        <v>1360.15</v>
      </c>
      <c r="BQ123" s="9">
        <f t="shared" si="46"/>
        <v>113.35</v>
      </c>
      <c r="BR123" s="9">
        <f t="shared" si="47"/>
        <v>7529.42</v>
      </c>
      <c r="BS123" s="9">
        <f t="shared" si="48"/>
        <v>178.12</v>
      </c>
      <c r="BT123" s="9">
        <f t="shared" si="49"/>
        <v>2785.08</v>
      </c>
      <c r="BU123" s="9">
        <f t="shared" si="50"/>
        <v>3092.73</v>
      </c>
      <c r="BV123" s="17">
        <f t="shared" si="51"/>
        <v>31153.99</v>
      </c>
      <c r="BW123" s="17">
        <v>3.43</v>
      </c>
      <c r="BX123" s="17">
        <v>0.02</v>
      </c>
      <c r="BY123" s="173">
        <v>0</v>
      </c>
      <c r="BZ123" s="17">
        <v>0.01</v>
      </c>
      <c r="CA123" s="29">
        <v>6.33</v>
      </c>
      <c r="CB123" s="325"/>
      <c r="CC123" s="13">
        <v>38487.72</v>
      </c>
      <c r="CD123" s="13">
        <v>1650.35</v>
      </c>
      <c r="CE123" s="13">
        <v>0</v>
      </c>
      <c r="CF123" s="13">
        <v>208.37</v>
      </c>
      <c r="CG123" s="13">
        <v>108.36</v>
      </c>
      <c r="CH123" s="13">
        <v>0</v>
      </c>
      <c r="CI123" s="13">
        <v>1890.28</v>
      </c>
      <c r="CJ123" s="13">
        <v>22608</v>
      </c>
      <c r="CK123" s="13">
        <v>622.74</v>
      </c>
      <c r="CL123" s="13">
        <v>335360.28000000003</v>
      </c>
      <c r="CM123" s="13">
        <v>11024.82</v>
      </c>
      <c r="CN123" s="13">
        <v>0</v>
      </c>
      <c r="CO123" s="13">
        <v>1815.66</v>
      </c>
      <c r="CP123" s="13">
        <v>944.14</v>
      </c>
      <c r="CQ123" s="13">
        <v>0</v>
      </c>
      <c r="CR123" s="13">
        <v>336087.83</v>
      </c>
      <c r="CS123" s="13">
        <v>12897.47</v>
      </c>
      <c r="CT123" s="13">
        <v>0</v>
      </c>
      <c r="CU123" s="13">
        <v>6431.05</v>
      </c>
      <c r="CV123" s="13">
        <v>3302.32</v>
      </c>
      <c r="CW123" s="13">
        <v>0</v>
      </c>
      <c r="CX123" s="13">
        <v>49627.18</v>
      </c>
      <c r="CY123" s="13">
        <v>-2465.4</v>
      </c>
      <c r="CZ123" s="13">
        <v>0</v>
      </c>
      <c r="DA123" s="13">
        <v>611.73</v>
      </c>
      <c r="DB123" s="13">
        <v>316.26</v>
      </c>
      <c r="DC123" s="13"/>
      <c r="DD123" s="315">
        <v>349144.9</v>
      </c>
      <c r="DE123" s="317">
        <v>358718.67</v>
      </c>
      <c r="DF123" s="317">
        <v>102.74</v>
      </c>
      <c r="DG123" s="318">
        <v>48089.77</v>
      </c>
      <c r="DH123" s="310">
        <v>15262.32</v>
      </c>
      <c r="DI123" s="310">
        <v>8728.68</v>
      </c>
      <c r="DJ123" s="312">
        <v>0</v>
      </c>
      <c r="DK123" s="362">
        <v>0</v>
      </c>
      <c r="DL123" s="362"/>
      <c r="DM123" s="362">
        <v>0</v>
      </c>
      <c r="DN123" s="362">
        <v>0</v>
      </c>
      <c r="DO123" s="362">
        <v>0</v>
      </c>
      <c r="DP123" s="362">
        <v>8665.5</v>
      </c>
      <c r="DQ123" s="362">
        <v>27000</v>
      </c>
      <c r="DR123" s="362"/>
      <c r="DS123" s="362">
        <v>27500</v>
      </c>
      <c r="DT123" s="362"/>
      <c r="DU123" s="362">
        <v>0</v>
      </c>
      <c r="DV123" s="362">
        <v>0</v>
      </c>
      <c r="DW123" s="362">
        <v>0</v>
      </c>
      <c r="DX123" s="362">
        <v>0</v>
      </c>
      <c r="DY123" s="362">
        <v>0</v>
      </c>
      <c r="DZ123" s="375">
        <v>0</v>
      </c>
      <c r="EA123" s="362">
        <v>0</v>
      </c>
      <c r="EB123" s="362">
        <v>0</v>
      </c>
      <c r="EC123" s="362"/>
      <c r="ED123" s="362">
        <v>78315</v>
      </c>
      <c r="EE123" s="362">
        <v>8500</v>
      </c>
      <c r="EF123" s="362"/>
      <c r="EG123" s="362">
        <v>0</v>
      </c>
      <c r="EH123" s="362">
        <v>0</v>
      </c>
      <c r="EI123" s="362"/>
      <c r="EJ123" s="362">
        <v>0</v>
      </c>
      <c r="EK123" s="362"/>
      <c r="EL123" s="362">
        <v>0</v>
      </c>
      <c r="EM123" s="362">
        <v>2745.36</v>
      </c>
      <c r="EN123" s="362">
        <v>0</v>
      </c>
      <c r="EO123" s="362">
        <v>0</v>
      </c>
      <c r="EP123" s="362">
        <v>85140</v>
      </c>
      <c r="EQ123" s="362">
        <v>0</v>
      </c>
      <c r="ER123" s="362">
        <v>15015</v>
      </c>
      <c r="ES123" s="362">
        <v>6924</v>
      </c>
      <c r="ET123" s="362">
        <v>6974</v>
      </c>
      <c r="EU123" s="362">
        <v>0</v>
      </c>
      <c r="EV123" s="362">
        <v>9285.85</v>
      </c>
      <c r="EW123" s="362"/>
      <c r="EX123" s="202"/>
      <c r="EY123" s="202"/>
      <c r="EZ123" s="229"/>
      <c r="FA123" s="368">
        <v>12344.32</v>
      </c>
      <c r="FB123" s="368">
        <v>0</v>
      </c>
      <c r="FC123" s="368">
        <v>0</v>
      </c>
      <c r="FD123" s="368">
        <v>0</v>
      </c>
      <c r="FE123" s="368">
        <v>7647.79</v>
      </c>
      <c r="FF123" s="368">
        <v>4003.88</v>
      </c>
      <c r="FG123" s="368">
        <v>-5620.99</v>
      </c>
      <c r="FH123" s="368">
        <v>-3357.06</v>
      </c>
      <c r="FI123" s="368">
        <v>0</v>
      </c>
      <c r="FJ123" s="368">
        <v>0</v>
      </c>
      <c r="FK123" s="368">
        <v>0</v>
      </c>
      <c r="FL123" s="368">
        <v>0</v>
      </c>
      <c r="FM123" s="368">
        <v>43290.19</v>
      </c>
      <c r="FN123" s="368">
        <v>27525.95</v>
      </c>
      <c r="FO123" s="323">
        <v>370871.85</v>
      </c>
      <c r="FP123" s="323">
        <v>15017.94</v>
      </c>
      <c r="FQ123" s="323">
        <v>385889.79</v>
      </c>
      <c r="FR123" s="338">
        <v>46954.47</v>
      </c>
      <c r="FS123" s="338">
        <v>-780.47</v>
      </c>
      <c r="FT123" s="377">
        <v>46174</v>
      </c>
      <c r="FU123" s="377">
        <v>398346.28</v>
      </c>
      <c r="FV123" s="377">
        <v>16374.44</v>
      </c>
      <c r="FW123" s="362">
        <v>414720.72</v>
      </c>
      <c r="FX123" s="362">
        <v>393361.43</v>
      </c>
      <c r="FY123" s="362">
        <v>17009.689999999999</v>
      </c>
      <c r="FZ123" s="362">
        <v>410371.12</v>
      </c>
      <c r="GA123" s="362">
        <v>51939.32</v>
      </c>
      <c r="GB123" s="362">
        <v>-1415.72</v>
      </c>
      <c r="GC123" s="362">
        <v>50523.6</v>
      </c>
      <c r="GD123" s="362">
        <v>45286.12</v>
      </c>
      <c r="GE123" s="362">
        <v>2760.63</v>
      </c>
      <c r="GF123" s="362">
        <v>48046.75</v>
      </c>
      <c r="GG123" s="202">
        <v>2433.83</v>
      </c>
      <c r="GH123" s="416">
        <v>95</v>
      </c>
      <c r="GI123" s="414">
        <v>2019.55</v>
      </c>
      <c r="GJ123" s="419">
        <v>40454.800000000003</v>
      </c>
      <c r="GK123" s="396">
        <v>2433.83</v>
      </c>
      <c r="GL123" s="202">
        <v>2312.1385</v>
      </c>
      <c r="GM123" s="202">
        <v>121.6915</v>
      </c>
      <c r="GN123" s="323">
        <v>27474.43</v>
      </c>
      <c r="GO123" s="323">
        <v>1356.5</v>
      </c>
      <c r="GP123" s="323">
        <v>28830.93</v>
      </c>
      <c r="GQ123" s="323">
        <v>72760.55</v>
      </c>
      <c r="GR123" s="323">
        <v>4117.13</v>
      </c>
      <c r="GS123" s="323">
        <v>76877.679999999993</v>
      </c>
    </row>
    <row r="124" spans="1:201" ht="12.75" customHeight="1" x14ac:dyDescent="0.2">
      <c r="A124" s="45" t="s">
        <v>190</v>
      </c>
      <c r="B124" s="55" t="s">
        <v>155</v>
      </c>
      <c r="C124" s="56" t="s">
        <v>106</v>
      </c>
      <c r="D124" s="388" t="s">
        <v>448</v>
      </c>
      <c r="E124" s="56" t="s">
        <v>12</v>
      </c>
      <c r="F124" s="11">
        <v>5</v>
      </c>
      <c r="G124" s="11">
        <v>2</v>
      </c>
      <c r="H124" s="11">
        <v>40</v>
      </c>
      <c r="I124" s="11">
        <v>40</v>
      </c>
      <c r="J124" s="11">
        <v>54</v>
      </c>
      <c r="K124" s="11">
        <v>67</v>
      </c>
      <c r="L124" s="11" t="s">
        <v>746</v>
      </c>
      <c r="M124" s="84">
        <v>171</v>
      </c>
      <c r="N124" s="84">
        <v>240</v>
      </c>
      <c r="O124" s="84">
        <v>240</v>
      </c>
      <c r="P124" s="139">
        <f>96.5+19</f>
        <v>115.5</v>
      </c>
      <c r="Q124" s="135">
        <v>328.5</v>
      </c>
      <c r="R124" s="133">
        <v>328.5</v>
      </c>
      <c r="S124" s="133">
        <f t="shared" si="52"/>
        <v>772.5</v>
      </c>
      <c r="T124" s="139">
        <v>171</v>
      </c>
      <c r="U124" s="130">
        <v>1.53</v>
      </c>
      <c r="V124" s="131">
        <v>1.1299999999999999E-2</v>
      </c>
      <c r="W124" s="131" t="s">
        <v>823</v>
      </c>
      <c r="X124" s="132" t="s">
        <v>823</v>
      </c>
      <c r="Y124" s="131">
        <v>1.1299999999999999E-2</v>
      </c>
      <c r="Z124" s="29">
        <v>1300.4100000000001</v>
      </c>
      <c r="AA124" s="29">
        <v>282</v>
      </c>
      <c r="AB124" s="9">
        <f t="shared" si="29"/>
        <v>1582.41</v>
      </c>
      <c r="AC124" s="9">
        <f t="shared" si="55"/>
        <v>10016.66</v>
      </c>
      <c r="AD124" s="9">
        <v>0.52</v>
      </c>
      <c r="AE124" s="9">
        <v>3.07</v>
      </c>
      <c r="AF124" s="21">
        <f>2.44-AJ124</f>
        <v>2.1</v>
      </c>
      <c r="AG124" s="18">
        <f>0.54-AQ124</f>
        <v>0.4</v>
      </c>
      <c r="AH124" s="9">
        <v>2.16</v>
      </c>
      <c r="AI124" s="13">
        <v>545</v>
      </c>
      <c r="AJ124" s="21">
        <f t="shared" si="30"/>
        <v>0.34</v>
      </c>
      <c r="AK124" s="9">
        <v>0</v>
      </c>
      <c r="AL124" s="9">
        <v>0</v>
      </c>
      <c r="AM124" s="9">
        <v>0.36</v>
      </c>
      <c r="AN124" s="13">
        <v>164</v>
      </c>
      <c r="AO124" s="13">
        <v>328</v>
      </c>
      <c r="AP124" s="13">
        <f t="shared" si="53"/>
        <v>5.58</v>
      </c>
      <c r="AQ124" s="18">
        <f t="shared" si="31"/>
        <v>0.14000000000000001</v>
      </c>
      <c r="AR124" s="9">
        <v>0.82</v>
      </c>
      <c r="AS124" s="9">
        <v>0.86</v>
      </c>
      <c r="AT124" s="9">
        <v>7.0000000000000007E-2</v>
      </c>
      <c r="AU124" s="9">
        <v>4.6399999999999997</v>
      </c>
      <c r="AV124" s="9">
        <v>0.11</v>
      </c>
      <c r="AW124" s="9">
        <f>0.36+0.97+0.41</f>
        <v>1.74</v>
      </c>
      <c r="AX124" s="9">
        <f>1.36+0.55</f>
        <v>1.91</v>
      </c>
      <c r="AY124" s="58">
        <f t="shared" si="54"/>
        <v>19.239999999999998</v>
      </c>
      <c r="AZ124" s="13">
        <v>19.239999999999998</v>
      </c>
      <c r="BA124" s="13">
        <f t="shared" si="32"/>
        <v>0</v>
      </c>
      <c r="BB124" s="9">
        <f t="shared" si="33"/>
        <v>30445.57</v>
      </c>
      <c r="BC124" s="9">
        <v>19.239999999999998</v>
      </c>
      <c r="BD124" s="10">
        <v>44378</v>
      </c>
      <c r="BE124" s="9">
        <f t="shared" si="34"/>
        <v>822.85</v>
      </c>
      <c r="BF124" s="9">
        <f t="shared" si="35"/>
        <v>4858</v>
      </c>
      <c r="BG124" s="9">
        <f t="shared" si="36"/>
        <v>3323.06</v>
      </c>
      <c r="BH124" s="9">
        <f t="shared" si="37"/>
        <v>632.96</v>
      </c>
      <c r="BI124" s="9">
        <f t="shared" si="38"/>
        <v>3418.01</v>
      </c>
      <c r="BJ124" s="9">
        <f t="shared" si="39"/>
        <v>538.02</v>
      </c>
      <c r="BK124" s="9">
        <f t="shared" si="40"/>
        <v>0</v>
      </c>
      <c r="BL124" s="9">
        <f t="shared" si="41"/>
        <v>0</v>
      </c>
      <c r="BM124" s="9">
        <f t="shared" si="42"/>
        <v>569.66999999999996</v>
      </c>
      <c r="BN124" s="9">
        <f t="shared" si="43"/>
        <v>221.54</v>
      </c>
      <c r="BO124" s="9">
        <f t="shared" si="44"/>
        <v>1297.58</v>
      </c>
      <c r="BP124" s="9">
        <f t="shared" si="45"/>
        <v>1360.87</v>
      </c>
      <c r="BQ124" s="9">
        <f t="shared" si="46"/>
        <v>110.77</v>
      </c>
      <c r="BR124" s="9">
        <f t="shared" si="47"/>
        <v>7342.38</v>
      </c>
      <c r="BS124" s="9">
        <f t="shared" si="48"/>
        <v>174.07</v>
      </c>
      <c r="BT124" s="9">
        <f t="shared" si="49"/>
        <v>2753.39</v>
      </c>
      <c r="BU124" s="9">
        <f t="shared" si="50"/>
        <v>3022.4</v>
      </c>
      <c r="BV124" s="17">
        <f t="shared" si="51"/>
        <v>30445.57</v>
      </c>
      <c r="BW124" s="17">
        <v>3.44</v>
      </c>
      <c r="BX124" s="17">
        <v>0.02</v>
      </c>
      <c r="BY124" s="173">
        <v>0</v>
      </c>
      <c r="BZ124" s="17">
        <v>0.01</v>
      </c>
      <c r="CA124" s="29">
        <v>6.33</v>
      </c>
      <c r="CB124" s="325"/>
      <c r="CC124" s="13">
        <v>65108.04</v>
      </c>
      <c r="CD124" s="13">
        <v>2828.49</v>
      </c>
      <c r="CE124" s="13">
        <v>298.93</v>
      </c>
      <c r="CF124" s="13">
        <v>2442.1</v>
      </c>
      <c r="CG124" s="13">
        <v>1469.26</v>
      </c>
      <c r="CH124" s="13">
        <v>0</v>
      </c>
      <c r="CI124" s="13">
        <v>3048.76</v>
      </c>
      <c r="CJ124" s="13">
        <v>22608</v>
      </c>
      <c r="CK124" s="13">
        <v>608.58000000000004</v>
      </c>
      <c r="CL124" s="13">
        <v>300238.56</v>
      </c>
      <c r="CM124" s="13">
        <v>10026.14</v>
      </c>
      <c r="CN124" s="13">
        <v>0</v>
      </c>
      <c r="CO124" s="13">
        <v>12640.07</v>
      </c>
      <c r="CP124" s="13">
        <v>6775.26</v>
      </c>
      <c r="CQ124" s="13">
        <v>0</v>
      </c>
      <c r="CR124" s="13">
        <v>289663.95</v>
      </c>
      <c r="CS124" s="13">
        <v>10844.05</v>
      </c>
      <c r="CT124" s="13">
        <v>0</v>
      </c>
      <c r="CU124" s="13">
        <v>9324.73</v>
      </c>
      <c r="CV124" s="13">
        <v>5290.9</v>
      </c>
      <c r="CW124" s="13">
        <v>0</v>
      </c>
      <c r="CX124" s="13">
        <v>39814.47</v>
      </c>
      <c r="CY124" s="13">
        <v>-1423.56</v>
      </c>
      <c r="CZ124" s="13">
        <v>0</v>
      </c>
      <c r="DA124" s="13">
        <v>2007.52</v>
      </c>
      <c r="DB124" s="13">
        <v>1088.1199999999999</v>
      </c>
      <c r="DC124" s="13"/>
      <c r="DD124" s="315">
        <v>329680.03000000003</v>
      </c>
      <c r="DE124" s="317">
        <v>315123.63</v>
      </c>
      <c r="DF124" s="317">
        <v>95.58</v>
      </c>
      <c r="DG124" s="318">
        <v>41486.550000000003</v>
      </c>
      <c r="DH124" s="310">
        <v>13663.92</v>
      </c>
      <c r="DI124" s="310">
        <v>7814.52</v>
      </c>
      <c r="DJ124" s="312">
        <v>0</v>
      </c>
      <c r="DK124" s="362">
        <v>0</v>
      </c>
      <c r="DL124" s="362"/>
      <c r="DM124" s="362">
        <v>0</v>
      </c>
      <c r="DN124" s="362">
        <v>0</v>
      </c>
      <c r="DO124" s="362">
        <v>0</v>
      </c>
      <c r="DP124" s="362">
        <v>8665.5</v>
      </c>
      <c r="DQ124" s="362">
        <v>84915</v>
      </c>
      <c r="DR124" s="362"/>
      <c r="DS124" s="362">
        <v>19800</v>
      </c>
      <c r="DT124" s="362"/>
      <c r="DU124" s="362">
        <v>0</v>
      </c>
      <c r="DV124" s="362">
        <v>0</v>
      </c>
      <c r="DW124" s="362">
        <v>0</v>
      </c>
      <c r="DX124" s="362">
        <v>0</v>
      </c>
      <c r="DY124" s="362">
        <v>0</v>
      </c>
      <c r="DZ124" s="375">
        <v>0</v>
      </c>
      <c r="EA124" s="362">
        <v>0</v>
      </c>
      <c r="EB124" s="362">
        <v>0</v>
      </c>
      <c r="EC124" s="362"/>
      <c r="ED124" s="362">
        <v>76489.919999999998</v>
      </c>
      <c r="EE124" s="362">
        <v>8500</v>
      </c>
      <c r="EF124" s="362"/>
      <c r="EG124" s="362">
        <v>0</v>
      </c>
      <c r="EH124" s="362">
        <v>0</v>
      </c>
      <c r="EI124" s="362"/>
      <c r="EJ124" s="362">
        <v>0</v>
      </c>
      <c r="EK124" s="362"/>
      <c r="EL124" s="362">
        <v>0</v>
      </c>
      <c r="EM124" s="362">
        <v>2745.36</v>
      </c>
      <c r="EN124" s="362">
        <v>0</v>
      </c>
      <c r="EO124" s="362">
        <v>0</v>
      </c>
      <c r="EP124" s="362">
        <v>83520</v>
      </c>
      <c r="EQ124" s="362">
        <v>0</v>
      </c>
      <c r="ER124" s="362">
        <v>16380</v>
      </c>
      <c r="ES124" s="362">
        <v>6924</v>
      </c>
      <c r="ET124" s="362">
        <v>6868</v>
      </c>
      <c r="EU124" s="362">
        <v>0</v>
      </c>
      <c r="EV124" s="362">
        <v>11602.89</v>
      </c>
      <c r="EW124" s="362"/>
      <c r="EX124" s="202"/>
      <c r="EY124" s="202"/>
      <c r="EZ124" s="229"/>
      <c r="FA124" s="368">
        <v>12416.93</v>
      </c>
      <c r="FB124" s="368">
        <v>0</v>
      </c>
      <c r="FC124" s="368">
        <v>0</v>
      </c>
      <c r="FD124" s="368">
        <v>0</v>
      </c>
      <c r="FE124" s="368">
        <v>19122.22</v>
      </c>
      <c r="FF124" s="368">
        <v>10259.19</v>
      </c>
      <c r="FG124" s="368">
        <v>0</v>
      </c>
      <c r="FH124" s="368">
        <v>-404.86</v>
      </c>
      <c r="FI124" s="368">
        <v>0</v>
      </c>
      <c r="FJ124" s="368">
        <v>0</v>
      </c>
      <c r="FK124" s="368">
        <v>0</v>
      </c>
      <c r="FL124" s="368">
        <v>0</v>
      </c>
      <c r="FM124" s="368">
        <v>42305.84</v>
      </c>
      <c r="FN124" s="368">
        <v>26900.03</v>
      </c>
      <c r="FO124" s="323">
        <v>417094.98</v>
      </c>
      <c r="FP124" s="323">
        <v>41393.480000000003</v>
      </c>
      <c r="FQ124" s="323">
        <v>458488.46</v>
      </c>
      <c r="FR124" s="338">
        <v>51866.31</v>
      </c>
      <c r="FS124" s="338">
        <v>233.05</v>
      </c>
      <c r="FT124" s="377">
        <v>52099.360000000001</v>
      </c>
      <c r="FU124" s="377">
        <v>391003.36</v>
      </c>
      <c r="FV124" s="377">
        <v>37088.83</v>
      </c>
      <c r="FW124" s="362">
        <v>428092.19</v>
      </c>
      <c r="FX124" s="362">
        <v>389771.95</v>
      </c>
      <c r="FY124" s="362">
        <v>34173.879999999997</v>
      </c>
      <c r="FZ124" s="362">
        <v>423945.83</v>
      </c>
      <c r="GA124" s="362">
        <v>53097.72</v>
      </c>
      <c r="GB124" s="362">
        <v>3148</v>
      </c>
      <c r="GC124" s="362">
        <v>56245.72</v>
      </c>
      <c r="GD124" s="362">
        <v>48414.15</v>
      </c>
      <c r="GE124" s="362">
        <v>2544.89</v>
      </c>
      <c r="GF124" s="362">
        <v>50959.040000000001</v>
      </c>
      <c r="GG124" s="202">
        <v>14759.17</v>
      </c>
      <c r="GH124" s="416">
        <v>90</v>
      </c>
      <c r="GI124" s="414">
        <v>2019.55</v>
      </c>
      <c r="GJ124" s="419">
        <v>72146.820000000007</v>
      </c>
      <c r="GK124" s="396">
        <v>14759.17</v>
      </c>
      <c r="GL124" s="202">
        <v>13283.253000000001</v>
      </c>
      <c r="GM124" s="202">
        <v>1475.9169999999999</v>
      </c>
      <c r="GN124" s="323">
        <v>-26091.62</v>
      </c>
      <c r="GO124" s="323">
        <v>-4304.6499999999996</v>
      </c>
      <c r="GP124" s="323">
        <v>-30396.27</v>
      </c>
      <c r="GQ124" s="323">
        <v>22322.53</v>
      </c>
      <c r="GR124" s="323">
        <v>-1759.76</v>
      </c>
      <c r="GS124" s="323">
        <v>20562.77</v>
      </c>
    </row>
    <row r="125" spans="1:201" ht="12.75" customHeight="1" x14ac:dyDescent="0.2">
      <c r="A125" s="45" t="s">
        <v>191</v>
      </c>
      <c r="B125" s="163" t="s">
        <v>173</v>
      </c>
      <c r="C125" s="164" t="s">
        <v>8</v>
      </c>
      <c r="D125" s="388" t="s">
        <v>454</v>
      </c>
      <c r="E125" s="164" t="s">
        <v>12</v>
      </c>
      <c r="F125" s="11">
        <v>9</v>
      </c>
      <c r="G125" s="11">
        <v>2</v>
      </c>
      <c r="H125" s="11">
        <v>72</v>
      </c>
      <c r="I125" s="11">
        <v>74</v>
      </c>
      <c r="J125" s="11">
        <v>153</v>
      </c>
      <c r="K125" s="11">
        <v>197</v>
      </c>
      <c r="L125" s="83">
        <v>2</v>
      </c>
      <c r="M125" s="84">
        <v>740</v>
      </c>
      <c r="N125" s="84">
        <v>605</v>
      </c>
      <c r="O125" s="84">
        <v>0</v>
      </c>
      <c r="P125" s="135">
        <f>482.5</f>
        <v>482.5</v>
      </c>
      <c r="Q125" s="135">
        <v>463.2</v>
      </c>
      <c r="R125" s="133">
        <v>0</v>
      </c>
      <c r="S125" s="133">
        <f t="shared" si="52"/>
        <v>945.7</v>
      </c>
      <c r="T125" s="134">
        <v>482.5</v>
      </c>
      <c r="U125" s="130">
        <v>2.72</v>
      </c>
      <c r="V125" s="131">
        <v>1.21E-2</v>
      </c>
      <c r="W125" s="171">
        <v>0</v>
      </c>
      <c r="X125" s="172">
        <v>0</v>
      </c>
      <c r="Y125" s="131">
        <v>1.21E-2</v>
      </c>
      <c r="Z125" s="29">
        <v>3907.3</v>
      </c>
      <c r="AA125" s="29"/>
      <c r="AB125" s="9">
        <f t="shared" si="29"/>
        <v>3907.3</v>
      </c>
      <c r="AC125" s="9">
        <f t="shared" si="55"/>
        <v>24733.21</v>
      </c>
      <c r="AD125" s="9">
        <v>1.68</v>
      </c>
      <c r="AE125" s="9">
        <v>4.79</v>
      </c>
      <c r="AF125" s="21">
        <f>2.59-AJ125</f>
        <v>2.44</v>
      </c>
      <c r="AG125" s="18">
        <f>0.67-AQ125</f>
        <v>0.62</v>
      </c>
      <c r="AH125" s="19">
        <f>2.72+0.07+0.17</f>
        <v>2.96</v>
      </c>
      <c r="AI125" s="13">
        <v>581</v>
      </c>
      <c r="AJ125" s="21">
        <f t="shared" si="30"/>
        <v>0.15</v>
      </c>
      <c r="AK125" s="9">
        <v>2.21</v>
      </c>
      <c r="AL125" s="9">
        <v>0.19</v>
      </c>
      <c r="AM125" s="9">
        <v>0.24</v>
      </c>
      <c r="AN125" s="13"/>
      <c r="AO125" s="13">
        <v>422.4</v>
      </c>
      <c r="AP125" s="13">
        <f t="shared" si="53"/>
        <v>5.58</v>
      </c>
      <c r="AQ125" s="18">
        <f t="shared" si="31"/>
        <v>0.05</v>
      </c>
      <c r="AR125" s="9">
        <v>0.56999999999999995</v>
      </c>
      <c r="AS125" s="9">
        <v>0.35</v>
      </c>
      <c r="AT125" s="9">
        <v>7.0000000000000007E-2</v>
      </c>
      <c r="AU125" s="9">
        <v>4.37</v>
      </c>
      <c r="AV125" s="9">
        <v>0.17</v>
      </c>
      <c r="AW125" s="9">
        <f>1.47+0.26+0.39</f>
        <v>2.12</v>
      </c>
      <c r="AX125" s="9">
        <f>2.06+0.51</f>
        <v>2.57</v>
      </c>
      <c r="AY125" s="169">
        <f t="shared" si="54"/>
        <v>25.55</v>
      </c>
      <c r="AZ125" s="13">
        <v>25.55</v>
      </c>
      <c r="BA125" s="13">
        <f t="shared" si="32"/>
        <v>0</v>
      </c>
      <c r="BB125" s="9">
        <f t="shared" si="33"/>
        <v>99831.52</v>
      </c>
      <c r="BC125" s="9">
        <v>25.55</v>
      </c>
      <c r="BD125" s="10">
        <v>44378</v>
      </c>
      <c r="BE125" s="9">
        <f t="shared" si="34"/>
        <v>6564.26</v>
      </c>
      <c r="BF125" s="9">
        <f t="shared" si="35"/>
        <v>18715.97</v>
      </c>
      <c r="BG125" s="9">
        <f t="shared" si="36"/>
        <v>9533.81</v>
      </c>
      <c r="BH125" s="9">
        <f t="shared" si="37"/>
        <v>2422.5300000000002</v>
      </c>
      <c r="BI125" s="9">
        <f t="shared" si="38"/>
        <v>11565.61</v>
      </c>
      <c r="BJ125" s="9">
        <f t="shared" si="39"/>
        <v>586.1</v>
      </c>
      <c r="BK125" s="9">
        <f t="shared" si="40"/>
        <v>8635.1299999999992</v>
      </c>
      <c r="BL125" s="9">
        <f t="shared" si="41"/>
        <v>742.39</v>
      </c>
      <c r="BM125" s="9">
        <f t="shared" si="42"/>
        <v>937.75</v>
      </c>
      <c r="BN125" s="9">
        <f t="shared" si="43"/>
        <v>195.37</v>
      </c>
      <c r="BO125" s="9">
        <f t="shared" si="44"/>
        <v>2227.16</v>
      </c>
      <c r="BP125" s="9">
        <f t="shared" si="45"/>
        <v>1367.56</v>
      </c>
      <c r="BQ125" s="9">
        <f t="shared" si="46"/>
        <v>273.51</v>
      </c>
      <c r="BR125" s="9">
        <f t="shared" si="47"/>
        <v>17074.900000000001</v>
      </c>
      <c r="BS125" s="9">
        <f t="shared" si="48"/>
        <v>664.24</v>
      </c>
      <c r="BT125" s="9">
        <f t="shared" si="49"/>
        <v>8283.48</v>
      </c>
      <c r="BU125" s="9">
        <f t="shared" si="50"/>
        <v>10041.76</v>
      </c>
      <c r="BV125" s="17">
        <f t="shared" si="51"/>
        <v>99831.53</v>
      </c>
      <c r="BW125" s="17">
        <v>2.65</v>
      </c>
      <c r="BX125" s="17">
        <v>0.04</v>
      </c>
      <c r="BY125" s="173">
        <v>0</v>
      </c>
      <c r="BZ125" s="17">
        <v>0.02</v>
      </c>
      <c r="CA125" s="29">
        <v>6.33</v>
      </c>
      <c r="CB125" s="325"/>
      <c r="CC125" s="13">
        <v>0</v>
      </c>
      <c r="CD125" s="13">
        <v>0</v>
      </c>
      <c r="CE125" s="13">
        <v>0</v>
      </c>
      <c r="CF125" s="13">
        <v>0</v>
      </c>
      <c r="CG125" s="13">
        <v>0</v>
      </c>
      <c r="CH125" s="13">
        <v>0</v>
      </c>
      <c r="CI125" s="13">
        <v>1685.55</v>
      </c>
      <c r="CJ125" s="13">
        <v>25488</v>
      </c>
      <c r="CK125" s="13">
        <v>1502.71</v>
      </c>
      <c r="CL125" s="13">
        <v>1198077.26</v>
      </c>
      <c r="CM125" s="13">
        <v>132426.42000000001</v>
      </c>
      <c r="CN125" s="13">
        <v>0</v>
      </c>
      <c r="CO125" s="13">
        <v>1406.44</v>
      </c>
      <c r="CP125" s="13">
        <v>625.57000000000005</v>
      </c>
      <c r="CQ125" s="13">
        <v>0</v>
      </c>
      <c r="CR125" s="13">
        <v>1146106.79</v>
      </c>
      <c r="CS125" s="13">
        <v>119308.37</v>
      </c>
      <c r="CT125" s="13">
        <v>0</v>
      </c>
      <c r="CU125" s="13">
        <v>1358.42</v>
      </c>
      <c r="CV125" s="13">
        <v>467.69</v>
      </c>
      <c r="CW125" s="13">
        <v>0</v>
      </c>
      <c r="CX125" s="13">
        <v>176253.81</v>
      </c>
      <c r="CY125" s="13">
        <v>24399.48</v>
      </c>
      <c r="CZ125" s="13">
        <v>0</v>
      </c>
      <c r="DA125" s="13">
        <v>371.15</v>
      </c>
      <c r="DB125" s="13">
        <v>105.57</v>
      </c>
      <c r="DC125" s="13"/>
      <c r="DD125" s="315">
        <v>1332535.69</v>
      </c>
      <c r="DE125" s="317">
        <v>1267241.27</v>
      </c>
      <c r="DF125" s="317">
        <v>95.1</v>
      </c>
      <c r="DG125" s="318">
        <v>201130.01</v>
      </c>
      <c r="DH125" s="310">
        <v>41075.64</v>
      </c>
      <c r="DI125" s="310">
        <v>23491.56</v>
      </c>
      <c r="DJ125" s="312">
        <v>0</v>
      </c>
      <c r="DK125" s="362">
        <v>0</v>
      </c>
      <c r="DL125" s="362"/>
      <c r="DM125" s="362">
        <v>0</v>
      </c>
      <c r="DN125" s="362">
        <v>0</v>
      </c>
      <c r="DO125" s="362">
        <v>0</v>
      </c>
      <c r="DP125" s="362">
        <v>9237.9</v>
      </c>
      <c r="DQ125" s="362">
        <v>0</v>
      </c>
      <c r="DR125" s="362"/>
      <c r="DS125" s="362">
        <v>0</v>
      </c>
      <c r="DT125" s="362"/>
      <c r="DU125" s="362">
        <v>0</v>
      </c>
      <c r="DV125" s="362">
        <v>0</v>
      </c>
      <c r="DW125" s="362">
        <v>103200</v>
      </c>
      <c r="DX125" s="362">
        <v>0</v>
      </c>
      <c r="DY125" s="362">
        <v>9000</v>
      </c>
      <c r="DZ125" s="375">
        <v>0</v>
      </c>
      <c r="EA125" s="362">
        <v>0</v>
      </c>
      <c r="EB125" s="362">
        <v>0</v>
      </c>
      <c r="EC125" s="362"/>
      <c r="ED125" s="362">
        <v>299299.5</v>
      </c>
      <c r="EE125" s="362">
        <v>11240</v>
      </c>
      <c r="EF125" s="362"/>
      <c r="EG125" s="362">
        <v>0</v>
      </c>
      <c r="EH125" s="362">
        <v>0</v>
      </c>
      <c r="EI125" s="362"/>
      <c r="EJ125" s="362">
        <v>0</v>
      </c>
      <c r="EK125" s="362"/>
      <c r="EL125" s="362">
        <v>0</v>
      </c>
      <c r="EM125" s="362">
        <v>2356.98</v>
      </c>
      <c r="EN125" s="362">
        <v>317754.59999999998</v>
      </c>
      <c r="EO125" s="362">
        <v>0</v>
      </c>
      <c r="EP125" s="362">
        <v>0</v>
      </c>
      <c r="EQ125" s="362">
        <v>0</v>
      </c>
      <c r="ER125" s="362">
        <v>16380</v>
      </c>
      <c r="ES125" s="362">
        <v>0</v>
      </c>
      <c r="ET125" s="362">
        <v>8882</v>
      </c>
      <c r="EU125" s="362">
        <v>0</v>
      </c>
      <c r="EV125" s="362">
        <v>75701.509999999995</v>
      </c>
      <c r="EW125" s="362"/>
      <c r="EX125" s="202"/>
      <c r="EY125" s="202"/>
      <c r="EZ125" s="229"/>
      <c r="FA125" s="368">
        <v>131092.54999999999</v>
      </c>
      <c r="FB125" s="368">
        <v>0</v>
      </c>
      <c r="FC125" s="368">
        <v>0</v>
      </c>
      <c r="FD125" s="368">
        <v>0</v>
      </c>
      <c r="FE125" s="368">
        <v>2050.5100000000002</v>
      </c>
      <c r="FF125" s="368">
        <v>801.14</v>
      </c>
      <c r="FG125" s="368">
        <v>0</v>
      </c>
      <c r="FH125" s="368">
        <v>-1000.17</v>
      </c>
      <c r="FI125" s="368">
        <v>0</v>
      </c>
      <c r="FJ125" s="368">
        <v>0</v>
      </c>
      <c r="FK125" s="368">
        <v>0</v>
      </c>
      <c r="FL125" s="368">
        <v>0</v>
      </c>
      <c r="FM125" s="368">
        <v>104470.38</v>
      </c>
      <c r="FN125" s="368">
        <v>66426.8</v>
      </c>
      <c r="FO125" s="323">
        <v>1088516.8700000001</v>
      </c>
      <c r="FP125" s="323">
        <v>132944.03</v>
      </c>
      <c r="FQ125" s="323">
        <v>1221460.8999999999</v>
      </c>
      <c r="FR125" s="338">
        <v>115172.99</v>
      </c>
      <c r="FS125" s="338">
        <v>5936.27</v>
      </c>
      <c r="FT125" s="377">
        <v>121109.26</v>
      </c>
      <c r="FU125" s="377">
        <v>1225250.81</v>
      </c>
      <c r="FV125" s="377">
        <v>135961.14000000001</v>
      </c>
      <c r="FW125" s="362">
        <v>1361211.95</v>
      </c>
      <c r="FX125" s="362">
        <v>1164169.99</v>
      </c>
      <c r="FY125" s="362">
        <v>117021.21</v>
      </c>
      <c r="FZ125" s="362">
        <v>1281191.2</v>
      </c>
      <c r="GA125" s="362">
        <v>176253.81</v>
      </c>
      <c r="GB125" s="362">
        <v>24876.2</v>
      </c>
      <c r="GC125" s="362">
        <v>201130.01</v>
      </c>
      <c r="GD125" s="362">
        <v>105764.44</v>
      </c>
      <c r="GE125" s="362">
        <v>3761.66</v>
      </c>
      <c r="GF125" s="362">
        <v>109526.1</v>
      </c>
      <c r="GG125" s="202"/>
      <c r="GH125" s="416"/>
      <c r="GI125" s="414">
        <v>2019.55</v>
      </c>
      <c r="GJ125" s="419">
        <v>0</v>
      </c>
      <c r="GK125" s="396"/>
      <c r="GL125" s="202">
        <v>0</v>
      </c>
      <c r="GM125" s="202">
        <v>0</v>
      </c>
      <c r="GN125" s="323">
        <v>136733.94</v>
      </c>
      <c r="GO125" s="323">
        <v>3017.11</v>
      </c>
      <c r="GP125" s="323">
        <v>139751.04999999999</v>
      </c>
      <c r="GQ125" s="323">
        <v>242498.38</v>
      </c>
      <c r="GR125" s="323">
        <v>6778.77</v>
      </c>
      <c r="GS125" s="323">
        <v>249277.15</v>
      </c>
    </row>
    <row r="126" spans="1:201" ht="12.75" customHeight="1" x14ac:dyDescent="0.2">
      <c r="A126" s="45" t="s">
        <v>192</v>
      </c>
      <c r="B126" s="163" t="s">
        <v>173</v>
      </c>
      <c r="C126" s="164" t="s">
        <v>11</v>
      </c>
      <c r="D126" s="388" t="s">
        <v>637</v>
      </c>
      <c r="E126" s="164" t="s">
        <v>12</v>
      </c>
      <c r="F126" s="11">
        <v>5</v>
      </c>
      <c r="G126" s="11">
        <v>6</v>
      </c>
      <c r="H126" s="11">
        <v>90</v>
      </c>
      <c r="I126" s="11">
        <v>90</v>
      </c>
      <c r="J126" s="11">
        <v>207</v>
      </c>
      <c r="K126" s="11">
        <v>238</v>
      </c>
      <c r="L126" s="11" t="s">
        <v>746</v>
      </c>
      <c r="M126" s="84">
        <v>480</v>
      </c>
      <c r="N126" s="84">
        <v>1008</v>
      </c>
      <c r="O126" s="84">
        <v>0</v>
      </c>
      <c r="P126" s="135">
        <v>413.4</v>
      </c>
      <c r="Q126" s="135">
        <v>1015.4</v>
      </c>
      <c r="R126" s="133">
        <v>0</v>
      </c>
      <c r="S126" s="133">
        <f t="shared" si="52"/>
        <v>1428.8</v>
      </c>
      <c r="T126" s="134">
        <v>413.4</v>
      </c>
      <c r="U126" s="130">
        <v>1.83</v>
      </c>
      <c r="V126" s="131">
        <v>1.1299999999999999E-2</v>
      </c>
      <c r="W126" s="171">
        <v>0</v>
      </c>
      <c r="X126" s="172">
        <v>0</v>
      </c>
      <c r="Y126" s="131">
        <v>1.1299999999999999E-2</v>
      </c>
      <c r="Z126" s="29">
        <v>4000.7</v>
      </c>
      <c r="AA126" s="29"/>
      <c r="AB126" s="9">
        <f t="shared" si="29"/>
        <v>4000.7</v>
      </c>
      <c r="AC126" s="9">
        <f t="shared" si="55"/>
        <v>25324.43</v>
      </c>
      <c r="AD126" s="9">
        <v>0.56000000000000005</v>
      </c>
      <c r="AE126" s="9">
        <v>4.13</v>
      </c>
      <c r="AF126" s="21">
        <f>2.64-AJ126</f>
        <v>2.4</v>
      </c>
      <c r="AG126" s="18">
        <f>0.62-AQ126</f>
        <v>0.52</v>
      </c>
      <c r="AH126" s="19">
        <f>3.06+0.07+0.17</f>
        <v>3.3</v>
      </c>
      <c r="AI126" s="13">
        <v>968</v>
      </c>
      <c r="AJ126" s="21">
        <f t="shared" si="30"/>
        <v>0.24</v>
      </c>
      <c r="AK126" s="9">
        <v>0</v>
      </c>
      <c r="AL126" s="9">
        <v>0</v>
      </c>
      <c r="AM126" s="9">
        <v>0.23</v>
      </c>
      <c r="AN126" s="13"/>
      <c r="AO126" s="13">
        <v>901.8</v>
      </c>
      <c r="AP126" s="13">
        <f t="shared" si="53"/>
        <v>5.58</v>
      </c>
      <c r="AQ126" s="18">
        <f t="shared" si="31"/>
        <v>0.1</v>
      </c>
      <c r="AR126" s="9">
        <v>0.78</v>
      </c>
      <c r="AS126" s="9">
        <v>0.34</v>
      </c>
      <c r="AT126" s="9">
        <v>7.0000000000000007E-2</v>
      </c>
      <c r="AU126" s="9">
        <v>5.08</v>
      </c>
      <c r="AV126" s="9">
        <v>0.13</v>
      </c>
      <c r="AW126" s="9">
        <f>1.13+0.45+0.31</f>
        <v>1.89</v>
      </c>
      <c r="AX126" s="9">
        <f>1.55+0.6</f>
        <v>2.15</v>
      </c>
      <c r="AY126" s="166">
        <f t="shared" si="54"/>
        <v>21.92</v>
      </c>
      <c r="AZ126" s="13">
        <v>21.92</v>
      </c>
      <c r="BA126" s="13">
        <f t="shared" si="32"/>
        <v>0</v>
      </c>
      <c r="BB126" s="9">
        <f t="shared" si="33"/>
        <v>87695.34</v>
      </c>
      <c r="BC126" s="9">
        <v>21.92</v>
      </c>
      <c r="BD126" s="10">
        <v>44409</v>
      </c>
      <c r="BE126" s="9">
        <f t="shared" si="34"/>
        <v>2240.39</v>
      </c>
      <c r="BF126" s="9">
        <f t="shared" si="35"/>
        <v>16522.89</v>
      </c>
      <c r="BG126" s="9">
        <f t="shared" si="36"/>
        <v>9601.68</v>
      </c>
      <c r="BH126" s="9">
        <f t="shared" si="37"/>
        <v>2080.36</v>
      </c>
      <c r="BI126" s="9">
        <f t="shared" si="38"/>
        <v>13202.31</v>
      </c>
      <c r="BJ126" s="9">
        <f t="shared" si="39"/>
        <v>960.17</v>
      </c>
      <c r="BK126" s="9">
        <f t="shared" si="40"/>
        <v>0</v>
      </c>
      <c r="BL126" s="9">
        <f t="shared" si="41"/>
        <v>0</v>
      </c>
      <c r="BM126" s="9">
        <f t="shared" si="42"/>
        <v>920.16</v>
      </c>
      <c r="BN126" s="9">
        <f t="shared" si="43"/>
        <v>400.07</v>
      </c>
      <c r="BO126" s="9">
        <f t="shared" si="44"/>
        <v>3120.55</v>
      </c>
      <c r="BP126" s="9">
        <f t="shared" si="45"/>
        <v>1360.24</v>
      </c>
      <c r="BQ126" s="9">
        <f t="shared" si="46"/>
        <v>280.05</v>
      </c>
      <c r="BR126" s="9">
        <f t="shared" si="47"/>
        <v>20323.560000000001</v>
      </c>
      <c r="BS126" s="9">
        <f t="shared" si="48"/>
        <v>520.09</v>
      </c>
      <c r="BT126" s="9">
        <f t="shared" si="49"/>
        <v>7561.32</v>
      </c>
      <c r="BU126" s="9">
        <f t="shared" si="50"/>
        <v>8601.51</v>
      </c>
      <c r="BV126" s="17">
        <f t="shared" si="51"/>
        <v>87695.35</v>
      </c>
      <c r="BW126" s="17">
        <v>2.63</v>
      </c>
      <c r="BX126" s="17">
        <v>0.03</v>
      </c>
      <c r="BY126" s="173">
        <v>0</v>
      </c>
      <c r="BZ126" s="17">
        <v>0.02</v>
      </c>
      <c r="CA126" s="29">
        <v>6.33</v>
      </c>
      <c r="CB126" s="325"/>
      <c r="CC126" s="13">
        <v>0</v>
      </c>
      <c r="CD126" s="13">
        <v>0</v>
      </c>
      <c r="CE126" s="13">
        <v>0</v>
      </c>
      <c r="CF126" s="13">
        <v>0</v>
      </c>
      <c r="CG126" s="13">
        <v>0</v>
      </c>
      <c r="CH126" s="13">
        <v>0</v>
      </c>
      <c r="CI126" s="13">
        <v>4067.12</v>
      </c>
      <c r="CJ126" s="13">
        <v>18288</v>
      </c>
      <c r="CK126" s="13">
        <v>1538.63</v>
      </c>
      <c r="CL126" s="13">
        <v>1052343.8400000001</v>
      </c>
      <c r="CM126" s="13">
        <v>60130.7</v>
      </c>
      <c r="CN126" s="13">
        <v>0</v>
      </c>
      <c r="CO126" s="13">
        <v>1201.68</v>
      </c>
      <c r="CP126" s="13">
        <v>639.91999999999996</v>
      </c>
      <c r="CQ126" s="13">
        <v>0</v>
      </c>
      <c r="CR126" s="13">
        <v>1003208.57</v>
      </c>
      <c r="CS126" s="13">
        <v>59958.19</v>
      </c>
      <c r="CT126" s="13">
        <v>0</v>
      </c>
      <c r="CU126" s="13">
        <v>1198.79</v>
      </c>
      <c r="CV126" s="13">
        <v>500.99</v>
      </c>
      <c r="CW126" s="13">
        <v>0</v>
      </c>
      <c r="CX126" s="13">
        <v>107945.21</v>
      </c>
      <c r="CY126" s="13">
        <v>6260.72</v>
      </c>
      <c r="CZ126" s="13">
        <v>0</v>
      </c>
      <c r="DA126" s="13">
        <v>286.88</v>
      </c>
      <c r="DB126" s="13">
        <v>95.04</v>
      </c>
      <c r="DC126" s="13"/>
      <c r="DD126" s="315">
        <v>1114316.1399999999</v>
      </c>
      <c r="DE126" s="317">
        <v>1064866.54</v>
      </c>
      <c r="DF126" s="317">
        <v>95.56</v>
      </c>
      <c r="DG126" s="318">
        <v>114587.85</v>
      </c>
      <c r="DH126" s="310">
        <v>42037.08</v>
      </c>
      <c r="DI126" s="310">
        <v>24041.4</v>
      </c>
      <c r="DJ126" s="312">
        <v>0</v>
      </c>
      <c r="DK126" s="362">
        <v>0</v>
      </c>
      <c r="DL126" s="362"/>
      <c r="DM126" s="362">
        <v>0</v>
      </c>
      <c r="DN126" s="362">
        <v>0</v>
      </c>
      <c r="DO126" s="362">
        <v>0</v>
      </c>
      <c r="DP126" s="362">
        <v>15391.2</v>
      </c>
      <c r="DQ126" s="362">
        <v>90965</v>
      </c>
      <c r="DR126" s="362"/>
      <c r="DS126" s="362">
        <v>53480</v>
      </c>
      <c r="DT126" s="362"/>
      <c r="DU126" s="362">
        <v>0</v>
      </c>
      <c r="DV126" s="362">
        <v>0</v>
      </c>
      <c r="DW126" s="362">
        <v>0</v>
      </c>
      <c r="DX126" s="362">
        <v>0</v>
      </c>
      <c r="DY126" s="362">
        <v>0</v>
      </c>
      <c r="DZ126" s="375">
        <v>0</v>
      </c>
      <c r="EA126" s="362">
        <v>0</v>
      </c>
      <c r="EB126" s="362">
        <v>0</v>
      </c>
      <c r="EC126" s="362"/>
      <c r="ED126" s="362">
        <v>212580.96</v>
      </c>
      <c r="EE126" s="362">
        <v>11240</v>
      </c>
      <c r="EF126" s="362"/>
      <c r="EG126" s="362">
        <v>0</v>
      </c>
      <c r="EH126" s="362">
        <v>0</v>
      </c>
      <c r="EI126" s="362"/>
      <c r="EJ126" s="362">
        <v>0</v>
      </c>
      <c r="EK126" s="362"/>
      <c r="EL126" s="362">
        <v>0</v>
      </c>
      <c r="EM126" s="362">
        <v>5032.05</v>
      </c>
      <c r="EN126" s="362">
        <v>344994.6</v>
      </c>
      <c r="EO126" s="362">
        <v>0</v>
      </c>
      <c r="EP126" s="362">
        <v>0</v>
      </c>
      <c r="EQ126" s="362">
        <v>0</v>
      </c>
      <c r="ER126" s="362">
        <v>15015</v>
      </c>
      <c r="ES126" s="362">
        <v>0</v>
      </c>
      <c r="ET126" s="362">
        <v>14628</v>
      </c>
      <c r="EU126" s="362">
        <v>0</v>
      </c>
      <c r="EV126" s="362">
        <v>47874.71</v>
      </c>
      <c r="EW126" s="362"/>
      <c r="EX126" s="202"/>
      <c r="EY126" s="202"/>
      <c r="EZ126" s="229"/>
      <c r="FA126" s="368">
        <v>60089.73</v>
      </c>
      <c r="FB126" s="368">
        <v>0</v>
      </c>
      <c r="FC126" s="368">
        <v>0</v>
      </c>
      <c r="FD126" s="368">
        <v>0</v>
      </c>
      <c r="FE126" s="368">
        <v>1641.39</v>
      </c>
      <c r="FF126" s="368">
        <v>641.03</v>
      </c>
      <c r="FG126" s="368">
        <v>0</v>
      </c>
      <c r="FH126" s="368">
        <v>-1023.58</v>
      </c>
      <c r="FI126" s="368">
        <v>0</v>
      </c>
      <c r="FJ126" s="368">
        <v>0</v>
      </c>
      <c r="FK126" s="368">
        <v>0</v>
      </c>
      <c r="FL126" s="368">
        <v>0</v>
      </c>
      <c r="FM126" s="368">
        <v>106958.95</v>
      </c>
      <c r="FN126" s="368">
        <v>68009.509999999995</v>
      </c>
      <c r="FO126" s="323">
        <v>1052248.46</v>
      </c>
      <c r="FP126" s="323">
        <v>61348.57</v>
      </c>
      <c r="FQ126" s="323">
        <v>1113597.03</v>
      </c>
      <c r="FR126" s="338">
        <v>58437.57</v>
      </c>
      <c r="FS126" s="338">
        <v>656.97</v>
      </c>
      <c r="FT126" s="377">
        <v>59094.54</v>
      </c>
      <c r="FU126" s="377">
        <v>1074698.96</v>
      </c>
      <c r="FV126" s="377">
        <v>63510.93</v>
      </c>
      <c r="FW126" s="362">
        <v>1138209.8899999999</v>
      </c>
      <c r="FX126" s="362">
        <v>1025191.32</v>
      </c>
      <c r="FY126" s="362">
        <v>57525.26</v>
      </c>
      <c r="FZ126" s="362">
        <v>1082716.58</v>
      </c>
      <c r="GA126" s="362">
        <v>107945.21</v>
      </c>
      <c r="GB126" s="362">
        <v>6642.64</v>
      </c>
      <c r="GC126" s="362">
        <v>114587.85</v>
      </c>
      <c r="GD126" s="362">
        <v>33775.040000000001</v>
      </c>
      <c r="GE126" s="362">
        <v>10188.290000000001</v>
      </c>
      <c r="GF126" s="362">
        <v>43963.33</v>
      </c>
      <c r="GG126" s="202"/>
      <c r="GH126" s="416"/>
      <c r="GI126" s="414">
        <v>2007.1</v>
      </c>
      <c r="GJ126" s="419">
        <v>0</v>
      </c>
      <c r="GK126" s="396"/>
      <c r="GL126" s="202">
        <v>0</v>
      </c>
      <c r="GM126" s="202">
        <v>0</v>
      </c>
      <c r="GN126" s="323">
        <v>22450.5</v>
      </c>
      <c r="GO126" s="323">
        <v>2162.36</v>
      </c>
      <c r="GP126" s="323">
        <v>24612.86</v>
      </c>
      <c r="GQ126" s="323">
        <v>56225.54</v>
      </c>
      <c r="GR126" s="323">
        <v>12350.65</v>
      </c>
      <c r="GS126" s="323">
        <v>68576.19</v>
      </c>
    </row>
    <row r="127" spans="1:201" ht="12.75" customHeight="1" x14ac:dyDescent="0.2">
      <c r="A127" s="45" t="s">
        <v>193</v>
      </c>
      <c r="B127" s="163" t="s">
        <v>173</v>
      </c>
      <c r="C127" s="164" t="s">
        <v>67</v>
      </c>
      <c r="D127" s="388" t="s">
        <v>450</v>
      </c>
      <c r="E127" s="164" t="s">
        <v>12</v>
      </c>
      <c r="F127" s="11">
        <v>9</v>
      </c>
      <c r="G127" s="11">
        <v>5</v>
      </c>
      <c r="H127" s="11">
        <v>270</v>
      </c>
      <c r="I127" s="11">
        <v>270</v>
      </c>
      <c r="J127" s="11">
        <v>633</v>
      </c>
      <c r="K127" s="11">
        <v>694</v>
      </c>
      <c r="L127" s="11">
        <v>5</v>
      </c>
      <c r="M127" s="84">
        <v>1840</v>
      </c>
      <c r="N127" s="84">
        <v>1700</v>
      </c>
      <c r="O127" s="84">
        <v>1700</v>
      </c>
      <c r="P127" s="135">
        <f>675.6+1128.5</f>
        <v>1804.1</v>
      </c>
      <c r="Q127" s="135">
        <f>1055.2+94.5+133.8+10+21</f>
        <v>1314.5</v>
      </c>
      <c r="R127" s="133">
        <v>2503.1</v>
      </c>
      <c r="S127" s="133">
        <f t="shared" si="52"/>
        <v>5621.7</v>
      </c>
      <c r="T127" s="134">
        <v>1804.1</v>
      </c>
      <c r="U127" s="130">
        <v>2.44</v>
      </c>
      <c r="V127" s="131">
        <v>1.9800000000000002E-2</v>
      </c>
      <c r="W127" s="131">
        <v>1.9800000000000002E-2</v>
      </c>
      <c r="X127" s="132">
        <v>1.32E-3</v>
      </c>
      <c r="Y127" s="131">
        <v>3.9699999999999999E-2</v>
      </c>
      <c r="Z127" s="29">
        <v>13712.24</v>
      </c>
      <c r="AA127" s="29">
        <v>447.8</v>
      </c>
      <c r="AB127" s="9">
        <f t="shared" si="29"/>
        <v>14160.04</v>
      </c>
      <c r="AC127" s="9">
        <f t="shared" si="55"/>
        <v>89633.05</v>
      </c>
      <c r="AD127" s="9">
        <v>1.89</v>
      </c>
      <c r="AE127" s="9">
        <v>4.32</v>
      </c>
      <c r="AF127" s="21">
        <f>2.67-AJ127</f>
        <v>2.5499999999999998</v>
      </c>
      <c r="AG127" s="18">
        <f>0.6-AQ127</f>
        <v>0.55000000000000004</v>
      </c>
      <c r="AH127" s="9">
        <v>2.71</v>
      </c>
      <c r="AI127" s="13">
        <v>1631</v>
      </c>
      <c r="AJ127" s="21">
        <f t="shared" si="30"/>
        <v>0.12</v>
      </c>
      <c r="AK127" s="9">
        <v>1.51</v>
      </c>
      <c r="AL127" s="9">
        <v>0.24</v>
      </c>
      <c r="AM127" s="9">
        <v>0.04</v>
      </c>
      <c r="AN127" s="13"/>
      <c r="AO127" s="13">
        <v>1529.5</v>
      </c>
      <c r="AP127" s="13">
        <f t="shared" si="53"/>
        <v>5.58</v>
      </c>
      <c r="AQ127" s="18">
        <f t="shared" si="31"/>
        <v>0.05</v>
      </c>
      <c r="AR127" s="9">
        <v>0.57999999999999996</v>
      </c>
      <c r="AS127" s="9">
        <v>0.38</v>
      </c>
      <c r="AT127" s="9">
        <v>7.0000000000000007E-2</v>
      </c>
      <c r="AU127" s="9">
        <v>5.25</v>
      </c>
      <c r="AV127" s="9">
        <v>0.16</v>
      </c>
      <c r="AW127" s="9">
        <f>1.35+0.46+0.27</f>
        <v>2.08</v>
      </c>
      <c r="AX127" s="9">
        <f>1.88+0.62</f>
        <v>2.5</v>
      </c>
      <c r="AY127" s="166">
        <f t="shared" si="54"/>
        <v>25</v>
      </c>
      <c r="AZ127" s="13">
        <v>25</v>
      </c>
      <c r="BA127" s="13">
        <f t="shared" si="32"/>
        <v>0</v>
      </c>
      <c r="BB127" s="9">
        <f t="shared" si="33"/>
        <v>354001</v>
      </c>
      <c r="BC127" s="9">
        <v>25</v>
      </c>
      <c r="BD127" s="10">
        <v>44409</v>
      </c>
      <c r="BE127" s="9">
        <f t="shared" si="34"/>
        <v>26762.48</v>
      </c>
      <c r="BF127" s="9">
        <f t="shared" si="35"/>
        <v>61171.37</v>
      </c>
      <c r="BG127" s="9">
        <f t="shared" si="36"/>
        <v>36108.1</v>
      </c>
      <c r="BH127" s="9">
        <f t="shared" si="37"/>
        <v>7788.02</v>
      </c>
      <c r="BI127" s="9">
        <f t="shared" si="38"/>
        <v>38373.71</v>
      </c>
      <c r="BJ127" s="9">
        <f t="shared" si="39"/>
        <v>1699.2</v>
      </c>
      <c r="BK127" s="9">
        <f t="shared" si="40"/>
        <v>21381.66</v>
      </c>
      <c r="BL127" s="9">
        <f t="shared" si="41"/>
        <v>3398.41</v>
      </c>
      <c r="BM127" s="9">
        <f t="shared" si="42"/>
        <v>566.4</v>
      </c>
      <c r="BN127" s="9">
        <f t="shared" si="43"/>
        <v>708</v>
      </c>
      <c r="BO127" s="9">
        <f t="shared" si="44"/>
        <v>8212.82</v>
      </c>
      <c r="BP127" s="9">
        <f t="shared" si="45"/>
        <v>5380.82</v>
      </c>
      <c r="BQ127" s="9">
        <f t="shared" si="46"/>
        <v>991.2</v>
      </c>
      <c r="BR127" s="9">
        <f t="shared" si="47"/>
        <v>74340.210000000006</v>
      </c>
      <c r="BS127" s="9">
        <f t="shared" si="48"/>
        <v>2265.61</v>
      </c>
      <c r="BT127" s="9">
        <f t="shared" si="49"/>
        <v>29452.880000000001</v>
      </c>
      <c r="BU127" s="9">
        <f t="shared" si="50"/>
        <v>35400.1</v>
      </c>
      <c r="BV127" s="17">
        <f t="shared" si="51"/>
        <v>354000.99</v>
      </c>
      <c r="BW127" s="17">
        <v>3.52</v>
      </c>
      <c r="BX127" s="17">
        <v>0.08</v>
      </c>
      <c r="BY127" s="17">
        <v>0.52</v>
      </c>
      <c r="BZ127" s="17">
        <v>0.09</v>
      </c>
      <c r="CA127" s="29">
        <v>6.33</v>
      </c>
      <c r="CB127" s="325"/>
      <c r="CC127" s="13">
        <v>133987.63</v>
      </c>
      <c r="CD127" s="13">
        <v>17847.919999999998</v>
      </c>
      <c r="CE127" s="13">
        <v>3105.39</v>
      </c>
      <c r="CF127" s="13">
        <v>1342.91</v>
      </c>
      <c r="CG127" s="13">
        <v>845.48</v>
      </c>
      <c r="CH127" s="13">
        <v>0</v>
      </c>
      <c r="CI127" s="13">
        <v>15571.74</v>
      </c>
      <c r="CJ127" s="13">
        <v>82224</v>
      </c>
      <c r="CK127" s="13">
        <v>5445.55</v>
      </c>
      <c r="CL127" s="13">
        <v>4129098</v>
      </c>
      <c r="CM127" s="13">
        <v>557430.42000000004</v>
      </c>
      <c r="CN127" s="13">
        <v>101439.12</v>
      </c>
      <c r="CO127" s="13">
        <v>39089.4</v>
      </c>
      <c r="CP127" s="13">
        <v>26977.22</v>
      </c>
      <c r="CQ127" s="13">
        <v>0</v>
      </c>
      <c r="CR127" s="13">
        <v>3947561.73</v>
      </c>
      <c r="CS127" s="13">
        <v>486576.68</v>
      </c>
      <c r="CT127" s="13">
        <v>67729.440000000002</v>
      </c>
      <c r="CU127" s="13">
        <v>33952.379999999997</v>
      </c>
      <c r="CV127" s="13">
        <v>24057.8</v>
      </c>
      <c r="CW127" s="13">
        <v>0</v>
      </c>
      <c r="CX127" s="13">
        <v>694158.24</v>
      </c>
      <c r="CY127" s="13">
        <v>133420.69</v>
      </c>
      <c r="CZ127" s="13">
        <v>-2981.05</v>
      </c>
      <c r="DA127" s="13">
        <v>9608.3700000000008</v>
      </c>
      <c r="DB127" s="13">
        <v>6166.43</v>
      </c>
      <c r="DC127" s="13"/>
      <c r="DD127" s="315">
        <v>4854034.16</v>
      </c>
      <c r="DE127" s="317">
        <v>4559878.03</v>
      </c>
      <c r="DF127" s="317">
        <v>93.94</v>
      </c>
      <c r="DG127" s="318">
        <v>840372.68</v>
      </c>
      <c r="DH127" s="310">
        <v>144072.84</v>
      </c>
      <c r="DI127" s="310">
        <v>82396.800000000003</v>
      </c>
      <c r="DJ127" s="312">
        <v>0</v>
      </c>
      <c r="DK127" s="362">
        <v>0</v>
      </c>
      <c r="DL127" s="362"/>
      <c r="DM127" s="362">
        <v>0</v>
      </c>
      <c r="DN127" s="362">
        <v>0</v>
      </c>
      <c r="DO127" s="362">
        <v>0</v>
      </c>
      <c r="DP127" s="362">
        <v>25932.9</v>
      </c>
      <c r="DQ127" s="362">
        <v>0</v>
      </c>
      <c r="DR127" s="362"/>
      <c r="DS127" s="362">
        <v>0</v>
      </c>
      <c r="DT127" s="362"/>
      <c r="DU127" s="362">
        <v>0</v>
      </c>
      <c r="DV127" s="362">
        <v>0</v>
      </c>
      <c r="DW127" s="362">
        <v>258000</v>
      </c>
      <c r="DX127" s="362">
        <v>0</v>
      </c>
      <c r="DY127" s="362">
        <v>41500</v>
      </c>
      <c r="DZ127" s="375">
        <v>0</v>
      </c>
      <c r="EA127" s="362">
        <v>0</v>
      </c>
      <c r="EB127" s="362">
        <v>0</v>
      </c>
      <c r="EC127" s="362"/>
      <c r="ED127" s="362">
        <v>1076374.98</v>
      </c>
      <c r="EE127" s="362">
        <v>11240</v>
      </c>
      <c r="EF127" s="362"/>
      <c r="EG127" s="362">
        <v>0</v>
      </c>
      <c r="EH127" s="362">
        <v>0</v>
      </c>
      <c r="EI127" s="362"/>
      <c r="EJ127" s="362">
        <v>0</v>
      </c>
      <c r="EK127" s="362"/>
      <c r="EL127" s="362">
        <v>0</v>
      </c>
      <c r="EM127" s="362">
        <v>8534.61</v>
      </c>
      <c r="EN127" s="362">
        <v>1147485</v>
      </c>
      <c r="EO127" s="362">
        <v>0</v>
      </c>
      <c r="EP127" s="362">
        <v>0</v>
      </c>
      <c r="EQ127" s="362">
        <v>0</v>
      </c>
      <c r="ER127" s="362">
        <v>60060</v>
      </c>
      <c r="ES127" s="362">
        <v>6924</v>
      </c>
      <c r="ET127" s="362">
        <v>33122</v>
      </c>
      <c r="EU127" s="362">
        <v>0</v>
      </c>
      <c r="EV127" s="362">
        <v>391447.1</v>
      </c>
      <c r="EW127" s="362"/>
      <c r="EX127" s="202"/>
      <c r="EY127" s="202"/>
      <c r="EZ127" s="229"/>
      <c r="FA127" s="368">
        <v>655609.93000000005</v>
      </c>
      <c r="FB127" s="368">
        <v>179757.1</v>
      </c>
      <c r="FC127" s="368">
        <v>0</v>
      </c>
      <c r="FD127" s="368">
        <v>0</v>
      </c>
      <c r="FE127" s="368">
        <v>42192.11</v>
      </c>
      <c r="FF127" s="368">
        <v>28977.49</v>
      </c>
      <c r="FG127" s="368">
        <v>0</v>
      </c>
      <c r="FH127" s="368">
        <v>-3801.99</v>
      </c>
      <c r="FI127" s="368">
        <v>0</v>
      </c>
      <c r="FJ127" s="368">
        <v>0</v>
      </c>
      <c r="FK127" s="368">
        <v>13639.79</v>
      </c>
      <c r="FL127" s="368">
        <v>0</v>
      </c>
      <c r="FM127" s="368">
        <v>378561.43</v>
      </c>
      <c r="FN127" s="368">
        <v>240706.89</v>
      </c>
      <c r="FO127" s="323">
        <v>3906358.55</v>
      </c>
      <c r="FP127" s="323">
        <v>916374.43</v>
      </c>
      <c r="FQ127" s="323">
        <v>4822732.9800000004</v>
      </c>
      <c r="FR127" s="338">
        <v>412052.67</v>
      </c>
      <c r="FS127" s="338">
        <v>60106.26</v>
      </c>
      <c r="FT127" s="377">
        <v>472158.93</v>
      </c>
      <c r="FU127" s="377">
        <v>4360881.37</v>
      </c>
      <c r="FV127" s="377">
        <v>753523.41</v>
      </c>
      <c r="FW127" s="362">
        <v>5114404.78</v>
      </c>
      <c r="FX127" s="362">
        <v>4005429.59</v>
      </c>
      <c r="FY127" s="362">
        <v>654471.78</v>
      </c>
      <c r="FZ127" s="362">
        <v>4659901.37</v>
      </c>
      <c r="GA127" s="362">
        <v>767504.45</v>
      </c>
      <c r="GB127" s="362">
        <v>159157.89000000001</v>
      </c>
      <c r="GC127" s="362">
        <v>926662.34</v>
      </c>
      <c r="GD127" s="362">
        <v>432935.26</v>
      </c>
      <c r="GE127" s="362">
        <v>65775.55</v>
      </c>
      <c r="GF127" s="362">
        <v>498710.81</v>
      </c>
      <c r="GG127" s="202">
        <v>86289.66</v>
      </c>
      <c r="GH127" s="416">
        <v>85</v>
      </c>
      <c r="GI127" s="414">
        <v>7087.1</v>
      </c>
      <c r="GJ127" s="419">
        <v>157129.32999999999</v>
      </c>
      <c r="GK127" s="396">
        <v>86289.66</v>
      </c>
      <c r="GL127" s="202">
        <v>73346.210999999996</v>
      </c>
      <c r="GM127" s="202">
        <v>12943.449000000001</v>
      </c>
      <c r="GN127" s="323">
        <v>454522.82</v>
      </c>
      <c r="GO127" s="323">
        <v>-162851.01999999999</v>
      </c>
      <c r="GP127" s="323">
        <v>291671.8</v>
      </c>
      <c r="GQ127" s="323">
        <v>887458.08</v>
      </c>
      <c r="GR127" s="323">
        <v>-97075.47</v>
      </c>
      <c r="GS127" s="323">
        <v>790382.61</v>
      </c>
    </row>
    <row r="128" spans="1:201" x14ac:dyDescent="0.2">
      <c r="A128" s="45" t="s">
        <v>194</v>
      </c>
      <c r="B128" s="163" t="s">
        <v>173</v>
      </c>
      <c r="C128" s="164" t="s">
        <v>34</v>
      </c>
      <c r="D128" s="388" t="s">
        <v>451</v>
      </c>
      <c r="E128" s="164" t="s">
        <v>12</v>
      </c>
      <c r="F128" s="11">
        <v>5</v>
      </c>
      <c r="G128" s="11">
        <v>4</v>
      </c>
      <c r="H128" s="11">
        <v>80</v>
      </c>
      <c r="I128" s="11">
        <v>80</v>
      </c>
      <c r="J128" s="11">
        <v>169</v>
      </c>
      <c r="K128" s="11">
        <v>205</v>
      </c>
      <c r="L128" s="11" t="s">
        <v>746</v>
      </c>
      <c r="M128" s="84">
        <v>168</v>
      </c>
      <c r="N128" s="84">
        <v>652</v>
      </c>
      <c r="O128" s="84">
        <v>0</v>
      </c>
      <c r="P128" s="135">
        <v>277.5</v>
      </c>
      <c r="Q128" s="135">
        <v>714.8</v>
      </c>
      <c r="R128" s="133">
        <v>0</v>
      </c>
      <c r="S128" s="133">
        <f t="shared" si="52"/>
        <v>992.3</v>
      </c>
      <c r="T128" s="134">
        <v>277.5</v>
      </c>
      <c r="U128" s="130">
        <v>1.53</v>
      </c>
      <c r="V128" s="131">
        <v>1.1299999999999999E-2</v>
      </c>
      <c r="W128" s="131" t="s">
        <v>823</v>
      </c>
      <c r="X128" s="132" t="s">
        <v>823</v>
      </c>
      <c r="Y128" s="131">
        <v>1.1299999999999999E-2</v>
      </c>
      <c r="Z128" s="29">
        <v>3502.3</v>
      </c>
      <c r="AA128" s="29"/>
      <c r="AB128" s="9">
        <f t="shared" si="29"/>
        <v>3502.3</v>
      </c>
      <c r="AC128" s="9">
        <f t="shared" si="55"/>
        <v>22169.56</v>
      </c>
      <c r="AD128" s="9">
        <v>0.43</v>
      </c>
      <c r="AE128" s="9">
        <v>4.25</v>
      </c>
      <c r="AF128" s="21">
        <f>2.68-AJ128</f>
        <v>2.44</v>
      </c>
      <c r="AG128" s="18">
        <f>0.59-AQ128</f>
        <v>0.45</v>
      </c>
      <c r="AH128" s="9">
        <v>2.38</v>
      </c>
      <c r="AI128" s="13">
        <v>846</v>
      </c>
      <c r="AJ128" s="21">
        <f t="shared" si="30"/>
        <v>0.24</v>
      </c>
      <c r="AK128" s="9">
        <v>0</v>
      </c>
      <c r="AL128" s="9">
        <v>0</v>
      </c>
      <c r="AM128" s="9">
        <v>0.16</v>
      </c>
      <c r="AN128" s="13">
        <v>356.3</v>
      </c>
      <c r="AO128" s="13">
        <v>712.5</v>
      </c>
      <c r="AP128" s="13">
        <f t="shared" si="53"/>
        <v>5.58</v>
      </c>
      <c r="AQ128" s="18">
        <f t="shared" si="31"/>
        <v>0.14000000000000001</v>
      </c>
      <c r="AR128" s="9">
        <v>0.83</v>
      </c>
      <c r="AS128" s="9">
        <v>0.39</v>
      </c>
      <c r="AT128" s="9">
        <v>7.0000000000000007E-2</v>
      </c>
      <c r="AU128" s="9">
        <v>4.7</v>
      </c>
      <c r="AV128" s="9">
        <v>0.12</v>
      </c>
      <c r="AW128" s="9">
        <f>1.05+0.41+0.32</f>
        <v>1.78</v>
      </c>
      <c r="AX128" s="9">
        <f>1.45+0.55</f>
        <v>2</v>
      </c>
      <c r="AY128" s="166">
        <f t="shared" si="54"/>
        <v>20.38</v>
      </c>
      <c r="AZ128" s="13">
        <v>20.38</v>
      </c>
      <c r="BA128" s="13">
        <f t="shared" si="32"/>
        <v>0</v>
      </c>
      <c r="BB128" s="9">
        <f t="shared" si="33"/>
        <v>71376.87</v>
      </c>
      <c r="BC128" s="9">
        <v>20.38</v>
      </c>
      <c r="BD128" s="10">
        <v>44409</v>
      </c>
      <c r="BE128" s="9">
        <f t="shared" si="34"/>
        <v>1505.99</v>
      </c>
      <c r="BF128" s="9">
        <f t="shared" si="35"/>
        <v>14884.78</v>
      </c>
      <c r="BG128" s="9">
        <f t="shared" si="36"/>
        <v>8545.61</v>
      </c>
      <c r="BH128" s="9">
        <f t="shared" si="37"/>
        <v>1576.04</v>
      </c>
      <c r="BI128" s="9">
        <f t="shared" si="38"/>
        <v>8335.4699999999993</v>
      </c>
      <c r="BJ128" s="9">
        <f t="shared" si="39"/>
        <v>840.55</v>
      </c>
      <c r="BK128" s="9">
        <f t="shared" si="40"/>
        <v>0</v>
      </c>
      <c r="BL128" s="9">
        <f t="shared" si="41"/>
        <v>0</v>
      </c>
      <c r="BM128" s="9">
        <f t="shared" si="42"/>
        <v>560.37</v>
      </c>
      <c r="BN128" s="9">
        <f t="shared" si="43"/>
        <v>490.32</v>
      </c>
      <c r="BO128" s="9">
        <f t="shared" si="44"/>
        <v>2906.91</v>
      </c>
      <c r="BP128" s="9">
        <f t="shared" si="45"/>
        <v>1365.9</v>
      </c>
      <c r="BQ128" s="9">
        <f t="shared" si="46"/>
        <v>245.16</v>
      </c>
      <c r="BR128" s="9">
        <f t="shared" si="47"/>
        <v>16460.810000000001</v>
      </c>
      <c r="BS128" s="9">
        <f t="shared" si="48"/>
        <v>420.28</v>
      </c>
      <c r="BT128" s="9">
        <f t="shared" si="49"/>
        <v>6234.09</v>
      </c>
      <c r="BU128" s="9">
        <f t="shared" si="50"/>
        <v>7004.6</v>
      </c>
      <c r="BV128" s="17">
        <f t="shared" si="51"/>
        <v>71376.88</v>
      </c>
      <c r="BW128" s="17">
        <v>1.74</v>
      </c>
      <c r="BX128" s="17">
        <v>0.03</v>
      </c>
      <c r="BY128" s="173">
        <v>0</v>
      </c>
      <c r="BZ128" s="17">
        <v>0.01</v>
      </c>
      <c r="CA128" s="29">
        <v>6.33</v>
      </c>
      <c r="CB128" s="325"/>
      <c r="CC128" s="13">
        <v>0</v>
      </c>
      <c r="CD128" s="13">
        <v>0</v>
      </c>
      <c r="CE128" s="13">
        <v>0</v>
      </c>
      <c r="CF128" s="13">
        <v>0</v>
      </c>
      <c r="CG128" s="13">
        <v>0</v>
      </c>
      <c r="CH128" s="13">
        <v>744</v>
      </c>
      <c r="CI128" s="13">
        <v>3352.36</v>
      </c>
      <c r="CJ128" s="13">
        <v>12192</v>
      </c>
      <c r="CK128" s="13">
        <v>1346.95</v>
      </c>
      <c r="CL128" s="13">
        <v>856522.8</v>
      </c>
      <c r="CM128" s="13">
        <v>50187.9</v>
      </c>
      <c r="CN128" s="13">
        <v>0</v>
      </c>
      <c r="CO128" s="13">
        <v>29664.68</v>
      </c>
      <c r="CP128" s="13">
        <v>13974.4</v>
      </c>
      <c r="CQ128" s="13">
        <v>0</v>
      </c>
      <c r="CR128" s="13">
        <v>787227.73</v>
      </c>
      <c r="CS128" s="13">
        <v>45465.45</v>
      </c>
      <c r="CT128" s="13">
        <v>0</v>
      </c>
      <c r="CU128" s="13">
        <v>27682.52</v>
      </c>
      <c r="CV128" s="13">
        <v>16082.68</v>
      </c>
      <c r="CW128" s="13">
        <v>0</v>
      </c>
      <c r="CX128" s="13">
        <v>153789.43</v>
      </c>
      <c r="CY128" s="13">
        <v>13524.51</v>
      </c>
      <c r="CZ128" s="13">
        <v>0</v>
      </c>
      <c r="DA128" s="13">
        <v>7721.86</v>
      </c>
      <c r="DB128" s="13">
        <v>5388.94</v>
      </c>
      <c r="DC128" s="13"/>
      <c r="DD128" s="315">
        <v>950349.78</v>
      </c>
      <c r="DE128" s="317">
        <v>876458.38</v>
      </c>
      <c r="DF128" s="317">
        <v>92.22</v>
      </c>
      <c r="DG128" s="318">
        <v>180424.74</v>
      </c>
      <c r="DH128" s="310">
        <v>36800.160000000003</v>
      </c>
      <c r="DI128" s="310">
        <v>21046.44</v>
      </c>
      <c r="DJ128" s="312">
        <v>0</v>
      </c>
      <c r="DK128" s="362">
        <v>0</v>
      </c>
      <c r="DL128" s="362"/>
      <c r="DM128" s="362">
        <v>0</v>
      </c>
      <c r="DN128" s="362">
        <v>0</v>
      </c>
      <c r="DO128" s="362">
        <v>0</v>
      </c>
      <c r="DP128" s="362">
        <v>13451.4</v>
      </c>
      <c r="DQ128" s="362">
        <v>71155</v>
      </c>
      <c r="DR128" s="362"/>
      <c r="DS128" s="362">
        <v>37440</v>
      </c>
      <c r="DT128" s="362"/>
      <c r="DU128" s="362">
        <v>0</v>
      </c>
      <c r="DV128" s="362">
        <v>0</v>
      </c>
      <c r="DW128" s="362">
        <v>0</v>
      </c>
      <c r="DX128" s="362">
        <v>0</v>
      </c>
      <c r="DY128" s="362">
        <v>0</v>
      </c>
      <c r="DZ128" s="375">
        <v>0</v>
      </c>
      <c r="EA128" s="362">
        <v>0</v>
      </c>
      <c r="EB128" s="362">
        <v>0</v>
      </c>
      <c r="EC128" s="362"/>
      <c r="ED128" s="362">
        <v>185054.94</v>
      </c>
      <c r="EE128" s="362">
        <v>13260</v>
      </c>
      <c r="EF128" s="362"/>
      <c r="EG128" s="362">
        <v>0</v>
      </c>
      <c r="EH128" s="362">
        <v>0</v>
      </c>
      <c r="EI128" s="362"/>
      <c r="EJ128" s="362">
        <v>0</v>
      </c>
      <c r="EK128" s="362"/>
      <c r="EL128" s="362">
        <v>0</v>
      </c>
      <c r="EM128" s="362">
        <v>5963.91</v>
      </c>
      <c r="EN128" s="362">
        <v>266271</v>
      </c>
      <c r="EO128" s="362">
        <v>372</v>
      </c>
      <c r="EP128" s="362">
        <v>0</v>
      </c>
      <c r="EQ128" s="362">
        <v>0</v>
      </c>
      <c r="ER128" s="362">
        <v>16380</v>
      </c>
      <c r="ES128" s="362">
        <v>2308</v>
      </c>
      <c r="ET128" s="362">
        <v>14372</v>
      </c>
      <c r="EU128" s="362">
        <v>0</v>
      </c>
      <c r="EV128" s="362">
        <v>4060.23</v>
      </c>
      <c r="EW128" s="362"/>
      <c r="EX128" s="202"/>
      <c r="EY128" s="202"/>
      <c r="EZ128" s="229"/>
      <c r="FA128" s="368">
        <v>62467.92</v>
      </c>
      <c r="FB128" s="368">
        <v>0</v>
      </c>
      <c r="FC128" s="368">
        <v>0</v>
      </c>
      <c r="FD128" s="368">
        <v>0</v>
      </c>
      <c r="FE128" s="368">
        <v>29906.13</v>
      </c>
      <c r="FF128" s="368">
        <v>16239.11</v>
      </c>
      <c r="FG128" s="368">
        <v>0</v>
      </c>
      <c r="FH128" s="368">
        <v>-896.06</v>
      </c>
      <c r="FI128" s="368">
        <v>0</v>
      </c>
      <c r="FJ128" s="368">
        <v>0</v>
      </c>
      <c r="FK128" s="368">
        <v>0</v>
      </c>
      <c r="FL128" s="368">
        <v>0</v>
      </c>
      <c r="FM128" s="368">
        <v>93634.2</v>
      </c>
      <c r="FN128" s="368">
        <v>59536.99</v>
      </c>
      <c r="FO128" s="323">
        <v>841106.27</v>
      </c>
      <c r="FP128" s="323">
        <v>107717.1</v>
      </c>
      <c r="FQ128" s="323">
        <v>948823.37</v>
      </c>
      <c r="FR128" s="338">
        <v>76792.09</v>
      </c>
      <c r="FS128" s="338">
        <v>31441.7</v>
      </c>
      <c r="FT128" s="377">
        <v>108233.79</v>
      </c>
      <c r="FU128" s="377">
        <v>872067.16</v>
      </c>
      <c r="FV128" s="377">
        <v>95917.93</v>
      </c>
      <c r="FW128" s="362">
        <v>967985.09</v>
      </c>
      <c r="FX128" s="362">
        <v>795069.82</v>
      </c>
      <c r="FY128" s="362">
        <v>100724.32</v>
      </c>
      <c r="FZ128" s="362">
        <v>895794.14</v>
      </c>
      <c r="GA128" s="362">
        <v>153789.43</v>
      </c>
      <c r="GB128" s="362">
        <v>26635.31</v>
      </c>
      <c r="GC128" s="362">
        <v>180424.74</v>
      </c>
      <c r="GD128" s="362">
        <v>14444.02</v>
      </c>
      <c r="GE128" s="362">
        <v>-9304.09</v>
      </c>
      <c r="GF128" s="362">
        <v>5139.93</v>
      </c>
      <c r="GG128" s="202"/>
      <c r="GH128" s="416">
        <v>0</v>
      </c>
      <c r="GI128" s="414">
        <v>1524</v>
      </c>
      <c r="GJ128" s="419">
        <v>744</v>
      </c>
      <c r="GK128" s="396"/>
      <c r="GL128" s="202">
        <v>0</v>
      </c>
      <c r="GM128" s="202">
        <v>0</v>
      </c>
      <c r="GN128" s="323">
        <v>30960.89</v>
      </c>
      <c r="GO128" s="323">
        <v>-11799.17</v>
      </c>
      <c r="GP128" s="323">
        <v>19161.72</v>
      </c>
      <c r="GQ128" s="323">
        <v>45404.91</v>
      </c>
      <c r="GR128" s="323">
        <v>-21103.26</v>
      </c>
      <c r="GS128" s="323">
        <v>24301.65</v>
      </c>
    </row>
    <row r="129" spans="1:201" x14ac:dyDescent="0.2">
      <c r="A129" s="45" t="s">
        <v>195</v>
      </c>
      <c r="B129" s="163" t="s">
        <v>173</v>
      </c>
      <c r="C129" s="164" t="s">
        <v>39</v>
      </c>
      <c r="D129" s="388" t="s">
        <v>562</v>
      </c>
      <c r="E129" s="164" t="s">
        <v>9</v>
      </c>
      <c r="F129" s="11">
        <v>9</v>
      </c>
      <c r="G129" s="11">
        <v>4</v>
      </c>
      <c r="H129" s="11">
        <v>216</v>
      </c>
      <c r="I129" s="11">
        <v>214</v>
      </c>
      <c r="J129" s="11">
        <v>352</v>
      </c>
      <c r="K129" s="11">
        <v>430</v>
      </c>
      <c r="L129" s="11">
        <v>4</v>
      </c>
      <c r="M129" s="84">
        <v>853</v>
      </c>
      <c r="N129" s="84">
        <v>1565</v>
      </c>
      <c r="O129" s="84">
        <v>1565</v>
      </c>
      <c r="P129" s="135">
        <f>579.4+942.1</f>
        <v>1521.5</v>
      </c>
      <c r="Q129" s="135">
        <v>688</v>
      </c>
      <c r="R129" s="133">
        <v>1345.01</v>
      </c>
      <c r="S129" s="133">
        <f t="shared" si="52"/>
        <v>3554.51</v>
      </c>
      <c r="T129" s="134">
        <v>1521.5</v>
      </c>
      <c r="U129" s="130">
        <v>2.44</v>
      </c>
      <c r="V129" s="131">
        <v>1.9800000000000002E-2</v>
      </c>
      <c r="W129" s="131">
        <v>1.9800000000000002E-2</v>
      </c>
      <c r="X129" s="132">
        <v>1.32E-3</v>
      </c>
      <c r="Y129" s="131">
        <v>3.9699999999999999E-2</v>
      </c>
      <c r="Z129" s="29">
        <v>7574.85</v>
      </c>
      <c r="AA129" s="29">
        <v>62.6</v>
      </c>
      <c r="AB129" s="9">
        <f t="shared" si="29"/>
        <v>7637.45</v>
      </c>
      <c r="AC129" s="9">
        <f t="shared" si="55"/>
        <v>48345.06</v>
      </c>
      <c r="AD129" s="9">
        <v>2</v>
      </c>
      <c r="AE129" s="9">
        <v>3.88</v>
      </c>
      <c r="AF129" s="21">
        <f>2.74-AJ129</f>
        <v>2.54</v>
      </c>
      <c r="AG129" s="18">
        <f>0.66-AQ129</f>
        <v>0.59</v>
      </c>
      <c r="AH129" s="9">
        <v>3.05</v>
      </c>
      <c r="AI129" s="13">
        <v>1502</v>
      </c>
      <c r="AJ129" s="21">
        <f t="shared" si="30"/>
        <v>0.2</v>
      </c>
      <c r="AK129" s="9">
        <v>2.2400000000000002</v>
      </c>
      <c r="AL129" s="9">
        <v>0.4</v>
      </c>
      <c r="AM129" s="9">
        <v>0.12</v>
      </c>
      <c r="AN129" s="13"/>
      <c r="AO129" s="13">
        <v>1223.5999999999999</v>
      </c>
      <c r="AP129" s="13">
        <f t="shared" si="53"/>
        <v>5.58</v>
      </c>
      <c r="AQ129" s="18">
        <f t="shared" si="31"/>
        <v>7.0000000000000007E-2</v>
      </c>
      <c r="AR129" s="9">
        <v>0.85</v>
      </c>
      <c r="AS129" s="9">
        <v>0.18</v>
      </c>
      <c r="AT129" s="9">
        <v>7.0000000000000007E-2</v>
      </c>
      <c r="AU129" s="9">
        <v>4.53</v>
      </c>
      <c r="AV129" s="9">
        <v>0.17</v>
      </c>
      <c r="AW129" s="9">
        <f>1.45+0.4+0.39</f>
        <v>2.2400000000000002</v>
      </c>
      <c r="AX129" s="9">
        <f>2.05+0.54</f>
        <v>2.59</v>
      </c>
      <c r="AY129" s="166">
        <f t="shared" si="54"/>
        <v>25.72</v>
      </c>
      <c r="AZ129" s="13">
        <v>25.72</v>
      </c>
      <c r="BA129" s="13">
        <f t="shared" si="32"/>
        <v>0</v>
      </c>
      <c r="BB129" s="9">
        <f t="shared" si="33"/>
        <v>196435.21</v>
      </c>
      <c r="BC129" s="9">
        <v>25.72</v>
      </c>
      <c r="BD129" s="10">
        <v>44409</v>
      </c>
      <c r="BE129" s="9">
        <f t="shared" si="34"/>
        <v>15274.9</v>
      </c>
      <c r="BF129" s="9">
        <f t="shared" si="35"/>
        <v>29633.31</v>
      </c>
      <c r="BG129" s="9">
        <f t="shared" si="36"/>
        <v>19399.12</v>
      </c>
      <c r="BH129" s="9">
        <f t="shared" si="37"/>
        <v>4506.1000000000004</v>
      </c>
      <c r="BI129" s="9">
        <f t="shared" si="38"/>
        <v>23294.22</v>
      </c>
      <c r="BJ129" s="9">
        <f t="shared" si="39"/>
        <v>1527.49</v>
      </c>
      <c r="BK129" s="9">
        <f t="shared" si="40"/>
        <v>17107.89</v>
      </c>
      <c r="BL129" s="9">
        <f t="shared" si="41"/>
        <v>3054.98</v>
      </c>
      <c r="BM129" s="9">
        <f t="shared" si="42"/>
        <v>916.49</v>
      </c>
      <c r="BN129" s="9">
        <f t="shared" si="43"/>
        <v>534.62</v>
      </c>
      <c r="BO129" s="9">
        <f t="shared" si="44"/>
        <v>6491.83</v>
      </c>
      <c r="BP129" s="9">
        <f t="shared" si="45"/>
        <v>1374.74</v>
      </c>
      <c r="BQ129" s="9">
        <f t="shared" si="46"/>
        <v>534.62</v>
      </c>
      <c r="BR129" s="9">
        <f t="shared" si="47"/>
        <v>34597.65</v>
      </c>
      <c r="BS129" s="9">
        <f t="shared" si="48"/>
        <v>1298.3699999999999</v>
      </c>
      <c r="BT129" s="9">
        <f t="shared" si="49"/>
        <v>17107.89</v>
      </c>
      <c r="BU129" s="9">
        <f t="shared" si="50"/>
        <v>19781</v>
      </c>
      <c r="BV129" s="17">
        <f t="shared" si="51"/>
        <v>196435.22</v>
      </c>
      <c r="BW129" s="17">
        <v>4.57</v>
      </c>
      <c r="BX129" s="17">
        <v>0.11</v>
      </c>
      <c r="BY129" s="17">
        <v>0.71</v>
      </c>
      <c r="BZ129" s="17">
        <v>0.12</v>
      </c>
      <c r="CA129" s="29">
        <v>6.33</v>
      </c>
      <c r="CB129" s="325"/>
      <c r="CC129" s="13">
        <v>23349.759999999998</v>
      </c>
      <c r="CD129" s="13">
        <v>3004.18</v>
      </c>
      <c r="CE129" s="13">
        <v>66.989999999999995</v>
      </c>
      <c r="CF129" s="13">
        <v>523.96</v>
      </c>
      <c r="CG129" s="13">
        <v>219.74</v>
      </c>
      <c r="CH129" s="13">
        <v>0</v>
      </c>
      <c r="CI129" s="13">
        <v>8254.7800000000007</v>
      </c>
      <c r="CJ129" s="13">
        <v>44880</v>
      </c>
      <c r="CK129" s="13">
        <v>2935.9</v>
      </c>
      <c r="CL129" s="13">
        <v>2326979.92</v>
      </c>
      <c r="CM129" s="13">
        <v>387824.61</v>
      </c>
      <c r="CN129" s="13">
        <v>30754.36</v>
      </c>
      <c r="CO129" s="13">
        <v>40743.78</v>
      </c>
      <c r="CP129" s="13">
        <v>26809.08</v>
      </c>
      <c r="CQ129" s="13">
        <v>0</v>
      </c>
      <c r="CR129" s="13">
        <v>2099254.62</v>
      </c>
      <c r="CS129" s="13">
        <v>327007.53999999998</v>
      </c>
      <c r="CT129" s="13">
        <v>20668.59</v>
      </c>
      <c r="CU129" s="13">
        <v>38685.93</v>
      </c>
      <c r="CV129" s="13">
        <v>24682.16</v>
      </c>
      <c r="CW129" s="13">
        <v>0</v>
      </c>
      <c r="CX129" s="13">
        <v>447198.03</v>
      </c>
      <c r="CY129" s="13">
        <v>87251.68</v>
      </c>
      <c r="CZ129" s="13">
        <v>-22610.3</v>
      </c>
      <c r="DA129" s="13">
        <v>10254.31</v>
      </c>
      <c r="DB129" s="13">
        <v>6109.3</v>
      </c>
      <c r="DC129" s="13"/>
      <c r="DD129" s="315">
        <v>2813111.75</v>
      </c>
      <c r="DE129" s="317">
        <v>2510298.84</v>
      </c>
      <c r="DF129" s="317">
        <v>89.24</v>
      </c>
      <c r="DG129" s="318">
        <v>528203.02</v>
      </c>
      <c r="DH129" s="310">
        <v>79551.240000000005</v>
      </c>
      <c r="DI129" s="310">
        <v>45496.2</v>
      </c>
      <c r="DJ129" s="312">
        <v>0</v>
      </c>
      <c r="DK129" s="362">
        <v>0</v>
      </c>
      <c r="DL129" s="362"/>
      <c r="DM129" s="362">
        <v>0</v>
      </c>
      <c r="DN129" s="362">
        <v>0</v>
      </c>
      <c r="DO129" s="362">
        <v>0</v>
      </c>
      <c r="DP129" s="362">
        <v>23881.8</v>
      </c>
      <c r="DQ129" s="362">
        <v>2520</v>
      </c>
      <c r="DR129" s="362"/>
      <c r="DS129" s="362">
        <v>0</v>
      </c>
      <c r="DT129" s="362"/>
      <c r="DU129" s="362">
        <v>0</v>
      </c>
      <c r="DV129" s="362">
        <v>0</v>
      </c>
      <c r="DW129" s="362">
        <v>198146.77</v>
      </c>
      <c r="DX129" s="362">
        <v>0</v>
      </c>
      <c r="DY129" s="362">
        <v>56000</v>
      </c>
      <c r="DZ129" s="375">
        <v>0</v>
      </c>
      <c r="EA129" s="362">
        <v>0</v>
      </c>
      <c r="EB129" s="362">
        <v>0</v>
      </c>
      <c r="EC129" s="362"/>
      <c r="ED129" s="362">
        <v>531847.38</v>
      </c>
      <c r="EE129" s="362">
        <v>27250</v>
      </c>
      <c r="EF129" s="362"/>
      <c r="EG129" s="362">
        <v>0</v>
      </c>
      <c r="EH129" s="362">
        <v>0</v>
      </c>
      <c r="EI129" s="362"/>
      <c r="EJ129" s="362">
        <v>0</v>
      </c>
      <c r="EK129" s="362"/>
      <c r="EL129" s="362">
        <v>0</v>
      </c>
      <c r="EM129" s="362">
        <v>6827.7</v>
      </c>
      <c r="EN129" s="362">
        <v>666835.19999999995</v>
      </c>
      <c r="EO129" s="362">
        <v>0</v>
      </c>
      <c r="EP129" s="362">
        <v>0</v>
      </c>
      <c r="EQ129" s="362">
        <v>0</v>
      </c>
      <c r="ER129" s="362">
        <v>16380</v>
      </c>
      <c r="ES129" s="362">
        <v>9420</v>
      </c>
      <c r="ET129" s="362">
        <v>26434</v>
      </c>
      <c r="EU129" s="362">
        <v>0</v>
      </c>
      <c r="EV129" s="362">
        <v>92872.9</v>
      </c>
      <c r="EW129" s="362"/>
      <c r="EX129" s="202"/>
      <c r="EY129" s="202"/>
      <c r="EZ129" s="229"/>
      <c r="FA129" s="368">
        <v>402840.97</v>
      </c>
      <c r="FB129" s="368">
        <v>51511.12</v>
      </c>
      <c r="FC129" s="368">
        <v>0</v>
      </c>
      <c r="FD129" s="368">
        <v>0</v>
      </c>
      <c r="FE129" s="368">
        <v>48725.9</v>
      </c>
      <c r="FF129" s="368">
        <v>31464.19</v>
      </c>
      <c r="FG129" s="368">
        <v>-3645.58</v>
      </c>
      <c r="FH129" s="368">
        <v>-4001.95</v>
      </c>
      <c r="FI129" s="368">
        <v>0</v>
      </c>
      <c r="FJ129" s="368">
        <v>0</v>
      </c>
      <c r="FK129" s="368">
        <v>98185.71</v>
      </c>
      <c r="FL129" s="368">
        <v>0</v>
      </c>
      <c r="FM129" s="368">
        <v>204133.26</v>
      </c>
      <c r="FN129" s="368">
        <v>129797.46</v>
      </c>
      <c r="FO129" s="323">
        <v>2117393.91</v>
      </c>
      <c r="FP129" s="323">
        <v>625080.36</v>
      </c>
      <c r="FQ129" s="323">
        <v>2742474.27</v>
      </c>
      <c r="FR129" s="338">
        <v>215943.15</v>
      </c>
      <c r="FS129" s="338">
        <v>39503.230000000003</v>
      </c>
      <c r="FT129" s="377">
        <v>255446.38</v>
      </c>
      <c r="FU129" s="377">
        <v>2403464.46</v>
      </c>
      <c r="FV129" s="377">
        <v>492882.6</v>
      </c>
      <c r="FW129" s="362">
        <v>2896347.06</v>
      </c>
      <c r="FX129" s="362">
        <v>2143833.17</v>
      </c>
      <c r="FY129" s="362">
        <v>446761.42</v>
      </c>
      <c r="FZ129" s="362">
        <v>2590594.59</v>
      </c>
      <c r="GA129" s="362">
        <v>475574.44</v>
      </c>
      <c r="GB129" s="362">
        <v>85624.41</v>
      </c>
      <c r="GC129" s="362">
        <v>561198.85</v>
      </c>
      <c r="GD129" s="362">
        <v>220063.72</v>
      </c>
      <c r="GE129" s="362">
        <v>14304.02</v>
      </c>
      <c r="GF129" s="362">
        <v>234367.74</v>
      </c>
      <c r="GG129" s="202">
        <v>32995.83</v>
      </c>
      <c r="GH129" s="416">
        <v>86</v>
      </c>
      <c r="GI129" s="414">
        <v>3023.1</v>
      </c>
      <c r="GJ129" s="419">
        <v>27164.63</v>
      </c>
      <c r="GK129" s="396">
        <v>32995.83</v>
      </c>
      <c r="GL129" s="202">
        <v>28376.413799999998</v>
      </c>
      <c r="GM129" s="202">
        <v>4619.4161999999997</v>
      </c>
      <c r="GN129" s="323">
        <v>286070.55</v>
      </c>
      <c r="GO129" s="323">
        <v>-132197.76000000001</v>
      </c>
      <c r="GP129" s="323">
        <v>153872.79</v>
      </c>
      <c r="GQ129" s="323">
        <v>506134.27</v>
      </c>
      <c r="GR129" s="323">
        <v>-117893.74</v>
      </c>
      <c r="GS129" s="323">
        <v>388240.53</v>
      </c>
    </row>
    <row r="130" spans="1:201" x14ac:dyDescent="0.2">
      <c r="A130" s="45" t="s">
        <v>196</v>
      </c>
      <c r="B130" s="163" t="s">
        <v>173</v>
      </c>
      <c r="C130" s="164" t="s">
        <v>179</v>
      </c>
      <c r="D130" s="388" t="s">
        <v>452</v>
      </c>
      <c r="E130" s="164" t="s">
        <v>12</v>
      </c>
      <c r="F130" s="11">
        <v>10</v>
      </c>
      <c r="G130" s="11">
        <v>14</v>
      </c>
      <c r="H130" s="11">
        <v>689</v>
      </c>
      <c r="I130" s="11">
        <v>731</v>
      </c>
      <c r="J130" s="11">
        <v>851</v>
      </c>
      <c r="K130" s="11">
        <v>1141</v>
      </c>
      <c r="L130" s="83">
        <v>14</v>
      </c>
      <c r="M130" s="84">
        <v>3721.2</v>
      </c>
      <c r="N130" s="84">
        <v>3456.15</v>
      </c>
      <c r="O130" s="84">
        <v>3459</v>
      </c>
      <c r="P130" s="135">
        <f>294.5+255.5+440.3+307.4+271.4+606.5+385.5+621.5+473.9+406.1</f>
        <v>4062.6</v>
      </c>
      <c r="Q130" s="135">
        <f>763.3+595.8</f>
        <v>1359.1</v>
      </c>
      <c r="R130" s="133">
        <v>0</v>
      </c>
      <c r="S130" s="133">
        <f t="shared" si="52"/>
        <v>5421.7</v>
      </c>
      <c r="T130" s="134">
        <v>3556.2</v>
      </c>
      <c r="U130" s="130">
        <v>2.74</v>
      </c>
      <c r="V130" s="91">
        <v>1.1299999999999999E-2</v>
      </c>
      <c r="W130" s="91">
        <v>1.1299999999999999E-2</v>
      </c>
      <c r="X130" s="132">
        <v>7.5000000000000002E-4</v>
      </c>
      <c r="Y130" s="91">
        <v>2.2499999999999999E-2</v>
      </c>
      <c r="Z130" s="29">
        <v>21498.38</v>
      </c>
      <c r="AA130" s="29">
        <v>16.3</v>
      </c>
      <c r="AB130" s="9">
        <f t="shared" si="29"/>
        <v>21514.68</v>
      </c>
      <c r="AC130" s="9">
        <f t="shared" si="55"/>
        <v>136187.92000000001</v>
      </c>
      <c r="AD130" s="9">
        <v>1.97</v>
      </c>
      <c r="AE130" s="9">
        <v>4.26</v>
      </c>
      <c r="AF130" s="21">
        <f>2.75-AJ130</f>
        <v>2.6</v>
      </c>
      <c r="AG130" s="18">
        <f>0.68-AQ130</f>
        <v>0.61</v>
      </c>
      <c r="AH130" s="9">
        <v>2.71</v>
      </c>
      <c r="AI130" s="13">
        <v>3318</v>
      </c>
      <c r="AJ130" s="21">
        <f t="shared" si="30"/>
        <v>0.15</v>
      </c>
      <c r="AK130" s="9">
        <v>2</v>
      </c>
      <c r="AL130" s="9">
        <v>0.28000000000000003</v>
      </c>
      <c r="AM130" s="9">
        <v>0.09</v>
      </c>
      <c r="AN130" s="13"/>
      <c r="AO130" s="13">
        <v>3395</v>
      </c>
      <c r="AP130" s="13">
        <f t="shared" si="53"/>
        <v>5.58</v>
      </c>
      <c r="AQ130" s="18">
        <f t="shared" si="31"/>
        <v>7.0000000000000007E-2</v>
      </c>
      <c r="AR130" s="9">
        <v>0.65</v>
      </c>
      <c r="AS130" s="9">
        <v>0.19</v>
      </c>
      <c r="AT130" s="9">
        <v>7.0000000000000007E-2</v>
      </c>
      <c r="AU130" s="9">
        <v>5.27</v>
      </c>
      <c r="AV130" s="9">
        <v>0.17</v>
      </c>
      <c r="AW130" s="9">
        <f>1.41+0.47+0.3</f>
        <v>2.1800000000000002</v>
      </c>
      <c r="AX130" s="9">
        <f>1.97+0.62</f>
        <v>2.59</v>
      </c>
      <c r="AY130" s="166">
        <f t="shared" si="54"/>
        <v>25.86</v>
      </c>
      <c r="AZ130" s="13">
        <v>25.86</v>
      </c>
      <c r="BA130" s="13">
        <f t="shared" si="32"/>
        <v>0</v>
      </c>
      <c r="BB130" s="9">
        <f t="shared" si="33"/>
        <v>556369.62</v>
      </c>
      <c r="BC130" s="9">
        <v>25.86</v>
      </c>
      <c r="BD130" s="10">
        <v>44409</v>
      </c>
      <c r="BE130" s="9">
        <f t="shared" si="34"/>
        <v>42383.92</v>
      </c>
      <c r="BF130" s="9">
        <f t="shared" si="35"/>
        <v>91652.54</v>
      </c>
      <c r="BG130" s="9">
        <f t="shared" si="36"/>
        <v>55938.17</v>
      </c>
      <c r="BH130" s="9">
        <f t="shared" si="37"/>
        <v>13123.95</v>
      </c>
      <c r="BI130" s="9">
        <f t="shared" si="38"/>
        <v>58304.78</v>
      </c>
      <c r="BJ130" s="9">
        <f t="shared" si="39"/>
        <v>3227.2</v>
      </c>
      <c r="BK130" s="9">
        <f t="shared" si="40"/>
        <v>43029.36</v>
      </c>
      <c r="BL130" s="9">
        <f t="shared" si="41"/>
        <v>6024.11</v>
      </c>
      <c r="BM130" s="9">
        <f t="shared" si="42"/>
        <v>1936.32</v>
      </c>
      <c r="BN130" s="9">
        <f t="shared" si="43"/>
        <v>1506.03</v>
      </c>
      <c r="BO130" s="9">
        <f t="shared" si="44"/>
        <v>13984.54</v>
      </c>
      <c r="BP130" s="9">
        <f t="shared" si="45"/>
        <v>4087.79</v>
      </c>
      <c r="BQ130" s="9">
        <f t="shared" si="46"/>
        <v>1506.03</v>
      </c>
      <c r="BR130" s="9">
        <f t="shared" si="47"/>
        <v>113382.36</v>
      </c>
      <c r="BS130" s="9">
        <f t="shared" si="48"/>
        <v>3657.5</v>
      </c>
      <c r="BT130" s="9">
        <f t="shared" si="49"/>
        <v>46902</v>
      </c>
      <c r="BU130" s="9">
        <f t="shared" si="50"/>
        <v>55723.02</v>
      </c>
      <c r="BV130" s="17">
        <f t="shared" si="51"/>
        <v>556369.62</v>
      </c>
      <c r="BW130" s="17">
        <v>5.1100000000000003</v>
      </c>
      <c r="BX130" s="17">
        <v>0.05</v>
      </c>
      <c r="BY130" s="17">
        <v>0.33</v>
      </c>
      <c r="BZ130" s="17">
        <v>0.06</v>
      </c>
      <c r="CA130" s="29">
        <v>6.33</v>
      </c>
      <c r="CB130" s="325"/>
      <c r="CC130" s="13">
        <v>5058.24</v>
      </c>
      <c r="CD130" s="13">
        <v>1134.96</v>
      </c>
      <c r="CE130" s="13">
        <v>7.99</v>
      </c>
      <c r="CF130" s="13">
        <v>60.29</v>
      </c>
      <c r="CG130" s="13">
        <v>41.92</v>
      </c>
      <c r="CH130" s="13">
        <v>0</v>
      </c>
      <c r="CI130" s="13">
        <v>35731.06</v>
      </c>
      <c r="CJ130" s="13">
        <v>107304</v>
      </c>
      <c r="CK130" s="13">
        <v>8271.56</v>
      </c>
      <c r="CL130" s="13">
        <v>6670212.2699999996</v>
      </c>
      <c r="CM130" s="13">
        <v>1496677.65</v>
      </c>
      <c r="CN130" s="13">
        <v>0</v>
      </c>
      <c r="CO130" s="13">
        <v>90061.06</v>
      </c>
      <c r="CP130" s="13">
        <v>55246.12</v>
      </c>
      <c r="CQ130" s="13">
        <v>0</v>
      </c>
      <c r="CR130" s="13">
        <v>6469711.0700000003</v>
      </c>
      <c r="CS130" s="13">
        <v>1321675.96</v>
      </c>
      <c r="CT130" s="13">
        <v>5479.63</v>
      </c>
      <c r="CU130" s="13">
        <v>82435.37</v>
      </c>
      <c r="CV130" s="13">
        <v>49468.18</v>
      </c>
      <c r="CW130" s="13">
        <v>0</v>
      </c>
      <c r="CX130" s="13">
        <v>991586.15</v>
      </c>
      <c r="CY130" s="13">
        <v>248324.02</v>
      </c>
      <c r="CZ130" s="13">
        <v>-7243.22</v>
      </c>
      <c r="DA130" s="13">
        <v>18489.8</v>
      </c>
      <c r="DB130" s="13">
        <v>10800.55</v>
      </c>
      <c r="DC130" s="13"/>
      <c r="DD130" s="315">
        <v>8312197.0999999996</v>
      </c>
      <c r="DE130" s="317">
        <v>7928770.21</v>
      </c>
      <c r="DF130" s="317">
        <v>95.39</v>
      </c>
      <c r="DG130" s="318">
        <v>1261957.3</v>
      </c>
      <c r="DH130" s="310">
        <v>225810.72</v>
      </c>
      <c r="DI130" s="310">
        <v>129143.52</v>
      </c>
      <c r="DJ130" s="312">
        <v>0</v>
      </c>
      <c r="DK130" s="362">
        <v>0</v>
      </c>
      <c r="DL130" s="362"/>
      <c r="DM130" s="362">
        <v>0</v>
      </c>
      <c r="DN130" s="362">
        <v>0</v>
      </c>
      <c r="DO130" s="362">
        <v>0</v>
      </c>
      <c r="DP130" s="362">
        <v>52756.2</v>
      </c>
      <c r="DQ130" s="362">
        <v>4123</v>
      </c>
      <c r="DR130" s="362"/>
      <c r="DS130" s="362">
        <v>0</v>
      </c>
      <c r="DT130" s="362"/>
      <c r="DU130" s="362">
        <v>0</v>
      </c>
      <c r="DV130" s="362">
        <v>0</v>
      </c>
      <c r="DW130" s="362">
        <v>515722.58</v>
      </c>
      <c r="DX130" s="362">
        <v>0</v>
      </c>
      <c r="DY130" s="362">
        <v>92500</v>
      </c>
      <c r="DZ130" s="375">
        <v>0</v>
      </c>
      <c r="EA130" s="362">
        <v>0</v>
      </c>
      <c r="EB130" s="362">
        <v>0</v>
      </c>
      <c r="EC130" s="362"/>
      <c r="ED130" s="362">
        <v>1615454.58</v>
      </c>
      <c r="EE130" s="362">
        <v>27250</v>
      </c>
      <c r="EF130" s="362"/>
      <c r="EG130" s="362">
        <v>0</v>
      </c>
      <c r="EH130" s="362">
        <v>0</v>
      </c>
      <c r="EI130" s="362"/>
      <c r="EJ130" s="362">
        <v>0</v>
      </c>
      <c r="EK130" s="362"/>
      <c r="EL130" s="362">
        <v>0</v>
      </c>
      <c r="EM130" s="362">
        <v>18944.099999999999</v>
      </c>
      <c r="EN130" s="362">
        <v>1772643</v>
      </c>
      <c r="EO130" s="362">
        <v>0</v>
      </c>
      <c r="EP130" s="362">
        <v>0</v>
      </c>
      <c r="EQ130" s="362">
        <v>0</v>
      </c>
      <c r="ER130" s="362">
        <v>46410</v>
      </c>
      <c r="ES130" s="362">
        <v>22149</v>
      </c>
      <c r="ET130" s="362">
        <v>53960</v>
      </c>
      <c r="EU130" s="362">
        <v>0</v>
      </c>
      <c r="EV130" s="362">
        <v>309192.82</v>
      </c>
      <c r="EW130" s="362"/>
      <c r="EX130" s="202"/>
      <c r="EY130" s="202"/>
      <c r="EZ130" s="229"/>
      <c r="FA130" s="368">
        <v>1524464.5</v>
      </c>
      <c r="FB130" s="368">
        <v>0</v>
      </c>
      <c r="FC130" s="368">
        <v>0</v>
      </c>
      <c r="FD130" s="368">
        <v>0</v>
      </c>
      <c r="FE130" s="368">
        <v>118205.72</v>
      </c>
      <c r="FF130" s="368">
        <v>69515.8</v>
      </c>
      <c r="FG130" s="368">
        <v>0</v>
      </c>
      <c r="FH130" s="368">
        <v>-5704.28</v>
      </c>
      <c r="FI130" s="368">
        <v>0</v>
      </c>
      <c r="FJ130" s="368">
        <v>0</v>
      </c>
      <c r="FK130" s="368">
        <v>17551.169999999998</v>
      </c>
      <c r="FL130" s="368">
        <v>0</v>
      </c>
      <c r="FM130" s="368">
        <v>575092.44999999995</v>
      </c>
      <c r="FN130" s="368">
        <v>365670.07</v>
      </c>
      <c r="FO130" s="323">
        <v>5826822.04</v>
      </c>
      <c r="FP130" s="323">
        <v>1724032.91</v>
      </c>
      <c r="FQ130" s="323">
        <v>7550854.9500000002</v>
      </c>
      <c r="FR130" s="338">
        <v>636693.30000000005</v>
      </c>
      <c r="FS130" s="338">
        <v>134509.9</v>
      </c>
      <c r="FT130" s="377">
        <v>771203.2</v>
      </c>
      <c r="FU130" s="377">
        <v>6818305.5700000003</v>
      </c>
      <c r="FV130" s="377">
        <v>1651501.55</v>
      </c>
      <c r="FW130" s="362">
        <v>8469807.1199999992</v>
      </c>
      <c r="FX130" s="362">
        <v>6462956.1900000004</v>
      </c>
      <c r="FY130" s="362">
        <v>1515526.17</v>
      </c>
      <c r="FZ130" s="362">
        <v>7978482.3600000003</v>
      </c>
      <c r="GA130" s="362">
        <v>992042.68</v>
      </c>
      <c r="GB130" s="362">
        <v>270485.28000000003</v>
      </c>
      <c r="GC130" s="362">
        <v>1262527.96</v>
      </c>
      <c r="GD130" s="362">
        <v>191281.42</v>
      </c>
      <c r="GE130" s="362">
        <v>10055.76</v>
      </c>
      <c r="GF130" s="362">
        <v>201337.18</v>
      </c>
      <c r="GG130" s="202">
        <v>570.66</v>
      </c>
      <c r="GH130" s="416">
        <v>80</v>
      </c>
      <c r="GI130" s="414">
        <v>10122.65</v>
      </c>
      <c r="GJ130" s="419">
        <v>6303.4</v>
      </c>
      <c r="GK130" s="396">
        <v>570.66</v>
      </c>
      <c r="GL130" s="202">
        <v>456.52800000000002</v>
      </c>
      <c r="GM130" s="202">
        <v>114.13200000000001</v>
      </c>
      <c r="GN130" s="323">
        <v>991483.53</v>
      </c>
      <c r="GO130" s="323">
        <v>-72531.360000000001</v>
      </c>
      <c r="GP130" s="323">
        <v>918952.17</v>
      </c>
      <c r="GQ130" s="323">
        <v>1182764.95</v>
      </c>
      <c r="GR130" s="323">
        <v>-62475.6</v>
      </c>
      <c r="GS130" s="323">
        <v>1120289.3500000001</v>
      </c>
    </row>
    <row r="131" spans="1:201" x14ac:dyDescent="0.2">
      <c r="A131" s="45" t="s">
        <v>197</v>
      </c>
      <c r="B131" s="163" t="s">
        <v>173</v>
      </c>
      <c r="C131" s="164" t="s">
        <v>41</v>
      </c>
      <c r="D131" s="388" t="s">
        <v>453</v>
      </c>
      <c r="E131" s="164" t="s">
        <v>12</v>
      </c>
      <c r="F131" s="11">
        <v>9</v>
      </c>
      <c r="G131" s="11">
        <v>1</v>
      </c>
      <c r="H131" s="11">
        <v>54</v>
      </c>
      <c r="I131" s="11">
        <v>54</v>
      </c>
      <c r="J131" s="11">
        <v>103</v>
      </c>
      <c r="K131" s="11">
        <v>134</v>
      </c>
      <c r="L131" s="83">
        <v>1</v>
      </c>
      <c r="M131" s="84">
        <v>354.4</v>
      </c>
      <c r="N131" s="84">
        <v>0</v>
      </c>
      <c r="O131" s="84">
        <v>500.9</v>
      </c>
      <c r="P131" s="135">
        <v>377.4</v>
      </c>
      <c r="Q131" s="135">
        <v>472.9</v>
      </c>
      <c r="R131" s="133">
        <v>0</v>
      </c>
      <c r="S131" s="133">
        <f t="shared" si="52"/>
        <v>850.3</v>
      </c>
      <c r="T131" s="134">
        <v>377.4</v>
      </c>
      <c r="U131" s="130">
        <v>2.44</v>
      </c>
      <c r="V131" s="131">
        <v>1.9800000000000002E-2</v>
      </c>
      <c r="W131" s="131">
        <v>1.9800000000000002E-2</v>
      </c>
      <c r="X131" s="132">
        <v>1.32E-3</v>
      </c>
      <c r="Y131" s="131">
        <v>3.9699999999999999E-2</v>
      </c>
      <c r="Z131" s="29">
        <v>2808.8</v>
      </c>
      <c r="AA131" s="29">
        <v>306.89999999999998</v>
      </c>
      <c r="AB131" s="9">
        <f t="shared" si="29"/>
        <v>3115.7</v>
      </c>
      <c r="AC131" s="9">
        <f t="shared" si="55"/>
        <v>19722.38</v>
      </c>
      <c r="AD131" s="9">
        <v>1.7</v>
      </c>
      <c r="AE131" s="9">
        <v>4.45</v>
      </c>
      <c r="AF131" s="21">
        <f>2.57-AJ131</f>
        <v>2.42</v>
      </c>
      <c r="AG131" s="18">
        <f>0.61-AQ131</f>
        <v>0.56000000000000005</v>
      </c>
      <c r="AH131" s="9">
        <v>3.05</v>
      </c>
      <c r="AI131" s="13">
        <v>481</v>
      </c>
      <c r="AJ131" s="21">
        <f t="shared" si="30"/>
        <v>0.15</v>
      </c>
      <c r="AK131" s="9">
        <v>1.4</v>
      </c>
      <c r="AL131" s="9">
        <v>0.12</v>
      </c>
      <c r="AM131" s="9">
        <v>0.31</v>
      </c>
      <c r="AN131" s="13"/>
      <c r="AO131" s="13">
        <v>305.89999999999998</v>
      </c>
      <c r="AP131" s="13">
        <f t="shared" si="53"/>
        <v>5.58</v>
      </c>
      <c r="AQ131" s="18">
        <f t="shared" si="31"/>
        <v>0.05</v>
      </c>
      <c r="AR131" s="9">
        <v>0.54</v>
      </c>
      <c r="AS131" s="9">
        <v>0.44</v>
      </c>
      <c r="AT131" s="9">
        <v>0</v>
      </c>
      <c r="AU131" s="9">
        <v>4.37</v>
      </c>
      <c r="AV131" s="9">
        <v>0.16</v>
      </c>
      <c r="AW131" s="9">
        <f>1.36+0.39+0.27</f>
        <v>2.02</v>
      </c>
      <c r="AX131" s="9">
        <f>1.9+0.51</f>
        <v>2.41</v>
      </c>
      <c r="AY131" s="166">
        <f t="shared" si="54"/>
        <v>24.15</v>
      </c>
      <c r="AZ131" s="13">
        <v>24.15</v>
      </c>
      <c r="BA131" s="13">
        <f t="shared" si="32"/>
        <v>0</v>
      </c>
      <c r="BB131" s="9">
        <f t="shared" si="33"/>
        <v>75244.160000000003</v>
      </c>
      <c r="BC131" s="9">
        <v>24.15</v>
      </c>
      <c r="BD131" s="10">
        <v>44409</v>
      </c>
      <c r="BE131" s="9">
        <f t="shared" si="34"/>
        <v>5296.69</v>
      </c>
      <c r="BF131" s="9">
        <f t="shared" si="35"/>
        <v>13864.87</v>
      </c>
      <c r="BG131" s="9">
        <f t="shared" si="36"/>
        <v>7539.99</v>
      </c>
      <c r="BH131" s="9">
        <f t="shared" si="37"/>
        <v>1744.79</v>
      </c>
      <c r="BI131" s="9">
        <f t="shared" si="38"/>
        <v>9502.89</v>
      </c>
      <c r="BJ131" s="9">
        <f t="shared" si="39"/>
        <v>467.36</v>
      </c>
      <c r="BK131" s="9">
        <f t="shared" si="40"/>
        <v>4361.9799999999996</v>
      </c>
      <c r="BL131" s="9">
        <f t="shared" si="41"/>
        <v>373.88</v>
      </c>
      <c r="BM131" s="9">
        <f t="shared" si="42"/>
        <v>965.87</v>
      </c>
      <c r="BN131" s="9">
        <f t="shared" si="43"/>
        <v>155.79</v>
      </c>
      <c r="BO131" s="9">
        <f t="shared" si="44"/>
        <v>1682.48</v>
      </c>
      <c r="BP131" s="9">
        <f t="shared" si="45"/>
        <v>1370.91</v>
      </c>
      <c r="BQ131" s="9">
        <f t="shared" si="46"/>
        <v>0</v>
      </c>
      <c r="BR131" s="9">
        <f t="shared" si="47"/>
        <v>13615.61</v>
      </c>
      <c r="BS131" s="9">
        <f t="shared" si="48"/>
        <v>498.51</v>
      </c>
      <c r="BT131" s="9">
        <f t="shared" si="49"/>
        <v>6293.71</v>
      </c>
      <c r="BU131" s="9">
        <f t="shared" si="50"/>
        <v>7508.84</v>
      </c>
      <c r="BV131" s="17">
        <f t="shared" si="51"/>
        <v>75244.17</v>
      </c>
      <c r="BW131" s="17">
        <v>2.77</v>
      </c>
      <c r="BX131" s="17">
        <v>7.0000000000000007E-2</v>
      </c>
      <c r="BY131" s="17">
        <v>0.43</v>
      </c>
      <c r="BZ131" s="17">
        <v>7.0000000000000007E-2</v>
      </c>
      <c r="CA131" s="29">
        <v>6.33</v>
      </c>
      <c r="CB131" s="325"/>
      <c r="CC131" s="13">
        <v>88939.68</v>
      </c>
      <c r="CD131" s="13">
        <v>15311.27</v>
      </c>
      <c r="CE131" s="13">
        <v>208.69</v>
      </c>
      <c r="CF131" s="13">
        <v>113.55</v>
      </c>
      <c r="CG131" s="13">
        <v>196.48</v>
      </c>
      <c r="CH131" s="13">
        <v>0</v>
      </c>
      <c r="CI131" s="13">
        <v>724.82</v>
      </c>
      <c r="CJ131" s="13">
        <v>20112</v>
      </c>
      <c r="CK131" s="13">
        <v>1198.26</v>
      </c>
      <c r="CL131" s="13">
        <v>813992.04</v>
      </c>
      <c r="CM131" s="13">
        <v>140131.10999999999</v>
      </c>
      <c r="CN131" s="13">
        <v>1629.1</v>
      </c>
      <c r="CO131" s="13">
        <v>1320.08</v>
      </c>
      <c r="CP131" s="13">
        <v>1797.58</v>
      </c>
      <c r="CQ131" s="13">
        <v>0</v>
      </c>
      <c r="CR131" s="13">
        <v>788669.25</v>
      </c>
      <c r="CS131" s="13">
        <v>137381.93</v>
      </c>
      <c r="CT131" s="13">
        <v>936.02</v>
      </c>
      <c r="CU131" s="13">
        <v>1453.67</v>
      </c>
      <c r="CV131" s="13">
        <v>1612.05</v>
      </c>
      <c r="CW131" s="13">
        <v>0</v>
      </c>
      <c r="CX131" s="13">
        <v>82375.5</v>
      </c>
      <c r="CY131" s="13">
        <v>19492.54</v>
      </c>
      <c r="CZ131" s="13">
        <v>-546.58000000000004</v>
      </c>
      <c r="DA131" s="13">
        <v>317.54000000000002</v>
      </c>
      <c r="DB131" s="13">
        <v>205.4</v>
      </c>
      <c r="DC131" s="13"/>
      <c r="DD131" s="315">
        <v>958869.91</v>
      </c>
      <c r="DE131" s="317">
        <v>930052.92</v>
      </c>
      <c r="DF131" s="317">
        <v>96.99</v>
      </c>
      <c r="DG131" s="318">
        <v>101844.4</v>
      </c>
      <c r="DH131" s="310">
        <v>29513.279999999999</v>
      </c>
      <c r="DI131" s="310">
        <v>16878.96</v>
      </c>
      <c r="DJ131" s="312">
        <v>0</v>
      </c>
      <c r="DK131" s="362">
        <v>0</v>
      </c>
      <c r="DL131" s="362"/>
      <c r="DM131" s="362">
        <v>0</v>
      </c>
      <c r="DN131" s="362">
        <v>0</v>
      </c>
      <c r="DO131" s="362">
        <v>0</v>
      </c>
      <c r="DP131" s="362">
        <v>7647.9</v>
      </c>
      <c r="DQ131" s="362">
        <v>0</v>
      </c>
      <c r="DR131" s="362"/>
      <c r="DS131" s="362">
        <v>0</v>
      </c>
      <c r="DT131" s="362"/>
      <c r="DU131" s="362">
        <v>0</v>
      </c>
      <c r="DV131" s="362">
        <v>0</v>
      </c>
      <c r="DW131" s="362">
        <v>51600</v>
      </c>
      <c r="DX131" s="362">
        <v>0</v>
      </c>
      <c r="DY131" s="362">
        <v>4500</v>
      </c>
      <c r="DZ131" s="375">
        <v>0</v>
      </c>
      <c r="EA131" s="362">
        <v>0</v>
      </c>
      <c r="EB131" s="362">
        <v>0</v>
      </c>
      <c r="EC131" s="362"/>
      <c r="ED131" s="362">
        <v>237968.64000000001</v>
      </c>
      <c r="EE131" s="362">
        <v>21300</v>
      </c>
      <c r="EF131" s="362"/>
      <c r="EG131" s="362">
        <v>0</v>
      </c>
      <c r="EH131" s="362">
        <v>0</v>
      </c>
      <c r="EI131" s="362"/>
      <c r="EJ131" s="362">
        <v>0</v>
      </c>
      <c r="EK131" s="362"/>
      <c r="EL131" s="362">
        <v>0</v>
      </c>
      <c r="EM131" s="362">
        <v>1706.91</v>
      </c>
      <c r="EN131" s="362">
        <v>258371.4</v>
      </c>
      <c r="EO131" s="362">
        <v>0</v>
      </c>
      <c r="EP131" s="362">
        <v>0</v>
      </c>
      <c r="EQ131" s="362">
        <v>0</v>
      </c>
      <c r="ER131" s="362">
        <v>16380</v>
      </c>
      <c r="ES131" s="362">
        <v>942</v>
      </c>
      <c r="ET131" s="362">
        <v>6635</v>
      </c>
      <c r="EU131" s="362">
        <v>0</v>
      </c>
      <c r="EV131" s="362">
        <v>25251.65</v>
      </c>
      <c r="EW131" s="362"/>
      <c r="EX131" s="202"/>
      <c r="EY131" s="202"/>
      <c r="EZ131" s="229"/>
      <c r="FA131" s="368">
        <v>179958.38</v>
      </c>
      <c r="FB131" s="368">
        <v>2930.43</v>
      </c>
      <c r="FC131" s="368">
        <v>0</v>
      </c>
      <c r="FD131" s="368">
        <v>0</v>
      </c>
      <c r="FE131" s="368">
        <v>2322.0100000000002</v>
      </c>
      <c r="FF131" s="368">
        <v>2266.84</v>
      </c>
      <c r="FG131" s="368">
        <v>0</v>
      </c>
      <c r="FH131" s="368">
        <v>-797.15</v>
      </c>
      <c r="FI131" s="368">
        <v>0</v>
      </c>
      <c r="FJ131" s="368">
        <v>0</v>
      </c>
      <c r="FK131" s="368">
        <v>0</v>
      </c>
      <c r="FL131" s="368">
        <v>0</v>
      </c>
      <c r="FM131" s="368">
        <v>83298.399999999994</v>
      </c>
      <c r="FN131" s="368">
        <v>52965.02</v>
      </c>
      <c r="FO131" s="323">
        <v>814959.16</v>
      </c>
      <c r="FP131" s="323">
        <v>186680.51</v>
      </c>
      <c r="FQ131" s="323">
        <v>1001639.67</v>
      </c>
      <c r="FR131" s="338">
        <v>81785.919999999998</v>
      </c>
      <c r="FS131" s="338">
        <v>16600.61</v>
      </c>
      <c r="FT131" s="377">
        <v>98386.53</v>
      </c>
      <c r="FU131" s="377">
        <v>923768.54</v>
      </c>
      <c r="FV131" s="377">
        <v>161906.12</v>
      </c>
      <c r="FW131" s="362">
        <v>1085674.6599999999</v>
      </c>
      <c r="FX131" s="362">
        <v>913815.06</v>
      </c>
      <c r="FY131" s="362">
        <v>157385.38</v>
      </c>
      <c r="FZ131" s="362">
        <v>1071200.44</v>
      </c>
      <c r="GA131" s="362">
        <v>91739.4</v>
      </c>
      <c r="GB131" s="362">
        <v>21121.35</v>
      </c>
      <c r="GC131" s="362">
        <v>112860.75</v>
      </c>
      <c r="GD131" s="362">
        <v>-21547.41</v>
      </c>
      <c r="GE131" s="362">
        <v>-6578.15</v>
      </c>
      <c r="GF131" s="362">
        <v>-28125.56</v>
      </c>
      <c r="GG131" s="202">
        <v>11016.35</v>
      </c>
      <c r="GH131" s="416">
        <v>85</v>
      </c>
      <c r="GI131" s="414">
        <v>1524</v>
      </c>
      <c r="GJ131" s="419">
        <v>104769.67</v>
      </c>
      <c r="GK131" s="396">
        <v>11016.35</v>
      </c>
      <c r="GL131" s="202">
        <v>9363.8974999999991</v>
      </c>
      <c r="GM131" s="202">
        <v>1652.4525000000001</v>
      </c>
      <c r="GN131" s="323">
        <v>108809.38</v>
      </c>
      <c r="GO131" s="323">
        <v>-24774.39</v>
      </c>
      <c r="GP131" s="323">
        <v>84034.99</v>
      </c>
      <c r="GQ131" s="323">
        <v>87261.97</v>
      </c>
      <c r="GR131" s="323">
        <v>-31352.54</v>
      </c>
      <c r="GS131" s="323">
        <v>55909.43</v>
      </c>
    </row>
    <row r="132" spans="1:201" s="95" customFormat="1" ht="12.75" customHeight="1" x14ac:dyDescent="0.2">
      <c r="A132" s="45" t="s">
        <v>198</v>
      </c>
      <c r="B132" s="163" t="s">
        <v>173</v>
      </c>
      <c r="C132" s="164">
        <v>31</v>
      </c>
      <c r="D132" s="388" t="s">
        <v>701</v>
      </c>
      <c r="E132" s="164"/>
      <c r="F132" s="84">
        <v>9</v>
      </c>
      <c r="G132" s="84">
        <v>1</v>
      </c>
      <c r="H132" s="84">
        <v>54</v>
      </c>
      <c r="I132" s="84">
        <v>54</v>
      </c>
      <c r="J132" s="11">
        <v>110</v>
      </c>
      <c r="K132" s="84">
        <v>139</v>
      </c>
      <c r="L132" s="84">
        <v>1</v>
      </c>
      <c r="M132" s="84">
        <v>261.8</v>
      </c>
      <c r="N132" s="84">
        <v>458.3</v>
      </c>
      <c r="O132" s="84">
        <v>458.3</v>
      </c>
      <c r="P132" s="135">
        <v>374.3</v>
      </c>
      <c r="Q132" s="135">
        <v>325.89999999999998</v>
      </c>
      <c r="R132" s="133">
        <v>308.2</v>
      </c>
      <c r="S132" s="133">
        <f t="shared" si="52"/>
        <v>1008.4</v>
      </c>
      <c r="T132" s="139"/>
      <c r="U132" s="130">
        <v>2.44</v>
      </c>
      <c r="V132" s="131"/>
      <c r="W132" s="131">
        <v>1.9800000000000002E-2</v>
      </c>
      <c r="X132" s="132">
        <v>1.32E-3</v>
      </c>
      <c r="Y132" s="131"/>
      <c r="Z132" s="29">
        <v>2810.4</v>
      </c>
      <c r="AA132" s="29"/>
      <c r="AB132" s="9">
        <f t="shared" si="29"/>
        <v>2810.4</v>
      </c>
      <c r="AC132" s="9">
        <f t="shared" si="55"/>
        <v>17789.830000000002</v>
      </c>
      <c r="AD132" s="13">
        <v>1.89</v>
      </c>
      <c r="AE132" s="13">
        <v>4.17</v>
      </c>
      <c r="AF132" s="21">
        <f>2.65-AJ132</f>
        <v>2.4900000000000002</v>
      </c>
      <c r="AG132" s="18">
        <f>0.63-AQ132</f>
        <v>0.63</v>
      </c>
      <c r="AH132" s="13">
        <v>3.05</v>
      </c>
      <c r="AI132" s="13">
        <v>440</v>
      </c>
      <c r="AJ132" s="21">
        <f t="shared" si="30"/>
        <v>0.16</v>
      </c>
      <c r="AK132" s="13">
        <v>1.55</v>
      </c>
      <c r="AL132" s="13">
        <v>0.14000000000000001</v>
      </c>
      <c r="AM132" s="13">
        <v>0.21</v>
      </c>
      <c r="AN132" s="13"/>
      <c r="AO132" s="19"/>
      <c r="AP132" s="13">
        <f t="shared" si="53"/>
        <v>5.58</v>
      </c>
      <c r="AQ132" s="19"/>
      <c r="AR132" s="13">
        <v>0.6</v>
      </c>
      <c r="AS132" s="13">
        <v>0.49</v>
      </c>
      <c r="AT132" s="13">
        <v>7.0000000000000007E-2</v>
      </c>
      <c r="AU132" s="13">
        <v>5.27</v>
      </c>
      <c r="AV132" s="13">
        <v>0.16</v>
      </c>
      <c r="AW132" s="13">
        <f>1.39+0.47+0.26</f>
        <v>2.12</v>
      </c>
      <c r="AX132" s="94">
        <f>1.94+0.62</f>
        <v>2.56</v>
      </c>
      <c r="AY132" s="166">
        <f t="shared" si="54"/>
        <v>25.56</v>
      </c>
      <c r="AZ132" s="13">
        <v>25.56</v>
      </c>
      <c r="BA132" s="13">
        <f t="shared" si="32"/>
        <v>0</v>
      </c>
      <c r="BB132" s="13">
        <f t="shared" si="33"/>
        <v>71833.820000000007</v>
      </c>
      <c r="BC132" s="30">
        <v>44470</v>
      </c>
      <c r="BD132" s="10">
        <v>44470</v>
      </c>
      <c r="BE132" s="9">
        <f t="shared" si="34"/>
        <v>5311.66</v>
      </c>
      <c r="BF132" s="9">
        <f t="shared" si="35"/>
        <v>11719.37</v>
      </c>
      <c r="BG132" s="9">
        <f t="shared" si="36"/>
        <v>6997.9</v>
      </c>
      <c r="BH132" s="9">
        <f t="shared" si="37"/>
        <v>1770.55</v>
      </c>
      <c r="BI132" s="9">
        <f t="shared" si="38"/>
        <v>8571.7199999999993</v>
      </c>
      <c r="BJ132" s="9">
        <f t="shared" si="39"/>
        <v>449.66</v>
      </c>
      <c r="BK132" s="9">
        <f t="shared" si="40"/>
        <v>4356.12</v>
      </c>
      <c r="BL132" s="9">
        <f t="shared" si="41"/>
        <v>393.46</v>
      </c>
      <c r="BM132" s="9">
        <f t="shared" si="42"/>
        <v>590.17999999999995</v>
      </c>
      <c r="BN132" s="9">
        <f t="shared" si="43"/>
        <v>0</v>
      </c>
      <c r="BO132" s="9">
        <f t="shared" si="44"/>
        <v>1686.24</v>
      </c>
      <c r="BP132" s="9">
        <f t="shared" si="45"/>
        <v>1377.1</v>
      </c>
      <c r="BQ132" s="9">
        <f t="shared" si="46"/>
        <v>196.73</v>
      </c>
      <c r="BR132" s="9">
        <f t="shared" si="47"/>
        <v>14810.81</v>
      </c>
      <c r="BS132" s="9">
        <f t="shared" si="48"/>
        <v>449.66</v>
      </c>
      <c r="BT132" s="9">
        <f t="shared" si="49"/>
        <v>5958.05</v>
      </c>
      <c r="BU132" s="9">
        <f t="shared" si="50"/>
        <v>7194.62</v>
      </c>
      <c r="BV132" s="17">
        <f t="shared" si="51"/>
        <v>71833.83</v>
      </c>
      <c r="BW132" s="17">
        <v>4.1500000000000004</v>
      </c>
      <c r="BX132" s="17">
        <v>7.0000000000000007E-2</v>
      </c>
      <c r="BY132" s="17">
        <v>0.47</v>
      </c>
      <c r="BZ132" s="17">
        <v>0.08</v>
      </c>
      <c r="CA132" s="27">
        <v>6.33</v>
      </c>
      <c r="CB132" s="394"/>
      <c r="CC132" s="13">
        <v>0</v>
      </c>
      <c r="CD132" s="13">
        <v>0</v>
      </c>
      <c r="CE132" s="13">
        <v>0</v>
      </c>
      <c r="CF132" s="13">
        <v>0</v>
      </c>
      <c r="CG132" s="13">
        <v>0</v>
      </c>
      <c r="CH132" s="13">
        <v>0</v>
      </c>
      <c r="CI132" s="13">
        <v>1485.36</v>
      </c>
      <c r="CJ132" s="13">
        <v>24408</v>
      </c>
      <c r="CK132" s="13">
        <v>1089</v>
      </c>
      <c r="CL132" s="13">
        <v>862006.2</v>
      </c>
      <c r="CM132" s="13">
        <v>111685.45</v>
      </c>
      <c r="CN132" s="13">
        <v>19954.189999999999</v>
      </c>
      <c r="CO132" s="13">
        <v>0</v>
      </c>
      <c r="CP132" s="13">
        <v>1320.64</v>
      </c>
      <c r="CQ132" s="13">
        <v>0</v>
      </c>
      <c r="CR132" s="13">
        <v>827455.25</v>
      </c>
      <c r="CS132" s="13">
        <v>100556.47</v>
      </c>
      <c r="CT132" s="13">
        <v>19341.830000000002</v>
      </c>
      <c r="CU132" s="13">
        <v>158.78</v>
      </c>
      <c r="CV132" s="13">
        <v>1328.12</v>
      </c>
      <c r="CW132" s="13">
        <v>0</v>
      </c>
      <c r="CX132" s="13">
        <v>126365.14</v>
      </c>
      <c r="CY132" s="13">
        <v>21142.44</v>
      </c>
      <c r="CZ132" s="13">
        <v>1708.4</v>
      </c>
      <c r="DA132" s="13">
        <v>-154.11000000000001</v>
      </c>
      <c r="DB132" s="13">
        <v>127.43</v>
      </c>
      <c r="DC132" s="13"/>
      <c r="DD132" s="315">
        <v>994966.48</v>
      </c>
      <c r="DE132" s="317">
        <v>948840.45</v>
      </c>
      <c r="DF132" s="317">
        <v>95.36</v>
      </c>
      <c r="DG132" s="318">
        <v>149189.29999999999</v>
      </c>
      <c r="DH132" s="310">
        <v>29530.080000000002</v>
      </c>
      <c r="DI132" s="310">
        <v>16888.560000000001</v>
      </c>
      <c r="DJ132" s="312">
        <v>0</v>
      </c>
      <c r="DK132" s="362">
        <v>0</v>
      </c>
      <c r="DL132" s="362"/>
      <c r="DM132" s="362">
        <v>0</v>
      </c>
      <c r="DN132" s="362">
        <v>0</v>
      </c>
      <c r="DO132" s="362">
        <v>0</v>
      </c>
      <c r="DP132" s="362">
        <v>6996</v>
      </c>
      <c r="DQ132" s="362">
        <v>0</v>
      </c>
      <c r="DR132" s="362"/>
      <c r="DS132" s="362">
        <v>0</v>
      </c>
      <c r="DT132" s="362"/>
      <c r="DU132" s="362">
        <v>0</v>
      </c>
      <c r="DV132" s="362">
        <v>0</v>
      </c>
      <c r="DW132" s="362">
        <v>51600</v>
      </c>
      <c r="DX132" s="362">
        <v>0</v>
      </c>
      <c r="DY132" s="362">
        <v>4500</v>
      </c>
      <c r="DZ132" s="375">
        <v>0</v>
      </c>
      <c r="EA132" s="362">
        <v>0</v>
      </c>
      <c r="EB132" s="362">
        <v>0</v>
      </c>
      <c r="EC132" s="362"/>
      <c r="ED132" s="362">
        <v>225506.34</v>
      </c>
      <c r="EE132" s="362">
        <v>21300</v>
      </c>
      <c r="EF132" s="362"/>
      <c r="EG132" s="362">
        <v>0</v>
      </c>
      <c r="EH132" s="362">
        <v>0</v>
      </c>
      <c r="EI132" s="362"/>
      <c r="EJ132" s="362">
        <v>0</v>
      </c>
      <c r="EK132" s="362"/>
      <c r="EL132" s="362">
        <v>0</v>
      </c>
      <c r="EM132" s="362">
        <v>1706.91</v>
      </c>
      <c r="EN132" s="362">
        <v>235026.72</v>
      </c>
      <c r="EO132" s="362">
        <v>0</v>
      </c>
      <c r="EP132" s="362">
        <v>0</v>
      </c>
      <c r="EQ132" s="362">
        <v>0</v>
      </c>
      <c r="ER132" s="362">
        <v>15015</v>
      </c>
      <c r="ES132" s="362">
        <v>6924</v>
      </c>
      <c r="ET132" s="362">
        <v>6635</v>
      </c>
      <c r="EU132" s="362">
        <v>0</v>
      </c>
      <c r="EV132" s="362">
        <v>22833.62</v>
      </c>
      <c r="EW132" s="362"/>
      <c r="EX132" s="202"/>
      <c r="EY132" s="202"/>
      <c r="EZ132" s="230"/>
      <c r="FA132" s="368">
        <v>121057.5</v>
      </c>
      <c r="FB132" s="368">
        <v>10879.4</v>
      </c>
      <c r="FC132" s="368">
        <v>0</v>
      </c>
      <c r="FD132" s="368">
        <v>0</v>
      </c>
      <c r="FE132" s="368">
        <v>0</v>
      </c>
      <c r="FF132" s="368">
        <v>1331.51</v>
      </c>
      <c r="FG132" s="368">
        <v>0</v>
      </c>
      <c r="FH132" s="368">
        <v>-762.14</v>
      </c>
      <c r="FI132" s="368">
        <v>0</v>
      </c>
      <c r="FJ132" s="368">
        <v>0</v>
      </c>
      <c r="FK132" s="368">
        <v>15693.2</v>
      </c>
      <c r="FL132" s="368">
        <v>0</v>
      </c>
      <c r="FM132" s="368">
        <v>75394.740000000005</v>
      </c>
      <c r="FN132" s="368">
        <v>47944.91</v>
      </c>
      <c r="FO132" s="323">
        <v>767801.88</v>
      </c>
      <c r="FP132" s="323">
        <v>148199.47</v>
      </c>
      <c r="FQ132" s="323">
        <v>916001.35</v>
      </c>
      <c r="FR132" s="338">
        <v>80997.55</v>
      </c>
      <c r="FS132" s="338">
        <v>13269.58</v>
      </c>
      <c r="FT132" s="377">
        <v>94267.13</v>
      </c>
      <c r="FU132" s="377">
        <v>887899.56</v>
      </c>
      <c r="FV132" s="377">
        <v>134049.28</v>
      </c>
      <c r="FW132" s="362">
        <v>1021948.84</v>
      </c>
      <c r="FX132" s="362">
        <v>842531.97</v>
      </c>
      <c r="FY132" s="362">
        <v>124494.7</v>
      </c>
      <c r="FZ132" s="362">
        <v>967026.67</v>
      </c>
      <c r="GA132" s="362">
        <v>126365.14</v>
      </c>
      <c r="GB132" s="362">
        <v>22824.16</v>
      </c>
      <c r="GC132" s="362">
        <v>149189.29999999999</v>
      </c>
      <c r="GD132" s="362">
        <v>-10358.73</v>
      </c>
      <c r="GE132" s="362">
        <v>-2963.38</v>
      </c>
      <c r="GF132" s="362">
        <v>-13322.11</v>
      </c>
      <c r="GG132" s="107"/>
      <c r="GH132" s="416"/>
      <c r="GI132" s="414">
        <v>2019.55</v>
      </c>
      <c r="GJ132" s="419">
        <v>0</v>
      </c>
      <c r="GK132" s="396"/>
      <c r="GL132" s="202">
        <v>0</v>
      </c>
      <c r="GM132" s="202">
        <v>0</v>
      </c>
      <c r="GN132" s="323">
        <v>120097.68</v>
      </c>
      <c r="GO132" s="323">
        <v>-14150.19</v>
      </c>
      <c r="GP132" s="323">
        <v>105947.49</v>
      </c>
      <c r="GQ132" s="323">
        <v>109738.95</v>
      </c>
      <c r="GR132" s="323">
        <v>-17113.57</v>
      </c>
      <c r="GS132" s="323">
        <v>92625.38</v>
      </c>
    </row>
    <row r="133" spans="1:201" ht="12.75" customHeight="1" x14ac:dyDescent="0.2">
      <c r="A133" s="45" t="s">
        <v>199</v>
      </c>
      <c r="B133" s="156" t="s">
        <v>182</v>
      </c>
      <c r="C133" s="157" t="s">
        <v>46</v>
      </c>
      <c r="D133" s="388" t="s">
        <v>638</v>
      </c>
      <c r="E133" s="157" t="s">
        <v>12</v>
      </c>
      <c r="F133" s="11">
        <v>9</v>
      </c>
      <c r="G133" s="11">
        <v>4</v>
      </c>
      <c r="H133" s="11">
        <v>216</v>
      </c>
      <c r="I133" s="11">
        <v>220</v>
      </c>
      <c r="J133" s="11">
        <v>492</v>
      </c>
      <c r="K133" s="11">
        <v>587</v>
      </c>
      <c r="L133" s="11">
        <v>4</v>
      </c>
      <c r="M133" s="84">
        <v>1404</v>
      </c>
      <c r="N133" s="84">
        <v>1612</v>
      </c>
      <c r="O133" s="84">
        <v>0</v>
      </c>
      <c r="P133" s="135">
        <v>1561.8</v>
      </c>
      <c r="Q133" s="135">
        <v>1286.3</v>
      </c>
      <c r="R133" s="133">
        <v>0</v>
      </c>
      <c r="S133" s="133">
        <f t="shared" si="52"/>
        <v>2848.1</v>
      </c>
      <c r="T133" s="134">
        <v>1561.8</v>
      </c>
      <c r="U133" s="130">
        <v>2.44</v>
      </c>
      <c r="V133" s="131">
        <v>1.9800000000000002E-2</v>
      </c>
      <c r="W133" s="131">
        <v>1.9800000000000002E-2</v>
      </c>
      <c r="X133" s="132">
        <v>1.32E-3</v>
      </c>
      <c r="Y133" s="131">
        <v>3.9699999999999999E-2</v>
      </c>
      <c r="Z133" s="29">
        <v>11014.6</v>
      </c>
      <c r="AA133" s="29"/>
      <c r="AB133" s="9">
        <f t="shared" si="29"/>
        <v>11014.6</v>
      </c>
      <c r="AC133" s="9">
        <f t="shared" si="55"/>
        <v>69722.42</v>
      </c>
      <c r="AD133" s="9">
        <v>2.58</v>
      </c>
      <c r="AE133" s="9">
        <v>5.14</v>
      </c>
      <c r="AF133" s="21">
        <f>2.42-AJ133</f>
        <v>2.2799999999999998</v>
      </c>
      <c r="AG133" s="18">
        <f>0.6-AQ133</f>
        <v>0.56000000000000005</v>
      </c>
      <c r="AH133" s="9">
        <v>2.77</v>
      </c>
      <c r="AI133" s="13">
        <v>1548</v>
      </c>
      <c r="AJ133" s="21">
        <f t="shared" si="30"/>
        <v>0.14000000000000001</v>
      </c>
      <c r="AK133" s="9">
        <v>1.57</v>
      </c>
      <c r="AL133" s="9">
        <v>0.14000000000000001</v>
      </c>
      <c r="AM133" s="9">
        <v>0.05</v>
      </c>
      <c r="AN133" s="13"/>
      <c r="AO133" s="13">
        <v>844.8</v>
      </c>
      <c r="AP133" s="13">
        <f t="shared" si="53"/>
        <v>5.58</v>
      </c>
      <c r="AQ133" s="18">
        <f t="shared" ref="AQ133:AQ197" si="56">SUM(AN133:AO133)*AP133/AB133/12</f>
        <v>0.04</v>
      </c>
      <c r="AR133" s="9">
        <v>0.61</v>
      </c>
      <c r="AS133" s="9">
        <v>0.12</v>
      </c>
      <c r="AT133" s="9">
        <v>7.0000000000000007E-2</v>
      </c>
      <c r="AU133" s="9">
        <v>3.61</v>
      </c>
      <c r="AV133" s="9">
        <v>0.17</v>
      </c>
      <c r="AW133" s="9">
        <f>1.44+0.32+0.28</f>
        <v>2.04</v>
      </c>
      <c r="AX133" s="9">
        <f>2+0.43</f>
        <v>2.4300000000000002</v>
      </c>
      <c r="AY133" s="159">
        <f t="shared" si="54"/>
        <v>24.32</v>
      </c>
      <c r="AZ133" s="13">
        <v>24.32</v>
      </c>
      <c r="BA133" s="13">
        <f t="shared" si="32"/>
        <v>0</v>
      </c>
      <c r="BB133" s="9">
        <f t="shared" si="33"/>
        <v>267875.07</v>
      </c>
      <c r="BC133" s="9">
        <v>24.32</v>
      </c>
      <c r="BD133" s="10">
        <v>44409</v>
      </c>
      <c r="BE133" s="9">
        <f t="shared" si="34"/>
        <v>28417.67</v>
      </c>
      <c r="BF133" s="9">
        <f t="shared" si="35"/>
        <v>56615.040000000001</v>
      </c>
      <c r="BG133" s="9">
        <f t="shared" si="36"/>
        <v>25113.29</v>
      </c>
      <c r="BH133" s="9">
        <f t="shared" si="37"/>
        <v>6168.18</v>
      </c>
      <c r="BI133" s="9">
        <f t="shared" si="38"/>
        <v>30510.44</v>
      </c>
      <c r="BJ133" s="9">
        <f t="shared" si="39"/>
        <v>1542.04</v>
      </c>
      <c r="BK133" s="9">
        <f t="shared" si="40"/>
        <v>17292.919999999998</v>
      </c>
      <c r="BL133" s="9">
        <f t="shared" si="41"/>
        <v>1542.04</v>
      </c>
      <c r="BM133" s="9">
        <f t="shared" si="42"/>
        <v>550.73</v>
      </c>
      <c r="BN133" s="9">
        <f t="shared" si="43"/>
        <v>440.58</v>
      </c>
      <c r="BO133" s="9">
        <f t="shared" si="44"/>
        <v>6718.91</v>
      </c>
      <c r="BP133" s="9">
        <f t="shared" si="45"/>
        <v>1321.75</v>
      </c>
      <c r="BQ133" s="9">
        <f t="shared" si="46"/>
        <v>771.02</v>
      </c>
      <c r="BR133" s="9">
        <f t="shared" si="47"/>
        <v>39762.71</v>
      </c>
      <c r="BS133" s="9">
        <f t="shared" si="48"/>
        <v>1872.48</v>
      </c>
      <c r="BT133" s="9">
        <f t="shared" si="49"/>
        <v>22469.78</v>
      </c>
      <c r="BU133" s="9">
        <f t="shared" si="50"/>
        <v>26765.48</v>
      </c>
      <c r="BV133" s="17">
        <f t="shared" si="51"/>
        <v>267875.06</v>
      </c>
      <c r="BW133" s="17">
        <v>2.54</v>
      </c>
      <c r="BX133" s="17">
        <v>0.08</v>
      </c>
      <c r="BY133" s="17">
        <v>0.5</v>
      </c>
      <c r="BZ133" s="17">
        <v>0.09</v>
      </c>
      <c r="CA133" s="29">
        <v>6.33</v>
      </c>
      <c r="CB133" s="325"/>
      <c r="CC133" s="13">
        <v>0</v>
      </c>
      <c r="CD133" s="13">
        <v>0</v>
      </c>
      <c r="CE133" s="13">
        <v>0</v>
      </c>
      <c r="CF133" s="13">
        <v>0</v>
      </c>
      <c r="CG133" s="13">
        <v>0</v>
      </c>
      <c r="CH133" s="13">
        <v>0</v>
      </c>
      <c r="CI133" s="13">
        <v>11170.68</v>
      </c>
      <c r="CJ133" s="13">
        <v>60768</v>
      </c>
      <c r="CK133" s="13">
        <v>4236.1000000000004</v>
      </c>
      <c r="CL133" s="13">
        <v>3214500.6</v>
      </c>
      <c r="CM133" s="13">
        <v>331870.59000000003</v>
      </c>
      <c r="CN133" s="13">
        <v>95276.42</v>
      </c>
      <c r="CO133" s="13">
        <v>9584.0300000000007</v>
      </c>
      <c r="CP133" s="13">
        <v>11124.63</v>
      </c>
      <c r="CQ133" s="13">
        <v>0</v>
      </c>
      <c r="CR133" s="13">
        <v>2987973.12</v>
      </c>
      <c r="CS133" s="13">
        <v>284516.94</v>
      </c>
      <c r="CT133" s="13">
        <v>63335.4</v>
      </c>
      <c r="CU133" s="13">
        <v>15475.37</v>
      </c>
      <c r="CV133" s="13">
        <v>11450.95</v>
      </c>
      <c r="CW133" s="13">
        <v>0</v>
      </c>
      <c r="CX133" s="13">
        <v>601241.05000000005</v>
      </c>
      <c r="CY133" s="13">
        <v>64905.7</v>
      </c>
      <c r="CZ133" s="13">
        <v>7375.43</v>
      </c>
      <c r="DA133" s="13">
        <v>3721.16</v>
      </c>
      <c r="DB133" s="13">
        <v>2502.73</v>
      </c>
      <c r="DC133" s="13"/>
      <c r="DD133" s="315">
        <v>3662356.27</v>
      </c>
      <c r="DE133" s="317">
        <v>3362751.78</v>
      </c>
      <c r="DF133" s="317">
        <v>91.82</v>
      </c>
      <c r="DG133" s="318">
        <v>679746.07</v>
      </c>
      <c r="DH133" s="310">
        <v>115735.08</v>
      </c>
      <c r="DI133" s="310">
        <v>66190.2</v>
      </c>
      <c r="DJ133" s="312">
        <v>1066474.08</v>
      </c>
      <c r="DK133" s="362">
        <v>34100</v>
      </c>
      <c r="DL133" s="362"/>
      <c r="DM133" s="362">
        <v>0</v>
      </c>
      <c r="DN133" s="362">
        <v>0</v>
      </c>
      <c r="DO133" s="362">
        <v>0</v>
      </c>
      <c r="DP133" s="362">
        <v>24613.200000000001</v>
      </c>
      <c r="DQ133" s="362">
        <v>1470</v>
      </c>
      <c r="DR133" s="362"/>
      <c r="DS133" s="362">
        <v>0</v>
      </c>
      <c r="DT133" s="362"/>
      <c r="DU133" s="362">
        <v>0</v>
      </c>
      <c r="DV133" s="362">
        <v>0</v>
      </c>
      <c r="DW133" s="362">
        <v>0</v>
      </c>
      <c r="DX133" s="362">
        <v>205970</v>
      </c>
      <c r="DY133" s="362">
        <v>56000</v>
      </c>
      <c r="DZ133" s="375">
        <v>0</v>
      </c>
      <c r="EA133" s="362">
        <v>0</v>
      </c>
      <c r="EB133" s="362">
        <v>0</v>
      </c>
      <c r="EC133" s="362"/>
      <c r="ED133" s="362">
        <v>0</v>
      </c>
      <c r="EE133" s="362">
        <v>0</v>
      </c>
      <c r="EF133" s="362"/>
      <c r="EG133" s="362">
        <v>0</v>
      </c>
      <c r="EH133" s="362">
        <v>0</v>
      </c>
      <c r="EI133" s="362"/>
      <c r="EJ133" s="362">
        <v>0</v>
      </c>
      <c r="EK133" s="362"/>
      <c r="EL133" s="362">
        <v>0</v>
      </c>
      <c r="EM133" s="362">
        <v>4713.99</v>
      </c>
      <c r="EN133" s="362">
        <v>852094.44</v>
      </c>
      <c r="EO133" s="362">
        <v>0</v>
      </c>
      <c r="EP133" s="362">
        <v>0</v>
      </c>
      <c r="EQ133" s="362">
        <v>0</v>
      </c>
      <c r="ER133" s="362">
        <v>13650</v>
      </c>
      <c r="ES133" s="362">
        <v>0</v>
      </c>
      <c r="ET133" s="362">
        <v>26858</v>
      </c>
      <c r="EU133" s="362">
        <v>0</v>
      </c>
      <c r="EV133" s="362">
        <v>240905.7</v>
      </c>
      <c r="EW133" s="362"/>
      <c r="EX133" s="202"/>
      <c r="EY133" s="202"/>
      <c r="EZ133" s="229"/>
      <c r="FA133" s="368">
        <v>311656.3</v>
      </c>
      <c r="FB133" s="368">
        <v>139899.59</v>
      </c>
      <c r="FC133" s="368">
        <v>0</v>
      </c>
      <c r="FD133" s="368">
        <v>0</v>
      </c>
      <c r="FE133" s="368">
        <v>14620.19</v>
      </c>
      <c r="FF133" s="368">
        <v>11139.75</v>
      </c>
      <c r="FG133" s="368">
        <v>0</v>
      </c>
      <c r="FH133" s="368">
        <v>-2818.09</v>
      </c>
      <c r="FI133" s="368">
        <v>0</v>
      </c>
      <c r="FJ133" s="368">
        <v>0</v>
      </c>
      <c r="FK133" s="368">
        <v>106542.84</v>
      </c>
      <c r="FL133" s="368">
        <v>0</v>
      </c>
      <c r="FM133" s="368">
        <v>294475.99</v>
      </c>
      <c r="FN133" s="368">
        <v>187241.60000000001</v>
      </c>
      <c r="FO133" s="323">
        <v>3190492.28</v>
      </c>
      <c r="FP133" s="323">
        <v>581040.57999999996</v>
      </c>
      <c r="FQ133" s="323">
        <v>3771532.86</v>
      </c>
      <c r="FR133" s="338">
        <v>329541.84999999998</v>
      </c>
      <c r="FS133" s="338">
        <v>25246.82</v>
      </c>
      <c r="FT133" s="377">
        <v>354788.67</v>
      </c>
      <c r="FU133" s="377">
        <v>3286439.28</v>
      </c>
      <c r="FV133" s="377">
        <v>452091.77</v>
      </c>
      <c r="FW133" s="362">
        <v>3738531.05</v>
      </c>
      <c r="FX133" s="362">
        <v>3014740.08</v>
      </c>
      <c r="FY133" s="362">
        <v>398833.57</v>
      </c>
      <c r="FZ133" s="362">
        <v>3413573.65</v>
      </c>
      <c r="GA133" s="362">
        <v>601241.05000000005</v>
      </c>
      <c r="GB133" s="362">
        <v>78505.02</v>
      </c>
      <c r="GC133" s="362">
        <v>679746.07</v>
      </c>
      <c r="GD133" s="362">
        <v>162659.37</v>
      </c>
      <c r="GE133" s="362">
        <v>1668.52</v>
      </c>
      <c r="GF133" s="362">
        <v>164327.89000000001</v>
      </c>
      <c r="GG133" s="202"/>
      <c r="GH133" s="416"/>
      <c r="GI133" s="414">
        <v>4377.1000000000004</v>
      </c>
      <c r="GJ133" s="419">
        <v>0</v>
      </c>
      <c r="GK133" s="396"/>
      <c r="GL133" s="202">
        <v>0</v>
      </c>
      <c r="GM133" s="202">
        <v>0</v>
      </c>
      <c r="GN133" s="323">
        <v>95947</v>
      </c>
      <c r="GO133" s="323">
        <v>-128948.81</v>
      </c>
      <c r="GP133" s="323">
        <v>-33001.81</v>
      </c>
      <c r="GQ133" s="323">
        <v>258606.37</v>
      </c>
      <c r="GR133" s="323">
        <v>-127280.29</v>
      </c>
      <c r="GS133" s="323">
        <v>131326.07999999999</v>
      </c>
    </row>
    <row r="134" spans="1:201" ht="12.75" customHeight="1" x14ac:dyDescent="0.2">
      <c r="A134" s="45" t="s">
        <v>200</v>
      </c>
      <c r="B134" s="123" t="s">
        <v>184</v>
      </c>
      <c r="C134" s="124" t="s">
        <v>8</v>
      </c>
      <c r="D134" s="388" t="s">
        <v>639</v>
      </c>
      <c r="E134" s="124" t="s">
        <v>12</v>
      </c>
      <c r="F134" s="11">
        <v>9</v>
      </c>
      <c r="G134" s="11">
        <v>1</v>
      </c>
      <c r="H134" s="11">
        <v>54</v>
      </c>
      <c r="I134" s="11">
        <v>0</v>
      </c>
      <c r="J134" s="11">
        <v>110</v>
      </c>
      <c r="K134" s="11">
        <v>131</v>
      </c>
      <c r="L134" s="11">
        <v>1</v>
      </c>
      <c r="M134" s="84">
        <v>248</v>
      </c>
      <c r="N134" s="84">
        <v>384</v>
      </c>
      <c r="O134" s="84">
        <v>384</v>
      </c>
      <c r="P134" s="135">
        <v>248.2</v>
      </c>
      <c r="Q134" s="135">
        <v>277.3</v>
      </c>
      <c r="R134" s="133">
        <v>374.4</v>
      </c>
      <c r="S134" s="133">
        <f t="shared" si="52"/>
        <v>899.9</v>
      </c>
      <c r="T134" s="134">
        <v>248</v>
      </c>
      <c r="U134" s="130">
        <v>2.44</v>
      </c>
      <c r="V134" s="131">
        <v>1.9800000000000002E-2</v>
      </c>
      <c r="W134" s="131">
        <v>1.9800000000000002E-2</v>
      </c>
      <c r="X134" s="132">
        <v>1.32E-3</v>
      </c>
      <c r="Y134" s="131">
        <v>3.9699999999999999E-2</v>
      </c>
      <c r="Z134" s="29">
        <v>2300.1</v>
      </c>
      <c r="AA134" s="29"/>
      <c r="AB134" s="9">
        <f t="shared" si="29"/>
        <v>2300.1</v>
      </c>
      <c r="AC134" s="9">
        <f t="shared" si="55"/>
        <v>14559.63</v>
      </c>
      <c r="AD134" s="9">
        <v>1.5</v>
      </c>
      <c r="AE134" s="9">
        <v>4.88</v>
      </c>
      <c r="AF134" s="21">
        <f>2.41-AJ134</f>
        <v>2.25</v>
      </c>
      <c r="AG134" s="18">
        <f>0.6-AQ134</f>
        <v>0.54</v>
      </c>
      <c r="AH134" s="9">
        <v>2.77</v>
      </c>
      <c r="AI134" s="43">
        <v>369</v>
      </c>
      <c r="AJ134" s="21">
        <f t="shared" si="30"/>
        <v>0.16</v>
      </c>
      <c r="AK134" s="9">
        <v>1.88</v>
      </c>
      <c r="AL134" s="9">
        <v>0.16</v>
      </c>
      <c r="AM134" s="9">
        <v>0.25</v>
      </c>
      <c r="AN134" s="13"/>
      <c r="AO134" s="13">
        <v>305.89999999999998</v>
      </c>
      <c r="AP134" s="13">
        <f t="shared" si="53"/>
        <v>5.58</v>
      </c>
      <c r="AQ134" s="18">
        <f t="shared" si="56"/>
        <v>0.06</v>
      </c>
      <c r="AR134" s="9">
        <v>0.73</v>
      </c>
      <c r="AS134" s="9">
        <v>0.6</v>
      </c>
      <c r="AT134" s="9">
        <v>7.0000000000000007E-2</v>
      </c>
      <c r="AU134" s="9">
        <v>4.08</v>
      </c>
      <c r="AV134" s="9">
        <v>0.17</v>
      </c>
      <c r="AW134" s="9">
        <f>1.42+0.34+0.36</f>
        <v>2.12</v>
      </c>
      <c r="AX134" s="9">
        <f>2.01+0.48</f>
        <v>2.4900000000000002</v>
      </c>
      <c r="AY134" s="126">
        <f t="shared" si="54"/>
        <v>24.71</v>
      </c>
      <c r="AZ134" s="13">
        <v>24.71</v>
      </c>
      <c r="BA134" s="13">
        <f t="shared" si="32"/>
        <v>0</v>
      </c>
      <c r="BB134" s="9">
        <f t="shared" si="33"/>
        <v>56835.47</v>
      </c>
      <c r="BC134" s="9">
        <v>24.71</v>
      </c>
      <c r="BD134" s="10">
        <v>44409</v>
      </c>
      <c r="BE134" s="9">
        <f t="shared" si="34"/>
        <v>3450.15</v>
      </c>
      <c r="BF134" s="9">
        <f t="shared" si="35"/>
        <v>11224.49</v>
      </c>
      <c r="BG134" s="9">
        <f t="shared" si="36"/>
        <v>5175.2299999999996</v>
      </c>
      <c r="BH134" s="9">
        <f t="shared" si="37"/>
        <v>1242.05</v>
      </c>
      <c r="BI134" s="9">
        <f t="shared" si="38"/>
        <v>6371.28</v>
      </c>
      <c r="BJ134" s="9">
        <f t="shared" si="39"/>
        <v>368.02</v>
      </c>
      <c r="BK134" s="9">
        <f t="shared" si="40"/>
        <v>4324.1899999999996</v>
      </c>
      <c r="BL134" s="9">
        <f t="shared" si="41"/>
        <v>368.02</v>
      </c>
      <c r="BM134" s="9">
        <f t="shared" si="42"/>
        <v>575.03</v>
      </c>
      <c r="BN134" s="9">
        <f t="shared" si="43"/>
        <v>138.01</v>
      </c>
      <c r="BO134" s="9">
        <f t="shared" si="44"/>
        <v>1679.07</v>
      </c>
      <c r="BP134" s="9">
        <f t="shared" si="45"/>
        <v>1380.06</v>
      </c>
      <c r="BQ134" s="9">
        <f t="shared" si="46"/>
        <v>161.01</v>
      </c>
      <c r="BR134" s="9">
        <f t="shared" si="47"/>
        <v>9384.41</v>
      </c>
      <c r="BS134" s="9">
        <f t="shared" si="48"/>
        <v>391.02</v>
      </c>
      <c r="BT134" s="9">
        <f t="shared" si="49"/>
        <v>4876.21</v>
      </c>
      <c r="BU134" s="9">
        <f t="shared" si="50"/>
        <v>5727.25</v>
      </c>
      <c r="BV134" s="17">
        <f t="shared" si="51"/>
        <v>56835.5</v>
      </c>
      <c r="BW134" s="17">
        <v>3.85</v>
      </c>
      <c r="BX134" s="17">
        <v>7.0000000000000007E-2</v>
      </c>
      <c r="BY134" s="17">
        <v>0.39</v>
      </c>
      <c r="BZ134" s="17">
        <v>7.0000000000000007E-2</v>
      </c>
      <c r="CA134" s="29">
        <v>6.33</v>
      </c>
      <c r="CB134" s="325"/>
      <c r="CC134" s="13">
        <v>0</v>
      </c>
      <c r="CD134" s="13">
        <v>0</v>
      </c>
      <c r="CE134" s="13">
        <v>0</v>
      </c>
      <c r="CF134" s="13">
        <v>0</v>
      </c>
      <c r="CG134" s="13">
        <v>0</v>
      </c>
      <c r="CH134" s="13">
        <v>0</v>
      </c>
      <c r="CI134" s="13">
        <v>1620.45</v>
      </c>
      <c r="CJ134" s="13">
        <v>20112</v>
      </c>
      <c r="CK134" s="13">
        <v>884.63</v>
      </c>
      <c r="CL134" s="13">
        <v>682035.64</v>
      </c>
      <c r="CM134" s="13">
        <v>28912.89</v>
      </c>
      <c r="CN134" s="13">
        <v>12236.48</v>
      </c>
      <c r="CO134" s="13">
        <v>966.08</v>
      </c>
      <c r="CP134" s="13">
        <v>1425.96</v>
      </c>
      <c r="CQ134" s="13">
        <v>0</v>
      </c>
      <c r="CR134" s="13">
        <v>616669.02</v>
      </c>
      <c r="CS134" s="13">
        <v>27783.23</v>
      </c>
      <c r="CT134" s="13">
        <v>10830.96</v>
      </c>
      <c r="CU134" s="13">
        <v>993.55</v>
      </c>
      <c r="CV134" s="13">
        <v>1189.9100000000001</v>
      </c>
      <c r="CW134" s="13">
        <v>0</v>
      </c>
      <c r="CX134" s="13">
        <v>129702.08</v>
      </c>
      <c r="CY134" s="13">
        <v>1440.99</v>
      </c>
      <c r="CZ134" s="13">
        <v>1580.93</v>
      </c>
      <c r="DA134" s="13">
        <v>344.59</v>
      </c>
      <c r="DB134" s="13">
        <v>293.14999999999998</v>
      </c>
      <c r="DC134" s="13"/>
      <c r="DD134" s="315">
        <v>725577.05</v>
      </c>
      <c r="DE134" s="317">
        <v>657466.67000000004</v>
      </c>
      <c r="DF134" s="317">
        <v>90.61</v>
      </c>
      <c r="DG134" s="318">
        <v>133361.74</v>
      </c>
      <c r="DH134" s="310">
        <v>24169.200000000001</v>
      </c>
      <c r="DI134" s="310">
        <v>13822.56</v>
      </c>
      <c r="DJ134" s="312">
        <v>0</v>
      </c>
      <c r="DK134" s="362">
        <v>0</v>
      </c>
      <c r="DL134" s="362"/>
      <c r="DM134" s="362">
        <v>0</v>
      </c>
      <c r="DN134" s="362">
        <v>0</v>
      </c>
      <c r="DO134" s="362">
        <v>0</v>
      </c>
      <c r="DP134" s="362">
        <v>0</v>
      </c>
      <c r="DQ134" s="362">
        <v>0</v>
      </c>
      <c r="DR134" s="362"/>
      <c r="DS134" s="362">
        <v>0</v>
      </c>
      <c r="DT134" s="362"/>
      <c r="DU134" s="362">
        <v>0</v>
      </c>
      <c r="DV134" s="362">
        <v>0</v>
      </c>
      <c r="DW134" s="362">
        <v>51600</v>
      </c>
      <c r="DX134" s="362">
        <v>0</v>
      </c>
      <c r="DY134" s="362">
        <v>4500</v>
      </c>
      <c r="DZ134" s="375">
        <v>0</v>
      </c>
      <c r="EA134" s="362">
        <v>202434</v>
      </c>
      <c r="EB134" s="362">
        <v>9375</v>
      </c>
      <c r="EC134" s="362"/>
      <c r="ED134" s="362">
        <v>0</v>
      </c>
      <c r="EE134" s="362">
        <v>0</v>
      </c>
      <c r="EF134" s="362"/>
      <c r="EG134" s="362">
        <v>5874</v>
      </c>
      <c r="EH134" s="362">
        <v>0</v>
      </c>
      <c r="EI134" s="362"/>
      <c r="EJ134" s="362">
        <v>0</v>
      </c>
      <c r="EK134" s="362"/>
      <c r="EL134" s="362">
        <v>166368</v>
      </c>
      <c r="EM134" s="362">
        <v>1706.91</v>
      </c>
      <c r="EN134" s="362">
        <v>0</v>
      </c>
      <c r="EO134" s="362">
        <v>0</v>
      </c>
      <c r="EP134" s="362">
        <v>0</v>
      </c>
      <c r="EQ134" s="362">
        <v>0</v>
      </c>
      <c r="ER134" s="362">
        <v>5460</v>
      </c>
      <c r="ES134" s="362">
        <v>577</v>
      </c>
      <c r="ET134" s="362">
        <v>6688</v>
      </c>
      <c r="EU134" s="362">
        <v>0</v>
      </c>
      <c r="EV134" s="362">
        <v>50608</v>
      </c>
      <c r="EW134" s="362"/>
      <c r="EX134" s="202"/>
      <c r="EY134" s="202"/>
      <c r="EZ134" s="229"/>
      <c r="FA134" s="368">
        <v>29072.35</v>
      </c>
      <c r="FB134" s="368">
        <v>12598.35</v>
      </c>
      <c r="FC134" s="368">
        <v>0</v>
      </c>
      <c r="FD134" s="368">
        <v>0</v>
      </c>
      <c r="FE134" s="368">
        <v>1526.25</v>
      </c>
      <c r="FF134" s="368">
        <v>1489.62</v>
      </c>
      <c r="FG134" s="368">
        <v>0</v>
      </c>
      <c r="FH134" s="368">
        <v>-588.51</v>
      </c>
      <c r="FI134" s="368">
        <v>0</v>
      </c>
      <c r="FJ134" s="368">
        <v>0</v>
      </c>
      <c r="FK134" s="368">
        <v>21730.48</v>
      </c>
      <c r="FL134" s="368">
        <v>0</v>
      </c>
      <c r="FM134" s="368">
        <v>61494.45</v>
      </c>
      <c r="FN134" s="368">
        <v>39101.050000000003</v>
      </c>
      <c r="FO134" s="323">
        <v>643778.17000000004</v>
      </c>
      <c r="FP134" s="323">
        <v>65828.539999999994</v>
      </c>
      <c r="FQ134" s="323">
        <v>709606.71</v>
      </c>
      <c r="FR134" s="338">
        <v>66971</v>
      </c>
      <c r="FS134" s="338">
        <v>7281.26</v>
      </c>
      <c r="FT134" s="377">
        <v>74252.259999999995</v>
      </c>
      <c r="FU134" s="377">
        <v>703768.09</v>
      </c>
      <c r="FV134" s="377">
        <v>44426.04</v>
      </c>
      <c r="FW134" s="362">
        <v>748194.13</v>
      </c>
      <c r="FX134" s="362">
        <v>641037.01</v>
      </c>
      <c r="FY134" s="362">
        <v>48047.64</v>
      </c>
      <c r="FZ134" s="362">
        <v>689084.65</v>
      </c>
      <c r="GA134" s="362">
        <v>129702.08</v>
      </c>
      <c r="GB134" s="362">
        <v>3659.66</v>
      </c>
      <c r="GC134" s="362">
        <v>133361.74</v>
      </c>
      <c r="GD134" s="362">
        <v>74416.75</v>
      </c>
      <c r="GE134" s="362">
        <v>15713.65</v>
      </c>
      <c r="GF134" s="362">
        <v>90130.4</v>
      </c>
      <c r="GG134" s="202"/>
      <c r="GH134" s="416"/>
      <c r="GI134" s="414">
        <v>1524</v>
      </c>
      <c r="GJ134" s="419">
        <v>0</v>
      </c>
      <c r="GK134" s="396"/>
      <c r="GL134" s="202">
        <v>0</v>
      </c>
      <c r="GM134" s="202">
        <v>0</v>
      </c>
      <c r="GN134" s="323">
        <v>59989.919999999998</v>
      </c>
      <c r="GO134" s="323">
        <v>-21402.5</v>
      </c>
      <c r="GP134" s="323">
        <v>38587.42</v>
      </c>
      <c r="GQ134" s="323">
        <v>134406.67000000001</v>
      </c>
      <c r="GR134" s="323">
        <v>-5688.85</v>
      </c>
      <c r="GS134" s="323">
        <v>128717.82</v>
      </c>
    </row>
    <row r="135" spans="1:201" ht="12.75" customHeight="1" x14ac:dyDescent="0.2">
      <c r="A135" s="45" t="s">
        <v>201</v>
      </c>
      <c r="B135" s="141" t="s">
        <v>184</v>
      </c>
      <c r="C135" s="142" t="s">
        <v>11</v>
      </c>
      <c r="D135" s="388" t="s">
        <v>563</v>
      </c>
      <c r="E135" s="142" t="s">
        <v>9</v>
      </c>
      <c r="F135" s="11">
        <v>5</v>
      </c>
      <c r="G135" s="11">
        <v>3</v>
      </c>
      <c r="H135" s="11">
        <v>60</v>
      </c>
      <c r="I135" s="11">
        <v>0</v>
      </c>
      <c r="J135" s="11">
        <v>127</v>
      </c>
      <c r="K135" s="11">
        <v>140</v>
      </c>
      <c r="L135" s="11" t="s">
        <v>746</v>
      </c>
      <c r="M135" s="84">
        <v>207</v>
      </c>
      <c r="N135" s="84">
        <v>750</v>
      </c>
      <c r="O135" s="84">
        <v>0</v>
      </c>
      <c r="P135" s="135">
        <v>207</v>
      </c>
      <c r="Q135" s="135">
        <v>646.4</v>
      </c>
      <c r="R135" s="133">
        <v>0</v>
      </c>
      <c r="S135" s="133">
        <f t="shared" si="52"/>
        <v>853.4</v>
      </c>
      <c r="T135" s="134">
        <v>207</v>
      </c>
      <c r="U135" s="130">
        <v>1.53</v>
      </c>
      <c r="V135" s="131">
        <v>1.9800000000000002E-2</v>
      </c>
      <c r="W135" s="131">
        <v>1.9800000000000002E-2</v>
      </c>
      <c r="X135" s="132">
        <v>1.2199999999999999E-3</v>
      </c>
      <c r="Y135" s="131">
        <v>3.95E-2</v>
      </c>
      <c r="Z135" s="29">
        <v>2579.6999999999998</v>
      </c>
      <c r="AA135" s="29"/>
      <c r="AB135" s="9">
        <f t="shared" ref="AB135:AB198" si="57">Z135+AA135</f>
        <v>2579.6999999999998</v>
      </c>
      <c r="AC135" s="9">
        <f t="shared" si="55"/>
        <v>16329.5</v>
      </c>
      <c r="AD135" s="9">
        <v>0.39</v>
      </c>
      <c r="AE135" s="9">
        <v>3.72</v>
      </c>
      <c r="AF135" s="21">
        <f>2.42-AJ135</f>
        <v>2.14</v>
      </c>
      <c r="AG135" s="18">
        <f>0.54-AQ135</f>
        <v>0.43</v>
      </c>
      <c r="AH135" s="9">
        <v>2.78</v>
      </c>
      <c r="AI135" s="43">
        <v>720</v>
      </c>
      <c r="AJ135" s="21">
        <f t="shared" ref="AJ135:AJ199" si="58">SUM(AI135/AB135)</f>
        <v>0.28000000000000003</v>
      </c>
      <c r="AK135" s="9">
        <v>0</v>
      </c>
      <c r="AL135" s="9">
        <v>0</v>
      </c>
      <c r="AM135" s="9">
        <v>0.22</v>
      </c>
      <c r="AN135" s="13"/>
      <c r="AO135" s="13">
        <v>601.20000000000005</v>
      </c>
      <c r="AP135" s="13">
        <f t="shared" si="53"/>
        <v>5.58</v>
      </c>
      <c r="AQ135" s="18">
        <f t="shared" si="56"/>
        <v>0.11</v>
      </c>
      <c r="AR135" s="9">
        <v>0.8</v>
      </c>
      <c r="AS135" s="9">
        <v>0.53</v>
      </c>
      <c r="AT135" s="9">
        <v>7.0000000000000007E-2</v>
      </c>
      <c r="AU135" s="9">
        <v>4.74</v>
      </c>
      <c r="AV135" s="9">
        <v>0.12</v>
      </c>
      <c r="AW135" s="9">
        <f>1.03+0.42+0.32</f>
        <v>1.77</v>
      </c>
      <c r="AX135" s="9">
        <f>1.42+0.56</f>
        <v>1.98</v>
      </c>
      <c r="AY135" s="144">
        <f t="shared" si="54"/>
        <v>20.079999999999998</v>
      </c>
      <c r="AZ135" s="13">
        <v>20.079999999999998</v>
      </c>
      <c r="BA135" s="13">
        <f t="shared" ref="BA135:BA198" si="59">SUM(AY135-AZ135)</f>
        <v>0</v>
      </c>
      <c r="BB135" s="9">
        <f t="shared" ref="BB135:BB198" si="60">SUM(AB135*AZ135)</f>
        <v>51800.38</v>
      </c>
      <c r="BC135" s="9">
        <v>20.079999999999998</v>
      </c>
      <c r="BD135" s="10">
        <v>44378</v>
      </c>
      <c r="BE135" s="9">
        <f t="shared" ref="BE135:BE199" si="61">SUM(AB135*AD135)</f>
        <v>1006.08</v>
      </c>
      <c r="BF135" s="9">
        <f t="shared" ref="BF135:BF199" si="62">SUM(AB135*AE135)</f>
        <v>9596.48</v>
      </c>
      <c r="BG135" s="9">
        <f t="shared" ref="BG135:BG199" si="63">SUM(AB135*AF135)</f>
        <v>5520.56</v>
      </c>
      <c r="BH135" s="9">
        <f t="shared" ref="BH135:BH199" si="64">SUM(AB135*AG135)</f>
        <v>1109.27</v>
      </c>
      <c r="BI135" s="9">
        <f t="shared" ref="BI135:BI199" si="65">SUM(AB135*AH135)</f>
        <v>7171.57</v>
      </c>
      <c r="BJ135" s="9">
        <f t="shared" ref="BJ135:BJ199" si="66">SUM(AB135*AJ135)</f>
        <v>722.32</v>
      </c>
      <c r="BK135" s="9">
        <f t="shared" ref="BK135:BK199" si="67">SUM(AB135*AK135)</f>
        <v>0</v>
      </c>
      <c r="BL135" s="9">
        <f t="shared" ref="BL135:BL199" si="68">SUM(AB135*AL135)</f>
        <v>0</v>
      </c>
      <c r="BM135" s="9">
        <f t="shared" ref="BM135:BM199" si="69">SUM(AB135*AM135)</f>
        <v>567.53</v>
      </c>
      <c r="BN135" s="9">
        <f t="shared" ref="BN135:BN199" si="70">SUM(AB135*AQ135)</f>
        <v>283.77</v>
      </c>
      <c r="BO135" s="9">
        <f t="shared" ref="BO135:BO199" si="71">SUM(AB135*AR135)</f>
        <v>2063.7600000000002</v>
      </c>
      <c r="BP135" s="9">
        <f t="shared" ref="BP135:BP199" si="72">SUM(AB135*AS135)</f>
        <v>1367.24</v>
      </c>
      <c r="BQ135" s="9">
        <f t="shared" ref="BQ135:BQ199" si="73">SUM(AB135*AT135)</f>
        <v>180.58</v>
      </c>
      <c r="BR135" s="9">
        <f t="shared" ref="BR135:BR199" si="74">SUM(AB135*AU135)</f>
        <v>12227.78</v>
      </c>
      <c r="BS135" s="9">
        <f t="shared" ref="BS135:BS199" si="75">SUM(AB135*AV135)</f>
        <v>309.56</v>
      </c>
      <c r="BT135" s="9">
        <f t="shared" ref="BT135:BT199" si="76">SUM(AB135*AW135)</f>
        <v>4566.07</v>
      </c>
      <c r="BU135" s="9">
        <f t="shared" ref="BU135:BU199" si="77">SUM(AB135*AX135)</f>
        <v>5107.8100000000004</v>
      </c>
      <c r="BV135" s="17">
        <f t="shared" ref="BV135:BV199" si="78">SUM(BE135:BU135)</f>
        <v>51800.38</v>
      </c>
      <c r="BW135" s="17">
        <v>1.76</v>
      </c>
      <c r="BX135" s="17">
        <v>0.05</v>
      </c>
      <c r="BY135" s="17">
        <v>0.27</v>
      </c>
      <c r="BZ135" s="17">
        <v>0.05</v>
      </c>
      <c r="CA135" s="29">
        <v>6.33</v>
      </c>
      <c r="CB135" s="325"/>
      <c r="CC135" s="13">
        <v>7662.5</v>
      </c>
      <c r="CD135" s="13">
        <v>702.46</v>
      </c>
      <c r="CE135" s="13">
        <v>92.24</v>
      </c>
      <c r="CF135" s="13">
        <v>17.170000000000002</v>
      </c>
      <c r="CG135" s="13">
        <v>71.55</v>
      </c>
      <c r="CH135" s="13">
        <v>0</v>
      </c>
      <c r="CI135" s="13">
        <v>4895.0200000000004</v>
      </c>
      <c r="CJ135" s="13">
        <v>21588</v>
      </c>
      <c r="CK135" s="13">
        <v>992.09</v>
      </c>
      <c r="CL135" s="13">
        <v>614560.4</v>
      </c>
      <c r="CM135" s="13">
        <v>78339.47</v>
      </c>
      <c r="CN135" s="13">
        <v>0</v>
      </c>
      <c r="CO135" s="13">
        <v>0</v>
      </c>
      <c r="CP135" s="13">
        <v>611.21</v>
      </c>
      <c r="CQ135" s="13">
        <v>0</v>
      </c>
      <c r="CR135" s="13">
        <v>495611.26</v>
      </c>
      <c r="CS135" s="13">
        <v>48516.67</v>
      </c>
      <c r="CT135" s="13">
        <v>455.25</v>
      </c>
      <c r="CU135" s="13">
        <v>85.76</v>
      </c>
      <c r="CV135" s="13">
        <v>535.26</v>
      </c>
      <c r="CW135" s="13">
        <v>0</v>
      </c>
      <c r="CX135" s="13">
        <v>232181.04</v>
      </c>
      <c r="CY135" s="13">
        <v>24578.58</v>
      </c>
      <c r="CZ135" s="13">
        <v>-691.99</v>
      </c>
      <c r="DA135" s="13">
        <v>-122.49</v>
      </c>
      <c r="DB135" s="13">
        <v>177.88</v>
      </c>
      <c r="DC135" s="13"/>
      <c r="DD135" s="315">
        <v>693511.08</v>
      </c>
      <c r="DE135" s="317">
        <v>545204.19999999995</v>
      </c>
      <c r="DF135" s="317">
        <v>78.62</v>
      </c>
      <c r="DG135" s="318">
        <v>256123.02</v>
      </c>
      <c r="DH135" s="310">
        <v>27105</v>
      </c>
      <c r="DI135" s="310">
        <v>15501.6</v>
      </c>
      <c r="DJ135" s="312">
        <v>0</v>
      </c>
      <c r="DK135" s="362">
        <v>0</v>
      </c>
      <c r="DL135" s="362"/>
      <c r="DM135" s="362">
        <v>0</v>
      </c>
      <c r="DN135" s="362">
        <v>0</v>
      </c>
      <c r="DO135" s="362">
        <v>0</v>
      </c>
      <c r="DP135" s="362">
        <v>0</v>
      </c>
      <c r="DQ135" s="362">
        <v>0</v>
      </c>
      <c r="DR135" s="362"/>
      <c r="DS135" s="362">
        <v>0</v>
      </c>
      <c r="DT135" s="362"/>
      <c r="DU135" s="362">
        <v>0</v>
      </c>
      <c r="DV135" s="362">
        <v>0</v>
      </c>
      <c r="DW135" s="362">
        <v>0</v>
      </c>
      <c r="DX135" s="362">
        <v>0</v>
      </c>
      <c r="DY135" s="362">
        <v>0</v>
      </c>
      <c r="DZ135" s="375">
        <v>0</v>
      </c>
      <c r="EA135" s="362">
        <v>147738</v>
      </c>
      <c r="EB135" s="362">
        <v>8180</v>
      </c>
      <c r="EC135" s="362"/>
      <c r="ED135" s="362">
        <v>0</v>
      </c>
      <c r="EE135" s="362">
        <v>0</v>
      </c>
      <c r="EF135" s="362"/>
      <c r="EG135" s="362">
        <v>11460</v>
      </c>
      <c r="EH135" s="362">
        <v>23380</v>
      </c>
      <c r="EI135" s="362"/>
      <c r="EJ135" s="362">
        <v>14080</v>
      </c>
      <c r="EK135" s="362"/>
      <c r="EL135" s="362">
        <v>186474</v>
      </c>
      <c r="EM135" s="362">
        <v>3354.69</v>
      </c>
      <c r="EN135" s="362">
        <v>0</v>
      </c>
      <c r="EO135" s="362">
        <v>0</v>
      </c>
      <c r="EP135" s="362">
        <v>0</v>
      </c>
      <c r="EQ135" s="362">
        <v>0</v>
      </c>
      <c r="ER135" s="362">
        <v>16380</v>
      </c>
      <c r="ES135" s="362">
        <v>6924</v>
      </c>
      <c r="ET135" s="362">
        <v>9699</v>
      </c>
      <c r="EU135" s="362">
        <v>0</v>
      </c>
      <c r="EV135" s="362">
        <v>15425.34</v>
      </c>
      <c r="EW135" s="362"/>
      <c r="EX135" s="202"/>
      <c r="EY135" s="202"/>
      <c r="EZ135" s="229"/>
      <c r="FA135" s="368">
        <v>95079.51</v>
      </c>
      <c r="FB135" s="368">
        <v>0</v>
      </c>
      <c r="FC135" s="368">
        <v>0</v>
      </c>
      <c r="FD135" s="368">
        <v>0</v>
      </c>
      <c r="FE135" s="368">
        <v>0</v>
      </c>
      <c r="FF135" s="368">
        <v>736.39</v>
      </c>
      <c r="FG135" s="368">
        <v>0</v>
      </c>
      <c r="FH135" s="368">
        <v>-679.32</v>
      </c>
      <c r="FI135" s="368">
        <v>0</v>
      </c>
      <c r="FJ135" s="368">
        <v>0</v>
      </c>
      <c r="FK135" s="368">
        <v>7833.32</v>
      </c>
      <c r="FL135" s="368">
        <v>0</v>
      </c>
      <c r="FM135" s="368">
        <v>68966.2</v>
      </c>
      <c r="FN135" s="368">
        <v>43852.09</v>
      </c>
      <c r="FO135" s="323">
        <v>598519.92000000004</v>
      </c>
      <c r="FP135" s="323">
        <v>102969.9</v>
      </c>
      <c r="FQ135" s="323">
        <v>701489.82</v>
      </c>
      <c r="FR135" s="338">
        <v>111234.04</v>
      </c>
      <c r="FS135" s="338">
        <v>4621.96</v>
      </c>
      <c r="FT135" s="377">
        <v>115856</v>
      </c>
      <c r="FU135" s="377">
        <v>648705.92000000004</v>
      </c>
      <c r="FV135" s="377">
        <v>80826.19</v>
      </c>
      <c r="FW135" s="362">
        <v>729532.11</v>
      </c>
      <c r="FX135" s="362">
        <v>527758.92000000004</v>
      </c>
      <c r="FY135" s="362">
        <v>61506.17</v>
      </c>
      <c r="FZ135" s="362">
        <v>589265.09</v>
      </c>
      <c r="GA135" s="362">
        <v>232181.04</v>
      </c>
      <c r="GB135" s="362">
        <v>23941.98</v>
      </c>
      <c r="GC135" s="362">
        <v>256123.02</v>
      </c>
      <c r="GD135" s="362">
        <v>-194500.88</v>
      </c>
      <c r="GE135" s="362">
        <v>535.74</v>
      </c>
      <c r="GF135" s="362">
        <v>-193965.14</v>
      </c>
      <c r="GG135" s="202"/>
      <c r="GH135" s="416">
        <v>90</v>
      </c>
      <c r="GI135" s="414">
        <v>1439</v>
      </c>
      <c r="GJ135" s="419">
        <v>8545.92</v>
      </c>
      <c r="GK135" s="396"/>
      <c r="GL135" s="202">
        <v>0</v>
      </c>
      <c r="GM135" s="202">
        <v>0</v>
      </c>
      <c r="GN135" s="323">
        <v>50186</v>
      </c>
      <c r="GO135" s="323">
        <v>-22143.71</v>
      </c>
      <c r="GP135" s="323">
        <v>28042.29</v>
      </c>
      <c r="GQ135" s="323">
        <v>-144314.88</v>
      </c>
      <c r="GR135" s="323">
        <v>-21607.97</v>
      </c>
      <c r="GS135" s="323">
        <v>-165922.85</v>
      </c>
    </row>
    <row r="136" spans="1:201" ht="12.75" customHeight="1" x14ac:dyDescent="0.2">
      <c r="A136" s="45" t="s">
        <v>202</v>
      </c>
      <c r="B136" s="123" t="s">
        <v>184</v>
      </c>
      <c r="C136" s="124" t="s">
        <v>46</v>
      </c>
      <c r="D136" s="390" t="s">
        <v>643</v>
      </c>
      <c r="E136" s="124"/>
      <c r="F136" s="11">
        <v>9</v>
      </c>
      <c r="G136" s="11">
        <v>6</v>
      </c>
      <c r="H136" s="11">
        <v>324</v>
      </c>
      <c r="I136" s="11">
        <v>322</v>
      </c>
      <c r="J136" s="11">
        <v>690</v>
      </c>
      <c r="K136" s="11">
        <v>846</v>
      </c>
      <c r="L136" s="11">
        <v>6</v>
      </c>
      <c r="M136" s="84">
        <v>2202</v>
      </c>
      <c r="N136" s="84">
        <v>2510</v>
      </c>
      <c r="O136" s="84">
        <v>0</v>
      </c>
      <c r="P136" s="135">
        <f>981.1+1221.8</f>
        <v>2202.9</v>
      </c>
      <c r="Q136" s="135">
        <v>2504.9</v>
      </c>
      <c r="R136" s="135">
        <v>0</v>
      </c>
      <c r="S136" s="133">
        <f t="shared" ref="S136:S200" si="79">SUM(P136:R136)</f>
        <v>4707.8</v>
      </c>
      <c r="T136" s="135">
        <v>2202</v>
      </c>
      <c r="U136" s="130">
        <v>2.44</v>
      </c>
      <c r="V136" s="91">
        <v>1.9800000000000002E-2</v>
      </c>
      <c r="W136" s="91">
        <v>1.9800000000000002E-2</v>
      </c>
      <c r="X136" s="132">
        <v>1.32E-3</v>
      </c>
      <c r="Y136" s="91">
        <v>3.9699999999999999E-2</v>
      </c>
      <c r="Z136" s="29">
        <v>15700.05</v>
      </c>
      <c r="AA136" s="29">
        <v>48.3</v>
      </c>
      <c r="AB136" s="9">
        <f t="shared" si="57"/>
        <v>15748.35</v>
      </c>
      <c r="AC136" s="9">
        <f t="shared" si="55"/>
        <v>99687.06</v>
      </c>
      <c r="AD136" s="9">
        <v>1.91</v>
      </c>
      <c r="AE136" s="9">
        <v>4.42</v>
      </c>
      <c r="AF136" s="21">
        <f>2.5-AJ136</f>
        <v>2.35</v>
      </c>
      <c r="AG136" s="18">
        <f>0.59-AQ136</f>
        <v>0.55000000000000004</v>
      </c>
      <c r="AH136" s="9">
        <v>2.77</v>
      </c>
      <c r="AI136" s="43">
        <v>2410</v>
      </c>
      <c r="AJ136" s="21">
        <f t="shared" si="58"/>
        <v>0.15</v>
      </c>
      <c r="AK136" s="9">
        <v>1.64</v>
      </c>
      <c r="AL136" s="9">
        <v>0.14000000000000001</v>
      </c>
      <c r="AM136" s="9">
        <v>0.04</v>
      </c>
      <c r="AN136" s="13"/>
      <c r="AO136" s="13">
        <v>1267.2</v>
      </c>
      <c r="AP136" s="13">
        <f t="shared" si="53"/>
        <v>5.58</v>
      </c>
      <c r="AQ136" s="18">
        <f t="shared" si="56"/>
        <v>0.04</v>
      </c>
      <c r="AR136" s="9">
        <v>0.65</v>
      </c>
      <c r="AS136" s="9">
        <v>0.17</v>
      </c>
      <c r="AT136" s="9">
        <v>7.0000000000000007E-2</v>
      </c>
      <c r="AU136" s="9">
        <v>4.2300000000000004</v>
      </c>
      <c r="AV136" s="9">
        <v>0.16</v>
      </c>
      <c r="AW136" s="9">
        <f>1.34+0.37+0.29</f>
        <v>2</v>
      </c>
      <c r="AX136" s="9">
        <f>1.86+0.52</f>
        <v>2.38</v>
      </c>
      <c r="AY136" s="126">
        <f t="shared" si="54"/>
        <v>23.67</v>
      </c>
      <c r="AZ136" s="13">
        <v>23.67</v>
      </c>
      <c r="BA136" s="13">
        <f t="shared" si="59"/>
        <v>0</v>
      </c>
      <c r="BB136" s="9">
        <f t="shared" si="60"/>
        <v>372763.44</v>
      </c>
      <c r="BC136" s="9">
        <v>23.67</v>
      </c>
      <c r="BD136" s="10">
        <v>44440</v>
      </c>
      <c r="BE136" s="9">
        <f t="shared" si="61"/>
        <v>30079.35</v>
      </c>
      <c r="BF136" s="9">
        <f t="shared" si="62"/>
        <v>69607.710000000006</v>
      </c>
      <c r="BG136" s="9">
        <f t="shared" si="63"/>
        <v>37008.620000000003</v>
      </c>
      <c r="BH136" s="9">
        <f t="shared" si="64"/>
        <v>8661.59</v>
      </c>
      <c r="BI136" s="9">
        <f t="shared" si="65"/>
        <v>43622.93</v>
      </c>
      <c r="BJ136" s="9">
        <f t="shared" si="66"/>
        <v>2362.25</v>
      </c>
      <c r="BK136" s="9">
        <f t="shared" si="67"/>
        <v>25827.29</v>
      </c>
      <c r="BL136" s="9">
        <f t="shared" si="68"/>
        <v>2204.77</v>
      </c>
      <c r="BM136" s="9">
        <f t="shared" si="69"/>
        <v>629.92999999999995</v>
      </c>
      <c r="BN136" s="9">
        <f t="shared" si="70"/>
        <v>629.92999999999995</v>
      </c>
      <c r="BO136" s="9">
        <f t="shared" si="71"/>
        <v>10236.43</v>
      </c>
      <c r="BP136" s="9">
        <f t="shared" si="72"/>
        <v>2677.22</v>
      </c>
      <c r="BQ136" s="9">
        <f t="shared" si="73"/>
        <v>1102.3800000000001</v>
      </c>
      <c r="BR136" s="9">
        <f t="shared" si="74"/>
        <v>66615.520000000004</v>
      </c>
      <c r="BS136" s="9">
        <f t="shared" si="75"/>
        <v>2519.7399999999998</v>
      </c>
      <c r="BT136" s="9">
        <f t="shared" si="76"/>
        <v>31496.7</v>
      </c>
      <c r="BU136" s="9">
        <f t="shared" si="77"/>
        <v>37481.07</v>
      </c>
      <c r="BV136" s="17">
        <f t="shared" si="78"/>
        <v>372763.43</v>
      </c>
      <c r="BW136" s="17">
        <v>2.68</v>
      </c>
      <c r="BX136" s="17">
        <v>0.08</v>
      </c>
      <c r="BY136" s="17">
        <v>0.49</v>
      </c>
      <c r="BZ136" s="17">
        <v>0.09</v>
      </c>
      <c r="CA136" s="29">
        <v>6.33</v>
      </c>
      <c r="CB136" s="325"/>
      <c r="CC136" s="13">
        <v>15132.17</v>
      </c>
      <c r="CD136" s="13">
        <v>677.99</v>
      </c>
      <c r="CE136" s="13">
        <v>11.03</v>
      </c>
      <c r="CF136" s="13">
        <v>209.55</v>
      </c>
      <c r="CG136" s="13">
        <v>75.8</v>
      </c>
      <c r="CH136" s="13">
        <v>0</v>
      </c>
      <c r="CI136" s="13">
        <v>11374.3</v>
      </c>
      <c r="CJ136" s="13">
        <v>77988</v>
      </c>
      <c r="CK136" s="13">
        <v>6056.61</v>
      </c>
      <c r="CL136" s="13">
        <v>4303040.9400000004</v>
      </c>
      <c r="CM136" s="13">
        <v>215625.28</v>
      </c>
      <c r="CN136" s="13">
        <v>39446.089999999997</v>
      </c>
      <c r="CO136" s="13">
        <v>35333.15</v>
      </c>
      <c r="CP136" s="13">
        <v>26225.41</v>
      </c>
      <c r="CQ136" s="13">
        <v>0</v>
      </c>
      <c r="CR136" s="13">
        <v>3986353.5</v>
      </c>
      <c r="CS136" s="13">
        <v>217571.68</v>
      </c>
      <c r="CT136" s="13">
        <v>84704.16</v>
      </c>
      <c r="CU136" s="13">
        <v>49756.83</v>
      </c>
      <c r="CV136" s="13">
        <v>31944.34</v>
      </c>
      <c r="CW136" s="13">
        <v>0</v>
      </c>
      <c r="CX136" s="13">
        <v>698789.64</v>
      </c>
      <c r="CY136" s="13">
        <v>34391.99</v>
      </c>
      <c r="CZ136" s="13">
        <v>-53818.23</v>
      </c>
      <c r="DA136" s="13">
        <v>6727.71</v>
      </c>
      <c r="DB136" s="13">
        <v>3897.99</v>
      </c>
      <c r="DC136" s="13"/>
      <c r="DD136" s="315">
        <v>4619670.87</v>
      </c>
      <c r="DE136" s="317">
        <v>4370330.51</v>
      </c>
      <c r="DF136" s="317">
        <v>94.6</v>
      </c>
      <c r="DG136" s="318">
        <v>689989.1</v>
      </c>
      <c r="DH136" s="310">
        <v>164475.35999999999</v>
      </c>
      <c r="DI136" s="310">
        <v>94065.24</v>
      </c>
      <c r="DJ136" s="312">
        <v>0</v>
      </c>
      <c r="DK136" s="362">
        <v>0</v>
      </c>
      <c r="DL136" s="362"/>
      <c r="DM136" s="362">
        <v>0</v>
      </c>
      <c r="DN136" s="362">
        <v>0</v>
      </c>
      <c r="DO136" s="362">
        <v>0</v>
      </c>
      <c r="DP136" s="362">
        <v>0</v>
      </c>
      <c r="DQ136" s="362">
        <v>0</v>
      </c>
      <c r="DR136" s="362"/>
      <c r="DS136" s="362">
        <v>0</v>
      </c>
      <c r="DT136" s="362"/>
      <c r="DU136" s="362">
        <v>0</v>
      </c>
      <c r="DV136" s="362">
        <v>0</v>
      </c>
      <c r="DW136" s="362">
        <v>309183.87</v>
      </c>
      <c r="DX136" s="362">
        <v>0</v>
      </c>
      <c r="DY136" s="362">
        <v>84000</v>
      </c>
      <c r="DZ136" s="375">
        <v>15761.74</v>
      </c>
      <c r="EA136" s="362">
        <v>1376670</v>
      </c>
      <c r="EB136" s="362">
        <v>11950</v>
      </c>
      <c r="EC136" s="362"/>
      <c r="ED136" s="362">
        <v>0</v>
      </c>
      <c r="EE136" s="362">
        <v>0</v>
      </c>
      <c r="EF136" s="362"/>
      <c r="EG136" s="362">
        <v>38352</v>
      </c>
      <c r="EH136" s="362">
        <v>0</v>
      </c>
      <c r="EI136" s="362"/>
      <c r="EJ136" s="362">
        <v>0</v>
      </c>
      <c r="EK136" s="362"/>
      <c r="EL136" s="362">
        <v>1154772</v>
      </c>
      <c r="EM136" s="362">
        <v>7070.97</v>
      </c>
      <c r="EN136" s="362">
        <v>0</v>
      </c>
      <c r="EO136" s="362">
        <v>0</v>
      </c>
      <c r="EP136" s="362">
        <v>0</v>
      </c>
      <c r="EQ136" s="362">
        <v>0</v>
      </c>
      <c r="ER136" s="362">
        <v>28665</v>
      </c>
      <c r="ES136" s="362">
        <v>2885</v>
      </c>
      <c r="ET136" s="362">
        <v>40711</v>
      </c>
      <c r="EU136" s="362">
        <v>77825.13</v>
      </c>
      <c r="EV136" s="362">
        <v>101530.82</v>
      </c>
      <c r="EW136" s="362"/>
      <c r="EX136" s="202"/>
      <c r="EY136" s="202"/>
      <c r="EZ136" s="229"/>
      <c r="FA136" s="368">
        <v>283192.26</v>
      </c>
      <c r="FB136" s="368">
        <v>33438.43</v>
      </c>
      <c r="FC136" s="368">
        <v>0</v>
      </c>
      <c r="FD136" s="368">
        <v>0</v>
      </c>
      <c r="FE136" s="368">
        <v>33709.839999999997</v>
      </c>
      <c r="FF136" s="368">
        <v>24394.17</v>
      </c>
      <c r="FG136" s="368">
        <v>-8809.82</v>
      </c>
      <c r="FH136" s="368">
        <v>-8860.32</v>
      </c>
      <c r="FI136" s="368">
        <v>0</v>
      </c>
      <c r="FJ136" s="368">
        <v>0</v>
      </c>
      <c r="FK136" s="368">
        <v>161892.48000000001</v>
      </c>
      <c r="FL136" s="368">
        <v>0</v>
      </c>
      <c r="FM136" s="368">
        <v>421031.95</v>
      </c>
      <c r="FN136" s="368">
        <v>267711.78000000003</v>
      </c>
      <c r="FO136" s="323">
        <v>4196661.8600000003</v>
      </c>
      <c r="FP136" s="323">
        <v>518957.04</v>
      </c>
      <c r="FQ136" s="323">
        <v>4715618.9000000004</v>
      </c>
      <c r="FR136" s="338">
        <v>393461.16</v>
      </c>
      <c r="FS136" s="338">
        <v>68132.5</v>
      </c>
      <c r="FT136" s="377">
        <v>461593.66</v>
      </c>
      <c r="FU136" s="377">
        <v>4407535.41</v>
      </c>
      <c r="FV136" s="377">
        <v>323660.90999999997</v>
      </c>
      <c r="FW136" s="362">
        <v>4731196.32</v>
      </c>
      <c r="FX136" s="362">
        <v>4096358.84</v>
      </c>
      <c r="FY136" s="362">
        <v>400220.67</v>
      </c>
      <c r="FZ136" s="362">
        <v>4496579.51</v>
      </c>
      <c r="GA136" s="362">
        <v>704637.73</v>
      </c>
      <c r="GB136" s="362">
        <v>-8427.26</v>
      </c>
      <c r="GC136" s="362">
        <v>696210.47</v>
      </c>
      <c r="GD136" s="362">
        <v>290850.82</v>
      </c>
      <c r="GE136" s="362">
        <v>69668.37</v>
      </c>
      <c r="GF136" s="362">
        <v>360519.19</v>
      </c>
      <c r="GG136" s="202">
        <v>6221.37</v>
      </c>
      <c r="GH136" s="416">
        <v>94</v>
      </c>
      <c r="GI136" s="414">
        <v>4910</v>
      </c>
      <c r="GJ136" s="419">
        <v>16106.54</v>
      </c>
      <c r="GK136" s="396">
        <v>6221.37</v>
      </c>
      <c r="GL136" s="202">
        <v>5848.0878000000002</v>
      </c>
      <c r="GM136" s="202">
        <v>373.28219999999999</v>
      </c>
      <c r="GN136" s="323">
        <v>210873.55</v>
      </c>
      <c r="GO136" s="323">
        <v>-195296.13</v>
      </c>
      <c r="GP136" s="323">
        <v>15577.42</v>
      </c>
      <c r="GQ136" s="323">
        <v>501724.37</v>
      </c>
      <c r="GR136" s="323">
        <v>-125627.76</v>
      </c>
      <c r="GS136" s="323">
        <v>376096.61</v>
      </c>
    </row>
    <row r="137" spans="1:201" ht="12.75" customHeight="1" x14ac:dyDescent="0.2">
      <c r="A137" s="45" t="s">
        <v>204</v>
      </c>
      <c r="B137" s="141" t="s">
        <v>184</v>
      </c>
      <c r="C137" s="142" t="s">
        <v>67</v>
      </c>
      <c r="D137" s="388" t="s">
        <v>455</v>
      </c>
      <c r="E137" s="142" t="s">
        <v>12</v>
      </c>
      <c r="F137" s="11">
        <v>5</v>
      </c>
      <c r="G137" s="11">
        <v>3</v>
      </c>
      <c r="H137" s="11">
        <v>60</v>
      </c>
      <c r="I137" s="11">
        <v>62</v>
      </c>
      <c r="J137" s="11">
        <v>111</v>
      </c>
      <c r="K137" s="11">
        <v>136</v>
      </c>
      <c r="L137" s="11" t="s">
        <v>746</v>
      </c>
      <c r="M137" s="84">
        <v>206</v>
      </c>
      <c r="N137" s="84">
        <v>750</v>
      </c>
      <c r="O137" s="84">
        <v>0</v>
      </c>
      <c r="P137" s="135">
        <v>205.5</v>
      </c>
      <c r="Q137" s="135">
        <v>529.20000000000005</v>
      </c>
      <c r="R137" s="133">
        <v>0</v>
      </c>
      <c r="S137" s="133">
        <f t="shared" si="79"/>
        <v>734.7</v>
      </c>
      <c r="T137" s="134">
        <v>206</v>
      </c>
      <c r="U137" s="130">
        <v>1.53</v>
      </c>
      <c r="V137" s="131">
        <v>1.9800000000000002E-2</v>
      </c>
      <c r="W137" s="131">
        <v>1.9800000000000002E-2</v>
      </c>
      <c r="X137" s="132">
        <v>1.2199999999999999E-3</v>
      </c>
      <c r="Y137" s="131">
        <v>3.95E-2</v>
      </c>
      <c r="Z137" s="29">
        <v>2591.31</v>
      </c>
      <c r="AA137" s="29"/>
      <c r="AB137" s="9">
        <f t="shared" si="57"/>
        <v>2591.31</v>
      </c>
      <c r="AC137" s="9">
        <f t="shared" si="55"/>
        <v>16402.990000000002</v>
      </c>
      <c r="AD137" s="9">
        <v>0.39</v>
      </c>
      <c r="AE137" s="9">
        <v>3.99</v>
      </c>
      <c r="AF137" s="21">
        <f>2.42-AJ137</f>
        <v>2.14</v>
      </c>
      <c r="AG137" s="18">
        <f>0.54-AQ137</f>
        <v>0.43</v>
      </c>
      <c r="AH137" s="9">
        <v>2.78</v>
      </c>
      <c r="AI137" s="43">
        <v>720</v>
      </c>
      <c r="AJ137" s="21">
        <f t="shared" si="58"/>
        <v>0.28000000000000003</v>
      </c>
      <c r="AK137" s="9">
        <v>0</v>
      </c>
      <c r="AL137" s="9">
        <v>0</v>
      </c>
      <c r="AM137" s="9">
        <v>0</v>
      </c>
      <c r="AN137" s="13"/>
      <c r="AO137" s="13">
        <v>601.20000000000005</v>
      </c>
      <c r="AP137" s="13">
        <f t="shared" ref="AP137:AP201" si="80">5.58</f>
        <v>5.58</v>
      </c>
      <c r="AQ137" s="18">
        <f t="shared" si="56"/>
        <v>0.11</v>
      </c>
      <c r="AR137" s="9">
        <v>0.8</v>
      </c>
      <c r="AS137" s="9">
        <v>0.53</v>
      </c>
      <c r="AT137" s="9">
        <v>7.0000000000000007E-2</v>
      </c>
      <c r="AU137" s="9">
        <v>4.74</v>
      </c>
      <c r="AV137" s="9">
        <v>0.12</v>
      </c>
      <c r="AW137" s="9">
        <f>1.03+0.42+0.31</f>
        <v>1.76</v>
      </c>
      <c r="AX137" s="9">
        <f>1.42+0.56</f>
        <v>1.98</v>
      </c>
      <c r="AY137" s="144">
        <f t="shared" ref="AY137:AY201" si="81">SUM(AD137:AH137,AJ137:AM137,AQ137:AX137)</f>
        <v>20.12</v>
      </c>
      <c r="AZ137" s="13">
        <v>20.12</v>
      </c>
      <c r="BA137" s="13">
        <f t="shared" si="59"/>
        <v>0</v>
      </c>
      <c r="BB137" s="9">
        <f t="shared" si="60"/>
        <v>52137.16</v>
      </c>
      <c r="BC137" s="9">
        <v>20.12</v>
      </c>
      <c r="BD137" s="10">
        <v>44378</v>
      </c>
      <c r="BE137" s="9">
        <f t="shared" si="61"/>
        <v>1010.61</v>
      </c>
      <c r="BF137" s="9">
        <f t="shared" si="62"/>
        <v>10339.33</v>
      </c>
      <c r="BG137" s="9">
        <f t="shared" si="63"/>
        <v>5545.4</v>
      </c>
      <c r="BH137" s="9">
        <f t="shared" si="64"/>
        <v>1114.26</v>
      </c>
      <c r="BI137" s="9">
        <f t="shared" si="65"/>
        <v>7203.84</v>
      </c>
      <c r="BJ137" s="9">
        <f t="shared" si="66"/>
        <v>725.57</v>
      </c>
      <c r="BK137" s="9">
        <f t="shared" si="67"/>
        <v>0</v>
      </c>
      <c r="BL137" s="9">
        <f t="shared" si="68"/>
        <v>0</v>
      </c>
      <c r="BM137" s="9">
        <f t="shared" si="69"/>
        <v>0</v>
      </c>
      <c r="BN137" s="9">
        <f t="shared" si="70"/>
        <v>285.04000000000002</v>
      </c>
      <c r="BO137" s="9">
        <f t="shared" si="71"/>
        <v>2073.0500000000002</v>
      </c>
      <c r="BP137" s="9">
        <f t="shared" si="72"/>
        <v>1373.39</v>
      </c>
      <c r="BQ137" s="9">
        <f t="shared" si="73"/>
        <v>181.39</v>
      </c>
      <c r="BR137" s="9">
        <f t="shared" si="74"/>
        <v>12282.81</v>
      </c>
      <c r="BS137" s="9">
        <f t="shared" si="75"/>
        <v>310.95999999999998</v>
      </c>
      <c r="BT137" s="9">
        <f t="shared" si="76"/>
        <v>4560.71</v>
      </c>
      <c r="BU137" s="9">
        <f t="shared" si="77"/>
        <v>5130.79</v>
      </c>
      <c r="BV137" s="17">
        <f t="shared" si="78"/>
        <v>52137.15</v>
      </c>
      <c r="BW137" s="17">
        <v>1.74</v>
      </c>
      <c r="BX137" s="17">
        <v>0.04</v>
      </c>
      <c r="BY137" s="17">
        <v>0.26</v>
      </c>
      <c r="BZ137" s="17">
        <v>0.05</v>
      </c>
      <c r="CA137" s="29">
        <v>6.33</v>
      </c>
      <c r="CB137" s="325"/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I137" s="13">
        <v>2354.71</v>
      </c>
      <c r="CJ137" s="13">
        <v>27684</v>
      </c>
      <c r="CK137" s="13">
        <v>996.58</v>
      </c>
      <c r="CL137" s="13">
        <v>625645.43999999994</v>
      </c>
      <c r="CM137" s="13">
        <v>14873.8</v>
      </c>
      <c r="CN137" s="13">
        <v>85202.42</v>
      </c>
      <c r="CO137" s="13">
        <v>1244.1600000000001</v>
      </c>
      <c r="CP137" s="13">
        <v>1374.26</v>
      </c>
      <c r="CQ137" s="13">
        <v>0</v>
      </c>
      <c r="CR137" s="13">
        <v>582596.92000000004</v>
      </c>
      <c r="CS137" s="13">
        <v>14099.72</v>
      </c>
      <c r="CT137" s="13">
        <v>60869.38</v>
      </c>
      <c r="CU137" s="13">
        <v>1129.79</v>
      </c>
      <c r="CV137" s="13">
        <v>1263.2</v>
      </c>
      <c r="CW137" s="13">
        <v>0</v>
      </c>
      <c r="CX137" s="13">
        <v>109366.18</v>
      </c>
      <c r="CY137" s="13">
        <v>-593.45000000000005</v>
      </c>
      <c r="CZ137" s="13">
        <v>26450.26</v>
      </c>
      <c r="DA137" s="13">
        <v>217.41</v>
      </c>
      <c r="DB137" s="13">
        <v>250.18</v>
      </c>
      <c r="DC137" s="13"/>
      <c r="DD137" s="315">
        <v>728340.08</v>
      </c>
      <c r="DE137" s="317">
        <v>659959.01</v>
      </c>
      <c r="DF137" s="317">
        <v>90.61</v>
      </c>
      <c r="DG137" s="318">
        <v>135690.57999999999</v>
      </c>
      <c r="DH137" s="310">
        <v>27228</v>
      </c>
      <c r="DI137" s="310">
        <v>15572.04</v>
      </c>
      <c r="DJ137" s="312">
        <v>0</v>
      </c>
      <c r="DK137" s="362">
        <v>0</v>
      </c>
      <c r="DL137" s="362"/>
      <c r="DM137" s="362">
        <v>0</v>
      </c>
      <c r="DN137" s="362">
        <v>0</v>
      </c>
      <c r="DO137" s="362">
        <v>0</v>
      </c>
      <c r="DP137" s="362">
        <v>0</v>
      </c>
      <c r="DQ137" s="362">
        <v>0</v>
      </c>
      <c r="DR137" s="362"/>
      <c r="DS137" s="362">
        <v>0</v>
      </c>
      <c r="DT137" s="362"/>
      <c r="DU137" s="362">
        <v>0</v>
      </c>
      <c r="DV137" s="362">
        <v>0</v>
      </c>
      <c r="DW137" s="362">
        <v>0</v>
      </c>
      <c r="DX137" s="362">
        <v>0</v>
      </c>
      <c r="DY137" s="362">
        <v>0</v>
      </c>
      <c r="DZ137" s="375">
        <v>0</v>
      </c>
      <c r="EA137" s="362">
        <v>158358</v>
      </c>
      <c r="EB137" s="362">
        <v>9375</v>
      </c>
      <c r="EC137" s="362"/>
      <c r="ED137" s="362">
        <v>0</v>
      </c>
      <c r="EE137" s="362">
        <v>0</v>
      </c>
      <c r="EF137" s="362"/>
      <c r="EG137" s="362">
        <v>11460</v>
      </c>
      <c r="EH137" s="362">
        <v>17780</v>
      </c>
      <c r="EI137" s="362"/>
      <c r="EJ137" s="362">
        <v>10560</v>
      </c>
      <c r="EK137" s="362"/>
      <c r="EL137" s="362">
        <v>187446</v>
      </c>
      <c r="EM137" s="362">
        <v>3354.69</v>
      </c>
      <c r="EN137" s="362">
        <v>0</v>
      </c>
      <c r="EO137" s="362">
        <v>0</v>
      </c>
      <c r="EP137" s="362">
        <v>0</v>
      </c>
      <c r="EQ137" s="362">
        <v>0</v>
      </c>
      <c r="ER137" s="362">
        <v>16380</v>
      </c>
      <c r="ES137" s="362">
        <v>0</v>
      </c>
      <c r="ET137" s="362">
        <v>9699</v>
      </c>
      <c r="EU137" s="362">
        <v>0</v>
      </c>
      <c r="EV137" s="362">
        <v>2190.5700000000002</v>
      </c>
      <c r="EW137" s="362"/>
      <c r="EX137" s="202"/>
      <c r="EY137" s="202"/>
      <c r="EZ137" s="229"/>
      <c r="FA137" s="368">
        <v>14958.43</v>
      </c>
      <c r="FB137" s="368">
        <v>85870.18</v>
      </c>
      <c r="FC137" s="368">
        <v>0</v>
      </c>
      <c r="FD137" s="368">
        <v>0</v>
      </c>
      <c r="FE137" s="368">
        <v>1366.31</v>
      </c>
      <c r="FF137" s="368">
        <v>1461.89</v>
      </c>
      <c r="FG137" s="368">
        <v>0</v>
      </c>
      <c r="FH137" s="368">
        <v>-662.99</v>
      </c>
      <c r="FI137" s="368">
        <v>0</v>
      </c>
      <c r="FJ137" s="368">
        <v>0</v>
      </c>
      <c r="FK137" s="368">
        <v>3694.93</v>
      </c>
      <c r="FL137" s="368">
        <v>0</v>
      </c>
      <c r="FM137" s="368">
        <v>69278.83</v>
      </c>
      <c r="FN137" s="368">
        <v>44050.720000000001</v>
      </c>
      <c r="FO137" s="323">
        <v>582732.85</v>
      </c>
      <c r="FP137" s="323">
        <v>106688.75</v>
      </c>
      <c r="FQ137" s="323">
        <v>689421.6</v>
      </c>
      <c r="FR137" s="338">
        <v>60629.02</v>
      </c>
      <c r="FS137" s="338">
        <v>2411.61</v>
      </c>
      <c r="FT137" s="377">
        <v>63040.63</v>
      </c>
      <c r="FU137" s="377">
        <v>655684.15</v>
      </c>
      <c r="FV137" s="377">
        <v>103691.22</v>
      </c>
      <c r="FW137" s="362">
        <v>759375.37</v>
      </c>
      <c r="FX137" s="362">
        <v>606946.99</v>
      </c>
      <c r="FY137" s="362">
        <v>79778.429999999993</v>
      </c>
      <c r="FZ137" s="362">
        <v>686725.42</v>
      </c>
      <c r="GA137" s="362">
        <v>109366.18</v>
      </c>
      <c r="GB137" s="362">
        <v>26324.400000000001</v>
      </c>
      <c r="GC137" s="362">
        <v>135690.57999999999</v>
      </c>
      <c r="GD137" s="362">
        <v>67564.12</v>
      </c>
      <c r="GE137" s="362">
        <v>-32053.91</v>
      </c>
      <c r="GF137" s="362">
        <v>35510.21</v>
      </c>
      <c r="GG137" s="202"/>
      <c r="GH137" s="416"/>
      <c r="GI137" s="414">
        <v>2455</v>
      </c>
      <c r="GJ137" s="419">
        <v>0</v>
      </c>
      <c r="GK137" s="396"/>
      <c r="GL137" s="202">
        <v>0</v>
      </c>
      <c r="GM137" s="202">
        <v>0</v>
      </c>
      <c r="GN137" s="323">
        <v>72951.3</v>
      </c>
      <c r="GO137" s="323">
        <v>-2997.53</v>
      </c>
      <c r="GP137" s="323">
        <v>69953.77</v>
      </c>
      <c r="GQ137" s="323">
        <v>140515.42000000001</v>
      </c>
      <c r="GR137" s="323">
        <v>-35051.440000000002</v>
      </c>
      <c r="GS137" s="323">
        <v>105463.98</v>
      </c>
    </row>
    <row r="138" spans="1:201" x14ac:dyDescent="0.2">
      <c r="A138" s="45" t="s">
        <v>205</v>
      </c>
      <c r="B138" s="141" t="s">
        <v>184</v>
      </c>
      <c r="C138" s="142" t="s">
        <v>67</v>
      </c>
      <c r="D138" s="388" t="s">
        <v>564</v>
      </c>
      <c r="E138" s="142" t="s">
        <v>9</v>
      </c>
      <c r="F138" s="11">
        <v>5</v>
      </c>
      <c r="G138" s="11">
        <v>3</v>
      </c>
      <c r="H138" s="11">
        <v>60</v>
      </c>
      <c r="I138" s="11">
        <v>0</v>
      </c>
      <c r="J138" s="11">
        <v>140</v>
      </c>
      <c r="K138" s="11">
        <v>130</v>
      </c>
      <c r="L138" s="11" t="s">
        <v>746</v>
      </c>
      <c r="M138" s="84">
        <v>205</v>
      </c>
      <c r="N138" s="84">
        <v>750</v>
      </c>
      <c r="O138" s="84">
        <v>0</v>
      </c>
      <c r="P138" s="135">
        <v>204.5</v>
      </c>
      <c r="Q138" s="135">
        <v>646.20000000000005</v>
      </c>
      <c r="R138" s="135">
        <v>0</v>
      </c>
      <c r="S138" s="133">
        <f t="shared" si="79"/>
        <v>850.7</v>
      </c>
      <c r="T138" s="135">
        <v>205</v>
      </c>
      <c r="U138" s="130">
        <v>1.53</v>
      </c>
      <c r="V138" s="131">
        <v>1.9800000000000002E-2</v>
      </c>
      <c r="W138" s="131">
        <v>1.9800000000000002E-2</v>
      </c>
      <c r="X138" s="132">
        <v>1.2199999999999999E-3</v>
      </c>
      <c r="Y138" s="131">
        <v>3.95E-2</v>
      </c>
      <c r="Z138" s="29">
        <v>2525</v>
      </c>
      <c r="AA138" s="29">
        <v>58.4</v>
      </c>
      <c r="AB138" s="9">
        <f t="shared" si="57"/>
        <v>2583.4</v>
      </c>
      <c r="AC138" s="9">
        <f t="shared" si="55"/>
        <v>16352.92</v>
      </c>
      <c r="AD138" s="9">
        <v>0.39</v>
      </c>
      <c r="AE138" s="9">
        <v>3.77</v>
      </c>
      <c r="AF138" s="21">
        <f>2.42-AJ138</f>
        <v>2.14</v>
      </c>
      <c r="AG138" s="18">
        <f>0.54-AQ138</f>
        <v>0.43</v>
      </c>
      <c r="AH138" s="9">
        <v>2.78</v>
      </c>
      <c r="AI138" s="43">
        <v>720</v>
      </c>
      <c r="AJ138" s="21">
        <f t="shared" si="58"/>
        <v>0.28000000000000003</v>
      </c>
      <c r="AK138" s="9">
        <v>0</v>
      </c>
      <c r="AL138" s="9">
        <v>0</v>
      </c>
      <c r="AM138" s="9">
        <v>0.22</v>
      </c>
      <c r="AN138" s="13"/>
      <c r="AO138" s="13">
        <v>601.20000000000005</v>
      </c>
      <c r="AP138" s="13">
        <f t="shared" si="80"/>
        <v>5.58</v>
      </c>
      <c r="AQ138" s="18">
        <f t="shared" si="56"/>
        <v>0.11</v>
      </c>
      <c r="AR138" s="9">
        <v>0.79</v>
      </c>
      <c r="AS138" s="9">
        <v>0.53</v>
      </c>
      <c r="AT138" s="9">
        <v>7.0000000000000007E-2</v>
      </c>
      <c r="AU138" s="9">
        <v>4.74</v>
      </c>
      <c r="AV138" s="9">
        <v>0.12</v>
      </c>
      <c r="AW138" s="9">
        <f>1.03+0.42+0.33</f>
        <v>1.78</v>
      </c>
      <c r="AX138" s="9">
        <f>1.42+0.56</f>
        <v>1.98</v>
      </c>
      <c r="AY138" s="144">
        <f t="shared" si="81"/>
        <v>20.13</v>
      </c>
      <c r="AZ138" s="13">
        <v>20.13</v>
      </c>
      <c r="BA138" s="13">
        <f t="shared" si="59"/>
        <v>0</v>
      </c>
      <c r="BB138" s="9">
        <f t="shared" si="60"/>
        <v>52003.839999999997</v>
      </c>
      <c r="BC138" s="9">
        <v>20.13</v>
      </c>
      <c r="BD138" s="10">
        <v>44409</v>
      </c>
      <c r="BE138" s="9">
        <f t="shared" si="61"/>
        <v>1007.53</v>
      </c>
      <c r="BF138" s="9">
        <f t="shared" si="62"/>
        <v>9739.42</v>
      </c>
      <c r="BG138" s="9">
        <f t="shared" si="63"/>
        <v>5528.48</v>
      </c>
      <c r="BH138" s="9">
        <f t="shared" si="64"/>
        <v>1110.8599999999999</v>
      </c>
      <c r="BI138" s="9">
        <f t="shared" si="65"/>
        <v>7181.85</v>
      </c>
      <c r="BJ138" s="9">
        <f t="shared" si="66"/>
        <v>723.35</v>
      </c>
      <c r="BK138" s="9">
        <f t="shared" si="67"/>
        <v>0</v>
      </c>
      <c r="BL138" s="9">
        <f t="shared" si="68"/>
        <v>0</v>
      </c>
      <c r="BM138" s="9">
        <f t="shared" si="69"/>
        <v>568.35</v>
      </c>
      <c r="BN138" s="9">
        <f t="shared" si="70"/>
        <v>284.17</v>
      </c>
      <c r="BO138" s="9">
        <f t="shared" si="71"/>
        <v>2040.89</v>
      </c>
      <c r="BP138" s="9">
        <f t="shared" si="72"/>
        <v>1369.2</v>
      </c>
      <c r="BQ138" s="9">
        <f t="shared" si="73"/>
        <v>180.84</v>
      </c>
      <c r="BR138" s="9">
        <f t="shared" si="74"/>
        <v>12245.32</v>
      </c>
      <c r="BS138" s="9">
        <f t="shared" si="75"/>
        <v>310.01</v>
      </c>
      <c r="BT138" s="9">
        <f t="shared" si="76"/>
        <v>4598.45</v>
      </c>
      <c r="BU138" s="9">
        <f t="shared" si="77"/>
        <v>5115.13</v>
      </c>
      <c r="BV138" s="17">
        <f t="shared" si="78"/>
        <v>52003.85</v>
      </c>
      <c r="BW138" s="17">
        <v>1.75</v>
      </c>
      <c r="BX138" s="17">
        <v>0.04</v>
      </c>
      <c r="BY138" s="17">
        <v>0.26</v>
      </c>
      <c r="BZ138" s="17">
        <v>0.05</v>
      </c>
      <c r="CA138" s="29">
        <v>6.33</v>
      </c>
      <c r="CB138" s="325"/>
      <c r="CC138" s="13">
        <v>14107.08</v>
      </c>
      <c r="CD138" s="13">
        <v>414.04</v>
      </c>
      <c r="CE138" s="13">
        <v>16.940000000000001</v>
      </c>
      <c r="CF138" s="13">
        <v>2.92</v>
      </c>
      <c r="CG138" s="13">
        <v>15.79</v>
      </c>
      <c r="CH138" s="13">
        <v>0</v>
      </c>
      <c r="CI138" s="13">
        <v>4355.4399999999996</v>
      </c>
      <c r="CJ138" s="13">
        <v>27684</v>
      </c>
      <c r="CK138" s="13">
        <v>993.55</v>
      </c>
      <c r="CL138" s="13">
        <v>609939.48</v>
      </c>
      <c r="CM138" s="13">
        <v>14316.71</v>
      </c>
      <c r="CN138" s="13">
        <v>0</v>
      </c>
      <c r="CO138" s="13">
        <v>0</v>
      </c>
      <c r="CP138" s="13">
        <v>606.24</v>
      </c>
      <c r="CQ138" s="13">
        <v>0</v>
      </c>
      <c r="CR138" s="13">
        <v>531250.81999999995</v>
      </c>
      <c r="CS138" s="13">
        <v>14653.73</v>
      </c>
      <c r="CT138" s="13">
        <v>762.28</v>
      </c>
      <c r="CU138" s="13">
        <v>118.09</v>
      </c>
      <c r="CV138" s="13">
        <v>581.07000000000005</v>
      </c>
      <c r="CW138" s="13">
        <v>0</v>
      </c>
      <c r="CX138" s="13">
        <v>152529.81</v>
      </c>
      <c r="CY138" s="13">
        <v>-155.88999999999999</v>
      </c>
      <c r="CZ138" s="13">
        <v>-990.45</v>
      </c>
      <c r="DA138" s="13">
        <v>-155.09</v>
      </c>
      <c r="DB138" s="13">
        <v>91.18</v>
      </c>
      <c r="DC138" s="13"/>
      <c r="DD138" s="315">
        <v>624862.43000000005</v>
      </c>
      <c r="DE138" s="317">
        <v>547365.99</v>
      </c>
      <c r="DF138" s="317">
        <v>87.6</v>
      </c>
      <c r="DG138" s="318">
        <v>151319.56</v>
      </c>
      <c r="DH138" s="310">
        <v>26531.279999999999</v>
      </c>
      <c r="DI138" s="310">
        <v>15173.52</v>
      </c>
      <c r="DJ138" s="312">
        <v>0</v>
      </c>
      <c r="DK138" s="362">
        <v>0</v>
      </c>
      <c r="DL138" s="362"/>
      <c r="DM138" s="362">
        <v>0</v>
      </c>
      <c r="DN138" s="362">
        <v>0</v>
      </c>
      <c r="DO138" s="362">
        <v>0</v>
      </c>
      <c r="DP138" s="362">
        <v>0</v>
      </c>
      <c r="DQ138" s="362">
        <v>0</v>
      </c>
      <c r="DR138" s="362"/>
      <c r="DS138" s="362">
        <v>0</v>
      </c>
      <c r="DT138" s="362"/>
      <c r="DU138" s="362">
        <v>0</v>
      </c>
      <c r="DV138" s="362">
        <v>0</v>
      </c>
      <c r="DW138" s="362">
        <v>0</v>
      </c>
      <c r="DX138" s="362">
        <v>0</v>
      </c>
      <c r="DY138" s="362">
        <v>0</v>
      </c>
      <c r="DZ138" s="375">
        <v>0</v>
      </c>
      <c r="EA138" s="362">
        <v>149982</v>
      </c>
      <c r="EB138" s="362">
        <v>8180</v>
      </c>
      <c r="EC138" s="362"/>
      <c r="ED138" s="362">
        <v>0</v>
      </c>
      <c r="EE138" s="362">
        <v>0</v>
      </c>
      <c r="EF138" s="362"/>
      <c r="EG138" s="362">
        <v>11460</v>
      </c>
      <c r="EH138" s="362">
        <v>33670</v>
      </c>
      <c r="EI138" s="362"/>
      <c r="EJ138" s="362">
        <v>17600</v>
      </c>
      <c r="EK138" s="362"/>
      <c r="EL138" s="362">
        <v>186792</v>
      </c>
      <c r="EM138" s="362">
        <v>3354.69</v>
      </c>
      <c r="EN138" s="362">
        <v>0</v>
      </c>
      <c r="EO138" s="362">
        <v>0</v>
      </c>
      <c r="EP138" s="362">
        <v>0</v>
      </c>
      <c r="EQ138" s="362">
        <v>0</v>
      </c>
      <c r="ER138" s="362">
        <v>16380</v>
      </c>
      <c r="ES138" s="362">
        <v>6347</v>
      </c>
      <c r="ET138" s="362">
        <v>9646</v>
      </c>
      <c r="EU138" s="362">
        <v>0</v>
      </c>
      <c r="EV138" s="362">
        <v>11931.33</v>
      </c>
      <c r="EW138" s="362"/>
      <c r="EX138" s="202"/>
      <c r="EY138" s="202"/>
      <c r="EZ138" s="229"/>
      <c r="FA138" s="368">
        <v>14885.82</v>
      </c>
      <c r="FB138" s="368">
        <v>0</v>
      </c>
      <c r="FC138" s="368">
        <v>0</v>
      </c>
      <c r="FD138" s="368">
        <v>0</v>
      </c>
      <c r="FE138" s="368">
        <v>0</v>
      </c>
      <c r="FF138" s="368">
        <v>729.25</v>
      </c>
      <c r="FG138" s="368">
        <v>0</v>
      </c>
      <c r="FH138" s="368">
        <v>-680.1</v>
      </c>
      <c r="FI138" s="368">
        <v>0</v>
      </c>
      <c r="FJ138" s="368">
        <v>0</v>
      </c>
      <c r="FK138" s="368">
        <v>3816.79</v>
      </c>
      <c r="FL138" s="368">
        <v>0</v>
      </c>
      <c r="FM138" s="368">
        <v>69067.360000000001</v>
      </c>
      <c r="FN138" s="368">
        <v>43916.26</v>
      </c>
      <c r="FO138" s="323">
        <v>610031.43999999994</v>
      </c>
      <c r="FP138" s="323">
        <v>18751.759999999998</v>
      </c>
      <c r="FQ138" s="323">
        <v>628783.19999999995</v>
      </c>
      <c r="FR138" s="338">
        <v>79305</v>
      </c>
      <c r="FS138" s="338">
        <v>-95.24</v>
      </c>
      <c r="FT138" s="377">
        <v>79209.759999999995</v>
      </c>
      <c r="FU138" s="377">
        <v>656086</v>
      </c>
      <c r="FV138" s="377">
        <v>16366.19</v>
      </c>
      <c r="FW138" s="362">
        <v>672452.19</v>
      </c>
      <c r="FX138" s="362">
        <v>569995.91</v>
      </c>
      <c r="FY138" s="362">
        <v>17083.3</v>
      </c>
      <c r="FZ138" s="362">
        <v>587079.21</v>
      </c>
      <c r="GA138" s="362">
        <v>165395.09</v>
      </c>
      <c r="GB138" s="362">
        <v>-812.35</v>
      </c>
      <c r="GC138" s="362">
        <v>164582.74</v>
      </c>
      <c r="GD138" s="362">
        <v>53362.97</v>
      </c>
      <c r="GE138" s="362">
        <v>5125.3</v>
      </c>
      <c r="GF138" s="362">
        <v>58488.27</v>
      </c>
      <c r="GG138" s="202">
        <v>13263.18</v>
      </c>
      <c r="GH138" s="416">
        <v>97</v>
      </c>
      <c r="GI138" s="414">
        <v>2455</v>
      </c>
      <c r="GJ138" s="419">
        <v>14556.77</v>
      </c>
      <c r="GK138" s="396">
        <v>13263.18</v>
      </c>
      <c r="GL138" s="202">
        <v>12865.284600000001</v>
      </c>
      <c r="GM138" s="202">
        <v>397.89539999999897</v>
      </c>
      <c r="GN138" s="323">
        <v>46054.559999999998</v>
      </c>
      <c r="GO138" s="323">
        <v>-2385.5700000000002</v>
      </c>
      <c r="GP138" s="323">
        <v>43668.99</v>
      </c>
      <c r="GQ138" s="323">
        <v>99417.53</v>
      </c>
      <c r="GR138" s="323">
        <v>2739.73</v>
      </c>
      <c r="GS138" s="323">
        <v>102157.26</v>
      </c>
    </row>
    <row r="139" spans="1:201" x14ac:dyDescent="0.2">
      <c r="A139" s="45" t="s">
        <v>207</v>
      </c>
      <c r="B139" s="123" t="s">
        <v>184</v>
      </c>
      <c r="C139" s="124" t="s">
        <v>48</v>
      </c>
      <c r="D139" s="388" t="s">
        <v>456</v>
      </c>
      <c r="E139" s="124" t="s">
        <v>12</v>
      </c>
      <c r="F139" s="11">
        <v>9</v>
      </c>
      <c r="G139" s="11">
        <v>2</v>
      </c>
      <c r="H139" s="11">
        <v>72</v>
      </c>
      <c r="I139" s="11">
        <v>72</v>
      </c>
      <c r="J139" s="11">
        <v>177</v>
      </c>
      <c r="K139" s="11">
        <v>211</v>
      </c>
      <c r="L139" s="11">
        <v>2</v>
      </c>
      <c r="M139" s="84">
        <v>593</v>
      </c>
      <c r="N139" s="84">
        <v>610</v>
      </c>
      <c r="O139" s="84">
        <v>0</v>
      </c>
      <c r="P139" s="135">
        <v>592.9</v>
      </c>
      <c r="Q139" s="135">
        <f>473.7+10.4+4.6+30.4</f>
        <v>519.1</v>
      </c>
      <c r="R139" s="135">
        <v>0</v>
      </c>
      <c r="S139" s="133">
        <f t="shared" si="79"/>
        <v>1112</v>
      </c>
      <c r="T139" s="135">
        <v>592.9</v>
      </c>
      <c r="U139" s="130">
        <v>2.44</v>
      </c>
      <c r="V139" s="91">
        <v>1.9800000000000002E-2</v>
      </c>
      <c r="W139" s="91">
        <v>1.9800000000000002E-2</v>
      </c>
      <c r="X139" s="132">
        <v>1.32E-3</v>
      </c>
      <c r="Y139" s="91">
        <v>3.9699999999999999E-2</v>
      </c>
      <c r="Z139" s="29">
        <v>3789.1</v>
      </c>
      <c r="AA139" s="29"/>
      <c r="AB139" s="9">
        <f t="shared" si="57"/>
        <v>3789.1</v>
      </c>
      <c r="AC139" s="9">
        <f t="shared" si="55"/>
        <v>23985</v>
      </c>
      <c r="AD139" s="9">
        <v>2.15</v>
      </c>
      <c r="AE139" s="9">
        <v>3.88</v>
      </c>
      <c r="AF139" s="21">
        <f>2.49-AJ139</f>
        <v>2.34</v>
      </c>
      <c r="AG139" s="18">
        <f>0.62-AQ139</f>
        <v>0.56999999999999995</v>
      </c>
      <c r="AH139" s="9">
        <v>2.78</v>
      </c>
      <c r="AI139" s="43">
        <v>586</v>
      </c>
      <c r="AJ139" s="21">
        <f t="shared" si="58"/>
        <v>0.15</v>
      </c>
      <c r="AK139" s="9">
        <v>2.2799999999999998</v>
      </c>
      <c r="AL139" s="9">
        <v>0.2</v>
      </c>
      <c r="AM139" s="9">
        <v>0.25</v>
      </c>
      <c r="AN139" s="13"/>
      <c r="AO139" s="13">
        <v>422.4</v>
      </c>
      <c r="AP139" s="13">
        <f t="shared" si="80"/>
        <v>5.58</v>
      </c>
      <c r="AQ139" s="18">
        <f t="shared" si="56"/>
        <v>0.05</v>
      </c>
      <c r="AR139" s="9">
        <v>0.6</v>
      </c>
      <c r="AS139" s="9">
        <v>0.36</v>
      </c>
      <c r="AT139" s="9">
        <v>7.0000000000000007E-2</v>
      </c>
      <c r="AU139" s="9">
        <v>4.41</v>
      </c>
      <c r="AV139" s="9">
        <v>0.16</v>
      </c>
      <c r="AW139" s="9">
        <f>1.41+0.27+0.37</f>
        <v>2.0499999999999998</v>
      </c>
      <c r="AX139" s="9">
        <f>1.99+0.52</f>
        <v>2.5099999999999998</v>
      </c>
      <c r="AY139" s="126">
        <f t="shared" si="81"/>
        <v>24.81</v>
      </c>
      <c r="AZ139" s="13">
        <v>24.81</v>
      </c>
      <c r="BA139" s="13">
        <f t="shared" si="59"/>
        <v>0</v>
      </c>
      <c r="BB139" s="9">
        <f t="shared" si="60"/>
        <v>94007.57</v>
      </c>
      <c r="BC139" s="9">
        <v>24.81</v>
      </c>
      <c r="BD139" s="10">
        <v>44378</v>
      </c>
      <c r="BE139" s="9">
        <f t="shared" si="61"/>
        <v>8146.57</v>
      </c>
      <c r="BF139" s="9">
        <f t="shared" si="62"/>
        <v>14701.71</v>
      </c>
      <c r="BG139" s="9">
        <f t="shared" si="63"/>
        <v>8866.49</v>
      </c>
      <c r="BH139" s="9">
        <f t="shared" si="64"/>
        <v>2159.79</v>
      </c>
      <c r="BI139" s="9">
        <f t="shared" si="65"/>
        <v>10533.7</v>
      </c>
      <c r="BJ139" s="9">
        <f t="shared" si="66"/>
        <v>568.37</v>
      </c>
      <c r="BK139" s="9">
        <f t="shared" si="67"/>
        <v>8639.15</v>
      </c>
      <c r="BL139" s="9">
        <f t="shared" si="68"/>
        <v>757.82</v>
      </c>
      <c r="BM139" s="9">
        <f t="shared" si="69"/>
        <v>947.28</v>
      </c>
      <c r="BN139" s="9">
        <f t="shared" si="70"/>
        <v>189.46</v>
      </c>
      <c r="BO139" s="9">
        <f t="shared" si="71"/>
        <v>2273.46</v>
      </c>
      <c r="BP139" s="9">
        <f t="shared" si="72"/>
        <v>1364.08</v>
      </c>
      <c r="BQ139" s="9">
        <f t="shared" si="73"/>
        <v>265.24</v>
      </c>
      <c r="BR139" s="9">
        <f t="shared" si="74"/>
        <v>16709.93</v>
      </c>
      <c r="BS139" s="9">
        <f t="shared" si="75"/>
        <v>606.26</v>
      </c>
      <c r="BT139" s="9">
        <f t="shared" si="76"/>
        <v>7767.66</v>
      </c>
      <c r="BU139" s="9">
        <f t="shared" si="77"/>
        <v>9510.64</v>
      </c>
      <c r="BV139" s="17">
        <f t="shared" si="78"/>
        <v>94007.61</v>
      </c>
      <c r="BW139" s="17">
        <v>2.88</v>
      </c>
      <c r="BX139" s="17">
        <v>0.09</v>
      </c>
      <c r="BY139" s="17">
        <v>0.6</v>
      </c>
      <c r="BZ139" s="17">
        <v>0.1</v>
      </c>
      <c r="CA139" s="29">
        <v>6.33</v>
      </c>
      <c r="CB139" s="325"/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3052.6</v>
      </c>
      <c r="CJ139" s="13">
        <v>40980</v>
      </c>
      <c r="CK139" s="13">
        <v>1457.35</v>
      </c>
      <c r="CL139" s="13">
        <v>1114103.68</v>
      </c>
      <c r="CM139" s="13">
        <v>52098.71</v>
      </c>
      <c r="CN139" s="13">
        <v>15422.6</v>
      </c>
      <c r="CO139" s="13">
        <v>7730.65</v>
      </c>
      <c r="CP139" s="13">
        <v>6252.46</v>
      </c>
      <c r="CQ139" s="13">
        <v>0</v>
      </c>
      <c r="CR139" s="13">
        <v>1036522.81</v>
      </c>
      <c r="CS139" s="13">
        <v>49071.61</v>
      </c>
      <c r="CT139" s="13">
        <v>14334.39</v>
      </c>
      <c r="CU139" s="13">
        <v>8040.85</v>
      </c>
      <c r="CV139" s="13">
        <v>5777.81</v>
      </c>
      <c r="CW139" s="13">
        <v>0</v>
      </c>
      <c r="CX139" s="13">
        <v>182992.4</v>
      </c>
      <c r="CY139" s="13">
        <v>4990.01</v>
      </c>
      <c r="CZ139" s="13">
        <v>-92.59</v>
      </c>
      <c r="DA139" s="13">
        <v>1316.44</v>
      </c>
      <c r="DB139" s="13">
        <v>915.08</v>
      </c>
      <c r="DC139" s="13"/>
      <c r="DD139" s="315">
        <v>1195608.1000000001</v>
      </c>
      <c r="DE139" s="317">
        <v>1113747.47</v>
      </c>
      <c r="DF139" s="317">
        <v>93.15</v>
      </c>
      <c r="DG139" s="318">
        <v>190121.34</v>
      </c>
      <c r="DH139" s="310">
        <v>39816.839999999997</v>
      </c>
      <c r="DI139" s="310">
        <v>22771.68</v>
      </c>
      <c r="DJ139" s="312">
        <v>0</v>
      </c>
      <c r="DK139" s="362">
        <v>0</v>
      </c>
      <c r="DL139" s="362"/>
      <c r="DM139" s="362">
        <v>0</v>
      </c>
      <c r="DN139" s="362">
        <v>0</v>
      </c>
      <c r="DO139" s="362">
        <v>0</v>
      </c>
      <c r="DP139" s="362">
        <v>0</v>
      </c>
      <c r="DQ139" s="362">
        <v>0</v>
      </c>
      <c r="DR139" s="362"/>
      <c r="DS139" s="362">
        <v>0</v>
      </c>
      <c r="DT139" s="362"/>
      <c r="DU139" s="362">
        <v>0</v>
      </c>
      <c r="DV139" s="362">
        <v>0</v>
      </c>
      <c r="DW139" s="362">
        <v>92241.94</v>
      </c>
      <c r="DX139" s="362">
        <v>0</v>
      </c>
      <c r="DY139" s="362">
        <v>28000</v>
      </c>
      <c r="DZ139" s="375">
        <v>0</v>
      </c>
      <c r="EA139" s="362">
        <v>315768</v>
      </c>
      <c r="EB139" s="362">
        <v>11950</v>
      </c>
      <c r="EC139" s="362"/>
      <c r="ED139" s="362">
        <v>0</v>
      </c>
      <c r="EE139" s="362">
        <v>0</v>
      </c>
      <c r="EF139" s="362"/>
      <c r="EG139" s="362">
        <v>9324</v>
      </c>
      <c r="EH139" s="362">
        <v>1750</v>
      </c>
      <c r="EI139" s="362"/>
      <c r="EJ139" s="362">
        <v>0</v>
      </c>
      <c r="EK139" s="362"/>
      <c r="EL139" s="362">
        <v>279198</v>
      </c>
      <c r="EM139" s="362">
        <v>2356.98</v>
      </c>
      <c r="EN139" s="362">
        <v>0</v>
      </c>
      <c r="EO139" s="362">
        <v>0</v>
      </c>
      <c r="EP139" s="362">
        <v>0</v>
      </c>
      <c r="EQ139" s="362">
        <v>0</v>
      </c>
      <c r="ER139" s="362">
        <v>16380</v>
      </c>
      <c r="ES139" s="362">
        <v>0</v>
      </c>
      <c r="ET139" s="362">
        <v>8988</v>
      </c>
      <c r="EU139" s="362">
        <v>0</v>
      </c>
      <c r="EV139" s="362">
        <v>72178</v>
      </c>
      <c r="EW139" s="362"/>
      <c r="EX139" s="202"/>
      <c r="EY139" s="202"/>
      <c r="EZ139" s="229"/>
      <c r="FA139" s="368">
        <v>52813.120000000003</v>
      </c>
      <c r="FB139" s="368">
        <v>15413.57</v>
      </c>
      <c r="FC139" s="368">
        <v>0</v>
      </c>
      <c r="FD139" s="368">
        <v>0</v>
      </c>
      <c r="FE139" s="368">
        <v>5286.83</v>
      </c>
      <c r="FF139" s="368">
        <v>4313.9399999999996</v>
      </c>
      <c r="FG139" s="368">
        <v>25.1</v>
      </c>
      <c r="FH139" s="368">
        <v>-932.76</v>
      </c>
      <c r="FI139" s="368">
        <v>0</v>
      </c>
      <c r="FJ139" s="368">
        <v>0</v>
      </c>
      <c r="FK139" s="368">
        <v>0</v>
      </c>
      <c r="FL139" s="368">
        <v>0</v>
      </c>
      <c r="FM139" s="368">
        <v>101305.41</v>
      </c>
      <c r="FN139" s="368">
        <v>64414.71</v>
      </c>
      <c r="FO139" s="323">
        <v>1066443.56</v>
      </c>
      <c r="FP139" s="323">
        <v>76919.8</v>
      </c>
      <c r="FQ139" s="323">
        <v>1143363.3600000001</v>
      </c>
      <c r="FR139" s="338">
        <v>118090.03</v>
      </c>
      <c r="FS139" s="338">
        <v>2864.15</v>
      </c>
      <c r="FT139" s="377">
        <v>120954.18</v>
      </c>
      <c r="FU139" s="377">
        <v>1158136.28</v>
      </c>
      <c r="FV139" s="377">
        <v>82961.77</v>
      </c>
      <c r="FW139" s="362">
        <v>1241098.05</v>
      </c>
      <c r="FX139" s="362">
        <v>1093233.9099999999</v>
      </c>
      <c r="FY139" s="362">
        <v>78696.98</v>
      </c>
      <c r="FZ139" s="362">
        <v>1171930.8899999999</v>
      </c>
      <c r="GA139" s="362">
        <v>182992.4</v>
      </c>
      <c r="GB139" s="362">
        <v>7128.94</v>
      </c>
      <c r="GC139" s="362">
        <v>190121.34</v>
      </c>
      <c r="GD139" s="362">
        <v>100527.09</v>
      </c>
      <c r="GE139" s="362">
        <v>891.61</v>
      </c>
      <c r="GF139" s="362">
        <v>101418.7</v>
      </c>
      <c r="GG139" s="202"/>
      <c r="GH139" s="416"/>
      <c r="GI139" s="414">
        <v>2950.55</v>
      </c>
      <c r="GJ139" s="419">
        <v>0</v>
      </c>
      <c r="GK139" s="396"/>
      <c r="GL139" s="202">
        <v>0</v>
      </c>
      <c r="GM139" s="202">
        <v>0</v>
      </c>
      <c r="GN139" s="323">
        <v>91692.72</v>
      </c>
      <c r="GO139" s="323">
        <v>6041.97</v>
      </c>
      <c r="GP139" s="323">
        <v>97734.69</v>
      </c>
      <c r="GQ139" s="323">
        <v>192219.81</v>
      </c>
      <c r="GR139" s="323">
        <v>6933.58</v>
      </c>
      <c r="GS139" s="323">
        <v>199153.39</v>
      </c>
    </row>
    <row r="140" spans="1:201" x14ac:dyDescent="0.2">
      <c r="A140" s="45" t="s">
        <v>209</v>
      </c>
      <c r="B140" s="141" t="s">
        <v>184</v>
      </c>
      <c r="C140" s="142" t="s">
        <v>15</v>
      </c>
      <c r="D140" s="388" t="s">
        <v>457</v>
      </c>
      <c r="E140" s="142" t="s">
        <v>12</v>
      </c>
      <c r="F140" s="11">
        <v>5</v>
      </c>
      <c r="G140" s="11">
        <v>3</v>
      </c>
      <c r="H140" s="11">
        <v>60</v>
      </c>
      <c r="I140" s="11">
        <v>60</v>
      </c>
      <c r="J140" s="11">
        <v>113</v>
      </c>
      <c r="K140" s="11">
        <v>139</v>
      </c>
      <c r="L140" s="11" t="s">
        <v>746</v>
      </c>
      <c r="M140" s="84">
        <v>207</v>
      </c>
      <c r="N140" s="84">
        <v>750</v>
      </c>
      <c r="O140" s="84">
        <v>0</v>
      </c>
      <c r="P140" s="135">
        <v>206.5</v>
      </c>
      <c r="Q140" s="135">
        <v>578.70000000000005</v>
      </c>
      <c r="R140" s="135">
        <v>0</v>
      </c>
      <c r="S140" s="133">
        <f t="shared" si="79"/>
        <v>785.2</v>
      </c>
      <c r="T140" s="135">
        <v>207</v>
      </c>
      <c r="U140" s="130">
        <v>1.53</v>
      </c>
      <c r="V140" s="131">
        <v>1.9800000000000002E-2</v>
      </c>
      <c r="W140" s="131">
        <v>1.9800000000000002E-2</v>
      </c>
      <c r="X140" s="132">
        <v>1.2199999999999999E-3</v>
      </c>
      <c r="Y140" s="131">
        <v>3.95E-2</v>
      </c>
      <c r="Z140" s="29">
        <v>2580.9</v>
      </c>
      <c r="AA140" s="29"/>
      <c r="AB140" s="9">
        <f t="shared" si="57"/>
        <v>2580.9</v>
      </c>
      <c r="AC140" s="9">
        <f t="shared" si="55"/>
        <v>16337.1</v>
      </c>
      <c r="AD140" s="9">
        <v>0.39</v>
      </c>
      <c r="AE140" s="9">
        <v>5.2</v>
      </c>
      <c r="AF140" s="21">
        <f>2.45-AJ140</f>
        <v>2.17</v>
      </c>
      <c r="AG140" s="18">
        <f>0.54-AQ140</f>
        <v>0.43</v>
      </c>
      <c r="AH140" s="9">
        <v>2.78</v>
      </c>
      <c r="AI140" s="43">
        <v>720</v>
      </c>
      <c r="AJ140" s="21">
        <f t="shared" si="58"/>
        <v>0.28000000000000003</v>
      </c>
      <c r="AK140" s="9">
        <v>0</v>
      </c>
      <c r="AL140" s="9">
        <v>0</v>
      </c>
      <c r="AM140" s="9">
        <v>0</v>
      </c>
      <c r="AN140" s="13"/>
      <c r="AO140" s="13">
        <v>601.20000000000005</v>
      </c>
      <c r="AP140" s="13">
        <f t="shared" si="80"/>
        <v>5.58</v>
      </c>
      <c r="AQ140" s="18">
        <f t="shared" si="56"/>
        <v>0.11</v>
      </c>
      <c r="AR140" s="9">
        <v>0.8</v>
      </c>
      <c r="AS140" s="9">
        <v>0.53</v>
      </c>
      <c r="AT140" s="9">
        <v>7.0000000000000007E-2</v>
      </c>
      <c r="AU140" s="9">
        <v>3.36</v>
      </c>
      <c r="AV140" s="9">
        <v>0.13</v>
      </c>
      <c r="AW140" s="9">
        <f>1.14+0.3+0.32</f>
        <v>1.76</v>
      </c>
      <c r="AX140" s="9">
        <f>1.57+0.4</f>
        <v>1.97</v>
      </c>
      <c r="AY140" s="144">
        <f t="shared" si="81"/>
        <v>19.98</v>
      </c>
      <c r="AZ140" s="13">
        <v>19.98</v>
      </c>
      <c r="BA140" s="13">
        <f t="shared" si="59"/>
        <v>0</v>
      </c>
      <c r="BB140" s="9">
        <f t="shared" si="60"/>
        <v>51566.38</v>
      </c>
      <c r="BC140" s="9">
        <v>19.98</v>
      </c>
      <c r="BD140" s="10">
        <v>44409</v>
      </c>
      <c r="BE140" s="9">
        <f t="shared" si="61"/>
        <v>1006.55</v>
      </c>
      <c r="BF140" s="9">
        <f t="shared" si="62"/>
        <v>13420.68</v>
      </c>
      <c r="BG140" s="9">
        <f t="shared" si="63"/>
        <v>5600.55</v>
      </c>
      <c r="BH140" s="9">
        <f t="shared" si="64"/>
        <v>1109.79</v>
      </c>
      <c r="BI140" s="9">
        <f t="shared" si="65"/>
        <v>7174.9</v>
      </c>
      <c r="BJ140" s="9">
        <f t="shared" si="66"/>
        <v>722.65</v>
      </c>
      <c r="BK140" s="9">
        <f t="shared" si="67"/>
        <v>0</v>
      </c>
      <c r="BL140" s="9">
        <f t="shared" si="68"/>
        <v>0</v>
      </c>
      <c r="BM140" s="9">
        <f t="shared" si="69"/>
        <v>0</v>
      </c>
      <c r="BN140" s="9">
        <f t="shared" si="70"/>
        <v>283.89999999999998</v>
      </c>
      <c r="BO140" s="9">
        <f t="shared" si="71"/>
        <v>2064.7199999999998</v>
      </c>
      <c r="BP140" s="9">
        <f t="shared" si="72"/>
        <v>1367.88</v>
      </c>
      <c r="BQ140" s="9">
        <f t="shared" si="73"/>
        <v>180.66</v>
      </c>
      <c r="BR140" s="9">
        <f t="shared" si="74"/>
        <v>8671.82</v>
      </c>
      <c r="BS140" s="9">
        <f t="shared" si="75"/>
        <v>335.52</v>
      </c>
      <c r="BT140" s="9">
        <f t="shared" si="76"/>
        <v>4542.38</v>
      </c>
      <c r="BU140" s="9">
        <f t="shared" si="77"/>
        <v>5084.37</v>
      </c>
      <c r="BV140" s="17">
        <f t="shared" si="78"/>
        <v>51566.37</v>
      </c>
      <c r="BW140" s="17">
        <v>1.75</v>
      </c>
      <c r="BX140" s="17">
        <v>0.04</v>
      </c>
      <c r="BY140" s="17">
        <v>0.25</v>
      </c>
      <c r="BZ140" s="17">
        <v>0.05</v>
      </c>
      <c r="CA140" s="29">
        <v>6.33</v>
      </c>
      <c r="CB140" s="325"/>
      <c r="CC140" s="13">
        <v>893.2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I140" s="13">
        <v>2858.59</v>
      </c>
      <c r="CJ140" s="13">
        <v>27684</v>
      </c>
      <c r="CK140" s="13">
        <v>992.58</v>
      </c>
      <c r="CL140" s="13">
        <v>618796.80000000005</v>
      </c>
      <c r="CM140" s="13">
        <v>29267.07</v>
      </c>
      <c r="CN140" s="13">
        <v>0</v>
      </c>
      <c r="CO140" s="13">
        <v>1368.49</v>
      </c>
      <c r="CP140" s="13">
        <v>1368.41</v>
      </c>
      <c r="CQ140" s="13">
        <v>0</v>
      </c>
      <c r="CR140" s="13">
        <v>582313.52</v>
      </c>
      <c r="CS140" s="13">
        <v>27068.74</v>
      </c>
      <c r="CT140" s="13">
        <v>276.42</v>
      </c>
      <c r="CU140" s="13">
        <v>1213.3599999999999</v>
      </c>
      <c r="CV140" s="13">
        <v>1266.8499999999999</v>
      </c>
      <c r="CW140" s="13">
        <v>0</v>
      </c>
      <c r="CX140" s="13">
        <v>97985.71</v>
      </c>
      <c r="CY140" s="13">
        <v>3891.71</v>
      </c>
      <c r="CZ140" s="13">
        <v>-513.96</v>
      </c>
      <c r="DA140" s="13">
        <v>236.31</v>
      </c>
      <c r="DB140" s="13">
        <v>225.47</v>
      </c>
      <c r="DC140" s="13"/>
      <c r="DD140" s="315">
        <v>650800.77</v>
      </c>
      <c r="DE140" s="317">
        <v>612138.89</v>
      </c>
      <c r="DF140" s="317">
        <v>94.06</v>
      </c>
      <c r="DG140" s="318">
        <v>101825.24</v>
      </c>
      <c r="DH140" s="310">
        <v>27118.68</v>
      </c>
      <c r="DI140" s="310">
        <v>15509.4</v>
      </c>
      <c r="DJ140" s="312">
        <v>0</v>
      </c>
      <c r="DK140" s="362">
        <v>0</v>
      </c>
      <c r="DL140" s="362"/>
      <c r="DM140" s="362">
        <v>0</v>
      </c>
      <c r="DN140" s="362">
        <v>0</v>
      </c>
      <c r="DO140" s="362">
        <v>0</v>
      </c>
      <c r="DP140" s="362">
        <v>0</v>
      </c>
      <c r="DQ140" s="362">
        <v>0</v>
      </c>
      <c r="DR140" s="362"/>
      <c r="DS140" s="362">
        <v>0</v>
      </c>
      <c r="DT140" s="362"/>
      <c r="DU140" s="362">
        <v>0</v>
      </c>
      <c r="DV140" s="362">
        <v>0</v>
      </c>
      <c r="DW140" s="362">
        <v>0</v>
      </c>
      <c r="DX140" s="362">
        <v>0</v>
      </c>
      <c r="DY140" s="362">
        <v>0</v>
      </c>
      <c r="DZ140" s="375">
        <v>0</v>
      </c>
      <c r="EA140" s="362">
        <v>200538</v>
      </c>
      <c r="EB140" s="362">
        <v>9375</v>
      </c>
      <c r="EC140" s="362"/>
      <c r="ED140" s="362">
        <v>0</v>
      </c>
      <c r="EE140" s="362">
        <v>0</v>
      </c>
      <c r="EF140" s="362"/>
      <c r="EG140" s="362">
        <v>11460</v>
      </c>
      <c r="EH140" s="362">
        <v>56525</v>
      </c>
      <c r="EI140" s="362"/>
      <c r="EJ140" s="362">
        <v>21120</v>
      </c>
      <c r="EK140" s="362"/>
      <c r="EL140" s="362">
        <v>187686</v>
      </c>
      <c r="EM140" s="362">
        <v>3354.69</v>
      </c>
      <c r="EN140" s="362">
        <v>0</v>
      </c>
      <c r="EO140" s="362">
        <v>0</v>
      </c>
      <c r="EP140" s="362">
        <v>0</v>
      </c>
      <c r="EQ140" s="362">
        <v>0</v>
      </c>
      <c r="ER140" s="362">
        <v>16380</v>
      </c>
      <c r="ES140" s="362">
        <v>0</v>
      </c>
      <c r="ET140" s="362">
        <v>9699</v>
      </c>
      <c r="EU140" s="362">
        <v>0</v>
      </c>
      <c r="EV140" s="362">
        <v>2015.55</v>
      </c>
      <c r="EW140" s="362"/>
      <c r="EX140" s="202"/>
      <c r="EY140" s="202"/>
      <c r="EZ140" s="229"/>
      <c r="FA140" s="368">
        <v>29174.21</v>
      </c>
      <c r="FB140" s="368">
        <v>0</v>
      </c>
      <c r="FC140" s="368">
        <v>0</v>
      </c>
      <c r="FD140" s="368">
        <v>0</v>
      </c>
      <c r="FE140" s="368">
        <v>1372.91</v>
      </c>
      <c r="FF140" s="368">
        <v>1469.02</v>
      </c>
      <c r="FG140" s="368">
        <v>0</v>
      </c>
      <c r="FH140" s="368">
        <v>-660.32</v>
      </c>
      <c r="FI140" s="368">
        <v>0</v>
      </c>
      <c r="FJ140" s="368">
        <v>0</v>
      </c>
      <c r="FK140" s="368">
        <v>0</v>
      </c>
      <c r="FL140" s="368">
        <v>0</v>
      </c>
      <c r="FM140" s="368">
        <v>69000.52</v>
      </c>
      <c r="FN140" s="368">
        <v>43873.74</v>
      </c>
      <c r="FO140" s="323">
        <v>673655.58</v>
      </c>
      <c r="FP140" s="323">
        <v>31355.82</v>
      </c>
      <c r="FQ140" s="323">
        <v>705011.4</v>
      </c>
      <c r="FR140" s="338">
        <v>58819.31</v>
      </c>
      <c r="FS140" s="338">
        <v>1986.35</v>
      </c>
      <c r="FT140" s="377">
        <v>60805.66</v>
      </c>
      <c r="FU140" s="377">
        <v>650232.59</v>
      </c>
      <c r="FV140" s="377">
        <v>32996.550000000003</v>
      </c>
      <c r="FW140" s="362">
        <v>683229.14</v>
      </c>
      <c r="FX140" s="362">
        <v>611066.18999999994</v>
      </c>
      <c r="FY140" s="362">
        <v>31143.37</v>
      </c>
      <c r="FZ140" s="362">
        <v>642209.56000000006</v>
      </c>
      <c r="GA140" s="362">
        <v>97985.71</v>
      </c>
      <c r="GB140" s="362">
        <v>3839.53</v>
      </c>
      <c r="GC140" s="362">
        <v>101825.24</v>
      </c>
      <c r="GD140" s="362">
        <v>-40757.589999999997</v>
      </c>
      <c r="GE140" s="362">
        <v>3578.4</v>
      </c>
      <c r="GF140" s="362">
        <v>-37179.19</v>
      </c>
      <c r="GG140" s="202"/>
      <c r="GH140" s="416">
        <v>100</v>
      </c>
      <c r="GI140" s="414">
        <v>2455</v>
      </c>
      <c r="GJ140" s="419">
        <v>893.2</v>
      </c>
      <c r="GK140" s="396"/>
      <c r="GL140" s="202">
        <v>0</v>
      </c>
      <c r="GM140" s="202">
        <v>0</v>
      </c>
      <c r="GN140" s="323">
        <v>-23422.99</v>
      </c>
      <c r="GO140" s="323">
        <v>1640.73</v>
      </c>
      <c r="GP140" s="323">
        <v>-21782.26</v>
      </c>
      <c r="GQ140" s="323">
        <v>-64180.58</v>
      </c>
      <c r="GR140" s="323">
        <v>5219.13</v>
      </c>
      <c r="GS140" s="323">
        <v>-58961.45</v>
      </c>
    </row>
    <row r="141" spans="1:201" x14ac:dyDescent="0.2">
      <c r="A141" s="45" t="s">
        <v>210</v>
      </c>
      <c r="B141" s="141" t="s">
        <v>184</v>
      </c>
      <c r="C141" s="142" t="s">
        <v>15</v>
      </c>
      <c r="D141" s="388" t="s">
        <v>565</v>
      </c>
      <c r="E141" s="142" t="s">
        <v>9</v>
      </c>
      <c r="F141" s="11">
        <v>5</v>
      </c>
      <c r="G141" s="11">
        <v>3</v>
      </c>
      <c r="H141" s="11">
        <v>60</v>
      </c>
      <c r="I141" s="11">
        <v>61</v>
      </c>
      <c r="J141" s="11">
        <v>88</v>
      </c>
      <c r="K141" s="11">
        <v>118</v>
      </c>
      <c r="L141" s="11" t="s">
        <v>746</v>
      </c>
      <c r="M141" s="84">
        <v>209</v>
      </c>
      <c r="N141" s="84">
        <v>750</v>
      </c>
      <c r="O141" s="84">
        <v>0</v>
      </c>
      <c r="P141" s="135">
        <v>209</v>
      </c>
      <c r="Q141" s="135">
        <v>516.70000000000005</v>
      </c>
      <c r="R141" s="133">
        <v>0</v>
      </c>
      <c r="S141" s="133">
        <f t="shared" si="79"/>
        <v>725.7</v>
      </c>
      <c r="T141" s="134">
        <v>209</v>
      </c>
      <c r="U141" s="130">
        <v>1.53</v>
      </c>
      <c r="V141" s="131">
        <v>1.9800000000000002E-2</v>
      </c>
      <c r="W141" s="131">
        <v>1.9800000000000002E-2</v>
      </c>
      <c r="X141" s="132">
        <v>1.2199999999999999E-3</v>
      </c>
      <c r="Y141" s="131">
        <v>3.95E-2</v>
      </c>
      <c r="Z141" s="29">
        <v>2586.1</v>
      </c>
      <c r="AA141" s="29"/>
      <c r="AB141" s="9">
        <f t="shared" si="57"/>
        <v>2586.1</v>
      </c>
      <c r="AC141" s="9">
        <f t="shared" si="55"/>
        <v>16370.01</v>
      </c>
      <c r="AD141" s="9">
        <v>0.4</v>
      </c>
      <c r="AE141" s="9">
        <v>4.6399999999999997</v>
      </c>
      <c r="AF141" s="21">
        <f>2.45-AJ141</f>
        <v>2.17</v>
      </c>
      <c r="AG141" s="18">
        <f>0.54-AQ141</f>
        <v>0.43</v>
      </c>
      <c r="AH141" s="9">
        <v>2.78</v>
      </c>
      <c r="AI141" s="43">
        <v>720</v>
      </c>
      <c r="AJ141" s="21">
        <f t="shared" si="58"/>
        <v>0.28000000000000003</v>
      </c>
      <c r="AK141" s="9">
        <v>0</v>
      </c>
      <c r="AL141" s="9">
        <v>0</v>
      </c>
      <c r="AM141" s="9">
        <v>0.22</v>
      </c>
      <c r="AN141" s="13"/>
      <c r="AO141" s="13">
        <v>601.20000000000005</v>
      </c>
      <c r="AP141" s="13">
        <f t="shared" si="80"/>
        <v>5.58</v>
      </c>
      <c r="AQ141" s="18">
        <f t="shared" si="56"/>
        <v>0.11</v>
      </c>
      <c r="AR141" s="9">
        <v>0.8</v>
      </c>
      <c r="AS141" s="9">
        <v>0.53</v>
      </c>
      <c r="AT141" s="9">
        <v>7.0000000000000007E-2</v>
      </c>
      <c r="AU141" s="9">
        <v>3.79</v>
      </c>
      <c r="AV141" s="9">
        <v>0.13</v>
      </c>
      <c r="AW141" s="9">
        <f>1.11+0.33+0.33</f>
        <v>1.77</v>
      </c>
      <c r="AX141" s="9">
        <f>1.53+0.45</f>
        <v>1.98</v>
      </c>
      <c r="AY141" s="144">
        <f t="shared" si="81"/>
        <v>20.100000000000001</v>
      </c>
      <c r="AZ141" s="13">
        <v>20.100000000000001</v>
      </c>
      <c r="BA141" s="13">
        <f t="shared" si="59"/>
        <v>0</v>
      </c>
      <c r="BB141" s="9">
        <f t="shared" si="60"/>
        <v>51980.61</v>
      </c>
      <c r="BC141" s="9">
        <v>20.100000000000001</v>
      </c>
      <c r="BD141" s="10">
        <v>44409</v>
      </c>
      <c r="BE141" s="9">
        <f t="shared" si="61"/>
        <v>1034.44</v>
      </c>
      <c r="BF141" s="9">
        <f t="shared" si="62"/>
        <v>11999.5</v>
      </c>
      <c r="BG141" s="9">
        <f t="shared" si="63"/>
        <v>5611.84</v>
      </c>
      <c r="BH141" s="9">
        <f t="shared" si="64"/>
        <v>1112.02</v>
      </c>
      <c r="BI141" s="9">
        <f t="shared" si="65"/>
        <v>7189.36</v>
      </c>
      <c r="BJ141" s="9">
        <f t="shared" si="66"/>
        <v>724.11</v>
      </c>
      <c r="BK141" s="9">
        <f t="shared" si="67"/>
        <v>0</v>
      </c>
      <c r="BL141" s="9">
        <f t="shared" si="68"/>
        <v>0</v>
      </c>
      <c r="BM141" s="9">
        <f t="shared" si="69"/>
        <v>568.94000000000005</v>
      </c>
      <c r="BN141" s="9">
        <f t="shared" si="70"/>
        <v>284.47000000000003</v>
      </c>
      <c r="BO141" s="9">
        <f t="shared" si="71"/>
        <v>2068.88</v>
      </c>
      <c r="BP141" s="9">
        <f t="shared" si="72"/>
        <v>1370.63</v>
      </c>
      <c r="BQ141" s="9">
        <f t="shared" si="73"/>
        <v>181.03</v>
      </c>
      <c r="BR141" s="9">
        <f t="shared" si="74"/>
        <v>9801.32</v>
      </c>
      <c r="BS141" s="9">
        <f t="shared" si="75"/>
        <v>336.19</v>
      </c>
      <c r="BT141" s="9">
        <f t="shared" si="76"/>
        <v>4577.3999999999996</v>
      </c>
      <c r="BU141" s="9">
        <f t="shared" si="77"/>
        <v>5120.4799999999996</v>
      </c>
      <c r="BV141" s="17">
        <f t="shared" si="78"/>
        <v>51980.61</v>
      </c>
      <c r="BW141" s="17">
        <v>0.5</v>
      </c>
      <c r="BX141" s="17">
        <v>0.05</v>
      </c>
      <c r="BY141" s="17">
        <v>0.25</v>
      </c>
      <c r="BZ141" s="17">
        <v>0.05</v>
      </c>
      <c r="CA141" s="29">
        <v>6.33</v>
      </c>
      <c r="CB141" s="325"/>
      <c r="CC141" s="13">
        <v>8463.41</v>
      </c>
      <c r="CD141" s="13">
        <v>156.16</v>
      </c>
      <c r="CE141" s="13">
        <v>23.01</v>
      </c>
      <c r="CF141" s="13">
        <v>5.01</v>
      </c>
      <c r="CG141" s="13">
        <v>39.119999999999997</v>
      </c>
      <c r="CH141" s="13">
        <v>0</v>
      </c>
      <c r="CI141" s="13">
        <v>5662.68</v>
      </c>
      <c r="CJ141" s="13">
        <v>27684</v>
      </c>
      <c r="CK141" s="13">
        <v>994.59</v>
      </c>
      <c r="CL141" s="13">
        <v>617927.67000000004</v>
      </c>
      <c r="CM141" s="13">
        <v>19317.580000000002</v>
      </c>
      <c r="CN141" s="13">
        <v>0</v>
      </c>
      <c r="CO141" s="13">
        <v>1174.3800000000001</v>
      </c>
      <c r="CP141" s="13">
        <v>1462.03</v>
      </c>
      <c r="CQ141" s="13">
        <v>0</v>
      </c>
      <c r="CR141" s="13">
        <v>571794.18999999994</v>
      </c>
      <c r="CS141" s="13">
        <v>16787.13</v>
      </c>
      <c r="CT141" s="13">
        <v>532.72</v>
      </c>
      <c r="CU141" s="13">
        <v>1370.16</v>
      </c>
      <c r="CV141" s="13">
        <v>1254.6099999999999</v>
      </c>
      <c r="CW141" s="13">
        <v>0</v>
      </c>
      <c r="CX141" s="13">
        <v>97379.46</v>
      </c>
      <c r="CY141" s="13">
        <v>572.13</v>
      </c>
      <c r="CZ141" s="13">
        <v>-941.74</v>
      </c>
      <c r="DA141" s="13">
        <v>303.8</v>
      </c>
      <c r="DB141" s="13">
        <v>204.86</v>
      </c>
      <c r="DC141" s="13"/>
      <c r="DD141" s="315">
        <v>639881.66</v>
      </c>
      <c r="DE141" s="317">
        <v>591738.81000000006</v>
      </c>
      <c r="DF141" s="317">
        <v>92.48</v>
      </c>
      <c r="DG141" s="318">
        <v>97518.51</v>
      </c>
      <c r="DH141" s="310">
        <v>27173.279999999999</v>
      </c>
      <c r="DI141" s="310">
        <v>15540.72</v>
      </c>
      <c r="DJ141" s="312">
        <v>0</v>
      </c>
      <c r="DK141" s="362">
        <v>0</v>
      </c>
      <c r="DL141" s="362"/>
      <c r="DM141" s="362">
        <v>0</v>
      </c>
      <c r="DN141" s="362">
        <v>0</v>
      </c>
      <c r="DO141" s="362">
        <v>0</v>
      </c>
      <c r="DP141" s="362">
        <v>0</v>
      </c>
      <c r="DQ141" s="362">
        <v>0</v>
      </c>
      <c r="DR141" s="362"/>
      <c r="DS141" s="362">
        <v>0</v>
      </c>
      <c r="DT141" s="362"/>
      <c r="DU141" s="362">
        <v>0</v>
      </c>
      <c r="DV141" s="362">
        <v>0</v>
      </c>
      <c r="DW141" s="362">
        <v>0</v>
      </c>
      <c r="DX141" s="362">
        <v>0</v>
      </c>
      <c r="DY141" s="362">
        <v>0</v>
      </c>
      <c r="DZ141" s="375">
        <v>0</v>
      </c>
      <c r="EA141" s="362">
        <v>181176</v>
      </c>
      <c r="EB141" s="362">
        <v>10650</v>
      </c>
      <c r="EC141" s="362"/>
      <c r="ED141" s="362">
        <v>0</v>
      </c>
      <c r="EE141" s="362">
        <v>0</v>
      </c>
      <c r="EF141" s="362"/>
      <c r="EG141" s="362">
        <v>11460</v>
      </c>
      <c r="EH141" s="362">
        <v>19880</v>
      </c>
      <c r="EI141" s="362"/>
      <c r="EJ141" s="362">
        <v>7040</v>
      </c>
      <c r="EK141" s="362"/>
      <c r="EL141" s="362">
        <v>187890</v>
      </c>
      <c r="EM141" s="362">
        <v>3354.69</v>
      </c>
      <c r="EN141" s="362">
        <v>0</v>
      </c>
      <c r="EO141" s="362">
        <v>0</v>
      </c>
      <c r="EP141" s="362">
        <v>0</v>
      </c>
      <c r="EQ141" s="362">
        <v>0</v>
      </c>
      <c r="ER141" s="362">
        <v>15015</v>
      </c>
      <c r="ES141" s="362">
        <v>0</v>
      </c>
      <c r="ET141" s="362">
        <v>9699</v>
      </c>
      <c r="EU141" s="362">
        <v>0</v>
      </c>
      <c r="EV141" s="362">
        <v>15093.51</v>
      </c>
      <c r="EW141" s="362"/>
      <c r="EX141" s="202"/>
      <c r="EY141" s="202"/>
      <c r="EZ141" s="229"/>
      <c r="FA141" s="368">
        <v>19777.62</v>
      </c>
      <c r="FB141" s="368">
        <v>0</v>
      </c>
      <c r="FC141" s="368">
        <v>0</v>
      </c>
      <c r="FD141" s="368">
        <v>0</v>
      </c>
      <c r="FE141" s="368">
        <v>1956.79</v>
      </c>
      <c r="FF141" s="368">
        <v>1490.73</v>
      </c>
      <c r="FG141" s="368">
        <v>0</v>
      </c>
      <c r="FH141" s="368">
        <v>-661.65</v>
      </c>
      <c r="FI141" s="368">
        <v>0</v>
      </c>
      <c r="FJ141" s="368">
        <v>0</v>
      </c>
      <c r="FK141" s="368">
        <v>0</v>
      </c>
      <c r="FL141" s="368">
        <v>0</v>
      </c>
      <c r="FM141" s="368">
        <v>69139.539999999994</v>
      </c>
      <c r="FN141" s="368">
        <v>43962.14</v>
      </c>
      <c r="FO141" s="323">
        <v>617073.88</v>
      </c>
      <c r="FP141" s="323">
        <v>22563.49</v>
      </c>
      <c r="FQ141" s="323">
        <v>639637.37</v>
      </c>
      <c r="FR141" s="338">
        <v>61972.39</v>
      </c>
      <c r="FS141" s="338">
        <v>-1303.43</v>
      </c>
      <c r="FT141" s="377">
        <v>60668.959999999999</v>
      </c>
      <c r="FU141" s="377">
        <v>659737.76</v>
      </c>
      <c r="FV141" s="377">
        <v>23171.88</v>
      </c>
      <c r="FW141" s="362">
        <v>682909.64</v>
      </c>
      <c r="FX141" s="362">
        <v>624330.68999999994</v>
      </c>
      <c r="FY141" s="362">
        <v>21729.4</v>
      </c>
      <c r="FZ141" s="362">
        <v>646060.09</v>
      </c>
      <c r="GA141" s="362">
        <v>97379.46</v>
      </c>
      <c r="GB141" s="362">
        <v>139.05000000000001</v>
      </c>
      <c r="GC141" s="362">
        <v>97518.51</v>
      </c>
      <c r="GD141" s="362">
        <v>38795.919999999998</v>
      </c>
      <c r="GE141" s="362">
        <v>4829.54</v>
      </c>
      <c r="GF141" s="362">
        <v>43625.46</v>
      </c>
      <c r="GG141" s="202"/>
      <c r="GH141" s="416">
        <v>97</v>
      </c>
      <c r="GI141" s="414">
        <v>2455</v>
      </c>
      <c r="GJ141" s="419">
        <v>8686.7099999999991</v>
      </c>
      <c r="GK141" s="396"/>
      <c r="GL141" s="202">
        <v>0</v>
      </c>
      <c r="GM141" s="202">
        <v>0</v>
      </c>
      <c r="GN141" s="323">
        <v>42663.88</v>
      </c>
      <c r="GO141" s="323">
        <v>608.39</v>
      </c>
      <c r="GP141" s="323">
        <v>43272.27</v>
      </c>
      <c r="GQ141" s="323">
        <v>81459.8</v>
      </c>
      <c r="GR141" s="323">
        <v>5437.93</v>
      </c>
      <c r="GS141" s="323">
        <v>86897.73</v>
      </c>
    </row>
    <row r="142" spans="1:201" ht="12.75" customHeight="1" x14ac:dyDescent="0.2">
      <c r="A142" s="45" t="s">
        <v>211</v>
      </c>
      <c r="B142" s="123" t="s">
        <v>184</v>
      </c>
      <c r="C142" s="124" t="s">
        <v>17</v>
      </c>
      <c r="D142" s="388" t="s">
        <v>458</v>
      </c>
      <c r="E142" s="124" t="s">
        <v>12</v>
      </c>
      <c r="F142" s="11">
        <v>9</v>
      </c>
      <c r="G142" s="11">
        <v>2</v>
      </c>
      <c r="H142" s="11">
        <v>72</v>
      </c>
      <c r="I142" s="11">
        <v>71</v>
      </c>
      <c r="J142" s="11">
        <v>171</v>
      </c>
      <c r="K142" s="11">
        <v>221</v>
      </c>
      <c r="L142" s="11">
        <v>2</v>
      </c>
      <c r="M142" s="84">
        <v>601</v>
      </c>
      <c r="N142" s="84">
        <v>610</v>
      </c>
      <c r="O142" s="84">
        <v>0</v>
      </c>
      <c r="P142" s="135">
        <f>337.8+262.5</f>
        <v>600.29999999999995</v>
      </c>
      <c r="Q142" s="135">
        <f>473.7+10.4+4.6+30.4</f>
        <v>519.1</v>
      </c>
      <c r="R142" s="135">
        <v>0</v>
      </c>
      <c r="S142" s="133">
        <f t="shared" si="79"/>
        <v>1119.4000000000001</v>
      </c>
      <c r="T142" s="135">
        <v>601</v>
      </c>
      <c r="U142" s="130">
        <v>2.44</v>
      </c>
      <c r="V142" s="91">
        <v>1.9800000000000002E-2</v>
      </c>
      <c r="W142" s="91">
        <v>1.9800000000000002E-2</v>
      </c>
      <c r="X142" s="132">
        <v>1.32E-3</v>
      </c>
      <c r="Y142" s="91">
        <v>3.9699999999999999E-2</v>
      </c>
      <c r="Z142" s="29">
        <v>3736.52</v>
      </c>
      <c r="AA142" s="29">
        <v>401</v>
      </c>
      <c r="AB142" s="9">
        <f t="shared" si="57"/>
        <v>4137.5200000000004</v>
      </c>
      <c r="AC142" s="9">
        <f t="shared" si="55"/>
        <v>26190.5</v>
      </c>
      <c r="AD142" s="9">
        <v>2</v>
      </c>
      <c r="AE142" s="9">
        <v>5.27</v>
      </c>
      <c r="AF142" s="21">
        <f>2.49-AJ142</f>
        <v>2.35</v>
      </c>
      <c r="AG142" s="18">
        <f>0.6-AQ142</f>
        <v>0.55000000000000004</v>
      </c>
      <c r="AH142" s="9">
        <v>2.78</v>
      </c>
      <c r="AI142" s="43">
        <v>586</v>
      </c>
      <c r="AJ142" s="21">
        <f t="shared" si="58"/>
        <v>0.14000000000000001</v>
      </c>
      <c r="AK142" s="9">
        <v>2.09</v>
      </c>
      <c r="AL142" s="9">
        <v>0.18</v>
      </c>
      <c r="AM142" s="9">
        <v>0.14000000000000001</v>
      </c>
      <c r="AN142" s="13"/>
      <c r="AO142" s="13">
        <v>422.4</v>
      </c>
      <c r="AP142" s="13">
        <f t="shared" si="80"/>
        <v>5.58</v>
      </c>
      <c r="AQ142" s="18">
        <f t="shared" si="56"/>
        <v>0.05</v>
      </c>
      <c r="AR142" s="9">
        <v>0.54</v>
      </c>
      <c r="AS142" s="9">
        <v>0.33</v>
      </c>
      <c r="AT142" s="9">
        <v>7.0000000000000007E-2</v>
      </c>
      <c r="AU142" s="9">
        <v>3.4</v>
      </c>
      <c r="AV142" s="9">
        <v>0.17</v>
      </c>
      <c r="AW142" s="9">
        <f>1.48+0.27+0.3</f>
        <v>2.0499999999999998</v>
      </c>
      <c r="AX142" s="9">
        <f>2.07+0.4</f>
        <v>2.4700000000000002</v>
      </c>
      <c r="AY142" s="126">
        <f t="shared" si="81"/>
        <v>24.58</v>
      </c>
      <c r="AZ142" s="13">
        <v>24.58</v>
      </c>
      <c r="BA142" s="13">
        <f t="shared" si="59"/>
        <v>0</v>
      </c>
      <c r="BB142" s="9">
        <f t="shared" si="60"/>
        <v>101700.24</v>
      </c>
      <c r="BC142" s="9">
        <v>24.58</v>
      </c>
      <c r="BD142" s="10">
        <v>44378</v>
      </c>
      <c r="BE142" s="9">
        <f t="shared" si="61"/>
        <v>8275.0400000000009</v>
      </c>
      <c r="BF142" s="9">
        <f t="shared" si="62"/>
        <v>21804.73</v>
      </c>
      <c r="BG142" s="9">
        <f t="shared" si="63"/>
        <v>9723.17</v>
      </c>
      <c r="BH142" s="9">
        <f t="shared" si="64"/>
        <v>2275.64</v>
      </c>
      <c r="BI142" s="9">
        <f t="shared" si="65"/>
        <v>11502.31</v>
      </c>
      <c r="BJ142" s="9">
        <f t="shared" si="66"/>
        <v>579.25</v>
      </c>
      <c r="BK142" s="9">
        <f t="shared" si="67"/>
        <v>8647.42</v>
      </c>
      <c r="BL142" s="9">
        <f t="shared" si="68"/>
        <v>744.75</v>
      </c>
      <c r="BM142" s="9">
        <f t="shared" si="69"/>
        <v>579.25</v>
      </c>
      <c r="BN142" s="9">
        <f t="shared" si="70"/>
        <v>206.88</v>
      </c>
      <c r="BO142" s="9">
        <f t="shared" si="71"/>
        <v>2234.2600000000002</v>
      </c>
      <c r="BP142" s="9">
        <f t="shared" si="72"/>
        <v>1365.38</v>
      </c>
      <c r="BQ142" s="9">
        <f t="shared" si="73"/>
        <v>289.63</v>
      </c>
      <c r="BR142" s="9">
        <f t="shared" si="74"/>
        <v>14067.57</v>
      </c>
      <c r="BS142" s="9">
        <f t="shared" si="75"/>
        <v>703.38</v>
      </c>
      <c r="BT142" s="9">
        <f t="shared" si="76"/>
        <v>8481.92</v>
      </c>
      <c r="BU142" s="9">
        <f t="shared" si="77"/>
        <v>10219.67</v>
      </c>
      <c r="BV142" s="17">
        <f t="shared" si="78"/>
        <v>101700.25</v>
      </c>
      <c r="BW142" s="17">
        <v>3.04</v>
      </c>
      <c r="BX142" s="17">
        <v>0.09</v>
      </c>
      <c r="BY142" s="17">
        <v>0.55000000000000004</v>
      </c>
      <c r="BZ142" s="17">
        <v>0.1</v>
      </c>
      <c r="CA142" s="29">
        <v>6.33</v>
      </c>
      <c r="CB142" s="325"/>
      <c r="CC142" s="13">
        <v>118123.25</v>
      </c>
      <c r="CD142" s="13">
        <v>4924.3900000000003</v>
      </c>
      <c r="CE142" s="13">
        <v>8535.68</v>
      </c>
      <c r="CF142" s="13">
        <v>2977.03</v>
      </c>
      <c r="CG142" s="13">
        <v>1880.37</v>
      </c>
      <c r="CH142" s="13">
        <v>0</v>
      </c>
      <c r="CI142" s="13">
        <v>1958.42</v>
      </c>
      <c r="CJ142" s="13">
        <v>40980</v>
      </c>
      <c r="CK142" s="13">
        <v>1591.25</v>
      </c>
      <c r="CL142" s="13">
        <v>1102124.04</v>
      </c>
      <c r="CM142" s="13">
        <v>44714.39</v>
      </c>
      <c r="CN142" s="13">
        <v>77677.27</v>
      </c>
      <c r="CO142" s="13">
        <v>29643.97</v>
      </c>
      <c r="CP142" s="13">
        <v>17742.07</v>
      </c>
      <c r="CQ142" s="13">
        <v>0</v>
      </c>
      <c r="CR142" s="13">
        <v>997712.36</v>
      </c>
      <c r="CS142" s="13">
        <v>43335.81</v>
      </c>
      <c r="CT142" s="13">
        <v>83251.039999999994</v>
      </c>
      <c r="CU142" s="13">
        <v>22223.42</v>
      </c>
      <c r="CV142" s="13">
        <v>13978.85</v>
      </c>
      <c r="CW142" s="13">
        <v>0</v>
      </c>
      <c r="CX142" s="13">
        <v>249447.1</v>
      </c>
      <c r="CY142" s="13">
        <v>6043.84</v>
      </c>
      <c r="CZ142" s="13">
        <v>17573.150000000001</v>
      </c>
      <c r="DA142" s="13">
        <v>7486</v>
      </c>
      <c r="DB142" s="13">
        <v>4443.1000000000004</v>
      </c>
      <c r="DC142" s="13"/>
      <c r="DD142" s="315">
        <v>1271901.74</v>
      </c>
      <c r="DE142" s="317">
        <v>1160501.48</v>
      </c>
      <c r="DF142" s="317">
        <v>91.24</v>
      </c>
      <c r="DG142" s="318">
        <v>284993.19</v>
      </c>
      <c r="DH142" s="310">
        <v>39261.24</v>
      </c>
      <c r="DI142" s="310">
        <v>22453.919999999998</v>
      </c>
      <c r="DJ142" s="312">
        <v>0</v>
      </c>
      <c r="DK142" s="362">
        <v>0</v>
      </c>
      <c r="DL142" s="362"/>
      <c r="DM142" s="362">
        <v>0</v>
      </c>
      <c r="DN142" s="362">
        <v>0</v>
      </c>
      <c r="DO142" s="362">
        <v>0</v>
      </c>
      <c r="DP142" s="362">
        <v>0</v>
      </c>
      <c r="DQ142" s="362">
        <v>0</v>
      </c>
      <c r="DR142" s="362"/>
      <c r="DS142" s="362">
        <v>0</v>
      </c>
      <c r="DT142" s="362"/>
      <c r="DU142" s="362">
        <v>0</v>
      </c>
      <c r="DV142" s="362">
        <v>0</v>
      </c>
      <c r="DW142" s="362">
        <v>103200</v>
      </c>
      <c r="DX142" s="362">
        <v>0</v>
      </c>
      <c r="DY142" s="362">
        <v>28000</v>
      </c>
      <c r="DZ142" s="375">
        <v>0</v>
      </c>
      <c r="EA142" s="362">
        <v>414510</v>
      </c>
      <c r="EB142" s="362">
        <v>14500</v>
      </c>
      <c r="EC142" s="362"/>
      <c r="ED142" s="362">
        <v>0</v>
      </c>
      <c r="EE142" s="362">
        <v>0</v>
      </c>
      <c r="EF142" s="362"/>
      <c r="EG142" s="362">
        <v>9324</v>
      </c>
      <c r="EH142" s="362">
        <v>1400</v>
      </c>
      <c r="EI142" s="362"/>
      <c r="EJ142" s="362">
        <v>0</v>
      </c>
      <c r="EK142" s="362"/>
      <c r="EL142" s="362">
        <v>304746</v>
      </c>
      <c r="EM142" s="362">
        <v>2356.98</v>
      </c>
      <c r="EN142" s="362">
        <v>0</v>
      </c>
      <c r="EO142" s="362">
        <v>0</v>
      </c>
      <c r="EP142" s="362">
        <v>0</v>
      </c>
      <c r="EQ142" s="362">
        <v>0</v>
      </c>
      <c r="ER142" s="362">
        <v>15015</v>
      </c>
      <c r="ES142" s="362">
        <v>6924</v>
      </c>
      <c r="ET142" s="362">
        <v>8935</v>
      </c>
      <c r="EU142" s="362">
        <v>0</v>
      </c>
      <c r="EV142" s="362">
        <v>491039.42</v>
      </c>
      <c r="EW142" s="362"/>
      <c r="EX142" s="202"/>
      <c r="EY142" s="202"/>
      <c r="EZ142" s="229"/>
      <c r="FA142" s="368">
        <v>48474.06</v>
      </c>
      <c r="FB142" s="368">
        <v>72249.38</v>
      </c>
      <c r="FC142" s="368">
        <v>0</v>
      </c>
      <c r="FD142" s="368">
        <v>0</v>
      </c>
      <c r="FE142" s="368">
        <v>38047.83</v>
      </c>
      <c r="FF142" s="368">
        <v>22605.3</v>
      </c>
      <c r="FG142" s="368">
        <v>0</v>
      </c>
      <c r="FH142" s="368">
        <v>-1118.32</v>
      </c>
      <c r="FI142" s="368">
        <v>0</v>
      </c>
      <c r="FJ142" s="368">
        <v>0</v>
      </c>
      <c r="FK142" s="368">
        <v>49502.38</v>
      </c>
      <c r="FL142" s="368">
        <v>0</v>
      </c>
      <c r="FM142" s="368">
        <v>110616.85</v>
      </c>
      <c r="FN142" s="368">
        <v>70335.37</v>
      </c>
      <c r="FO142" s="323">
        <v>1642617.78</v>
      </c>
      <c r="FP142" s="323">
        <v>229760.63</v>
      </c>
      <c r="FQ142" s="323">
        <v>1872378.41</v>
      </c>
      <c r="FR142" s="338">
        <v>166231.71</v>
      </c>
      <c r="FS142" s="338">
        <v>28494.85</v>
      </c>
      <c r="FT142" s="377">
        <v>194726.56</v>
      </c>
      <c r="FU142" s="377">
        <v>1263185.71</v>
      </c>
      <c r="FV142" s="377">
        <v>189686.42</v>
      </c>
      <c r="FW142" s="362">
        <v>1452872.13</v>
      </c>
      <c r="FX142" s="362">
        <v>1163214.76</v>
      </c>
      <c r="FY142" s="362">
        <v>180131.47</v>
      </c>
      <c r="FZ142" s="362">
        <v>1343346.23</v>
      </c>
      <c r="GA142" s="362">
        <v>266202.65999999997</v>
      </c>
      <c r="GB142" s="362">
        <v>38049.800000000003</v>
      </c>
      <c r="GC142" s="362">
        <v>304252.46000000002</v>
      </c>
      <c r="GD142" s="362">
        <v>116543.02</v>
      </c>
      <c r="GE142" s="362">
        <v>-4182.12</v>
      </c>
      <c r="GF142" s="362">
        <v>112360.9</v>
      </c>
      <c r="GG142" s="202">
        <v>19259.27</v>
      </c>
      <c r="GH142" s="416">
        <v>87</v>
      </c>
      <c r="GI142" s="414">
        <v>2950.55</v>
      </c>
      <c r="GJ142" s="419">
        <v>136440.72</v>
      </c>
      <c r="GK142" s="396">
        <v>19259.27</v>
      </c>
      <c r="GL142" s="202">
        <v>16755.564900000001</v>
      </c>
      <c r="GM142" s="202">
        <v>2503.7051000000001</v>
      </c>
      <c r="GN142" s="323">
        <v>-379432.07</v>
      </c>
      <c r="GO142" s="323">
        <v>-40074.21</v>
      </c>
      <c r="GP142" s="323">
        <v>-419506.28</v>
      </c>
      <c r="GQ142" s="323">
        <v>-262889.05</v>
      </c>
      <c r="GR142" s="323">
        <v>-44256.33</v>
      </c>
      <c r="GS142" s="323">
        <v>-307145.38</v>
      </c>
    </row>
    <row r="143" spans="1:201" ht="12.75" customHeight="1" x14ac:dyDescent="0.2">
      <c r="A143" s="45" t="s">
        <v>212</v>
      </c>
      <c r="B143" s="123" t="s">
        <v>184</v>
      </c>
      <c r="C143" s="124" t="s">
        <v>17</v>
      </c>
      <c r="D143" s="388" t="s">
        <v>644</v>
      </c>
      <c r="E143" s="124" t="s">
        <v>9</v>
      </c>
      <c r="F143" s="11">
        <v>9</v>
      </c>
      <c r="G143" s="11">
        <v>1</v>
      </c>
      <c r="H143" s="11">
        <v>171</v>
      </c>
      <c r="I143" s="11">
        <v>171</v>
      </c>
      <c r="J143" s="11">
        <v>172</v>
      </c>
      <c r="K143" s="11">
        <v>208</v>
      </c>
      <c r="L143" s="11">
        <v>1</v>
      </c>
      <c r="M143" s="84">
        <v>875</v>
      </c>
      <c r="N143" s="84">
        <v>887</v>
      </c>
      <c r="O143" s="84">
        <v>0</v>
      </c>
      <c r="P143" s="139">
        <v>875</v>
      </c>
      <c r="Q143" s="139">
        <v>887</v>
      </c>
      <c r="R143" s="139">
        <v>0</v>
      </c>
      <c r="S143" s="133">
        <f t="shared" si="79"/>
        <v>1762</v>
      </c>
      <c r="T143" s="139">
        <v>875</v>
      </c>
      <c r="U143" s="130">
        <v>2.44</v>
      </c>
      <c r="V143" s="131">
        <v>1.9800000000000002E-2</v>
      </c>
      <c r="W143" s="131">
        <v>1.9800000000000002E-2</v>
      </c>
      <c r="X143" s="132">
        <v>1.32E-3</v>
      </c>
      <c r="Y143" s="131">
        <v>3.9699999999999999E-2</v>
      </c>
      <c r="Z143" s="29">
        <v>4366.3599999999997</v>
      </c>
      <c r="AA143" s="29"/>
      <c r="AB143" s="9">
        <f t="shared" si="57"/>
        <v>4366.3599999999997</v>
      </c>
      <c r="AC143" s="9">
        <f t="shared" si="55"/>
        <v>27639.06</v>
      </c>
      <c r="AD143" s="9">
        <v>2.6</v>
      </c>
      <c r="AE143" s="9">
        <v>3.58</v>
      </c>
      <c r="AF143" s="21">
        <f>2.42-AJ143</f>
        <v>2.2200000000000002</v>
      </c>
      <c r="AG143" s="18">
        <f>0.66-AQ143</f>
        <v>0.55000000000000004</v>
      </c>
      <c r="AH143" s="9">
        <v>2.77</v>
      </c>
      <c r="AI143" s="43">
        <v>852</v>
      </c>
      <c r="AJ143" s="21">
        <f t="shared" si="58"/>
        <v>0.2</v>
      </c>
      <c r="AK143" s="9">
        <v>0.99</v>
      </c>
      <c r="AL143" s="9">
        <v>0.09</v>
      </c>
      <c r="AM143" s="9">
        <v>0.13</v>
      </c>
      <c r="AN143" s="13"/>
      <c r="AO143" s="13">
        <v>1014.6</v>
      </c>
      <c r="AP143" s="13">
        <f t="shared" si="80"/>
        <v>5.58</v>
      </c>
      <c r="AQ143" s="18">
        <f t="shared" si="56"/>
        <v>0.11</v>
      </c>
      <c r="AR143" s="9">
        <v>1.27</v>
      </c>
      <c r="AS143" s="9">
        <v>0.31</v>
      </c>
      <c r="AT143" s="9">
        <v>7.0000000000000007E-2</v>
      </c>
      <c r="AU143" s="9">
        <v>3.53</v>
      </c>
      <c r="AV143" s="9">
        <v>0.16</v>
      </c>
      <c r="AW143" s="9">
        <f>1.34+0.55+0.3</f>
        <v>2.19</v>
      </c>
      <c r="AX143" s="9">
        <f>1.86+0.42</f>
        <v>2.2799999999999998</v>
      </c>
      <c r="AY143" s="126">
        <f t="shared" si="81"/>
        <v>23.05</v>
      </c>
      <c r="AZ143" s="13">
        <v>23.05</v>
      </c>
      <c r="BA143" s="13">
        <f t="shared" si="59"/>
        <v>0</v>
      </c>
      <c r="BB143" s="9">
        <f t="shared" si="60"/>
        <v>100644.6</v>
      </c>
      <c r="BC143" s="9">
        <v>23.05</v>
      </c>
      <c r="BD143" s="10">
        <v>44440</v>
      </c>
      <c r="BE143" s="9">
        <f t="shared" si="61"/>
        <v>11352.54</v>
      </c>
      <c r="BF143" s="9">
        <f t="shared" si="62"/>
        <v>15631.57</v>
      </c>
      <c r="BG143" s="9">
        <f t="shared" si="63"/>
        <v>9693.32</v>
      </c>
      <c r="BH143" s="9">
        <f t="shared" si="64"/>
        <v>2401.5</v>
      </c>
      <c r="BI143" s="9">
        <f t="shared" si="65"/>
        <v>12094.82</v>
      </c>
      <c r="BJ143" s="9">
        <f t="shared" si="66"/>
        <v>873.27</v>
      </c>
      <c r="BK143" s="9">
        <f t="shared" si="67"/>
        <v>4322.7</v>
      </c>
      <c r="BL143" s="9">
        <f t="shared" si="68"/>
        <v>392.97</v>
      </c>
      <c r="BM143" s="9">
        <f t="shared" si="69"/>
        <v>567.63</v>
      </c>
      <c r="BN143" s="9">
        <f t="shared" si="70"/>
        <v>480.3</v>
      </c>
      <c r="BO143" s="9">
        <f t="shared" si="71"/>
        <v>5545.28</v>
      </c>
      <c r="BP143" s="9">
        <f t="shared" si="72"/>
        <v>1353.57</v>
      </c>
      <c r="BQ143" s="9">
        <f t="shared" si="73"/>
        <v>305.64999999999998</v>
      </c>
      <c r="BR143" s="9">
        <f t="shared" si="74"/>
        <v>15413.25</v>
      </c>
      <c r="BS143" s="9">
        <f t="shared" si="75"/>
        <v>698.62</v>
      </c>
      <c r="BT143" s="9">
        <f t="shared" si="76"/>
        <v>9562.33</v>
      </c>
      <c r="BU143" s="9">
        <f t="shared" si="77"/>
        <v>9955.2999999999993</v>
      </c>
      <c r="BV143" s="17">
        <f t="shared" si="78"/>
        <v>100644.62</v>
      </c>
      <c r="BW143" s="17">
        <v>3.57</v>
      </c>
      <c r="BX143" s="17">
        <v>0.13</v>
      </c>
      <c r="BY143" s="17">
        <v>0.83</v>
      </c>
      <c r="BZ143" s="17">
        <v>0.14000000000000001</v>
      </c>
      <c r="CA143" s="29">
        <v>6.33</v>
      </c>
      <c r="CB143" s="325"/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I143" s="13">
        <v>10413.620000000001</v>
      </c>
      <c r="CJ143" s="13">
        <v>29484</v>
      </c>
      <c r="CK143" s="13">
        <v>1678.87</v>
      </c>
      <c r="CL143" s="13">
        <v>1193886</v>
      </c>
      <c r="CM143" s="13">
        <v>77355.37</v>
      </c>
      <c r="CN143" s="13">
        <v>0</v>
      </c>
      <c r="CO143" s="13">
        <v>5020.72</v>
      </c>
      <c r="CP143" s="13">
        <v>5369.96</v>
      </c>
      <c r="CQ143" s="13">
        <v>0</v>
      </c>
      <c r="CR143" s="13">
        <v>1074096.24</v>
      </c>
      <c r="CS143" s="13">
        <v>68915.59</v>
      </c>
      <c r="CT143" s="13">
        <v>2276.0500000000002</v>
      </c>
      <c r="CU143" s="13">
        <v>4378.42</v>
      </c>
      <c r="CV143" s="13">
        <v>4439.12</v>
      </c>
      <c r="CW143" s="13">
        <v>0</v>
      </c>
      <c r="CX143" s="13">
        <v>246757.88</v>
      </c>
      <c r="CY143" s="13">
        <v>1664.61</v>
      </c>
      <c r="CZ143" s="13">
        <v>-3112.27</v>
      </c>
      <c r="DA143" s="13">
        <v>752.79</v>
      </c>
      <c r="DB143" s="13">
        <v>905.04</v>
      </c>
      <c r="DC143" s="13"/>
      <c r="DD143" s="315">
        <v>1281632.05</v>
      </c>
      <c r="DE143" s="317">
        <v>1154105.42</v>
      </c>
      <c r="DF143" s="317">
        <v>90.05</v>
      </c>
      <c r="DG143" s="318">
        <v>246968.05</v>
      </c>
      <c r="DH143" s="310">
        <v>45867.6</v>
      </c>
      <c r="DI143" s="310">
        <v>26232.240000000002</v>
      </c>
      <c r="DJ143" s="312">
        <v>0</v>
      </c>
      <c r="DK143" s="362">
        <v>0</v>
      </c>
      <c r="DL143" s="362"/>
      <c r="DM143" s="362">
        <v>0</v>
      </c>
      <c r="DN143" s="362">
        <v>0</v>
      </c>
      <c r="DO143" s="362">
        <v>0</v>
      </c>
      <c r="DP143" s="362">
        <v>0</v>
      </c>
      <c r="DQ143" s="362">
        <v>0</v>
      </c>
      <c r="DR143" s="362"/>
      <c r="DS143" s="362">
        <v>0</v>
      </c>
      <c r="DT143" s="362"/>
      <c r="DU143" s="362">
        <v>0</v>
      </c>
      <c r="DV143" s="362">
        <v>0</v>
      </c>
      <c r="DW143" s="362">
        <v>40503.230000000003</v>
      </c>
      <c r="DX143" s="362">
        <v>0</v>
      </c>
      <c r="DY143" s="362">
        <v>14000</v>
      </c>
      <c r="DZ143" s="375">
        <v>0</v>
      </c>
      <c r="EA143" s="362">
        <v>373272</v>
      </c>
      <c r="EB143" s="362">
        <v>13650</v>
      </c>
      <c r="EC143" s="362"/>
      <c r="ED143" s="362">
        <v>0</v>
      </c>
      <c r="EE143" s="362">
        <v>0</v>
      </c>
      <c r="EF143" s="362"/>
      <c r="EG143" s="362">
        <v>13560</v>
      </c>
      <c r="EH143" s="362">
        <v>0</v>
      </c>
      <c r="EI143" s="362"/>
      <c r="EJ143" s="362">
        <v>0</v>
      </c>
      <c r="EK143" s="362"/>
      <c r="EL143" s="362">
        <v>320418</v>
      </c>
      <c r="EM143" s="362">
        <v>5661.48</v>
      </c>
      <c r="EN143" s="362">
        <v>0</v>
      </c>
      <c r="EO143" s="362">
        <v>0</v>
      </c>
      <c r="EP143" s="362">
        <v>0</v>
      </c>
      <c r="EQ143" s="362">
        <v>0</v>
      </c>
      <c r="ER143" s="362">
        <v>15015</v>
      </c>
      <c r="ES143" s="362">
        <v>2885</v>
      </c>
      <c r="ET143" s="362">
        <v>21850</v>
      </c>
      <c r="EU143" s="362">
        <v>0</v>
      </c>
      <c r="EV143" s="362">
        <v>97015.25</v>
      </c>
      <c r="EW143" s="362"/>
      <c r="EX143" s="202"/>
      <c r="EY143" s="202"/>
      <c r="EZ143" s="229"/>
      <c r="FA143" s="368">
        <v>76661.05</v>
      </c>
      <c r="FB143" s="368">
        <v>0</v>
      </c>
      <c r="FC143" s="368">
        <v>0</v>
      </c>
      <c r="FD143" s="368">
        <v>0</v>
      </c>
      <c r="FE143" s="368">
        <v>5532.81</v>
      </c>
      <c r="FF143" s="368">
        <v>6072.43</v>
      </c>
      <c r="FG143" s="368">
        <v>0</v>
      </c>
      <c r="FH143" s="368">
        <v>-1203.83</v>
      </c>
      <c r="FI143" s="368">
        <v>0</v>
      </c>
      <c r="FJ143" s="368">
        <v>0</v>
      </c>
      <c r="FK143" s="368">
        <v>942.97</v>
      </c>
      <c r="FL143" s="368">
        <v>0</v>
      </c>
      <c r="FM143" s="368">
        <v>116713.69</v>
      </c>
      <c r="FN143" s="368">
        <v>74213.149999999994</v>
      </c>
      <c r="FO143" s="323">
        <v>1180856.6399999999</v>
      </c>
      <c r="FP143" s="323">
        <v>88005.43</v>
      </c>
      <c r="FQ143" s="323">
        <v>1268862.07</v>
      </c>
      <c r="FR143" s="338">
        <v>130486.21</v>
      </c>
      <c r="FS143" s="338">
        <v>-1923.71</v>
      </c>
      <c r="FT143" s="377">
        <v>128562.5</v>
      </c>
      <c r="FU143" s="377">
        <v>1233783.6200000001</v>
      </c>
      <c r="FV143" s="377">
        <v>89424.92</v>
      </c>
      <c r="FW143" s="362">
        <v>1323208.54</v>
      </c>
      <c r="FX143" s="362">
        <v>1117511.95</v>
      </c>
      <c r="FY143" s="362">
        <v>87291.04</v>
      </c>
      <c r="FZ143" s="362">
        <v>1204802.99</v>
      </c>
      <c r="GA143" s="362">
        <v>246757.88</v>
      </c>
      <c r="GB143" s="362">
        <v>210.17</v>
      </c>
      <c r="GC143" s="362">
        <v>246968.05</v>
      </c>
      <c r="GD143" s="362">
        <v>29986.95</v>
      </c>
      <c r="GE143" s="362">
        <v>19625.18</v>
      </c>
      <c r="GF143" s="362">
        <v>49612.13</v>
      </c>
      <c r="GG143" s="202"/>
      <c r="GH143" s="416"/>
      <c r="GI143" s="414">
        <v>2455</v>
      </c>
      <c r="GJ143" s="419">
        <v>0</v>
      </c>
      <c r="GK143" s="396"/>
      <c r="GL143" s="202">
        <v>0</v>
      </c>
      <c r="GM143" s="202">
        <v>0</v>
      </c>
      <c r="GN143" s="323">
        <v>52926.98</v>
      </c>
      <c r="GO143" s="323">
        <v>1419.49</v>
      </c>
      <c r="GP143" s="323">
        <v>54346.47</v>
      </c>
      <c r="GQ143" s="323">
        <v>82913.929999999993</v>
      </c>
      <c r="GR143" s="323">
        <v>21044.67</v>
      </c>
      <c r="GS143" s="323">
        <v>103958.6</v>
      </c>
    </row>
    <row r="144" spans="1:201" ht="12.75" customHeight="1" x14ac:dyDescent="0.2">
      <c r="A144" s="45" t="s">
        <v>213</v>
      </c>
      <c r="B144" s="123" t="s">
        <v>184</v>
      </c>
      <c r="C144" s="124" t="s">
        <v>17</v>
      </c>
      <c r="D144" s="388" t="s">
        <v>645</v>
      </c>
      <c r="E144" s="124" t="s">
        <v>734</v>
      </c>
      <c r="F144" s="11">
        <v>9</v>
      </c>
      <c r="G144" s="11">
        <v>1</v>
      </c>
      <c r="H144" s="11">
        <v>171</v>
      </c>
      <c r="I144" s="11">
        <v>171</v>
      </c>
      <c r="J144" s="11">
        <v>206</v>
      </c>
      <c r="K144" s="11">
        <v>224</v>
      </c>
      <c r="L144" s="11">
        <v>1</v>
      </c>
      <c r="M144" s="84">
        <v>875</v>
      </c>
      <c r="N144" s="84">
        <v>887</v>
      </c>
      <c r="O144" s="84">
        <v>0</v>
      </c>
      <c r="P144" s="135">
        <v>874.8</v>
      </c>
      <c r="Q144" s="135">
        <v>715.53</v>
      </c>
      <c r="R144" s="133">
        <v>0</v>
      </c>
      <c r="S144" s="133">
        <f t="shared" si="79"/>
        <v>1590.33</v>
      </c>
      <c r="T144" s="134">
        <v>875</v>
      </c>
      <c r="U144" s="130">
        <v>2.44</v>
      </c>
      <c r="V144" s="131">
        <v>1.9800000000000002E-2</v>
      </c>
      <c r="W144" s="131">
        <v>1.9800000000000002E-2</v>
      </c>
      <c r="X144" s="132">
        <v>1.32E-3</v>
      </c>
      <c r="Y144" s="131">
        <v>3.9699999999999999E-2</v>
      </c>
      <c r="Z144" s="29">
        <v>4363.8599999999997</v>
      </c>
      <c r="AA144" s="29"/>
      <c r="AB144" s="9">
        <f t="shared" si="57"/>
        <v>4363.8599999999997</v>
      </c>
      <c r="AC144" s="9">
        <f t="shared" si="55"/>
        <v>27623.23</v>
      </c>
      <c r="AD144" s="9">
        <v>2.71</v>
      </c>
      <c r="AE144" s="9">
        <v>3.32</v>
      </c>
      <c r="AF144" s="21">
        <f>2.41-AJ144</f>
        <v>2.21</v>
      </c>
      <c r="AG144" s="18">
        <f>0.66-AQ144</f>
        <v>0.55000000000000004</v>
      </c>
      <c r="AH144" s="9">
        <v>2.77</v>
      </c>
      <c r="AI144" s="43">
        <v>852</v>
      </c>
      <c r="AJ144" s="21">
        <f t="shared" si="58"/>
        <v>0.2</v>
      </c>
      <c r="AK144" s="9">
        <v>0.99</v>
      </c>
      <c r="AL144" s="9">
        <v>0.27</v>
      </c>
      <c r="AM144" s="9">
        <v>0.22</v>
      </c>
      <c r="AN144" s="13"/>
      <c r="AO144" s="13">
        <v>1014.6</v>
      </c>
      <c r="AP144" s="13">
        <f t="shared" si="80"/>
        <v>5.58</v>
      </c>
      <c r="AQ144" s="18">
        <f t="shared" si="56"/>
        <v>0.11</v>
      </c>
      <c r="AR144" s="9">
        <v>1.27</v>
      </c>
      <c r="AS144" s="9">
        <v>0.31</v>
      </c>
      <c r="AT144" s="9">
        <v>7.0000000000000007E-2</v>
      </c>
      <c r="AU144" s="9">
        <v>3.52</v>
      </c>
      <c r="AV144" s="9">
        <v>0.16</v>
      </c>
      <c r="AW144" s="9">
        <f>1.35+0.53+0.31</f>
        <v>2.19</v>
      </c>
      <c r="AX144" s="9">
        <f>1.89+0.42</f>
        <v>2.31</v>
      </c>
      <c r="AY144" s="126">
        <f t="shared" si="81"/>
        <v>23.18</v>
      </c>
      <c r="AZ144" s="13">
        <v>23.18</v>
      </c>
      <c r="BA144" s="13">
        <f t="shared" si="59"/>
        <v>0</v>
      </c>
      <c r="BB144" s="9">
        <f t="shared" si="60"/>
        <v>101154.27</v>
      </c>
      <c r="BC144" s="9">
        <v>23.18</v>
      </c>
      <c r="BD144" s="10">
        <v>44440</v>
      </c>
      <c r="BE144" s="9">
        <f t="shared" si="61"/>
        <v>11826.06</v>
      </c>
      <c r="BF144" s="9">
        <f t="shared" si="62"/>
        <v>14488.02</v>
      </c>
      <c r="BG144" s="9">
        <f t="shared" si="63"/>
        <v>9644.1299999999992</v>
      </c>
      <c r="BH144" s="9">
        <f t="shared" si="64"/>
        <v>2400.12</v>
      </c>
      <c r="BI144" s="9">
        <f t="shared" si="65"/>
        <v>12087.89</v>
      </c>
      <c r="BJ144" s="9">
        <f t="shared" si="66"/>
        <v>872.77</v>
      </c>
      <c r="BK144" s="9">
        <f t="shared" si="67"/>
        <v>4320.22</v>
      </c>
      <c r="BL144" s="9">
        <f t="shared" si="68"/>
        <v>1178.24</v>
      </c>
      <c r="BM144" s="9">
        <f t="shared" si="69"/>
        <v>960.05</v>
      </c>
      <c r="BN144" s="9">
        <f t="shared" si="70"/>
        <v>480.02</v>
      </c>
      <c r="BO144" s="9">
        <f t="shared" si="71"/>
        <v>5542.1</v>
      </c>
      <c r="BP144" s="9">
        <f t="shared" si="72"/>
        <v>1352.8</v>
      </c>
      <c r="BQ144" s="9">
        <f t="shared" si="73"/>
        <v>305.47000000000003</v>
      </c>
      <c r="BR144" s="9">
        <f t="shared" si="74"/>
        <v>15360.79</v>
      </c>
      <c r="BS144" s="9">
        <f t="shared" si="75"/>
        <v>698.22</v>
      </c>
      <c r="BT144" s="9">
        <f t="shared" si="76"/>
        <v>9556.85</v>
      </c>
      <c r="BU144" s="9">
        <f t="shared" si="77"/>
        <v>10080.52</v>
      </c>
      <c r="BV144" s="17">
        <f t="shared" si="78"/>
        <v>101154.27</v>
      </c>
      <c r="BW144" s="17">
        <v>2.02</v>
      </c>
      <c r="BX144" s="17">
        <v>0.12</v>
      </c>
      <c r="BY144" s="17">
        <v>0.69</v>
      </c>
      <c r="BZ144" s="17">
        <v>0.13</v>
      </c>
      <c r="CA144" s="29">
        <v>6.33</v>
      </c>
      <c r="CB144" s="325"/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I144" s="13">
        <v>7573.08</v>
      </c>
      <c r="CJ144" s="13">
        <v>33804</v>
      </c>
      <c r="CK144" s="13">
        <v>1678.48</v>
      </c>
      <c r="CL144" s="13">
        <v>1212352.0900000001</v>
      </c>
      <c r="CM144" s="13">
        <v>110226.99</v>
      </c>
      <c r="CN144" s="13">
        <v>-20.260000000000002</v>
      </c>
      <c r="CO144" s="13">
        <v>11123.12</v>
      </c>
      <c r="CP144" s="13">
        <v>8943.01</v>
      </c>
      <c r="CQ144" s="13">
        <v>0</v>
      </c>
      <c r="CR144" s="13">
        <v>1029165.43</v>
      </c>
      <c r="CS144" s="13">
        <v>82760.34</v>
      </c>
      <c r="CT144" s="13">
        <v>2364.04</v>
      </c>
      <c r="CU144" s="13">
        <v>11884.61</v>
      </c>
      <c r="CV144" s="13">
        <v>7892.73</v>
      </c>
      <c r="CW144" s="13">
        <v>0</v>
      </c>
      <c r="CX144" s="13">
        <v>320102.99</v>
      </c>
      <c r="CY144" s="13">
        <v>21970.04</v>
      </c>
      <c r="CZ144" s="13">
        <v>-2728.14</v>
      </c>
      <c r="DA144" s="13">
        <v>3359.23</v>
      </c>
      <c r="DB144" s="13">
        <v>2165.17</v>
      </c>
      <c r="DC144" s="13"/>
      <c r="DD144" s="315">
        <v>1342624.95</v>
      </c>
      <c r="DE144" s="317">
        <v>1134067.1499999999</v>
      </c>
      <c r="DF144" s="317">
        <v>84.47</v>
      </c>
      <c r="DG144" s="318">
        <v>344869.29</v>
      </c>
      <c r="DH144" s="310">
        <v>45858.36</v>
      </c>
      <c r="DI144" s="310">
        <v>26226.959999999999</v>
      </c>
      <c r="DJ144" s="312">
        <v>0</v>
      </c>
      <c r="DK144" s="362">
        <v>0</v>
      </c>
      <c r="DL144" s="362"/>
      <c r="DM144" s="362">
        <v>0</v>
      </c>
      <c r="DN144" s="362">
        <v>0</v>
      </c>
      <c r="DO144" s="362">
        <v>0</v>
      </c>
      <c r="DP144" s="362">
        <v>0</v>
      </c>
      <c r="DQ144" s="362">
        <v>0</v>
      </c>
      <c r="DR144" s="362"/>
      <c r="DS144" s="362">
        <v>0</v>
      </c>
      <c r="DT144" s="362"/>
      <c r="DU144" s="362">
        <v>0</v>
      </c>
      <c r="DV144" s="362">
        <v>0</v>
      </c>
      <c r="DW144" s="362">
        <v>51322.58</v>
      </c>
      <c r="DX144" s="362">
        <v>0</v>
      </c>
      <c r="DY144" s="362">
        <v>14000</v>
      </c>
      <c r="DZ144" s="375">
        <v>0</v>
      </c>
      <c r="EA144" s="362">
        <v>363720</v>
      </c>
      <c r="EB144" s="362">
        <v>13650</v>
      </c>
      <c r="EC144" s="362"/>
      <c r="ED144" s="362">
        <v>0</v>
      </c>
      <c r="EE144" s="362">
        <v>0</v>
      </c>
      <c r="EF144" s="362"/>
      <c r="EG144" s="362">
        <v>13560</v>
      </c>
      <c r="EH144" s="362">
        <v>0</v>
      </c>
      <c r="EI144" s="362"/>
      <c r="EJ144" s="362">
        <v>0</v>
      </c>
      <c r="EK144" s="362"/>
      <c r="EL144" s="362">
        <v>319014</v>
      </c>
      <c r="EM144" s="362">
        <v>5661.48</v>
      </c>
      <c r="EN144" s="362">
        <v>0</v>
      </c>
      <c r="EO144" s="362">
        <v>0</v>
      </c>
      <c r="EP144" s="362">
        <v>0</v>
      </c>
      <c r="EQ144" s="362">
        <v>0</v>
      </c>
      <c r="ER144" s="362">
        <v>16380</v>
      </c>
      <c r="ES144" s="362">
        <v>0</v>
      </c>
      <c r="ET144" s="362">
        <v>21850</v>
      </c>
      <c r="EU144" s="362">
        <v>0</v>
      </c>
      <c r="EV144" s="362">
        <v>46661.919999999998</v>
      </c>
      <c r="EW144" s="362"/>
      <c r="EX144" s="202"/>
      <c r="EY144" s="202"/>
      <c r="EZ144" s="229"/>
      <c r="FA144" s="368">
        <v>120165.59</v>
      </c>
      <c r="FB144" s="368">
        <v>0</v>
      </c>
      <c r="FC144" s="368">
        <v>0</v>
      </c>
      <c r="FD144" s="368">
        <v>0</v>
      </c>
      <c r="FE144" s="368">
        <v>8108.68</v>
      </c>
      <c r="FF144" s="368">
        <v>6143.21</v>
      </c>
      <c r="FG144" s="368">
        <v>81.88</v>
      </c>
      <c r="FH144" s="368">
        <v>-1018.77</v>
      </c>
      <c r="FI144" s="368">
        <v>0</v>
      </c>
      <c r="FJ144" s="368">
        <v>0</v>
      </c>
      <c r="FK144" s="368">
        <v>942.97</v>
      </c>
      <c r="FL144" s="368">
        <v>0</v>
      </c>
      <c r="FM144" s="368">
        <v>116670.54</v>
      </c>
      <c r="FN144" s="368">
        <v>74185.490000000005</v>
      </c>
      <c r="FO144" s="323">
        <v>1128761.33</v>
      </c>
      <c r="FP144" s="323">
        <v>134423.56</v>
      </c>
      <c r="FQ144" s="323">
        <v>1263184.8899999999</v>
      </c>
      <c r="FR144" s="338">
        <v>134842.51999999999</v>
      </c>
      <c r="FS144" s="338">
        <v>4119.59</v>
      </c>
      <c r="FT144" s="377">
        <v>138962.10999999999</v>
      </c>
      <c r="FU144" s="377">
        <v>1253729.17</v>
      </c>
      <c r="FV144" s="377">
        <v>131951.34</v>
      </c>
      <c r="FW144" s="362">
        <v>1385680.51</v>
      </c>
      <c r="FX144" s="362">
        <v>1068468.7</v>
      </c>
      <c r="FY144" s="362">
        <v>111304.63</v>
      </c>
      <c r="FZ144" s="362">
        <v>1179773.33</v>
      </c>
      <c r="GA144" s="362">
        <v>320102.99</v>
      </c>
      <c r="GB144" s="362">
        <v>24766.3</v>
      </c>
      <c r="GC144" s="362">
        <v>344869.29</v>
      </c>
      <c r="GD144" s="362">
        <v>57478.34</v>
      </c>
      <c r="GE144" s="362">
        <v>7842.01</v>
      </c>
      <c r="GF144" s="362">
        <v>65320.35</v>
      </c>
      <c r="GG144" s="202"/>
      <c r="GH144" s="416"/>
      <c r="GI144" s="414">
        <v>2455</v>
      </c>
      <c r="GJ144" s="419">
        <v>0</v>
      </c>
      <c r="GK144" s="396"/>
      <c r="GL144" s="202">
        <v>0</v>
      </c>
      <c r="GM144" s="202">
        <v>0</v>
      </c>
      <c r="GN144" s="323">
        <v>124967.84</v>
      </c>
      <c r="GO144" s="323">
        <v>-2472.2199999999998</v>
      </c>
      <c r="GP144" s="323">
        <v>122495.62</v>
      </c>
      <c r="GQ144" s="323">
        <v>182446.18</v>
      </c>
      <c r="GR144" s="323">
        <v>5369.79</v>
      </c>
      <c r="GS144" s="323">
        <v>187815.97</v>
      </c>
    </row>
    <row r="145" spans="1:201" ht="12.75" customHeight="1" x14ac:dyDescent="0.2">
      <c r="A145" s="45" t="s">
        <v>214</v>
      </c>
      <c r="B145" s="123" t="s">
        <v>184</v>
      </c>
      <c r="C145" s="124" t="s">
        <v>21</v>
      </c>
      <c r="D145" s="388" t="s">
        <v>459</v>
      </c>
      <c r="E145" s="124" t="s">
        <v>12</v>
      </c>
      <c r="F145" s="11">
        <v>9</v>
      </c>
      <c r="G145" s="11">
        <v>2</v>
      </c>
      <c r="H145" s="11">
        <v>72</v>
      </c>
      <c r="I145" s="11">
        <v>72</v>
      </c>
      <c r="J145" s="11">
        <v>167</v>
      </c>
      <c r="K145" s="11">
        <v>211</v>
      </c>
      <c r="L145" s="11">
        <v>2</v>
      </c>
      <c r="M145" s="84">
        <v>601</v>
      </c>
      <c r="N145" s="84">
        <v>610</v>
      </c>
      <c r="O145" s="84">
        <v>0</v>
      </c>
      <c r="P145" s="135">
        <v>646.4</v>
      </c>
      <c r="Q145" s="135">
        <v>473.7</v>
      </c>
      <c r="R145" s="135">
        <v>0</v>
      </c>
      <c r="S145" s="133">
        <f t="shared" si="79"/>
        <v>1120.0999999999999</v>
      </c>
      <c r="T145" s="135">
        <v>646.4</v>
      </c>
      <c r="U145" s="130">
        <v>2.44</v>
      </c>
      <c r="V145" s="131">
        <v>1.9800000000000002E-2</v>
      </c>
      <c r="W145" s="131">
        <v>1.9800000000000002E-2</v>
      </c>
      <c r="X145" s="132">
        <v>1.32E-3</v>
      </c>
      <c r="Y145" s="131">
        <v>3.9699999999999999E-2</v>
      </c>
      <c r="Z145" s="29">
        <v>3794.62</v>
      </c>
      <c r="AA145" s="29">
        <v>180.5</v>
      </c>
      <c r="AB145" s="9">
        <f t="shared" si="57"/>
        <v>3975.12</v>
      </c>
      <c r="AC145" s="9">
        <f t="shared" si="55"/>
        <v>25162.51</v>
      </c>
      <c r="AD145" s="9">
        <v>2.08</v>
      </c>
      <c r="AE145" s="9">
        <v>3.73</v>
      </c>
      <c r="AF145" s="21">
        <f>2.44-AJ145</f>
        <v>2.29</v>
      </c>
      <c r="AG145" s="18">
        <f>0.61-AQ145</f>
        <v>0.56000000000000005</v>
      </c>
      <c r="AH145" s="9">
        <v>2.78</v>
      </c>
      <c r="AI145" s="43">
        <v>586</v>
      </c>
      <c r="AJ145" s="21">
        <f t="shared" si="58"/>
        <v>0.15</v>
      </c>
      <c r="AK145" s="9">
        <v>2.17</v>
      </c>
      <c r="AL145" s="9">
        <v>0.19</v>
      </c>
      <c r="AM145" s="9">
        <v>0.15</v>
      </c>
      <c r="AN145" s="13"/>
      <c r="AO145" s="13">
        <v>422.4</v>
      </c>
      <c r="AP145" s="13">
        <f t="shared" si="80"/>
        <v>5.58</v>
      </c>
      <c r="AQ145" s="18">
        <f t="shared" si="56"/>
        <v>0.05</v>
      </c>
      <c r="AR145" s="9">
        <v>0.56999999999999995</v>
      </c>
      <c r="AS145" s="9">
        <v>0.34</v>
      </c>
      <c r="AT145" s="9">
        <v>7.0000000000000007E-2</v>
      </c>
      <c r="AU145" s="9">
        <v>4.7699999999999996</v>
      </c>
      <c r="AV145" s="9">
        <v>0.16</v>
      </c>
      <c r="AW145" s="9">
        <f>1.36+0.27+0.42</f>
        <v>2.0499999999999998</v>
      </c>
      <c r="AX145" s="9">
        <f>1.91+0.56</f>
        <v>2.4700000000000002</v>
      </c>
      <c r="AY145" s="126">
        <f t="shared" si="81"/>
        <v>24.58</v>
      </c>
      <c r="AZ145" s="13">
        <v>24.58</v>
      </c>
      <c r="BA145" s="13">
        <f t="shared" si="59"/>
        <v>0</v>
      </c>
      <c r="BB145" s="9">
        <f t="shared" si="60"/>
        <v>97708.45</v>
      </c>
      <c r="BC145" s="9">
        <v>24.58</v>
      </c>
      <c r="BD145" s="10">
        <v>44378</v>
      </c>
      <c r="BE145" s="9">
        <f t="shared" si="61"/>
        <v>8268.25</v>
      </c>
      <c r="BF145" s="9">
        <f t="shared" si="62"/>
        <v>14827.2</v>
      </c>
      <c r="BG145" s="9">
        <f t="shared" si="63"/>
        <v>9103.02</v>
      </c>
      <c r="BH145" s="9">
        <f t="shared" si="64"/>
        <v>2226.0700000000002</v>
      </c>
      <c r="BI145" s="9">
        <f t="shared" si="65"/>
        <v>11050.83</v>
      </c>
      <c r="BJ145" s="9">
        <f t="shared" si="66"/>
        <v>596.27</v>
      </c>
      <c r="BK145" s="9">
        <f t="shared" si="67"/>
        <v>8626.01</v>
      </c>
      <c r="BL145" s="9">
        <f t="shared" si="68"/>
        <v>755.27</v>
      </c>
      <c r="BM145" s="9">
        <f t="shared" si="69"/>
        <v>596.27</v>
      </c>
      <c r="BN145" s="9">
        <f t="shared" si="70"/>
        <v>198.76</v>
      </c>
      <c r="BO145" s="9">
        <f t="shared" si="71"/>
        <v>2265.8200000000002</v>
      </c>
      <c r="BP145" s="9">
        <f t="shared" si="72"/>
        <v>1351.54</v>
      </c>
      <c r="BQ145" s="9">
        <f t="shared" si="73"/>
        <v>278.26</v>
      </c>
      <c r="BR145" s="9">
        <f t="shared" si="74"/>
        <v>18961.32</v>
      </c>
      <c r="BS145" s="9">
        <f t="shared" si="75"/>
        <v>636.02</v>
      </c>
      <c r="BT145" s="9">
        <f t="shared" si="76"/>
        <v>8149</v>
      </c>
      <c r="BU145" s="9">
        <f t="shared" si="77"/>
        <v>9818.5499999999993</v>
      </c>
      <c r="BV145" s="17">
        <f t="shared" si="78"/>
        <v>97708.46</v>
      </c>
      <c r="BW145" s="17">
        <v>2.76</v>
      </c>
      <c r="BX145" s="17">
        <v>0.09</v>
      </c>
      <c r="BY145" s="17">
        <v>0.54</v>
      </c>
      <c r="BZ145" s="17">
        <v>0.1</v>
      </c>
      <c r="CA145" s="29">
        <v>6.33</v>
      </c>
      <c r="CB145" s="325"/>
      <c r="CC145" s="13">
        <v>53240.28</v>
      </c>
      <c r="CD145" s="13">
        <v>10898.61</v>
      </c>
      <c r="CE145" s="13">
        <v>3373.57</v>
      </c>
      <c r="CF145" s="13">
        <v>1451.25</v>
      </c>
      <c r="CG145" s="13">
        <v>777.99</v>
      </c>
      <c r="CH145" s="13">
        <v>0</v>
      </c>
      <c r="CI145" s="13">
        <v>6615.48</v>
      </c>
      <c r="CJ145" s="13">
        <v>37380</v>
      </c>
      <c r="CK145" s="13">
        <v>1528.8</v>
      </c>
      <c r="CL145" s="13">
        <v>1118912.4099999999</v>
      </c>
      <c r="CM145" s="13">
        <v>229119.52</v>
      </c>
      <c r="CN145" s="13">
        <v>81167.08</v>
      </c>
      <c r="CO145" s="13">
        <v>20263.98</v>
      </c>
      <c r="CP145" s="13">
        <v>13016.45</v>
      </c>
      <c r="CQ145" s="13">
        <v>0</v>
      </c>
      <c r="CR145" s="13">
        <v>1029776.47</v>
      </c>
      <c r="CS145" s="13">
        <v>197062.37</v>
      </c>
      <c r="CT145" s="13">
        <v>84851.86</v>
      </c>
      <c r="CU145" s="13">
        <v>20494.87</v>
      </c>
      <c r="CV145" s="13">
        <v>12786.44</v>
      </c>
      <c r="CW145" s="13">
        <v>0</v>
      </c>
      <c r="CX145" s="13">
        <v>230129.64</v>
      </c>
      <c r="CY145" s="13">
        <v>55699.09</v>
      </c>
      <c r="CZ145" s="13">
        <v>20523.810000000001</v>
      </c>
      <c r="DA145" s="13">
        <v>1244.22</v>
      </c>
      <c r="DB145" s="13">
        <v>1174.8399999999999</v>
      </c>
      <c r="DC145" s="13"/>
      <c r="DD145" s="315">
        <v>1462479.44</v>
      </c>
      <c r="DE145" s="317">
        <v>1344972.01</v>
      </c>
      <c r="DF145" s="317">
        <v>91.97</v>
      </c>
      <c r="DG145" s="318">
        <v>308771.59999999998</v>
      </c>
      <c r="DH145" s="310">
        <v>39871.68</v>
      </c>
      <c r="DI145" s="310">
        <v>22803</v>
      </c>
      <c r="DJ145" s="312">
        <v>0</v>
      </c>
      <c r="DK145" s="362">
        <v>0</v>
      </c>
      <c r="DL145" s="362"/>
      <c r="DM145" s="362">
        <v>0</v>
      </c>
      <c r="DN145" s="362">
        <v>0</v>
      </c>
      <c r="DO145" s="362">
        <v>0</v>
      </c>
      <c r="DP145" s="362">
        <v>0</v>
      </c>
      <c r="DQ145" s="362">
        <v>0</v>
      </c>
      <c r="DR145" s="362"/>
      <c r="DS145" s="362">
        <v>0</v>
      </c>
      <c r="DT145" s="362"/>
      <c r="DU145" s="362">
        <v>0</v>
      </c>
      <c r="DV145" s="362">
        <v>0</v>
      </c>
      <c r="DW145" s="362">
        <v>102922.58</v>
      </c>
      <c r="DX145" s="362">
        <v>0</v>
      </c>
      <c r="DY145" s="362">
        <v>9000</v>
      </c>
      <c r="DZ145" s="375">
        <v>0</v>
      </c>
      <c r="EA145" s="362">
        <v>318720</v>
      </c>
      <c r="EB145" s="362">
        <v>14500</v>
      </c>
      <c r="EC145" s="362"/>
      <c r="ED145" s="362">
        <v>0</v>
      </c>
      <c r="EE145" s="362">
        <v>0</v>
      </c>
      <c r="EF145" s="362"/>
      <c r="EG145" s="362">
        <v>9324</v>
      </c>
      <c r="EH145" s="362">
        <v>0</v>
      </c>
      <c r="EI145" s="362"/>
      <c r="EJ145" s="362">
        <v>0</v>
      </c>
      <c r="EK145" s="362"/>
      <c r="EL145" s="362">
        <v>290298</v>
      </c>
      <c r="EM145" s="362">
        <v>2356.98</v>
      </c>
      <c r="EN145" s="362">
        <v>0</v>
      </c>
      <c r="EO145" s="362">
        <v>0</v>
      </c>
      <c r="EP145" s="362">
        <v>0</v>
      </c>
      <c r="EQ145" s="362">
        <v>0</v>
      </c>
      <c r="ER145" s="362">
        <v>16380</v>
      </c>
      <c r="ES145" s="362">
        <v>6924</v>
      </c>
      <c r="ET145" s="362">
        <v>8988</v>
      </c>
      <c r="EU145" s="362">
        <v>0</v>
      </c>
      <c r="EV145" s="362">
        <v>37805.919999999998</v>
      </c>
      <c r="EW145" s="362"/>
      <c r="EX145" s="202"/>
      <c r="EY145" s="202"/>
      <c r="EZ145" s="229"/>
      <c r="FA145" s="368">
        <v>256967.11</v>
      </c>
      <c r="FB145" s="368">
        <v>80530.73</v>
      </c>
      <c r="FC145" s="368">
        <v>0</v>
      </c>
      <c r="FD145" s="368">
        <v>0</v>
      </c>
      <c r="FE145" s="368">
        <v>24373.25</v>
      </c>
      <c r="FF145" s="368">
        <v>15376.34</v>
      </c>
      <c r="FG145" s="368">
        <v>-3702.28</v>
      </c>
      <c r="FH145" s="368">
        <v>-3019.56</v>
      </c>
      <c r="FI145" s="368">
        <v>0</v>
      </c>
      <c r="FJ145" s="368">
        <v>0</v>
      </c>
      <c r="FK145" s="368">
        <v>2095.5700000000002</v>
      </c>
      <c r="FL145" s="368">
        <v>0</v>
      </c>
      <c r="FM145" s="368">
        <v>106275.07</v>
      </c>
      <c r="FN145" s="368">
        <v>67574.66</v>
      </c>
      <c r="FO145" s="323">
        <v>1053743.8899999999</v>
      </c>
      <c r="FP145" s="323">
        <v>372621.16</v>
      </c>
      <c r="FQ145" s="323">
        <v>1426365.05</v>
      </c>
      <c r="FR145" s="338">
        <v>154959.91</v>
      </c>
      <c r="FS145" s="338">
        <v>59434.43</v>
      </c>
      <c r="FT145" s="377">
        <v>214394.34</v>
      </c>
      <c r="FU145" s="377">
        <v>1216148.17</v>
      </c>
      <c r="FV145" s="377">
        <v>361597.25</v>
      </c>
      <c r="FW145" s="362">
        <v>1577745.42</v>
      </c>
      <c r="FX145" s="362">
        <v>1140978.44</v>
      </c>
      <c r="FY145" s="362">
        <v>342389.72</v>
      </c>
      <c r="FZ145" s="362">
        <v>1483368.16</v>
      </c>
      <c r="GA145" s="362">
        <v>230129.64</v>
      </c>
      <c r="GB145" s="362">
        <v>78641.960000000006</v>
      </c>
      <c r="GC145" s="362">
        <v>308771.59999999998</v>
      </c>
      <c r="GD145" s="362">
        <v>133301.26999999999</v>
      </c>
      <c r="GE145" s="362">
        <v>-22544.9</v>
      </c>
      <c r="GF145" s="362">
        <v>110756.37</v>
      </c>
      <c r="GG145" s="202">
        <v>0</v>
      </c>
      <c r="GH145" s="416">
        <v>76</v>
      </c>
      <c r="GI145" s="414">
        <v>2950.55</v>
      </c>
      <c r="GJ145" s="419">
        <v>69741.7</v>
      </c>
      <c r="GK145" s="396">
        <v>0</v>
      </c>
      <c r="GL145" s="202">
        <v>0</v>
      </c>
      <c r="GM145" s="202">
        <v>0</v>
      </c>
      <c r="GN145" s="323">
        <v>162404.28</v>
      </c>
      <c r="GO145" s="323">
        <v>-11023.91</v>
      </c>
      <c r="GP145" s="323">
        <v>151380.37</v>
      </c>
      <c r="GQ145" s="323">
        <v>295705.55</v>
      </c>
      <c r="GR145" s="323">
        <v>-33568.81</v>
      </c>
      <c r="GS145" s="323">
        <v>262136.74</v>
      </c>
    </row>
    <row r="146" spans="1:201" ht="12.75" customHeight="1" x14ac:dyDescent="0.2">
      <c r="A146" s="45" t="s">
        <v>216</v>
      </c>
      <c r="B146" s="123" t="s">
        <v>184</v>
      </c>
      <c r="C146" s="124" t="s">
        <v>62</v>
      </c>
      <c r="D146" s="388" t="s">
        <v>460</v>
      </c>
      <c r="E146" s="124" t="s">
        <v>12</v>
      </c>
      <c r="F146" s="11">
        <v>9</v>
      </c>
      <c r="G146" s="11">
        <v>4</v>
      </c>
      <c r="H146" s="11">
        <v>216</v>
      </c>
      <c r="I146" s="11">
        <v>221</v>
      </c>
      <c r="J146" s="11">
        <v>471</v>
      </c>
      <c r="K146" s="11">
        <v>545</v>
      </c>
      <c r="L146" s="83">
        <v>4</v>
      </c>
      <c r="M146" s="84">
        <v>1461</v>
      </c>
      <c r="N146" s="84">
        <v>1687</v>
      </c>
      <c r="O146" s="84">
        <v>0</v>
      </c>
      <c r="P146" s="135">
        <v>1552.1</v>
      </c>
      <c r="Q146" s="135">
        <v>1325.1</v>
      </c>
      <c r="R146" s="135">
        <v>0</v>
      </c>
      <c r="S146" s="133">
        <f t="shared" si="79"/>
        <v>2877.2</v>
      </c>
      <c r="T146" s="135">
        <v>1552.1</v>
      </c>
      <c r="U146" s="130">
        <v>2.44</v>
      </c>
      <c r="V146" s="131">
        <v>1.9800000000000002E-2</v>
      </c>
      <c r="W146" s="131">
        <v>1.9800000000000002E-2</v>
      </c>
      <c r="X146" s="132">
        <v>1.32E-3</v>
      </c>
      <c r="Y146" s="131">
        <v>3.9699999999999999E-2</v>
      </c>
      <c r="Z146" s="29">
        <v>10694.01</v>
      </c>
      <c r="AA146" s="29">
        <v>45.3</v>
      </c>
      <c r="AB146" s="9">
        <f t="shared" si="57"/>
        <v>10739.31</v>
      </c>
      <c r="AC146" s="9">
        <f t="shared" si="55"/>
        <v>67979.83</v>
      </c>
      <c r="AD146" s="9">
        <v>1.86</v>
      </c>
      <c r="AE146" s="9">
        <v>4.2</v>
      </c>
      <c r="AF146" s="21">
        <f>2.49-AJ146</f>
        <v>2.34</v>
      </c>
      <c r="AG146" s="18">
        <f>0.6-AQ146</f>
        <v>0.56000000000000005</v>
      </c>
      <c r="AH146" s="9">
        <v>2.77</v>
      </c>
      <c r="AI146" s="43">
        <v>1620</v>
      </c>
      <c r="AJ146" s="21">
        <f t="shared" si="58"/>
        <v>0.15</v>
      </c>
      <c r="AK146" s="9">
        <v>1.61</v>
      </c>
      <c r="AL146" s="9">
        <v>0.14000000000000001</v>
      </c>
      <c r="AM146" s="9">
        <v>0.09</v>
      </c>
      <c r="AN146" s="13"/>
      <c r="AO146" s="13">
        <v>844.8</v>
      </c>
      <c r="AP146" s="13">
        <f t="shared" si="80"/>
        <v>5.58</v>
      </c>
      <c r="AQ146" s="18">
        <f t="shared" si="56"/>
        <v>0.04</v>
      </c>
      <c r="AR146" s="9">
        <v>0.64</v>
      </c>
      <c r="AS146" s="9">
        <v>0.13</v>
      </c>
      <c r="AT146" s="9">
        <v>7.0000000000000007E-2</v>
      </c>
      <c r="AU146" s="9">
        <v>4.1900000000000004</v>
      </c>
      <c r="AV146" s="9">
        <v>0.15</v>
      </c>
      <c r="AW146" s="9">
        <f>1.31+0.37+0.29</f>
        <v>1.97</v>
      </c>
      <c r="AX146" s="9">
        <f>1.83+0.49</f>
        <v>2.3199999999999998</v>
      </c>
      <c r="AY146" s="126">
        <f t="shared" si="81"/>
        <v>23.23</v>
      </c>
      <c r="AZ146" s="13">
        <v>23.23</v>
      </c>
      <c r="BA146" s="13">
        <f t="shared" si="59"/>
        <v>0</v>
      </c>
      <c r="BB146" s="9">
        <f t="shared" si="60"/>
        <v>249474.17</v>
      </c>
      <c r="BC146" s="9">
        <v>23.23</v>
      </c>
      <c r="BD146" s="10">
        <v>44409</v>
      </c>
      <c r="BE146" s="9">
        <f t="shared" si="61"/>
        <v>19975.12</v>
      </c>
      <c r="BF146" s="9">
        <f t="shared" si="62"/>
        <v>45105.1</v>
      </c>
      <c r="BG146" s="9">
        <f t="shared" si="63"/>
        <v>25129.99</v>
      </c>
      <c r="BH146" s="9">
        <f t="shared" si="64"/>
        <v>6014.01</v>
      </c>
      <c r="BI146" s="9">
        <f t="shared" si="65"/>
        <v>29747.89</v>
      </c>
      <c r="BJ146" s="9">
        <f t="shared" si="66"/>
        <v>1610.9</v>
      </c>
      <c r="BK146" s="9">
        <f t="shared" si="67"/>
        <v>17290.29</v>
      </c>
      <c r="BL146" s="9">
        <f t="shared" si="68"/>
        <v>1503.5</v>
      </c>
      <c r="BM146" s="9">
        <f t="shared" si="69"/>
        <v>966.54</v>
      </c>
      <c r="BN146" s="9">
        <f t="shared" si="70"/>
        <v>429.57</v>
      </c>
      <c r="BO146" s="9">
        <f t="shared" si="71"/>
        <v>6873.16</v>
      </c>
      <c r="BP146" s="9">
        <f t="shared" si="72"/>
        <v>1396.11</v>
      </c>
      <c r="BQ146" s="9">
        <f t="shared" si="73"/>
        <v>751.75</v>
      </c>
      <c r="BR146" s="9">
        <f t="shared" si="74"/>
        <v>44997.71</v>
      </c>
      <c r="BS146" s="9">
        <f t="shared" si="75"/>
        <v>1610.9</v>
      </c>
      <c r="BT146" s="9">
        <f t="shared" si="76"/>
        <v>21156.44</v>
      </c>
      <c r="BU146" s="9">
        <f t="shared" si="77"/>
        <v>24915.200000000001</v>
      </c>
      <c r="BV146" s="17">
        <f t="shared" si="78"/>
        <v>249474.18</v>
      </c>
      <c r="BW146" s="17">
        <v>2.63</v>
      </c>
      <c r="BX146" s="17">
        <v>0.08</v>
      </c>
      <c r="BY146" s="17">
        <v>0.51</v>
      </c>
      <c r="BZ146" s="17">
        <v>0.09</v>
      </c>
      <c r="CA146" s="29">
        <v>6.33</v>
      </c>
      <c r="CB146" s="325"/>
      <c r="CC146" s="13">
        <v>12627.84</v>
      </c>
      <c r="CD146" s="13">
        <v>747.92</v>
      </c>
      <c r="CE146" s="13">
        <v>547.69000000000005</v>
      </c>
      <c r="CF146" s="13">
        <v>45.32</v>
      </c>
      <c r="CG146" s="13">
        <v>40.770000000000003</v>
      </c>
      <c r="CH146" s="13">
        <v>0</v>
      </c>
      <c r="CI146" s="13">
        <v>9636.59</v>
      </c>
      <c r="CJ146" s="13">
        <v>64692</v>
      </c>
      <c r="CK146" s="13">
        <v>4130.5</v>
      </c>
      <c r="CL146" s="13">
        <v>2980637.4</v>
      </c>
      <c r="CM146" s="13">
        <v>209393.75</v>
      </c>
      <c r="CN146" s="13">
        <v>131868.18</v>
      </c>
      <c r="CO146" s="13">
        <v>8128.16</v>
      </c>
      <c r="CP146" s="13">
        <v>9624.64</v>
      </c>
      <c r="CQ146" s="13">
        <v>0</v>
      </c>
      <c r="CR146" s="13">
        <v>2805611.31</v>
      </c>
      <c r="CS146" s="13">
        <v>208373.36</v>
      </c>
      <c r="CT146" s="13">
        <v>122794.79</v>
      </c>
      <c r="CU146" s="13">
        <v>8005.64</v>
      </c>
      <c r="CV146" s="13">
        <v>8512.48</v>
      </c>
      <c r="CW146" s="13">
        <v>0</v>
      </c>
      <c r="CX146" s="13">
        <v>474282.61</v>
      </c>
      <c r="CY146" s="13">
        <v>30249.82</v>
      </c>
      <c r="CZ146" s="13">
        <v>12884.48</v>
      </c>
      <c r="DA146" s="13">
        <v>2033.05</v>
      </c>
      <c r="DB146" s="13">
        <v>1502.49</v>
      </c>
      <c r="DC146" s="13"/>
      <c r="DD146" s="315">
        <v>3339652.13</v>
      </c>
      <c r="DE146" s="317">
        <v>3153297.58</v>
      </c>
      <c r="DF146" s="317">
        <v>94.42</v>
      </c>
      <c r="DG146" s="318">
        <v>520952.45</v>
      </c>
      <c r="DH146" s="310">
        <v>112326.6</v>
      </c>
      <c r="DI146" s="310">
        <v>64240.800000000003</v>
      </c>
      <c r="DJ146" s="312">
        <v>0</v>
      </c>
      <c r="DK146" s="362">
        <v>0</v>
      </c>
      <c r="DL146" s="362"/>
      <c r="DM146" s="362">
        <v>0</v>
      </c>
      <c r="DN146" s="362">
        <v>0</v>
      </c>
      <c r="DO146" s="362">
        <v>0</v>
      </c>
      <c r="DP146" s="362">
        <v>0</v>
      </c>
      <c r="DQ146" s="362">
        <v>0</v>
      </c>
      <c r="DR146" s="362"/>
      <c r="DS146" s="362">
        <v>0</v>
      </c>
      <c r="DT146" s="362"/>
      <c r="DU146" s="362">
        <v>0</v>
      </c>
      <c r="DV146" s="362">
        <v>0</v>
      </c>
      <c r="DW146" s="362">
        <v>205567.74</v>
      </c>
      <c r="DX146" s="362">
        <v>0</v>
      </c>
      <c r="DY146" s="362">
        <v>27500</v>
      </c>
      <c r="DZ146" s="375">
        <v>0</v>
      </c>
      <c r="EA146" s="362">
        <v>897138</v>
      </c>
      <c r="EB146" s="362">
        <v>15350</v>
      </c>
      <c r="EC146" s="362"/>
      <c r="ED146" s="362">
        <v>0</v>
      </c>
      <c r="EE146" s="362">
        <v>0</v>
      </c>
      <c r="EF146" s="362"/>
      <c r="EG146" s="362">
        <v>25782</v>
      </c>
      <c r="EH146" s="362">
        <v>1400</v>
      </c>
      <c r="EI146" s="362"/>
      <c r="EJ146" s="362">
        <v>0</v>
      </c>
      <c r="EK146" s="362"/>
      <c r="EL146" s="362">
        <v>786420</v>
      </c>
      <c r="EM146" s="362">
        <v>4713.99</v>
      </c>
      <c r="EN146" s="362">
        <v>0</v>
      </c>
      <c r="EO146" s="362">
        <v>0</v>
      </c>
      <c r="EP146" s="362">
        <v>0</v>
      </c>
      <c r="EQ146" s="362">
        <v>0</v>
      </c>
      <c r="ER146" s="362">
        <v>16380</v>
      </c>
      <c r="ES146" s="362">
        <v>1884</v>
      </c>
      <c r="ET146" s="362">
        <v>27176</v>
      </c>
      <c r="EU146" s="362">
        <v>0</v>
      </c>
      <c r="EV146" s="362">
        <v>210328.52</v>
      </c>
      <c r="EW146" s="362"/>
      <c r="EX146" s="202"/>
      <c r="EY146" s="202"/>
      <c r="EZ146" s="229"/>
      <c r="FA146" s="368">
        <v>206950.3</v>
      </c>
      <c r="FB146" s="368">
        <v>132822.22</v>
      </c>
      <c r="FC146" s="368">
        <v>0</v>
      </c>
      <c r="FD146" s="368">
        <v>0</v>
      </c>
      <c r="FE146" s="368">
        <v>11355.5</v>
      </c>
      <c r="FF146" s="368">
        <v>10470.26</v>
      </c>
      <c r="FG146" s="368">
        <v>0</v>
      </c>
      <c r="FH146" s="368">
        <v>-2901.47</v>
      </c>
      <c r="FI146" s="368">
        <v>0</v>
      </c>
      <c r="FJ146" s="368">
        <v>0</v>
      </c>
      <c r="FK146" s="368">
        <v>115613.94</v>
      </c>
      <c r="FL146" s="368">
        <v>0</v>
      </c>
      <c r="FM146" s="368">
        <v>287117.01</v>
      </c>
      <c r="FN146" s="368">
        <v>182562.75</v>
      </c>
      <c r="FO146" s="323">
        <v>2865887.41</v>
      </c>
      <c r="FP146" s="323">
        <v>474310.75</v>
      </c>
      <c r="FQ146" s="323">
        <v>3340198.16</v>
      </c>
      <c r="FR146" s="338">
        <v>294483.76</v>
      </c>
      <c r="FS146" s="338">
        <v>13186.3</v>
      </c>
      <c r="FT146" s="377">
        <v>307670.06</v>
      </c>
      <c r="FU146" s="377">
        <v>3067593.83</v>
      </c>
      <c r="FV146" s="377">
        <v>364526.93</v>
      </c>
      <c r="FW146" s="362">
        <v>3432120.76</v>
      </c>
      <c r="FX146" s="362">
        <v>2886851.56</v>
      </c>
      <c r="FY146" s="362">
        <v>330938.57</v>
      </c>
      <c r="FZ146" s="362">
        <v>3217790.13</v>
      </c>
      <c r="GA146" s="362">
        <v>475226.03</v>
      </c>
      <c r="GB146" s="362">
        <v>46774.66</v>
      </c>
      <c r="GC146" s="362">
        <v>522000.69</v>
      </c>
      <c r="GD146" s="362">
        <v>241097.5</v>
      </c>
      <c r="GE146" s="362">
        <v>26126.99</v>
      </c>
      <c r="GF146" s="362">
        <v>267224.49</v>
      </c>
      <c r="GG146" s="202">
        <v>1048.24</v>
      </c>
      <c r="GH146" s="416">
        <v>90</v>
      </c>
      <c r="GI146" s="414">
        <v>3954.1</v>
      </c>
      <c r="GJ146" s="419">
        <v>14009.54</v>
      </c>
      <c r="GK146" s="396">
        <v>1048.24</v>
      </c>
      <c r="GL146" s="202">
        <v>943.41600000000005</v>
      </c>
      <c r="GM146" s="202">
        <v>104.824</v>
      </c>
      <c r="GN146" s="323">
        <v>201706.42</v>
      </c>
      <c r="GO146" s="323">
        <v>-109783.82</v>
      </c>
      <c r="GP146" s="323">
        <v>91922.6</v>
      </c>
      <c r="GQ146" s="323">
        <v>442803.92</v>
      </c>
      <c r="GR146" s="323">
        <v>-83656.83</v>
      </c>
      <c r="GS146" s="323">
        <v>359147.09</v>
      </c>
    </row>
    <row r="147" spans="1:201" ht="12.75" customHeight="1" x14ac:dyDescent="0.2">
      <c r="A147" s="45" t="s">
        <v>217</v>
      </c>
      <c r="B147" s="123" t="s">
        <v>184</v>
      </c>
      <c r="C147" s="124" t="s">
        <v>62</v>
      </c>
      <c r="D147" s="388" t="s">
        <v>566</v>
      </c>
      <c r="E147" s="124" t="s">
        <v>9</v>
      </c>
      <c r="F147" s="11">
        <v>9</v>
      </c>
      <c r="G147" s="11">
        <v>4</v>
      </c>
      <c r="H147" s="11">
        <v>216</v>
      </c>
      <c r="I147" s="11">
        <v>216</v>
      </c>
      <c r="J147" s="11">
        <v>501</v>
      </c>
      <c r="K147" s="11">
        <v>542</v>
      </c>
      <c r="L147" s="83">
        <v>4</v>
      </c>
      <c r="M147" s="84">
        <v>1476</v>
      </c>
      <c r="N147" s="84">
        <v>1687</v>
      </c>
      <c r="O147" s="84">
        <v>0</v>
      </c>
      <c r="P147" s="135">
        <v>1313.5</v>
      </c>
      <c r="Q147" s="135">
        <v>1326</v>
      </c>
      <c r="R147" s="135">
        <v>0</v>
      </c>
      <c r="S147" s="133">
        <f t="shared" si="79"/>
        <v>2639.5</v>
      </c>
      <c r="T147" s="135">
        <v>1313.5</v>
      </c>
      <c r="U147" s="130">
        <v>2.44</v>
      </c>
      <c r="V147" s="131">
        <v>1.9800000000000002E-2</v>
      </c>
      <c r="W147" s="131">
        <v>1.9800000000000002E-2</v>
      </c>
      <c r="X147" s="132">
        <v>1.32E-3</v>
      </c>
      <c r="Y147" s="131">
        <v>3.9699999999999999E-2</v>
      </c>
      <c r="Z147" s="29">
        <v>10780.6</v>
      </c>
      <c r="AA147" s="29"/>
      <c r="AB147" s="9">
        <f t="shared" si="57"/>
        <v>10780.6</v>
      </c>
      <c r="AC147" s="9">
        <f t="shared" si="55"/>
        <v>68241.2</v>
      </c>
      <c r="AD147" s="9">
        <v>1.56</v>
      </c>
      <c r="AE147" s="9">
        <v>4.28</v>
      </c>
      <c r="AF147" s="21">
        <f>2.47-AJ147</f>
        <v>2.3199999999999998</v>
      </c>
      <c r="AG147" s="18">
        <f>0.6-AQ147</f>
        <v>0.56000000000000005</v>
      </c>
      <c r="AH147" s="9">
        <v>2.77</v>
      </c>
      <c r="AI147" s="43">
        <v>1620</v>
      </c>
      <c r="AJ147" s="21">
        <f t="shared" si="58"/>
        <v>0.15</v>
      </c>
      <c r="AK147" s="9">
        <v>1.61</v>
      </c>
      <c r="AL147" s="9">
        <v>0.14000000000000001</v>
      </c>
      <c r="AM147" s="9">
        <v>0.05</v>
      </c>
      <c r="AN147" s="13"/>
      <c r="AO147" s="13">
        <v>844.8</v>
      </c>
      <c r="AP147" s="13">
        <f t="shared" si="80"/>
        <v>5.58</v>
      </c>
      <c r="AQ147" s="18">
        <f t="shared" si="56"/>
        <v>0.04</v>
      </c>
      <c r="AR147" s="9">
        <v>0.64</v>
      </c>
      <c r="AS147" s="9">
        <v>0.13</v>
      </c>
      <c r="AT147" s="9">
        <v>7.0000000000000007E-2</v>
      </c>
      <c r="AU147" s="9">
        <v>4.62</v>
      </c>
      <c r="AV147" s="9">
        <v>0.15</v>
      </c>
      <c r="AW147" s="9">
        <f>1.28+0.41+0.29</f>
        <v>1.98</v>
      </c>
      <c r="AX147" s="9">
        <f>1.79+0.54</f>
        <v>2.33</v>
      </c>
      <c r="AY147" s="126">
        <f t="shared" si="81"/>
        <v>23.4</v>
      </c>
      <c r="AZ147" s="13">
        <v>23.4</v>
      </c>
      <c r="BA147" s="13">
        <f t="shared" si="59"/>
        <v>0</v>
      </c>
      <c r="BB147" s="9">
        <f t="shared" si="60"/>
        <v>252266.04</v>
      </c>
      <c r="BC147" s="9">
        <v>23.4</v>
      </c>
      <c r="BD147" s="10">
        <v>44409</v>
      </c>
      <c r="BE147" s="9">
        <f t="shared" si="61"/>
        <v>16817.740000000002</v>
      </c>
      <c r="BF147" s="9">
        <f t="shared" si="62"/>
        <v>46140.97</v>
      </c>
      <c r="BG147" s="9">
        <f t="shared" si="63"/>
        <v>25010.99</v>
      </c>
      <c r="BH147" s="9">
        <f t="shared" si="64"/>
        <v>6037.14</v>
      </c>
      <c r="BI147" s="9">
        <f t="shared" si="65"/>
        <v>29862.26</v>
      </c>
      <c r="BJ147" s="9">
        <f t="shared" si="66"/>
        <v>1617.09</v>
      </c>
      <c r="BK147" s="9">
        <f t="shared" si="67"/>
        <v>17356.77</v>
      </c>
      <c r="BL147" s="9">
        <f t="shared" si="68"/>
        <v>1509.28</v>
      </c>
      <c r="BM147" s="9">
        <f t="shared" si="69"/>
        <v>539.03</v>
      </c>
      <c r="BN147" s="9">
        <f t="shared" si="70"/>
        <v>431.22</v>
      </c>
      <c r="BO147" s="9">
        <f t="shared" si="71"/>
        <v>6899.58</v>
      </c>
      <c r="BP147" s="9">
        <f t="shared" si="72"/>
        <v>1401.48</v>
      </c>
      <c r="BQ147" s="9">
        <f t="shared" si="73"/>
        <v>754.64</v>
      </c>
      <c r="BR147" s="9">
        <f t="shared" si="74"/>
        <v>49806.37</v>
      </c>
      <c r="BS147" s="9">
        <f t="shared" si="75"/>
        <v>1617.09</v>
      </c>
      <c r="BT147" s="9">
        <f t="shared" si="76"/>
        <v>21345.59</v>
      </c>
      <c r="BU147" s="9">
        <f t="shared" si="77"/>
        <v>25118.799999999999</v>
      </c>
      <c r="BV147" s="17">
        <f t="shared" si="78"/>
        <v>252266.04</v>
      </c>
      <c r="BW147" s="17">
        <v>2.4</v>
      </c>
      <c r="BX147" s="17">
        <v>7.0000000000000007E-2</v>
      </c>
      <c r="BY147" s="17">
        <v>0.4</v>
      </c>
      <c r="BZ147" s="17">
        <v>0.08</v>
      </c>
      <c r="CA147" s="29">
        <v>6.33</v>
      </c>
      <c r="CB147" s="325"/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6696</v>
      </c>
      <c r="CI147" s="13">
        <v>13965.02</v>
      </c>
      <c r="CJ147" s="13">
        <v>64692</v>
      </c>
      <c r="CK147" s="13">
        <v>4146.1000000000004</v>
      </c>
      <c r="CL147" s="13">
        <v>3015358.57</v>
      </c>
      <c r="CM147" s="13">
        <v>211406.59</v>
      </c>
      <c r="CN147" s="13">
        <v>0.05</v>
      </c>
      <c r="CO147" s="13">
        <v>70505.37</v>
      </c>
      <c r="CP147" s="13">
        <v>41829.4</v>
      </c>
      <c r="CQ147" s="13">
        <v>0</v>
      </c>
      <c r="CR147" s="13">
        <v>2768069.53</v>
      </c>
      <c r="CS147" s="13">
        <v>188235.27</v>
      </c>
      <c r="CT147" s="13">
        <v>2252.3200000000002</v>
      </c>
      <c r="CU147" s="13">
        <v>69194.460000000006</v>
      </c>
      <c r="CV147" s="13">
        <v>40473.89</v>
      </c>
      <c r="CW147" s="13">
        <v>0</v>
      </c>
      <c r="CX147" s="13">
        <v>564872.39</v>
      </c>
      <c r="CY147" s="13">
        <v>39790.81</v>
      </c>
      <c r="CZ147" s="13">
        <v>-4141.29</v>
      </c>
      <c r="DA147" s="13">
        <v>10971.86</v>
      </c>
      <c r="DB147" s="13">
        <v>6389.69</v>
      </c>
      <c r="DC147" s="13"/>
      <c r="DD147" s="315">
        <v>3339099.98</v>
      </c>
      <c r="DE147" s="317">
        <v>3068225.47</v>
      </c>
      <c r="DF147" s="317">
        <v>91.89</v>
      </c>
      <c r="DG147" s="318">
        <v>617883.46</v>
      </c>
      <c r="DH147" s="310">
        <v>113275.32</v>
      </c>
      <c r="DI147" s="310">
        <v>64783.32</v>
      </c>
      <c r="DJ147" s="312">
        <v>0</v>
      </c>
      <c r="DK147" s="362">
        <v>0</v>
      </c>
      <c r="DL147" s="362"/>
      <c r="DM147" s="362">
        <v>0</v>
      </c>
      <c r="DN147" s="362">
        <v>0</v>
      </c>
      <c r="DO147" s="362">
        <v>0</v>
      </c>
      <c r="DP147" s="362">
        <v>0</v>
      </c>
      <c r="DQ147" s="362">
        <v>0</v>
      </c>
      <c r="DR147" s="362"/>
      <c r="DS147" s="362">
        <v>0</v>
      </c>
      <c r="DT147" s="362"/>
      <c r="DU147" s="362">
        <v>0</v>
      </c>
      <c r="DV147" s="362">
        <v>0</v>
      </c>
      <c r="DW147" s="362">
        <v>198216.13</v>
      </c>
      <c r="DX147" s="362">
        <v>0</v>
      </c>
      <c r="DY147" s="362">
        <v>13500</v>
      </c>
      <c r="DZ147" s="375">
        <v>0</v>
      </c>
      <c r="EA147" s="362">
        <v>866436</v>
      </c>
      <c r="EB147" s="362">
        <v>15350</v>
      </c>
      <c r="EC147" s="362"/>
      <c r="ED147" s="362">
        <v>0</v>
      </c>
      <c r="EE147" s="362">
        <v>0</v>
      </c>
      <c r="EF147" s="362"/>
      <c r="EG147" s="362">
        <v>25782</v>
      </c>
      <c r="EH147" s="362">
        <v>0</v>
      </c>
      <c r="EI147" s="362"/>
      <c r="EJ147" s="362">
        <v>0</v>
      </c>
      <c r="EK147" s="362"/>
      <c r="EL147" s="362">
        <v>785352</v>
      </c>
      <c r="EM147" s="362">
        <v>4713.99</v>
      </c>
      <c r="EN147" s="362">
        <v>0</v>
      </c>
      <c r="EO147" s="362">
        <v>3348</v>
      </c>
      <c r="EP147" s="362">
        <v>0</v>
      </c>
      <c r="EQ147" s="362">
        <v>0</v>
      </c>
      <c r="ER147" s="362">
        <v>16380</v>
      </c>
      <c r="ES147" s="362">
        <v>4616</v>
      </c>
      <c r="ET147" s="362">
        <v>27176</v>
      </c>
      <c r="EU147" s="362">
        <v>0</v>
      </c>
      <c r="EV147" s="362">
        <v>96277.19</v>
      </c>
      <c r="EW147" s="362"/>
      <c r="EX147" s="202"/>
      <c r="EY147" s="202"/>
      <c r="EZ147" s="229"/>
      <c r="FA147" s="368">
        <v>206306.02</v>
      </c>
      <c r="FB147" s="368">
        <v>0</v>
      </c>
      <c r="FC147" s="368">
        <v>0</v>
      </c>
      <c r="FD147" s="368">
        <v>0</v>
      </c>
      <c r="FE147" s="368">
        <v>54748</v>
      </c>
      <c r="FF147" s="368">
        <v>33544.78</v>
      </c>
      <c r="FG147" s="368">
        <v>-648.57000000000005</v>
      </c>
      <c r="FH147" s="368">
        <v>-3228.3</v>
      </c>
      <c r="FI147" s="368">
        <v>0</v>
      </c>
      <c r="FJ147" s="368">
        <v>0</v>
      </c>
      <c r="FK147" s="368">
        <v>1158.1600000000001</v>
      </c>
      <c r="FL147" s="368">
        <v>0</v>
      </c>
      <c r="FM147" s="368">
        <v>288219.53999999998</v>
      </c>
      <c r="FN147" s="368">
        <v>183263.46</v>
      </c>
      <c r="FO147" s="323">
        <v>2706688.95</v>
      </c>
      <c r="FP147" s="323">
        <v>291880.09000000003</v>
      </c>
      <c r="FQ147" s="323">
        <v>2998569.04</v>
      </c>
      <c r="FR147" s="338">
        <v>318356.75</v>
      </c>
      <c r="FS147" s="338">
        <v>31192.66</v>
      </c>
      <c r="FT147" s="377">
        <v>349549.41</v>
      </c>
      <c r="FU147" s="377">
        <v>3094015.59</v>
      </c>
      <c r="FV147" s="377">
        <v>334583.51</v>
      </c>
      <c r="FW147" s="362">
        <v>3428599.1</v>
      </c>
      <c r="FX147" s="362">
        <v>2847499.95</v>
      </c>
      <c r="FY147" s="362">
        <v>312765.09999999998</v>
      </c>
      <c r="FZ147" s="362">
        <v>3160265.05</v>
      </c>
      <c r="GA147" s="362">
        <v>564872.39</v>
      </c>
      <c r="GB147" s="362">
        <v>53011.07</v>
      </c>
      <c r="GC147" s="362">
        <v>617883.46</v>
      </c>
      <c r="GD147" s="362">
        <v>269678.11</v>
      </c>
      <c r="GE147" s="362">
        <v>-4061.01</v>
      </c>
      <c r="GF147" s="362">
        <v>265617.09999999998</v>
      </c>
      <c r="GG147" s="202"/>
      <c r="GH147" s="416">
        <v>0</v>
      </c>
      <c r="GI147" s="414">
        <v>3954.1</v>
      </c>
      <c r="GJ147" s="419">
        <v>6696</v>
      </c>
      <c r="GK147" s="396"/>
      <c r="GL147" s="202">
        <v>0</v>
      </c>
      <c r="GM147" s="202">
        <v>0</v>
      </c>
      <c r="GN147" s="323">
        <v>387326.64</v>
      </c>
      <c r="GO147" s="323">
        <v>42703.42</v>
      </c>
      <c r="GP147" s="323">
        <v>430030.06</v>
      </c>
      <c r="GQ147" s="323">
        <v>657004.75</v>
      </c>
      <c r="GR147" s="323">
        <v>38642.410000000003</v>
      </c>
      <c r="GS147" s="323">
        <v>695647.16</v>
      </c>
    </row>
    <row r="148" spans="1:201" ht="12.75" customHeight="1" x14ac:dyDescent="0.2">
      <c r="A148" s="45" t="s">
        <v>218</v>
      </c>
      <c r="B148" s="141" t="s">
        <v>184</v>
      </c>
      <c r="C148" s="142" t="s">
        <v>25</v>
      </c>
      <c r="D148" s="388" t="s">
        <v>461</v>
      </c>
      <c r="E148" s="142" t="s">
        <v>12</v>
      </c>
      <c r="F148" s="11">
        <v>5</v>
      </c>
      <c r="G148" s="11">
        <v>6</v>
      </c>
      <c r="H148" s="11">
        <v>90</v>
      </c>
      <c r="I148" s="11">
        <v>92</v>
      </c>
      <c r="J148" s="11">
        <v>199</v>
      </c>
      <c r="K148" s="11">
        <v>205</v>
      </c>
      <c r="L148" s="11" t="s">
        <v>746</v>
      </c>
      <c r="M148" s="84">
        <v>416</v>
      </c>
      <c r="N148" s="84">
        <v>1287</v>
      </c>
      <c r="O148" s="84">
        <v>0</v>
      </c>
      <c r="P148" s="135">
        <v>411</v>
      </c>
      <c r="Q148" s="135">
        <v>1017.9</v>
      </c>
      <c r="R148" s="133">
        <v>0</v>
      </c>
      <c r="S148" s="133">
        <f t="shared" si="79"/>
        <v>1428.9</v>
      </c>
      <c r="T148" s="134">
        <v>416</v>
      </c>
      <c r="U148" s="130">
        <v>1.53</v>
      </c>
      <c r="V148" s="131">
        <v>1.9800000000000002E-2</v>
      </c>
      <c r="W148" s="131">
        <v>1.9800000000000002E-2</v>
      </c>
      <c r="X148" s="132">
        <v>1.2199999999999999E-3</v>
      </c>
      <c r="Y148" s="131">
        <v>3.95E-2</v>
      </c>
      <c r="Z148" s="29">
        <v>3972.11</v>
      </c>
      <c r="AA148" s="29"/>
      <c r="AB148" s="9">
        <f t="shared" si="57"/>
        <v>3972.11</v>
      </c>
      <c r="AC148" s="9">
        <f t="shared" si="55"/>
        <v>25143.46</v>
      </c>
      <c r="AD148" s="9">
        <v>0.52</v>
      </c>
      <c r="AE148" s="9">
        <v>4.49</v>
      </c>
      <c r="AF148" s="21">
        <f>2.5-AJ148</f>
        <v>2.19</v>
      </c>
      <c r="AG148" s="18">
        <f>0.56-AQ148</f>
        <v>0.45</v>
      </c>
      <c r="AH148" s="9">
        <v>2.78</v>
      </c>
      <c r="AI148" s="43">
        <v>1236</v>
      </c>
      <c r="AJ148" s="21">
        <f t="shared" si="58"/>
        <v>0.31</v>
      </c>
      <c r="AK148" s="9">
        <v>0</v>
      </c>
      <c r="AL148" s="9">
        <v>0</v>
      </c>
      <c r="AM148" s="9">
        <v>0.15</v>
      </c>
      <c r="AN148" s="13"/>
      <c r="AO148" s="13">
        <v>901.8</v>
      </c>
      <c r="AP148" s="13">
        <f t="shared" si="80"/>
        <v>5.58</v>
      </c>
      <c r="AQ148" s="18">
        <f t="shared" si="56"/>
        <v>0.11</v>
      </c>
      <c r="AR148" s="9">
        <v>0.79</v>
      </c>
      <c r="AS148" s="9">
        <v>0.34</v>
      </c>
      <c r="AT148" s="9">
        <v>7.0000000000000007E-2</v>
      </c>
      <c r="AU148" s="9">
        <v>4.04</v>
      </c>
      <c r="AV148" s="9">
        <v>0.13</v>
      </c>
      <c r="AW148" s="9">
        <f>1.09+0.36+0.32</f>
        <v>1.77</v>
      </c>
      <c r="AX148" s="9">
        <f>1.5+0.48</f>
        <v>1.98</v>
      </c>
      <c r="AY148" s="144">
        <f t="shared" si="81"/>
        <v>20.12</v>
      </c>
      <c r="AZ148" s="13">
        <v>20.12</v>
      </c>
      <c r="BA148" s="13">
        <f t="shared" si="59"/>
        <v>0</v>
      </c>
      <c r="BB148" s="9">
        <f t="shared" si="60"/>
        <v>79918.850000000006</v>
      </c>
      <c r="BC148" s="9">
        <v>20.12</v>
      </c>
      <c r="BD148" s="10">
        <v>44409</v>
      </c>
      <c r="BE148" s="9">
        <f t="shared" si="61"/>
        <v>2065.5</v>
      </c>
      <c r="BF148" s="9">
        <f t="shared" si="62"/>
        <v>17834.77</v>
      </c>
      <c r="BG148" s="9">
        <f t="shared" si="63"/>
        <v>8698.92</v>
      </c>
      <c r="BH148" s="9">
        <f t="shared" si="64"/>
        <v>1787.45</v>
      </c>
      <c r="BI148" s="9">
        <f t="shared" si="65"/>
        <v>11042.47</v>
      </c>
      <c r="BJ148" s="9">
        <f t="shared" si="66"/>
        <v>1231.3499999999999</v>
      </c>
      <c r="BK148" s="9">
        <f t="shared" si="67"/>
        <v>0</v>
      </c>
      <c r="BL148" s="9">
        <f t="shared" si="68"/>
        <v>0</v>
      </c>
      <c r="BM148" s="9">
        <f t="shared" si="69"/>
        <v>595.82000000000005</v>
      </c>
      <c r="BN148" s="9">
        <f t="shared" si="70"/>
        <v>436.93</v>
      </c>
      <c r="BO148" s="9">
        <f t="shared" si="71"/>
        <v>3137.97</v>
      </c>
      <c r="BP148" s="9">
        <f t="shared" si="72"/>
        <v>1350.52</v>
      </c>
      <c r="BQ148" s="9">
        <f t="shared" si="73"/>
        <v>278.05</v>
      </c>
      <c r="BR148" s="9">
        <f t="shared" si="74"/>
        <v>16047.32</v>
      </c>
      <c r="BS148" s="9">
        <f t="shared" si="75"/>
        <v>516.37</v>
      </c>
      <c r="BT148" s="9">
        <f t="shared" si="76"/>
        <v>7030.63</v>
      </c>
      <c r="BU148" s="9">
        <f t="shared" si="77"/>
        <v>7864.78</v>
      </c>
      <c r="BV148" s="17">
        <f t="shared" si="78"/>
        <v>79918.850000000006</v>
      </c>
      <c r="BW148" s="17">
        <v>0.64</v>
      </c>
      <c r="BX148" s="17">
        <v>0.06</v>
      </c>
      <c r="BY148" s="17">
        <v>0.32</v>
      </c>
      <c r="BZ148" s="17">
        <v>0.06</v>
      </c>
      <c r="CA148" s="29">
        <v>6.33</v>
      </c>
      <c r="CB148" s="325"/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I148" s="13">
        <v>9877.91</v>
      </c>
      <c r="CJ148" s="13">
        <v>38856</v>
      </c>
      <c r="CK148" s="13">
        <v>1527.63</v>
      </c>
      <c r="CL148" s="13">
        <v>959025.48</v>
      </c>
      <c r="CM148" s="13">
        <v>22687.919999999998</v>
      </c>
      <c r="CN148" s="13">
        <v>65709.47</v>
      </c>
      <c r="CO148" s="13">
        <v>13149.97</v>
      </c>
      <c r="CP148" s="13">
        <v>8343.06</v>
      </c>
      <c r="CQ148" s="13">
        <v>0</v>
      </c>
      <c r="CR148" s="13">
        <v>816191.2</v>
      </c>
      <c r="CS148" s="13">
        <v>17121.060000000001</v>
      </c>
      <c r="CT148" s="13">
        <v>57106.71</v>
      </c>
      <c r="CU148" s="13">
        <v>14008.56</v>
      </c>
      <c r="CV148" s="13">
        <v>8259.9599999999991</v>
      </c>
      <c r="CW148" s="13">
        <v>0</v>
      </c>
      <c r="CX148" s="13">
        <v>263614.68</v>
      </c>
      <c r="CY148" s="13">
        <v>5369.77</v>
      </c>
      <c r="CZ148" s="13">
        <v>14518.63</v>
      </c>
      <c r="DA148" s="13">
        <v>3413.49</v>
      </c>
      <c r="DB148" s="13">
        <v>1992.96</v>
      </c>
      <c r="DC148" s="13"/>
      <c r="DD148" s="315">
        <v>1068915.8999999999</v>
      </c>
      <c r="DE148" s="317">
        <v>912687.49</v>
      </c>
      <c r="DF148" s="317">
        <v>85.38</v>
      </c>
      <c r="DG148" s="318">
        <v>288909.53000000003</v>
      </c>
      <c r="DH148" s="310">
        <v>41736.6</v>
      </c>
      <c r="DI148" s="310">
        <v>23869.68</v>
      </c>
      <c r="DJ148" s="312">
        <v>0</v>
      </c>
      <c r="DK148" s="362">
        <v>0</v>
      </c>
      <c r="DL148" s="362"/>
      <c r="DM148" s="362">
        <v>0</v>
      </c>
      <c r="DN148" s="362">
        <v>0</v>
      </c>
      <c r="DO148" s="362">
        <v>0</v>
      </c>
      <c r="DP148" s="362">
        <v>0</v>
      </c>
      <c r="DQ148" s="362">
        <v>0</v>
      </c>
      <c r="DR148" s="362"/>
      <c r="DS148" s="362">
        <v>0</v>
      </c>
      <c r="DT148" s="362"/>
      <c r="DU148" s="362">
        <v>0</v>
      </c>
      <c r="DV148" s="362">
        <v>0</v>
      </c>
      <c r="DW148" s="362">
        <v>0</v>
      </c>
      <c r="DX148" s="362">
        <v>0</v>
      </c>
      <c r="DY148" s="362">
        <v>0</v>
      </c>
      <c r="DZ148" s="375">
        <v>0</v>
      </c>
      <c r="EA148" s="362">
        <v>276294</v>
      </c>
      <c r="EB148" s="362">
        <v>8525</v>
      </c>
      <c r="EC148" s="362"/>
      <c r="ED148" s="362">
        <v>0</v>
      </c>
      <c r="EE148" s="362">
        <v>0</v>
      </c>
      <c r="EF148" s="362"/>
      <c r="EG148" s="362">
        <v>19668</v>
      </c>
      <c r="EH148" s="362">
        <v>43785</v>
      </c>
      <c r="EI148" s="362"/>
      <c r="EJ148" s="362">
        <v>17100</v>
      </c>
      <c r="EK148" s="362"/>
      <c r="EL148" s="362">
        <v>292098</v>
      </c>
      <c r="EM148" s="362">
        <v>5032.05</v>
      </c>
      <c r="EN148" s="362">
        <v>0</v>
      </c>
      <c r="EO148" s="362">
        <v>0</v>
      </c>
      <c r="EP148" s="362">
        <v>0</v>
      </c>
      <c r="EQ148" s="362">
        <v>0</v>
      </c>
      <c r="ER148" s="362">
        <v>16380</v>
      </c>
      <c r="ES148" s="362">
        <v>0</v>
      </c>
      <c r="ET148" s="362">
        <v>14628</v>
      </c>
      <c r="EU148" s="362">
        <v>0</v>
      </c>
      <c r="EV148" s="362">
        <v>5262.84</v>
      </c>
      <c r="EW148" s="362"/>
      <c r="EX148" s="202"/>
      <c r="EY148" s="202"/>
      <c r="EZ148" s="229"/>
      <c r="FA148" s="368">
        <v>22793.74</v>
      </c>
      <c r="FB148" s="368">
        <v>65693.89</v>
      </c>
      <c r="FC148" s="368">
        <v>0</v>
      </c>
      <c r="FD148" s="368">
        <v>0</v>
      </c>
      <c r="FE148" s="368">
        <v>15476.56</v>
      </c>
      <c r="FF148" s="368">
        <v>9251.2099999999991</v>
      </c>
      <c r="FG148" s="368">
        <v>-2188.94</v>
      </c>
      <c r="FH148" s="368">
        <v>-2162.25</v>
      </c>
      <c r="FI148" s="368">
        <v>0</v>
      </c>
      <c r="FJ148" s="368">
        <v>0</v>
      </c>
      <c r="FK148" s="368">
        <v>11611.01</v>
      </c>
      <c r="FL148" s="368">
        <v>0</v>
      </c>
      <c r="FM148" s="368">
        <v>106194.6</v>
      </c>
      <c r="FN148" s="368">
        <v>67523.490000000005</v>
      </c>
      <c r="FO148" s="323">
        <v>938097.26</v>
      </c>
      <c r="FP148" s="323">
        <v>120475.22</v>
      </c>
      <c r="FQ148" s="323">
        <v>1058572.48</v>
      </c>
      <c r="FR148" s="338">
        <v>133140.79</v>
      </c>
      <c r="FS148" s="338">
        <v>8545.58</v>
      </c>
      <c r="FT148" s="377">
        <v>141686.37</v>
      </c>
      <c r="FU148" s="377">
        <v>1007759.39</v>
      </c>
      <c r="FV148" s="377">
        <v>111418.05</v>
      </c>
      <c r="FW148" s="362">
        <v>1119177.44</v>
      </c>
      <c r="FX148" s="362">
        <v>877285.5</v>
      </c>
      <c r="FY148" s="362">
        <v>94668.78</v>
      </c>
      <c r="FZ148" s="362">
        <v>971954.28</v>
      </c>
      <c r="GA148" s="362">
        <v>263614.68</v>
      </c>
      <c r="GB148" s="362">
        <v>25294.85</v>
      </c>
      <c r="GC148" s="362">
        <v>288909.53000000003</v>
      </c>
      <c r="GD148" s="362">
        <v>61409.14</v>
      </c>
      <c r="GE148" s="362">
        <v>17928.939999999999</v>
      </c>
      <c r="GF148" s="362">
        <v>79338.080000000002</v>
      </c>
      <c r="GG148" s="202"/>
      <c r="GH148" s="416"/>
      <c r="GI148" s="414">
        <v>3386</v>
      </c>
      <c r="GJ148" s="419">
        <v>0</v>
      </c>
      <c r="GK148" s="396"/>
      <c r="GL148" s="202">
        <v>0</v>
      </c>
      <c r="GM148" s="202">
        <v>0</v>
      </c>
      <c r="GN148" s="323">
        <v>69662.13</v>
      </c>
      <c r="GO148" s="323">
        <v>-9057.17</v>
      </c>
      <c r="GP148" s="323">
        <v>60604.959999999999</v>
      </c>
      <c r="GQ148" s="323">
        <v>131071.27</v>
      </c>
      <c r="GR148" s="323">
        <v>8871.77</v>
      </c>
      <c r="GS148" s="323">
        <v>139943.04000000001</v>
      </c>
    </row>
    <row r="149" spans="1:201" ht="12.75" customHeight="1" x14ac:dyDescent="0.2">
      <c r="A149" s="45" t="s">
        <v>219</v>
      </c>
      <c r="B149" s="141" t="s">
        <v>184</v>
      </c>
      <c r="C149" s="142" t="s">
        <v>27</v>
      </c>
      <c r="D149" s="390" t="s">
        <v>640</v>
      </c>
      <c r="E149" s="142"/>
      <c r="F149" s="11">
        <v>5</v>
      </c>
      <c r="G149" s="11">
        <v>6</v>
      </c>
      <c r="H149" s="11">
        <v>90</v>
      </c>
      <c r="I149" s="11">
        <v>93</v>
      </c>
      <c r="J149" s="11">
        <v>204</v>
      </c>
      <c r="K149" s="11">
        <v>221</v>
      </c>
      <c r="L149" s="11" t="s">
        <v>746</v>
      </c>
      <c r="M149" s="84">
        <v>413</v>
      </c>
      <c r="N149" s="84">
        <v>1287</v>
      </c>
      <c r="O149" s="84">
        <v>0</v>
      </c>
      <c r="P149" s="135">
        <v>412.5</v>
      </c>
      <c r="Q149" s="135">
        <v>647.70000000000005</v>
      </c>
      <c r="R149" s="133">
        <v>0</v>
      </c>
      <c r="S149" s="133">
        <f t="shared" si="79"/>
        <v>1060.2</v>
      </c>
      <c r="T149" s="134">
        <v>412.5</v>
      </c>
      <c r="U149" s="130">
        <v>1.53</v>
      </c>
      <c r="V149" s="131">
        <v>1.9800000000000002E-2</v>
      </c>
      <c r="W149" s="131">
        <v>1.9800000000000002E-2</v>
      </c>
      <c r="X149" s="132">
        <v>1.2199999999999999E-3</v>
      </c>
      <c r="Y149" s="131">
        <v>3.95E-2</v>
      </c>
      <c r="Z149" s="29">
        <v>3963.31</v>
      </c>
      <c r="AA149" s="29"/>
      <c r="AB149" s="9">
        <f t="shared" si="57"/>
        <v>3963.31</v>
      </c>
      <c r="AC149" s="9">
        <f t="shared" si="55"/>
        <v>25087.75</v>
      </c>
      <c r="AD149" s="9">
        <v>0.52</v>
      </c>
      <c r="AE149" s="9">
        <v>4.8099999999999996</v>
      </c>
      <c r="AF149" s="21">
        <f>2.5-AJ149</f>
        <v>2.19</v>
      </c>
      <c r="AG149" s="18">
        <f>0.56-AQ149</f>
        <v>0.45</v>
      </c>
      <c r="AH149" s="9">
        <v>2.78</v>
      </c>
      <c r="AI149" s="43">
        <v>1236</v>
      </c>
      <c r="AJ149" s="21">
        <f t="shared" si="58"/>
        <v>0.31</v>
      </c>
      <c r="AK149" s="9">
        <v>0</v>
      </c>
      <c r="AL149" s="9">
        <v>0</v>
      </c>
      <c r="AM149" s="9">
        <v>0.24</v>
      </c>
      <c r="AN149" s="13"/>
      <c r="AO149" s="13">
        <v>901.8</v>
      </c>
      <c r="AP149" s="13">
        <f t="shared" si="80"/>
        <v>5.58</v>
      </c>
      <c r="AQ149" s="18">
        <f t="shared" si="56"/>
        <v>0.11</v>
      </c>
      <c r="AR149" s="9">
        <v>0.79</v>
      </c>
      <c r="AS149" s="9">
        <v>0.35</v>
      </c>
      <c r="AT149" s="9">
        <v>7.0000000000000007E-2</v>
      </c>
      <c r="AU149" s="9">
        <v>3.59</v>
      </c>
      <c r="AV149" s="9">
        <v>0.13</v>
      </c>
      <c r="AW149" s="9">
        <f>1.13+0.32+0.33</f>
        <v>1.78</v>
      </c>
      <c r="AX149" s="9">
        <f>1.55+0.42</f>
        <v>1.97</v>
      </c>
      <c r="AY149" s="144">
        <f t="shared" si="81"/>
        <v>20.09</v>
      </c>
      <c r="AZ149" s="13">
        <v>20.09</v>
      </c>
      <c r="BA149" s="13">
        <f t="shared" si="59"/>
        <v>0</v>
      </c>
      <c r="BB149" s="9">
        <f t="shared" si="60"/>
        <v>79622.899999999994</v>
      </c>
      <c r="BC149" s="9">
        <v>20.09</v>
      </c>
      <c r="BD149" s="10">
        <v>44440</v>
      </c>
      <c r="BE149" s="9">
        <f t="shared" si="61"/>
        <v>2060.92</v>
      </c>
      <c r="BF149" s="9">
        <f t="shared" si="62"/>
        <v>19063.52</v>
      </c>
      <c r="BG149" s="9">
        <f t="shared" si="63"/>
        <v>8679.65</v>
      </c>
      <c r="BH149" s="9">
        <f t="shared" si="64"/>
        <v>1783.49</v>
      </c>
      <c r="BI149" s="9">
        <f t="shared" si="65"/>
        <v>11018</v>
      </c>
      <c r="BJ149" s="9">
        <f t="shared" si="66"/>
        <v>1228.6300000000001</v>
      </c>
      <c r="BK149" s="9">
        <f t="shared" si="67"/>
        <v>0</v>
      </c>
      <c r="BL149" s="9">
        <f t="shared" si="68"/>
        <v>0</v>
      </c>
      <c r="BM149" s="9">
        <f t="shared" si="69"/>
        <v>951.19</v>
      </c>
      <c r="BN149" s="9">
        <f t="shared" si="70"/>
        <v>435.96</v>
      </c>
      <c r="BO149" s="9">
        <f t="shared" si="71"/>
        <v>3131.01</v>
      </c>
      <c r="BP149" s="9">
        <f t="shared" si="72"/>
        <v>1387.16</v>
      </c>
      <c r="BQ149" s="9">
        <f t="shared" si="73"/>
        <v>277.43</v>
      </c>
      <c r="BR149" s="9">
        <f t="shared" si="74"/>
        <v>14228.28</v>
      </c>
      <c r="BS149" s="9">
        <f t="shared" si="75"/>
        <v>515.23</v>
      </c>
      <c r="BT149" s="9">
        <f t="shared" si="76"/>
        <v>7054.69</v>
      </c>
      <c r="BU149" s="9">
        <f t="shared" si="77"/>
        <v>7807.72</v>
      </c>
      <c r="BV149" s="17">
        <f t="shared" si="78"/>
        <v>79622.880000000005</v>
      </c>
      <c r="BW149" s="17">
        <v>0.64</v>
      </c>
      <c r="BX149" s="17">
        <v>0.06</v>
      </c>
      <c r="BY149" s="17">
        <v>0.32</v>
      </c>
      <c r="BZ149" s="17">
        <v>0.06</v>
      </c>
      <c r="CA149" s="29">
        <v>6.33</v>
      </c>
      <c r="CB149" s="325"/>
      <c r="CC149" s="13">
        <v>10487.01</v>
      </c>
      <c r="CD149" s="13">
        <v>811.28</v>
      </c>
      <c r="CE149" s="13">
        <v>160.56</v>
      </c>
      <c r="CF149" s="13">
        <v>31.34</v>
      </c>
      <c r="CG149" s="13">
        <v>56.57</v>
      </c>
      <c r="CH149" s="13">
        <v>0</v>
      </c>
      <c r="CI149" s="13">
        <v>5049</v>
      </c>
      <c r="CJ149" s="13">
        <v>26664</v>
      </c>
      <c r="CK149" s="13">
        <v>1524.25</v>
      </c>
      <c r="CL149" s="13">
        <v>945862.76</v>
      </c>
      <c r="CM149" s="13">
        <v>29308.49</v>
      </c>
      <c r="CN149" s="13">
        <v>0</v>
      </c>
      <c r="CO149" s="13">
        <v>2617.13</v>
      </c>
      <c r="CP149" s="13">
        <v>2824.53</v>
      </c>
      <c r="CQ149" s="13">
        <v>0</v>
      </c>
      <c r="CR149" s="13">
        <v>898402.42</v>
      </c>
      <c r="CS149" s="13">
        <v>25592.21</v>
      </c>
      <c r="CT149" s="13">
        <v>9642.07</v>
      </c>
      <c r="CU149" s="13">
        <v>4863.5600000000004</v>
      </c>
      <c r="CV149" s="13">
        <v>3419.5</v>
      </c>
      <c r="CW149" s="13">
        <v>0</v>
      </c>
      <c r="CX149" s="13">
        <v>160556.28</v>
      </c>
      <c r="CY149" s="13">
        <v>4907.25</v>
      </c>
      <c r="CZ149" s="13">
        <v>-9953.86</v>
      </c>
      <c r="DA149" s="13">
        <v>939.33</v>
      </c>
      <c r="DB149" s="13">
        <v>596.9</v>
      </c>
      <c r="DC149" s="13"/>
      <c r="DD149" s="315">
        <v>980612.91</v>
      </c>
      <c r="DE149" s="317">
        <v>941919.76</v>
      </c>
      <c r="DF149" s="317">
        <v>96.05</v>
      </c>
      <c r="DG149" s="318">
        <v>157045.9</v>
      </c>
      <c r="DH149" s="310">
        <v>41644.199999999997</v>
      </c>
      <c r="DI149" s="310">
        <v>23816.76</v>
      </c>
      <c r="DJ149" s="312">
        <v>0</v>
      </c>
      <c r="DK149" s="362">
        <v>0</v>
      </c>
      <c r="DL149" s="362"/>
      <c r="DM149" s="362">
        <v>0</v>
      </c>
      <c r="DN149" s="362">
        <v>0</v>
      </c>
      <c r="DO149" s="362">
        <v>0</v>
      </c>
      <c r="DP149" s="362">
        <v>0</v>
      </c>
      <c r="DQ149" s="362">
        <v>0</v>
      </c>
      <c r="DR149" s="362"/>
      <c r="DS149" s="362">
        <v>0</v>
      </c>
      <c r="DT149" s="362"/>
      <c r="DU149" s="362">
        <v>0</v>
      </c>
      <c r="DV149" s="362">
        <v>0</v>
      </c>
      <c r="DW149" s="362">
        <v>0</v>
      </c>
      <c r="DX149" s="362">
        <v>0</v>
      </c>
      <c r="DY149" s="362">
        <v>0</v>
      </c>
      <c r="DZ149" s="375">
        <v>0</v>
      </c>
      <c r="EA149" s="362">
        <v>292938</v>
      </c>
      <c r="EB149" s="362">
        <v>8525</v>
      </c>
      <c r="EC149" s="362"/>
      <c r="ED149" s="362">
        <v>0</v>
      </c>
      <c r="EE149" s="362">
        <v>0</v>
      </c>
      <c r="EF149" s="362"/>
      <c r="EG149" s="362">
        <v>19668</v>
      </c>
      <c r="EH149" s="362">
        <v>43785</v>
      </c>
      <c r="EI149" s="362"/>
      <c r="EJ149" s="362">
        <v>17100</v>
      </c>
      <c r="EK149" s="362"/>
      <c r="EL149" s="362">
        <v>291126</v>
      </c>
      <c r="EM149" s="362">
        <v>5032.05</v>
      </c>
      <c r="EN149" s="362">
        <v>0</v>
      </c>
      <c r="EO149" s="362">
        <v>0</v>
      </c>
      <c r="EP149" s="362">
        <v>0</v>
      </c>
      <c r="EQ149" s="362">
        <v>0</v>
      </c>
      <c r="ER149" s="362">
        <v>16380</v>
      </c>
      <c r="ES149" s="362">
        <v>0</v>
      </c>
      <c r="ET149" s="362">
        <v>0</v>
      </c>
      <c r="EU149" s="362">
        <v>0</v>
      </c>
      <c r="EV149" s="362">
        <v>6234.96</v>
      </c>
      <c r="EW149" s="362"/>
      <c r="EX149" s="202"/>
      <c r="EY149" s="202"/>
      <c r="EZ149" s="229"/>
      <c r="FA149" s="368">
        <v>29989.52</v>
      </c>
      <c r="FB149" s="368">
        <v>0</v>
      </c>
      <c r="FC149" s="368">
        <v>0</v>
      </c>
      <c r="FD149" s="368">
        <v>0</v>
      </c>
      <c r="FE149" s="368">
        <v>3860.56</v>
      </c>
      <c r="FF149" s="368">
        <v>2942.22</v>
      </c>
      <c r="FG149" s="368">
        <v>0</v>
      </c>
      <c r="FH149" s="368">
        <v>-1014.01</v>
      </c>
      <c r="FI149" s="368">
        <v>0</v>
      </c>
      <c r="FJ149" s="368">
        <v>0</v>
      </c>
      <c r="FK149" s="368">
        <v>32190.02</v>
      </c>
      <c r="FL149" s="368">
        <v>0</v>
      </c>
      <c r="FM149" s="368">
        <v>105959.32</v>
      </c>
      <c r="FN149" s="368">
        <v>67373.89</v>
      </c>
      <c r="FO149" s="323">
        <v>939583.18</v>
      </c>
      <c r="FP149" s="323">
        <v>67968.31</v>
      </c>
      <c r="FQ149" s="323">
        <v>1007551.49</v>
      </c>
      <c r="FR149" s="338">
        <v>98693.38</v>
      </c>
      <c r="FS149" s="338">
        <v>4051.14</v>
      </c>
      <c r="FT149" s="377">
        <v>102744.52</v>
      </c>
      <c r="FU149" s="377">
        <v>988062.77</v>
      </c>
      <c r="FV149" s="377">
        <v>37334.15</v>
      </c>
      <c r="FW149" s="362">
        <v>1025396.92</v>
      </c>
      <c r="FX149" s="362">
        <v>926199.87</v>
      </c>
      <c r="FY149" s="362">
        <v>44895.67</v>
      </c>
      <c r="FZ149" s="362">
        <v>971095.54</v>
      </c>
      <c r="GA149" s="362">
        <v>160556.28</v>
      </c>
      <c r="GB149" s="362">
        <v>-3510.38</v>
      </c>
      <c r="GC149" s="362">
        <v>157045.9</v>
      </c>
      <c r="GD149" s="362">
        <v>-1977.25</v>
      </c>
      <c r="GE149" s="362">
        <v>8797.4</v>
      </c>
      <c r="GF149" s="362">
        <v>6820.15</v>
      </c>
      <c r="GG149" s="202"/>
      <c r="GH149" s="416">
        <v>91</v>
      </c>
      <c r="GI149" s="414">
        <v>2370</v>
      </c>
      <c r="GJ149" s="419">
        <v>11546.76</v>
      </c>
      <c r="GK149" s="396"/>
      <c r="GL149" s="202">
        <v>0</v>
      </c>
      <c r="GM149" s="202">
        <v>0</v>
      </c>
      <c r="GN149" s="323">
        <v>48479.59</v>
      </c>
      <c r="GO149" s="323">
        <v>-30634.16</v>
      </c>
      <c r="GP149" s="323">
        <v>17845.43</v>
      </c>
      <c r="GQ149" s="323">
        <v>46502.34</v>
      </c>
      <c r="GR149" s="323">
        <v>-21836.76</v>
      </c>
      <c r="GS149" s="323">
        <v>24665.58</v>
      </c>
    </row>
    <row r="150" spans="1:201" ht="12.75" customHeight="1" x14ac:dyDescent="0.2">
      <c r="A150" s="45" t="s">
        <v>220</v>
      </c>
      <c r="B150" s="141" t="s">
        <v>184</v>
      </c>
      <c r="C150" s="142" t="s">
        <v>32</v>
      </c>
      <c r="D150" s="388" t="s">
        <v>462</v>
      </c>
      <c r="E150" s="142" t="s">
        <v>12</v>
      </c>
      <c r="F150" s="11">
        <v>5</v>
      </c>
      <c r="G150" s="11">
        <v>6</v>
      </c>
      <c r="H150" s="11">
        <v>90</v>
      </c>
      <c r="I150" s="11">
        <v>90</v>
      </c>
      <c r="J150" s="11">
        <v>192</v>
      </c>
      <c r="K150" s="11">
        <v>229</v>
      </c>
      <c r="L150" s="11" t="s">
        <v>746</v>
      </c>
      <c r="M150" s="84">
        <v>416</v>
      </c>
      <c r="N150" s="84">
        <v>1287</v>
      </c>
      <c r="O150" s="84">
        <v>0</v>
      </c>
      <c r="P150" s="135">
        <v>404.5</v>
      </c>
      <c r="Q150" s="135">
        <v>1005.3</v>
      </c>
      <c r="R150" s="133">
        <v>0</v>
      </c>
      <c r="S150" s="133">
        <f t="shared" si="79"/>
        <v>1409.8</v>
      </c>
      <c r="T150" s="134">
        <v>404.5</v>
      </c>
      <c r="U150" s="130">
        <v>1.53</v>
      </c>
      <c r="V150" s="131">
        <v>1.9800000000000002E-2</v>
      </c>
      <c r="W150" s="131">
        <v>1.9800000000000002E-2</v>
      </c>
      <c r="X150" s="132">
        <v>1.2199999999999999E-3</v>
      </c>
      <c r="Y150" s="131">
        <v>3.95E-2</v>
      </c>
      <c r="Z150" s="29">
        <v>3938.1</v>
      </c>
      <c r="AA150" s="29"/>
      <c r="AB150" s="9">
        <f t="shared" si="57"/>
        <v>3938.1</v>
      </c>
      <c r="AC150" s="9">
        <f t="shared" si="55"/>
        <v>24928.17</v>
      </c>
      <c r="AD150" s="9">
        <v>0.46</v>
      </c>
      <c r="AE150" s="9">
        <v>4.33</v>
      </c>
      <c r="AF150" s="21">
        <f>2.41-AJ150</f>
        <v>2.1</v>
      </c>
      <c r="AG150" s="18">
        <f>0.57-AQ150</f>
        <v>0.46</v>
      </c>
      <c r="AH150" s="9">
        <v>2.78</v>
      </c>
      <c r="AI150" s="43">
        <v>1236</v>
      </c>
      <c r="AJ150" s="21">
        <f t="shared" si="58"/>
        <v>0.31</v>
      </c>
      <c r="AK150" s="9">
        <v>0</v>
      </c>
      <c r="AL150" s="9">
        <v>0</v>
      </c>
      <c r="AM150" s="9">
        <v>0</v>
      </c>
      <c r="AN150" s="13"/>
      <c r="AO150" s="13">
        <v>901.8</v>
      </c>
      <c r="AP150" s="13">
        <f t="shared" si="80"/>
        <v>5.58</v>
      </c>
      <c r="AQ150" s="18">
        <f t="shared" si="56"/>
        <v>0.11</v>
      </c>
      <c r="AR150" s="9">
        <v>0.8</v>
      </c>
      <c r="AS150" s="9">
        <v>0.35</v>
      </c>
      <c r="AT150" s="9">
        <v>7.0000000000000007E-2</v>
      </c>
      <c r="AU150" s="9">
        <v>4.5</v>
      </c>
      <c r="AV150" s="9">
        <v>0.12</v>
      </c>
      <c r="AW150" s="9">
        <f>1.05+0.4+0.32</f>
        <v>1.77</v>
      </c>
      <c r="AX150" s="9">
        <f>1.44+0.53</f>
        <v>1.97</v>
      </c>
      <c r="AY150" s="144">
        <f t="shared" si="81"/>
        <v>20.13</v>
      </c>
      <c r="AZ150" s="13">
        <v>20.13</v>
      </c>
      <c r="BA150" s="13">
        <f t="shared" si="59"/>
        <v>0</v>
      </c>
      <c r="BB150" s="9">
        <f t="shared" si="60"/>
        <v>79273.95</v>
      </c>
      <c r="BC150" s="9">
        <v>20.13</v>
      </c>
      <c r="BD150" s="10">
        <v>44409</v>
      </c>
      <c r="BE150" s="9">
        <f t="shared" si="61"/>
        <v>1811.53</v>
      </c>
      <c r="BF150" s="9">
        <f t="shared" si="62"/>
        <v>17051.97</v>
      </c>
      <c r="BG150" s="9">
        <f t="shared" si="63"/>
        <v>8270.01</v>
      </c>
      <c r="BH150" s="9">
        <f t="shared" si="64"/>
        <v>1811.53</v>
      </c>
      <c r="BI150" s="9">
        <f t="shared" si="65"/>
        <v>10947.92</v>
      </c>
      <c r="BJ150" s="9">
        <f t="shared" si="66"/>
        <v>1220.81</v>
      </c>
      <c r="BK150" s="9">
        <f t="shared" si="67"/>
        <v>0</v>
      </c>
      <c r="BL150" s="9">
        <f t="shared" si="68"/>
        <v>0</v>
      </c>
      <c r="BM150" s="9">
        <f t="shared" si="69"/>
        <v>0</v>
      </c>
      <c r="BN150" s="9">
        <f t="shared" si="70"/>
        <v>433.19</v>
      </c>
      <c r="BO150" s="9">
        <f t="shared" si="71"/>
        <v>3150.48</v>
      </c>
      <c r="BP150" s="9">
        <f t="shared" si="72"/>
        <v>1378.34</v>
      </c>
      <c r="BQ150" s="9">
        <f t="shared" si="73"/>
        <v>275.67</v>
      </c>
      <c r="BR150" s="9">
        <f t="shared" si="74"/>
        <v>17721.45</v>
      </c>
      <c r="BS150" s="9">
        <f t="shared" si="75"/>
        <v>472.57</v>
      </c>
      <c r="BT150" s="9">
        <f t="shared" si="76"/>
        <v>6970.44</v>
      </c>
      <c r="BU150" s="9">
        <f t="shared" si="77"/>
        <v>7758.06</v>
      </c>
      <c r="BV150" s="17">
        <f t="shared" si="78"/>
        <v>79273.97</v>
      </c>
      <c r="BW150" s="17">
        <v>0.55000000000000004</v>
      </c>
      <c r="BX150" s="17">
        <v>0.05</v>
      </c>
      <c r="BY150" s="17">
        <v>0.28000000000000003</v>
      </c>
      <c r="BZ150" s="17">
        <v>0.06</v>
      </c>
      <c r="CA150" s="29">
        <v>6.33</v>
      </c>
      <c r="CB150" s="325"/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H150" s="13">
        <v>0</v>
      </c>
      <c r="CI150" s="13">
        <v>4860.53</v>
      </c>
      <c r="CJ150" s="13">
        <v>38856</v>
      </c>
      <c r="CK150" s="13">
        <v>1514.55</v>
      </c>
      <c r="CL150" s="13">
        <v>951287.88</v>
      </c>
      <c r="CM150" s="13">
        <v>23155.91</v>
      </c>
      <c r="CN150" s="13">
        <v>0</v>
      </c>
      <c r="CO150" s="13">
        <v>2558.91</v>
      </c>
      <c r="CP150" s="13">
        <v>2835.12</v>
      </c>
      <c r="CQ150" s="13">
        <v>0</v>
      </c>
      <c r="CR150" s="13">
        <v>829066.95</v>
      </c>
      <c r="CS150" s="13">
        <v>18876.21</v>
      </c>
      <c r="CT150" s="13">
        <v>713.22</v>
      </c>
      <c r="CU150" s="13">
        <v>2107.96</v>
      </c>
      <c r="CV150" s="13">
        <v>2471.62</v>
      </c>
      <c r="CW150" s="13">
        <v>0</v>
      </c>
      <c r="CX150" s="13">
        <v>230311.01</v>
      </c>
      <c r="CY150" s="13">
        <v>4963.03</v>
      </c>
      <c r="CZ150" s="13">
        <v>-1127.6600000000001</v>
      </c>
      <c r="DA150" s="13">
        <v>644.23</v>
      </c>
      <c r="DB150" s="13">
        <v>686.55</v>
      </c>
      <c r="DC150" s="13"/>
      <c r="DD150" s="315">
        <v>979837.82</v>
      </c>
      <c r="DE150" s="317">
        <v>853235.96</v>
      </c>
      <c r="DF150" s="317">
        <v>87.08</v>
      </c>
      <c r="DG150" s="318">
        <v>235477.16</v>
      </c>
      <c r="DH150" s="310">
        <v>41379.360000000001</v>
      </c>
      <c r="DI150" s="310">
        <v>23665.32</v>
      </c>
      <c r="DJ150" s="312">
        <v>0</v>
      </c>
      <c r="DK150" s="362">
        <v>0</v>
      </c>
      <c r="DL150" s="362"/>
      <c r="DM150" s="362">
        <v>0</v>
      </c>
      <c r="DN150" s="362">
        <v>0</v>
      </c>
      <c r="DO150" s="362">
        <v>0</v>
      </c>
      <c r="DP150" s="362">
        <v>0</v>
      </c>
      <c r="DQ150" s="362">
        <v>0</v>
      </c>
      <c r="DR150" s="362"/>
      <c r="DS150" s="362">
        <v>0</v>
      </c>
      <c r="DT150" s="362"/>
      <c r="DU150" s="362">
        <v>0</v>
      </c>
      <c r="DV150" s="362">
        <v>0</v>
      </c>
      <c r="DW150" s="362">
        <v>0</v>
      </c>
      <c r="DX150" s="362">
        <v>0</v>
      </c>
      <c r="DY150" s="362">
        <v>0</v>
      </c>
      <c r="DZ150" s="375">
        <v>0</v>
      </c>
      <c r="EA150" s="362">
        <v>261546</v>
      </c>
      <c r="EB150" s="362">
        <v>8100</v>
      </c>
      <c r="EC150" s="362"/>
      <c r="ED150" s="362">
        <v>0</v>
      </c>
      <c r="EE150" s="362">
        <v>0</v>
      </c>
      <c r="EF150" s="362"/>
      <c r="EG150" s="362">
        <v>19668</v>
      </c>
      <c r="EH150" s="362">
        <v>43785</v>
      </c>
      <c r="EI150" s="362"/>
      <c r="EJ150" s="362">
        <v>17100</v>
      </c>
      <c r="EK150" s="362"/>
      <c r="EL150" s="362">
        <v>284634</v>
      </c>
      <c r="EM150" s="362">
        <v>5032.05</v>
      </c>
      <c r="EN150" s="362">
        <v>0</v>
      </c>
      <c r="EO150" s="362">
        <v>0</v>
      </c>
      <c r="EP150" s="362">
        <v>0</v>
      </c>
      <c r="EQ150" s="362">
        <v>0</v>
      </c>
      <c r="ER150" s="362">
        <v>12285</v>
      </c>
      <c r="ES150" s="362">
        <v>0</v>
      </c>
      <c r="ET150" s="362">
        <v>14628</v>
      </c>
      <c r="EU150" s="362">
        <v>0</v>
      </c>
      <c r="EV150" s="362">
        <v>59694.99</v>
      </c>
      <c r="EW150" s="362"/>
      <c r="EX150" s="202"/>
      <c r="EY150" s="202"/>
      <c r="EZ150" s="229"/>
      <c r="FA150" s="368">
        <v>23478.2</v>
      </c>
      <c r="FB150" s="368">
        <v>0</v>
      </c>
      <c r="FC150" s="368">
        <v>0</v>
      </c>
      <c r="FD150" s="368">
        <v>0</v>
      </c>
      <c r="FE150" s="368">
        <v>2682.81</v>
      </c>
      <c r="FF150" s="368">
        <v>2870.62</v>
      </c>
      <c r="FG150" s="368">
        <v>0</v>
      </c>
      <c r="FH150" s="368">
        <v>-1007.56</v>
      </c>
      <c r="FI150" s="368">
        <v>0</v>
      </c>
      <c r="FJ150" s="368">
        <v>0</v>
      </c>
      <c r="FK150" s="368">
        <v>0</v>
      </c>
      <c r="FL150" s="368">
        <v>0</v>
      </c>
      <c r="FM150" s="368">
        <v>105285.36</v>
      </c>
      <c r="FN150" s="368">
        <v>66945.34</v>
      </c>
      <c r="FO150" s="323">
        <v>963748.42</v>
      </c>
      <c r="FP150" s="323">
        <v>28024.07</v>
      </c>
      <c r="FQ150" s="323">
        <v>991772.49</v>
      </c>
      <c r="FR150" s="338">
        <v>113450.56</v>
      </c>
      <c r="FS150" s="338">
        <v>1731.18</v>
      </c>
      <c r="FT150" s="377">
        <v>115181.74</v>
      </c>
      <c r="FU150" s="377">
        <v>995004.41</v>
      </c>
      <c r="FV150" s="377">
        <v>30064.49</v>
      </c>
      <c r="FW150" s="362">
        <v>1025068.9</v>
      </c>
      <c r="FX150" s="362">
        <v>878143.96</v>
      </c>
      <c r="FY150" s="362">
        <v>26629.52</v>
      </c>
      <c r="FZ150" s="362">
        <v>904773.48</v>
      </c>
      <c r="GA150" s="362">
        <v>230311.01</v>
      </c>
      <c r="GB150" s="362">
        <v>5166.1499999999996</v>
      </c>
      <c r="GC150" s="362">
        <v>235477.16</v>
      </c>
      <c r="GD150" s="362">
        <v>35568.769999999997</v>
      </c>
      <c r="GE150" s="362">
        <v>7446.31</v>
      </c>
      <c r="GF150" s="362">
        <v>43015.08</v>
      </c>
      <c r="GG150" s="202"/>
      <c r="GH150" s="416"/>
      <c r="GI150" s="414">
        <v>3386</v>
      </c>
      <c r="GJ150" s="419">
        <v>0</v>
      </c>
      <c r="GK150" s="396"/>
      <c r="GL150" s="202">
        <v>0</v>
      </c>
      <c r="GM150" s="202">
        <v>0</v>
      </c>
      <c r="GN150" s="323">
        <v>31255.99</v>
      </c>
      <c r="GO150" s="323">
        <v>2040.42</v>
      </c>
      <c r="GP150" s="323">
        <v>33296.410000000003</v>
      </c>
      <c r="GQ150" s="323">
        <v>66824.759999999995</v>
      </c>
      <c r="GR150" s="323">
        <v>9486.73</v>
      </c>
      <c r="GS150" s="323">
        <v>76311.490000000005</v>
      </c>
    </row>
    <row r="151" spans="1:201" ht="12.75" customHeight="1" x14ac:dyDescent="0.2">
      <c r="A151" s="45" t="s">
        <v>222</v>
      </c>
      <c r="B151" s="123" t="s">
        <v>184</v>
      </c>
      <c r="C151" s="124" t="s">
        <v>34</v>
      </c>
      <c r="D151" s="390" t="s">
        <v>641</v>
      </c>
      <c r="E151" s="124"/>
      <c r="F151" s="11">
        <v>9</v>
      </c>
      <c r="G151" s="11">
        <v>1</v>
      </c>
      <c r="H151" s="11">
        <v>54</v>
      </c>
      <c r="I151" s="11">
        <v>55</v>
      </c>
      <c r="J151" s="11">
        <v>102</v>
      </c>
      <c r="K151" s="11">
        <v>101</v>
      </c>
      <c r="L151" s="83">
        <v>1</v>
      </c>
      <c r="M151" s="84">
        <v>242</v>
      </c>
      <c r="N151" s="84">
        <v>410</v>
      </c>
      <c r="O151" s="84">
        <v>410</v>
      </c>
      <c r="P151" s="135">
        <v>293.8</v>
      </c>
      <c r="Q151" s="135">
        <v>237.9</v>
      </c>
      <c r="R151" s="133">
        <v>399.4</v>
      </c>
      <c r="S151" s="133">
        <f t="shared" si="79"/>
        <v>931.1</v>
      </c>
      <c r="T151" s="134">
        <v>294.10000000000002</v>
      </c>
      <c r="U151" s="130">
        <v>2.44</v>
      </c>
      <c r="V151" s="131">
        <v>1.9800000000000002E-2</v>
      </c>
      <c r="W151" s="131">
        <v>1.9800000000000002E-2</v>
      </c>
      <c r="X151" s="132">
        <v>1.32E-3</v>
      </c>
      <c r="Y151" s="131">
        <v>3.9699999999999999E-2</v>
      </c>
      <c r="Z151" s="29">
        <v>2289.41</v>
      </c>
      <c r="AA151" s="29"/>
      <c r="AB151" s="9">
        <f t="shared" si="57"/>
        <v>2289.41</v>
      </c>
      <c r="AC151" s="9">
        <f t="shared" si="55"/>
        <v>14491.97</v>
      </c>
      <c r="AD151" s="9">
        <v>1.46</v>
      </c>
      <c r="AE151" s="9">
        <v>4.51</v>
      </c>
      <c r="AF151" s="21">
        <f>2.43-AJ151</f>
        <v>2.2599999999999998</v>
      </c>
      <c r="AG151" s="18">
        <f>0.6-AQ151</f>
        <v>0.54</v>
      </c>
      <c r="AH151" s="9">
        <v>2.77</v>
      </c>
      <c r="AI151" s="43">
        <v>394</v>
      </c>
      <c r="AJ151" s="21">
        <f t="shared" si="58"/>
        <v>0.17</v>
      </c>
      <c r="AK151" s="9">
        <v>1.88</v>
      </c>
      <c r="AL151" s="9">
        <v>0.51</v>
      </c>
      <c r="AM151" s="9">
        <v>0.25</v>
      </c>
      <c r="AN151" s="13"/>
      <c r="AO151" s="13">
        <v>305.89999999999998</v>
      </c>
      <c r="AP151" s="13">
        <f t="shared" si="80"/>
        <v>5.58</v>
      </c>
      <c r="AQ151" s="18">
        <f t="shared" si="56"/>
        <v>0.06</v>
      </c>
      <c r="AR151" s="9">
        <v>0.75</v>
      </c>
      <c r="AS151" s="9">
        <v>0.6</v>
      </c>
      <c r="AT151" s="9">
        <v>7.0000000000000007E-2</v>
      </c>
      <c r="AU151" s="9">
        <v>4.09</v>
      </c>
      <c r="AV151" s="9">
        <v>0.17</v>
      </c>
      <c r="AW151" s="9">
        <f>1.42+0.36+0.33</f>
        <v>2.11</v>
      </c>
      <c r="AX151" s="9">
        <f>2.02+0.49</f>
        <v>2.5099999999999998</v>
      </c>
      <c r="AY151" s="126">
        <f t="shared" si="81"/>
        <v>24.71</v>
      </c>
      <c r="AZ151" s="13">
        <v>24.71</v>
      </c>
      <c r="BA151" s="13">
        <f t="shared" si="59"/>
        <v>0</v>
      </c>
      <c r="BB151" s="9">
        <f t="shared" si="60"/>
        <v>56571.32</v>
      </c>
      <c r="BC151" s="9">
        <v>24.71</v>
      </c>
      <c r="BD151" s="10">
        <v>44440</v>
      </c>
      <c r="BE151" s="9">
        <f t="shared" si="61"/>
        <v>3342.54</v>
      </c>
      <c r="BF151" s="9">
        <f t="shared" si="62"/>
        <v>10325.24</v>
      </c>
      <c r="BG151" s="9">
        <f t="shared" si="63"/>
        <v>5174.07</v>
      </c>
      <c r="BH151" s="9">
        <f t="shared" si="64"/>
        <v>1236.28</v>
      </c>
      <c r="BI151" s="9">
        <f t="shared" si="65"/>
        <v>6341.67</v>
      </c>
      <c r="BJ151" s="9">
        <f t="shared" si="66"/>
        <v>389.2</v>
      </c>
      <c r="BK151" s="9">
        <f t="shared" si="67"/>
        <v>4304.09</v>
      </c>
      <c r="BL151" s="9">
        <f t="shared" si="68"/>
        <v>1167.5999999999999</v>
      </c>
      <c r="BM151" s="9">
        <f t="shared" si="69"/>
        <v>572.35</v>
      </c>
      <c r="BN151" s="9">
        <f t="shared" si="70"/>
        <v>137.36000000000001</v>
      </c>
      <c r="BO151" s="9">
        <f t="shared" si="71"/>
        <v>1717.06</v>
      </c>
      <c r="BP151" s="9">
        <f t="shared" si="72"/>
        <v>1373.65</v>
      </c>
      <c r="BQ151" s="9">
        <f t="shared" si="73"/>
        <v>160.26</v>
      </c>
      <c r="BR151" s="9">
        <f t="shared" si="74"/>
        <v>9363.69</v>
      </c>
      <c r="BS151" s="9">
        <f t="shared" si="75"/>
        <v>389.2</v>
      </c>
      <c r="BT151" s="9">
        <f t="shared" si="76"/>
        <v>4830.66</v>
      </c>
      <c r="BU151" s="9">
        <f t="shared" si="77"/>
        <v>5746.42</v>
      </c>
      <c r="BV151" s="17">
        <f t="shared" si="78"/>
        <v>56571.34</v>
      </c>
      <c r="BW151" s="17">
        <v>2.2799999999999998</v>
      </c>
      <c r="BX151" s="17">
        <v>7.0000000000000007E-2</v>
      </c>
      <c r="BY151" s="17">
        <v>0.43</v>
      </c>
      <c r="BZ151" s="17">
        <v>0.08</v>
      </c>
      <c r="CA151" s="29">
        <v>6.33</v>
      </c>
      <c r="CB151" s="325"/>
      <c r="CC151" s="13">
        <v>0</v>
      </c>
      <c r="CD151" s="13">
        <v>0</v>
      </c>
      <c r="CE151" s="13">
        <v>0</v>
      </c>
      <c r="CF151" s="13">
        <v>0</v>
      </c>
      <c r="CG151" s="13">
        <v>0</v>
      </c>
      <c r="CH151" s="13">
        <v>0</v>
      </c>
      <c r="CI151" s="13">
        <v>2975.56</v>
      </c>
      <c r="CJ151" s="13">
        <v>31260</v>
      </c>
      <c r="CK151" s="13">
        <v>880.48</v>
      </c>
      <c r="CL151" s="13">
        <v>677988.49</v>
      </c>
      <c r="CM151" s="13">
        <v>21245.72</v>
      </c>
      <c r="CN151" s="13">
        <v>66598.98</v>
      </c>
      <c r="CO151" s="13">
        <v>5334.46</v>
      </c>
      <c r="CP151" s="13">
        <v>3846.45</v>
      </c>
      <c r="CQ151" s="13">
        <v>0</v>
      </c>
      <c r="CR151" s="13">
        <v>642300.09</v>
      </c>
      <c r="CS151" s="13">
        <v>19062.5</v>
      </c>
      <c r="CT151" s="13">
        <v>64277.04</v>
      </c>
      <c r="CU151" s="13">
        <v>4907.96</v>
      </c>
      <c r="CV151" s="13">
        <v>3478.76</v>
      </c>
      <c r="CW151" s="13">
        <v>0</v>
      </c>
      <c r="CX151" s="13">
        <v>84964.55</v>
      </c>
      <c r="CY151" s="13">
        <v>110.36</v>
      </c>
      <c r="CZ151" s="13">
        <v>4059.26</v>
      </c>
      <c r="DA151" s="13">
        <v>726.87</v>
      </c>
      <c r="DB151" s="13">
        <v>443.24</v>
      </c>
      <c r="DC151" s="13"/>
      <c r="DD151" s="315">
        <v>775014.1</v>
      </c>
      <c r="DE151" s="317">
        <v>734026.35</v>
      </c>
      <c r="DF151" s="317">
        <v>94.71</v>
      </c>
      <c r="DG151" s="318">
        <v>90304.28</v>
      </c>
      <c r="DH151" s="310">
        <v>24055.8</v>
      </c>
      <c r="DI151" s="310">
        <v>13757.76</v>
      </c>
      <c r="DJ151" s="312">
        <v>0</v>
      </c>
      <c r="DK151" s="362">
        <v>0</v>
      </c>
      <c r="DL151" s="362"/>
      <c r="DM151" s="362">
        <v>0</v>
      </c>
      <c r="DN151" s="362">
        <v>0</v>
      </c>
      <c r="DO151" s="362">
        <v>0</v>
      </c>
      <c r="DP151" s="362">
        <v>0</v>
      </c>
      <c r="DQ151" s="362">
        <v>0</v>
      </c>
      <c r="DR151" s="362"/>
      <c r="DS151" s="362">
        <v>0</v>
      </c>
      <c r="DT151" s="362"/>
      <c r="DU151" s="362">
        <v>0</v>
      </c>
      <c r="DV151" s="362">
        <v>0</v>
      </c>
      <c r="DW151" s="362">
        <v>50906.45</v>
      </c>
      <c r="DX151" s="362">
        <v>0</v>
      </c>
      <c r="DY151" s="362">
        <v>4500</v>
      </c>
      <c r="DZ151" s="375">
        <v>0</v>
      </c>
      <c r="EA151" s="362">
        <v>189276</v>
      </c>
      <c r="EB151" s="362">
        <v>8100</v>
      </c>
      <c r="EC151" s="362"/>
      <c r="ED151" s="362">
        <v>0</v>
      </c>
      <c r="EE151" s="362">
        <v>0</v>
      </c>
      <c r="EF151" s="362"/>
      <c r="EG151" s="362">
        <v>6270</v>
      </c>
      <c r="EH151" s="362">
        <v>0</v>
      </c>
      <c r="EI151" s="362"/>
      <c r="EJ151" s="362">
        <v>0</v>
      </c>
      <c r="EK151" s="362"/>
      <c r="EL151" s="362">
        <v>166446</v>
      </c>
      <c r="EM151" s="362">
        <v>1706.91</v>
      </c>
      <c r="EN151" s="362">
        <v>0</v>
      </c>
      <c r="EO151" s="362">
        <v>0</v>
      </c>
      <c r="EP151" s="362">
        <v>0</v>
      </c>
      <c r="EQ151" s="362">
        <v>0</v>
      </c>
      <c r="ER151" s="362">
        <v>13650</v>
      </c>
      <c r="ES151" s="362">
        <v>2308</v>
      </c>
      <c r="ET151" s="362">
        <v>6794</v>
      </c>
      <c r="EU151" s="362">
        <v>0</v>
      </c>
      <c r="EV151" s="362">
        <v>168839</v>
      </c>
      <c r="EW151" s="362"/>
      <c r="EX151" s="202"/>
      <c r="EY151" s="202"/>
      <c r="EZ151" s="229"/>
      <c r="FA151" s="368">
        <v>21543.41</v>
      </c>
      <c r="FB151" s="368">
        <v>9167.2800000000007</v>
      </c>
      <c r="FC151" s="368">
        <v>0</v>
      </c>
      <c r="FD151" s="368">
        <v>0</v>
      </c>
      <c r="FE151" s="368">
        <v>5822.72</v>
      </c>
      <c r="FF151" s="368">
        <v>3949.46</v>
      </c>
      <c r="FG151" s="368">
        <v>0</v>
      </c>
      <c r="FH151" s="368">
        <v>-613.21</v>
      </c>
      <c r="FI151" s="368">
        <v>0</v>
      </c>
      <c r="FJ151" s="368">
        <v>0</v>
      </c>
      <c r="FK151" s="368">
        <v>45620.36</v>
      </c>
      <c r="FL151" s="368">
        <v>0</v>
      </c>
      <c r="FM151" s="368">
        <v>61207.51</v>
      </c>
      <c r="FN151" s="368">
        <v>38918.6</v>
      </c>
      <c r="FO151" s="323">
        <v>756736.03</v>
      </c>
      <c r="FP151" s="323">
        <v>85490.02</v>
      </c>
      <c r="FQ151" s="323">
        <v>842226.05</v>
      </c>
      <c r="FR151" s="338">
        <v>64452.63</v>
      </c>
      <c r="FS151" s="338">
        <v>432.07</v>
      </c>
      <c r="FT151" s="377">
        <v>64884.7</v>
      </c>
      <c r="FU151" s="377">
        <v>712224.05</v>
      </c>
      <c r="FV151" s="377">
        <v>97906.09</v>
      </c>
      <c r="FW151" s="362">
        <v>810130.14</v>
      </c>
      <c r="FX151" s="362">
        <v>691712.13</v>
      </c>
      <c r="FY151" s="362">
        <v>92998.43</v>
      </c>
      <c r="FZ151" s="362">
        <v>784710.56</v>
      </c>
      <c r="GA151" s="362">
        <v>84964.55</v>
      </c>
      <c r="GB151" s="362">
        <v>5339.73</v>
      </c>
      <c r="GC151" s="362">
        <v>90304.28</v>
      </c>
      <c r="GD151" s="362">
        <v>-20890.52</v>
      </c>
      <c r="GE151" s="362">
        <v>-30846.78</v>
      </c>
      <c r="GF151" s="362">
        <v>-51737.3</v>
      </c>
      <c r="GG151" s="202"/>
      <c r="GH151" s="416"/>
      <c r="GI151" s="414">
        <v>3471</v>
      </c>
      <c r="GJ151" s="419">
        <v>0</v>
      </c>
      <c r="GK151" s="396"/>
      <c r="GL151" s="202">
        <v>0</v>
      </c>
      <c r="GM151" s="202">
        <v>0</v>
      </c>
      <c r="GN151" s="323">
        <v>-44511.98</v>
      </c>
      <c r="GO151" s="323">
        <v>12416.07</v>
      </c>
      <c r="GP151" s="323">
        <v>-32095.91</v>
      </c>
      <c r="GQ151" s="323">
        <v>-65402.5</v>
      </c>
      <c r="GR151" s="323">
        <v>-18430.71</v>
      </c>
      <c r="GS151" s="323">
        <v>-83833.210000000006</v>
      </c>
    </row>
    <row r="152" spans="1:201" ht="12.75" customHeight="1" x14ac:dyDescent="0.2">
      <c r="A152" s="45" t="s">
        <v>223</v>
      </c>
      <c r="B152" s="141" t="s">
        <v>184</v>
      </c>
      <c r="C152" s="142" t="s">
        <v>37</v>
      </c>
      <c r="D152" s="388" t="s">
        <v>463</v>
      </c>
      <c r="E152" s="142" t="s">
        <v>12</v>
      </c>
      <c r="F152" s="11">
        <v>5</v>
      </c>
      <c r="G152" s="11">
        <v>6</v>
      </c>
      <c r="H152" s="11">
        <v>90</v>
      </c>
      <c r="I152" s="11">
        <v>90</v>
      </c>
      <c r="J152" s="11">
        <v>196</v>
      </c>
      <c r="K152" s="11">
        <v>237</v>
      </c>
      <c r="L152" s="11" t="s">
        <v>746</v>
      </c>
      <c r="M152" s="84">
        <v>407</v>
      </c>
      <c r="N152" s="84">
        <v>1287</v>
      </c>
      <c r="O152" s="84">
        <v>0</v>
      </c>
      <c r="P152" s="135">
        <v>405</v>
      </c>
      <c r="Q152" s="135">
        <v>1005.3</v>
      </c>
      <c r="R152" s="133">
        <v>0</v>
      </c>
      <c r="S152" s="133">
        <f t="shared" si="79"/>
        <v>1410.3</v>
      </c>
      <c r="T152" s="134">
        <v>407</v>
      </c>
      <c r="U152" s="130">
        <v>1.53</v>
      </c>
      <c r="V152" s="131">
        <v>1.9800000000000002E-2</v>
      </c>
      <c r="W152" s="131">
        <v>1.9800000000000002E-2</v>
      </c>
      <c r="X152" s="132">
        <v>1.2199999999999999E-3</v>
      </c>
      <c r="Y152" s="131">
        <v>3.95E-2</v>
      </c>
      <c r="Z152" s="29">
        <v>3875.97</v>
      </c>
      <c r="AA152" s="29">
        <v>58.4</v>
      </c>
      <c r="AB152" s="9">
        <f t="shared" si="57"/>
        <v>3934.37</v>
      </c>
      <c r="AC152" s="9">
        <f t="shared" si="55"/>
        <v>24904.560000000001</v>
      </c>
      <c r="AD152" s="9">
        <v>0.52</v>
      </c>
      <c r="AE152" s="9">
        <v>4.18</v>
      </c>
      <c r="AF152" s="21">
        <f>2.5-AJ152</f>
        <v>2.19</v>
      </c>
      <c r="AG152" s="18">
        <f>0.57-AQ152</f>
        <v>0.46</v>
      </c>
      <c r="AH152" s="9">
        <v>2.78</v>
      </c>
      <c r="AI152" s="43">
        <v>1236</v>
      </c>
      <c r="AJ152" s="21">
        <f t="shared" si="58"/>
        <v>0.31</v>
      </c>
      <c r="AK152" s="9">
        <v>0</v>
      </c>
      <c r="AL152" s="9">
        <v>0</v>
      </c>
      <c r="AM152" s="9">
        <v>0</v>
      </c>
      <c r="AN152" s="13"/>
      <c r="AO152" s="13">
        <v>901.8</v>
      </c>
      <c r="AP152" s="13">
        <f t="shared" si="80"/>
        <v>5.58</v>
      </c>
      <c r="AQ152" s="18">
        <f t="shared" si="56"/>
        <v>0.11</v>
      </c>
      <c r="AR152" s="9">
        <v>0.8</v>
      </c>
      <c r="AS152" s="9">
        <v>0.35</v>
      </c>
      <c r="AT152" s="9">
        <v>7.0000000000000007E-2</v>
      </c>
      <c r="AU152" s="9">
        <v>4.55</v>
      </c>
      <c r="AV152" s="9">
        <v>0.12</v>
      </c>
      <c r="AW152" s="9">
        <f>1.05+0.4+0.32</f>
        <v>1.77</v>
      </c>
      <c r="AX152" s="9">
        <f>1.44+0.54</f>
        <v>1.98</v>
      </c>
      <c r="AY152" s="144">
        <f t="shared" si="81"/>
        <v>20.190000000000001</v>
      </c>
      <c r="AZ152" s="13">
        <v>20.190000000000001</v>
      </c>
      <c r="BA152" s="13">
        <f t="shared" si="59"/>
        <v>0</v>
      </c>
      <c r="BB152" s="9">
        <f t="shared" si="60"/>
        <v>79434.929999999993</v>
      </c>
      <c r="BC152" s="9">
        <v>20.190000000000001</v>
      </c>
      <c r="BD152" s="10">
        <v>44409</v>
      </c>
      <c r="BE152" s="9">
        <f t="shared" si="61"/>
        <v>2045.87</v>
      </c>
      <c r="BF152" s="9">
        <f t="shared" si="62"/>
        <v>16445.669999999998</v>
      </c>
      <c r="BG152" s="9">
        <f t="shared" si="63"/>
        <v>8616.27</v>
      </c>
      <c r="BH152" s="9">
        <f t="shared" si="64"/>
        <v>1809.81</v>
      </c>
      <c r="BI152" s="9">
        <f t="shared" si="65"/>
        <v>10937.55</v>
      </c>
      <c r="BJ152" s="9">
        <f t="shared" si="66"/>
        <v>1219.6500000000001</v>
      </c>
      <c r="BK152" s="9">
        <f t="shared" si="67"/>
        <v>0</v>
      </c>
      <c r="BL152" s="9">
        <f t="shared" si="68"/>
        <v>0</v>
      </c>
      <c r="BM152" s="9">
        <f t="shared" si="69"/>
        <v>0</v>
      </c>
      <c r="BN152" s="9">
        <f t="shared" si="70"/>
        <v>432.78</v>
      </c>
      <c r="BO152" s="9">
        <f t="shared" si="71"/>
        <v>3147.5</v>
      </c>
      <c r="BP152" s="9">
        <f t="shared" si="72"/>
        <v>1377.03</v>
      </c>
      <c r="BQ152" s="9">
        <f t="shared" si="73"/>
        <v>275.41000000000003</v>
      </c>
      <c r="BR152" s="9">
        <f t="shared" si="74"/>
        <v>17901.38</v>
      </c>
      <c r="BS152" s="9">
        <f t="shared" si="75"/>
        <v>472.12</v>
      </c>
      <c r="BT152" s="9">
        <f t="shared" si="76"/>
        <v>6963.83</v>
      </c>
      <c r="BU152" s="9">
        <f t="shared" si="77"/>
        <v>7790.05</v>
      </c>
      <c r="BV152" s="17">
        <f t="shared" si="78"/>
        <v>79434.92</v>
      </c>
      <c r="BW152" s="17">
        <v>0.63</v>
      </c>
      <c r="BX152" s="17">
        <v>0.06</v>
      </c>
      <c r="BY152" s="17">
        <v>0.32</v>
      </c>
      <c r="BZ152" s="17">
        <v>0.06</v>
      </c>
      <c r="CA152" s="29">
        <v>6.33</v>
      </c>
      <c r="CB152" s="325"/>
      <c r="CC152" s="13">
        <v>14822.47</v>
      </c>
      <c r="CD152" s="13">
        <v>244.11</v>
      </c>
      <c r="CE152" s="13">
        <v>102.78</v>
      </c>
      <c r="CF152" s="13">
        <v>214.91</v>
      </c>
      <c r="CG152" s="13">
        <v>180.45</v>
      </c>
      <c r="CH152" s="13">
        <v>0</v>
      </c>
      <c r="CI152" s="13">
        <v>6345.13</v>
      </c>
      <c r="CJ152" s="13">
        <v>38856</v>
      </c>
      <c r="CK152" s="13">
        <v>1513.11</v>
      </c>
      <c r="CL152" s="13">
        <v>939070.08</v>
      </c>
      <c r="CM152" s="13">
        <v>15271.22</v>
      </c>
      <c r="CN152" s="13">
        <v>0</v>
      </c>
      <c r="CO152" s="13">
        <v>22054.240000000002</v>
      </c>
      <c r="CP152" s="13">
        <v>13217.16</v>
      </c>
      <c r="CQ152" s="13">
        <v>0</v>
      </c>
      <c r="CR152" s="13">
        <v>898471.67</v>
      </c>
      <c r="CS152" s="13">
        <v>13655.7</v>
      </c>
      <c r="CT152" s="13">
        <v>593.20000000000005</v>
      </c>
      <c r="CU152" s="13">
        <v>21492.44</v>
      </c>
      <c r="CV152" s="13">
        <v>13171.36</v>
      </c>
      <c r="CW152" s="13">
        <v>0</v>
      </c>
      <c r="CX152" s="13">
        <v>161816.4</v>
      </c>
      <c r="CY152" s="13">
        <v>694.79</v>
      </c>
      <c r="CZ152" s="13">
        <v>-1004.98</v>
      </c>
      <c r="DA152" s="13">
        <v>6167.37</v>
      </c>
      <c r="DB152" s="13">
        <v>3592.31</v>
      </c>
      <c r="DC152" s="13"/>
      <c r="DD152" s="315">
        <v>989612.7</v>
      </c>
      <c r="DE152" s="317">
        <v>947384.37</v>
      </c>
      <c r="DF152" s="317">
        <v>95.73</v>
      </c>
      <c r="DG152" s="318">
        <v>171265.89</v>
      </c>
      <c r="DH152" s="310">
        <v>40726.44</v>
      </c>
      <c r="DI152" s="310">
        <v>23291.88</v>
      </c>
      <c r="DJ152" s="312">
        <v>0</v>
      </c>
      <c r="DK152" s="362">
        <v>0</v>
      </c>
      <c r="DL152" s="362"/>
      <c r="DM152" s="362">
        <v>0</v>
      </c>
      <c r="DN152" s="362">
        <v>0</v>
      </c>
      <c r="DO152" s="362">
        <v>0</v>
      </c>
      <c r="DP152" s="362">
        <v>0</v>
      </c>
      <c r="DQ152" s="362">
        <v>0</v>
      </c>
      <c r="DR152" s="362"/>
      <c r="DS152" s="362">
        <v>0</v>
      </c>
      <c r="DT152" s="362"/>
      <c r="DU152" s="362">
        <v>0</v>
      </c>
      <c r="DV152" s="362">
        <v>0</v>
      </c>
      <c r="DW152" s="362">
        <v>0</v>
      </c>
      <c r="DX152" s="362">
        <v>0</v>
      </c>
      <c r="DY152" s="362">
        <v>0</v>
      </c>
      <c r="DZ152" s="375">
        <v>0</v>
      </c>
      <c r="EA152" s="362">
        <v>256644</v>
      </c>
      <c r="EB152" s="362">
        <v>8100</v>
      </c>
      <c r="EC152" s="362"/>
      <c r="ED152" s="362">
        <v>0</v>
      </c>
      <c r="EE152" s="362">
        <v>0</v>
      </c>
      <c r="EF152" s="362"/>
      <c r="EG152" s="362">
        <v>19668</v>
      </c>
      <c r="EH152" s="362">
        <v>61530</v>
      </c>
      <c r="EI152" s="362"/>
      <c r="EJ152" s="362">
        <v>22800</v>
      </c>
      <c r="EK152" s="362"/>
      <c r="EL152" s="362">
        <v>288834</v>
      </c>
      <c r="EM152" s="362">
        <v>5032.05</v>
      </c>
      <c r="EN152" s="362">
        <v>0</v>
      </c>
      <c r="EO152" s="362">
        <v>0</v>
      </c>
      <c r="EP152" s="362">
        <v>0</v>
      </c>
      <c r="EQ152" s="362">
        <v>0</v>
      </c>
      <c r="ER152" s="362">
        <v>16380</v>
      </c>
      <c r="ES152" s="362">
        <v>5193</v>
      </c>
      <c r="ET152" s="362">
        <v>14628</v>
      </c>
      <c r="EU152" s="362">
        <v>0</v>
      </c>
      <c r="EV152" s="362">
        <v>10585.22</v>
      </c>
      <c r="EW152" s="362"/>
      <c r="EX152" s="202"/>
      <c r="EY152" s="202"/>
      <c r="EZ152" s="229"/>
      <c r="FA152" s="368">
        <v>15536.25</v>
      </c>
      <c r="FB152" s="368">
        <v>0</v>
      </c>
      <c r="FC152" s="368">
        <v>0</v>
      </c>
      <c r="FD152" s="368">
        <v>0</v>
      </c>
      <c r="FE152" s="368">
        <v>20025.13</v>
      </c>
      <c r="FF152" s="368">
        <v>12308.99</v>
      </c>
      <c r="FG152" s="368">
        <v>-1648.46</v>
      </c>
      <c r="FH152" s="368">
        <v>-1907.63</v>
      </c>
      <c r="FI152" s="368">
        <v>0</v>
      </c>
      <c r="FJ152" s="368">
        <v>0</v>
      </c>
      <c r="FK152" s="368">
        <v>0</v>
      </c>
      <c r="FL152" s="368">
        <v>0</v>
      </c>
      <c r="FM152" s="368">
        <v>105185.62</v>
      </c>
      <c r="FN152" s="368">
        <v>66881.929999999993</v>
      </c>
      <c r="FO152" s="323">
        <v>945480.14</v>
      </c>
      <c r="FP152" s="323">
        <v>44314.28</v>
      </c>
      <c r="FQ152" s="323">
        <v>989794.42</v>
      </c>
      <c r="FR152" s="338">
        <v>104313.96</v>
      </c>
      <c r="FS152" s="338">
        <v>8238.7199999999993</v>
      </c>
      <c r="FT152" s="377">
        <v>112552.68</v>
      </c>
      <c r="FU152" s="377">
        <v>999093.68</v>
      </c>
      <c r="FV152" s="377">
        <v>52797.98</v>
      </c>
      <c r="FW152" s="362">
        <v>1051891.6599999999</v>
      </c>
      <c r="FX152" s="362">
        <v>935336.99</v>
      </c>
      <c r="FY152" s="362">
        <v>51258.04</v>
      </c>
      <c r="FZ152" s="362">
        <v>986595.03</v>
      </c>
      <c r="GA152" s="362">
        <v>168070.65</v>
      </c>
      <c r="GB152" s="362">
        <v>9778.66</v>
      </c>
      <c r="GC152" s="362">
        <v>177849.31</v>
      </c>
      <c r="GD152" s="362">
        <v>97628.04</v>
      </c>
      <c r="GE152" s="362">
        <v>4010.23</v>
      </c>
      <c r="GF152" s="362">
        <v>101638.27</v>
      </c>
      <c r="GG152" s="202">
        <v>6583.42</v>
      </c>
      <c r="GH152" s="416">
        <v>95</v>
      </c>
      <c r="GI152" s="414">
        <v>3386</v>
      </c>
      <c r="GJ152" s="419">
        <v>15564.72</v>
      </c>
      <c r="GK152" s="396">
        <v>6583.42</v>
      </c>
      <c r="GL152" s="202">
        <v>6254.2489999999998</v>
      </c>
      <c r="GM152" s="202">
        <v>329.17099999999999</v>
      </c>
      <c r="GN152" s="323">
        <v>53613.54</v>
      </c>
      <c r="GO152" s="323">
        <v>8483.7000000000007</v>
      </c>
      <c r="GP152" s="323">
        <v>62097.24</v>
      </c>
      <c r="GQ152" s="323">
        <v>151241.57999999999</v>
      </c>
      <c r="GR152" s="323">
        <v>12493.93</v>
      </c>
      <c r="GS152" s="323">
        <v>163735.51</v>
      </c>
    </row>
    <row r="153" spans="1:201" ht="12.75" customHeight="1" x14ac:dyDescent="0.2">
      <c r="A153" s="45" t="s">
        <v>224</v>
      </c>
      <c r="B153" s="123" t="s">
        <v>184</v>
      </c>
      <c r="C153" s="124" t="s">
        <v>106</v>
      </c>
      <c r="D153" s="388" t="s">
        <v>464</v>
      </c>
      <c r="E153" s="124" t="s">
        <v>12</v>
      </c>
      <c r="F153" s="11">
        <v>9</v>
      </c>
      <c r="G153" s="11">
        <v>1</v>
      </c>
      <c r="H153" s="11">
        <v>54</v>
      </c>
      <c r="I153" s="11">
        <v>55</v>
      </c>
      <c r="J153" s="11">
        <v>88</v>
      </c>
      <c r="K153" s="11">
        <v>118</v>
      </c>
      <c r="L153" s="83">
        <v>1</v>
      </c>
      <c r="M153" s="84">
        <v>251</v>
      </c>
      <c r="N153" s="84">
        <v>385</v>
      </c>
      <c r="O153" s="84">
        <v>385</v>
      </c>
      <c r="P153" s="135">
        <v>298.89999999999998</v>
      </c>
      <c r="Q153" s="135">
        <v>239.5</v>
      </c>
      <c r="R153" s="133">
        <v>227.2</v>
      </c>
      <c r="S153" s="133">
        <f t="shared" si="79"/>
        <v>765.6</v>
      </c>
      <c r="T153" s="134">
        <v>298.89999999999998</v>
      </c>
      <c r="U153" s="130">
        <v>2.44</v>
      </c>
      <c r="V153" s="131">
        <v>1.9800000000000002E-2</v>
      </c>
      <c r="W153" s="131">
        <v>1.9800000000000002E-2</v>
      </c>
      <c r="X153" s="132">
        <v>1.32E-3</v>
      </c>
      <c r="Y153" s="131">
        <v>3.9699999999999999E-2</v>
      </c>
      <c r="Z153" s="29">
        <v>2290.1999999999998</v>
      </c>
      <c r="AA153" s="29"/>
      <c r="AB153" s="9">
        <f t="shared" si="57"/>
        <v>2290.1999999999998</v>
      </c>
      <c r="AC153" s="9">
        <f t="shared" si="55"/>
        <v>14496.97</v>
      </c>
      <c r="AD153" s="9">
        <v>1.52</v>
      </c>
      <c r="AE153" s="9">
        <v>3.89</v>
      </c>
      <c r="AF153" s="21">
        <f>2.48-AJ153</f>
        <v>2.3199999999999998</v>
      </c>
      <c r="AG153" s="18">
        <f>0.6-AQ153</f>
        <v>0.54</v>
      </c>
      <c r="AH153" s="9">
        <v>2.77</v>
      </c>
      <c r="AI153" s="43">
        <v>370</v>
      </c>
      <c r="AJ153" s="21">
        <f t="shared" si="58"/>
        <v>0.16</v>
      </c>
      <c r="AK153" s="9">
        <v>1.9</v>
      </c>
      <c r="AL153" s="9">
        <v>0.17</v>
      </c>
      <c r="AM153" s="9">
        <v>0.26</v>
      </c>
      <c r="AN153" s="13"/>
      <c r="AO153" s="13">
        <v>305.89999999999998</v>
      </c>
      <c r="AP153" s="13">
        <f t="shared" si="80"/>
        <v>5.58</v>
      </c>
      <c r="AQ153" s="18">
        <f t="shared" si="56"/>
        <v>0.06</v>
      </c>
      <c r="AR153" s="9">
        <v>0.75</v>
      </c>
      <c r="AS153" s="9">
        <v>0.6</v>
      </c>
      <c r="AT153" s="9">
        <v>7.0000000000000007E-2</v>
      </c>
      <c r="AU153" s="9">
        <v>4.6399999999999997</v>
      </c>
      <c r="AV153" s="9">
        <v>0.16</v>
      </c>
      <c r="AW153" s="9">
        <f>1.35+0.33+0.41</f>
        <v>2.09</v>
      </c>
      <c r="AX153" s="9">
        <f>1.91+0.57</f>
        <v>2.48</v>
      </c>
      <c r="AY153" s="126">
        <f t="shared" si="81"/>
        <v>24.38</v>
      </c>
      <c r="AZ153" s="13">
        <v>24.38</v>
      </c>
      <c r="BA153" s="13">
        <f t="shared" si="59"/>
        <v>0</v>
      </c>
      <c r="BB153" s="9">
        <f t="shared" si="60"/>
        <v>55835.08</v>
      </c>
      <c r="BC153" s="9">
        <v>24.38</v>
      </c>
      <c r="BD153" s="10">
        <v>44409</v>
      </c>
      <c r="BE153" s="9">
        <f t="shared" si="61"/>
        <v>3481.1</v>
      </c>
      <c r="BF153" s="9">
        <f t="shared" si="62"/>
        <v>8908.8799999999992</v>
      </c>
      <c r="BG153" s="9">
        <f t="shared" si="63"/>
        <v>5313.26</v>
      </c>
      <c r="BH153" s="9">
        <f t="shared" si="64"/>
        <v>1236.71</v>
      </c>
      <c r="BI153" s="9">
        <f t="shared" si="65"/>
        <v>6343.85</v>
      </c>
      <c r="BJ153" s="9">
        <f t="shared" si="66"/>
        <v>366.43</v>
      </c>
      <c r="BK153" s="9">
        <f t="shared" si="67"/>
        <v>4351.38</v>
      </c>
      <c r="BL153" s="9">
        <f t="shared" si="68"/>
        <v>389.33</v>
      </c>
      <c r="BM153" s="9">
        <f t="shared" si="69"/>
        <v>595.45000000000005</v>
      </c>
      <c r="BN153" s="9">
        <f t="shared" si="70"/>
        <v>137.41</v>
      </c>
      <c r="BO153" s="9">
        <f t="shared" si="71"/>
        <v>1717.65</v>
      </c>
      <c r="BP153" s="9">
        <f t="shared" si="72"/>
        <v>1374.12</v>
      </c>
      <c r="BQ153" s="9">
        <f t="shared" si="73"/>
        <v>160.31</v>
      </c>
      <c r="BR153" s="9">
        <f t="shared" si="74"/>
        <v>10626.53</v>
      </c>
      <c r="BS153" s="9">
        <f t="shared" si="75"/>
        <v>366.43</v>
      </c>
      <c r="BT153" s="9">
        <f t="shared" si="76"/>
        <v>4786.5200000000004</v>
      </c>
      <c r="BU153" s="9">
        <f t="shared" si="77"/>
        <v>5679.7</v>
      </c>
      <c r="BV153" s="17">
        <f t="shared" si="78"/>
        <v>55835.06</v>
      </c>
      <c r="BW153" s="17">
        <v>3.99</v>
      </c>
      <c r="BX153" s="17">
        <v>7.0000000000000007E-2</v>
      </c>
      <c r="BY153" s="17">
        <v>0.42</v>
      </c>
      <c r="BZ153" s="17">
        <v>0.08</v>
      </c>
      <c r="CA153" s="29">
        <v>6.33</v>
      </c>
      <c r="CB153" s="325"/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0</v>
      </c>
      <c r="CI153" s="13">
        <v>2770.69</v>
      </c>
      <c r="CJ153" s="13">
        <v>29484</v>
      </c>
      <c r="CK153" s="13">
        <v>879.55</v>
      </c>
      <c r="CL153" s="13">
        <v>669420.73</v>
      </c>
      <c r="CM153" s="13">
        <v>33431.440000000002</v>
      </c>
      <c r="CN153" s="13">
        <v>170904.53</v>
      </c>
      <c r="CO153" s="13">
        <v>18075.189999999999</v>
      </c>
      <c r="CP153" s="13">
        <v>10593.71</v>
      </c>
      <c r="CQ153" s="13">
        <v>0</v>
      </c>
      <c r="CR153" s="13">
        <v>614881.31000000006</v>
      </c>
      <c r="CS153" s="13">
        <v>34127.360000000001</v>
      </c>
      <c r="CT153" s="13">
        <v>133355.97</v>
      </c>
      <c r="CU153" s="13">
        <v>15357.72</v>
      </c>
      <c r="CV153" s="13">
        <v>9057.25</v>
      </c>
      <c r="CW153" s="13">
        <v>0</v>
      </c>
      <c r="CX153" s="13">
        <v>135058.73000000001</v>
      </c>
      <c r="CY153" s="13">
        <v>2425.7800000000002</v>
      </c>
      <c r="CZ153" s="13">
        <v>39746.21</v>
      </c>
      <c r="DA153" s="13">
        <v>4149.7299999999996</v>
      </c>
      <c r="DB153" s="13">
        <v>2431.3200000000002</v>
      </c>
      <c r="DC153" s="13"/>
      <c r="DD153" s="315">
        <v>902425.59999999998</v>
      </c>
      <c r="DE153" s="317">
        <v>806779.61</v>
      </c>
      <c r="DF153" s="317">
        <v>89.4</v>
      </c>
      <c r="DG153" s="318">
        <v>183811.77</v>
      </c>
      <c r="DH153" s="310">
        <v>24027.360000000001</v>
      </c>
      <c r="DI153" s="310">
        <v>13741.44</v>
      </c>
      <c r="DJ153" s="312">
        <v>0</v>
      </c>
      <c r="DK153" s="362">
        <v>0</v>
      </c>
      <c r="DL153" s="362"/>
      <c r="DM153" s="362">
        <v>0</v>
      </c>
      <c r="DN153" s="362">
        <v>0</v>
      </c>
      <c r="DO153" s="362">
        <v>0</v>
      </c>
      <c r="DP153" s="362">
        <v>0</v>
      </c>
      <c r="DQ153" s="362">
        <v>0</v>
      </c>
      <c r="DR153" s="362"/>
      <c r="DS153" s="362">
        <v>0</v>
      </c>
      <c r="DT153" s="362"/>
      <c r="DU153" s="362">
        <v>0</v>
      </c>
      <c r="DV153" s="362">
        <v>0</v>
      </c>
      <c r="DW153" s="362">
        <v>51600</v>
      </c>
      <c r="DX153" s="362">
        <v>0</v>
      </c>
      <c r="DY153" s="362">
        <v>4500</v>
      </c>
      <c r="DZ153" s="375">
        <v>0</v>
      </c>
      <c r="EA153" s="362">
        <v>170070</v>
      </c>
      <c r="EB153" s="362">
        <v>8100</v>
      </c>
      <c r="EC153" s="362"/>
      <c r="ED153" s="362">
        <v>0</v>
      </c>
      <c r="EE153" s="362">
        <v>0</v>
      </c>
      <c r="EF153" s="362"/>
      <c r="EG153" s="362">
        <v>5886</v>
      </c>
      <c r="EH153" s="362">
        <v>0</v>
      </c>
      <c r="EI153" s="362"/>
      <c r="EJ153" s="362">
        <v>0</v>
      </c>
      <c r="EK153" s="362"/>
      <c r="EL153" s="362">
        <v>166110</v>
      </c>
      <c r="EM153" s="362">
        <v>1706.91</v>
      </c>
      <c r="EN153" s="362">
        <v>0</v>
      </c>
      <c r="EO153" s="362">
        <v>0</v>
      </c>
      <c r="EP153" s="362">
        <v>0</v>
      </c>
      <c r="EQ153" s="362">
        <v>0</v>
      </c>
      <c r="ER153" s="362">
        <v>16380</v>
      </c>
      <c r="ES153" s="362">
        <v>6924</v>
      </c>
      <c r="ET153" s="362">
        <v>6794</v>
      </c>
      <c r="EU153" s="362">
        <v>0</v>
      </c>
      <c r="EV153" s="362">
        <v>10402.94</v>
      </c>
      <c r="EW153" s="362"/>
      <c r="EX153" s="202"/>
      <c r="EY153" s="202"/>
      <c r="EZ153" s="229"/>
      <c r="FA153" s="368">
        <v>33714.720000000001</v>
      </c>
      <c r="FB153" s="368">
        <v>128891.82</v>
      </c>
      <c r="FC153" s="368">
        <v>0</v>
      </c>
      <c r="FD153" s="368">
        <v>0</v>
      </c>
      <c r="FE153" s="368">
        <v>16704.96</v>
      </c>
      <c r="FF153" s="368">
        <v>10011.42</v>
      </c>
      <c r="FG153" s="368">
        <v>0</v>
      </c>
      <c r="FH153" s="368">
        <v>-612.96</v>
      </c>
      <c r="FI153" s="368">
        <v>0</v>
      </c>
      <c r="FJ153" s="368">
        <v>0</v>
      </c>
      <c r="FK153" s="368">
        <v>0</v>
      </c>
      <c r="FL153" s="368">
        <v>0</v>
      </c>
      <c r="FM153" s="368">
        <v>61173.62</v>
      </c>
      <c r="FN153" s="368">
        <v>38897.65</v>
      </c>
      <c r="FO153" s="323">
        <v>586313.92000000004</v>
      </c>
      <c r="FP153" s="323">
        <v>188709.96</v>
      </c>
      <c r="FQ153" s="323">
        <v>775023.88</v>
      </c>
      <c r="FR153" s="338">
        <v>82393.320000000007</v>
      </c>
      <c r="FS153" s="338">
        <v>12206.11</v>
      </c>
      <c r="FT153" s="377">
        <v>94599.43</v>
      </c>
      <c r="FU153" s="377">
        <v>701675.42</v>
      </c>
      <c r="FV153" s="377">
        <v>233884.42</v>
      </c>
      <c r="FW153" s="362">
        <v>935559.84</v>
      </c>
      <c r="FX153" s="362">
        <v>649010.01</v>
      </c>
      <c r="FY153" s="362">
        <v>197337.49</v>
      </c>
      <c r="FZ153" s="362">
        <v>846347.5</v>
      </c>
      <c r="GA153" s="362">
        <v>135058.73000000001</v>
      </c>
      <c r="GB153" s="362">
        <v>48753.04</v>
      </c>
      <c r="GC153" s="362">
        <v>183811.77</v>
      </c>
      <c r="GD153" s="362">
        <v>75586.55</v>
      </c>
      <c r="GE153" s="362">
        <v>-45944.22</v>
      </c>
      <c r="GF153" s="362">
        <v>29642.33</v>
      </c>
      <c r="GG153" s="202"/>
      <c r="GH153" s="416"/>
      <c r="GI153" s="414">
        <v>2455</v>
      </c>
      <c r="GJ153" s="419">
        <v>0</v>
      </c>
      <c r="GK153" s="396"/>
      <c r="GL153" s="202">
        <v>0</v>
      </c>
      <c r="GM153" s="202">
        <v>0</v>
      </c>
      <c r="GN153" s="323">
        <v>115361.5</v>
      </c>
      <c r="GO153" s="323">
        <v>45174.46</v>
      </c>
      <c r="GP153" s="323">
        <v>160535.96</v>
      </c>
      <c r="GQ153" s="323">
        <v>190948.05</v>
      </c>
      <c r="GR153" s="323">
        <v>-769.76</v>
      </c>
      <c r="GS153" s="323">
        <v>190178.29</v>
      </c>
    </row>
    <row r="154" spans="1:201" ht="12.75" customHeight="1" x14ac:dyDescent="0.2">
      <c r="A154" s="45" t="s">
        <v>225</v>
      </c>
      <c r="B154" s="99" t="s">
        <v>184</v>
      </c>
      <c r="C154" s="100" t="s">
        <v>39</v>
      </c>
      <c r="D154" s="388" t="s">
        <v>465</v>
      </c>
      <c r="E154" s="100" t="s">
        <v>12</v>
      </c>
      <c r="F154" s="11">
        <v>9</v>
      </c>
      <c r="G154" s="11">
        <v>4</v>
      </c>
      <c r="H154" s="11">
        <v>144</v>
      </c>
      <c r="I154" s="11">
        <v>149</v>
      </c>
      <c r="J154" s="11">
        <v>347</v>
      </c>
      <c r="K154" s="11">
        <v>402</v>
      </c>
      <c r="L154" s="11">
        <v>4</v>
      </c>
      <c r="M154" s="84">
        <v>1170</v>
      </c>
      <c r="N154" s="84">
        <v>1288</v>
      </c>
      <c r="O154" s="84">
        <v>1288</v>
      </c>
      <c r="P154" s="135">
        <v>1252.0999999999999</v>
      </c>
      <c r="Q154" s="135">
        <v>1138</v>
      </c>
      <c r="R154" s="133">
        <v>1138</v>
      </c>
      <c r="S154" s="133">
        <f t="shared" si="79"/>
        <v>3528.1</v>
      </c>
      <c r="T154" s="134">
        <v>1252.0999999999999</v>
      </c>
      <c r="U154" s="130">
        <v>2.72</v>
      </c>
      <c r="V154" s="131">
        <v>1.21E-2</v>
      </c>
      <c r="W154" s="131">
        <v>1.9800000000000002E-2</v>
      </c>
      <c r="X154" s="132">
        <v>1.2700000000000001E-3</v>
      </c>
      <c r="Y154" s="131">
        <v>1.21E-2</v>
      </c>
      <c r="Z154" s="29">
        <v>7400.51</v>
      </c>
      <c r="AA154" s="29"/>
      <c r="AB154" s="9">
        <f t="shared" si="57"/>
        <v>7400.51</v>
      </c>
      <c r="AC154" s="9">
        <f t="shared" si="55"/>
        <v>46845.23</v>
      </c>
      <c r="AD154" s="9">
        <v>2.16</v>
      </c>
      <c r="AE154" s="9">
        <v>3.7</v>
      </c>
      <c r="AF154" s="21">
        <f>2.46-AJ154</f>
        <v>2.29</v>
      </c>
      <c r="AG154" s="18">
        <f>0.65-AQ154</f>
        <v>0.6</v>
      </c>
      <c r="AH154" s="9">
        <v>2.78</v>
      </c>
      <c r="AI154" s="43">
        <v>1236</v>
      </c>
      <c r="AJ154" s="21">
        <f t="shared" si="58"/>
        <v>0.17</v>
      </c>
      <c r="AK154" s="9">
        <v>2.3199999999999998</v>
      </c>
      <c r="AL154" s="9">
        <v>0.2</v>
      </c>
      <c r="AM154" s="9">
        <v>0.08</v>
      </c>
      <c r="AN154" s="13"/>
      <c r="AO154" s="13">
        <v>844.8</v>
      </c>
      <c r="AP154" s="13">
        <f t="shared" si="80"/>
        <v>5.58</v>
      </c>
      <c r="AQ154" s="18">
        <f t="shared" si="56"/>
        <v>0.05</v>
      </c>
      <c r="AR154" s="9">
        <v>0.62</v>
      </c>
      <c r="AS154" s="9">
        <v>0.18</v>
      </c>
      <c r="AT154" s="9">
        <v>7.0000000000000007E-2</v>
      </c>
      <c r="AU154" s="9">
        <v>4.6900000000000004</v>
      </c>
      <c r="AV154" s="9">
        <v>0.16</v>
      </c>
      <c r="AW154" s="9">
        <f>1.37+0.41+0.28</f>
        <v>2.06</v>
      </c>
      <c r="AX154" s="9">
        <f>1.92+0.55</f>
        <v>2.4700000000000002</v>
      </c>
      <c r="AY154" s="102">
        <f t="shared" si="81"/>
        <v>24.6</v>
      </c>
      <c r="AZ154" s="13">
        <v>24.6</v>
      </c>
      <c r="BA154" s="13">
        <f t="shared" si="59"/>
        <v>0</v>
      </c>
      <c r="BB154" s="9">
        <f t="shared" si="60"/>
        <v>182052.55</v>
      </c>
      <c r="BC154" s="9">
        <v>24.6</v>
      </c>
      <c r="BD154" s="10">
        <v>44409</v>
      </c>
      <c r="BE154" s="9">
        <f t="shared" si="61"/>
        <v>15985.1</v>
      </c>
      <c r="BF154" s="9">
        <f t="shared" si="62"/>
        <v>27381.89</v>
      </c>
      <c r="BG154" s="9">
        <f t="shared" si="63"/>
        <v>16947.169999999998</v>
      </c>
      <c r="BH154" s="9">
        <f t="shared" si="64"/>
        <v>4440.3100000000004</v>
      </c>
      <c r="BI154" s="9">
        <f t="shared" si="65"/>
        <v>20573.419999999998</v>
      </c>
      <c r="BJ154" s="9">
        <f t="shared" si="66"/>
        <v>1258.0899999999999</v>
      </c>
      <c r="BK154" s="9">
        <f t="shared" si="67"/>
        <v>17169.18</v>
      </c>
      <c r="BL154" s="9">
        <f t="shared" si="68"/>
        <v>1480.1</v>
      </c>
      <c r="BM154" s="9">
        <f t="shared" si="69"/>
        <v>592.04</v>
      </c>
      <c r="BN154" s="9">
        <f t="shared" si="70"/>
        <v>370.03</v>
      </c>
      <c r="BO154" s="9">
        <f t="shared" si="71"/>
        <v>4588.32</v>
      </c>
      <c r="BP154" s="9">
        <f t="shared" si="72"/>
        <v>1332.09</v>
      </c>
      <c r="BQ154" s="9">
        <f t="shared" si="73"/>
        <v>518.04</v>
      </c>
      <c r="BR154" s="9">
        <f t="shared" si="74"/>
        <v>34708.39</v>
      </c>
      <c r="BS154" s="9">
        <f t="shared" si="75"/>
        <v>1184.08</v>
      </c>
      <c r="BT154" s="9">
        <f t="shared" si="76"/>
        <v>15245.05</v>
      </c>
      <c r="BU154" s="9">
        <f t="shared" si="77"/>
        <v>18279.259999999998</v>
      </c>
      <c r="BV154" s="17">
        <f t="shared" si="78"/>
        <v>182052.56</v>
      </c>
      <c r="BW154" s="17">
        <v>3.53</v>
      </c>
      <c r="BX154" s="17">
        <v>0.06</v>
      </c>
      <c r="BY154" s="17">
        <v>0.54</v>
      </c>
      <c r="BZ154" s="17">
        <v>0.03</v>
      </c>
      <c r="CA154" s="29">
        <v>6.33</v>
      </c>
      <c r="CB154" s="325"/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I154" s="13">
        <v>5887.91</v>
      </c>
      <c r="CJ154" s="13">
        <v>48180</v>
      </c>
      <c r="CK154" s="13">
        <v>2845.2</v>
      </c>
      <c r="CL154" s="13">
        <v>2135055.98</v>
      </c>
      <c r="CM154" s="13">
        <v>23471.05</v>
      </c>
      <c r="CN154" s="13">
        <v>-24.26</v>
      </c>
      <c r="CO154" s="13">
        <v>47064.01</v>
      </c>
      <c r="CP154" s="13">
        <v>24855.1</v>
      </c>
      <c r="CQ154" s="13">
        <v>0</v>
      </c>
      <c r="CR154" s="13">
        <v>1906917.32</v>
      </c>
      <c r="CS154" s="13">
        <v>26962.84</v>
      </c>
      <c r="CT154" s="13">
        <v>5244.51</v>
      </c>
      <c r="CU154" s="13">
        <v>53739.43</v>
      </c>
      <c r="CV154" s="13">
        <v>27325.88</v>
      </c>
      <c r="CW154" s="13">
        <v>0</v>
      </c>
      <c r="CX154" s="13">
        <v>413621.85</v>
      </c>
      <c r="CY154" s="13">
        <v>-29052.32</v>
      </c>
      <c r="CZ154" s="13">
        <v>-7655.07</v>
      </c>
      <c r="DA154" s="13">
        <v>5600.16</v>
      </c>
      <c r="DB154" s="13">
        <v>2696.41</v>
      </c>
      <c r="DC154" s="13"/>
      <c r="DD154" s="315">
        <v>2230421.88</v>
      </c>
      <c r="DE154" s="317">
        <v>2020189.98</v>
      </c>
      <c r="DF154" s="317">
        <v>90.57</v>
      </c>
      <c r="DG154" s="318">
        <v>385211.03</v>
      </c>
      <c r="DH154" s="310">
        <v>77709.84</v>
      </c>
      <c r="DI154" s="310">
        <v>44443.08</v>
      </c>
      <c r="DJ154" s="312">
        <v>0</v>
      </c>
      <c r="DK154" s="362">
        <v>0</v>
      </c>
      <c r="DL154" s="362"/>
      <c r="DM154" s="362">
        <v>0</v>
      </c>
      <c r="DN154" s="362">
        <v>0</v>
      </c>
      <c r="DO154" s="362">
        <v>0</v>
      </c>
      <c r="DP154" s="362">
        <v>0</v>
      </c>
      <c r="DQ154" s="362">
        <v>0</v>
      </c>
      <c r="DR154" s="362"/>
      <c r="DS154" s="362">
        <v>0</v>
      </c>
      <c r="DT154" s="362"/>
      <c r="DU154" s="362">
        <v>0</v>
      </c>
      <c r="DV154" s="362">
        <v>0</v>
      </c>
      <c r="DW154" s="362">
        <v>165841.28</v>
      </c>
      <c r="DX154" s="362">
        <v>0</v>
      </c>
      <c r="DY154" s="362">
        <v>56000</v>
      </c>
      <c r="DZ154" s="375">
        <v>0</v>
      </c>
      <c r="EA154" s="362">
        <v>603420</v>
      </c>
      <c r="EB154" s="362">
        <v>8500</v>
      </c>
      <c r="EC154" s="362"/>
      <c r="ED154" s="362">
        <v>0</v>
      </c>
      <c r="EE154" s="362">
        <v>0</v>
      </c>
      <c r="EF154" s="362"/>
      <c r="EG154" s="362">
        <v>19668</v>
      </c>
      <c r="EH154" s="362">
        <v>0</v>
      </c>
      <c r="EI154" s="362"/>
      <c r="EJ154" s="362">
        <v>0</v>
      </c>
      <c r="EK154" s="362"/>
      <c r="EL154" s="362">
        <v>549018</v>
      </c>
      <c r="EM154" s="362">
        <v>4713.99</v>
      </c>
      <c r="EN154" s="362">
        <v>0</v>
      </c>
      <c r="EO154" s="362">
        <v>0</v>
      </c>
      <c r="EP154" s="362">
        <v>0</v>
      </c>
      <c r="EQ154" s="362">
        <v>0</v>
      </c>
      <c r="ER154" s="362">
        <v>16380</v>
      </c>
      <c r="ES154" s="362">
        <v>0</v>
      </c>
      <c r="ET154" s="362">
        <v>18188</v>
      </c>
      <c r="EU154" s="362">
        <v>0</v>
      </c>
      <c r="EV154" s="362">
        <v>57504.22</v>
      </c>
      <c r="EW154" s="362"/>
      <c r="EX154" s="202"/>
      <c r="EY154" s="202"/>
      <c r="EZ154" s="229"/>
      <c r="FA154" s="368">
        <v>76939.11</v>
      </c>
      <c r="FB154" s="368">
        <v>0</v>
      </c>
      <c r="FC154" s="368">
        <v>0</v>
      </c>
      <c r="FD154" s="368">
        <v>0</v>
      </c>
      <c r="FE154" s="368">
        <v>6633.04</v>
      </c>
      <c r="FF154" s="368">
        <v>2037.37</v>
      </c>
      <c r="FG154" s="368">
        <v>-387.41</v>
      </c>
      <c r="FH154" s="368">
        <v>-1689.14</v>
      </c>
      <c r="FI154" s="368">
        <v>0</v>
      </c>
      <c r="FJ154" s="368">
        <v>0</v>
      </c>
      <c r="FK154" s="368">
        <v>65134.65</v>
      </c>
      <c r="FL154" s="368">
        <v>0</v>
      </c>
      <c r="FM154" s="368">
        <v>197822.72</v>
      </c>
      <c r="FN154" s="368">
        <v>125784.3</v>
      </c>
      <c r="FO154" s="323">
        <v>1944993.43</v>
      </c>
      <c r="FP154" s="323">
        <v>148667.62</v>
      </c>
      <c r="FQ154" s="323">
        <v>2093661.05</v>
      </c>
      <c r="FR154" s="338">
        <v>187029.52</v>
      </c>
      <c r="FS154" s="338">
        <v>10264.23</v>
      </c>
      <c r="FT154" s="377">
        <v>197293.75</v>
      </c>
      <c r="FU154" s="377">
        <v>2189123.89</v>
      </c>
      <c r="FV154" s="377">
        <v>98211.1</v>
      </c>
      <c r="FW154" s="362">
        <v>2287334.9900000002</v>
      </c>
      <c r="FX154" s="362">
        <v>1962531.56</v>
      </c>
      <c r="FY154" s="362">
        <v>136886.15</v>
      </c>
      <c r="FZ154" s="362">
        <v>2099417.71</v>
      </c>
      <c r="GA154" s="362">
        <v>413621.85</v>
      </c>
      <c r="GB154" s="362">
        <v>-28410.82</v>
      </c>
      <c r="GC154" s="362">
        <v>385211.03</v>
      </c>
      <c r="GD154" s="362">
        <v>200399.74</v>
      </c>
      <c r="GE154" s="362">
        <v>-10721.16</v>
      </c>
      <c r="GF154" s="362">
        <v>189678.58</v>
      </c>
      <c r="GG154" s="202"/>
      <c r="GH154" s="416"/>
      <c r="GI154" s="414">
        <v>2963</v>
      </c>
      <c r="GJ154" s="419">
        <v>0</v>
      </c>
      <c r="GK154" s="396"/>
      <c r="GL154" s="202">
        <v>0</v>
      </c>
      <c r="GM154" s="202">
        <v>0</v>
      </c>
      <c r="GN154" s="323">
        <v>244130.46</v>
      </c>
      <c r="GO154" s="323">
        <v>-50456.52</v>
      </c>
      <c r="GP154" s="323">
        <v>193673.94</v>
      </c>
      <c r="GQ154" s="323">
        <v>444530.2</v>
      </c>
      <c r="GR154" s="323">
        <v>-61177.68</v>
      </c>
      <c r="GS154" s="323">
        <v>383352.52</v>
      </c>
    </row>
    <row r="155" spans="1:201" ht="12.75" customHeight="1" x14ac:dyDescent="0.2">
      <c r="A155" s="45" t="s">
        <v>226</v>
      </c>
      <c r="B155" s="99" t="s">
        <v>184</v>
      </c>
      <c r="C155" s="100" t="s">
        <v>39</v>
      </c>
      <c r="D155" s="388" t="s">
        <v>642</v>
      </c>
      <c r="E155" s="100" t="s">
        <v>9</v>
      </c>
      <c r="F155" s="11">
        <v>9</v>
      </c>
      <c r="G155" s="11">
        <v>1</v>
      </c>
      <c r="H155" s="11">
        <v>171</v>
      </c>
      <c r="I155" s="11">
        <v>170</v>
      </c>
      <c r="J155" s="11">
        <v>179</v>
      </c>
      <c r="K155" s="11">
        <v>220</v>
      </c>
      <c r="L155" s="83">
        <v>1</v>
      </c>
      <c r="M155" s="84">
        <v>885</v>
      </c>
      <c r="N155" s="84">
        <v>700</v>
      </c>
      <c r="O155" s="84">
        <v>0</v>
      </c>
      <c r="P155" s="135">
        <v>909.9</v>
      </c>
      <c r="Q155" s="135">
        <v>699</v>
      </c>
      <c r="R155" s="133">
        <v>0</v>
      </c>
      <c r="S155" s="133">
        <f t="shared" si="79"/>
        <v>1608.9</v>
      </c>
      <c r="T155" s="134">
        <v>909.9</v>
      </c>
      <c r="U155" s="130">
        <v>2.72</v>
      </c>
      <c r="V155" s="131">
        <v>1.21E-2</v>
      </c>
      <c r="W155" s="131">
        <v>1.9800000000000002E-2</v>
      </c>
      <c r="X155" s="132">
        <v>1.2700000000000001E-3</v>
      </c>
      <c r="Y155" s="131">
        <v>1.21E-2</v>
      </c>
      <c r="Z155" s="29">
        <v>4280.5</v>
      </c>
      <c r="AA155" s="29"/>
      <c r="AB155" s="9">
        <f t="shared" si="57"/>
        <v>4280.5</v>
      </c>
      <c r="AC155" s="9">
        <f t="shared" si="55"/>
        <v>27095.57</v>
      </c>
      <c r="AD155" s="9">
        <v>2.8</v>
      </c>
      <c r="AE155" s="9">
        <v>3.54</v>
      </c>
      <c r="AF155" s="21">
        <f>2.47-AJ155</f>
        <v>2.27</v>
      </c>
      <c r="AG155" s="18">
        <f>0.67-AQ155</f>
        <v>0.56000000000000005</v>
      </c>
      <c r="AH155" s="19">
        <f>2.77+0.12+0.16</f>
        <v>3.05</v>
      </c>
      <c r="AI155" s="43">
        <v>852</v>
      </c>
      <c r="AJ155" s="21">
        <f t="shared" si="58"/>
        <v>0.2</v>
      </c>
      <c r="AK155" s="9">
        <v>1.01</v>
      </c>
      <c r="AL155" s="9">
        <v>0.09</v>
      </c>
      <c r="AM155" s="9">
        <v>0.14000000000000001</v>
      </c>
      <c r="AN155" s="13"/>
      <c r="AO155" s="13">
        <v>1014.6</v>
      </c>
      <c r="AP155" s="13">
        <f t="shared" si="80"/>
        <v>5.58</v>
      </c>
      <c r="AQ155" s="18">
        <f t="shared" si="56"/>
        <v>0.11</v>
      </c>
      <c r="AR155" s="9">
        <v>1.25</v>
      </c>
      <c r="AS155" s="9">
        <v>0.32</v>
      </c>
      <c r="AT155" s="9">
        <v>7.0000000000000007E-2</v>
      </c>
      <c r="AU155" s="9">
        <v>3.41</v>
      </c>
      <c r="AV155" s="9">
        <v>0.16</v>
      </c>
      <c r="AW155" s="9">
        <f>1.38+0.3+0.56</f>
        <v>2.2400000000000002</v>
      </c>
      <c r="AX155" s="9">
        <f>1.93+0.4</f>
        <v>2.33</v>
      </c>
      <c r="AY155" s="102">
        <f t="shared" si="81"/>
        <v>23.55</v>
      </c>
      <c r="AZ155" s="13">
        <v>23.55</v>
      </c>
      <c r="BA155" s="13">
        <f t="shared" si="59"/>
        <v>0</v>
      </c>
      <c r="BB155" s="9">
        <f t="shared" si="60"/>
        <v>100805.78</v>
      </c>
      <c r="BC155" s="9">
        <v>23.55</v>
      </c>
      <c r="BD155" s="10">
        <v>44440</v>
      </c>
      <c r="BE155" s="9">
        <f t="shared" si="61"/>
        <v>11985.4</v>
      </c>
      <c r="BF155" s="9">
        <f t="shared" si="62"/>
        <v>15152.97</v>
      </c>
      <c r="BG155" s="9">
        <f t="shared" si="63"/>
        <v>9716.74</v>
      </c>
      <c r="BH155" s="9">
        <f t="shared" si="64"/>
        <v>2397.08</v>
      </c>
      <c r="BI155" s="9">
        <f t="shared" si="65"/>
        <v>13055.53</v>
      </c>
      <c r="BJ155" s="9">
        <f t="shared" si="66"/>
        <v>856.1</v>
      </c>
      <c r="BK155" s="9">
        <f t="shared" si="67"/>
        <v>4323.3100000000004</v>
      </c>
      <c r="BL155" s="9">
        <f t="shared" si="68"/>
        <v>385.25</v>
      </c>
      <c r="BM155" s="9">
        <f t="shared" si="69"/>
        <v>599.27</v>
      </c>
      <c r="BN155" s="9">
        <f t="shared" si="70"/>
        <v>470.86</v>
      </c>
      <c r="BO155" s="9">
        <f t="shared" si="71"/>
        <v>5350.63</v>
      </c>
      <c r="BP155" s="9">
        <f t="shared" si="72"/>
        <v>1369.76</v>
      </c>
      <c r="BQ155" s="9">
        <f t="shared" si="73"/>
        <v>299.64</v>
      </c>
      <c r="BR155" s="9">
        <f t="shared" si="74"/>
        <v>14596.51</v>
      </c>
      <c r="BS155" s="9">
        <f t="shared" si="75"/>
        <v>684.88</v>
      </c>
      <c r="BT155" s="9">
        <f t="shared" si="76"/>
        <v>9588.32</v>
      </c>
      <c r="BU155" s="9">
        <f t="shared" si="77"/>
        <v>9973.57</v>
      </c>
      <c r="BV155" s="17">
        <f t="shared" si="78"/>
        <v>100805.82</v>
      </c>
      <c r="BW155" s="17">
        <v>2.33</v>
      </c>
      <c r="BX155" s="17">
        <v>7.0000000000000007E-2</v>
      </c>
      <c r="BY155" s="17">
        <v>0.68</v>
      </c>
      <c r="BZ155" s="17">
        <v>0.04</v>
      </c>
      <c r="CA155" s="29">
        <v>6.33</v>
      </c>
      <c r="CB155" s="325"/>
      <c r="CC155" s="13">
        <v>0</v>
      </c>
      <c r="CD155" s="13">
        <v>0</v>
      </c>
      <c r="CE155" s="13">
        <v>0</v>
      </c>
      <c r="CF155" s="13">
        <v>0</v>
      </c>
      <c r="CG155" s="13">
        <v>0</v>
      </c>
      <c r="CH155" s="13">
        <v>0</v>
      </c>
      <c r="CI155" s="13">
        <v>6312.63</v>
      </c>
      <c r="CJ155" s="13">
        <v>31284</v>
      </c>
      <c r="CK155" s="13">
        <v>1645.71</v>
      </c>
      <c r="CL155" s="13">
        <v>1209477.71</v>
      </c>
      <c r="CM155" s="13">
        <v>57776.959999999999</v>
      </c>
      <c r="CN155" s="13">
        <v>252036.24</v>
      </c>
      <c r="CO155" s="13">
        <v>74934.649999999994</v>
      </c>
      <c r="CP155" s="13">
        <v>39672.129999999997</v>
      </c>
      <c r="CQ155" s="13">
        <v>0</v>
      </c>
      <c r="CR155" s="13">
        <v>1079204.92</v>
      </c>
      <c r="CS155" s="13">
        <v>61537.21</v>
      </c>
      <c r="CT155" s="13">
        <v>193026.75</v>
      </c>
      <c r="CU155" s="13">
        <v>60792.79</v>
      </c>
      <c r="CV155" s="13">
        <v>32658.89</v>
      </c>
      <c r="CW155" s="13">
        <v>0</v>
      </c>
      <c r="CX155" s="13">
        <v>267977.40000000002</v>
      </c>
      <c r="CY155" s="13">
        <v>9428.94</v>
      </c>
      <c r="CZ155" s="13">
        <v>65483.87</v>
      </c>
      <c r="DA155" s="13">
        <v>10150.61</v>
      </c>
      <c r="DB155" s="13">
        <v>5418.28</v>
      </c>
      <c r="DC155" s="13"/>
      <c r="DD155" s="315">
        <v>1633897.69</v>
      </c>
      <c r="DE155" s="317">
        <v>1427220.56</v>
      </c>
      <c r="DF155" s="317">
        <v>87.35</v>
      </c>
      <c r="DG155" s="318">
        <v>358459.1</v>
      </c>
      <c r="DH155" s="310">
        <v>44961.24</v>
      </c>
      <c r="DI155" s="310">
        <v>25713.84</v>
      </c>
      <c r="DJ155" s="312">
        <v>0</v>
      </c>
      <c r="DK155" s="362">
        <v>0</v>
      </c>
      <c r="DL155" s="362"/>
      <c r="DM155" s="362">
        <v>0</v>
      </c>
      <c r="DN155" s="362">
        <v>0</v>
      </c>
      <c r="DO155" s="362">
        <v>0</v>
      </c>
      <c r="DP155" s="362">
        <v>0</v>
      </c>
      <c r="DQ155" s="362">
        <v>0</v>
      </c>
      <c r="DR155" s="362"/>
      <c r="DS155" s="362">
        <v>0</v>
      </c>
      <c r="DT155" s="362"/>
      <c r="DU155" s="362">
        <v>0</v>
      </c>
      <c r="DV155" s="362">
        <v>0</v>
      </c>
      <c r="DW155" s="362">
        <v>51600</v>
      </c>
      <c r="DX155" s="362">
        <v>0</v>
      </c>
      <c r="DY155" s="362">
        <v>4500</v>
      </c>
      <c r="DZ155" s="375">
        <v>0</v>
      </c>
      <c r="EA155" s="362">
        <v>373938</v>
      </c>
      <c r="EB155" s="362">
        <v>8500</v>
      </c>
      <c r="EC155" s="362"/>
      <c r="ED155" s="362">
        <v>0</v>
      </c>
      <c r="EE155" s="362">
        <v>0</v>
      </c>
      <c r="EF155" s="362"/>
      <c r="EG155" s="362">
        <v>13560</v>
      </c>
      <c r="EH155" s="362">
        <v>0</v>
      </c>
      <c r="EI155" s="362"/>
      <c r="EJ155" s="362">
        <v>0</v>
      </c>
      <c r="EK155" s="362"/>
      <c r="EL155" s="362">
        <v>321768</v>
      </c>
      <c r="EM155" s="362">
        <v>5661.48</v>
      </c>
      <c r="EN155" s="362">
        <v>0</v>
      </c>
      <c r="EO155" s="362">
        <v>0</v>
      </c>
      <c r="EP155" s="362">
        <v>0</v>
      </c>
      <c r="EQ155" s="362">
        <v>0</v>
      </c>
      <c r="ER155" s="362">
        <v>16380</v>
      </c>
      <c r="ES155" s="362">
        <v>6924</v>
      </c>
      <c r="ET155" s="362">
        <v>21320</v>
      </c>
      <c r="EU155" s="362">
        <v>0</v>
      </c>
      <c r="EV155" s="362">
        <v>97804.62</v>
      </c>
      <c r="EW155" s="362"/>
      <c r="EX155" s="202"/>
      <c r="EY155" s="202"/>
      <c r="EZ155" s="229"/>
      <c r="FA155" s="368">
        <v>66127.17</v>
      </c>
      <c r="FB155" s="368">
        <v>223784.92</v>
      </c>
      <c r="FC155" s="368">
        <v>0</v>
      </c>
      <c r="FD155" s="368">
        <v>0</v>
      </c>
      <c r="FE155" s="368">
        <v>53623.13</v>
      </c>
      <c r="FF155" s="368">
        <v>28480.27</v>
      </c>
      <c r="FG155" s="368">
        <v>-1538.41</v>
      </c>
      <c r="FH155" s="368">
        <v>-1807.55</v>
      </c>
      <c r="FI155" s="368">
        <v>0</v>
      </c>
      <c r="FJ155" s="368">
        <v>0</v>
      </c>
      <c r="FK155" s="368">
        <v>0</v>
      </c>
      <c r="FL155" s="368">
        <v>0</v>
      </c>
      <c r="FM155" s="368">
        <v>114420.63</v>
      </c>
      <c r="FN155" s="368">
        <v>72753.7</v>
      </c>
      <c r="FO155" s="323">
        <v>1179805.51</v>
      </c>
      <c r="FP155" s="323">
        <v>368669.53</v>
      </c>
      <c r="FQ155" s="323">
        <v>1548475.04</v>
      </c>
      <c r="FR155" s="338">
        <v>128120.82</v>
      </c>
      <c r="FS155" s="338">
        <v>18277.12</v>
      </c>
      <c r="FT155" s="377">
        <v>146397.94</v>
      </c>
      <c r="FU155" s="377">
        <v>1247074.3400000001</v>
      </c>
      <c r="FV155" s="377">
        <v>426065.69</v>
      </c>
      <c r="FW155" s="362">
        <v>1673140.03</v>
      </c>
      <c r="FX155" s="362">
        <v>1107217.76</v>
      </c>
      <c r="FY155" s="362">
        <v>353861.11</v>
      </c>
      <c r="FZ155" s="362">
        <v>1461078.87</v>
      </c>
      <c r="GA155" s="362">
        <v>267977.40000000002</v>
      </c>
      <c r="GB155" s="362">
        <v>90481.7</v>
      </c>
      <c r="GC155" s="362">
        <v>358459.1</v>
      </c>
      <c r="GD155" s="362">
        <v>36289.24</v>
      </c>
      <c r="GE155" s="362">
        <v>-78969.850000000006</v>
      </c>
      <c r="GF155" s="362">
        <v>-42680.61</v>
      </c>
      <c r="GG155" s="202"/>
      <c r="GH155" s="416"/>
      <c r="GI155" s="414">
        <v>2455</v>
      </c>
      <c r="GJ155" s="419">
        <v>0</v>
      </c>
      <c r="GK155" s="396"/>
      <c r="GL155" s="202">
        <v>0</v>
      </c>
      <c r="GM155" s="202">
        <v>0</v>
      </c>
      <c r="GN155" s="323">
        <v>67268.83</v>
      </c>
      <c r="GO155" s="323">
        <v>57396.160000000003</v>
      </c>
      <c r="GP155" s="323">
        <v>124664.99</v>
      </c>
      <c r="GQ155" s="323">
        <v>103558.07</v>
      </c>
      <c r="GR155" s="323">
        <v>-21573.69</v>
      </c>
      <c r="GS155" s="323">
        <v>81984.38</v>
      </c>
    </row>
    <row r="156" spans="1:201" ht="12.75" customHeight="1" x14ac:dyDescent="0.2">
      <c r="A156" s="45" t="s">
        <v>227</v>
      </c>
      <c r="B156" s="99" t="s">
        <v>184</v>
      </c>
      <c r="C156" s="100" t="s">
        <v>179</v>
      </c>
      <c r="D156" s="388" t="s">
        <v>466</v>
      </c>
      <c r="E156" s="100" t="s">
        <v>12</v>
      </c>
      <c r="F156" s="11">
        <v>9</v>
      </c>
      <c r="G156" s="11">
        <v>4</v>
      </c>
      <c r="H156" s="11">
        <v>144</v>
      </c>
      <c r="I156" s="11">
        <v>150</v>
      </c>
      <c r="J156" s="11">
        <v>378</v>
      </c>
      <c r="K156" s="11">
        <v>418</v>
      </c>
      <c r="L156" s="83">
        <v>4</v>
      </c>
      <c r="M156" s="84">
        <v>1187</v>
      </c>
      <c r="N156" s="84">
        <v>1288</v>
      </c>
      <c r="O156" s="84">
        <v>0</v>
      </c>
      <c r="P156" s="139">
        <v>1261.8</v>
      </c>
      <c r="Q156" s="135">
        <v>1221.0999999999999</v>
      </c>
      <c r="R156" s="133">
        <v>0</v>
      </c>
      <c r="S156" s="133">
        <f t="shared" si="79"/>
        <v>2482.9</v>
      </c>
      <c r="T156" s="139">
        <v>1187</v>
      </c>
      <c r="U156" s="130">
        <v>2.72</v>
      </c>
      <c r="V156" s="131">
        <v>1.21E-2</v>
      </c>
      <c r="W156" s="131">
        <v>1.9800000000000002E-2</v>
      </c>
      <c r="X156" s="132">
        <v>1.2700000000000001E-3</v>
      </c>
      <c r="Y156" s="131">
        <v>1.21E-2</v>
      </c>
      <c r="Z156" s="29">
        <v>7565.22</v>
      </c>
      <c r="AA156" s="29"/>
      <c r="AB156" s="9">
        <f t="shared" si="57"/>
        <v>7565.22</v>
      </c>
      <c r="AC156" s="9">
        <f t="shared" si="55"/>
        <v>47887.839999999997</v>
      </c>
      <c r="AD156" s="9">
        <v>2.14</v>
      </c>
      <c r="AE156" s="9">
        <v>4.25</v>
      </c>
      <c r="AF156" s="21">
        <f>2.49-AJ156</f>
        <v>2.33</v>
      </c>
      <c r="AG156" s="18">
        <f>0.64-AQ156</f>
        <v>0.59</v>
      </c>
      <c r="AH156" s="19">
        <f>2.78+0.07+0.1</f>
        <v>2.95</v>
      </c>
      <c r="AI156" s="43">
        <v>1236</v>
      </c>
      <c r="AJ156" s="21">
        <f t="shared" si="58"/>
        <v>0.16</v>
      </c>
      <c r="AK156" s="9">
        <v>2.27</v>
      </c>
      <c r="AL156" s="9">
        <v>0.62</v>
      </c>
      <c r="AM156" s="9">
        <v>0.12</v>
      </c>
      <c r="AN156" s="13"/>
      <c r="AO156" s="13">
        <v>844.8</v>
      </c>
      <c r="AP156" s="13">
        <f t="shared" si="80"/>
        <v>5.58</v>
      </c>
      <c r="AQ156" s="18">
        <f t="shared" si="56"/>
        <v>0.05</v>
      </c>
      <c r="AR156" s="9">
        <v>0.59</v>
      </c>
      <c r="AS156" s="9">
        <v>0.18</v>
      </c>
      <c r="AT156" s="9">
        <v>7.0000000000000007E-2</v>
      </c>
      <c r="AU156" s="9">
        <v>3.85</v>
      </c>
      <c r="AV156" s="9">
        <v>0.17</v>
      </c>
      <c r="AW156" s="9">
        <f>1.47+0.27+0.34</f>
        <v>2.08</v>
      </c>
      <c r="AX156" s="9">
        <f>2.07+0.45</f>
        <v>2.52</v>
      </c>
      <c r="AY156" s="102">
        <f t="shared" si="81"/>
        <v>24.94</v>
      </c>
      <c r="AZ156" s="13">
        <v>24.94</v>
      </c>
      <c r="BA156" s="13">
        <f t="shared" si="59"/>
        <v>0</v>
      </c>
      <c r="BB156" s="9">
        <f t="shared" si="60"/>
        <v>188676.59</v>
      </c>
      <c r="BC156" s="9">
        <v>24.94</v>
      </c>
      <c r="BD156" s="10">
        <v>44409</v>
      </c>
      <c r="BE156" s="9">
        <f t="shared" si="61"/>
        <v>16189.57</v>
      </c>
      <c r="BF156" s="9">
        <f t="shared" si="62"/>
        <v>32152.19</v>
      </c>
      <c r="BG156" s="9">
        <f t="shared" si="63"/>
        <v>17626.96</v>
      </c>
      <c r="BH156" s="9">
        <f t="shared" si="64"/>
        <v>4463.4799999999996</v>
      </c>
      <c r="BI156" s="9">
        <f t="shared" si="65"/>
        <v>22317.4</v>
      </c>
      <c r="BJ156" s="9">
        <f t="shared" si="66"/>
        <v>1210.44</v>
      </c>
      <c r="BK156" s="9">
        <f t="shared" si="67"/>
        <v>17173.05</v>
      </c>
      <c r="BL156" s="9">
        <f t="shared" si="68"/>
        <v>4690.4399999999996</v>
      </c>
      <c r="BM156" s="9">
        <f t="shared" si="69"/>
        <v>907.83</v>
      </c>
      <c r="BN156" s="9">
        <f t="shared" si="70"/>
        <v>378.26</v>
      </c>
      <c r="BO156" s="9">
        <f t="shared" si="71"/>
        <v>4463.4799999999996</v>
      </c>
      <c r="BP156" s="9">
        <f t="shared" si="72"/>
        <v>1361.74</v>
      </c>
      <c r="BQ156" s="9">
        <f t="shared" si="73"/>
        <v>529.57000000000005</v>
      </c>
      <c r="BR156" s="9">
        <f t="shared" si="74"/>
        <v>29126.1</v>
      </c>
      <c r="BS156" s="9">
        <f t="shared" si="75"/>
        <v>1286.0899999999999</v>
      </c>
      <c r="BT156" s="9">
        <f t="shared" si="76"/>
        <v>15735.66</v>
      </c>
      <c r="BU156" s="9">
        <f t="shared" si="77"/>
        <v>19064.349999999999</v>
      </c>
      <c r="BV156" s="17">
        <f t="shared" si="78"/>
        <v>188676.61</v>
      </c>
      <c r="BW156" s="17">
        <v>1.81</v>
      </c>
      <c r="BX156" s="17">
        <v>0.06</v>
      </c>
      <c r="BY156" s="17">
        <v>0.53</v>
      </c>
      <c r="BZ156" s="17">
        <v>0.03</v>
      </c>
      <c r="CA156" s="29">
        <v>6.33</v>
      </c>
      <c r="CB156" s="325"/>
      <c r="CC156" s="13">
        <v>0</v>
      </c>
      <c r="CD156" s="13">
        <v>0</v>
      </c>
      <c r="CE156" s="13">
        <v>0</v>
      </c>
      <c r="CF156" s="13">
        <v>0</v>
      </c>
      <c r="CG156" s="13">
        <v>0</v>
      </c>
      <c r="CH156" s="13">
        <v>0</v>
      </c>
      <c r="CI156" s="13">
        <v>16735.849999999999</v>
      </c>
      <c r="CJ156" s="13">
        <v>43980</v>
      </c>
      <c r="CK156" s="13">
        <v>2908.56</v>
      </c>
      <c r="CL156" s="13">
        <v>2200076.21</v>
      </c>
      <c r="CM156" s="13">
        <v>202936.98</v>
      </c>
      <c r="CN156" s="13">
        <v>244926.68</v>
      </c>
      <c r="CO156" s="13">
        <v>1815.54</v>
      </c>
      <c r="CP156" s="13">
        <v>983.51</v>
      </c>
      <c r="CQ156" s="13">
        <v>0</v>
      </c>
      <c r="CR156" s="13">
        <v>2068430.6</v>
      </c>
      <c r="CS156" s="13">
        <v>178893.25</v>
      </c>
      <c r="CT156" s="13">
        <v>211449.52</v>
      </c>
      <c r="CU156" s="13">
        <v>1441.2</v>
      </c>
      <c r="CV156" s="13">
        <v>653.34</v>
      </c>
      <c r="CW156" s="13">
        <v>0</v>
      </c>
      <c r="CX156" s="13">
        <v>425305.72</v>
      </c>
      <c r="CY156" s="13">
        <v>44762.6</v>
      </c>
      <c r="CZ156" s="13">
        <v>47738.31</v>
      </c>
      <c r="DA156" s="13">
        <v>453.18</v>
      </c>
      <c r="DB156" s="13">
        <v>-109.98</v>
      </c>
      <c r="DC156" s="13"/>
      <c r="DD156" s="315">
        <v>2650738.92</v>
      </c>
      <c r="DE156" s="317">
        <v>2460867.91</v>
      </c>
      <c r="DF156" s="317">
        <v>92.84</v>
      </c>
      <c r="DG156" s="318">
        <v>518149.83</v>
      </c>
      <c r="DH156" s="310">
        <v>79463.16</v>
      </c>
      <c r="DI156" s="310">
        <v>45445.8</v>
      </c>
      <c r="DJ156" s="312">
        <v>0</v>
      </c>
      <c r="DK156" s="362">
        <v>0</v>
      </c>
      <c r="DL156" s="362"/>
      <c r="DM156" s="362">
        <v>0</v>
      </c>
      <c r="DN156" s="362">
        <v>0</v>
      </c>
      <c r="DO156" s="362">
        <v>0</v>
      </c>
      <c r="DP156" s="362">
        <v>0</v>
      </c>
      <c r="DQ156" s="362">
        <v>0</v>
      </c>
      <c r="DR156" s="362"/>
      <c r="DS156" s="362">
        <v>0</v>
      </c>
      <c r="DT156" s="362"/>
      <c r="DU156" s="362">
        <v>0</v>
      </c>
      <c r="DV156" s="362">
        <v>0</v>
      </c>
      <c r="DW156" s="362">
        <v>152028.44</v>
      </c>
      <c r="DX156" s="362">
        <v>0</v>
      </c>
      <c r="DY156" s="362">
        <v>56000</v>
      </c>
      <c r="DZ156" s="375">
        <v>0</v>
      </c>
      <c r="EA156" s="362">
        <v>671424</v>
      </c>
      <c r="EB156" s="362">
        <v>8500</v>
      </c>
      <c r="EC156" s="362"/>
      <c r="ED156" s="362">
        <v>0</v>
      </c>
      <c r="EE156" s="362">
        <v>0</v>
      </c>
      <c r="EF156" s="362"/>
      <c r="EG156" s="362">
        <v>19668</v>
      </c>
      <c r="EH156" s="362">
        <v>2100</v>
      </c>
      <c r="EI156" s="362"/>
      <c r="EJ156" s="362">
        <v>0</v>
      </c>
      <c r="EK156" s="362"/>
      <c r="EL156" s="362">
        <v>569130</v>
      </c>
      <c r="EM156" s="362">
        <v>4713.99</v>
      </c>
      <c r="EN156" s="362">
        <v>0</v>
      </c>
      <c r="EO156" s="362">
        <v>0</v>
      </c>
      <c r="EP156" s="362">
        <v>0</v>
      </c>
      <c r="EQ156" s="362">
        <v>0</v>
      </c>
      <c r="ER156" s="362">
        <v>15015</v>
      </c>
      <c r="ES156" s="362">
        <v>7536</v>
      </c>
      <c r="ET156" s="362">
        <v>17976</v>
      </c>
      <c r="EU156" s="362">
        <v>0</v>
      </c>
      <c r="EV156" s="362">
        <v>121940.76</v>
      </c>
      <c r="EW156" s="362"/>
      <c r="EX156" s="202"/>
      <c r="EY156" s="202"/>
      <c r="EZ156" s="229"/>
      <c r="FA156" s="368">
        <v>214541.58</v>
      </c>
      <c r="FB156" s="368">
        <v>249497.84</v>
      </c>
      <c r="FC156" s="368">
        <v>0</v>
      </c>
      <c r="FD156" s="368">
        <v>0</v>
      </c>
      <c r="FE156" s="368">
        <v>2642.02</v>
      </c>
      <c r="FF156" s="368">
        <v>1197.1099999999999</v>
      </c>
      <c r="FG156" s="368">
        <v>0</v>
      </c>
      <c r="FH156" s="368">
        <v>-1934.88</v>
      </c>
      <c r="FI156" s="368">
        <v>0</v>
      </c>
      <c r="FJ156" s="368">
        <v>0</v>
      </c>
      <c r="FK156" s="368">
        <v>195706</v>
      </c>
      <c r="FL156" s="368">
        <v>0</v>
      </c>
      <c r="FM156" s="368">
        <v>202220.48</v>
      </c>
      <c r="FN156" s="368">
        <v>128580.79</v>
      </c>
      <c r="FO156" s="323">
        <v>2101742.42</v>
      </c>
      <c r="FP156" s="323">
        <v>661649.67000000004</v>
      </c>
      <c r="FQ156" s="323">
        <v>2763392.09</v>
      </c>
      <c r="FR156" s="338">
        <v>259007.95</v>
      </c>
      <c r="FS156" s="338">
        <v>16186.04</v>
      </c>
      <c r="FT156" s="377">
        <v>275193.99</v>
      </c>
      <c r="FU156" s="377">
        <v>2260792.06</v>
      </c>
      <c r="FV156" s="377">
        <v>453571.27</v>
      </c>
      <c r="FW156" s="362">
        <v>2714363.33</v>
      </c>
      <c r="FX156" s="362">
        <v>2094494.29</v>
      </c>
      <c r="FY156" s="362">
        <v>376913.2</v>
      </c>
      <c r="FZ156" s="362">
        <v>2471407.4900000002</v>
      </c>
      <c r="GA156" s="362">
        <v>425305.72</v>
      </c>
      <c r="GB156" s="362">
        <v>92844.11</v>
      </c>
      <c r="GC156" s="362">
        <v>518149.83</v>
      </c>
      <c r="GD156" s="362">
        <v>164982.89000000001</v>
      </c>
      <c r="GE156" s="362">
        <v>16698.2</v>
      </c>
      <c r="GF156" s="362">
        <v>181681.09</v>
      </c>
      <c r="GG156" s="202"/>
      <c r="GH156" s="416"/>
      <c r="GI156" s="414">
        <v>2963</v>
      </c>
      <c r="GJ156" s="419">
        <v>0</v>
      </c>
      <c r="GK156" s="396"/>
      <c r="GL156" s="202">
        <v>0</v>
      </c>
      <c r="GM156" s="202">
        <v>0</v>
      </c>
      <c r="GN156" s="323">
        <v>159049.64000000001</v>
      </c>
      <c r="GO156" s="323">
        <v>-208078.4</v>
      </c>
      <c r="GP156" s="323">
        <v>-49028.76</v>
      </c>
      <c r="GQ156" s="323">
        <v>324032.53000000003</v>
      </c>
      <c r="GR156" s="323">
        <v>-191380.2</v>
      </c>
      <c r="GS156" s="323">
        <v>132652.32999999999</v>
      </c>
    </row>
    <row r="157" spans="1:201" ht="12.75" customHeight="1" x14ac:dyDescent="0.2">
      <c r="A157" s="45" t="s">
        <v>228</v>
      </c>
      <c r="B157" s="99" t="s">
        <v>184</v>
      </c>
      <c r="C157" s="100" t="s">
        <v>179</v>
      </c>
      <c r="D157" s="388" t="s">
        <v>567</v>
      </c>
      <c r="E157" s="100" t="s">
        <v>9</v>
      </c>
      <c r="F157" s="11">
        <v>9</v>
      </c>
      <c r="G157" s="11">
        <v>2</v>
      </c>
      <c r="H157" s="11">
        <v>98</v>
      </c>
      <c r="I157" s="11">
        <v>97</v>
      </c>
      <c r="J157" s="11">
        <v>204</v>
      </c>
      <c r="K157" s="11">
        <v>226</v>
      </c>
      <c r="L157" s="83">
        <v>2</v>
      </c>
      <c r="M157" s="84">
        <v>536</v>
      </c>
      <c r="N157" s="84">
        <v>826</v>
      </c>
      <c r="O157" s="84">
        <v>826</v>
      </c>
      <c r="P157" s="135">
        <v>655.4</v>
      </c>
      <c r="Q157" s="135">
        <v>561.9</v>
      </c>
      <c r="R157" s="133">
        <v>768.3</v>
      </c>
      <c r="S157" s="133">
        <f t="shared" si="79"/>
        <v>1985.6</v>
      </c>
      <c r="T157" s="134">
        <v>655.4</v>
      </c>
      <c r="U157" s="130">
        <v>2.72</v>
      </c>
      <c r="V157" s="131">
        <v>1.21E-2</v>
      </c>
      <c r="W157" s="131">
        <v>1.9800000000000002E-2</v>
      </c>
      <c r="X157" s="132">
        <v>1.2700000000000001E-3</v>
      </c>
      <c r="Y157" s="131">
        <v>1.21E-2</v>
      </c>
      <c r="Z157" s="29">
        <v>4293.3100000000004</v>
      </c>
      <c r="AA157" s="29">
        <v>974.3</v>
      </c>
      <c r="AB157" s="9">
        <f t="shared" si="57"/>
        <v>5267.61</v>
      </c>
      <c r="AC157" s="9">
        <f t="shared" si="55"/>
        <v>33343.97</v>
      </c>
      <c r="AD157" s="9">
        <v>1.41</v>
      </c>
      <c r="AE157" s="9">
        <v>4.3600000000000003</v>
      </c>
      <c r="AF157" s="21">
        <f>2.49-AJ157</f>
        <v>2.34</v>
      </c>
      <c r="AG157" s="18">
        <f>0.6-AQ157</f>
        <v>0.55000000000000004</v>
      </c>
      <c r="AH157" s="19">
        <f>2.77+0.1+0.14</f>
        <v>3.01</v>
      </c>
      <c r="AI157" s="43">
        <v>793</v>
      </c>
      <c r="AJ157" s="21">
        <f t="shared" si="58"/>
        <v>0.15</v>
      </c>
      <c r="AK157" s="9">
        <v>1.63</v>
      </c>
      <c r="AL157" s="9">
        <v>0.14000000000000001</v>
      </c>
      <c r="AM157" s="9">
        <v>0.11</v>
      </c>
      <c r="AN157" s="13"/>
      <c r="AO157" s="13">
        <v>511</v>
      </c>
      <c r="AP157" s="13">
        <f t="shared" si="80"/>
        <v>5.58</v>
      </c>
      <c r="AQ157" s="18">
        <f t="shared" si="56"/>
        <v>0.05</v>
      </c>
      <c r="AR157" s="9">
        <v>0.59</v>
      </c>
      <c r="AS157" s="9">
        <v>0.26</v>
      </c>
      <c r="AT157" s="9">
        <v>7.0000000000000007E-2</v>
      </c>
      <c r="AU157" s="9">
        <v>5.03</v>
      </c>
      <c r="AV157" s="9">
        <v>0.15</v>
      </c>
      <c r="AW157" s="9">
        <f>1.32+0.32+0.44</f>
        <v>2.08</v>
      </c>
      <c r="AX157" s="9">
        <f>1.84+0.59</f>
        <v>2.4300000000000002</v>
      </c>
      <c r="AY157" s="102">
        <f t="shared" si="81"/>
        <v>24.36</v>
      </c>
      <c r="AZ157" s="13">
        <v>24.36</v>
      </c>
      <c r="BA157" s="13">
        <f t="shared" si="59"/>
        <v>0</v>
      </c>
      <c r="BB157" s="9">
        <f t="shared" si="60"/>
        <v>128318.98</v>
      </c>
      <c r="BC157" s="9">
        <v>24.36</v>
      </c>
      <c r="BD157" s="10">
        <v>44378</v>
      </c>
      <c r="BE157" s="9">
        <f t="shared" si="61"/>
        <v>7427.33</v>
      </c>
      <c r="BF157" s="9">
        <f t="shared" si="62"/>
        <v>22966.78</v>
      </c>
      <c r="BG157" s="9">
        <f t="shared" si="63"/>
        <v>12326.21</v>
      </c>
      <c r="BH157" s="9">
        <f t="shared" si="64"/>
        <v>2897.19</v>
      </c>
      <c r="BI157" s="9">
        <f t="shared" si="65"/>
        <v>15855.51</v>
      </c>
      <c r="BJ157" s="9">
        <f t="shared" si="66"/>
        <v>790.14</v>
      </c>
      <c r="BK157" s="9">
        <f t="shared" si="67"/>
        <v>8586.2000000000007</v>
      </c>
      <c r="BL157" s="9">
        <f t="shared" si="68"/>
        <v>737.47</v>
      </c>
      <c r="BM157" s="9">
        <f t="shared" si="69"/>
        <v>579.44000000000005</v>
      </c>
      <c r="BN157" s="9">
        <f t="shared" si="70"/>
        <v>263.38</v>
      </c>
      <c r="BO157" s="9">
        <f t="shared" si="71"/>
        <v>3107.89</v>
      </c>
      <c r="BP157" s="9">
        <f t="shared" si="72"/>
        <v>1369.58</v>
      </c>
      <c r="BQ157" s="9">
        <f t="shared" si="73"/>
        <v>368.73</v>
      </c>
      <c r="BR157" s="9">
        <f t="shared" si="74"/>
        <v>26496.080000000002</v>
      </c>
      <c r="BS157" s="9">
        <f t="shared" si="75"/>
        <v>790.14</v>
      </c>
      <c r="BT157" s="9">
        <f t="shared" si="76"/>
        <v>10956.63</v>
      </c>
      <c r="BU157" s="9">
        <f t="shared" si="77"/>
        <v>12800.29</v>
      </c>
      <c r="BV157" s="17">
        <f t="shared" si="78"/>
        <v>128318.99</v>
      </c>
      <c r="BW157" s="17">
        <v>2.99</v>
      </c>
      <c r="BX157" s="17">
        <v>0.04</v>
      </c>
      <c r="BY157" s="17">
        <v>0.4</v>
      </c>
      <c r="BZ157" s="17">
        <v>0.02</v>
      </c>
      <c r="CA157" s="29">
        <v>6.33</v>
      </c>
      <c r="CB157" s="325"/>
      <c r="CC157" s="13">
        <v>284807.28000000003</v>
      </c>
      <c r="CD157" s="13">
        <v>15773.92</v>
      </c>
      <c r="CE157" s="13">
        <v>13104.42</v>
      </c>
      <c r="CF157" s="13">
        <v>9031.8799999999992</v>
      </c>
      <c r="CG157" s="13">
        <v>4735.1400000000003</v>
      </c>
      <c r="CH157" s="13">
        <v>0</v>
      </c>
      <c r="CI157" s="13">
        <v>9025.59</v>
      </c>
      <c r="CJ157" s="13">
        <v>31284</v>
      </c>
      <c r="CK157" s="13">
        <v>2025.87</v>
      </c>
      <c r="CL157" s="13">
        <v>1254947.96</v>
      </c>
      <c r="CM157" s="13">
        <v>59032.86</v>
      </c>
      <c r="CN157" s="13">
        <v>74318.070000000007</v>
      </c>
      <c r="CO157" s="13">
        <v>43878.79</v>
      </c>
      <c r="CP157" s="13">
        <v>23227.55</v>
      </c>
      <c r="CQ157" s="13">
        <v>0</v>
      </c>
      <c r="CR157" s="13">
        <v>1172186.3400000001</v>
      </c>
      <c r="CS157" s="13">
        <v>59143.25</v>
      </c>
      <c r="CT157" s="13">
        <v>66559.8</v>
      </c>
      <c r="CU157" s="13">
        <v>34587.71</v>
      </c>
      <c r="CV157" s="13">
        <v>18799.439999999999</v>
      </c>
      <c r="CW157" s="13">
        <v>0</v>
      </c>
      <c r="CX157" s="13">
        <v>237777.64</v>
      </c>
      <c r="CY157" s="13">
        <v>4403.32</v>
      </c>
      <c r="CZ157" s="13">
        <v>8269.77</v>
      </c>
      <c r="DA157" s="13">
        <v>5308.58</v>
      </c>
      <c r="DB157" s="13">
        <v>2831.96</v>
      </c>
      <c r="DC157" s="13"/>
      <c r="DD157" s="315">
        <v>1455405.23</v>
      </c>
      <c r="DE157" s="317">
        <v>1351276.54</v>
      </c>
      <c r="DF157" s="317">
        <v>92.85</v>
      </c>
      <c r="DG157" s="318">
        <v>258591.27</v>
      </c>
      <c r="DH157" s="310">
        <v>45111.6</v>
      </c>
      <c r="DI157" s="310">
        <v>25799.88</v>
      </c>
      <c r="DJ157" s="312">
        <v>0</v>
      </c>
      <c r="DK157" s="362">
        <v>0</v>
      </c>
      <c r="DL157" s="362"/>
      <c r="DM157" s="362">
        <v>0</v>
      </c>
      <c r="DN157" s="362">
        <v>0</v>
      </c>
      <c r="DO157" s="362">
        <v>0</v>
      </c>
      <c r="DP157" s="362">
        <v>0</v>
      </c>
      <c r="DQ157" s="362">
        <v>0</v>
      </c>
      <c r="DR157" s="362"/>
      <c r="DS157" s="362">
        <v>0</v>
      </c>
      <c r="DT157" s="362"/>
      <c r="DU157" s="362">
        <v>0</v>
      </c>
      <c r="DV157" s="362">
        <v>0</v>
      </c>
      <c r="DW157" s="362">
        <v>103200</v>
      </c>
      <c r="DX157" s="362">
        <v>0</v>
      </c>
      <c r="DY157" s="362">
        <v>9000</v>
      </c>
      <c r="DZ157" s="375">
        <v>97717.2</v>
      </c>
      <c r="EA157" s="362">
        <v>421470</v>
      </c>
      <c r="EB157" s="362">
        <v>8500</v>
      </c>
      <c r="EC157" s="362"/>
      <c r="ED157" s="362">
        <v>0</v>
      </c>
      <c r="EE157" s="362">
        <v>0</v>
      </c>
      <c r="EF157" s="362"/>
      <c r="EG157" s="362">
        <v>12618</v>
      </c>
      <c r="EH157" s="362">
        <v>6650</v>
      </c>
      <c r="EI157" s="362"/>
      <c r="EJ157" s="362">
        <v>0</v>
      </c>
      <c r="EK157" s="362"/>
      <c r="EL157" s="362">
        <v>393888</v>
      </c>
      <c r="EM157" s="362">
        <v>2851.38</v>
      </c>
      <c r="EN157" s="362">
        <v>0</v>
      </c>
      <c r="EO157" s="362">
        <v>0</v>
      </c>
      <c r="EP157" s="362">
        <v>0</v>
      </c>
      <c r="EQ157" s="362">
        <v>0</v>
      </c>
      <c r="ER157" s="362">
        <v>16380</v>
      </c>
      <c r="ES157" s="362">
        <v>6924</v>
      </c>
      <c r="ET157" s="362">
        <v>12846</v>
      </c>
      <c r="EU157" s="362">
        <v>0</v>
      </c>
      <c r="EV157" s="362">
        <v>282651.62</v>
      </c>
      <c r="EW157" s="362"/>
      <c r="EX157" s="202"/>
      <c r="EY157" s="202"/>
      <c r="EZ157" s="229"/>
      <c r="FA157" s="368">
        <v>63633.79</v>
      </c>
      <c r="FB157" s="368">
        <v>73159.44</v>
      </c>
      <c r="FC157" s="368">
        <v>0</v>
      </c>
      <c r="FD157" s="368">
        <v>0</v>
      </c>
      <c r="FE157" s="368">
        <v>46504</v>
      </c>
      <c r="FF157" s="368">
        <v>24663.98</v>
      </c>
      <c r="FG157" s="368">
        <v>-6010.74</v>
      </c>
      <c r="FH157" s="368">
        <v>-4344.17</v>
      </c>
      <c r="FI157" s="368">
        <v>0</v>
      </c>
      <c r="FJ157" s="368">
        <v>0</v>
      </c>
      <c r="FK157" s="368">
        <v>0</v>
      </c>
      <c r="FL157" s="368">
        <v>0</v>
      </c>
      <c r="FM157" s="368">
        <v>140829.85999999999</v>
      </c>
      <c r="FN157" s="368">
        <v>89546.21</v>
      </c>
      <c r="FO157" s="323">
        <v>1675983.75</v>
      </c>
      <c r="FP157" s="323">
        <v>197606.3</v>
      </c>
      <c r="FQ157" s="323">
        <v>1873590.05</v>
      </c>
      <c r="FR157" s="338">
        <v>235773.81</v>
      </c>
      <c r="FS157" s="338">
        <v>13767.87</v>
      </c>
      <c r="FT157" s="377">
        <v>249541.68</v>
      </c>
      <c r="FU157" s="377">
        <v>1580064.83</v>
      </c>
      <c r="FV157" s="377">
        <v>245128.5</v>
      </c>
      <c r="FW157" s="362">
        <v>1825193.33</v>
      </c>
      <c r="FX157" s="362">
        <v>1550413.73</v>
      </c>
      <c r="FY157" s="362">
        <v>233951.54</v>
      </c>
      <c r="FZ157" s="362">
        <v>1784365.27</v>
      </c>
      <c r="GA157" s="362">
        <v>265424.90999999997</v>
      </c>
      <c r="GB157" s="362">
        <v>24944.83</v>
      </c>
      <c r="GC157" s="362">
        <v>290369.74</v>
      </c>
      <c r="GD157" s="362">
        <v>202829.92</v>
      </c>
      <c r="GE157" s="362">
        <v>-36916.78</v>
      </c>
      <c r="GF157" s="362">
        <v>165913.14000000001</v>
      </c>
      <c r="GG157" s="202">
        <v>31778.47</v>
      </c>
      <c r="GH157" s="416">
        <v>87</v>
      </c>
      <c r="GI157" s="414">
        <v>2455</v>
      </c>
      <c r="GJ157" s="419">
        <v>327452.64</v>
      </c>
      <c r="GK157" s="396">
        <v>31778.47</v>
      </c>
      <c r="GL157" s="202">
        <v>27647.268899999999</v>
      </c>
      <c r="GM157" s="202">
        <v>4131.2011000000002</v>
      </c>
      <c r="GN157" s="323">
        <v>-95918.92</v>
      </c>
      <c r="GO157" s="323">
        <v>47522.2</v>
      </c>
      <c r="GP157" s="323">
        <v>-48396.72</v>
      </c>
      <c r="GQ157" s="323">
        <v>106911</v>
      </c>
      <c r="GR157" s="323">
        <v>10605.42</v>
      </c>
      <c r="GS157" s="323">
        <v>117516.42</v>
      </c>
    </row>
    <row r="158" spans="1:201" ht="12.75" customHeight="1" x14ac:dyDescent="0.2">
      <c r="A158" s="45" t="s">
        <v>229</v>
      </c>
      <c r="B158" s="99" t="s">
        <v>184</v>
      </c>
      <c r="C158" s="100" t="s">
        <v>203</v>
      </c>
      <c r="D158" s="388" t="s">
        <v>467</v>
      </c>
      <c r="E158" s="100" t="s">
        <v>12</v>
      </c>
      <c r="F158" s="11">
        <v>9</v>
      </c>
      <c r="G158" s="11">
        <v>2</v>
      </c>
      <c r="H158" s="11">
        <v>72</v>
      </c>
      <c r="I158" s="11">
        <v>72</v>
      </c>
      <c r="J158" s="11">
        <v>193</v>
      </c>
      <c r="K158" s="11">
        <v>209</v>
      </c>
      <c r="L158" s="83">
        <v>2</v>
      </c>
      <c r="M158" s="84">
        <v>608</v>
      </c>
      <c r="N158" s="84">
        <v>602</v>
      </c>
      <c r="O158" s="84">
        <v>0</v>
      </c>
      <c r="P158" s="135">
        <v>640.6</v>
      </c>
      <c r="Q158" s="135">
        <v>619.1</v>
      </c>
      <c r="R158" s="133">
        <v>0</v>
      </c>
      <c r="S158" s="133">
        <f t="shared" si="79"/>
        <v>1259.7</v>
      </c>
      <c r="T158" s="134">
        <v>640.6</v>
      </c>
      <c r="U158" s="130">
        <v>2.72</v>
      </c>
      <c r="V158" s="131">
        <v>1.21E-2</v>
      </c>
      <c r="W158" s="131">
        <v>1.9800000000000002E-2</v>
      </c>
      <c r="X158" s="132">
        <v>1.2700000000000001E-3</v>
      </c>
      <c r="Y158" s="131">
        <v>1.21E-2</v>
      </c>
      <c r="Z158" s="29">
        <v>3836.3</v>
      </c>
      <c r="AA158" s="29"/>
      <c r="AB158" s="9">
        <f t="shared" si="57"/>
        <v>3836.3</v>
      </c>
      <c r="AC158" s="9">
        <f t="shared" si="55"/>
        <v>24283.78</v>
      </c>
      <c r="AD158" s="9">
        <v>2.11</v>
      </c>
      <c r="AE158" s="9">
        <v>4.18</v>
      </c>
      <c r="AF158" s="21">
        <f>2.42-AJ158</f>
        <v>2.27</v>
      </c>
      <c r="AG158" s="18">
        <f>0.62-AQ158</f>
        <v>0.56999999999999995</v>
      </c>
      <c r="AH158" s="9">
        <v>2.78</v>
      </c>
      <c r="AI158" s="43">
        <v>578</v>
      </c>
      <c r="AJ158" s="21">
        <f t="shared" si="58"/>
        <v>0.15</v>
      </c>
      <c r="AK158" s="9">
        <v>2.2200000000000002</v>
      </c>
      <c r="AL158" s="9">
        <v>0.19</v>
      </c>
      <c r="AM158" s="9">
        <v>0.15</v>
      </c>
      <c r="AN158" s="13"/>
      <c r="AO158" s="13">
        <v>422.4</v>
      </c>
      <c r="AP158" s="13">
        <f t="shared" si="80"/>
        <v>5.58</v>
      </c>
      <c r="AQ158" s="18">
        <f t="shared" si="56"/>
        <v>0.05</v>
      </c>
      <c r="AR158" s="9">
        <v>0.57999999999999996</v>
      </c>
      <c r="AS158" s="9">
        <v>0.35</v>
      </c>
      <c r="AT158" s="9">
        <v>7.0000000000000007E-2</v>
      </c>
      <c r="AU158" s="9">
        <v>4.3600000000000003</v>
      </c>
      <c r="AV158" s="9">
        <v>0.17</v>
      </c>
      <c r="AW158" s="9">
        <f>1.41+0.26+0.39</f>
        <v>2.06</v>
      </c>
      <c r="AX158" s="9">
        <f>1.98+0.51</f>
        <v>2.4900000000000002</v>
      </c>
      <c r="AY158" s="102">
        <f t="shared" si="81"/>
        <v>24.75</v>
      </c>
      <c r="AZ158" s="13">
        <v>24.75</v>
      </c>
      <c r="BA158" s="13">
        <f t="shared" si="59"/>
        <v>0</v>
      </c>
      <c r="BB158" s="9">
        <f t="shared" si="60"/>
        <v>94948.43</v>
      </c>
      <c r="BC158" s="9">
        <v>24.75</v>
      </c>
      <c r="BD158" s="10">
        <v>44378</v>
      </c>
      <c r="BE158" s="9">
        <f t="shared" si="61"/>
        <v>8094.59</v>
      </c>
      <c r="BF158" s="9">
        <f t="shared" si="62"/>
        <v>16035.73</v>
      </c>
      <c r="BG158" s="9">
        <f t="shared" si="63"/>
        <v>8708.4</v>
      </c>
      <c r="BH158" s="9">
        <f t="shared" si="64"/>
        <v>2186.69</v>
      </c>
      <c r="BI158" s="9">
        <f t="shared" si="65"/>
        <v>10664.91</v>
      </c>
      <c r="BJ158" s="9">
        <f t="shared" si="66"/>
        <v>575.45000000000005</v>
      </c>
      <c r="BK158" s="9">
        <f t="shared" si="67"/>
        <v>8516.59</v>
      </c>
      <c r="BL158" s="9">
        <f t="shared" si="68"/>
        <v>728.9</v>
      </c>
      <c r="BM158" s="9">
        <f t="shared" si="69"/>
        <v>575.45000000000005</v>
      </c>
      <c r="BN158" s="9">
        <f t="shared" si="70"/>
        <v>191.82</v>
      </c>
      <c r="BO158" s="9">
        <f t="shared" si="71"/>
        <v>2225.0500000000002</v>
      </c>
      <c r="BP158" s="9">
        <f t="shared" si="72"/>
        <v>1342.71</v>
      </c>
      <c r="BQ158" s="9">
        <f t="shared" si="73"/>
        <v>268.54000000000002</v>
      </c>
      <c r="BR158" s="9">
        <f t="shared" si="74"/>
        <v>16726.27</v>
      </c>
      <c r="BS158" s="9">
        <f t="shared" si="75"/>
        <v>652.16999999999996</v>
      </c>
      <c r="BT158" s="9">
        <f t="shared" si="76"/>
        <v>7902.78</v>
      </c>
      <c r="BU158" s="9">
        <f t="shared" si="77"/>
        <v>9552.39</v>
      </c>
      <c r="BV158" s="17">
        <f t="shared" si="78"/>
        <v>94948.44</v>
      </c>
      <c r="BW158" s="17">
        <v>1.83</v>
      </c>
      <c r="BX158" s="17">
        <v>0.06</v>
      </c>
      <c r="BY158" s="17">
        <v>0.57999999999999996</v>
      </c>
      <c r="BZ158" s="17">
        <v>0.03</v>
      </c>
      <c r="CA158" s="29">
        <v>6.33</v>
      </c>
      <c r="CB158" s="325"/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I158" s="13">
        <v>4903.8500000000004</v>
      </c>
      <c r="CJ158" s="13">
        <v>21588</v>
      </c>
      <c r="CK158" s="13">
        <v>1473.91</v>
      </c>
      <c r="CL158" s="13">
        <v>1139070.75</v>
      </c>
      <c r="CM158" s="13">
        <v>53616.160000000003</v>
      </c>
      <c r="CN158" s="13">
        <v>16380.81</v>
      </c>
      <c r="CO158" s="13">
        <v>55318.79</v>
      </c>
      <c r="CP158" s="13">
        <v>29365.38</v>
      </c>
      <c r="CQ158" s="13">
        <v>0</v>
      </c>
      <c r="CR158" s="13">
        <v>1102038.08</v>
      </c>
      <c r="CS158" s="13">
        <v>51821.599999999999</v>
      </c>
      <c r="CT158" s="13">
        <v>13332.89</v>
      </c>
      <c r="CU158" s="13">
        <v>50146.5</v>
      </c>
      <c r="CV158" s="13">
        <v>26460.49</v>
      </c>
      <c r="CW158" s="13">
        <v>0</v>
      </c>
      <c r="CX158" s="13">
        <v>139212.95000000001</v>
      </c>
      <c r="CY158" s="13">
        <v>3526.4</v>
      </c>
      <c r="CZ158" s="13">
        <v>8366</v>
      </c>
      <c r="DA158" s="13">
        <v>8224.5300000000007</v>
      </c>
      <c r="DB158" s="13">
        <v>4487.62</v>
      </c>
      <c r="DC158" s="13"/>
      <c r="DD158" s="315">
        <v>1293751.8899999999</v>
      </c>
      <c r="DE158" s="317">
        <v>1243799.56</v>
      </c>
      <c r="DF158" s="317">
        <v>96.14</v>
      </c>
      <c r="DG158" s="318">
        <v>163817.5</v>
      </c>
      <c r="DH158" s="310">
        <v>40265.519999999997</v>
      </c>
      <c r="DI158" s="310">
        <v>23028.240000000002</v>
      </c>
      <c r="DJ158" s="312">
        <v>0</v>
      </c>
      <c r="DK158" s="362">
        <v>0</v>
      </c>
      <c r="DL158" s="362"/>
      <c r="DM158" s="362">
        <v>0</v>
      </c>
      <c r="DN158" s="362">
        <v>0</v>
      </c>
      <c r="DO158" s="362">
        <v>0</v>
      </c>
      <c r="DP158" s="362">
        <v>0</v>
      </c>
      <c r="DQ158" s="362">
        <v>0</v>
      </c>
      <c r="DR158" s="362"/>
      <c r="DS158" s="362">
        <v>0</v>
      </c>
      <c r="DT158" s="362"/>
      <c r="DU158" s="362">
        <v>0</v>
      </c>
      <c r="DV158" s="362">
        <v>0</v>
      </c>
      <c r="DW158" s="362">
        <v>103200</v>
      </c>
      <c r="DX158" s="362">
        <v>0</v>
      </c>
      <c r="DY158" s="362">
        <v>9000</v>
      </c>
      <c r="DZ158" s="375">
        <v>0</v>
      </c>
      <c r="EA158" s="362">
        <v>337080</v>
      </c>
      <c r="EB158" s="362">
        <v>15300</v>
      </c>
      <c r="EC158" s="362"/>
      <c r="ED158" s="362">
        <v>0</v>
      </c>
      <c r="EE158" s="362">
        <v>0</v>
      </c>
      <c r="EF158" s="362"/>
      <c r="EG158" s="362">
        <v>9198</v>
      </c>
      <c r="EH158" s="362">
        <v>1400</v>
      </c>
      <c r="EI158" s="362"/>
      <c r="EJ158" s="362">
        <v>0</v>
      </c>
      <c r="EK158" s="362"/>
      <c r="EL158" s="362">
        <v>282264</v>
      </c>
      <c r="EM158" s="362">
        <v>2356.98</v>
      </c>
      <c r="EN158" s="362">
        <v>0</v>
      </c>
      <c r="EO158" s="362">
        <v>0</v>
      </c>
      <c r="EP158" s="362">
        <v>0</v>
      </c>
      <c r="EQ158" s="362">
        <v>0</v>
      </c>
      <c r="ER158" s="362">
        <v>15015</v>
      </c>
      <c r="ES158" s="362">
        <v>6924</v>
      </c>
      <c r="ET158" s="362">
        <v>8988</v>
      </c>
      <c r="EU158" s="362">
        <v>0</v>
      </c>
      <c r="EV158" s="362">
        <v>683118.14</v>
      </c>
      <c r="EW158" s="362"/>
      <c r="EX158" s="202"/>
      <c r="EY158" s="202"/>
      <c r="EZ158" s="229"/>
      <c r="FA158" s="368">
        <v>53659</v>
      </c>
      <c r="FB158" s="368">
        <v>16600.07</v>
      </c>
      <c r="FC158" s="368">
        <v>0</v>
      </c>
      <c r="FD158" s="368">
        <v>0</v>
      </c>
      <c r="FE158" s="368">
        <v>24838.9</v>
      </c>
      <c r="FF158" s="368">
        <v>13371.91</v>
      </c>
      <c r="FG158" s="368">
        <v>17187.27</v>
      </c>
      <c r="FH158" s="368">
        <v>8017.69</v>
      </c>
      <c r="FI158" s="368">
        <v>0</v>
      </c>
      <c r="FJ158" s="368">
        <v>0</v>
      </c>
      <c r="FK158" s="368">
        <v>12971.51</v>
      </c>
      <c r="FL158" s="368">
        <v>0</v>
      </c>
      <c r="FM158" s="368">
        <v>102516.5</v>
      </c>
      <c r="FN158" s="368">
        <v>65183.79</v>
      </c>
      <c r="FO158" s="323">
        <v>1704838.17</v>
      </c>
      <c r="FP158" s="323">
        <v>146646.35</v>
      </c>
      <c r="FQ158" s="323">
        <v>1851484.52</v>
      </c>
      <c r="FR158" s="338">
        <v>106905.12</v>
      </c>
      <c r="FS158" s="338">
        <v>3193.13</v>
      </c>
      <c r="FT158" s="377">
        <v>110098.25</v>
      </c>
      <c r="FU158" s="377">
        <v>1165562.6000000001</v>
      </c>
      <c r="FV158" s="377">
        <v>156155.04999999999</v>
      </c>
      <c r="FW158" s="362">
        <v>1321717.6499999999</v>
      </c>
      <c r="FX158" s="362">
        <v>1133254.77</v>
      </c>
      <c r="FY158" s="362">
        <v>134743.63</v>
      </c>
      <c r="FZ158" s="362">
        <v>1267998.3999999999</v>
      </c>
      <c r="GA158" s="362">
        <v>139212.95000000001</v>
      </c>
      <c r="GB158" s="362">
        <v>24604.55</v>
      </c>
      <c r="GC158" s="362">
        <v>163817.5</v>
      </c>
      <c r="GD158" s="362">
        <v>63665.91</v>
      </c>
      <c r="GE158" s="362">
        <v>-48348.22</v>
      </c>
      <c r="GF158" s="362">
        <v>15317.69</v>
      </c>
      <c r="GG158" s="202"/>
      <c r="GH158" s="416"/>
      <c r="GI158" s="414">
        <v>1947</v>
      </c>
      <c r="GJ158" s="419">
        <v>0</v>
      </c>
      <c r="GK158" s="396"/>
      <c r="GL158" s="202">
        <v>0</v>
      </c>
      <c r="GM158" s="202">
        <v>0</v>
      </c>
      <c r="GN158" s="323">
        <v>-539275.56999999995</v>
      </c>
      <c r="GO158" s="323">
        <v>9508.7000000000007</v>
      </c>
      <c r="GP158" s="323">
        <v>-529766.87</v>
      </c>
      <c r="GQ158" s="323">
        <v>-475609.66</v>
      </c>
      <c r="GR158" s="323">
        <v>-38839.519999999997</v>
      </c>
      <c r="GS158" s="323">
        <v>-514449.18</v>
      </c>
    </row>
    <row r="159" spans="1:201" ht="12.75" customHeight="1" x14ac:dyDescent="0.2">
      <c r="A159" s="45" t="s">
        <v>230</v>
      </c>
      <c r="B159" s="99" t="s">
        <v>184</v>
      </c>
      <c r="C159" s="100" t="s">
        <v>203</v>
      </c>
      <c r="D159" s="388" t="s">
        <v>568</v>
      </c>
      <c r="E159" s="100" t="s">
        <v>30</v>
      </c>
      <c r="F159" s="11">
        <v>9</v>
      </c>
      <c r="G159" s="11">
        <v>2</v>
      </c>
      <c r="H159" s="11">
        <v>72</v>
      </c>
      <c r="I159" s="11">
        <v>74</v>
      </c>
      <c r="J159" s="11">
        <v>196</v>
      </c>
      <c r="K159" s="11">
        <v>225</v>
      </c>
      <c r="L159" s="11">
        <v>2</v>
      </c>
      <c r="M159" s="84">
        <v>607</v>
      </c>
      <c r="N159" s="84">
        <v>602</v>
      </c>
      <c r="O159" s="84">
        <v>0</v>
      </c>
      <c r="P159" s="139">
        <v>640.6</v>
      </c>
      <c r="Q159" s="139">
        <v>584.4</v>
      </c>
      <c r="R159" s="139">
        <v>0</v>
      </c>
      <c r="S159" s="133">
        <f t="shared" si="79"/>
        <v>1225</v>
      </c>
      <c r="T159" s="139">
        <v>640.6</v>
      </c>
      <c r="U159" s="130">
        <v>2.72</v>
      </c>
      <c r="V159" s="131">
        <v>1.21E-2</v>
      </c>
      <c r="W159" s="131">
        <v>1.9800000000000002E-2</v>
      </c>
      <c r="X159" s="132">
        <v>1.2700000000000001E-3</v>
      </c>
      <c r="Y159" s="131">
        <v>1.21E-2</v>
      </c>
      <c r="Z159" s="29">
        <v>3837.4</v>
      </c>
      <c r="AA159" s="29"/>
      <c r="AB159" s="9">
        <f t="shared" si="57"/>
        <v>3837.4</v>
      </c>
      <c r="AC159" s="9">
        <f t="shared" si="55"/>
        <v>24290.74</v>
      </c>
      <c r="AD159" s="9">
        <v>2.13</v>
      </c>
      <c r="AE159" s="9">
        <v>4.2</v>
      </c>
      <c r="AF159" s="21">
        <f>2.42-AJ159</f>
        <v>2.27</v>
      </c>
      <c r="AG159" s="18">
        <f>0.62-AQ159</f>
        <v>0.56999999999999995</v>
      </c>
      <c r="AH159" s="9">
        <v>2.78</v>
      </c>
      <c r="AI159" s="43">
        <v>578</v>
      </c>
      <c r="AJ159" s="21">
        <f t="shared" si="58"/>
        <v>0.15</v>
      </c>
      <c r="AK159" s="9">
        <v>2.25</v>
      </c>
      <c r="AL159" s="9">
        <v>0.61</v>
      </c>
      <c r="AM159" s="9">
        <v>0.15</v>
      </c>
      <c r="AN159" s="13"/>
      <c r="AO159" s="13">
        <v>422.4</v>
      </c>
      <c r="AP159" s="13">
        <f t="shared" si="80"/>
        <v>5.58</v>
      </c>
      <c r="AQ159" s="18">
        <f t="shared" si="56"/>
        <v>0.05</v>
      </c>
      <c r="AR159" s="9">
        <v>0.59</v>
      </c>
      <c r="AS159" s="9">
        <v>0.36</v>
      </c>
      <c r="AT159" s="9">
        <v>7.0000000000000007E-2</v>
      </c>
      <c r="AU159" s="9">
        <v>3.84</v>
      </c>
      <c r="AV159" s="9">
        <v>0.17</v>
      </c>
      <c r="AW159" s="9">
        <f>1.45+0.27+0.34</f>
        <v>2.06</v>
      </c>
      <c r="AX159" s="9">
        <f>2.06+0.45</f>
        <v>2.5099999999999998</v>
      </c>
      <c r="AY159" s="102">
        <f t="shared" si="81"/>
        <v>24.76</v>
      </c>
      <c r="AZ159" s="13">
        <v>24.76</v>
      </c>
      <c r="BA159" s="13">
        <f t="shared" si="59"/>
        <v>0</v>
      </c>
      <c r="BB159" s="9">
        <f t="shared" si="60"/>
        <v>95014.02</v>
      </c>
      <c r="BC159" s="9">
        <v>24.76</v>
      </c>
      <c r="BD159" s="10">
        <v>44378</v>
      </c>
      <c r="BE159" s="9">
        <f t="shared" si="61"/>
        <v>8173.66</v>
      </c>
      <c r="BF159" s="9">
        <f t="shared" si="62"/>
        <v>16117.08</v>
      </c>
      <c r="BG159" s="9">
        <f t="shared" si="63"/>
        <v>8710.9</v>
      </c>
      <c r="BH159" s="9">
        <f t="shared" si="64"/>
        <v>2187.3200000000002</v>
      </c>
      <c r="BI159" s="9">
        <f t="shared" si="65"/>
        <v>10667.97</v>
      </c>
      <c r="BJ159" s="9">
        <f t="shared" si="66"/>
        <v>575.61</v>
      </c>
      <c r="BK159" s="9">
        <f t="shared" si="67"/>
        <v>8634.15</v>
      </c>
      <c r="BL159" s="9">
        <f t="shared" si="68"/>
        <v>2340.81</v>
      </c>
      <c r="BM159" s="9">
        <f t="shared" si="69"/>
        <v>575.61</v>
      </c>
      <c r="BN159" s="9">
        <f t="shared" si="70"/>
        <v>191.87</v>
      </c>
      <c r="BO159" s="9">
        <f t="shared" si="71"/>
        <v>2264.0700000000002</v>
      </c>
      <c r="BP159" s="9">
        <f t="shared" si="72"/>
        <v>1381.46</v>
      </c>
      <c r="BQ159" s="9">
        <f t="shared" si="73"/>
        <v>268.62</v>
      </c>
      <c r="BR159" s="9">
        <f t="shared" si="74"/>
        <v>14735.62</v>
      </c>
      <c r="BS159" s="9">
        <f t="shared" si="75"/>
        <v>652.36</v>
      </c>
      <c r="BT159" s="9">
        <f t="shared" si="76"/>
        <v>7905.04</v>
      </c>
      <c r="BU159" s="9">
        <f t="shared" si="77"/>
        <v>9631.8700000000008</v>
      </c>
      <c r="BV159" s="17">
        <f t="shared" si="78"/>
        <v>95014.02</v>
      </c>
      <c r="BW159" s="17">
        <v>1.83</v>
      </c>
      <c r="BX159" s="17">
        <v>0.06</v>
      </c>
      <c r="BY159" s="17">
        <v>0.54</v>
      </c>
      <c r="BZ159" s="17">
        <v>0.03</v>
      </c>
      <c r="CA159" s="29">
        <v>6.33</v>
      </c>
      <c r="CB159" s="325"/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H159" s="13">
        <v>0</v>
      </c>
      <c r="CI159" s="13">
        <v>7446.32</v>
      </c>
      <c r="CJ159" s="13">
        <v>34884</v>
      </c>
      <c r="CK159" s="13">
        <v>1475.16</v>
      </c>
      <c r="CL159" s="13">
        <v>1139403.32</v>
      </c>
      <c r="CM159" s="13">
        <v>154670.22</v>
      </c>
      <c r="CN159" s="13">
        <v>1.1200000000000001</v>
      </c>
      <c r="CO159" s="13">
        <v>120907.99</v>
      </c>
      <c r="CP159" s="13">
        <v>65132.75</v>
      </c>
      <c r="CQ159" s="13">
        <v>0</v>
      </c>
      <c r="CR159" s="13">
        <v>1085238.6100000001</v>
      </c>
      <c r="CS159" s="13">
        <v>135482.04999999999</v>
      </c>
      <c r="CT159" s="13">
        <v>1116.33</v>
      </c>
      <c r="CU159" s="13">
        <v>109384.73</v>
      </c>
      <c r="CV159" s="13">
        <v>58450.720000000001</v>
      </c>
      <c r="CW159" s="13">
        <v>0</v>
      </c>
      <c r="CX159" s="13">
        <v>180137.79</v>
      </c>
      <c r="CY159" s="13">
        <v>25893.279999999999</v>
      </c>
      <c r="CZ159" s="13">
        <v>-2333.35</v>
      </c>
      <c r="DA159" s="13">
        <v>23008.49</v>
      </c>
      <c r="DB159" s="13">
        <v>9958.7900000000009</v>
      </c>
      <c r="DC159" s="13"/>
      <c r="DD159" s="315">
        <v>1480115.4</v>
      </c>
      <c r="DE159" s="317">
        <v>1389672.44</v>
      </c>
      <c r="DF159" s="317">
        <v>93.89</v>
      </c>
      <c r="DG159" s="318">
        <v>236665</v>
      </c>
      <c r="DH159" s="310">
        <v>40301.279999999999</v>
      </c>
      <c r="DI159" s="310">
        <v>23048.76</v>
      </c>
      <c r="DJ159" s="312">
        <v>0</v>
      </c>
      <c r="DK159" s="362">
        <v>0</v>
      </c>
      <c r="DL159" s="362"/>
      <c r="DM159" s="362">
        <v>0</v>
      </c>
      <c r="DN159" s="362">
        <v>0</v>
      </c>
      <c r="DO159" s="362">
        <v>0</v>
      </c>
      <c r="DP159" s="362">
        <v>0</v>
      </c>
      <c r="DQ159" s="362">
        <v>0</v>
      </c>
      <c r="DR159" s="362"/>
      <c r="DS159" s="362">
        <v>0</v>
      </c>
      <c r="DT159" s="362"/>
      <c r="DU159" s="362">
        <v>0</v>
      </c>
      <c r="DV159" s="362">
        <v>0</v>
      </c>
      <c r="DW159" s="362">
        <v>102779.25</v>
      </c>
      <c r="DX159" s="362">
        <v>0</v>
      </c>
      <c r="DY159" s="362">
        <v>28000</v>
      </c>
      <c r="DZ159" s="375">
        <v>0</v>
      </c>
      <c r="EA159" s="362">
        <v>335940</v>
      </c>
      <c r="EB159" s="362">
        <v>12461</v>
      </c>
      <c r="EC159" s="362"/>
      <c r="ED159" s="362">
        <v>0</v>
      </c>
      <c r="EE159" s="362">
        <v>0</v>
      </c>
      <c r="EF159" s="362"/>
      <c r="EG159" s="362">
        <v>9198</v>
      </c>
      <c r="EH159" s="362">
        <v>3675</v>
      </c>
      <c r="EI159" s="362"/>
      <c r="EJ159" s="362">
        <v>0</v>
      </c>
      <c r="EK159" s="362"/>
      <c r="EL159" s="362">
        <v>279456</v>
      </c>
      <c r="EM159" s="362">
        <v>2356.98</v>
      </c>
      <c r="EN159" s="362">
        <v>0</v>
      </c>
      <c r="EO159" s="362">
        <v>0</v>
      </c>
      <c r="EP159" s="362">
        <v>0</v>
      </c>
      <c r="EQ159" s="362">
        <v>0</v>
      </c>
      <c r="ER159" s="362">
        <v>13650</v>
      </c>
      <c r="ES159" s="362">
        <v>6924</v>
      </c>
      <c r="ET159" s="362">
        <v>8988</v>
      </c>
      <c r="EU159" s="362">
        <v>0</v>
      </c>
      <c r="EV159" s="362">
        <v>371183.99</v>
      </c>
      <c r="EW159" s="362"/>
      <c r="EX159" s="202"/>
      <c r="EY159" s="202"/>
      <c r="EZ159" s="229"/>
      <c r="FA159" s="368">
        <v>138000.16</v>
      </c>
      <c r="FB159" s="368">
        <v>11570.16</v>
      </c>
      <c r="FC159" s="368">
        <v>0</v>
      </c>
      <c r="FD159" s="368">
        <v>0</v>
      </c>
      <c r="FE159" s="368">
        <v>136193.28</v>
      </c>
      <c r="FF159" s="368">
        <v>73106.09</v>
      </c>
      <c r="FG159" s="368">
        <v>-1977.29</v>
      </c>
      <c r="FH159" s="368">
        <v>-1983.38</v>
      </c>
      <c r="FI159" s="368">
        <v>0</v>
      </c>
      <c r="FJ159" s="368">
        <v>0</v>
      </c>
      <c r="FK159" s="368">
        <v>53543.95</v>
      </c>
      <c r="FL159" s="368">
        <v>0</v>
      </c>
      <c r="FM159" s="368">
        <v>102559.18</v>
      </c>
      <c r="FN159" s="368">
        <v>65213.52</v>
      </c>
      <c r="FO159" s="323">
        <v>1405734.96</v>
      </c>
      <c r="FP159" s="323">
        <v>408452.97</v>
      </c>
      <c r="FQ159" s="323">
        <v>1814187.93</v>
      </c>
      <c r="FR159" s="338">
        <v>116415.81</v>
      </c>
      <c r="FS159" s="338">
        <v>20129.91</v>
      </c>
      <c r="FT159" s="377">
        <v>136545.72</v>
      </c>
      <c r="FU159" s="377">
        <v>1181733.6399999999</v>
      </c>
      <c r="FV159" s="377">
        <v>342187.24</v>
      </c>
      <c r="FW159" s="362">
        <v>1523920.88</v>
      </c>
      <c r="FX159" s="362">
        <v>1118011.6599999999</v>
      </c>
      <c r="FY159" s="362">
        <v>305789.94</v>
      </c>
      <c r="FZ159" s="362">
        <v>1423801.6</v>
      </c>
      <c r="GA159" s="362">
        <v>180137.79</v>
      </c>
      <c r="GB159" s="362">
        <v>56527.21</v>
      </c>
      <c r="GC159" s="362">
        <v>236665</v>
      </c>
      <c r="GD159" s="362">
        <v>130730.2</v>
      </c>
      <c r="GE159" s="362">
        <v>-36004.94</v>
      </c>
      <c r="GF159" s="362">
        <v>94725.26</v>
      </c>
      <c r="GG159" s="202"/>
      <c r="GH159" s="416"/>
      <c r="GI159" s="414">
        <v>2455</v>
      </c>
      <c r="GJ159" s="419">
        <v>0</v>
      </c>
      <c r="GK159" s="396"/>
      <c r="GL159" s="202">
        <v>0</v>
      </c>
      <c r="GM159" s="202">
        <v>0</v>
      </c>
      <c r="GN159" s="323">
        <v>-224001.32</v>
      </c>
      <c r="GO159" s="323">
        <v>-66265.73</v>
      </c>
      <c r="GP159" s="323">
        <v>-290267.05</v>
      </c>
      <c r="GQ159" s="323">
        <v>-93271.12</v>
      </c>
      <c r="GR159" s="323">
        <v>-102270.67</v>
      </c>
      <c r="GS159" s="323">
        <v>-195541.79</v>
      </c>
    </row>
    <row r="160" spans="1:201" ht="12.75" customHeight="1" x14ac:dyDescent="0.2">
      <c r="A160" s="45" t="s">
        <v>231</v>
      </c>
      <c r="B160" s="99" t="s">
        <v>184</v>
      </c>
      <c r="C160" s="100" t="s">
        <v>203</v>
      </c>
      <c r="D160" s="388" t="s">
        <v>569</v>
      </c>
      <c r="E160" s="100" t="s">
        <v>206</v>
      </c>
      <c r="F160" s="11">
        <v>9</v>
      </c>
      <c r="G160" s="11">
        <v>2</v>
      </c>
      <c r="H160" s="11">
        <v>72</v>
      </c>
      <c r="I160" s="11">
        <v>73</v>
      </c>
      <c r="J160" s="11">
        <v>167</v>
      </c>
      <c r="K160" s="11">
        <v>202</v>
      </c>
      <c r="L160" s="83">
        <v>2</v>
      </c>
      <c r="M160" s="84">
        <v>609</v>
      </c>
      <c r="N160" s="84">
        <v>602</v>
      </c>
      <c r="O160" s="84">
        <v>0</v>
      </c>
      <c r="P160" s="135">
        <v>642.9</v>
      </c>
      <c r="Q160" s="135">
        <v>584.6</v>
      </c>
      <c r="R160" s="133">
        <v>0</v>
      </c>
      <c r="S160" s="133">
        <f t="shared" si="79"/>
        <v>1227.5</v>
      </c>
      <c r="T160" s="134">
        <v>642.9</v>
      </c>
      <c r="U160" s="130">
        <v>2.72</v>
      </c>
      <c r="V160" s="131">
        <v>1.21E-2</v>
      </c>
      <c r="W160" s="131">
        <v>1.9800000000000002E-2</v>
      </c>
      <c r="X160" s="132">
        <v>1.2700000000000001E-3</v>
      </c>
      <c r="Y160" s="131">
        <v>1.21E-2</v>
      </c>
      <c r="Z160" s="29">
        <v>3835.8</v>
      </c>
      <c r="AA160" s="29"/>
      <c r="AB160" s="9">
        <f t="shared" si="57"/>
        <v>3835.8</v>
      </c>
      <c r="AC160" s="9">
        <f t="shared" si="55"/>
        <v>24280.61</v>
      </c>
      <c r="AD160" s="9">
        <v>2.14</v>
      </c>
      <c r="AE160" s="9">
        <v>4.21</v>
      </c>
      <c r="AF160" s="21">
        <f>2.41-AJ160</f>
        <v>2.2599999999999998</v>
      </c>
      <c r="AG160" s="18">
        <f>0.62-AQ160</f>
        <v>0.56999999999999995</v>
      </c>
      <c r="AH160" s="9">
        <v>2.78</v>
      </c>
      <c r="AI160" s="43">
        <v>578</v>
      </c>
      <c r="AJ160" s="21">
        <f t="shared" si="58"/>
        <v>0.15</v>
      </c>
      <c r="AK160" s="9">
        <v>2.25</v>
      </c>
      <c r="AL160" s="9">
        <v>0.61</v>
      </c>
      <c r="AM160" s="9">
        <v>0.15</v>
      </c>
      <c r="AN160" s="13"/>
      <c r="AO160" s="13">
        <v>422.4</v>
      </c>
      <c r="AP160" s="13">
        <f t="shared" si="80"/>
        <v>5.58</v>
      </c>
      <c r="AQ160" s="18">
        <f t="shared" si="56"/>
        <v>0.05</v>
      </c>
      <c r="AR160" s="9">
        <v>0.59</v>
      </c>
      <c r="AS160" s="9">
        <v>0.36</v>
      </c>
      <c r="AT160" s="9">
        <v>7.0000000000000007E-2</v>
      </c>
      <c r="AU160" s="9">
        <v>3.75</v>
      </c>
      <c r="AV160" s="9">
        <v>0.17</v>
      </c>
      <c r="AW160" s="9">
        <f>1.45+0.33+0.27</f>
        <v>2.0499999999999998</v>
      </c>
      <c r="AX160" s="9">
        <f>2.06+0.44</f>
        <v>2.5</v>
      </c>
      <c r="AY160" s="102">
        <f t="shared" si="81"/>
        <v>24.66</v>
      </c>
      <c r="AZ160" s="13">
        <v>24.66</v>
      </c>
      <c r="BA160" s="13">
        <f t="shared" si="59"/>
        <v>0</v>
      </c>
      <c r="BB160" s="9">
        <f t="shared" si="60"/>
        <v>94590.83</v>
      </c>
      <c r="BC160" s="9">
        <v>24.66</v>
      </c>
      <c r="BD160" s="10">
        <v>44378</v>
      </c>
      <c r="BE160" s="9">
        <f t="shared" si="61"/>
        <v>8208.61</v>
      </c>
      <c r="BF160" s="9">
        <f t="shared" si="62"/>
        <v>16148.72</v>
      </c>
      <c r="BG160" s="9">
        <f t="shared" si="63"/>
        <v>8668.91</v>
      </c>
      <c r="BH160" s="9">
        <f t="shared" si="64"/>
        <v>2186.41</v>
      </c>
      <c r="BI160" s="9">
        <f t="shared" si="65"/>
        <v>10663.52</v>
      </c>
      <c r="BJ160" s="9">
        <f t="shared" si="66"/>
        <v>575.37</v>
      </c>
      <c r="BK160" s="9">
        <f t="shared" si="67"/>
        <v>8630.5499999999993</v>
      </c>
      <c r="BL160" s="9">
        <f t="shared" si="68"/>
        <v>2339.84</v>
      </c>
      <c r="BM160" s="9">
        <f t="shared" si="69"/>
        <v>575.37</v>
      </c>
      <c r="BN160" s="9">
        <f t="shared" si="70"/>
        <v>191.79</v>
      </c>
      <c r="BO160" s="9">
        <f t="shared" si="71"/>
        <v>2263.12</v>
      </c>
      <c r="BP160" s="9">
        <f t="shared" si="72"/>
        <v>1380.89</v>
      </c>
      <c r="BQ160" s="9">
        <f t="shared" si="73"/>
        <v>268.51</v>
      </c>
      <c r="BR160" s="9">
        <f t="shared" si="74"/>
        <v>14384.25</v>
      </c>
      <c r="BS160" s="9">
        <f t="shared" si="75"/>
        <v>652.09</v>
      </c>
      <c r="BT160" s="9">
        <f t="shared" si="76"/>
        <v>7863.39</v>
      </c>
      <c r="BU160" s="9">
        <f t="shared" si="77"/>
        <v>9589.5</v>
      </c>
      <c r="BV160" s="17">
        <f t="shared" si="78"/>
        <v>94590.84</v>
      </c>
      <c r="BW160" s="17">
        <v>1.83</v>
      </c>
      <c r="BX160" s="17">
        <v>0.06</v>
      </c>
      <c r="BY160" s="17">
        <v>0.54</v>
      </c>
      <c r="BZ160" s="17">
        <v>0.03</v>
      </c>
      <c r="CA160" s="29">
        <v>6.33</v>
      </c>
      <c r="CB160" s="325"/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H160" s="13">
        <v>0</v>
      </c>
      <c r="CI160" s="13">
        <v>5052.33</v>
      </c>
      <c r="CJ160" s="13">
        <v>25188</v>
      </c>
      <c r="CK160" s="13">
        <v>1475.21</v>
      </c>
      <c r="CL160" s="13">
        <v>1134835.2</v>
      </c>
      <c r="CM160" s="13">
        <v>83735.13</v>
      </c>
      <c r="CN160" s="13">
        <v>147218.12</v>
      </c>
      <c r="CO160" s="13">
        <v>3337.13</v>
      </c>
      <c r="CP160" s="13">
        <v>1764.78</v>
      </c>
      <c r="CQ160" s="13">
        <v>0</v>
      </c>
      <c r="CR160" s="13">
        <v>1066179.8</v>
      </c>
      <c r="CS160" s="13">
        <v>74128.19</v>
      </c>
      <c r="CT160" s="13">
        <v>125212.41</v>
      </c>
      <c r="CU160" s="13">
        <v>19985.990000000002</v>
      </c>
      <c r="CV160" s="13">
        <v>10529.88</v>
      </c>
      <c r="CW160" s="13">
        <v>0</v>
      </c>
      <c r="CX160" s="13">
        <v>215090.6</v>
      </c>
      <c r="CY160" s="13">
        <v>16713.91</v>
      </c>
      <c r="CZ160" s="13">
        <v>20691.099999999999</v>
      </c>
      <c r="DA160" s="13">
        <v>-10818.62</v>
      </c>
      <c r="DB160" s="13">
        <v>-6250.6</v>
      </c>
      <c r="DC160" s="13"/>
      <c r="DD160" s="315">
        <v>1370890.36</v>
      </c>
      <c r="DE160" s="317">
        <v>1296036.27</v>
      </c>
      <c r="DF160" s="317">
        <v>94.54</v>
      </c>
      <c r="DG160" s="318">
        <v>235426.39</v>
      </c>
      <c r="DH160" s="310">
        <v>40304.400000000001</v>
      </c>
      <c r="DI160" s="310">
        <v>23050.560000000001</v>
      </c>
      <c r="DJ160" s="312">
        <v>0</v>
      </c>
      <c r="DK160" s="362">
        <v>0</v>
      </c>
      <c r="DL160" s="362"/>
      <c r="DM160" s="362">
        <v>0</v>
      </c>
      <c r="DN160" s="362">
        <v>0</v>
      </c>
      <c r="DO160" s="362">
        <v>0</v>
      </c>
      <c r="DP160" s="362">
        <v>0</v>
      </c>
      <c r="DQ160" s="362">
        <v>0</v>
      </c>
      <c r="DR160" s="362"/>
      <c r="DS160" s="362">
        <v>0</v>
      </c>
      <c r="DT160" s="362"/>
      <c r="DU160" s="362">
        <v>0</v>
      </c>
      <c r="DV160" s="362">
        <v>0</v>
      </c>
      <c r="DW160" s="362">
        <v>103200</v>
      </c>
      <c r="DX160" s="362">
        <v>0</v>
      </c>
      <c r="DY160" s="362">
        <v>9000</v>
      </c>
      <c r="DZ160" s="375">
        <v>0</v>
      </c>
      <c r="EA160" s="362">
        <v>336648</v>
      </c>
      <c r="EB160" s="362">
        <v>12461</v>
      </c>
      <c r="EC160" s="362"/>
      <c r="ED160" s="362">
        <v>0</v>
      </c>
      <c r="EE160" s="362">
        <v>0</v>
      </c>
      <c r="EF160" s="362"/>
      <c r="EG160" s="362">
        <v>9198</v>
      </c>
      <c r="EH160" s="362">
        <v>0</v>
      </c>
      <c r="EI160" s="362"/>
      <c r="EJ160" s="362">
        <v>0</v>
      </c>
      <c r="EK160" s="362"/>
      <c r="EL160" s="362">
        <v>278976</v>
      </c>
      <c r="EM160" s="362">
        <v>2356.98</v>
      </c>
      <c r="EN160" s="362">
        <v>0</v>
      </c>
      <c r="EO160" s="362">
        <v>0</v>
      </c>
      <c r="EP160" s="362">
        <v>0</v>
      </c>
      <c r="EQ160" s="362">
        <v>0</v>
      </c>
      <c r="ER160" s="362">
        <v>16380</v>
      </c>
      <c r="ES160" s="362">
        <v>0</v>
      </c>
      <c r="ET160" s="362">
        <v>8988</v>
      </c>
      <c r="EU160" s="362">
        <v>0</v>
      </c>
      <c r="EV160" s="362">
        <v>9997.3700000000008</v>
      </c>
      <c r="EW160" s="362"/>
      <c r="EX160" s="202"/>
      <c r="EY160" s="202"/>
      <c r="EZ160" s="229"/>
      <c r="FA160" s="368">
        <v>87660.91</v>
      </c>
      <c r="FB160" s="368">
        <v>175306.61</v>
      </c>
      <c r="FC160" s="368">
        <v>0</v>
      </c>
      <c r="FD160" s="368">
        <v>0</v>
      </c>
      <c r="FE160" s="368">
        <v>-9572.4699999999993</v>
      </c>
      <c r="FF160" s="368">
        <v>-5515.4</v>
      </c>
      <c r="FG160" s="368">
        <v>14097.27</v>
      </c>
      <c r="FH160" s="368">
        <v>6429.93</v>
      </c>
      <c r="FI160" s="368">
        <v>0</v>
      </c>
      <c r="FJ160" s="368">
        <v>0</v>
      </c>
      <c r="FK160" s="368">
        <v>5875.93</v>
      </c>
      <c r="FL160" s="368">
        <v>0</v>
      </c>
      <c r="FM160" s="368">
        <v>102550.35</v>
      </c>
      <c r="FN160" s="368">
        <v>65206.27</v>
      </c>
      <c r="FO160" s="323">
        <v>1018316.93</v>
      </c>
      <c r="FP160" s="323">
        <v>274282.78000000003</v>
      </c>
      <c r="FQ160" s="323">
        <v>1292599.71</v>
      </c>
      <c r="FR160" s="338">
        <v>108584</v>
      </c>
      <c r="FS160" s="338">
        <v>20944.16</v>
      </c>
      <c r="FT160" s="377">
        <v>129528.16</v>
      </c>
      <c r="FU160" s="377">
        <v>1165075.53</v>
      </c>
      <c r="FV160" s="377">
        <v>237530.37</v>
      </c>
      <c r="FW160" s="362">
        <v>1402605.9</v>
      </c>
      <c r="FX160" s="362">
        <v>1058568.93</v>
      </c>
      <c r="FY160" s="362">
        <v>238138.74</v>
      </c>
      <c r="FZ160" s="362">
        <v>1296707.67</v>
      </c>
      <c r="GA160" s="362">
        <v>215090.6</v>
      </c>
      <c r="GB160" s="362">
        <v>20335.79</v>
      </c>
      <c r="GC160" s="362">
        <v>235426.39</v>
      </c>
      <c r="GD160" s="362">
        <v>104857.61</v>
      </c>
      <c r="GE160" s="362">
        <v>-9922.73</v>
      </c>
      <c r="GF160" s="362">
        <v>94934.88</v>
      </c>
      <c r="GG160" s="202"/>
      <c r="GH160" s="416"/>
      <c r="GI160" s="414">
        <v>1947</v>
      </c>
      <c r="GJ160" s="419">
        <v>0</v>
      </c>
      <c r="GK160" s="396"/>
      <c r="GL160" s="202">
        <v>0</v>
      </c>
      <c r="GM160" s="202">
        <v>0</v>
      </c>
      <c r="GN160" s="323">
        <v>146758.6</v>
      </c>
      <c r="GO160" s="323">
        <v>-36752.410000000003</v>
      </c>
      <c r="GP160" s="323">
        <v>110006.19</v>
      </c>
      <c r="GQ160" s="323">
        <v>251616.21</v>
      </c>
      <c r="GR160" s="323">
        <v>-46675.14</v>
      </c>
      <c r="GS160" s="323">
        <v>204941.07</v>
      </c>
    </row>
    <row r="161" spans="1:201" ht="12.75" customHeight="1" x14ac:dyDescent="0.2">
      <c r="A161" s="45" t="s">
        <v>232</v>
      </c>
      <c r="B161" s="60" t="s">
        <v>208</v>
      </c>
      <c r="C161" s="61" t="s">
        <v>44</v>
      </c>
      <c r="D161" s="388" t="s">
        <v>646</v>
      </c>
      <c r="E161" s="61" t="s">
        <v>12</v>
      </c>
      <c r="F161" s="11">
        <v>9</v>
      </c>
      <c r="G161" s="11">
        <v>2</v>
      </c>
      <c r="H161" s="11">
        <v>72</v>
      </c>
      <c r="I161" s="11">
        <v>71</v>
      </c>
      <c r="J161" s="11">
        <v>195</v>
      </c>
      <c r="K161" s="11">
        <v>188</v>
      </c>
      <c r="L161" s="11">
        <v>2</v>
      </c>
      <c r="M161" s="84">
        <v>952.4</v>
      </c>
      <c r="N161" s="84">
        <v>628.79999999999995</v>
      </c>
      <c r="O161" s="84">
        <v>628.79999999999995</v>
      </c>
      <c r="P161" s="135">
        <v>674.8</v>
      </c>
      <c r="Q161" s="135">
        <f>46.9+707.6</f>
        <v>754.5</v>
      </c>
      <c r="R161" s="133">
        <v>0</v>
      </c>
      <c r="S161" s="133">
        <f t="shared" si="79"/>
        <v>1429.3</v>
      </c>
      <c r="T161" s="134">
        <v>674.8</v>
      </c>
      <c r="U161" s="130">
        <v>2.72</v>
      </c>
      <c r="V161" s="91">
        <v>1.21E-2</v>
      </c>
      <c r="W161" s="91">
        <v>1.9800000000000002E-2</v>
      </c>
      <c r="X161" s="132">
        <v>1.2700000000000001E-3</v>
      </c>
      <c r="Y161" s="91">
        <v>1.21E-2</v>
      </c>
      <c r="Z161" s="29">
        <v>3711.85</v>
      </c>
      <c r="AA161" s="29">
        <v>272.5</v>
      </c>
      <c r="AB161" s="9">
        <f t="shared" si="57"/>
        <v>3984.35</v>
      </c>
      <c r="AC161" s="9">
        <f t="shared" si="55"/>
        <v>25220.94</v>
      </c>
      <c r="AD161" s="9">
        <v>2.13</v>
      </c>
      <c r="AE161" s="9">
        <v>3.65</v>
      </c>
      <c r="AF161" s="21">
        <f>2.46-AJ161</f>
        <v>2.31</v>
      </c>
      <c r="AG161" s="18">
        <f>0.61-AQ161</f>
        <v>0.56000000000000005</v>
      </c>
      <c r="AH161" s="9">
        <f>2.78</f>
        <v>2.78</v>
      </c>
      <c r="AI161" s="43">
        <v>604</v>
      </c>
      <c r="AJ161" s="21">
        <f t="shared" si="58"/>
        <v>0.15</v>
      </c>
      <c r="AK161" s="9">
        <v>2.19</v>
      </c>
      <c r="AL161" s="9">
        <v>0.19</v>
      </c>
      <c r="AM161" s="9">
        <v>0.24</v>
      </c>
      <c r="AN161" s="13"/>
      <c r="AO161" s="13">
        <v>446.4</v>
      </c>
      <c r="AP161" s="13">
        <f t="shared" si="80"/>
        <v>5.58</v>
      </c>
      <c r="AQ161" s="18">
        <f t="shared" si="56"/>
        <v>0.05</v>
      </c>
      <c r="AR161" s="9">
        <v>0.54</v>
      </c>
      <c r="AS161" s="9">
        <v>0.35</v>
      </c>
      <c r="AT161" s="9">
        <v>7.0000000000000007E-2</v>
      </c>
      <c r="AU161" s="9">
        <v>4.6900000000000004</v>
      </c>
      <c r="AV161" s="9">
        <v>0.15</v>
      </c>
      <c r="AW161" s="9">
        <f>1.37+0.26+0.41</f>
        <v>2.04</v>
      </c>
      <c r="AX161" s="9">
        <f>1.93+0.55</f>
        <v>2.48</v>
      </c>
      <c r="AY161" s="63">
        <f t="shared" si="81"/>
        <v>24.57</v>
      </c>
      <c r="AZ161" s="13">
        <v>24.57</v>
      </c>
      <c r="BA161" s="13">
        <f t="shared" si="59"/>
        <v>0</v>
      </c>
      <c r="BB161" s="9">
        <f t="shared" si="60"/>
        <v>97895.48</v>
      </c>
      <c r="BC161" s="9">
        <v>24.57</v>
      </c>
      <c r="BD161" s="10">
        <v>44378</v>
      </c>
      <c r="BE161" s="9">
        <f t="shared" si="61"/>
        <v>8486.67</v>
      </c>
      <c r="BF161" s="9">
        <f t="shared" si="62"/>
        <v>14542.88</v>
      </c>
      <c r="BG161" s="9">
        <f t="shared" si="63"/>
        <v>9203.85</v>
      </c>
      <c r="BH161" s="9">
        <f t="shared" si="64"/>
        <v>2231.2399999999998</v>
      </c>
      <c r="BI161" s="9">
        <f t="shared" si="65"/>
        <v>11076.49</v>
      </c>
      <c r="BJ161" s="9">
        <f t="shared" si="66"/>
        <v>597.65</v>
      </c>
      <c r="BK161" s="9">
        <f t="shared" si="67"/>
        <v>8725.73</v>
      </c>
      <c r="BL161" s="9">
        <f t="shared" si="68"/>
        <v>757.03</v>
      </c>
      <c r="BM161" s="9">
        <f t="shared" si="69"/>
        <v>956.24</v>
      </c>
      <c r="BN161" s="9">
        <f t="shared" si="70"/>
        <v>199.22</v>
      </c>
      <c r="BO161" s="9">
        <f t="shared" si="71"/>
        <v>2151.5500000000002</v>
      </c>
      <c r="BP161" s="9">
        <f t="shared" si="72"/>
        <v>1394.52</v>
      </c>
      <c r="BQ161" s="9">
        <f t="shared" si="73"/>
        <v>278.89999999999998</v>
      </c>
      <c r="BR161" s="9">
        <f t="shared" si="74"/>
        <v>18686.599999999999</v>
      </c>
      <c r="BS161" s="9">
        <f t="shared" si="75"/>
        <v>597.65</v>
      </c>
      <c r="BT161" s="9">
        <f t="shared" si="76"/>
        <v>8128.07</v>
      </c>
      <c r="BU161" s="9">
        <f t="shared" si="77"/>
        <v>9881.19</v>
      </c>
      <c r="BV161" s="17">
        <f t="shared" si="78"/>
        <v>97895.48</v>
      </c>
      <c r="BW161" s="17">
        <v>1.85</v>
      </c>
      <c r="BX161" s="17">
        <v>0.06</v>
      </c>
      <c r="BY161" s="17">
        <v>0.54</v>
      </c>
      <c r="BZ161" s="17">
        <v>0.03</v>
      </c>
      <c r="CA161" s="29">
        <v>6.33</v>
      </c>
      <c r="CB161" s="325"/>
      <c r="CC161" s="13">
        <v>80343.960000000006</v>
      </c>
      <c r="CD161" s="13">
        <v>9060.6200000000008</v>
      </c>
      <c r="CE161" s="13">
        <v>234.36</v>
      </c>
      <c r="CF161" s="13">
        <v>0</v>
      </c>
      <c r="CG161" s="13">
        <v>0</v>
      </c>
      <c r="CH161" s="13">
        <v>0</v>
      </c>
      <c r="CI161" s="13">
        <v>6693.97</v>
      </c>
      <c r="CJ161" s="13">
        <v>28788</v>
      </c>
      <c r="CK161" s="13">
        <v>1532.33</v>
      </c>
      <c r="CL161" s="13">
        <v>1094402.04</v>
      </c>
      <c r="CM161" s="13">
        <v>109536.7</v>
      </c>
      <c r="CN161" s="13">
        <v>3192.16</v>
      </c>
      <c r="CO161" s="13">
        <v>0.04</v>
      </c>
      <c r="CP161" s="13">
        <v>0.04</v>
      </c>
      <c r="CQ161" s="13">
        <v>0</v>
      </c>
      <c r="CR161" s="13">
        <v>976906.92</v>
      </c>
      <c r="CS161" s="13">
        <v>99266.37</v>
      </c>
      <c r="CT161" s="13">
        <v>8859.57</v>
      </c>
      <c r="CU161" s="13">
        <v>130.1</v>
      </c>
      <c r="CV161" s="13">
        <v>118.94</v>
      </c>
      <c r="CW161" s="13">
        <v>0</v>
      </c>
      <c r="CX161" s="13">
        <v>248851.73</v>
      </c>
      <c r="CY161" s="13">
        <v>35240.730000000003</v>
      </c>
      <c r="CZ161" s="13">
        <v>1441.57</v>
      </c>
      <c r="DA161" s="13">
        <v>-296.39</v>
      </c>
      <c r="DB161" s="13">
        <v>-313.41000000000003</v>
      </c>
      <c r="DC161" s="13"/>
      <c r="DD161" s="315">
        <v>1207130.98</v>
      </c>
      <c r="DE161" s="317">
        <v>1085281.8999999999</v>
      </c>
      <c r="DF161" s="317">
        <v>89.91</v>
      </c>
      <c r="DG161" s="318">
        <v>284924.23</v>
      </c>
      <c r="DH161" s="310">
        <v>38998.199999999997</v>
      </c>
      <c r="DI161" s="310">
        <v>22303.439999999999</v>
      </c>
      <c r="DJ161" s="312">
        <v>0</v>
      </c>
      <c r="DK161" s="362">
        <v>0</v>
      </c>
      <c r="DL161" s="362"/>
      <c r="DM161" s="362">
        <v>0</v>
      </c>
      <c r="DN161" s="362">
        <v>0</v>
      </c>
      <c r="DO161" s="362">
        <v>0</v>
      </c>
      <c r="DP161" s="362">
        <v>0</v>
      </c>
      <c r="DQ161" s="362">
        <v>0</v>
      </c>
      <c r="DR161" s="362"/>
      <c r="DS161" s="362">
        <v>0</v>
      </c>
      <c r="DT161" s="362"/>
      <c r="DU161" s="362">
        <v>0</v>
      </c>
      <c r="DV161" s="362">
        <v>0</v>
      </c>
      <c r="DW161" s="362">
        <v>103200</v>
      </c>
      <c r="DX161" s="362">
        <v>0</v>
      </c>
      <c r="DY161" s="362">
        <v>0</v>
      </c>
      <c r="DZ161" s="375">
        <v>0</v>
      </c>
      <c r="EA161" s="362">
        <v>0</v>
      </c>
      <c r="EB161" s="362">
        <v>0</v>
      </c>
      <c r="EC161" s="362"/>
      <c r="ED161" s="362">
        <v>302976.90000000002</v>
      </c>
      <c r="EE161" s="362">
        <v>9078</v>
      </c>
      <c r="EF161" s="362"/>
      <c r="EG161" s="362">
        <v>9612</v>
      </c>
      <c r="EH161" s="362">
        <v>0</v>
      </c>
      <c r="EI161" s="362"/>
      <c r="EJ161" s="362">
        <v>0</v>
      </c>
      <c r="EK161" s="362"/>
      <c r="EL161" s="362">
        <v>0</v>
      </c>
      <c r="EM161" s="362">
        <v>2490.9</v>
      </c>
      <c r="EN161" s="362">
        <v>0</v>
      </c>
      <c r="EO161" s="362">
        <v>0</v>
      </c>
      <c r="EP161" s="362">
        <v>250728</v>
      </c>
      <c r="EQ161" s="362">
        <v>0</v>
      </c>
      <c r="ER161" s="362">
        <v>10920</v>
      </c>
      <c r="ES161" s="362">
        <v>6924</v>
      </c>
      <c r="ET161" s="362">
        <v>8723</v>
      </c>
      <c r="EU161" s="362">
        <v>0</v>
      </c>
      <c r="EV161" s="362">
        <v>78944.95</v>
      </c>
      <c r="EW161" s="362"/>
      <c r="EX161" s="202"/>
      <c r="EY161" s="202"/>
      <c r="EZ161" s="229"/>
      <c r="FA161" s="368">
        <v>147732.29</v>
      </c>
      <c r="FB161" s="368">
        <v>3441.13</v>
      </c>
      <c r="FC161" s="368">
        <v>0</v>
      </c>
      <c r="FD161" s="368">
        <v>0</v>
      </c>
      <c r="FE161" s="368">
        <v>0</v>
      </c>
      <c r="FF161" s="368">
        <v>0</v>
      </c>
      <c r="FG161" s="368">
        <v>0</v>
      </c>
      <c r="FH161" s="368">
        <v>-1019.4</v>
      </c>
      <c r="FI161" s="368">
        <v>0</v>
      </c>
      <c r="FJ161" s="368">
        <v>0</v>
      </c>
      <c r="FK161" s="368">
        <v>64010.8</v>
      </c>
      <c r="FL161" s="368">
        <v>0</v>
      </c>
      <c r="FM161" s="368">
        <v>106521.83</v>
      </c>
      <c r="FN161" s="368">
        <v>67731.56</v>
      </c>
      <c r="FO161" s="323">
        <v>1019152.78</v>
      </c>
      <c r="FP161" s="323">
        <v>214164.82</v>
      </c>
      <c r="FQ161" s="323">
        <v>1233317.6000000001</v>
      </c>
      <c r="FR161" s="338">
        <v>168016.72</v>
      </c>
      <c r="FS161" s="338">
        <v>47591.27</v>
      </c>
      <c r="FT161" s="377">
        <v>215607.99</v>
      </c>
      <c r="FU161" s="377">
        <v>1210227.97</v>
      </c>
      <c r="FV161" s="377">
        <v>123556.25</v>
      </c>
      <c r="FW161" s="362">
        <v>1333784.22</v>
      </c>
      <c r="FX161" s="362">
        <v>1094742.29</v>
      </c>
      <c r="FY161" s="362">
        <v>131224.95000000001</v>
      </c>
      <c r="FZ161" s="362">
        <v>1225967.24</v>
      </c>
      <c r="GA161" s="362">
        <v>283502.40000000002</v>
      </c>
      <c r="GB161" s="362">
        <v>39922.57</v>
      </c>
      <c r="GC161" s="362">
        <v>323424.96999999997</v>
      </c>
      <c r="GD161" s="362">
        <v>139374.14000000001</v>
      </c>
      <c r="GE161" s="362">
        <v>17657.73</v>
      </c>
      <c r="GF161" s="362">
        <v>157031.87</v>
      </c>
      <c r="GG161" s="202">
        <v>38500.74</v>
      </c>
      <c r="GH161" s="416">
        <v>90</v>
      </c>
      <c r="GI161" s="414">
        <v>1947</v>
      </c>
      <c r="GJ161" s="419">
        <v>89638.94</v>
      </c>
      <c r="GK161" s="396">
        <v>38500.74</v>
      </c>
      <c r="GL161" s="202">
        <v>34650.665999999997</v>
      </c>
      <c r="GM161" s="202">
        <v>3850.0740000000001</v>
      </c>
      <c r="GN161" s="323">
        <v>191075.19</v>
      </c>
      <c r="GO161" s="323">
        <v>-90608.57</v>
      </c>
      <c r="GP161" s="323">
        <v>100466.62</v>
      </c>
      <c r="GQ161" s="323">
        <v>330449.33</v>
      </c>
      <c r="GR161" s="323">
        <v>-72950.84</v>
      </c>
      <c r="GS161" s="323">
        <v>257498.49</v>
      </c>
    </row>
    <row r="162" spans="1:201" ht="12.75" customHeight="1" x14ac:dyDescent="0.2">
      <c r="A162" s="45" t="s">
        <v>233</v>
      </c>
      <c r="B162" s="60" t="s">
        <v>208</v>
      </c>
      <c r="C162" s="61" t="s">
        <v>11</v>
      </c>
      <c r="D162" s="388" t="s">
        <v>647</v>
      </c>
      <c r="E162" s="61" t="s">
        <v>12</v>
      </c>
      <c r="F162" s="11">
        <v>10</v>
      </c>
      <c r="G162" s="11">
        <v>2</v>
      </c>
      <c r="H162" s="11">
        <v>117</v>
      </c>
      <c r="I162" s="11">
        <v>117</v>
      </c>
      <c r="J162" s="11">
        <v>167</v>
      </c>
      <c r="K162" s="11">
        <v>199</v>
      </c>
      <c r="L162" s="83">
        <v>2</v>
      </c>
      <c r="M162" s="84">
        <v>238.4</v>
      </c>
      <c r="N162" s="84">
        <v>1303.3</v>
      </c>
      <c r="O162" s="84">
        <v>1303.3</v>
      </c>
      <c r="P162" s="135">
        <v>774.8</v>
      </c>
      <c r="Q162" s="135">
        <v>433.7</v>
      </c>
      <c r="R162" s="133">
        <v>433.3</v>
      </c>
      <c r="S162" s="133">
        <f t="shared" si="79"/>
        <v>1641.8</v>
      </c>
      <c r="T162" s="134">
        <v>709.4</v>
      </c>
      <c r="U162" s="130">
        <v>3.03</v>
      </c>
      <c r="V162" s="131">
        <v>7.4000000000000003E-3</v>
      </c>
      <c r="W162" s="131">
        <v>1.1299999999999999E-2</v>
      </c>
      <c r="X162" s="132">
        <v>7.2000000000000005E-4</v>
      </c>
      <c r="Y162" s="131">
        <v>7.4000000000000003E-3</v>
      </c>
      <c r="Z162" s="29">
        <v>3958.26</v>
      </c>
      <c r="AA162" s="29">
        <v>113.3</v>
      </c>
      <c r="AB162" s="9">
        <f t="shared" si="57"/>
        <v>4071.56</v>
      </c>
      <c r="AC162" s="9">
        <f t="shared" si="55"/>
        <v>25772.97</v>
      </c>
      <c r="AD162" s="9">
        <v>1.63</v>
      </c>
      <c r="AE162" s="9">
        <v>3.73</v>
      </c>
      <c r="AF162" s="21">
        <f>2.39-AJ162</f>
        <v>2.08</v>
      </c>
      <c r="AG162" s="18">
        <f>0.6-AQ162</f>
        <v>0.52</v>
      </c>
      <c r="AH162" s="9">
        <v>2.4500000000000002</v>
      </c>
      <c r="AI162" s="43">
        <v>1251</v>
      </c>
      <c r="AJ162" s="21">
        <f t="shared" si="58"/>
        <v>0.31</v>
      </c>
      <c r="AK162" s="9">
        <v>2.12</v>
      </c>
      <c r="AL162" s="9">
        <v>0.19</v>
      </c>
      <c r="AM162" s="9">
        <v>0.14000000000000001</v>
      </c>
      <c r="AN162" s="13"/>
      <c r="AO162" s="13">
        <v>736.8</v>
      </c>
      <c r="AP162" s="13">
        <f t="shared" si="80"/>
        <v>5.58</v>
      </c>
      <c r="AQ162" s="18">
        <f t="shared" si="56"/>
        <v>0.08</v>
      </c>
      <c r="AR162" s="9">
        <v>0.87</v>
      </c>
      <c r="AS162" s="9">
        <v>0.34</v>
      </c>
      <c r="AT162" s="9">
        <v>7.0000000000000007E-2</v>
      </c>
      <c r="AU162" s="9">
        <v>4.38</v>
      </c>
      <c r="AV162" s="9">
        <v>0.14000000000000001</v>
      </c>
      <c r="AW162" s="9">
        <f>1.31+0.42+0.39</f>
        <v>2.12</v>
      </c>
      <c r="AX162" s="9">
        <f>1.85+0.52</f>
        <v>2.37</v>
      </c>
      <c r="AY162" s="63">
        <f t="shared" si="81"/>
        <v>23.54</v>
      </c>
      <c r="AZ162" s="13">
        <v>23.54</v>
      </c>
      <c r="BA162" s="13">
        <f t="shared" si="59"/>
        <v>0</v>
      </c>
      <c r="BB162" s="9">
        <f t="shared" si="60"/>
        <v>95844.52</v>
      </c>
      <c r="BC162" s="9">
        <v>23.54</v>
      </c>
      <c r="BD162" s="10">
        <v>44378</v>
      </c>
      <c r="BE162" s="9">
        <f t="shared" si="61"/>
        <v>6636.64</v>
      </c>
      <c r="BF162" s="9">
        <f t="shared" si="62"/>
        <v>15186.92</v>
      </c>
      <c r="BG162" s="9">
        <f t="shared" si="63"/>
        <v>8468.84</v>
      </c>
      <c r="BH162" s="9">
        <f t="shared" si="64"/>
        <v>2117.21</v>
      </c>
      <c r="BI162" s="9">
        <f t="shared" si="65"/>
        <v>9975.32</v>
      </c>
      <c r="BJ162" s="9">
        <f t="shared" si="66"/>
        <v>1262.18</v>
      </c>
      <c r="BK162" s="9">
        <f t="shared" si="67"/>
        <v>8631.7099999999991</v>
      </c>
      <c r="BL162" s="9">
        <f t="shared" si="68"/>
        <v>773.6</v>
      </c>
      <c r="BM162" s="9">
        <f t="shared" si="69"/>
        <v>570.02</v>
      </c>
      <c r="BN162" s="9">
        <f t="shared" si="70"/>
        <v>325.72000000000003</v>
      </c>
      <c r="BO162" s="9">
        <f t="shared" si="71"/>
        <v>3542.26</v>
      </c>
      <c r="BP162" s="9">
        <f t="shared" si="72"/>
        <v>1384.33</v>
      </c>
      <c r="BQ162" s="9">
        <f t="shared" si="73"/>
        <v>285.01</v>
      </c>
      <c r="BR162" s="9">
        <f t="shared" si="74"/>
        <v>17833.43</v>
      </c>
      <c r="BS162" s="9">
        <f t="shared" si="75"/>
        <v>570.02</v>
      </c>
      <c r="BT162" s="9">
        <f t="shared" si="76"/>
        <v>8631.7099999999991</v>
      </c>
      <c r="BU162" s="9">
        <f t="shared" si="77"/>
        <v>9649.6</v>
      </c>
      <c r="BV162" s="17">
        <f t="shared" si="78"/>
        <v>95844.52</v>
      </c>
      <c r="BW162" s="17">
        <v>5.38</v>
      </c>
      <c r="BX162" s="17">
        <v>0.04</v>
      </c>
      <c r="BY162" s="17">
        <v>0.37</v>
      </c>
      <c r="BZ162" s="17">
        <v>0.02</v>
      </c>
      <c r="CA162" s="29">
        <v>6.33</v>
      </c>
      <c r="CB162" s="325"/>
      <c r="CC162" s="13">
        <v>32004.959999999999</v>
      </c>
      <c r="CD162" s="13">
        <v>5156.28</v>
      </c>
      <c r="CE162" s="13">
        <v>5301.31</v>
      </c>
      <c r="CF162" s="13">
        <v>876.94</v>
      </c>
      <c r="CG162" s="13">
        <v>208.48</v>
      </c>
      <c r="CH162" s="13">
        <v>0</v>
      </c>
      <c r="CI162" s="13">
        <v>4901.43</v>
      </c>
      <c r="CJ162" s="13">
        <v>29808</v>
      </c>
      <c r="CK162" s="13">
        <v>1565.66</v>
      </c>
      <c r="CL162" s="13">
        <v>1118025.8500000001</v>
      </c>
      <c r="CM162" s="13">
        <v>180126.51</v>
      </c>
      <c r="CN162" s="13">
        <v>202044.77</v>
      </c>
      <c r="CO162" s="13">
        <v>13770.21</v>
      </c>
      <c r="CP162" s="13">
        <v>7280.96</v>
      </c>
      <c r="CQ162" s="13">
        <v>0</v>
      </c>
      <c r="CR162" s="13">
        <v>1064788.23</v>
      </c>
      <c r="CS162" s="13">
        <v>167165.23000000001</v>
      </c>
      <c r="CT162" s="13">
        <v>181960.48</v>
      </c>
      <c r="CU162" s="13">
        <v>13041.45</v>
      </c>
      <c r="CV162" s="13">
        <v>6806.7</v>
      </c>
      <c r="CW162" s="13">
        <v>0</v>
      </c>
      <c r="CX162" s="13">
        <v>167907.39</v>
      </c>
      <c r="CY162" s="13">
        <v>37771.07</v>
      </c>
      <c r="CZ162" s="13">
        <v>29353.38</v>
      </c>
      <c r="DA162" s="13">
        <v>895.13</v>
      </c>
      <c r="DB162" s="13">
        <v>435.09</v>
      </c>
      <c r="DC162" s="13"/>
      <c r="DD162" s="315">
        <v>1521248.3</v>
      </c>
      <c r="DE162" s="317">
        <v>1433762.09</v>
      </c>
      <c r="DF162" s="317">
        <v>94.25</v>
      </c>
      <c r="DG162" s="318">
        <v>236362.06</v>
      </c>
      <c r="DH162" s="310">
        <v>41576.400000000001</v>
      </c>
      <c r="DI162" s="310">
        <v>23778</v>
      </c>
      <c r="DJ162" s="312">
        <v>0</v>
      </c>
      <c r="DK162" s="362">
        <v>0</v>
      </c>
      <c r="DL162" s="362"/>
      <c r="DM162" s="362">
        <v>0</v>
      </c>
      <c r="DN162" s="362">
        <v>0</v>
      </c>
      <c r="DO162" s="362">
        <v>0</v>
      </c>
      <c r="DP162" s="362">
        <v>0</v>
      </c>
      <c r="DQ162" s="362">
        <v>0</v>
      </c>
      <c r="DR162" s="362"/>
      <c r="DS162" s="362">
        <v>0</v>
      </c>
      <c r="DT162" s="362"/>
      <c r="DU162" s="362">
        <v>0</v>
      </c>
      <c r="DV162" s="362">
        <v>0</v>
      </c>
      <c r="DW162" s="362">
        <v>103200</v>
      </c>
      <c r="DX162" s="362">
        <v>0</v>
      </c>
      <c r="DY162" s="362">
        <v>9000</v>
      </c>
      <c r="DZ162" s="375">
        <v>0</v>
      </c>
      <c r="EA162" s="362">
        <v>0</v>
      </c>
      <c r="EB162" s="362">
        <v>0</v>
      </c>
      <c r="EC162" s="362"/>
      <c r="ED162" s="362">
        <v>289724.64</v>
      </c>
      <c r="EE162" s="362">
        <v>9078</v>
      </c>
      <c r="EF162" s="362"/>
      <c r="EG162" s="362">
        <v>19908</v>
      </c>
      <c r="EH162" s="362">
        <v>0</v>
      </c>
      <c r="EI162" s="362"/>
      <c r="EJ162" s="362">
        <v>0</v>
      </c>
      <c r="EK162" s="362"/>
      <c r="EL162" s="362">
        <v>0</v>
      </c>
      <c r="EM162" s="362">
        <v>4111.3500000000004</v>
      </c>
      <c r="EN162" s="362">
        <v>0</v>
      </c>
      <c r="EO162" s="362">
        <v>0</v>
      </c>
      <c r="EP162" s="362">
        <v>230874</v>
      </c>
      <c r="EQ162" s="362">
        <v>0</v>
      </c>
      <c r="ER162" s="362">
        <v>16380</v>
      </c>
      <c r="ES162" s="362">
        <v>6924</v>
      </c>
      <c r="ET162" s="362">
        <v>13747</v>
      </c>
      <c r="EU162" s="362">
        <v>0</v>
      </c>
      <c r="EV162" s="362">
        <v>22001</v>
      </c>
      <c r="EW162" s="362"/>
      <c r="EX162" s="202"/>
      <c r="EY162" s="202"/>
      <c r="EZ162" s="229"/>
      <c r="FA162" s="368">
        <v>207580.87</v>
      </c>
      <c r="FB162" s="368">
        <v>279252.78999999998</v>
      </c>
      <c r="FC162" s="368">
        <v>0</v>
      </c>
      <c r="FD162" s="368">
        <v>0</v>
      </c>
      <c r="FE162" s="368">
        <v>2405.14</v>
      </c>
      <c r="FF162" s="368">
        <v>1259.17</v>
      </c>
      <c r="FG162" s="368">
        <v>2188.94</v>
      </c>
      <c r="FH162" s="368">
        <v>104.43</v>
      </c>
      <c r="FI162" s="368">
        <v>0</v>
      </c>
      <c r="FJ162" s="368">
        <v>0</v>
      </c>
      <c r="FK162" s="368">
        <v>0</v>
      </c>
      <c r="FL162" s="368">
        <v>0</v>
      </c>
      <c r="FM162" s="368">
        <v>108845.22</v>
      </c>
      <c r="FN162" s="368">
        <v>69208.77</v>
      </c>
      <c r="FO162" s="323">
        <v>968356.38</v>
      </c>
      <c r="FP162" s="323">
        <v>492791.34</v>
      </c>
      <c r="FQ162" s="323">
        <v>1461147.72</v>
      </c>
      <c r="FR162" s="338">
        <v>109462.7</v>
      </c>
      <c r="FS162" s="338">
        <v>47161.14</v>
      </c>
      <c r="FT162" s="377">
        <v>156623.84</v>
      </c>
      <c r="FU162" s="377">
        <v>1184740.24</v>
      </c>
      <c r="FV162" s="377">
        <v>416331.12</v>
      </c>
      <c r="FW162" s="362">
        <v>1601071.36</v>
      </c>
      <c r="FX162" s="362">
        <v>1114413.3500000001</v>
      </c>
      <c r="FY162" s="362">
        <v>390642.81</v>
      </c>
      <c r="FZ162" s="362">
        <v>1505056.16</v>
      </c>
      <c r="GA162" s="362">
        <v>179789.59</v>
      </c>
      <c r="GB162" s="362">
        <v>72849.45</v>
      </c>
      <c r="GC162" s="362">
        <v>252639.04</v>
      </c>
      <c r="GD162" s="362">
        <v>90542.98</v>
      </c>
      <c r="GE162" s="362">
        <v>-47079.54</v>
      </c>
      <c r="GF162" s="362">
        <v>43463.44</v>
      </c>
      <c r="GG162" s="202">
        <v>16276.98</v>
      </c>
      <c r="GH162" s="416">
        <v>73</v>
      </c>
      <c r="GI162" s="414">
        <v>2540</v>
      </c>
      <c r="GJ162" s="419">
        <v>43547.97</v>
      </c>
      <c r="GK162" s="396">
        <v>16276.98</v>
      </c>
      <c r="GL162" s="202">
        <v>11882.195400000001</v>
      </c>
      <c r="GM162" s="202">
        <v>4394.7846</v>
      </c>
      <c r="GN162" s="323">
        <v>216383.86</v>
      </c>
      <c r="GO162" s="323">
        <v>-76460.22</v>
      </c>
      <c r="GP162" s="323">
        <v>139923.64000000001</v>
      </c>
      <c r="GQ162" s="323">
        <v>306926.84000000003</v>
      </c>
      <c r="GR162" s="323">
        <v>-123539.76</v>
      </c>
      <c r="GS162" s="323">
        <v>183387.08</v>
      </c>
    </row>
    <row r="163" spans="1:201" ht="12.75" customHeight="1" x14ac:dyDescent="0.2">
      <c r="A163" s="45" t="s">
        <v>234</v>
      </c>
      <c r="B163" s="60" t="s">
        <v>208</v>
      </c>
      <c r="C163" s="61" t="s">
        <v>46</v>
      </c>
      <c r="D163" s="388" t="s">
        <v>468</v>
      </c>
      <c r="E163" s="61" t="s">
        <v>12</v>
      </c>
      <c r="F163" s="11">
        <v>9</v>
      </c>
      <c r="G163" s="11">
        <v>2</v>
      </c>
      <c r="H163" s="11">
        <v>72</v>
      </c>
      <c r="I163" s="11">
        <v>72</v>
      </c>
      <c r="J163" s="11">
        <v>171</v>
      </c>
      <c r="K163" s="11">
        <v>175</v>
      </c>
      <c r="L163" s="83">
        <v>2</v>
      </c>
      <c r="M163" s="84">
        <v>940.6</v>
      </c>
      <c r="N163" s="84">
        <v>584</v>
      </c>
      <c r="O163" s="84">
        <v>584</v>
      </c>
      <c r="P163" s="139">
        <v>599.5</v>
      </c>
      <c r="Q163" s="135">
        <v>619.9</v>
      </c>
      <c r="R163" s="133">
        <v>0</v>
      </c>
      <c r="S163" s="133">
        <f t="shared" si="79"/>
        <v>1219.4000000000001</v>
      </c>
      <c r="T163" s="139">
        <v>645.70000000000005</v>
      </c>
      <c r="U163" s="130">
        <v>2.72</v>
      </c>
      <c r="V163" s="131">
        <v>1.21E-2</v>
      </c>
      <c r="W163" s="131">
        <v>1.9800000000000002E-2</v>
      </c>
      <c r="X163" s="132">
        <v>1.2700000000000001E-3</v>
      </c>
      <c r="Y163" s="131">
        <v>1.21E-2</v>
      </c>
      <c r="Z163" s="29">
        <v>3830.62</v>
      </c>
      <c r="AA163" s="29"/>
      <c r="AB163" s="9">
        <f t="shared" si="57"/>
        <v>3830.62</v>
      </c>
      <c r="AC163" s="9">
        <f t="shared" si="55"/>
        <v>24247.82</v>
      </c>
      <c r="AD163" s="9">
        <v>2.15</v>
      </c>
      <c r="AE163" s="9">
        <v>3.8</v>
      </c>
      <c r="AF163" s="21">
        <f>2.46-AJ163</f>
        <v>2.31</v>
      </c>
      <c r="AG163" s="18">
        <f>0.62-AQ163</f>
        <v>0.56999999999999995</v>
      </c>
      <c r="AH163" s="9">
        <v>2.78</v>
      </c>
      <c r="AI163" s="43">
        <v>561</v>
      </c>
      <c r="AJ163" s="21">
        <f t="shared" si="58"/>
        <v>0.15</v>
      </c>
      <c r="AK163" s="9">
        <v>2.25</v>
      </c>
      <c r="AL163" s="9">
        <v>0.2</v>
      </c>
      <c r="AM163" s="9">
        <v>0.25</v>
      </c>
      <c r="AN163" s="13"/>
      <c r="AO163" s="13">
        <v>446.4</v>
      </c>
      <c r="AP163" s="13">
        <f t="shared" si="80"/>
        <v>5.58</v>
      </c>
      <c r="AQ163" s="18">
        <f t="shared" si="56"/>
        <v>0.05</v>
      </c>
      <c r="AR163" s="9">
        <v>0.59</v>
      </c>
      <c r="AS163" s="9">
        <v>0.36</v>
      </c>
      <c r="AT163" s="9">
        <v>7.0000000000000007E-2</v>
      </c>
      <c r="AU163" s="9">
        <v>3.85</v>
      </c>
      <c r="AV163" s="9">
        <v>0.17</v>
      </c>
      <c r="AW163" s="9">
        <f>1.39+0.26+0.34</f>
        <v>1.99</v>
      </c>
      <c r="AX163" s="9">
        <f>1.97+0.45</f>
        <v>2.42</v>
      </c>
      <c r="AY163" s="63">
        <f t="shared" si="81"/>
        <v>23.96</v>
      </c>
      <c r="AZ163" s="13">
        <v>23.96</v>
      </c>
      <c r="BA163" s="13">
        <f t="shared" si="59"/>
        <v>0</v>
      </c>
      <c r="BB163" s="9">
        <f t="shared" si="60"/>
        <v>91781.66</v>
      </c>
      <c r="BC163" s="9">
        <v>23.96</v>
      </c>
      <c r="BD163" s="10">
        <v>44378</v>
      </c>
      <c r="BE163" s="9">
        <f t="shared" si="61"/>
        <v>8235.83</v>
      </c>
      <c r="BF163" s="9">
        <f t="shared" si="62"/>
        <v>14556.36</v>
      </c>
      <c r="BG163" s="9">
        <f t="shared" si="63"/>
        <v>8848.73</v>
      </c>
      <c r="BH163" s="9">
        <f t="shared" si="64"/>
        <v>2183.4499999999998</v>
      </c>
      <c r="BI163" s="9">
        <f t="shared" si="65"/>
        <v>10649.12</v>
      </c>
      <c r="BJ163" s="9">
        <f t="shared" si="66"/>
        <v>574.59</v>
      </c>
      <c r="BK163" s="9">
        <f t="shared" si="67"/>
        <v>8618.9</v>
      </c>
      <c r="BL163" s="9">
        <f t="shared" si="68"/>
        <v>766.12</v>
      </c>
      <c r="BM163" s="9">
        <f t="shared" si="69"/>
        <v>957.66</v>
      </c>
      <c r="BN163" s="9">
        <f t="shared" si="70"/>
        <v>191.53</v>
      </c>
      <c r="BO163" s="9">
        <f t="shared" si="71"/>
        <v>2260.0700000000002</v>
      </c>
      <c r="BP163" s="9">
        <f t="shared" si="72"/>
        <v>1379.02</v>
      </c>
      <c r="BQ163" s="9">
        <f t="shared" si="73"/>
        <v>268.14</v>
      </c>
      <c r="BR163" s="9">
        <f t="shared" si="74"/>
        <v>14747.89</v>
      </c>
      <c r="BS163" s="9">
        <f t="shared" si="75"/>
        <v>651.21</v>
      </c>
      <c r="BT163" s="9">
        <f t="shared" si="76"/>
        <v>7622.93</v>
      </c>
      <c r="BU163" s="9">
        <f t="shared" si="77"/>
        <v>9270.1</v>
      </c>
      <c r="BV163" s="17">
        <f t="shared" si="78"/>
        <v>91781.65</v>
      </c>
      <c r="BW163" s="17">
        <v>1.84</v>
      </c>
      <c r="BX163" s="17">
        <v>0.06</v>
      </c>
      <c r="BY163" s="17">
        <v>0.54</v>
      </c>
      <c r="BZ163" s="17">
        <v>0.03</v>
      </c>
      <c r="CA163" s="29">
        <v>6.33</v>
      </c>
      <c r="CB163" s="325"/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H163" s="13">
        <v>0</v>
      </c>
      <c r="CI163" s="13">
        <v>894.81</v>
      </c>
      <c r="CJ163" s="13">
        <v>28788</v>
      </c>
      <c r="CK163" s="13">
        <v>1473.25</v>
      </c>
      <c r="CL163" s="13">
        <v>1101454.67</v>
      </c>
      <c r="CM163" s="13">
        <v>124124.3</v>
      </c>
      <c r="CN163" s="13">
        <v>35970.129999999997</v>
      </c>
      <c r="CO163" s="13">
        <v>0</v>
      </c>
      <c r="CP163" s="13">
        <v>0</v>
      </c>
      <c r="CQ163" s="13">
        <v>0</v>
      </c>
      <c r="CR163" s="13">
        <v>1089008.94</v>
      </c>
      <c r="CS163" s="13">
        <v>108302.53</v>
      </c>
      <c r="CT163" s="13">
        <v>38283.69</v>
      </c>
      <c r="CU163" s="13">
        <v>125.09</v>
      </c>
      <c r="CV163" s="13">
        <v>103.09</v>
      </c>
      <c r="CW163" s="13">
        <v>0</v>
      </c>
      <c r="CX163" s="13">
        <v>89608</v>
      </c>
      <c r="CY163" s="13">
        <v>20868.97</v>
      </c>
      <c r="CZ163" s="13">
        <v>-1181.22</v>
      </c>
      <c r="DA163" s="13">
        <v>-355.52</v>
      </c>
      <c r="DB163" s="13">
        <v>-340.5</v>
      </c>
      <c r="DC163" s="13"/>
      <c r="DD163" s="315">
        <v>1261549.1000000001</v>
      </c>
      <c r="DE163" s="317">
        <v>1235823.3400000001</v>
      </c>
      <c r="DF163" s="317">
        <v>97.96</v>
      </c>
      <c r="DG163" s="318">
        <v>108599.73</v>
      </c>
      <c r="DH163" s="310">
        <v>40251.120000000003</v>
      </c>
      <c r="DI163" s="310">
        <v>23020.080000000002</v>
      </c>
      <c r="DJ163" s="312">
        <v>0</v>
      </c>
      <c r="DK163" s="362">
        <v>0</v>
      </c>
      <c r="DL163" s="362"/>
      <c r="DM163" s="362">
        <v>0</v>
      </c>
      <c r="DN163" s="362">
        <v>0</v>
      </c>
      <c r="DO163" s="362">
        <v>0</v>
      </c>
      <c r="DP163" s="362">
        <v>0</v>
      </c>
      <c r="DQ163" s="362">
        <v>0</v>
      </c>
      <c r="DR163" s="362"/>
      <c r="DS163" s="362">
        <v>0</v>
      </c>
      <c r="DT163" s="362"/>
      <c r="DU163" s="362">
        <v>0</v>
      </c>
      <c r="DV163" s="362">
        <v>0</v>
      </c>
      <c r="DW163" s="362">
        <v>103200</v>
      </c>
      <c r="DX163" s="362">
        <v>0</v>
      </c>
      <c r="DY163" s="362">
        <v>9000</v>
      </c>
      <c r="DZ163" s="375">
        <v>0</v>
      </c>
      <c r="EA163" s="362">
        <v>0</v>
      </c>
      <c r="EB163" s="362">
        <v>0</v>
      </c>
      <c r="EC163" s="362"/>
      <c r="ED163" s="362">
        <v>302718.12</v>
      </c>
      <c r="EE163" s="362">
        <v>9078</v>
      </c>
      <c r="EF163" s="362"/>
      <c r="EG163" s="362">
        <v>8928</v>
      </c>
      <c r="EH163" s="362">
        <v>0</v>
      </c>
      <c r="EI163" s="362"/>
      <c r="EJ163" s="362">
        <v>0</v>
      </c>
      <c r="EK163" s="362"/>
      <c r="EL163" s="362">
        <v>0</v>
      </c>
      <c r="EM163" s="362">
        <v>2490.9</v>
      </c>
      <c r="EN163" s="362">
        <v>0</v>
      </c>
      <c r="EO163" s="362">
        <v>0</v>
      </c>
      <c r="EP163" s="362">
        <v>243936</v>
      </c>
      <c r="EQ163" s="362">
        <v>0</v>
      </c>
      <c r="ER163" s="362">
        <v>13650</v>
      </c>
      <c r="ES163" s="362">
        <v>11304</v>
      </c>
      <c r="ET163" s="362">
        <v>8988</v>
      </c>
      <c r="EU163" s="362">
        <v>0</v>
      </c>
      <c r="EV163" s="362">
        <v>110442.07</v>
      </c>
      <c r="EW163" s="362"/>
      <c r="EX163" s="202"/>
      <c r="EY163" s="202"/>
      <c r="EZ163" s="229"/>
      <c r="FA163" s="368">
        <v>191809.05</v>
      </c>
      <c r="FB163" s="368">
        <v>0</v>
      </c>
      <c r="FC163" s="368">
        <v>0</v>
      </c>
      <c r="FD163" s="368">
        <v>0</v>
      </c>
      <c r="FE163" s="368">
        <v>0</v>
      </c>
      <c r="FF163" s="368">
        <v>0</v>
      </c>
      <c r="FG163" s="368">
        <v>0</v>
      </c>
      <c r="FH163" s="368">
        <v>-980.06</v>
      </c>
      <c r="FI163" s="368">
        <v>0</v>
      </c>
      <c r="FJ163" s="368">
        <v>0</v>
      </c>
      <c r="FK163" s="368">
        <v>0</v>
      </c>
      <c r="FL163" s="368">
        <v>0</v>
      </c>
      <c r="FM163" s="368">
        <v>102411.85</v>
      </c>
      <c r="FN163" s="368">
        <v>65124.43</v>
      </c>
      <c r="FO163" s="323">
        <v>1054542.57</v>
      </c>
      <c r="FP163" s="323">
        <v>190828.99</v>
      </c>
      <c r="FQ163" s="323">
        <v>1245371.56</v>
      </c>
      <c r="FR163" s="338">
        <v>58546.96</v>
      </c>
      <c r="FS163" s="338">
        <v>7148.21</v>
      </c>
      <c r="FT163" s="377">
        <v>65695.17</v>
      </c>
      <c r="FU163" s="377">
        <v>1131137.48</v>
      </c>
      <c r="FV163" s="377">
        <v>161567.67999999999</v>
      </c>
      <c r="FW163" s="362">
        <v>1292705.1599999999</v>
      </c>
      <c r="FX163" s="362">
        <v>1100076.44</v>
      </c>
      <c r="FY163" s="362">
        <v>149724.16</v>
      </c>
      <c r="FZ163" s="362">
        <v>1249800.6000000001</v>
      </c>
      <c r="GA163" s="362">
        <v>89608</v>
      </c>
      <c r="GB163" s="362">
        <v>18991.73</v>
      </c>
      <c r="GC163" s="362">
        <v>108599.73</v>
      </c>
      <c r="GD163" s="362">
        <v>3349.1</v>
      </c>
      <c r="GE163" s="362">
        <v>-16053.57</v>
      </c>
      <c r="GF163" s="362">
        <v>-12704.47</v>
      </c>
      <c r="GG163" s="202"/>
      <c r="GH163" s="416"/>
      <c r="GI163" s="414">
        <v>1947</v>
      </c>
      <c r="GJ163" s="419">
        <v>0</v>
      </c>
      <c r="GK163" s="396"/>
      <c r="GL163" s="202">
        <v>0</v>
      </c>
      <c r="GM163" s="202">
        <v>0</v>
      </c>
      <c r="GN163" s="323">
        <v>76594.91</v>
      </c>
      <c r="GO163" s="323">
        <v>-29261.31</v>
      </c>
      <c r="GP163" s="323">
        <v>47333.599999999999</v>
      </c>
      <c r="GQ163" s="323">
        <v>79944.009999999995</v>
      </c>
      <c r="GR163" s="323">
        <v>-45314.879999999997</v>
      </c>
      <c r="GS163" s="323">
        <v>34629.129999999997</v>
      </c>
    </row>
    <row r="164" spans="1:201" ht="12.75" customHeight="1" x14ac:dyDescent="0.2">
      <c r="A164" s="45" t="s">
        <v>236</v>
      </c>
      <c r="B164" s="66" t="s">
        <v>208</v>
      </c>
      <c r="C164" s="67" t="s">
        <v>17</v>
      </c>
      <c r="D164" s="388" t="s">
        <v>469</v>
      </c>
      <c r="E164" s="67" t="s">
        <v>12</v>
      </c>
      <c r="F164" s="11">
        <v>5</v>
      </c>
      <c r="G164" s="11">
        <v>4</v>
      </c>
      <c r="H164" s="11">
        <v>70</v>
      </c>
      <c r="I164" s="11">
        <v>70</v>
      </c>
      <c r="J164" s="11">
        <v>159</v>
      </c>
      <c r="K164" s="11">
        <v>169</v>
      </c>
      <c r="L164" s="11" t="s">
        <v>746</v>
      </c>
      <c r="M164" s="84">
        <v>276.5</v>
      </c>
      <c r="N164" s="84">
        <v>925.6</v>
      </c>
      <c r="O164" s="84">
        <v>925.6</v>
      </c>
      <c r="P164" s="139">
        <v>296.60000000000002</v>
      </c>
      <c r="Q164" s="135">
        <v>750.8</v>
      </c>
      <c r="R164" s="133">
        <v>925.6</v>
      </c>
      <c r="S164" s="133">
        <f t="shared" si="79"/>
        <v>1973</v>
      </c>
      <c r="T164" s="139">
        <v>276.5</v>
      </c>
      <c r="U164" s="130">
        <v>1.53</v>
      </c>
      <c r="V164" s="131">
        <v>1.9800000000000002E-2</v>
      </c>
      <c r="W164" s="131">
        <v>1.9800000000000002E-2</v>
      </c>
      <c r="X164" s="132">
        <v>1.2199999999999999E-3</v>
      </c>
      <c r="Y164" s="131">
        <v>3.95E-2</v>
      </c>
      <c r="Z164" s="29">
        <v>3415.33</v>
      </c>
      <c r="AA164" s="29"/>
      <c r="AB164" s="9">
        <f t="shared" si="57"/>
        <v>3415.33</v>
      </c>
      <c r="AC164" s="9">
        <f t="shared" si="55"/>
        <v>21619.040000000001</v>
      </c>
      <c r="AD164" s="9">
        <v>0.41</v>
      </c>
      <c r="AE164" s="9">
        <v>4.3499999999999996</v>
      </c>
      <c r="AF164" s="21">
        <f>2.44-AJ164</f>
        <v>2.1800000000000002</v>
      </c>
      <c r="AG164" s="18">
        <f>0.53-AQ164</f>
        <v>0.45</v>
      </c>
      <c r="AH164" s="9">
        <v>2.78</v>
      </c>
      <c r="AI164" s="43">
        <v>889</v>
      </c>
      <c r="AJ164" s="21">
        <f t="shared" si="58"/>
        <v>0.26</v>
      </c>
      <c r="AK164" s="9">
        <v>0</v>
      </c>
      <c r="AL164" s="9">
        <v>0</v>
      </c>
      <c r="AM164" s="9">
        <v>0.17</v>
      </c>
      <c r="AN164" s="13"/>
      <c r="AO164" s="13">
        <v>598.4</v>
      </c>
      <c r="AP164" s="13">
        <f t="shared" si="80"/>
        <v>5.58</v>
      </c>
      <c r="AQ164" s="18">
        <f t="shared" si="56"/>
        <v>0.08</v>
      </c>
      <c r="AR164" s="9">
        <v>0.74</v>
      </c>
      <c r="AS164" s="9">
        <v>0.4</v>
      </c>
      <c r="AT164" s="9">
        <v>7.0000000000000007E-2</v>
      </c>
      <c r="AU164" s="9">
        <v>4.01</v>
      </c>
      <c r="AV164" s="9">
        <v>0.12</v>
      </c>
      <c r="AW164" s="9">
        <f>1.06+0.29+0.35</f>
        <v>1.7</v>
      </c>
      <c r="AX164" s="9">
        <f>1.46+0.48</f>
        <v>1.94</v>
      </c>
      <c r="AY164" s="69">
        <f t="shared" si="81"/>
        <v>19.66</v>
      </c>
      <c r="AZ164" s="13">
        <v>19.66</v>
      </c>
      <c r="BA164" s="13">
        <f t="shared" si="59"/>
        <v>0</v>
      </c>
      <c r="BB164" s="9">
        <f t="shared" si="60"/>
        <v>67145.39</v>
      </c>
      <c r="BC164" s="9">
        <v>19.66</v>
      </c>
      <c r="BD164" s="10">
        <v>44409</v>
      </c>
      <c r="BE164" s="9">
        <f t="shared" si="61"/>
        <v>1400.29</v>
      </c>
      <c r="BF164" s="9">
        <f t="shared" si="62"/>
        <v>14856.69</v>
      </c>
      <c r="BG164" s="9">
        <f t="shared" si="63"/>
        <v>7445.42</v>
      </c>
      <c r="BH164" s="9">
        <f t="shared" si="64"/>
        <v>1536.9</v>
      </c>
      <c r="BI164" s="9">
        <f t="shared" si="65"/>
        <v>9494.6200000000008</v>
      </c>
      <c r="BJ164" s="9">
        <f t="shared" si="66"/>
        <v>887.99</v>
      </c>
      <c r="BK164" s="9">
        <f t="shared" si="67"/>
        <v>0</v>
      </c>
      <c r="BL164" s="9">
        <f t="shared" si="68"/>
        <v>0</v>
      </c>
      <c r="BM164" s="9">
        <f t="shared" si="69"/>
        <v>580.61</v>
      </c>
      <c r="BN164" s="9">
        <f t="shared" si="70"/>
        <v>273.23</v>
      </c>
      <c r="BO164" s="9">
        <f t="shared" si="71"/>
        <v>2527.34</v>
      </c>
      <c r="BP164" s="9">
        <f t="shared" si="72"/>
        <v>1366.13</v>
      </c>
      <c r="BQ164" s="9">
        <f t="shared" si="73"/>
        <v>239.07</v>
      </c>
      <c r="BR164" s="9">
        <f t="shared" si="74"/>
        <v>13695.47</v>
      </c>
      <c r="BS164" s="9">
        <f t="shared" si="75"/>
        <v>409.84</v>
      </c>
      <c r="BT164" s="9">
        <f t="shared" si="76"/>
        <v>5806.06</v>
      </c>
      <c r="BU164" s="9">
        <f t="shared" si="77"/>
        <v>6625.74</v>
      </c>
      <c r="BV164" s="17">
        <f t="shared" si="78"/>
        <v>67145.399999999994</v>
      </c>
      <c r="BW164" s="17">
        <v>1.89</v>
      </c>
      <c r="BX164" s="17">
        <v>0.05</v>
      </c>
      <c r="BY164" s="17">
        <v>0.27</v>
      </c>
      <c r="BZ164" s="17">
        <v>0.05</v>
      </c>
      <c r="CA164" s="29">
        <v>6.33</v>
      </c>
      <c r="CB164" s="325"/>
      <c r="CC164" s="13">
        <v>0</v>
      </c>
      <c r="CD164" s="13">
        <v>0</v>
      </c>
      <c r="CE164" s="13">
        <v>0</v>
      </c>
      <c r="CF164" s="13">
        <v>0</v>
      </c>
      <c r="CG164" s="13">
        <v>0</v>
      </c>
      <c r="CH164" s="13">
        <v>0</v>
      </c>
      <c r="CI164" s="13">
        <v>11293.03</v>
      </c>
      <c r="CJ164" s="13">
        <v>11172</v>
      </c>
      <c r="CK164" s="13">
        <v>1313.5</v>
      </c>
      <c r="CL164" s="13">
        <v>805744.2</v>
      </c>
      <c r="CM164" s="13">
        <v>169946.94</v>
      </c>
      <c r="CN164" s="13">
        <v>0</v>
      </c>
      <c r="CO164" s="13">
        <v>341.53</v>
      </c>
      <c r="CP164" s="13">
        <v>1093.2</v>
      </c>
      <c r="CQ164" s="13">
        <v>0</v>
      </c>
      <c r="CR164" s="13">
        <v>759031.09</v>
      </c>
      <c r="CS164" s="13">
        <v>162741.29</v>
      </c>
      <c r="CT164" s="13">
        <v>407.91</v>
      </c>
      <c r="CU164" s="13">
        <v>1747.26</v>
      </c>
      <c r="CV164" s="13">
        <v>1568.53</v>
      </c>
      <c r="CW164" s="13">
        <v>0</v>
      </c>
      <c r="CX164" s="13">
        <v>110071.82</v>
      </c>
      <c r="CY164" s="13">
        <v>27985.67</v>
      </c>
      <c r="CZ164" s="13">
        <v>-842.06</v>
      </c>
      <c r="DA164" s="13">
        <v>55.06</v>
      </c>
      <c r="DB164" s="13">
        <v>141.56</v>
      </c>
      <c r="DC164" s="13"/>
      <c r="DD164" s="315">
        <v>977125.87</v>
      </c>
      <c r="DE164" s="317">
        <v>925496.08</v>
      </c>
      <c r="DF164" s="317">
        <v>94.72</v>
      </c>
      <c r="DG164" s="318">
        <v>137412.04999999999</v>
      </c>
      <c r="DH164" s="310">
        <v>35886.36</v>
      </c>
      <c r="DI164" s="310">
        <v>20523.72</v>
      </c>
      <c r="DJ164" s="312">
        <v>0</v>
      </c>
      <c r="DK164" s="362">
        <v>0</v>
      </c>
      <c r="DL164" s="362"/>
      <c r="DM164" s="362">
        <v>0</v>
      </c>
      <c r="DN164" s="362">
        <v>0</v>
      </c>
      <c r="DO164" s="362">
        <v>0</v>
      </c>
      <c r="DP164" s="362">
        <v>0</v>
      </c>
      <c r="DQ164" s="362">
        <v>0</v>
      </c>
      <c r="DR164" s="362"/>
      <c r="DS164" s="362">
        <v>0</v>
      </c>
      <c r="DT164" s="362"/>
      <c r="DU164" s="362">
        <v>0</v>
      </c>
      <c r="DV164" s="362">
        <v>0</v>
      </c>
      <c r="DW164" s="362">
        <v>0</v>
      </c>
      <c r="DX164" s="362">
        <v>0</v>
      </c>
      <c r="DY164" s="362">
        <v>0</v>
      </c>
      <c r="DZ164" s="375">
        <v>0</v>
      </c>
      <c r="EA164" s="362">
        <v>0</v>
      </c>
      <c r="EB164" s="362">
        <v>0</v>
      </c>
      <c r="EC164" s="362"/>
      <c r="ED164" s="362">
        <v>217375.2</v>
      </c>
      <c r="EE164" s="362">
        <v>7650</v>
      </c>
      <c r="EF164" s="362"/>
      <c r="EG164" s="362">
        <v>14148</v>
      </c>
      <c r="EH164" s="362">
        <v>46480</v>
      </c>
      <c r="EI164" s="362"/>
      <c r="EJ164" s="362">
        <v>29540</v>
      </c>
      <c r="EK164" s="362"/>
      <c r="EL164" s="362">
        <v>0</v>
      </c>
      <c r="EM164" s="362">
        <v>3339.06</v>
      </c>
      <c r="EN164" s="362">
        <v>0</v>
      </c>
      <c r="EO164" s="362">
        <v>0</v>
      </c>
      <c r="EP164" s="362">
        <v>208866</v>
      </c>
      <c r="EQ164" s="362">
        <v>0</v>
      </c>
      <c r="ER164" s="362">
        <v>16380</v>
      </c>
      <c r="ES164" s="362">
        <v>5193</v>
      </c>
      <c r="ET164" s="362">
        <v>0</v>
      </c>
      <c r="EU164" s="362">
        <v>0</v>
      </c>
      <c r="EV164" s="362">
        <v>2298</v>
      </c>
      <c r="EW164" s="362"/>
      <c r="EX164" s="202"/>
      <c r="EY164" s="202"/>
      <c r="EZ164" s="229"/>
      <c r="FA164" s="368">
        <v>189976.56</v>
      </c>
      <c r="FB164" s="368">
        <v>0</v>
      </c>
      <c r="FC164" s="368">
        <v>0</v>
      </c>
      <c r="FD164" s="368">
        <v>0</v>
      </c>
      <c r="FE164" s="368">
        <v>516.92999999999995</v>
      </c>
      <c r="FF164" s="368">
        <v>1173.82</v>
      </c>
      <c r="FG164" s="368">
        <v>0</v>
      </c>
      <c r="FH164" s="368">
        <v>-899.63</v>
      </c>
      <c r="FI164" s="368">
        <v>0</v>
      </c>
      <c r="FJ164" s="368">
        <v>0</v>
      </c>
      <c r="FK164" s="368">
        <v>19983.36</v>
      </c>
      <c r="FL164" s="368">
        <v>0</v>
      </c>
      <c r="FM164" s="368">
        <v>91309.04</v>
      </c>
      <c r="FN164" s="368">
        <v>58058.559999999998</v>
      </c>
      <c r="FO164" s="323">
        <v>757046.94</v>
      </c>
      <c r="FP164" s="323">
        <v>210751.04</v>
      </c>
      <c r="FQ164" s="323">
        <v>967797.98</v>
      </c>
      <c r="FR164" s="338">
        <v>67188.509999999995</v>
      </c>
      <c r="FS164" s="338">
        <v>27863.5</v>
      </c>
      <c r="FT164" s="377">
        <v>95052.01</v>
      </c>
      <c r="FU164" s="377">
        <v>828209.23</v>
      </c>
      <c r="FV164" s="377">
        <v>172695.17</v>
      </c>
      <c r="FW164" s="362">
        <v>1000904.4</v>
      </c>
      <c r="FX164" s="362">
        <v>785325.92</v>
      </c>
      <c r="FY164" s="362">
        <v>173218.44</v>
      </c>
      <c r="FZ164" s="362">
        <v>958544.36</v>
      </c>
      <c r="GA164" s="362">
        <v>110071.82</v>
      </c>
      <c r="GB164" s="362">
        <v>27340.23</v>
      </c>
      <c r="GC164" s="362">
        <v>137412.04999999999</v>
      </c>
      <c r="GD164" s="362">
        <v>46629.18</v>
      </c>
      <c r="GE164" s="362">
        <v>6636.64</v>
      </c>
      <c r="GF164" s="362">
        <v>53265.82</v>
      </c>
      <c r="GG164" s="202"/>
      <c r="GH164" s="416"/>
      <c r="GI164" s="414">
        <v>1439</v>
      </c>
      <c r="GJ164" s="419">
        <v>0</v>
      </c>
      <c r="GK164" s="396"/>
      <c r="GL164" s="202">
        <v>0</v>
      </c>
      <c r="GM164" s="202">
        <v>0</v>
      </c>
      <c r="GN164" s="323">
        <v>71162.289999999994</v>
      </c>
      <c r="GO164" s="323">
        <v>-38055.870000000003</v>
      </c>
      <c r="GP164" s="323">
        <v>33106.42</v>
      </c>
      <c r="GQ164" s="323">
        <v>117791.47</v>
      </c>
      <c r="GR164" s="323">
        <v>-31419.23</v>
      </c>
      <c r="GS164" s="323">
        <v>86372.24</v>
      </c>
    </row>
    <row r="165" spans="1:201" x14ac:dyDescent="0.2">
      <c r="A165" s="45" t="s">
        <v>237</v>
      </c>
      <c r="B165" s="66" t="s">
        <v>208</v>
      </c>
      <c r="C165" s="67" t="s">
        <v>21</v>
      </c>
      <c r="D165" s="388" t="s">
        <v>470</v>
      </c>
      <c r="E165" s="67" t="s">
        <v>12</v>
      </c>
      <c r="F165" s="11">
        <v>5</v>
      </c>
      <c r="G165" s="11">
        <v>4</v>
      </c>
      <c r="H165" s="11">
        <v>70</v>
      </c>
      <c r="I165" s="11">
        <v>70</v>
      </c>
      <c r="J165" s="11">
        <v>135</v>
      </c>
      <c r="K165" s="11">
        <v>168</v>
      </c>
      <c r="L165" s="11" t="s">
        <v>746</v>
      </c>
      <c r="M165" s="84">
        <v>276.5</v>
      </c>
      <c r="N165" s="84">
        <v>925.6</v>
      </c>
      <c r="O165" s="84">
        <v>925.6</v>
      </c>
      <c r="P165" s="135">
        <v>281.8</v>
      </c>
      <c r="Q165" s="135">
        <v>672.7</v>
      </c>
      <c r="R165" s="133">
        <v>690</v>
      </c>
      <c r="S165" s="133">
        <f t="shared" si="79"/>
        <v>1644.5</v>
      </c>
      <c r="T165" s="134">
        <v>281.8</v>
      </c>
      <c r="U165" s="130">
        <v>1.53</v>
      </c>
      <c r="V165" s="131">
        <v>1.9800000000000002E-2</v>
      </c>
      <c r="W165" s="131">
        <v>1.9800000000000002E-2</v>
      </c>
      <c r="X165" s="132">
        <v>1.2199999999999999E-3</v>
      </c>
      <c r="Y165" s="131">
        <v>3.95E-2</v>
      </c>
      <c r="Z165" s="29">
        <v>3388.5</v>
      </c>
      <c r="AA165" s="29"/>
      <c r="AB165" s="9">
        <f t="shared" si="57"/>
        <v>3388.5</v>
      </c>
      <c r="AC165" s="9">
        <f t="shared" ref="AC165:AC223" si="82">SUM(AB165*6.33)</f>
        <v>21449.21</v>
      </c>
      <c r="AD165" s="9">
        <v>0.39</v>
      </c>
      <c r="AE165" s="9">
        <v>4.51</v>
      </c>
      <c r="AF165" s="21">
        <f>2.43-AJ165</f>
        <v>2.17</v>
      </c>
      <c r="AG165" s="18">
        <f>0.53-AQ165</f>
        <v>0.45</v>
      </c>
      <c r="AH165" s="9">
        <v>2.78</v>
      </c>
      <c r="AI165" s="43">
        <v>889</v>
      </c>
      <c r="AJ165" s="21">
        <f t="shared" si="58"/>
        <v>0.26</v>
      </c>
      <c r="AK165" s="9">
        <v>0</v>
      </c>
      <c r="AL165" s="9">
        <v>0</v>
      </c>
      <c r="AM165" s="9">
        <v>0.17</v>
      </c>
      <c r="AN165" s="13"/>
      <c r="AO165" s="13">
        <v>598.4</v>
      </c>
      <c r="AP165" s="13">
        <f t="shared" si="80"/>
        <v>5.58</v>
      </c>
      <c r="AQ165" s="18">
        <f t="shared" si="56"/>
        <v>0.08</v>
      </c>
      <c r="AR165" s="9">
        <v>0.74</v>
      </c>
      <c r="AS165" s="9">
        <v>0.4</v>
      </c>
      <c r="AT165" s="9">
        <v>7.0000000000000007E-2</v>
      </c>
      <c r="AU165" s="9">
        <v>4.0199999999999996</v>
      </c>
      <c r="AV165" s="9">
        <v>0.12</v>
      </c>
      <c r="AW165" s="9">
        <f>1.08+0.29+0.35</f>
        <v>1.72</v>
      </c>
      <c r="AX165" s="9">
        <f>1.48+0.47</f>
        <v>1.95</v>
      </c>
      <c r="AY165" s="69">
        <f t="shared" si="81"/>
        <v>19.829999999999998</v>
      </c>
      <c r="AZ165" s="13">
        <v>19.829999999999998</v>
      </c>
      <c r="BA165" s="13">
        <f t="shared" si="59"/>
        <v>0</v>
      </c>
      <c r="BB165" s="9">
        <f t="shared" si="60"/>
        <v>67193.960000000006</v>
      </c>
      <c r="BC165" s="9">
        <v>19.829999999999998</v>
      </c>
      <c r="BD165" s="10">
        <v>44409</v>
      </c>
      <c r="BE165" s="9">
        <f t="shared" si="61"/>
        <v>1321.52</v>
      </c>
      <c r="BF165" s="9">
        <f t="shared" si="62"/>
        <v>15282.14</v>
      </c>
      <c r="BG165" s="9">
        <f t="shared" si="63"/>
        <v>7353.05</v>
      </c>
      <c r="BH165" s="9">
        <f t="shared" si="64"/>
        <v>1524.83</v>
      </c>
      <c r="BI165" s="9">
        <f t="shared" si="65"/>
        <v>9420.0300000000007</v>
      </c>
      <c r="BJ165" s="9">
        <f t="shared" si="66"/>
        <v>881.01</v>
      </c>
      <c r="BK165" s="9">
        <f t="shared" si="67"/>
        <v>0</v>
      </c>
      <c r="BL165" s="9">
        <f t="shared" si="68"/>
        <v>0</v>
      </c>
      <c r="BM165" s="9">
        <f t="shared" si="69"/>
        <v>576.04999999999995</v>
      </c>
      <c r="BN165" s="9">
        <f t="shared" si="70"/>
        <v>271.08</v>
      </c>
      <c r="BO165" s="9">
        <f t="shared" si="71"/>
        <v>2507.4899999999998</v>
      </c>
      <c r="BP165" s="9">
        <f t="shared" si="72"/>
        <v>1355.4</v>
      </c>
      <c r="BQ165" s="9">
        <f t="shared" si="73"/>
        <v>237.2</v>
      </c>
      <c r="BR165" s="9">
        <f t="shared" si="74"/>
        <v>13621.77</v>
      </c>
      <c r="BS165" s="9">
        <f t="shared" si="75"/>
        <v>406.62</v>
      </c>
      <c r="BT165" s="9">
        <f t="shared" si="76"/>
        <v>5828.22</v>
      </c>
      <c r="BU165" s="9">
        <f t="shared" si="77"/>
        <v>6607.58</v>
      </c>
      <c r="BV165" s="17">
        <f t="shared" si="78"/>
        <v>67193.990000000005</v>
      </c>
      <c r="BW165" s="17">
        <v>1.7</v>
      </c>
      <c r="BX165" s="17">
        <v>0.04</v>
      </c>
      <c r="BY165" s="17">
        <v>0.24</v>
      </c>
      <c r="BZ165" s="17">
        <v>0.05</v>
      </c>
      <c r="CA165" s="29">
        <v>6.33</v>
      </c>
      <c r="CB165" s="325"/>
      <c r="CC165" s="13">
        <v>0</v>
      </c>
      <c r="CD165" s="13">
        <v>0</v>
      </c>
      <c r="CE165" s="13">
        <v>0</v>
      </c>
      <c r="CF165" s="13">
        <v>0</v>
      </c>
      <c r="CG165" s="13">
        <v>0</v>
      </c>
      <c r="CH165" s="13">
        <v>0</v>
      </c>
      <c r="CI165" s="13">
        <v>2644.34</v>
      </c>
      <c r="CJ165" s="13">
        <v>21588</v>
      </c>
      <c r="CK165" s="13">
        <v>1303.19</v>
      </c>
      <c r="CL165" s="13">
        <v>806328</v>
      </c>
      <c r="CM165" s="13">
        <v>19856.900000000001</v>
      </c>
      <c r="CN165" s="13">
        <v>35782.75</v>
      </c>
      <c r="CO165" s="13">
        <v>8369.69</v>
      </c>
      <c r="CP165" s="13">
        <v>5388.5</v>
      </c>
      <c r="CQ165" s="13">
        <v>0</v>
      </c>
      <c r="CR165" s="13">
        <v>745147.59</v>
      </c>
      <c r="CS165" s="13">
        <v>17755.18</v>
      </c>
      <c r="CT165" s="13">
        <v>20937.830000000002</v>
      </c>
      <c r="CU165" s="13">
        <v>11552.01</v>
      </c>
      <c r="CV165" s="13">
        <v>6703.69</v>
      </c>
      <c r="CW165" s="13">
        <v>0</v>
      </c>
      <c r="CX165" s="13">
        <v>144180.21</v>
      </c>
      <c r="CY165" s="13">
        <v>630.03</v>
      </c>
      <c r="CZ165" s="13">
        <v>3373.37</v>
      </c>
      <c r="DA165" s="13">
        <v>1893.28</v>
      </c>
      <c r="DB165" s="13">
        <v>1070.79</v>
      </c>
      <c r="DC165" s="13"/>
      <c r="DD165" s="315">
        <v>875725.84</v>
      </c>
      <c r="DE165" s="317">
        <v>802096.3</v>
      </c>
      <c r="DF165" s="317">
        <v>91.59</v>
      </c>
      <c r="DG165" s="318">
        <v>151147.68</v>
      </c>
      <c r="DH165" s="310">
        <v>35604.36</v>
      </c>
      <c r="DI165" s="310">
        <v>20362.560000000001</v>
      </c>
      <c r="DJ165" s="312">
        <v>0</v>
      </c>
      <c r="DK165" s="362">
        <v>0</v>
      </c>
      <c r="DL165" s="362"/>
      <c r="DM165" s="362">
        <v>0</v>
      </c>
      <c r="DN165" s="362">
        <v>0</v>
      </c>
      <c r="DO165" s="362">
        <v>0</v>
      </c>
      <c r="DP165" s="362">
        <v>0</v>
      </c>
      <c r="DQ165" s="362">
        <v>0</v>
      </c>
      <c r="DR165" s="362"/>
      <c r="DS165" s="362">
        <v>0</v>
      </c>
      <c r="DT165" s="362"/>
      <c r="DU165" s="362">
        <v>0</v>
      </c>
      <c r="DV165" s="362">
        <v>0</v>
      </c>
      <c r="DW165" s="362">
        <v>0</v>
      </c>
      <c r="DX165" s="362">
        <v>0</v>
      </c>
      <c r="DY165" s="362">
        <v>0</v>
      </c>
      <c r="DZ165" s="375">
        <v>0</v>
      </c>
      <c r="EA165" s="362">
        <v>0</v>
      </c>
      <c r="EB165" s="362">
        <v>0</v>
      </c>
      <c r="EC165" s="362"/>
      <c r="ED165" s="362">
        <v>222850.44</v>
      </c>
      <c r="EE165" s="362">
        <v>7650</v>
      </c>
      <c r="EF165" s="362"/>
      <c r="EG165" s="362">
        <v>14148</v>
      </c>
      <c r="EH165" s="362">
        <v>43330</v>
      </c>
      <c r="EI165" s="362"/>
      <c r="EJ165" s="362">
        <v>25320</v>
      </c>
      <c r="EK165" s="362"/>
      <c r="EL165" s="362">
        <v>0</v>
      </c>
      <c r="EM165" s="362">
        <v>3339.06</v>
      </c>
      <c r="EN165" s="362">
        <v>0</v>
      </c>
      <c r="EO165" s="362">
        <v>0</v>
      </c>
      <c r="EP165" s="362">
        <v>208062</v>
      </c>
      <c r="EQ165" s="362">
        <v>0</v>
      </c>
      <c r="ER165" s="362">
        <v>16380</v>
      </c>
      <c r="ES165" s="362">
        <v>577</v>
      </c>
      <c r="ET165" s="362">
        <v>12402</v>
      </c>
      <c r="EU165" s="362">
        <v>0</v>
      </c>
      <c r="EV165" s="362">
        <v>56736.14</v>
      </c>
      <c r="EW165" s="362"/>
      <c r="EX165" s="202"/>
      <c r="EY165" s="202"/>
      <c r="EZ165" s="229"/>
      <c r="FA165" s="368">
        <v>20077.939999999999</v>
      </c>
      <c r="FB165" s="368">
        <v>31803.46</v>
      </c>
      <c r="FC165" s="368">
        <v>0</v>
      </c>
      <c r="FD165" s="368">
        <v>0</v>
      </c>
      <c r="FE165" s="368">
        <v>5651.85</v>
      </c>
      <c r="FF165" s="368">
        <v>3737.12</v>
      </c>
      <c r="FG165" s="368">
        <v>-1216.08</v>
      </c>
      <c r="FH165" s="368">
        <v>-1503.61</v>
      </c>
      <c r="FI165" s="368">
        <v>0</v>
      </c>
      <c r="FJ165" s="368">
        <v>0</v>
      </c>
      <c r="FK165" s="368">
        <v>4471.12</v>
      </c>
      <c r="FL165" s="368">
        <v>0</v>
      </c>
      <c r="FM165" s="368">
        <v>90591.75</v>
      </c>
      <c r="FN165" s="368">
        <v>57602.47</v>
      </c>
      <c r="FO165" s="323">
        <v>814955.78</v>
      </c>
      <c r="FP165" s="323">
        <v>63021.8</v>
      </c>
      <c r="FQ165" s="323">
        <v>877977.58</v>
      </c>
      <c r="FR165" s="338">
        <v>75652.960000000006</v>
      </c>
      <c r="FS165" s="338">
        <v>4521.3500000000004</v>
      </c>
      <c r="FT165" s="377">
        <v>80174.31</v>
      </c>
      <c r="FU165" s="377">
        <v>830560.34</v>
      </c>
      <c r="FV165" s="377">
        <v>70701.03</v>
      </c>
      <c r="FW165" s="362">
        <v>901261.37</v>
      </c>
      <c r="FX165" s="362">
        <v>762033.09</v>
      </c>
      <c r="FY165" s="362">
        <v>68254.91</v>
      </c>
      <c r="FZ165" s="362">
        <v>830288</v>
      </c>
      <c r="GA165" s="362">
        <v>144180.21</v>
      </c>
      <c r="GB165" s="362">
        <v>6967.47</v>
      </c>
      <c r="GC165" s="362">
        <v>151147.68</v>
      </c>
      <c r="GD165" s="362">
        <v>32762.85</v>
      </c>
      <c r="GE165" s="362">
        <v>-11106.81</v>
      </c>
      <c r="GF165" s="362">
        <v>21656.04</v>
      </c>
      <c r="GG165" s="202"/>
      <c r="GH165" s="416"/>
      <c r="GI165" s="414">
        <v>1947</v>
      </c>
      <c r="GJ165" s="419">
        <v>0</v>
      </c>
      <c r="GK165" s="396"/>
      <c r="GL165" s="202">
        <v>0</v>
      </c>
      <c r="GM165" s="202">
        <v>0</v>
      </c>
      <c r="GN165" s="323">
        <v>15604.56</v>
      </c>
      <c r="GO165" s="323">
        <v>7679.23</v>
      </c>
      <c r="GP165" s="323">
        <v>23283.79</v>
      </c>
      <c r="GQ165" s="323">
        <v>48367.41</v>
      </c>
      <c r="GR165" s="323">
        <v>-3427.58</v>
      </c>
      <c r="GS165" s="323">
        <v>44939.83</v>
      </c>
    </row>
    <row r="166" spans="1:201" ht="12.75" customHeight="1" x14ac:dyDescent="0.2">
      <c r="A166" s="45" t="s">
        <v>238</v>
      </c>
      <c r="B166" s="66" t="s">
        <v>208</v>
      </c>
      <c r="C166" s="67" t="s">
        <v>62</v>
      </c>
      <c r="D166" s="388" t="s">
        <v>471</v>
      </c>
      <c r="E166" s="67" t="s">
        <v>12</v>
      </c>
      <c r="F166" s="11">
        <v>5</v>
      </c>
      <c r="G166" s="11">
        <v>4</v>
      </c>
      <c r="H166" s="11">
        <v>70</v>
      </c>
      <c r="I166" s="11">
        <v>71</v>
      </c>
      <c r="J166" s="11">
        <v>142</v>
      </c>
      <c r="K166" s="11">
        <v>183</v>
      </c>
      <c r="L166" s="11" t="s">
        <v>746</v>
      </c>
      <c r="M166" s="84">
        <v>276.5</v>
      </c>
      <c r="N166" s="84">
        <v>349.8</v>
      </c>
      <c r="O166" s="84">
        <v>922.5</v>
      </c>
      <c r="P166" s="135">
        <v>626.29999999999995</v>
      </c>
      <c r="Q166" s="135">
        <v>0</v>
      </c>
      <c r="R166" s="133">
        <v>0</v>
      </c>
      <c r="S166" s="133">
        <f t="shared" si="79"/>
        <v>626.29999999999995</v>
      </c>
      <c r="T166" s="134">
        <v>626.29999999999995</v>
      </c>
      <c r="U166" s="130">
        <v>1.53</v>
      </c>
      <c r="V166" s="131">
        <v>1.9800000000000002E-2</v>
      </c>
      <c r="W166" s="131">
        <v>1.9800000000000002E-2</v>
      </c>
      <c r="X166" s="132">
        <v>1.2199999999999999E-3</v>
      </c>
      <c r="Y166" s="131">
        <v>3.95E-2</v>
      </c>
      <c r="Z166" s="29">
        <v>3364.7</v>
      </c>
      <c r="AA166" s="29">
        <v>319.8</v>
      </c>
      <c r="AB166" s="9">
        <f t="shared" si="57"/>
        <v>3684.5</v>
      </c>
      <c r="AC166" s="9">
        <f t="shared" si="82"/>
        <v>23322.89</v>
      </c>
      <c r="AD166" s="9">
        <v>0.36</v>
      </c>
      <c r="AE166" s="9">
        <v>4.18</v>
      </c>
      <c r="AF166" s="21">
        <f>2.42-AJ166</f>
        <v>2.1800000000000002</v>
      </c>
      <c r="AG166" s="18">
        <f>0.53-AQ166</f>
        <v>0.45</v>
      </c>
      <c r="AH166" s="9">
        <v>2.78</v>
      </c>
      <c r="AI166" s="43">
        <v>886</v>
      </c>
      <c r="AJ166" s="21">
        <f t="shared" si="58"/>
        <v>0.24</v>
      </c>
      <c r="AK166" s="9">
        <v>0</v>
      </c>
      <c r="AL166" s="9">
        <v>0</v>
      </c>
      <c r="AM166" s="9">
        <v>0.16</v>
      </c>
      <c r="AN166" s="13"/>
      <c r="AO166" s="13">
        <v>598.4</v>
      </c>
      <c r="AP166" s="13">
        <f t="shared" si="80"/>
        <v>5.58</v>
      </c>
      <c r="AQ166" s="18">
        <f t="shared" si="56"/>
        <v>0.08</v>
      </c>
      <c r="AR166" s="9">
        <v>0.68</v>
      </c>
      <c r="AS166" s="9">
        <v>0.37</v>
      </c>
      <c r="AT166" s="9">
        <v>7.0000000000000007E-2</v>
      </c>
      <c r="AU166" s="9">
        <v>4.5199999999999996</v>
      </c>
      <c r="AV166" s="9">
        <v>0.11</v>
      </c>
      <c r="AW166" s="9">
        <f>1.03+0.4+0.29</f>
        <v>1.72</v>
      </c>
      <c r="AX166" s="9">
        <f>1.42+0.53</f>
        <v>1.95</v>
      </c>
      <c r="AY166" s="69">
        <f t="shared" si="81"/>
        <v>19.850000000000001</v>
      </c>
      <c r="AZ166" s="13">
        <v>19.850000000000001</v>
      </c>
      <c r="BA166" s="13">
        <f t="shared" si="59"/>
        <v>0</v>
      </c>
      <c r="BB166" s="9">
        <f t="shared" si="60"/>
        <v>73137.33</v>
      </c>
      <c r="BC166" s="9">
        <v>19.850000000000001</v>
      </c>
      <c r="BD166" s="10">
        <v>44409</v>
      </c>
      <c r="BE166" s="9">
        <f t="shared" si="61"/>
        <v>1326.42</v>
      </c>
      <c r="BF166" s="9">
        <f t="shared" si="62"/>
        <v>15401.21</v>
      </c>
      <c r="BG166" s="9">
        <f t="shared" si="63"/>
        <v>8032.21</v>
      </c>
      <c r="BH166" s="9">
        <f t="shared" si="64"/>
        <v>1658.03</v>
      </c>
      <c r="BI166" s="9">
        <f t="shared" si="65"/>
        <v>10242.91</v>
      </c>
      <c r="BJ166" s="9">
        <f t="shared" si="66"/>
        <v>884.28</v>
      </c>
      <c r="BK166" s="9">
        <f t="shared" si="67"/>
        <v>0</v>
      </c>
      <c r="BL166" s="9">
        <f t="shared" si="68"/>
        <v>0</v>
      </c>
      <c r="BM166" s="9">
        <f t="shared" si="69"/>
        <v>589.52</v>
      </c>
      <c r="BN166" s="9">
        <f t="shared" si="70"/>
        <v>294.76</v>
      </c>
      <c r="BO166" s="9">
        <f t="shared" si="71"/>
        <v>2505.46</v>
      </c>
      <c r="BP166" s="9">
        <f t="shared" si="72"/>
        <v>1363.27</v>
      </c>
      <c r="BQ166" s="9">
        <f t="shared" si="73"/>
        <v>257.92</v>
      </c>
      <c r="BR166" s="9">
        <f t="shared" si="74"/>
        <v>16653.939999999999</v>
      </c>
      <c r="BS166" s="9">
        <f t="shared" si="75"/>
        <v>405.3</v>
      </c>
      <c r="BT166" s="9">
        <f t="shared" si="76"/>
        <v>6337.34</v>
      </c>
      <c r="BU166" s="9">
        <f t="shared" si="77"/>
        <v>7184.78</v>
      </c>
      <c r="BV166" s="17">
        <f t="shared" si="78"/>
        <v>73137.350000000006</v>
      </c>
      <c r="BW166" s="17">
        <v>1.05</v>
      </c>
      <c r="BX166" s="17">
        <v>0.04</v>
      </c>
      <c r="BY166" s="17">
        <v>0.25</v>
      </c>
      <c r="BZ166" s="17">
        <v>0.05</v>
      </c>
      <c r="CA166" s="29">
        <v>6.33</v>
      </c>
      <c r="CB166" s="325"/>
      <c r="CC166" s="13">
        <v>76176.479999999996</v>
      </c>
      <c r="CD166" s="13">
        <v>1720.52</v>
      </c>
      <c r="CE166" s="13">
        <v>0</v>
      </c>
      <c r="CF166" s="13">
        <v>0</v>
      </c>
      <c r="CG166" s="13">
        <v>188.79</v>
      </c>
      <c r="CH166" s="13">
        <v>0</v>
      </c>
      <c r="CI166" s="13">
        <v>2765.19</v>
      </c>
      <c r="CJ166" s="13">
        <v>11172</v>
      </c>
      <c r="CK166" s="13">
        <v>1417.02</v>
      </c>
      <c r="CL166" s="13">
        <v>801473.64</v>
      </c>
      <c r="CM166" s="13">
        <v>18102.03</v>
      </c>
      <c r="CN166" s="13">
        <v>0</v>
      </c>
      <c r="CO166" s="13">
        <v>0</v>
      </c>
      <c r="CP166" s="13">
        <v>1985.26</v>
      </c>
      <c r="CQ166" s="13">
        <v>0</v>
      </c>
      <c r="CR166" s="13">
        <v>759693.28</v>
      </c>
      <c r="CS166" s="13">
        <v>17299.61</v>
      </c>
      <c r="CT166" s="13">
        <v>1011.44</v>
      </c>
      <c r="CU166" s="13">
        <v>170.41</v>
      </c>
      <c r="CV166" s="13">
        <v>1861.09</v>
      </c>
      <c r="CW166" s="13">
        <v>0</v>
      </c>
      <c r="CX166" s="13">
        <v>131841.85</v>
      </c>
      <c r="CY166" s="13">
        <v>1732.71</v>
      </c>
      <c r="CZ166" s="13">
        <v>-1564.61</v>
      </c>
      <c r="DA166" s="13">
        <v>-264.81</v>
      </c>
      <c r="DB166" s="13">
        <v>317.64</v>
      </c>
      <c r="DC166" s="13"/>
      <c r="DD166" s="315">
        <v>821560.93</v>
      </c>
      <c r="DE166" s="317">
        <v>780035.83</v>
      </c>
      <c r="DF166" s="317">
        <v>94.95</v>
      </c>
      <c r="DG166" s="318">
        <v>132062.78</v>
      </c>
      <c r="DH166" s="310">
        <v>35354.400000000001</v>
      </c>
      <c r="DI166" s="310">
        <v>20219.52</v>
      </c>
      <c r="DJ166" s="312">
        <v>0</v>
      </c>
      <c r="DK166" s="362">
        <v>0</v>
      </c>
      <c r="DL166" s="362"/>
      <c r="DM166" s="362">
        <v>0</v>
      </c>
      <c r="DN166" s="362">
        <v>0</v>
      </c>
      <c r="DO166" s="362">
        <v>0</v>
      </c>
      <c r="DP166" s="362">
        <v>0</v>
      </c>
      <c r="DQ166" s="362">
        <v>0</v>
      </c>
      <c r="DR166" s="362"/>
      <c r="DS166" s="362">
        <v>0</v>
      </c>
      <c r="DT166" s="362"/>
      <c r="DU166" s="362">
        <v>0</v>
      </c>
      <c r="DV166" s="362">
        <v>0</v>
      </c>
      <c r="DW166" s="362">
        <v>0</v>
      </c>
      <c r="DX166" s="362">
        <v>0</v>
      </c>
      <c r="DY166" s="362">
        <v>0</v>
      </c>
      <c r="DZ166" s="375">
        <v>0</v>
      </c>
      <c r="EA166" s="362">
        <v>0</v>
      </c>
      <c r="EB166" s="362">
        <v>0</v>
      </c>
      <c r="EC166" s="362"/>
      <c r="ED166" s="362">
        <v>224239.68</v>
      </c>
      <c r="EE166" s="362">
        <v>7650</v>
      </c>
      <c r="EF166" s="362"/>
      <c r="EG166" s="362">
        <v>14100</v>
      </c>
      <c r="EH166" s="362">
        <v>43190</v>
      </c>
      <c r="EI166" s="362"/>
      <c r="EJ166" s="362">
        <v>21100</v>
      </c>
      <c r="EK166" s="362"/>
      <c r="EL166" s="362">
        <v>0</v>
      </c>
      <c r="EM166" s="362">
        <v>3339.06</v>
      </c>
      <c r="EN166" s="362">
        <v>0</v>
      </c>
      <c r="EO166" s="362">
        <v>0</v>
      </c>
      <c r="EP166" s="362">
        <v>225642</v>
      </c>
      <c r="EQ166" s="362">
        <v>0</v>
      </c>
      <c r="ER166" s="362">
        <v>10920</v>
      </c>
      <c r="ES166" s="362">
        <v>6924</v>
      </c>
      <c r="ET166" s="362">
        <v>12402</v>
      </c>
      <c r="EU166" s="362">
        <v>0</v>
      </c>
      <c r="EV166" s="362">
        <v>57006.58</v>
      </c>
      <c r="EW166" s="362"/>
      <c r="EX166" s="202"/>
      <c r="EY166" s="202"/>
      <c r="EZ166" s="229"/>
      <c r="FA166" s="368">
        <v>20077.939999999999</v>
      </c>
      <c r="FB166" s="368">
        <v>0</v>
      </c>
      <c r="FC166" s="368">
        <v>0</v>
      </c>
      <c r="FD166" s="368">
        <v>0</v>
      </c>
      <c r="FE166" s="368">
        <v>0</v>
      </c>
      <c r="FF166" s="368">
        <v>2228.02</v>
      </c>
      <c r="FG166" s="368">
        <v>0</v>
      </c>
      <c r="FH166" s="368">
        <v>-1001.16</v>
      </c>
      <c r="FI166" s="368">
        <v>0</v>
      </c>
      <c r="FJ166" s="368">
        <v>0</v>
      </c>
      <c r="FK166" s="368">
        <v>0</v>
      </c>
      <c r="FL166" s="368">
        <v>0</v>
      </c>
      <c r="FM166" s="368">
        <v>98505.32</v>
      </c>
      <c r="FN166" s="368">
        <v>62634.28</v>
      </c>
      <c r="FO166" s="323">
        <v>843226.84</v>
      </c>
      <c r="FP166" s="323">
        <v>21304.799999999999</v>
      </c>
      <c r="FQ166" s="323">
        <v>864531.64</v>
      </c>
      <c r="FR166" s="338">
        <v>97888.55</v>
      </c>
      <c r="FS166" s="338">
        <v>1074.08</v>
      </c>
      <c r="FT166" s="377">
        <v>98962.63</v>
      </c>
      <c r="FU166" s="377">
        <v>891587.31</v>
      </c>
      <c r="FV166" s="377">
        <v>23413.62</v>
      </c>
      <c r="FW166" s="362">
        <v>915000.93</v>
      </c>
      <c r="FX166" s="362">
        <v>813023.95</v>
      </c>
      <c r="FY166" s="362">
        <v>23356.36</v>
      </c>
      <c r="FZ166" s="362">
        <v>836380.31</v>
      </c>
      <c r="GA166" s="362">
        <v>176451.91</v>
      </c>
      <c r="GB166" s="362">
        <v>1131.3399999999999</v>
      </c>
      <c r="GC166" s="362">
        <v>177583.25</v>
      </c>
      <c r="GD166" s="362">
        <v>60479.55</v>
      </c>
      <c r="GE166" s="362">
        <v>6320.36</v>
      </c>
      <c r="GF166" s="362">
        <v>66799.91</v>
      </c>
      <c r="GG166" s="202">
        <v>45520.47</v>
      </c>
      <c r="GH166" s="416">
        <v>98</v>
      </c>
      <c r="GI166" s="414">
        <v>1439</v>
      </c>
      <c r="GJ166" s="419">
        <v>78085.789999999994</v>
      </c>
      <c r="GK166" s="396">
        <v>45520.47</v>
      </c>
      <c r="GL166" s="202">
        <v>44610.060599999997</v>
      </c>
      <c r="GM166" s="202">
        <v>910.40940000000398</v>
      </c>
      <c r="GN166" s="323">
        <v>48360.47</v>
      </c>
      <c r="GO166" s="323">
        <v>2108.8200000000002</v>
      </c>
      <c r="GP166" s="323">
        <v>50469.29</v>
      </c>
      <c r="GQ166" s="323">
        <v>108840.02</v>
      </c>
      <c r="GR166" s="323">
        <v>8429.18</v>
      </c>
      <c r="GS166" s="323">
        <v>117269.2</v>
      </c>
    </row>
    <row r="167" spans="1:201" ht="12.75" customHeight="1" x14ac:dyDescent="0.2">
      <c r="A167" s="45" t="s">
        <v>239</v>
      </c>
      <c r="B167" s="117" t="s">
        <v>215</v>
      </c>
      <c r="C167" s="118" t="s">
        <v>46</v>
      </c>
      <c r="D167" s="388" t="s">
        <v>648</v>
      </c>
      <c r="E167" s="118" t="s">
        <v>12</v>
      </c>
      <c r="F167" s="11">
        <v>5</v>
      </c>
      <c r="G167" s="11">
        <v>5</v>
      </c>
      <c r="H167" s="11">
        <v>100</v>
      </c>
      <c r="I167" s="11">
        <v>0</v>
      </c>
      <c r="J167" s="11">
        <v>151</v>
      </c>
      <c r="K167" s="11">
        <v>161</v>
      </c>
      <c r="L167" s="11" t="s">
        <v>746</v>
      </c>
      <c r="M167" s="84">
        <v>345</v>
      </c>
      <c r="N167" s="84">
        <v>860</v>
      </c>
      <c r="O167" s="84">
        <v>0</v>
      </c>
      <c r="P167" s="135">
        <v>345</v>
      </c>
      <c r="Q167" s="135">
        <v>690.6</v>
      </c>
      <c r="R167" s="133">
        <v>0</v>
      </c>
      <c r="S167" s="133">
        <f t="shared" si="79"/>
        <v>1035.5999999999999</v>
      </c>
      <c r="T167" s="134">
        <v>345</v>
      </c>
      <c r="U167" s="130">
        <v>1.53</v>
      </c>
      <c r="V167" s="131">
        <v>1.9800000000000002E-2</v>
      </c>
      <c r="W167" s="131">
        <v>1.9800000000000002E-2</v>
      </c>
      <c r="X167" s="132">
        <v>1.32E-3</v>
      </c>
      <c r="Y167" s="131">
        <v>3.95E-2</v>
      </c>
      <c r="Z167" s="29">
        <v>3415.44</v>
      </c>
      <c r="AA167" s="29"/>
      <c r="AB167" s="9">
        <f t="shared" si="57"/>
        <v>3415.44</v>
      </c>
      <c r="AC167" s="9">
        <f t="shared" si="82"/>
        <v>21619.74</v>
      </c>
      <c r="AD167" s="9">
        <v>0.5</v>
      </c>
      <c r="AE167" s="9">
        <v>3.99</v>
      </c>
      <c r="AF167" s="21">
        <f>2.47-AJ167</f>
        <v>2.23</v>
      </c>
      <c r="AG167" s="18">
        <f>0.56-AQ167</f>
        <v>0.42</v>
      </c>
      <c r="AH167" s="9">
        <v>2.78</v>
      </c>
      <c r="AI167" s="43">
        <v>826</v>
      </c>
      <c r="AJ167" s="21">
        <f t="shared" si="58"/>
        <v>0.24</v>
      </c>
      <c r="AK167" s="9">
        <v>0</v>
      </c>
      <c r="AL167" s="9">
        <v>0</v>
      </c>
      <c r="AM167" s="9">
        <v>0.17</v>
      </c>
      <c r="AN167" s="13"/>
      <c r="AO167" s="13">
        <v>1002</v>
      </c>
      <c r="AP167" s="13">
        <f t="shared" si="80"/>
        <v>5.58</v>
      </c>
      <c r="AQ167" s="18">
        <f t="shared" si="56"/>
        <v>0.14000000000000001</v>
      </c>
      <c r="AR167" s="9">
        <v>1.02</v>
      </c>
      <c r="AS167" s="9">
        <v>0.4</v>
      </c>
      <c r="AT167" s="9">
        <v>7.0000000000000007E-2</v>
      </c>
      <c r="AU167" s="9">
        <v>3.97</v>
      </c>
      <c r="AV167" s="9">
        <v>0.12</v>
      </c>
      <c r="AW167" s="9">
        <f>1.07+0.35+0.41</f>
        <v>1.83</v>
      </c>
      <c r="AX167" s="9">
        <f>1.48+0.48</f>
        <v>1.96</v>
      </c>
      <c r="AY167" s="120">
        <f t="shared" si="81"/>
        <v>19.84</v>
      </c>
      <c r="AZ167" s="13">
        <v>19.84</v>
      </c>
      <c r="BA167" s="13">
        <f t="shared" si="59"/>
        <v>0</v>
      </c>
      <c r="BB167" s="9">
        <f t="shared" si="60"/>
        <v>67762.33</v>
      </c>
      <c r="BC167" s="9">
        <v>19.84</v>
      </c>
      <c r="BD167" s="10">
        <v>44409</v>
      </c>
      <c r="BE167" s="9">
        <f t="shared" si="61"/>
        <v>1707.72</v>
      </c>
      <c r="BF167" s="9">
        <f t="shared" si="62"/>
        <v>13627.61</v>
      </c>
      <c r="BG167" s="9">
        <f t="shared" si="63"/>
        <v>7616.43</v>
      </c>
      <c r="BH167" s="9">
        <f t="shared" si="64"/>
        <v>1434.48</v>
      </c>
      <c r="BI167" s="9">
        <f t="shared" si="65"/>
        <v>9494.92</v>
      </c>
      <c r="BJ167" s="9">
        <f t="shared" si="66"/>
        <v>819.71</v>
      </c>
      <c r="BK167" s="9">
        <f t="shared" si="67"/>
        <v>0</v>
      </c>
      <c r="BL167" s="9">
        <f t="shared" si="68"/>
        <v>0</v>
      </c>
      <c r="BM167" s="9">
        <f t="shared" si="69"/>
        <v>580.62</v>
      </c>
      <c r="BN167" s="9">
        <f t="shared" si="70"/>
        <v>478.16</v>
      </c>
      <c r="BO167" s="9">
        <f t="shared" si="71"/>
        <v>3483.75</v>
      </c>
      <c r="BP167" s="9">
        <f t="shared" si="72"/>
        <v>1366.18</v>
      </c>
      <c r="BQ167" s="9">
        <f t="shared" si="73"/>
        <v>239.08</v>
      </c>
      <c r="BR167" s="9">
        <f t="shared" si="74"/>
        <v>13559.3</v>
      </c>
      <c r="BS167" s="9">
        <f t="shared" si="75"/>
        <v>409.85</v>
      </c>
      <c r="BT167" s="9">
        <f t="shared" si="76"/>
        <v>6250.26</v>
      </c>
      <c r="BU167" s="9">
        <f t="shared" si="77"/>
        <v>6694.26</v>
      </c>
      <c r="BV167" s="17">
        <f t="shared" si="78"/>
        <v>67762.33</v>
      </c>
      <c r="BW167" s="17">
        <v>1.87</v>
      </c>
      <c r="BX167" s="17">
        <v>0.06</v>
      </c>
      <c r="BY167" s="17">
        <v>0.36</v>
      </c>
      <c r="BZ167" s="17">
        <v>0.06</v>
      </c>
      <c r="CA167" s="29">
        <v>6.33</v>
      </c>
      <c r="CB167" s="325"/>
      <c r="CC167" s="13">
        <v>0</v>
      </c>
      <c r="CD167" s="13">
        <v>0</v>
      </c>
      <c r="CE167" s="13">
        <v>0</v>
      </c>
      <c r="CF167" s="13">
        <v>0</v>
      </c>
      <c r="CG167" s="13">
        <v>0</v>
      </c>
      <c r="CH167" s="13">
        <v>3720</v>
      </c>
      <c r="CI167" s="13">
        <v>5433.57</v>
      </c>
      <c r="CJ167" s="13">
        <v>28192</v>
      </c>
      <c r="CK167" s="13">
        <v>1313.25</v>
      </c>
      <c r="CL167" s="13">
        <v>812982.63</v>
      </c>
      <c r="CM167" s="13">
        <v>24689.86</v>
      </c>
      <c r="CN167" s="13">
        <v>0.28000000000000003</v>
      </c>
      <c r="CO167" s="13">
        <v>2220.3200000000002</v>
      </c>
      <c r="CP167" s="13">
        <v>2459.2399999999998</v>
      </c>
      <c r="CQ167" s="13">
        <v>0</v>
      </c>
      <c r="CR167" s="13">
        <v>762059.12</v>
      </c>
      <c r="CS167" s="13">
        <v>24241.83</v>
      </c>
      <c r="CT167" s="13">
        <v>798.39</v>
      </c>
      <c r="CU167" s="13">
        <v>1778.63</v>
      </c>
      <c r="CV167" s="13">
        <v>2186.13</v>
      </c>
      <c r="CW167" s="13">
        <v>0</v>
      </c>
      <c r="CX167" s="13">
        <v>146817.16</v>
      </c>
      <c r="CY167" s="13">
        <v>2091.14</v>
      </c>
      <c r="CZ167" s="13">
        <v>-1080.2</v>
      </c>
      <c r="DA167" s="13">
        <v>365.68</v>
      </c>
      <c r="DB167" s="13">
        <v>418.23</v>
      </c>
      <c r="DC167" s="13"/>
      <c r="DD167" s="315">
        <v>842352.33</v>
      </c>
      <c r="DE167" s="317">
        <v>791064.1</v>
      </c>
      <c r="DF167" s="317">
        <v>93.91</v>
      </c>
      <c r="DG167" s="318">
        <v>148612.01</v>
      </c>
      <c r="DH167" s="310">
        <v>35859.120000000003</v>
      </c>
      <c r="DI167" s="310">
        <v>20508.240000000002</v>
      </c>
      <c r="DJ167" s="312">
        <v>0</v>
      </c>
      <c r="DK167" s="362">
        <v>0</v>
      </c>
      <c r="DL167" s="362"/>
      <c r="DM167" s="362">
        <v>0</v>
      </c>
      <c r="DN167" s="362">
        <v>0</v>
      </c>
      <c r="DO167" s="362">
        <v>0</v>
      </c>
      <c r="DP167" s="362">
        <v>0</v>
      </c>
      <c r="DQ167" s="362">
        <v>0</v>
      </c>
      <c r="DR167" s="362"/>
      <c r="DS167" s="362">
        <v>0</v>
      </c>
      <c r="DT167" s="362"/>
      <c r="DU167" s="362">
        <v>0</v>
      </c>
      <c r="DV167" s="362">
        <v>0</v>
      </c>
      <c r="DW167" s="362">
        <v>0</v>
      </c>
      <c r="DX167" s="362">
        <v>0</v>
      </c>
      <c r="DY167" s="362">
        <v>0</v>
      </c>
      <c r="DZ167" s="375">
        <v>0</v>
      </c>
      <c r="EA167" s="362">
        <v>212130</v>
      </c>
      <c r="EB167" s="362">
        <v>11339</v>
      </c>
      <c r="EC167" s="362"/>
      <c r="ED167" s="362">
        <v>0</v>
      </c>
      <c r="EE167" s="362">
        <v>0</v>
      </c>
      <c r="EF167" s="362"/>
      <c r="EG167" s="362">
        <v>13146</v>
      </c>
      <c r="EH167" s="362">
        <v>44730</v>
      </c>
      <c r="EI167" s="362"/>
      <c r="EJ167" s="362">
        <v>23760</v>
      </c>
      <c r="EK167" s="362"/>
      <c r="EL167" s="362">
        <v>0</v>
      </c>
      <c r="EM167" s="362">
        <v>5591.16</v>
      </c>
      <c r="EN167" s="362">
        <v>0</v>
      </c>
      <c r="EO167" s="362">
        <v>1860</v>
      </c>
      <c r="EP167" s="362">
        <v>212322</v>
      </c>
      <c r="EQ167" s="362">
        <v>0</v>
      </c>
      <c r="ER167" s="362">
        <v>16380</v>
      </c>
      <c r="ES167" s="362">
        <v>577</v>
      </c>
      <c r="ET167" s="362">
        <v>16165</v>
      </c>
      <c r="EU167" s="362">
        <v>0</v>
      </c>
      <c r="EV167" s="362">
        <v>74297.61</v>
      </c>
      <c r="EW167" s="362"/>
      <c r="EX167" s="202"/>
      <c r="EY167" s="202"/>
      <c r="EZ167" s="229"/>
      <c r="FA167" s="368">
        <v>25051.8</v>
      </c>
      <c r="FB167" s="368">
        <v>0</v>
      </c>
      <c r="FC167" s="368">
        <v>0</v>
      </c>
      <c r="FD167" s="368">
        <v>0</v>
      </c>
      <c r="FE167" s="368">
        <v>2288.14</v>
      </c>
      <c r="FF167" s="368">
        <v>2448.37</v>
      </c>
      <c r="FG167" s="368">
        <v>0</v>
      </c>
      <c r="FH167" s="368">
        <v>-873.64</v>
      </c>
      <c r="FI167" s="368">
        <v>0</v>
      </c>
      <c r="FJ167" s="368">
        <v>0</v>
      </c>
      <c r="FK167" s="368">
        <v>293.57</v>
      </c>
      <c r="FL167" s="368">
        <v>0</v>
      </c>
      <c r="FM167" s="368">
        <v>91297.69</v>
      </c>
      <c r="FN167" s="368">
        <v>58052.02</v>
      </c>
      <c r="FO167" s="323">
        <v>838014.84</v>
      </c>
      <c r="FP167" s="323">
        <v>29208.240000000002</v>
      </c>
      <c r="FQ167" s="323">
        <v>867223.08</v>
      </c>
      <c r="FR167" s="338">
        <v>85654.99</v>
      </c>
      <c r="FS167" s="338">
        <v>977.9</v>
      </c>
      <c r="FT167" s="377">
        <v>86632.89</v>
      </c>
      <c r="FU167" s="377">
        <v>846608.2</v>
      </c>
      <c r="FV167" s="377">
        <v>34402.949999999997</v>
      </c>
      <c r="FW167" s="362">
        <v>881011.15</v>
      </c>
      <c r="FX167" s="362">
        <v>785446.03</v>
      </c>
      <c r="FY167" s="362">
        <v>33586</v>
      </c>
      <c r="FZ167" s="362">
        <v>819032.03</v>
      </c>
      <c r="GA167" s="362">
        <v>146817.16</v>
      </c>
      <c r="GB167" s="362">
        <v>1794.85</v>
      </c>
      <c r="GC167" s="362">
        <v>148612.01</v>
      </c>
      <c r="GD167" s="362">
        <v>-107856.8</v>
      </c>
      <c r="GE167" s="362">
        <v>6225.71</v>
      </c>
      <c r="GF167" s="362">
        <v>-101631.09</v>
      </c>
      <c r="GG167" s="202"/>
      <c r="GH167" s="416">
        <v>0</v>
      </c>
      <c r="GI167" s="414">
        <v>2455</v>
      </c>
      <c r="GJ167" s="419">
        <v>3720</v>
      </c>
      <c r="GK167" s="396"/>
      <c r="GL167" s="202">
        <v>0</v>
      </c>
      <c r="GM167" s="202">
        <v>0</v>
      </c>
      <c r="GN167" s="323">
        <v>8593.36</v>
      </c>
      <c r="GO167" s="323">
        <v>5194.71</v>
      </c>
      <c r="GP167" s="323">
        <v>13788.07</v>
      </c>
      <c r="GQ167" s="323">
        <v>-99263.44</v>
      </c>
      <c r="GR167" s="323">
        <v>11420.42</v>
      </c>
      <c r="GS167" s="323">
        <v>-87843.02</v>
      </c>
    </row>
    <row r="168" spans="1:201" ht="12.75" customHeight="1" x14ac:dyDescent="0.2">
      <c r="A168" s="45" t="s">
        <v>241</v>
      </c>
      <c r="B168" s="117" t="s">
        <v>215</v>
      </c>
      <c r="C168" s="118" t="s">
        <v>67</v>
      </c>
      <c r="D168" s="388" t="s">
        <v>649</v>
      </c>
      <c r="E168" s="118" t="s">
        <v>12</v>
      </c>
      <c r="F168" s="11">
        <v>5</v>
      </c>
      <c r="G168" s="11">
        <v>5</v>
      </c>
      <c r="H168" s="11">
        <v>80</v>
      </c>
      <c r="I168" s="11">
        <v>0</v>
      </c>
      <c r="J168" s="11">
        <v>162</v>
      </c>
      <c r="K168" s="11">
        <v>185</v>
      </c>
      <c r="L168" s="11" t="s">
        <v>746</v>
      </c>
      <c r="M168" s="84">
        <v>281</v>
      </c>
      <c r="N168" s="84">
        <v>860</v>
      </c>
      <c r="O168" s="84">
        <v>0</v>
      </c>
      <c r="P168" s="139">
        <v>220.4</v>
      </c>
      <c r="Q168" s="135">
        <v>713.3</v>
      </c>
      <c r="R168" s="133">
        <v>0</v>
      </c>
      <c r="S168" s="133">
        <f t="shared" si="79"/>
        <v>933.7</v>
      </c>
      <c r="T168" s="139">
        <v>281</v>
      </c>
      <c r="U168" s="130">
        <v>1.53</v>
      </c>
      <c r="V168" s="131">
        <v>1.9800000000000002E-2</v>
      </c>
      <c r="W168" s="131">
        <v>1.9800000000000002E-2</v>
      </c>
      <c r="X168" s="132">
        <v>1.32E-3</v>
      </c>
      <c r="Y168" s="131">
        <v>3.95E-2</v>
      </c>
      <c r="Z168" s="29">
        <v>3559.38</v>
      </c>
      <c r="AA168" s="29"/>
      <c r="AB168" s="9">
        <f t="shared" si="57"/>
        <v>3559.38</v>
      </c>
      <c r="AC168" s="9">
        <f t="shared" si="82"/>
        <v>22530.880000000001</v>
      </c>
      <c r="AD168" s="9">
        <v>0.39</v>
      </c>
      <c r="AE168" s="9">
        <v>5</v>
      </c>
      <c r="AF168" s="21">
        <f>2.38-AJ168</f>
        <v>2.15</v>
      </c>
      <c r="AG168" s="18">
        <f>0.53-AQ168</f>
        <v>0.43</v>
      </c>
      <c r="AH168" s="9">
        <v>2.78</v>
      </c>
      <c r="AI168" s="43">
        <v>826</v>
      </c>
      <c r="AJ168" s="21">
        <f t="shared" si="58"/>
        <v>0.23</v>
      </c>
      <c r="AK168" s="9">
        <v>0</v>
      </c>
      <c r="AL168" s="9">
        <v>0</v>
      </c>
      <c r="AM168" s="9">
        <v>0</v>
      </c>
      <c r="AN168" s="13"/>
      <c r="AO168" s="13">
        <v>751.5</v>
      </c>
      <c r="AP168" s="13">
        <f t="shared" si="80"/>
        <v>5.58</v>
      </c>
      <c r="AQ168" s="18">
        <f t="shared" si="56"/>
        <v>0.1</v>
      </c>
      <c r="AR168" s="9">
        <v>0.77</v>
      </c>
      <c r="AS168" s="9">
        <v>0.38</v>
      </c>
      <c r="AT168" s="9">
        <v>7.0000000000000007E-2</v>
      </c>
      <c r="AU168" s="9">
        <v>3.71</v>
      </c>
      <c r="AV168" s="9">
        <v>0.13</v>
      </c>
      <c r="AW168" s="9">
        <f>1.1+0.33+0.32</f>
        <v>1.75</v>
      </c>
      <c r="AX168" s="9">
        <f>1.51+0.44</f>
        <v>1.95</v>
      </c>
      <c r="AY168" s="120">
        <f t="shared" si="81"/>
        <v>19.84</v>
      </c>
      <c r="AZ168" s="13">
        <v>19.84</v>
      </c>
      <c r="BA168" s="13">
        <f t="shared" si="59"/>
        <v>0</v>
      </c>
      <c r="BB168" s="9">
        <f t="shared" si="60"/>
        <v>70618.100000000006</v>
      </c>
      <c r="BC168" s="9">
        <v>19.84</v>
      </c>
      <c r="BD168" s="10">
        <v>44409</v>
      </c>
      <c r="BE168" s="9">
        <f t="shared" si="61"/>
        <v>1388.16</v>
      </c>
      <c r="BF168" s="9">
        <f t="shared" si="62"/>
        <v>17796.900000000001</v>
      </c>
      <c r="BG168" s="9">
        <f t="shared" si="63"/>
        <v>7652.67</v>
      </c>
      <c r="BH168" s="9">
        <f t="shared" si="64"/>
        <v>1530.53</v>
      </c>
      <c r="BI168" s="9">
        <f t="shared" si="65"/>
        <v>9895.08</v>
      </c>
      <c r="BJ168" s="9">
        <f t="shared" si="66"/>
        <v>818.66</v>
      </c>
      <c r="BK168" s="9">
        <f t="shared" si="67"/>
        <v>0</v>
      </c>
      <c r="BL168" s="9">
        <f t="shared" si="68"/>
        <v>0</v>
      </c>
      <c r="BM168" s="9">
        <f t="shared" si="69"/>
        <v>0</v>
      </c>
      <c r="BN168" s="9">
        <f t="shared" si="70"/>
        <v>355.94</v>
      </c>
      <c r="BO168" s="9">
        <f t="shared" si="71"/>
        <v>2740.72</v>
      </c>
      <c r="BP168" s="9">
        <f t="shared" si="72"/>
        <v>1352.56</v>
      </c>
      <c r="BQ168" s="9">
        <f t="shared" si="73"/>
        <v>249.16</v>
      </c>
      <c r="BR168" s="9">
        <f t="shared" si="74"/>
        <v>13205.3</v>
      </c>
      <c r="BS168" s="9">
        <f t="shared" si="75"/>
        <v>462.72</v>
      </c>
      <c r="BT168" s="9">
        <f t="shared" si="76"/>
        <v>6228.92</v>
      </c>
      <c r="BU168" s="9">
        <f t="shared" si="77"/>
        <v>6940.79</v>
      </c>
      <c r="BV168" s="17">
        <f t="shared" si="78"/>
        <v>70618.11</v>
      </c>
      <c r="BW168" s="17">
        <v>1.61</v>
      </c>
      <c r="BX168" s="17">
        <v>0.03</v>
      </c>
      <c r="BY168" s="17">
        <v>0.22</v>
      </c>
      <c r="BZ168" s="17">
        <v>0.04</v>
      </c>
      <c r="CA168" s="29">
        <v>6.33</v>
      </c>
      <c r="CB168" s="325"/>
      <c r="CC168" s="13">
        <v>0</v>
      </c>
      <c r="CD168" s="13">
        <v>0</v>
      </c>
      <c r="CE168" s="13">
        <v>0</v>
      </c>
      <c r="CF168" s="13">
        <v>0</v>
      </c>
      <c r="CG168" s="13">
        <v>0</v>
      </c>
      <c r="CH168" s="13">
        <v>3720</v>
      </c>
      <c r="CI168" s="13">
        <v>2482.54</v>
      </c>
      <c r="CJ168" s="13">
        <v>28192</v>
      </c>
      <c r="CK168" s="13">
        <v>1368.97</v>
      </c>
      <c r="CL168" s="13">
        <v>847455.94</v>
      </c>
      <c r="CM168" s="13">
        <v>29686.73</v>
      </c>
      <c r="CN168" s="13">
        <v>0</v>
      </c>
      <c r="CO168" s="13">
        <v>1708.78</v>
      </c>
      <c r="CP168" s="13">
        <v>1887.73</v>
      </c>
      <c r="CQ168" s="13">
        <v>0</v>
      </c>
      <c r="CR168" s="13">
        <v>787922.6</v>
      </c>
      <c r="CS168" s="13">
        <v>30906.19</v>
      </c>
      <c r="CT168" s="13">
        <v>519.76</v>
      </c>
      <c r="CU168" s="13">
        <v>1536.26</v>
      </c>
      <c r="CV168" s="13">
        <v>1702.99</v>
      </c>
      <c r="CW168" s="13">
        <v>0</v>
      </c>
      <c r="CX168" s="13">
        <v>154297.35999999999</v>
      </c>
      <c r="CY168" s="13">
        <v>1768.27</v>
      </c>
      <c r="CZ168" s="13">
        <v>-846.96</v>
      </c>
      <c r="DA168" s="13">
        <v>328.21</v>
      </c>
      <c r="DB168" s="13">
        <v>375.3</v>
      </c>
      <c r="DC168" s="13"/>
      <c r="DD168" s="315">
        <v>880739.18</v>
      </c>
      <c r="DE168" s="317">
        <v>822587.8</v>
      </c>
      <c r="DF168" s="317">
        <v>93.4</v>
      </c>
      <c r="DG168" s="318">
        <v>155922.18</v>
      </c>
      <c r="DH168" s="310">
        <v>37402.080000000002</v>
      </c>
      <c r="DI168" s="310">
        <v>21390.6</v>
      </c>
      <c r="DJ168" s="312">
        <v>0</v>
      </c>
      <c r="DK168" s="362">
        <v>0</v>
      </c>
      <c r="DL168" s="362"/>
      <c r="DM168" s="362">
        <v>0</v>
      </c>
      <c r="DN168" s="362">
        <v>0</v>
      </c>
      <c r="DO168" s="362">
        <v>0</v>
      </c>
      <c r="DP168" s="362">
        <v>0</v>
      </c>
      <c r="DQ168" s="362">
        <v>0</v>
      </c>
      <c r="DR168" s="362"/>
      <c r="DS168" s="362">
        <v>0</v>
      </c>
      <c r="DT168" s="362"/>
      <c r="DU168" s="362">
        <v>0</v>
      </c>
      <c r="DV168" s="362">
        <v>0</v>
      </c>
      <c r="DW168" s="362">
        <v>0</v>
      </c>
      <c r="DX168" s="362">
        <v>0</v>
      </c>
      <c r="DY168" s="362">
        <v>0</v>
      </c>
      <c r="DZ168" s="375">
        <v>0</v>
      </c>
      <c r="EA168" s="362">
        <v>267756</v>
      </c>
      <c r="EB168" s="362">
        <v>14450</v>
      </c>
      <c r="EC168" s="362"/>
      <c r="ED168" s="362">
        <v>0</v>
      </c>
      <c r="EE168" s="362">
        <v>0</v>
      </c>
      <c r="EF168" s="362"/>
      <c r="EG168" s="362">
        <v>13146</v>
      </c>
      <c r="EH168" s="362">
        <v>74847.5</v>
      </c>
      <c r="EI168" s="362"/>
      <c r="EJ168" s="362">
        <v>23760</v>
      </c>
      <c r="EK168" s="362"/>
      <c r="EL168" s="362">
        <v>0</v>
      </c>
      <c r="EM168" s="362">
        <v>4193.37</v>
      </c>
      <c r="EN168" s="362">
        <v>0</v>
      </c>
      <c r="EO168" s="362">
        <v>1860</v>
      </c>
      <c r="EP168" s="362">
        <v>219108</v>
      </c>
      <c r="EQ168" s="362">
        <v>0</v>
      </c>
      <c r="ER168" s="362">
        <v>15015</v>
      </c>
      <c r="ES168" s="362">
        <v>0</v>
      </c>
      <c r="ET168" s="362">
        <v>12932</v>
      </c>
      <c r="EU168" s="362">
        <v>0</v>
      </c>
      <c r="EV168" s="362">
        <v>19181.560000000001</v>
      </c>
      <c r="EW168" s="362"/>
      <c r="EX168" s="202"/>
      <c r="EY168" s="202"/>
      <c r="EZ168" s="229"/>
      <c r="FA168" s="368">
        <v>22250.05</v>
      </c>
      <c r="FB168" s="368">
        <v>0</v>
      </c>
      <c r="FC168" s="368">
        <v>0</v>
      </c>
      <c r="FD168" s="368">
        <v>0</v>
      </c>
      <c r="FE168" s="368">
        <v>1863.71</v>
      </c>
      <c r="FF168" s="368">
        <v>1994.19</v>
      </c>
      <c r="FG168" s="368">
        <v>0</v>
      </c>
      <c r="FH168" s="368">
        <v>-910.72</v>
      </c>
      <c r="FI168" s="368">
        <v>0</v>
      </c>
      <c r="FJ168" s="368">
        <v>0</v>
      </c>
      <c r="FK168" s="368">
        <v>220.23</v>
      </c>
      <c r="FL168" s="368">
        <v>0</v>
      </c>
      <c r="FM168" s="368">
        <v>95164.71</v>
      </c>
      <c r="FN168" s="368">
        <v>60509.84</v>
      </c>
      <c r="FO168" s="323">
        <v>880716.66</v>
      </c>
      <c r="FP168" s="323">
        <v>25417.46</v>
      </c>
      <c r="FQ168" s="323">
        <v>906134.12</v>
      </c>
      <c r="FR168" s="338">
        <v>96336.72</v>
      </c>
      <c r="FS168" s="338">
        <v>1365.22</v>
      </c>
      <c r="FT168" s="377">
        <v>97701.94</v>
      </c>
      <c r="FU168" s="377">
        <v>878130.48</v>
      </c>
      <c r="FV168" s="377">
        <v>38372.21</v>
      </c>
      <c r="FW168" s="362">
        <v>916502.69</v>
      </c>
      <c r="FX168" s="362">
        <v>820169.84</v>
      </c>
      <c r="FY168" s="362">
        <v>38112.61</v>
      </c>
      <c r="FZ168" s="362">
        <v>858282.45</v>
      </c>
      <c r="GA168" s="362">
        <v>154297.35999999999</v>
      </c>
      <c r="GB168" s="362">
        <v>1624.82</v>
      </c>
      <c r="GC168" s="362">
        <v>155922.18</v>
      </c>
      <c r="GD168" s="362">
        <v>5055.7299999999996</v>
      </c>
      <c r="GE168" s="362">
        <v>44.04</v>
      </c>
      <c r="GF168" s="362">
        <v>5099.7700000000004</v>
      </c>
      <c r="GG168" s="202"/>
      <c r="GH168" s="416">
        <v>0</v>
      </c>
      <c r="GI168" s="414">
        <v>2455</v>
      </c>
      <c r="GJ168" s="419">
        <v>3720</v>
      </c>
      <c r="GK168" s="396"/>
      <c r="GL168" s="202">
        <v>0</v>
      </c>
      <c r="GM168" s="202">
        <v>0</v>
      </c>
      <c r="GN168" s="323">
        <v>-2586.1799999999998</v>
      </c>
      <c r="GO168" s="323">
        <v>12954.75</v>
      </c>
      <c r="GP168" s="323">
        <v>10368.57</v>
      </c>
      <c r="GQ168" s="323">
        <v>2469.5500000000002</v>
      </c>
      <c r="GR168" s="323">
        <v>12998.79</v>
      </c>
      <c r="GS168" s="323">
        <v>15468.34</v>
      </c>
    </row>
    <row r="169" spans="1:201" ht="12.75" customHeight="1" x14ac:dyDescent="0.2">
      <c r="A169" s="45" t="s">
        <v>242</v>
      </c>
      <c r="B169" s="117" t="s">
        <v>215</v>
      </c>
      <c r="C169" s="118" t="s">
        <v>17</v>
      </c>
      <c r="D169" s="388" t="s">
        <v>472</v>
      </c>
      <c r="E169" s="118" t="s">
        <v>12</v>
      </c>
      <c r="F169" s="11">
        <v>5</v>
      </c>
      <c r="G169" s="11">
        <v>4</v>
      </c>
      <c r="H169" s="11">
        <v>80</v>
      </c>
      <c r="I169" s="11">
        <v>0</v>
      </c>
      <c r="J169" s="11">
        <v>152</v>
      </c>
      <c r="K169" s="11">
        <v>173</v>
      </c>
      <c r="L169" s="11" t="s">
        <v>746</v>
      </c>
      <c r="M169" s="84">
        <v>281</v>
      </c>
      <c r="N169" s="84">
        <v>886</v>
      </c>
      <c r="O169" s="84">
        <v>0</v>
      </c>
      <c r="P169" s="135">
        <v>218.8</v>
      </c>
      <c r="Q169" s="135">
        <v>773.9</v>
      </c>
      <c r="R169" s="133">
        <v>0</v>
      </c>
      <c r="S169" s="133">
        <f t="shared" si="79"/>
        <v>992.7</v>
      </c>
      <c r="T169" s="134">
        <v>281</v>
      </c>
      <c r="U169" s="130">
        <v>1.53</v>
      </c>
      <c r="V169" s="131">
        <v>1.9800000000000002E-2</v>
      </c>
      <c r="W169" s="131">
        <v>1.9800000000000002E-2</v>
      </c>
      <c r="X169" s="132">
        <v>1.32E-3</v>
      </c>
      <c r="Y169" s="131">
        <v>3.95E-2</v>
      </c>
      <c r="Z169" s="29">
        <v>3476.45</v>
      </c>
      <c r="AA169" s="29">
        <v>58.5</v>
      </c>
      <c r="AB169" s="9">
        <f t="shared" si="57"/>
        <v>3534.95</v>
      </c>
      <c r="AC169" s="9">
        <f t="shared" si="82"/>
        <v>22376.23</v>
      </c>
      <c r="AD169" s="9">
        <v>0.4</v>
      </c>
      <c r="AE169" s="9">
        <v>3.98</v>
      </c>
      <c r="AF169" s="21">
        <f>2.36-AJ169</f>
        <v>2.12</v>
      </c>
      <c r="AG169" s="18">
        <f>0.54-AQ169</f>
        <v>0.43</v>
      </c>
      <c r="AH169" s="9">
        <v>2.78</v>
      </c>
      <c r="AI169" s="43">
        <v>851</v>
      </c>
      <c r="AJ169" s="21">
        <f t="shared" si="58"/>
        <v>0.24</v>
      </c>
      <c r="AK169" s="9">
        <v>0</v>
      </c>
      <c r="AL169" s="9">
        <v>0</v>
      </c>
      <c r="AM169" s="9">
        <v>0.16</v>
      </c>
      <c r="AN169" s="13"/>
      <c r="AO169" s="13">
        <v>801.6</v>
      </c>
      <c r="AP169" s="13">
        <f t="shared" si="80"/>
        <v>5.58</v>
      </c>
      <c r="AQ169" s="18">
        <f t="shared" si="56"/>
        <v>0.11</v>
      </c>
      <c r="AR169" s="9">
        <v>0.78</v>
      </c>
      <c r="AS169" s="9">
        <v>0.39</v>
      </c>
      <c r="AT169" s="9">
        <v>7.0000000000000007E-2</v>
      </c>
      <c r="AU169" s="9">
        <v>4.57</v>
      </c>
      <c r="AV169" s="9">
        <v>0.12</v>
      </c>
      <c r="AW169" s="9">
        <f>1.03+0.31+0.4</f>
        <v>1.74</v>
      </c>
      <c r="AX169" s="9">
        <f>1.41+0.54</f>
        <v>1.95</v>
      </c>
      <c r="AY169" s="120">
        <f t="shared" si="81"/>
        <v>19.84</v>
      </c>
      <c r="AZ169" s="13">
        <v>19.84</v>
      </c>
      <c r="BA169" s="13">
        <f t="shared" si="59"/>
        <v>0</v>
      </c>
      <c r="BB169" s="9">
        <f t="shared" si="60"/>
        <v>70133.41</v>
      </c>
      <c r="BC169" s="9">
        <v>19.84</v>
      </c>
      <c r="BD169" s="10">
        <v>44409</v>
      </c>
      <c r="BE169" s="9">
        <f t="shared" si="61"/>
        <v>1413.98</v>
      </c>
      <c r="BF169" s="9">
        <f t="shared" si="62"/>
        <v>14069.1</v>
      </c>
      <c r="BG169" s="9">
        <f t="shared" si="63"/>
        <v>7494.09</v>
      </c>
      <c r="BH169" s="9">
        <f t="shared" si="64"/>
        <v>1520.03</v>
      </c>
      <c r="BI169" s="9">
        <f t="shared" si="65"/>
        <v>9827.16</v>
      </c>
      <c r="BJ169" s="9">
        <f t="shared" si="66"/>
        <v>848.39</v>
      </c>
      <c r="BK169" s="9">
        <f t="shared" si="67"/>
        <v>0</v>
      </c>
      <c r="BL169" s="9">
        <f t="shared" si="68"/>
        <v>0</v>
      </c>
      <c r="BM169" s="9">
        <f t="shared" si="69"/>
        <v>565.59</v>
      </c>
      <c r="BN169" s="9">
        <f t="shared" si="70"/>
        <v>388.84</v>
      </c>
      <c r="BO169" s="9">
        <f t="shared" si="71"/>
        <v>2757.26</v>
      </c>
      <c r="BP169" s="9">
        <f t="shared" si="72"/>
        <v>1378.63</v>
      </c>
      <c r="BQ169" s="9">
        <f t="shared" si="73"/>
        <v>247.45</v>
      </c>
      <c r="BR169" s="9">
        <f t="shared" si="74"/>
        <v>16154.72</v>
      </c>
      <c r="BS169" s="9">
        <f t="shared" si="75"/>
        <v>424.19</v>
      </c>
      <c r="BT169" s="9">
        <f t="shared" si="76"/>
        <v>6150.81</v>
      </c>
      <c r="BU169" s="9">
        <f t="shared" si="77"/>
        <v>6893.15</v>
      </c>
      <c r="BV169" s="17">
        <f t="shared" si="78"/>
        <v>70133.39</v>
      </c>
      <c r="BW169" s="17">
        <v>1.63</v>
      </c>
      <c r="BX169" s="17">
        <v>0.04</v>
      </c>
      <c r="BY169" s="17">
        <v>0.22</v>
      </c>
      <c r="BZ169" s="17">
        <v>0.04</v>
      </c>
      <c r="CA169" s="29">
        <v>6.33</v>
      </c>
      <c r="CB169" s="325"/>
      <c r="CC169" s="13">
        <v>13927.68</v>
      </c>
      <c r="CD169" s="13">
        <v>668.09</v>
      </c>
      <c r="CE169" s="13">
        <v>936.61</v>
      </c>
      <c r="CF169" s="13">
        <v>72.55</v>
      </c>
      <c r="CG169" s="13">
        <v>39.200000000000003</v>
      </c>
      <c r="CH169" s="13">
        <v>0</v>
      </c>
      <c r="CI169" s="13">
        <v>5095.4799999999996</v>
      </c>
      <c r="CJ169" s="13">
        <v>28192</v>
      </c>
      <c r="CK169" s="13">
        <v>1359.5</v>
      </c>
      <c r="CL169" s="13">
        <v>827673.12</v>
      </c>
      <c r="CM169" s="13">
        <v>33513.03</v>
      </c>
      <c r="CN169" s="13">
        <v>55102.06</v>
      </c>
      <c r="CO169" s="13">
        <v>6570.63</v>
      </c>
      <c r="CP169" s="13">
        <v>3824.03</v>
      </c>
      <c r="CQ169" s="13">
        <v>0</v>
      </c>
      <c r="CR169" s="13">
        <v>799464.69</v>
      </c>
      <c r="CS169" s="13">
        <v>40295.51</v>
      </c>
      <c r="CT169" s="13">
        <v>54474.7</v>
      </c>
      <c r="CU169" s="13">
        <v>13924.53</v>
      </c>
      <c r="CV169" s="13">
        <v>7655.57</v>
      </c>
      <c r="CW169" s="13">
        <v>0</v>
      </c>
      <c r="CX169" s="13">
        <v>103579.82</v>
      </c>
      <c r="CY169" s="13">
        <v>3981.55</v>
      </c>
      <c r="CZ169" s="13">
        <v>4923.58</v>
      </c>
      <c r="DA169" s="13">
        <v>-1780.83</v>
      </c>
      <c r="DB169" s="13">
        <v>-909.24</v>
      </c>
      <c r="DC169" s="13"/>
      <c r="DD169" s="315">
        <v>926682.87</v>
      </c>
      <c r="DE169" s="317">
        <v>915815</v>
      </c>
      <c r="DF169" s="317">
        <v>98.83</v>
      </c>
      <c r="DG169" s="318">
        <v>109794.88</v>
      </c>
      <c r="DH169" s="310">
        <v>36528.6</v>
      </c>
      <c r="DI169" s="310">
        <v>20891.04</v>
      </c>
      <c r="DJ169" s="312">
        <v>0</v>
      </c>
      <c r="DK169" s="362">
        <v>0</v>
      </c>
      <c r="DL169" s="362"/>
      <c r="DM169" s="362">
        <v>0</v>
      </c>
      <c r="DN169" s="362">
        <v>0</v>
      </c>
      <c r="DO169" s="362">
        <v>0</v>
      </c>
      <c r="DP169" s="362">
        <v>0</v>
      </c>
      <c r="DQ169" s="362">
        <v>0</v>
      </c>
      <c r="DR169" s="362"/>
      <c r="DS169" s="362">
        <v>0</v>
      </c>
      <c r="DT169" s="362"/>
      <c r="DU169" s="362">
        <v>0</v>
      </c>
      <c r="DV169" s="362">
        <v>0</v>
      </c>
      <c r="DW169" s="362">
        <v>0</v>
      </c>
      <c r="DX169" s="362">
        <v>0</v>
      </c>
      <c r="DY169" s="362">
        <v>0</v>
      </c>
      <c r="DZ169" s="375">
        <v>0</v>
      </c>
      <c r="EA169" s="362">
        <v>215454</v>
      </c>
      <c r="EB169" s="362">
        <v>13600</v>
      </c>
      <c r="EC169" s="362"/>
      <c r="ED169" s="362">
        <v>0</v>
      </c>
      <c r="EE169" s="362">
        <v>0</v>
      </c>
      <c r="EF169" s="362"/>
      <c r="EG169" s="362">
        <v>13542</v>
      </c>
      <c r="EH169" s="362">
        <v>129972.5</v>
      </c>
      <c r="EI169" s="362"/>
      <c r="EJ169" s="362">
        <v>32480</v>
      </c>
      <c r="EK169" s="362"/>
      <c r="EL169" s="362">
        <v>0</v>
      </c>
      <c r="EM169" s="362">
        <v>4472.9399999999996</v>
      </c>
      <c r="EN169" s="362">
        <v>0</v>
      </c>
      <c r="EO169" s="362">
        <v>0</v>
      </c>
      <c r="EP169" s="362">
        <v>216042</v>
      </c>
      <c r="EQ169" s="362">
        <v>0</v>
      </c>
      <c r="ER169" s="362">
        <v>16380</v>
      </c>
      <c r="ES169" s="362">
        <v>5193</v>
      </c>
      <c r="ET169" s="362">
        <v>12932</v>
      </c>
      <c r="EU169" s="362">
        <v>0</v>
      </c>
      <c r="EV169" s="362">
        <v>25556.65</v>
      </c>
      <c r="EW169" s="362"/>
      <c r="EX169" s="202"/>
      <c r="EY169" s="202"/>
      <c r="EZ169" s="229"/>
      <c r="FA169" s="368">
        <v>30366.58</v>
      </c>
      <c r="FB169" s="368">
        <v>49932.959999999999</v>
      </c>
      <c r="FC169" s="368">
        <v>0</v>
      </c>
      <c r="FD169" s="368">
        <v>0</v>
      </c>
      <c r="FE169" s="368">
        <v>8030.57</v>
      </c>
      <c r="FF169" s="368">
        <v>4501.93</v>
      </c>
      <c r="FG169" s="368">
        <v>-4964.3</v>
      </c>
      <c r="FH169" s="368">
        <v>-3501.27</v>
      </c>
      <c r="FI169" s="368">
        <v>0</v>
      </c>
      <c r="FJ169" s="368">
        <v>0</v>
      </c>
      <c r="FK169" s="368">
        <v>0</v>
      </c>
      <c r="FL169" s="368">
        <v>0</v>
      </c>
      <c r="FM169" s="368">
        <v>94507.11</v>
      </c>
      <c r="FN169" s="368">
        <v>60092.04</v>
      </c>
      <c r="FO169" s="323">
        <v>897643.88</v>
      </c>
      <c r="FP169" s="323">
        <v>84366.47</v>
      </c>
      <c r="FQ169" s="323">
        <v>982010.35</v>
      </c>
      <c r="FR169" s="338">
        <v>74378.649999999994</v>
      </c>
      <c r="FS169" s="338">
        <v>23063.37</v>
      </c>
      <c r="FT169" s="377">
        <v>97442.02</v>
      </c>
      <c r="FU169" s="377">
        <v>874888.28</v>
      </c>
      <c r="FV169" s="377">
        <v>102085.7</v>
      </c>
      <c r="FW169" s="362">
        <v>976973.98</v>
      </c>
      <c r="FX169" s="362">
        <v>832457.87</v>
      </c>
      <c r="FY169" s="362">
        <v>117298.93</v>
      </c>
      <c r="FZ169" s="362">
        <v>949756.8</v>
      </c>
      <c r="GA169" s="362">
        <v>116809.06</v>
      </c>
      <c r="GB169" s="362">
        <v>7850.14</v>
      </c>
      <c r="GC169" s="362">
        <v>124659.2</v>
      </c>
      <c r="GD169" s="362">
        <v>-34797.339999999997</v>
      </c>
      <c r="GE169" s="362">
        <v>-24595.06</v>
      </c>
      <c r="GF169" s="362">
        <v>-59392.4</v>
      </c>
      <c r="GG169" s="202">
        <v>14864.32</v>
      </c>
      <c r="GH169" s="416">
        <v>89</v>
      </c>
      <c r="GI169" s="414">
        <v>2455</v>
      </c>
      <c r="GJ169" s="419">
        <v>15644.13</v>
      </c>
      <c r="GK169" s="396">
        <v>14864.32</v>
      </c>
      <c r="GL169" s="202">
        <v>13229.2448</v>
      </c>
      <c r="GM169" s="202">
        <v>1635.0752</v>
      </c>
      <c r="GN169" s="323">
        <v>-22755.599999999999</v>
      </c>
      <c r="GO169" s="323">
        <v>17719.23</v>
      </c>
      <c r="GP169" s="323">
        <v>-5036.37</v>
      </c>
      <c r="GQ169" s="323">
        <v>-57552.94</v>
      </c>
      <c r="GR169" s="323">
        <v>-6875.83</v>
      </c>
      <c r="GS169" s="323">
        <v>-64428.77</v>
      </c>
    </row>
    <row r="170" spans="1:201" ht="12.75" customHeight="1" x14ac:dyDescent="0.2">
      <c r="A170" s="45" t="s">
        <v>244</v>
      </c>
      <c r="B170" s="117" t="s">
        <v>215</v>
      </c>
      <c r="C170" s="118" t="s">
        <v>17</v>
      </c>
      <c r="D170" s="388" t="s">
        <v>570</v>
      </c>
      <c r="E170" s="118" t="s">
        <v>9</v>
      </c>
      <c r="F170" s="11">
        <v>5</v>
      </c>
      <c r="G170" s="11">
        <v>5</v>
      </c>
      <c r="H170" s="11">
        <v>80</v>
      </c>
      <c r="I170" s="11">
        <v>0</v>
      </c>
      <c r="J170" s="11">
        <v>170</v>
      </c>
      <c r="K170" s="11">
        <v>190</v>
      </c>
      <c r="L170" s="11" t="s">
        <v>746</v>
      </c>
      <c r="M170" s="84">
        <v>281</v>
      </c>
      <c r="N170" s="84">
        <v>886</v>
      </c>
      <c r="O170" s="84">
        <v>0</v>
      </c>
      <c r="P170" s="139">
        <v>277.8</v>
      </c>
      <c r="Q170" s="135">
        <v>773.9</v>
      </c>
      <c r="R170" s="133">
        <v>0</v>
      </c>
      <c r="S170" s="133">
        <f t="shared" si="79"/>
        <v>1051.7</v>
      </c>
      <c r="T170" s="139">
        <v>281</v>
      </c>
      <c r="U170" s="130">
        <v>1.53</v>
      </c>
      <c r="V170" s="131">
        <v>1.9800000000000002E-2</v>
      </c>
      <c r="W170" s="131">
        <v>1.9800000000000002E-2</v>
      </c>
      <c r="X170" s="132">
        <v>1.32E-3</v>
      </c>
      <c r="Y170" s="131">
        <v>3.95E-2</v>
      </c>
      <c r="Z170" s="29">
        <v>3576.99</v>
      </c>
      <c r="AA170" s="29"/>
      <c r="AB170" s="9">
        <f t="shared" si="57"/>
        <v>3576.99</v>
      </c>
      <c r="AC170" s="9">
        <f t="shared" si="82"/>
        <v>22642.35</v>
      </c>
      <c r="AD170" s="9">
        <v>0.39</v>
      </c>
      <c r="AE170" s="9">
        <v>4.03</v>
      </c>
      <c r="AF170" s="21">
        <f>2.42-AJ170</f>
        <v>2.1800000000000002</v>
      </c>
      <c r="AG170" s="18">
        <f>0.53-AQ170</f>
        <v>0.43</v>
      </c>
      <c r="AH170" s="9">
        <v>2.78</v>
      </c>
      <c r="AI170" s="43">
        <v>851</v>
      </c>
      <c r="AJ170" s="21">
        <f t="shared" si="58"/>
        <v>0.24</v>
      </c>
      <c r="AK170" s="9">
        <v>0</v>
      </c>
      <c r="AL170" s="9">
        <v>0</v>
      </c>
      <c r="AM170" s="9">
        <v>0.16</v>
      </c>
      <c r="AN170" s="13"/>
      <c r="AO170" s="13">
        <v>751.5</v>
      </c>
      <c r="AP170" s="13">
        <f t="shared" si="80"/>
        <v>5.58</v>
      </c>
      <c r="AQ170" s="18">
        <f t="shared" si="56"/>
        <v>0.1</v>
      </c>
      <c r="AR170" s="9">
        <v>0.77</v>
      </c>
      <c r="AS170" s="9">
        <v>0.38</v>
      </c>
      <c r="AT170" s="9">
        <v>7.0000000000000007E-2</v>
      </c>
      <c r="AU170" s="9">
        <v>4.4400000000000004</v>
      </c>
      <c r="AV170" s="9">
        <v>0.12</v>
      </c>
      <c r="AW170" s="9">
        <f>1.03+0.42+0.32</f>
        <v>1.77</v>
      </c>
      <c r="AX170" s="9">
        <f>1.42+0.56</f>
        <v>1.98</v>
      </c>
      <c r="AY170" s="120">
        <f t="shared" si="81"/>
        <v>19.84</v>
      </c>
      <c r="AZ170" s="13">
        <v>19.84</v>
      </c>
      <c r="BA170" s="13">
        <f t="shared" si="59"/>
        <v>0</v>
      </c>
      <c r="BB170" s="9">
        <f t="shared" si="60"/>
        <v>70967.48</v>
      </c>
      <c r="BC170" s="9">
        <v>19.84</v>
      </c>
      <c r="BD170" s="10">
        <v>44409</v>
      </c>
      <c r="BE170" s="9">
        <f t="shared" si="61"/>
        <v>1395.03</v>
      </c>
      <c r="BF170" s="9">
        <f t="shared" si="62"/>
        <v>14415.27</v>
      </c>
      <c r="BG170" s="9">
        <f t="shared" si="63"/>
        <v>7797.84</v>
      </c>
      <c r="BH170" s="9">
        <f t="shared" si="64"/>
        <v>1538.11</v>
      </c>
      <c r="BI170" s="9">
        <f t="shared" si="65"/>
        <v>9944.0300000000007</v>
      </c>
      <c r="BJ170" s="9">
        <f t="shared" si="66"/>
        <v>858.48</v>
      </c>
      <c r="BK170" s="9">
        <f t="shared" si="67"/>
        <v>0</v>
      </c>
      <c r="BL170" s="9">
        <f t="shared" si="68"/>
        <v>0</v>
      </c>
      <c r="BM170" s="9">
        <f t="shared" si="69"/>
        <v>572.32000000000005</v>
      </c>
      <c r="BN170" s="9">
        <f t="shared" si="70"/>
        <v>357.7</v>
      </c>
      <c r="BO170" s="9">
        <f t="shared" si="71"/>
        <v>2754.28</v>
      </c>
      <c r="BP170" s="9">
        <f t="shared" si="72"/>
        <v>1359.26</v>
      </c>
      <c r="BQ170" s="9">
        <f t="shared" si="73"/>
        <v>250.39</v>
      </c>
      <c r="BR170" s="9">
        <f t="shared" si="74"/>
        <v>15881.84</v>
      </c>
      <c r="BS170" s="9">
        <f t="shared" si="75"/>
        <v>429.24</v>
      </c>
      <c r="BT170" s="9">
        <f t="shared" si="76"/>
        <v>6331.27</v>
      </c>
      <c r="BU170" s="9">
        <f t="shared" si="77"/>
        <v>7082.44</v>
      </c>
      <c r="BV170" s="17">
        <f t="shared" si="78"/>
        <v>70967.5</v>
      </c>
      <c r="BW170" s="17">
        <v>1.71</v>
      </c>
      <c r="BX170" s="17">
        <v>0.03</v>
      </c>
      <c r="BY170" s="17">
        <v>0.22</v>
      </c>
      <c r="BZ170" s="17">
        <v>0.04</v>
      </c>
      <c r="CA170" s="29">
        <v>6.33</v>
      </c>
      <c r="CB170" s="325"/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5208</v>
      </c>
      <c r="CI170" s="13">
        <v>1448.51</v>
      </c>
      <c r="CJ170" s="13">
        <v>28192</v>
      </c>
      <c r="CK170" s="13">
        <v>1375.67</v>
      </c>
      <c r="CL170" s="13">
        <v>851609.88</v>
      </c>
      <c r="CM170" s="13">
        <v>29295.5</v>
      </c>
      <c r="CN170" s="13">
        <v>0</v>
      </c>
      <c r="CO170" s="13">
        <v>15417.17</v>
      </c>
      <c r="CP170" s="13">
        <v>9229.15</v>
      </c>
      <c r="CQ170" s="13">
        <v>0</v>
      </c>
      <c r="CR170" s="13">
        <v>807284.39</v>
      </c>
      <c r="CS170" s="13">
        <v>25442.12</v>
      </c>
      <c r="CT170" s="13">
        <v>602.70000000000005</v>
      </c>
      <c r="CU170" s="13">
        <v>17292.919999999998</v>
      </c>
      <c r="CV170" s="13">
        <v>9879.1299999999992</v>
      </c>
      <c r="CW170" s="13">
        <v>0</v>
      </c>
      <c r="CX170" s="13">
        <v>122027.35</v>
      </c>
      <c r="CY170" s="13">
        <v>3070.76</v>
      </c>
      <c r="CZ170" s="13">
        <v>-1125.1300000000001</v>
      </c>
      <c r="DA170" s="13">
        <v>2892.64</v>
      </c>
      <c r="DB170" s="13">
        <v>1652.38</v>
      </c>
      <c r="DC170" s="13"/>
      <c r="DD170" s="315">
        <v>905551.7</v>
      </c>
      <c r="DE170" s="317">
        <v>860501.26</v>
      </c>
      <c r="DF170" s="317">
        <v>95.03</v>
      </c>
      <c r="DG170" s="318">
        <v>128518</v>
      </c>
      <c r="DH170" s="310">
        <v>37584.959999999999</v>
      </c>
      <c r="DI170" s="310">
        <v>21495.24</v>
      </c>
      <c r="DJ170" s="312">
        <v>0</v>
      </c>
      <c r="DK170" s="362">
        <v>0</v>
      </c>
      <c r="DL170" s="362"/>
      <c r="DM170" s="362">
        <v>0</v>
      </c>
      <c r="DN170" s="362">
        <v>0</v>
      </c>
      <c r="DO170" s="362">
        <v>0</v>
      </c>
      <c r="DP170" s="362">
        <v>0</v>
      </c>
      <c r="DQ170" s="362">
        <v>0</v>
      </c>
      <c r="DR170" s="362"/>
      <c r="DS170" s="362">
        <v>0</v>
      </c>
      <c r="DT170" s="362"/>
      <c r="DU170" s="362">
        <v>0</v>
      </c>
      <c r="DV170" s="362">
        <v>0</v>
      </c>
      <c r="DW170" s="362">
        <v>0</v>
      </c>
      <c r="DX170" s="362">
        <v>0</v>
      </c>
      <c r="DY170" s="362">
        <v>0</v>
      </c>
      <c r="DZ170" s="375">
        <v>0</v>
      </c>
      <c r="EA170" s="362">
        <v>221040</v>
      </c>
      <c r="EB170" s="362">
        <v>13600</v>
      </c>
      <c r="EC170" s="362"/>
      <c r="ED170" s="362">
        <v>0</v>
      </c>
      <c r="EE170" s="362">
        <v>0</v>
      </c>
      <c r="EF170" s="362"/>
      <c r="EG170" s="362">
        <v>13542</v>
      </c>
      <c r="EH170" s="362">
        <v>51852.5</v>
      </c>
      <c r="EI170" s="362"/>
      <c r="EJ170" s="362">
        <v>24360</v>
      </c>
      <c r="EK170" s="362"/>
      <c r="EL170" s="362">
        <v>0</v>
      </c>
      <c r="EM170" s="362">
        <v>4193.37</v>
      </c>
      <c r="EN170" s="362">
        <v>0</v>
      </c>
      <c r="EO170" s="362">
        <v>2232</v>
      </c>
      <c r="EP170" s="362">
        <v>222036</v>
      </c>
      <c r="EQ170" s="362">
        <v>0</v>
      </c>
      <c r="ER170" s="362">
        <v>12285</v>
      </c>
      <c r="ES170" s="362">
        <v>6924</v>
      </c>
      <c r="ET170" s="362">
        <v>12932</v>
      </c>
      <c r="EU170" s="362">
        <v>0</v>
      </c>
      <c r="EV170" s="362">
        <v>167930.03</v>
      </c>
      <c r="EW170" s="362"/>
      <c r="EX170" s="202"/>
      <c r="EY170" s="202"/>
      <c r="EZ170" s="229"/>
      <c r="FA170" s="368">
        <v>29284.97</v>
      </c>
      <c r="FB170" s="368">
        <v>0</v>
      </c>
      <c r="FC170" s="368">
        <v>0</v>
      </c>
      <c r="FD170" s="368">
        <v>0</v>
      </c>
      <c r="FE170" s="368">
        <v>17900.29</v>
      </c>
      <c r="FF170" s="368">
        <v>10551.43</v>
      </c>
      <c r="FG170" s="368">
        <v>-5286.87</v>
      </c>
      <c r="FH170" s="368">
        <v>-3696.2</v>
      </c>
      <c r="FI170" s="368">
        <v>0</v>
      </c>
      <c r="FJ170" s="368">
        <v>0</v>
      </c>
      <c r="FK170" s="368">
        <v>0</v>
      </c>
      <c r="FL170" s="368">
        <v>0</v>
      </c>
      <c r="FM170" s="368">
        <v>95631.039999999994</v>
      </c>
      <c r="FN170" s="368">
        <v>60806.71</v>
      </c>
      <c r="FO170" s="323">
        <v>968444.85</v>
      </c>
      <c r="FP170" s="323">
        <v>48753.62</v>
      </c>
      <c r="FQ170" s="323">
        <v>1017198.47</v>
      </c>
      <c r="FR170" s="338">
        <v>71625.25</v>
      </c>
      <c r="FS170" s="338">
        <v>-3485.99</v>
      </c>
      <c r="FT170" s="377">
        <v>68139.259999999995</v>
      </c>
      <c r="FU170" s="377">
        <v>881250.39</v>
      </c>
      <c r="FV170" s="377">
        <v>60525.49</v>
      </c>
      <c r="FW170" s="362">
        <v>941775.88</v>
      </c>
      <c r="FX170" s="362">
        <v>830848.29</v>
      </c>
      <c r="FY170" s="362">
        <v>50548.85</v>
      </c>
      <c r="FZ170" s="362">
        <v>881397.14</v>
      </c>
      <c r="GA170" s="362">
        <v>122027.35</v>
      </c>
      <c r="GB170" s="362">
        <v>6490.65</v>
      </c>
      <c r="GC170" s="362">
        <v>128518</v>
      </c>
      <c r="GD170" s="362">
        <v>52705.02</v>
      </c>
      <c r="GE170" s="362">
        <v>2934.26</v>
      </c>
      <c r="GF170" s="362">
        <v>55639.28</v>
      </c>
      <c r="GG170" s="202"/>
      <c r="GH170" s="416">
        <v>0</v>
      </c>
      <c r="GI170" s="414">
        <v>2455</v>
      </c>
      <c r="GJ170" s="419">
        <v>5208</v>
      </c>
      <c r="GK170" s="396"/>
      <c r="GL170" s="202">
        <v>0</v>
      </c>
      <c r="GM170" s="202">
        <v>0</v>
      </c>
      <c r="GN170" s="323">
        <v>-87194.46</v>
      </c>
      <c r="GO170" s="323">
        <v>11771.87</v>
      </c>
      <c r="GP170" s="323">
        <v>-75422.59</v>
      </c>
      <c r="GQ170" s="323">
        <v>-34489.440000000002</v>
      </c>
      <c r="GR170" s="323">
        <v>14706.13</v>
      </c>
      <c r="GS170" s="323">
        <v>-19783.310000000001</v>
      </c>
    </row>
    <row r="171" spans="1:201" ht="12.75" customHeight="1" x14ac:dyDescent="0.2">
      <c r="A171" s="45" t="s">
        <v>246</v>
      </c>
      <c r="B171" s="117" t="s">
        <v>215</v>
      </c>
      <c r="C171" s="118" t="s">
        <v>21</v>
      </c>
      <c r="D171" s="388" t="s">
        <v>473</v>
      </c>
      <c r="E171" s="118" t="s">
        <v>12</v>
      </c>
      <c r="F171" s="11">
        <v>5</v>
      </c>
      <c r="G171" s="11">
        <v>5</v>
      </c>
      <c r="H171" s="11">
        <v>80</v>
      </c>
      <c r="I171" s="11">
        <v>0</v>
      </c>
      <c r="J171" s="11">
        <v>159</v>
      </c>
      <c r="K171" s="11">
        <v>187</v>
      </c>
      <c r="L171" s="11" t="s">
        <v>746</v>
      </c>
      <c r="M171" s="84">
        <v>281</v>
      </c>
      <c r="N171" s="84">
        <v>886</v>
      </c>
      <c r="O171" s="84">
        <v>0</v>
      </c>
      <c r="P171" s="135">
        <v>280.5</v>
      </c>
      <c r="Q171" s="135">
        <v>690.5</v>
      </c>
      <c r="R171" s="133">
        <v>0</v>
      </c>
      <c r="S171" s="133">
        <f t="shared" si="79"/>
        <v>971</v>
      </c>
      <c r="T171" s="134">
        <v>281</v>
      </c>
      <c r="U171" s="130">
        <v>1.53</v>
      </c>
      <c r="V171" s="131">
        <v>1.9800000000000002E-2</v>
      </c>
      <c r="W171" s="131">
        <v>1.9800000000000002E-2</v>
      </c>
      <c r="X171" s="132">
        <v>1.32E-3</v>
      </c>
      <c r="Y171" s="131">
        <v>3.95E-2</v>
      </c>
      <c r="Z171" s="29">
        <v>3590.49</v>
      </c>
      <c r="AA171" s="29"/>
      <c r="AB171" s="9">
        <f t="shared" si="57"/>
        <v>3590.49</v>
      </c>
      <c r="AC171" s="9">
        <f t="shared" si="82"/>
        <v>22727.8</v>
      </c>
      <c r="AD171" s="9">
        <v>0.39</v>
      </c>
      <c r="AE171" s="9">
        <v>3.79</v>
      </c>
      <c r="AF171" s="21">
        <f>2.43-AJ171</f>
        <v>2.19</v>
      </c>
      <c r="AG171" s="18">
        <f>0.53-AQ171</f>
        <v>0.43</v>
      </c>
      <c r="AH171" s="9">
        <v>2.78</v>
      </c>
      <c r="AI171" s="43">
        <v>851</v>
      </c>
      <c r="AJ171" s="21">
        <f t="shared" si="58"/>
        <v>0.24</v>
      </c>
      <c r="AK171" s="9">
        <v>0</v>
      </c>
      <c r="AL171" s="9">
        <v>0</v>
      </c>
      <c r="AM171" s="9">
        <v>0.26</v>
      </c>
      <c r="AN171" s="13"/>
      <c r="AO171" s="13">
        <v>751.5</v>
      </c>
      <c r="AP171" s="13">
        <f t="shared" si="80"/>
        <v>5.58</v>
      </c>
      <c r="AQ171" s="18">
        <f t="shared" si="56"/>
        <v>0.1</v>
      </c>
      <c r="AR171" s="9">
        <v>0.77</v>
      </c>
      <c r="AS171" s="9">
        <v>0.38</v>
      </c>
      <c r="AT171" s="9">
        <v>7.0000000000000007E-2</v>
      </c>
      <c r="AU171" s="9">
        <v>4.57</v>
      </c>
      <c r="AV171" s="9">
        <v>0.12</v>
      </c>
      <c r="AW171" s="9">
        <f>1.02+0.31+0.4</f>
        <v>1.73</v>
      </c>
      <c r="AX171" s="9">
        <f>1.4+0.54</f>
        <v>1.94</v>
      </c>
      <c r="AY171" s="120">
        <f t="shared" si="81"/>
        <v>19.760000000000002</v>
      </c>
      <c r="AZ171" s="13">
        <v>19.760000000000002</v>
      </c>
      <c r="BA171" s="13">
        <f t="shared" si="59"/>
        <v>0</v>
      </c>
      <c r="BB171" s="9">
        <f t="shared" si="60"/>
        <v>70948.08</v>
      </c>
      <c r="BC171" s="9">
        <v>19.760000000000002</v>
      </c>
      <c r="BD171" s="10">
        <v>44409</v>
      </c>
      <c r="BE171" s="9">
        <f t="shared" si="61"/>
        <v>1400.29</v>
      </c>
      <c r="BF171" s="9">
        <f t="shared" si="62"/>
        <v>13607.96</v>
      </c>
      <c r="BG171" s="9">
        <f t="shared" si="63"/>
        <v>7863.17</v>
      </c>
      <c r="BH171" s="9">
        <f t="shared" si="64"/>
        <v>1543.91</v>
      </c>
      <c r="BI171" s="9">
        <f t="shared" si="65"/>
        <v>9981.56</v>
      </c>
      <c r="BJ171" s="9">
        <f t="shared" si="66"/>
        <v>861.72</v>
      </c>
      <c r="BK171" s="9">
        <f t="shared" si="67"/>
        <v>0</v>
      </c>
      <c r="BL171" s="9">
        <f t="shared" si="68"/>
        <v>0</v>
      </c>
      <c r="BM171" s="9">
        <f t="shared" si="69"/>
        <v>933.53</v>
      </c>
      <c r="BN171" s="9">
        <f t="shared" si="70"/>
        <v>359.05</v>
      </c>
      <c r="BO171" s="9">
        <f t="shared" si="71"/>
        <v>2764.68</v>
      </c>
      <c r="BP171" s="9">
        <f t="shared" si="72"/>
        <v>1364.39</v>
      </c>
      <c r="BQ171" s="9">
        <f t="shared" si="73"/>
        <v>251.33</v>
      </c>
      <c r="BR171" s="9">
        <f t="shared" si="74"/>
        <v>16408.54</v>
      </c>
      <c r="BS171" s="9">
        <f t="shared" si="75"/>
        <v>430.86</v>
      </c>
      <c r="BT171" s="9">
        <f t="shared" si="76"/>
        <v>6211.55</v>
      </c>
      <c r="BU171" s="9">
        <f t="shared" si="77"/>
        <v>6965.55</v>
      </c>
      <c r="BV171" s="17">
        <f t="shared" si="78"/>
        <v>70948.09</v>
      </c>
      <c r="BW171" s="17">
        <v>1.66</v>
      </c>
      <c r="BX171" s="17">
        <v>0.04</v>
      </c>
      <c r="BY171" s="17">
        <v>0.28000000000000003</v>
      </c>
      <c r="BZ171" s="17">
        <v>0.05</v>
      </c>
      <c r="CA171" s="29">
        <v>6.33</v>
      </c>
      <c r="CB171" s="325"/>
      <c r="CC171" s="13">
        <v>0</v>
      </c>
      <c r="CD171" s="13">
        <v>0</v>
      </c>
      <c r="CE171" s="13">
        <v>0</v>
      </c>
      <c r="CF171" s="13">
        <v>0</v>
      </c>
      <c r="CG171" s="13">
        <v>0</v>
      </c>
      <c r="CH171" s="13">
        <v>4464</v>
      </c>
      <c r="CI171" s="13">
        <v>7073.96</v>
      </c>
      <c r="CJ171" s="13">
        <v>28192</v>
      </c>
      <c r="CK171" s="13">
        <v>1380.22</v>
      </c>
      <c r="CL171" s="13">
        <v>851125.53</v>
      </c>
      <c r="CM171" s="13">
        <v>61881.69</v>
      </c>
      <c r="CN171" s="13">
        <v>0</v>
      </c>
      <c r="CO171" s="13">
        <v>12810.84</v>
      </c>
      <c r="CP171" s="13">
        <v>7680.2</v>
      </c>
      <c r="CQ171" s="13">
        <v>0</v>
      </c>
      <c r="CR171" s="13">
        <v>776580.07</v>
      </c>
      <c r="CS171" s="13">
        <v>55163.96</v>
      </c>
      <c r="CT171" s="13">
        <v>576.80999999999995</v>
      </c>
      <c r="CU171" s="13">
        <v>17159.599999999999</v>
      </c>
      <c r="CV171" s="13">
        <v>9588.58</v>
      </c>
      <c r="CW171" s="13">
        <v>0</v>
      </c>
      <c r="CX171" s="13">
        <v>166924.57999999999</v>
      </c>
      <c r="CY171" s="13">
        <v>15225.48</v>
      </c>
      <c r="CZ171" s="13">
        <v>-892.18</v>
      </c>
      <c r="DA171" s="13">
        <v>1267.6500000000001</v>
      </c>
      <c r="DB171" s="13">
        <v>755.22</v>
      </c>
      <c r="DC171" s="13"/>
      <c r="DD171" s="315">
        <v>933498.26</v>
      </c>
      <c r="DE171" s="317">
        <v>859069.02</v>
      </c>
      <c r="DF171" s="317">
        <v>92.03</v>
      </c>
      <c r="DG171" s="318">
        <v>183280.75</v>
      </c>
      <c r="DH171" s="310">
        <v>37707.72</v>
      </c>
      <c r="DI171" s="310">
        <v>21565.439999999999</v>
      </c>
      <c r="DJ171" s="312">
        <v>0</v>
      </c>
      <c r="DK171" s="362">
        <v>0</v>
      </c>
      <c r="DL171" s="362"/>
      <c r="DM171" s="362">
        <v>0</v>
      </c>
      <c r="DN171" s="362">
        <v>0</v>
      </c>
      <c r="DO171" s="362">
        <v>0</v>
      </c>
      <c r="DP171" s="362">
        <v>0</v>
      </c>
      <c r="DQ171" s="362">
        <v>0</v>
      </c>
      <c r="DR171" s="362"/>
      <c r="DS171" s="362">
        <v>0</v>
      </c>
      <c r="DT171" s="362"/>
      <c r="DU171" s="362">
        <v>0</v>
      </c>
      <c r="DV171" s="362">
        <v>0</v>
      </c>
      <c r="DW171" s="362">
        <v>0</v>
      </c>
      <c r="DX171" s="362">
        <v>0</v>
      </c>
      <c r="DY171" s="362">
        <v>0</v>
      </c>
      <c r="DZ171" s="375">
        <v>0</v>
      </c>
      <c r="EA171" s="362">
        <v>210198</v>
      </c>
      <c r="EB171" s="362">
        <v>14450</v>
      </c>
      <c r="EC171" s="362"/>
      <c r="ED171" s="362">
        <v>0</v>
      </c>
      <c r="EE171" s="362">
        <v>0</v>
      </c>
      <c r="EF171" s="362"/>
      <c r="EG171" s="362">
        <v>13542</v>
      </c>
      <c r="EH171" s="362">
        <v>93012.5</v>
      </c>
      <c r="EI171" s="362"/>
      <c r="EJ171" s="362">
        <v>32480</v>
      </c>
      <c r="EK171" s="362"/>
      <c r="EL171" s="362">
        <v>0</v>
      </c>
      <c r="EM171" s="362">
        <v>4193.37</v>
      </c>
      <c r="EN171" s="362">
        <v>0</v>
      </c>
      <c r="EO171" s="362">
        <v>2232</v>
      </c>
      <c r="EP171" s="362">
        <v>223164</v>
      </c>
      <c r="EQ171" s="362">
        <v>0</v>
      </c>
      <c r="ER171" s="362">
        <v>6825</v>
      </c>
      <c r="ES171" s="362">
        <v>0</v>
      </c>
      <c r="ET171" s="362">
        <v>12932</v>
      </c>
      <c r="EU171" s="362">
        <v>0</v>
      </c>
      <c r="EV171" s="362">
        <v>418856.74</v>
      </c>
      <c r="EW171" s="362"/>
      <c r="EX171" s="202"/>
      <c r="EY171" s="202"/>
      <c r="EZ171" s="229"/>
      <c r="FA171" s="368">
        <v>58545.21</v>
      </c>
      <c r="FB171" s="368">
        <v>33014.75</v>
      </c>
      <c r="FC171" s="368">
        <v>0</v>
      </c>
      <c r="FD171" s="368">
        <v>0</v>
      </c>
      <c r="FE171" s="368">
        <v>13709.03</v>
      </c>
      <c r="FF171" s="368">
        <v>7913.59</v>
      </c>
      <c r="FG171" s="368">
        <v>-2215.9699999999998</v>
      </c>
      <c r="FH171" s="368">
        <v>-2078.3000000000002</v>
      </c>
      <c r="FI171" s="368">
        <v>0</v>
      </c>
      <c r="FJ171" s="368">
        <v>0</v>
      </c>
      <c r="FK171" s="368">
        <v>16169.57</v>
      </c>
      <c r="FL171" s="368">
        <v>0</v>
      </c>
      <c r="FM171" s="368">
        <v>95963.48</v>
      </c>
      <c r="FN171" s="368">
        <v>61018.34</v>
      </c>
      <c r="FO171" s="323">
        <v>1248140.5900000001</v>
      </c>
      <c r="FP171" s="323">
        <v>125057.88</v>
      </c>
      <c r="FQ171" s="323">
        <v>1373198.47</v>
      </c>
      <c r="FR171" s="338">
        <v>86829.24</v>
      </c>
      <c r="FS171" s="338">
        <v>12855.72</v>
      </c>
      <c r="FT171" s="377">
        <v>99684.96</v>
      </c>
      <c r="FU171" s="377">
        <v>886391.49</v>
      </c>
      <c r="FV171" s="377">
        <v>88216.95</v>
      </c>
      <c r="FW171" s="362">
        <v>974608.44</v>
      </c>
      <c r="FX171" s="362">
        <v>806296.15</v>
      </c>
      <c r="FY171" s="362">
        <v>84716.5</v>
      </c>
      <c r="FZ171" s="362">
        <v>891012.65</v>
      </c>
      <c r="GA171" s="362">
        <v>166924.57999999999</v>
      </c>
      <c r="GB171" s="362">
        <v>16356.17</v>
      </c>
      <c r="GC171" s="362">
        <v>183280.75</v>
      </c>
      <c r="GD171" s="362">
        <v>-132847.79999999999</v>
      </c>
      <c r="GE171" s="362">
        <v>-12.13</v>
      </c>
      <c r="GF171" s="362">
        <v>-132859.93</v>
      </c>
      <c r="GG171" s="202"/>
      <c r="GH171" s="416">
        <v>0</v>
      </c>
      <c r="GI171" s="414">
        <v>2455</v>
      </c>
      <c r="GJ171" s="419">
        <v>4464</v>
      </c>
      <c r="GK171" s="396"/>
      <c r="GL171" s="202">
        <v>0</v>
      </c>
      <c r="GM171" s="202">
        <v>0</v>
      </c>
      <c r="GN171" s="323">
        <v>-361749.1</v>
      </c>
      <c r="GO171" s="323">
        <v>-36840.93</v>
      </c>
      <c r="GP171" s="323">
        <v>-398590.03</v>
      </c>
      <c r="GQ171" s="323">
        <v>-494596.9</v>
      </c>
      <c r="GR171" s="323">
        <v>-36853.06</v>
      </c>
      <c r="GS171" s="323">
        <v>-531449.96</v>
      </c>
    </row>
    <row r="172" spans="1:201" ht="12.75" customHeight="1" x14ac:dyDescent="0.2">
      <c r="A172" s="45" t="s">
        <v>248</v>
      </c>
      <c r="B172" s="60" t="s">
        <v>893</v>
      </c>
      <c r="C172" s="118" t="s">
        <v>48</v>
      </c>
      <c r="D172" s="390" t="s">
        <v>894</v>
      </c>
      <c r="E172" s="118" t="s">
        <v>9</v>
      </c>
      <c r="F172" s="11">
        <v>26</v>
      </c>
      <c r="G172" s="11">
        <v>3</v>
      </c>
      <c r="H172" s="11">
        <v>400</v>
      </c>
      <c r="I172" s="264"/>
      <c r="J172" s="264"/>
      <c r="K172" s="264"/>
      <c r="L172" s="83">
        <v>9</v>
      </c>
      <c r="M172" s="84">
        <v>5457.5</v>
      </c>
      <c r="N172" s="84">
        <f>1237.1+41.1</f>
        <v>1278.2</v>
      </c>
      <c r="O172" s="84">
        <v>1375.8</v>
      </c>
      <c r="P172" s="84">
        <v>5457.5</v>
      </c>
      <c r="Q172" s="84">
        <f>1237.1+41.1</f>
        <v>1278.2</v>
      </c>
      <c r="R172" s="84">
        <v>1375.8</v>
      </c>
      <c r="S172" s="133">
        <f t="shared" si="79"/>
        <v>8111.5</v>
      </c>
      <c r="T172" s="134">
        <v>5457.5</v>
      </c>
      <c r="U172" s="130">
        <v>4.22</v>
      </c>
      <c r="V172" s="131">
        <v>3.8999999999999998E-3</v>
      </c>
      <c r="W172" s="131">
        <v>0</v>
      </c>
      <c r="X172" s="132">
        <v>0</v>
      </c>
      <c r="Y172" s="131">
        <v>3.8999999999999998E-3</v>
      </c>
      <c r="Z172" s="29">
        <v>19827</v>
      </c>
      <c r="AA172" s="29">
        <v>0</v>
      </c>
      <c r="AB172" s="9">
        <f t="shared" si="57"/>
        <v>19827</v>
      </c>
      <c r="AC172" s="9">
        <f t="shared" si="82"/>
        <v>125504.91</v>
      </c>
      <c r="AD172" s="9">
        <v>1.62</v>
      </c>
      <c r="AE172" s="9">
        <v>1.82</v>
      </c>
      <c r="AF172" s="21">
        <f>1.95-AJ172</f>
        <v>1.88</v>
      </c>
      <c r="AG172" s="18">
        <f>0.38-AQ172</f>
        <v>0.37</v>
      </c>
      <c r="AH172" s="9">
        <v>1.59</v>
      </c>
      <c r="AI172" s="43">
        <v>1344</v>
      </c>
      <c r="AJ172" s="21">
        <f t="shared" si="58"/>
        <v>7.0000000000000007E-2</v>
      </c>
      <c r="AK172" s="9">
        <v>3.69</v>
      </c>
      <c r="AL172" s="9">
        <v>0.25</v>
      </c>
      <c r="AM172" s="9">
        <v>0.09</v>
      </c>
      <c r="AN172" s="13"/>
      <c r="AO172" s="13">
        <v>1833</v>
      </c>
      <c r="AP172" s="13">
        <f t="shared" si="80"/>
        <v>5.58</v>
      </c>
      <c r="AQ172" s="18">
        <v>0.01</v>
      </c>
      <c r="AR172" s="9">
        <v>0</v>
      </c>
      <c r="AS172" s="9">
        <v>0.17</v>
      </c>
      <c r="AT172" s="9">
        <v>7.0000000000000007E-2</v>
      </c>
      <c r="AU172" s="9">
        <v>2</v>
      </c>
      <c r="AV172" s="9">
        <v>1.68</v>
      </c>
      <c r="AW172" s="9">
        <v>1.76</v>
      </c>
      <c r="AX172" s="9">
        <v>2.4300000000000002</v>
      </c>
      <c r="AY172" s="120">
        <f t="shared" si="81"/>
        <v>19.5</v>
      </c>
      <c r="AZ172" s="13">
        <v>19.5</v>
      </c>
      <c r="BA172" s="13">
        <f t="shared" si="59"/>
        <v>0</v>
      </c>
      <c r="BB172" s="9">
        <f t="shared" si="60"/>
        <v>386626.5</v>
      </c>
      <c r="BC172" s="9">
        <v>19.5</v>
      </c>
      <c r="BD172" s="10">
        <v>44582</v>
      </c>
      <c r="BE172" s="9">
        <f>SUM(AB172*AD172)</f>
        <v>32119.74</v>
      </c>
      <c r="BF172" s="9">
        <f>SUM(AB172*AE172)</f>
        <v>36085.14</v>
      </c>
      <c r="BG172" s="9">
        <f>SUM(AB172*AF172)</f>
        <v>37274.76</v>
      </c>
      <c r="BH172" s="9">
        <f>SUM(AB172*AG172)</f>
        <v>7335.99</v>
      </c>
      <c r="BI172" s="9">
        <f>SUM(AB172*AH172)</f>
        <v>31524.93</v>
      </c>
      <c r="BJ172" s="9">
        <f>SUM(AB172*AJ172)</f>
        <v>1387.89</v>
      </c>
      <c r="BK172" s="9">
        <f>SUM(AB172*AK172)</f>
        <v>73161.63</v>
      </c>
      <c r="BL172" s="9">
        <f>SUM(AB172*AL172)</f>
        <v>4956.75</v>
      </c>
      <c r="BM172" s="9">
        <f>SUM(AB172*AM172)</f>
        <v>1784.43</v>
      </c>
      <c r="BN172" s="9">
        <f>SUM(AB172*AQ172)</f>
        <v>198.27</v>
      </c>
      <c r="BO172" s="9">
        <f>SUM(AB172*AR172)</f>
        <v>0</v>
      </c>
      <c r="BP172" s="9">
        <f>SUM(AB172*AS172)</f>
        <v>3370.59</v>
      </c>
      <c r="BQ172" s="9">
        <f>SUM(AB172*AT172)</f>
        <v>1387.89</v>
      </c>
      <c r="BR172" s="9">
        <f>SUM(AB172*AU172)</f>
        <v>39654</v>
      </c>
      <c r="BS172" s="9">
        <f>SUM(AB172*AV172)</f>
        <v>33309.360000000001</v>
      </c>
      <c r="BT172" s="9">
        <f>SUM(AB172*AW172)</f>
        <v>34895.519999999997</v>
      </c>
      <c r="BU172" s="9">
        <f>SUM(AB172*AX172)</f>
        <v>48179.61</v>
      </c>
      <c r="BV172" s="17">
        <f t="shared" si="78"/>
        <v>386626.5</v>
      </c>
      <c r="BW172" s="17">
        <v>4.84</v>
      </c>
      <c r="BX172" s="17">
        <v>0.03</v>
      </c>
      <c r="BY172" s="173">
        <v>0</v>
      </c>
      <c r="BZ172" s="17">
        <v>0.02</v>
      </c>
      <c r="CA172" s="29" t="s">
        <v>746</v>
      </c>
      <c r="CB172" s="325"/>
      <c r="CC172" s="13">
        <v>0</v>
      </c>
      <c r="CD172" s="13">
        <v>7234.56</v>
      </c>
      <c r="CE172" s="13">
        <v>0</v>
      </c>
      <c r="CF172" s="13">
        <v>414.06</v>
      </c>
      <c r="CG172" s="13">
        <v>213.31</v>
      </c>
      <c r="CH172" s="13">
        <v>205234.34</v>
      </c>
      <c r="CI172" s="13">
        <v>43244.5</v>
      </c>
      <c r="CJ172" s="13">
        <v>15240</v>
      </c>
      <c r="CK172" s="13">
        <v>7646.55</v>
      </c>
      <c r="CL172" s="13">
        <v>4088388.36</v>
      </c>
      <c r="CM172" s="13">
        <v>474647.47</v>
      </c>
      <c r="CN172" s="13">
        <v>0</v>
      </c>
      <c r="CO172" s="13">
        <v>2119.8200000000002</v>
      </c>
      <c r="CP172" s="13">
        <v>891.85</v>
      </c>
      <c r="CQ172" s="13">
        <v>2768700.33</v>
      </c>
      <c r="CR172" s="13">
        <v>2836846.22</v>
      </c>
      <c r="CS172" s="13">
        <v>332818.92</v>
      </c>
      <c r="CT172" s="13">
        <v>0</v>
      </c>
      <c r="CU172" s="13">
        <v>7420.26</v>
      </c>
      <c r="CV172" s="13">
        <v>3822.9</v>
      </c>
      <c r="CW172" s="13">
        <v>2245279.1800000002</v>
      </c>
      <c r="CX172" s="13">
        <v>1542270.68</v>
      </c>
      <c r="CY172" s="13">
        <v>158539.82</v>
      </c>
      <c r="CZ172" s="13">
        <v>0</v>
      </c>
      <c r="DA172" s="13">
        <v>-5394.32</v>
      </c>
      <c r="DB172" s="13">
        <v>-2991.13</v>
      </c>
      <c r="DC172" s="13">
        <v>755259.22</v>
      </c>
      <c r="DD172" s="315">
        <v>7334747.8300000001</v>
      </c>
      <c r="DE172" s="317">
        <v>5426187.4800000004</v>
      </c>
      <c r="DF172" s="317">
        <v>73.98</v>
      </c>
      <c r="DG172" s="318">
        <v>2447684.27</v>
      </c>
      <c r="DH172" s="310">
        <v>191547.84</v>
      </c>
      <c r="DI172" s="310">
        <v>109548.23</v>
      </c>
      <c r="DJ172" s="312">
        <v>480817.2</v>
      </c>
      <c r="DK172" s="362">
        <v>12000</v>
      </c>
      <c r="DL172" s="362"/>
      <c r="DM172" s="362">
        <v>264000</v>
      </c>
      <c r="DN172" s="362">
        <v>199497</v>
      </c>
      <c r="DO172" s="362">
        <v>0</v>
      </c>
      <c r="DP172" s="362">
        <v>0</v>
      </c>
      <c r="DQ172" s="362">
        <v>0</v>
      </c>
      <c r="DR172" s="362"/>
      <c r="DS172" s="362">
        <v>0</v>
      </c>
      <c r="DT172" s="362"/>
      <c r="DU172" s="362">
        <v>0</v>
      </c>
      <c r="DV172" s="362">
        <v>239739</v>
      </c>
      <c r="DW172" s="362">
        <v>0</v>
      </c>
      <c r="DX172" s="362">
        <v>0</v>
      </c>
      <c r="DY172" s="362">
        <v>40500</v>
      </c>
      <c r="DZ172" s="375">
        <v>0</v>
      </c>
      <c r="EA172" s="362">
        <v>0</v>
      </c>
      <c r="EB172" s="362">
        <v>0</v>
      </c>
      <c r="EC172" s="362"/>
      <c r="ED172" s="362">
        <v>0</v>
      </c>
      <c r="EE172" s="362">
        <v>0</v>
      </c>
      <c r="EF172" s="362"/>
      <c r="EG172" s="362">
        <v>20046</v>
      </c>
      <c r="EH172" s="362">
        <v>0</v>
      </c>
      <c r="EI172" s="362"/>
      <c r="EJ172" s="362">
        <v>0</v>
      </c>
      <c r="EK172" s="362"/>
      <c r="EL172" s="362">
        <v>476.9</v>
      </c>
      <c r="EM172" s="362">
        <v>0</v>
      </c>
      <c r="EN172" s="362">
        <v>1001658</v>
      </c>
      <c r="EO172" s="362">
        <v>0</v>
      </c>
      <c r="EP172" s="362">
        <v>0</v>
      </c>
      <c r="EQ172" s="362">
        <v>0</v>
      </c>
      <c r="ER172" s="362">
        <v>16380</v>
      </c>
      <c r="ES172" s="362">
        <v>6924</v>
      </c>
      <c r="ET172" s="362">
        <v>0</v>
      </c>
      <c r="EU172" s="362">
        <v>0</v>
      </c>
      <c r="EV172" s="362">
        <v>63882.73</v>
      </c>
      <c r="EW172" s="362"/>
      <c r="EX172" s="202"/>
      <c r="EY172" s="202"/>
      <c r="EZ172" s="229"/>
      <c r="FA172" s="368">
        <v>520240.1</v>
      </c>
      <c r="FB172" s="368">
        <v>0</v>
      </c>
      <c r="FC172" s="368">
        <v>2648939.96</v>
      </c>
      <c r="FD172" s="368">
        <v>213522.12</v>
      </c>
      <c r="FE172" s="368">
        <v>12524.61</v>
      </c>
      <c r="FF172" s="368">
        <v>6605.78</v>
      </c>
      <c r="FG172" s="368">
        <v>0</v>
      </c>
      <c r="FH172" s="368">
        <v>-5088.09</v>
      </c>
      <c r="FI172" s="368">
        <v>0</v>
      </c>
      <c r="FJ172" s="368">
        <v>0</v>
      </c>
      <c r="FK172" s="368">
        <v>0</v>
      </c>
      <c r="FL172" s="368">
        <v>0</v>
      </c>
      <c r="FM172" s="368">
        <v>532440.21</v>
      </c>
      <c r="FN172" s="368">
        <v>338287.25</v>
      </c>
      <c r="FO172" s="323">
        <v>3517744.36</v>
      </c>
      <c r="FP172" s="323">
        <v>3396744.48</v>
      </c>
      <c r="FQ172" s="323">
        <v>6914488.8399999999</v>
      </c>
      <c r="FR172" s="362"/>
      <c r="FS172" s="362"/>
      <c r="FT172" s="377">
        <v>0</v>
      </c>
      <c r="FU172" s="377">
        <v>4146872.86</v>
      </c>
      <c r="FV172" s="377">
        <v>3467102.29</v>
      </c>
      <c r="FW172" s="362">
        <v>7613975.1500000004</v>
      </c>
      <c r="FX172" s="362">
        <v>2604602.1800000002</v>
      </c>
      <c r="FY172" s="362">
        <v>2561688.7000000002</v>
      </c>
      <c r="FZ172" s="362">
        <v>5166290.88</v>
      </c>
      <c r="GA172" s="362">
        <v>1542270.68</v>
      </c>
      <c r="GB172" s="362">
        <v>905413.59</v>
      </c>
      <c r="GC172" s="362">
        <v>2447684.27</v>
      </c>
      <c r="GD172" s="362"/>
      <c r="GE172" s="362"/>
      <c r="GF172" s="362">
        <v>0</v>
      </c>
      <c r="GG172" s="202"/>
      <c r="GH172" s="416">
        <v>0</v>
      </c>
      <c r="GI172" s="414">
        <v>1486.65</v>
      </c>
      <c r="GJ172" s="419">
        <v>213096.27</v>
      </c>
      <c r="GK172" s="396"/>
      <c r="GL172" s="202">
        <v>0</v>
      </c>
      <c r="GM172" s="202">
        <v>0</v>
      </c>
      <c r="GN172" s="323">
        <v>629128.5</v>
      </c>
      <c r="GO172" s="323">
        <v>70357.81</v>
      </c>
      <c r="GP172" s="323">
        <v>699486.31</v>
      </c>
      <c r="GQ172" s="323">
        <v>629128.5</v>
      </c>
      <c r="GR172" s="323">
        <v>70357.81</v>
      </c>
      <c r="GS172" s="323">
        <v>699486.31</v>
      </c>
    </row>
    <row r="173" spans="1:201" ht="12.75" customHeight="1" x14ac:dyDescent="0.2">
      <c r="A173" s="45" t="s">
        <v>250</v>
      </c>
      <c r="B173" s="60" t="s">
        <v>221</v>
      </c>
      <c r="C173" s="61" t="s">
        <v>44</v>
      </c>
      <c r="D173" s="388" t="s">
        <v>655</v>
      </c>
      <c r="E173" s="61" t="s">
        <v>12</v>
      </c>
      <c r="F173" s="11">
        <v>9</v>
      </c>
      <c r="G173" s="11">
        <v>2</v>
      </c>
      <c r="H173" s="11">
        <v>72</v>
      </c>
      <c r="I173" s="11">
        <v>72</v>
      </c>
      <c r="J173" s="11">
        <v>135</v>
      </c>
      <c r="K173" s="11">
        <v>193</v>
      </c>
      <c r="L173" s="11">
        <v>2</v>
      </c>
      <c r="M173" s="84">
        <v>660.6</v>
      </c>
      <c r="N173" s="84">
        <v>584.9</v>
      </c>
      <c r="O173" s="84">
        <v>0</v>
      </c>
      <c r="P173" s="135">
        <v>660.6</v>
      </c>
      <c r="Q173" s="135">
        <v>693</v>
      </c>
      <c r="R173" s="133">
        <v>0</v>
      </c>
      <c r="S173" s="133">
        <f t="shared" si="79"/>
        <v>1353.6</v>
      </c>
      <c r="T173" s="134">
        <v>660.6</v>
      </c>
      <c r="U173" s="130">
        <v>2.44</v>
      </c>
      <c r="V173" s="131">
        <v>1.9800000000000002E-2</v>
      </c>
      <c r="W173" s="131">
        <v>1.9800000000000002E-2</v>
      </c>
      <c r="X173" s="132">
        <v>1.32E-3</v>
      </c>
      <c r="Y173" s="131">
        <v>3.9699999999999999E-2</v>
      </c>
      <c r="Z173" s="29">
        <v>3690.04</v>
      </c>
      <c r="AA173" s="29">
        <v>163.1</v>
      </c>
      <c r="AB173" s="9">
        <f t="shared" si="57"/>
        <v>3853.14</v>
      </c>
      <c r="AC173" s="9">
        <f t="shared" si="82"/>
        <v>24390.38</v>
      </c>
      <c r="AD173" s="9">
        <v>2.35</v>
      </c>
      <c r="AE173" s="9">
        <v>4.2300000000000004</v>
      </c>
      <c r="AF173" s="21">
        <f>2.42-AJ173</f>
        <v>2.27</v>
      </c>
      <c r="AG173" s="18">
        <f>0.62-AQ173</f>
        <v>0.56999999999999995</v>
      </c>
      <c r="AH173" s="9">
        <v>2.78</v>
      </c>
      <c r="AI173" s="43">
        <v>562</v>
      </c>
      <c r="AJ173" s="21">
        <f t="shared" si="58"/>
        <v>0.15</v>
      </c>
      <c r="AK173" s="9">
        <v>2.2400000000000002</v>
      </c>
      <c r="AL173" s="9">
        <v>0.2</v>
      </c>
      <c r="AM173" s="9">
        <v>0.15</v>
      </c>
      <c r="AN173" s="13"/>
      <c r="AO173" s="13">
        <v>422.4</v>
      </c>
      <c r="AP173" s="13">
        <f t="shared" si="80"/>
        <v>5.58</v>
      </c>
      <c r="AQ173" s="18">
        <f t="shared" si="56"/>
        <v>0.05</v>
      </c>
      <c r="AR173" s="9">
        <v>0.56000000000000005</v>
      </c>
      <c r="AS173" s="9">
        <v>0.36</v>
      </c>
      <c r="AT173" s="9">
        <v>7.0000000000000007E-2</v>
      </c>
      <c r="AU173" s="9">
        <v>3.35</v>
      </c>
      <c r="AV173" s="9">
        <v>0.17</v>
      </c>
      <c r="AW173" s="9">
        <f>0.26+1.4+0.3</f>
        <v>1.96</v>
      </c>
      <c r="AX173" s="9">
        <f>2.01+0.4</f>
        <v>2.41</v>
      </c>
      <c r="AY173" s="63">
        <f t="shared" si="81"/>
        <v>23.87</v>
      </c>
      <c r="AZ173" s="13">
        <v>23.87</v>
      </c>
      <c r="BA173" s="13">
        <f t="shared" si="59"/>
        <v>0</v>
      </c>
      <c r="BB173" s="9">
        <f t="shared" si="60"/>
        <v>91974.45</v>
      </c>
      <c r="BC173" s="9">
        <v>23.87</v>
      </c>
      <c r="BD173" s="10">
        <v>44378</v>
      </c>
      <c r="BE173" s="9">
        <f t="shared" si="61"/>
        <v>9054.8799999999992</v>
      </c>
      <c r="BF173" s="9">
        <f t="shared" si="62"/>
        <v>16298.78</v>
      </c>
      <c r="BG173" s="9">
        <f t="shared" si="63"/>
        <v>8746.6299999999992</v>
      </c>
      <c r="BH173" s="9">
        <f t="shared" si="64"/>
        <v>2196.29</v>
      </c>
      <c r="BI173" s="9">
        <f t="shared" si="65"/>
        <v>10711.73</v>
      </c>
      <c r="BJ173" s="9">
        <f t="shared" si="66"/>
        <v>577.97</v>
      </c>
      <c r="BK173" s="9">
        <f t="shared" si="67"/>
        <v>8631.0300000000007</v>
      </c>
      <c r="BL173" s="9">
        <f t="shared" si="68"/>
        <v>770.63</v>
      </c>
      <c r="BM173" s="9">
        <f t="shared" si="69"/>
        <v>577.97</v>
      </c>
      <c r="BN173" s="9">
        <f t="shared" si="70"/>
        <v>192.66</v>
      </c>
      <c r="BO173" s="9">
        <f t="shared" si="71"/>
        <v>2157.7600000000002</v>
      </c>
      <c r="BP173" s="9">
        <f t="shared" si="72"/>
        <v>1387.13</v>
      </c>
      <c r="BQ173" s="9">
        <f t="shared" si="73"/>
        <v>269.72000000000003</v>
      </c>
      <c r="BR173" s="9">
        <f t="shared" si="74"/>
        <v>12908.02</v>
      </c>
      <c r="BS173" s="9">
        <f t="shared" si="75"/>
        <v>655.03</v>
      </c>
      <c r="BT173" s="9">
        <f t="shared" si="76"/>
        <v>7552.15</v>
      </c>
      <c r="BU173" s="9">
        <f t="shared" si="77"/>
        <v>9286.07</v>
      </c>
      <c r="BV173" s="17">
        <f t="shared" si="78"/>
        <v>91974.45</v>
      </c>
      <c r="BW173" s="17">
        <v>1.8</v>
      </c>
      <c r="BX173" s="17">
        <v>0.1</v>
      </c>
      <c r="BY173" s="17">
        <v>0.65</v>
      </c>
      <c r="BZ173" s="17">
        <v>0.11</v>
      </c>
      <c r="CA173" s="29">
        <v>6.33</v>
      </c>
      <c r="CB173" s="325"/>
      <c r="CC173" s="13">
        <v>46718.400000000001</v>
      </c>
      <c r="CD173" s="13">
        <v>6600.66</v>
      </c>
      <c r="CE173" s="13">
        <v>172.89</v>
      </c>
      <c r="CF173" s="13">
        <v>1381.45</v>
      </c>
      <c r="CG173" s="13">
        <v>839.97</v>
      </c>
      <c r="CH173" s="13">
        <v>5208</v>
      </c>
      <c r="CI173" s="13">
        <v>6787.43</v>
      </c>
      <c r="CJ173" s="13">
        <v>34884</v>
      </c>
      <c r="CK173" s="13">
        <v>1481.88</v>
      </c>
      <c r="CL173" s="13">
        <v>1056641.8899999999</v>
      </c>
      <c r="CM173" s="13">
        <v>149335.88</v>
      </c>
      <c r="CN173" s="13">
        <v>3394.7</v>
      </c>
      <c r="CO173" s="13">
        <v>31771.63</v>
      </c>
      <c r="CP173" s="13">
        <v>19003.939999999999</v>
      </c>
      <c r="CQ173" s="13">
        <v>0</v>
      </c>
      <c r="CR173" s="13">
        <v>965324.55</v>
      </c>
      <c r="CS173" s="13">
        <v>122648.29</v>
      </c>
      <c r="CT173" s="13">
        <v>6785.98</v>
      </c>
      <c r="CU173" s="13">
        <v>31475.64</v>
      </c>
      <c r="CV173" s="13">
        <v>18261.21</v>
      </c>
      <c r="CW173" s="13">
        <v>0</v>
      </c>
      <c r="CX173" s="13">
        <v>230731.85</v>
      </c>
      <c r="CY173" s="13">
        <v>37951.18</v>
      </c>
      <c r="CZ173" s="13">
        <v>-1031.9100000000001</v>
      </c>
      <c r="DA173" s="13">
        <v>1808.13</v>
      </c>
      <c r="DB173" s="13">
        <v>1357.12</v>
      </c>
      <c r="DC173" s="13"/>
      <c r="DD173" s="315">
        <v>1260148.04</v>
      </c>
      <c r="DE173" s="317">
        <v>1144495.67</v>
      </c>
      <c r="DF173" s="317">
        <v>90.82</v>
      </c>
      <c r="DG173" s="318">
        <v>270816.37</v>
      </c>
      <c r="DH173" s="310">
        <v>38772.839999999997</v>
      </c>
      <c r="DI173" s="310">
        <v>22174.560000000001</v>
      </c>
      <c r="DJ173" s="312">
        <v>0</v>
      </c>
      <c r="DK173" s="362">
        <v>0</v>
      </c>
      <c r="DL173" s="362"/>
      <c r="DM173" s="362">
        <v>0</v>
      </c>
      <c r="DN173" s="362">
        <v>0</v>
      </c>
      <c r="DO173" s="362">
        <v>0</v>
      </c>
      <c r="DP173" s="362">
        <v>0</v>
      </c>
      <c r="DQ173" s="362">
        <v>0</v>
      </c>
      <c r="DR173" s="362"/>
      <c r="DS173" s="362">
        <v>0</v>
      </c>
      <c r="DT173" s="362"/>
      <c r="DU173" s="362">
        <v>0</v>
      </c>
      <c r="DV173" s="362">
        <v>0</v>
      </c>
      <c r="DW173" s="362">
        <v>102645.16</v>
      </c>
      <c r="DX173" s="362">
        <v>0</v>
      </c>
      <c r="DY173" s="362">
        <v>18000</v>
      </c>
      <c r="DZ173" s="375">
        <v>0</v>
      </c>
      <c r="EA173" s="362">
        <v>0</v>
      </c>
      <c r="EB173" s="362">
        <v>0</v>
      </c>
      <c r="EC173" s="362"/>
      <c r="ED173" s="362">
        <v>336264.18</v>
      </c>
      <c r="EE173" s="362">
        <v>12800</v>
      </c>
      <c r="EF173" s="362"/>
      <c r="EG173" s="362">
        <v>8946</v>
      </c>
      <c r="EH173" s="362">
        <v>1400</v>
      </c>
      <c r="EI173" s="362"/>
      <c r="EJ173" s="362">
        <v>0</v>
      </c>
      <c r="EK173" s="362"/>
      <c r="EL173" s="362">
        <v>0</v>
      </c>
      <c r="EM173" s="362">
        <v>2356.98</v>
      </c>
      <c r="EN173" s="362">
        <v>0</v>
      </c>
      <c r="EO173" s="362">
        <v>2232</v>
      </c>
      <c r="EP173" s="362">
        <v>243456</v>
      </c>
      <c r="EQ173" s="362">
        <v>0</v>
      </c>
      <c r="ER173" s="362">
        <v>16380</v>
      </c>
      <c r="ES173" s="362">
        <v>2885</v>
      </c>
      <c r="ET173" s="362">
        <v>8723</v>
      </c>
      <c r="EU173" s="362">
        <v>0</v>
      </c>
      <c r="EV173" s="362">
        <v>207478.18</v>
      </c>
      <c r="EW173" s="362"/>
      <c r="EX173" s="202"/>
      <c r="EY173" s="202"/>
      <c r="EZ173" s="229"/>
      <c r="FA173" s="368">
        <v>152808.25</v>
      </c>
      <c r="FB173" s="368">
        <v>2019.45</v>
      </c>
      <c r="FC173" s="368">
        <v>0</v>
      </c>
      <c r="FD173" s="368">
        <v>0</v>
      </c>
      <c r="FE173" s="368">
        <v>32948.75</v>
      </c>
      <c r="FF173" s="368">
        <v>19422.09</v>
      </c>
      <c r="FG173" s="368">
        <v>-3701.02</v>
      </c>
      <c r="FH173" s="368">
        <v>-2969.51</v>
      </c>
      <c r="FI173" s="368">
        <v>0</v>
      </c>
      <c r="FJ173" s="368">
        <v>0</v>
      </c>
      <c r="FK173" s="368">
        <v>2075.0300000000002</v>
      </c>
      <c r="FL173" s="368">
        <v>0</v>
      </c>
      <c r="FM173" s="368">
        <v>103013.95</v>
      </c>
      <c r="FN173" s="368">
        <v>65501.08</v>
      </c>
      <c r="FO173" s="323">
        <v>1193028.93</v>
      </c>
      <c r="FP173" s="323">
        <v>202603.04</v>
      </c>
      <c r="FQ173" s="323">
        <v>1395631.97</v>
      </c>
      <c r="FR173" s="362">
        <v>133502.66</v>
      </c>
      <c r="FS173" s="362">
        <v>15762.03</v>
      </c>
      <c r="FT173" s="377">
        <v>149264.69</v>
      </c>
      <c r="FU173" s="377">
        <v>1145031.72</v>
      </c>
      <c r="FV173" s="377">
        <v>219191</v>
      </c>
      <c r="FW173" s="362">
        <v>1364222.72</v>
      </c>
      <c r="FX173" s="362">
        <v>1043139.74</v>
      </c>
      <c r="FY173" s="362">
        <v>193475.73</v>
      </c>
      <c r="FZ173" s="362">
        <v>1236615.47</v>
      </c>
      <c r="GA173" s="362">
        <v>235394.64</v>
      </c>
      <c r="GB173" s="362">
        <v>41477.300000000003</v>
      </c>
      <c r="GC173" s="362">
        <v>276871.94</v>
      </c>
      <c r="GD173" s="362">
        <v>121005.39</v>
      </c>
      <c r="GE173" s="362">
        <v>-12783.02</v>
      </c>
      <c r="GF173" s="362">
        <v>108222.37</v>
      </c>
      <c r="GG173" s="202">
        <v>6055.57</v>
      </c>
      <c r="GH173" s="416">
        <v>77</v>
      </c>
      <c r="GI173" s="414">
        <v>2442.5500000000002</v>
      </c>
      <c r="GJ173" s="419">
        <v>60921.37</v>
      </c>
      <c r="GK173" s="396">
        <v>6055.57</v>
      </c>
      <c r="GL173" s="202">
        <v>4662.7888999999996</v>
      </c>
      <c r="GM173" s="202">
        <v>1392.7810999999999</v>
      </c>
      <c r="GN173" s="323">
        <v>-47997.21</v>
      </c>
      <c r="GO173" s="323">
        <v>16587.96</v>
      </c>
      <c r="GP173" s="323">
        <v>-31409.25</v>
      </c>
      <c r="GQ173" s="323">
        <v>73008.179999999993</v>
      </c>
      <c r="GR173" s="323">
        <v>3804.94</v>
      </c>
      <c r="GS173" s="323">
        <v>76813.119999999995</v>
      </c>
    </row>
    <row r="174" spans="1:201" ht="12.75" customHeight="1" x14ac:dyDescent="0.2">
      <c r="A174" s="45" t="s">
        <v>252</v>
      </c>
      <c r="B174" s="60" t="s">
        <v>221</v>
      </c>
      <c r="C174" s="61" t="s">
        <v>44</v>
      </c>
      <c r="D174" s="388" t="s">
        <v>571</v>
      </c>
      <c r="E174" s="61" t="s">
        <v>9</v>
      </c>
      <c r="F174" s="11">
        <v>10</v>
      </c>
      <c r="G174" s="11">
        <v>5</v>
      </c>
      <c r="H174" s="11">
        <v>200</v>
      </c>
      <c r="I174" s="11">
        <v>201</v>
      </c>
      <c r="J174" s="11">
        <v>422</v>
      </c>
      <c r="K174" s="11">
        <v>542</v>
      </c>
      <c r="L174" s="11">
        <v>5</v>
      </c>
      <c r="M174" s="84">
        <v>1209.5</v>
      </c>
      <c r="N174" s="84">
        <v>1178</v>
      </c>
      <c r="O174" s="84">
        <v>0</v>
      </c>
      <c r="P174" s="135">
        <v>1209.5</v>
      </c>
      <c r="Q174" s="135">
        <v>1178</v>
      </c>
      <c r="R174" s="133">
        <v>0</v>
      </c>
      <c r="S174" s="133">
        <f t="shared" si="79"/>
        <v>2387.5</v>
      </c>
      <c r="T174" s="134">
        <v>1209.5</v>
      </c>
      <c r="U174" s="130">
        <v>2.74</v>
      </c>
      <c r="V174" s="131">
        <v>1.1299999999999999E-2</v>
      </c>
      <c r="W174" s="131">
        <v>1.1299999999999999E-2</v>
      </c>
      <c r="X174" s="132">
        <v>7.5000000000000002E-4</v>
      </c>
      <c r="Y174" s="131">
        <v>2.2499999999999999E-2</v>
      </c>
      <c r="Z174" s="29">
        <v>10873.53</v>
      </c>
      <c r="AA174" s="29">
        <v>394.4</v>
      </c>
      <c r="AB174" s="9">
        <f t="shared" si="57"/>
        <v>11267.93</v>
      </c>
      <c r="AC174" s="9">
        <f t="shared" si="82"/>
        <v>71326</v>
      </c>
      <c r="AD174" s="9">
        <v>1.47</v>
      </c>
      <c r="AE174" s="9">
        <v>4.7</v>
      </c>
      <c r="AF174" s="21">
        <f>2.44-AJ174</f>
        <v>2.34</v>
      </c>
      <c r="AG174" s="18">
        <f>0.61-AQ174</f>
        <v>0.56000000000000005</v>
      </c>
      <c r="AH174" s="9">
        <v>2.4700000000000002</v>
      </c>
      <c r="AI174" s="43">
        <v>1117</v>
      </c>
      <c r="AJ174" s="21">
        <f t="shared" si="58"/>
        <v>0.1</v>
      </c>
      <c r="AK174" s="9">
        <v>1.91</v>
      </c>
      <c r="AL174" s="9">
        <v>0.52</v>
      </c>
      <c r="AM174" s="9">
        <v>0.05</v>
      </c>
      <c r="AN174" s="13"/>
      <c r="AO174" s="13">
        <v>1168</v>
      </c>
      <c r="AP174" s="13">
        <f t="shared" si="80"/>
        <v>5.58</v>
      </c>
      <c r="AQ174" s="18">
        <f t="shared" si="56"/>
        <v>0.05</v>
      </c>
      <c r="AR174" s="9">
        <v>0.53</v>
      </c>
      <c r="AS174" s="9">
        <v>0.12</v>
      </c>
      <c r="AT174" s="9">
        <v>7.0000000000000007E-2</v>
      </c>
      <c r="AU174" s="9">
        <v>3.76</v>
      </c>
      <c r="AV174" s="9">
        <v>0.16</v>
      </c>
      <c r="AW174" s="9">
        <f>0.26+0.33+1.34</f>
        <v>1.93</v>
      </c>
      <c r="AX174" s="9">
        <f>1.88+0.44</f>
        <v>2.3199999999999998</v>
      </c>
      <c r="AY174" s="63">
        <f t="shared" si="81"/>
        <v>23.06</v>
      </c>
      <c r="AZ174" s="13">
        <v>23.06</v>
      </c>
      <c r="BA174" s="13">
        <f t="shared" si="59"/>
        <v>0</v>
      </c>
      <c r="BB174" s="9">
        <f t="shared" si="60"/>
        <v>259838.47</v>
      </c>
      <c r="BC174" s="9">
        <v>23.06</v>
      </c>
      <c r="BD174" s="10">
        <v>44409</v>
      </c>
      <c r="BE174" s="9">
        <f t="shared" si="61"/>
        <v>16563.86</v>
      </c>
      <c r="BF174" s="9">
        <f t="shared" si="62"/>
        <v>52959.27</v>
      </c>
      <c r="BG174" s="9">
        <f t="shared" si="63"/>
        <v>26366.959999999999</v>
      </c>
      <c r="BH174" s="9">
        <f t="shared" si="64"/>
        <v>6310.04</v>
      </c>
      <c r="BI174" s="9">
        <f t="shared" si="65"/>
        <v>27831.79</v>
      </c>
      <c r="BJ174" s="9">
        <f t="shared" si="66"/>
        <v>1126.79</v>
      </c>
      <c r="BK174" s="9">
        <f t="shared" si="67"/>
        <v>21521.75</v>
      </c>
      <c r="BL174" s="9">
        <f t="shared" si="68"/>
        <v>5859.32</v>
      </c>
      <c r="BM174" s="9">
        <f t="shared" si="69"/>
        <v>563.4</v>
      </c>
      <c r="BN174" s="9">
        <f t="shared" si="70"/>
        <v>563.4</v>
      </c>
      <c r="BO174" s="9">
        <f t="shared" si="71"/>
        <v>5972</v>
      </c>
      <c r="BP174" s="9">
        <f t="shared" si="72"/>
        <v>1352.15</v>
      </c>
      <c r="BQ174" s="9">
        <f t="shared" si="73"/>
        <v>788.76</v>
      </c>
      <c r="BR174" s="9">
        <f t="shared" si="74"/>
        <v>42367.42</v>
      </c>
      <c r="BS174" s="9">
        <f t="shared" si="75"/>
        <v>1802.87</v>
      </c>
      <c r="BT174" s="9">
        <f t="shared" si="76"/>
        <v>21747.1</v>
      </c>
      <c r="BU174" s="9">
        <f t="shared" si="77"/>
        <v>26141.599999999999</v>
      </c>
      <c r="BV174" s="17">
        <f t="shared" si="78"/>
        <v>259838.48</v>
      </c>
      <c r="BW174" s="17">
        <v>3.64</v>
      </c>
      <c r="BX174" s="17">
        <v>0.04</v>
      </c>
      <c r="BY174" s="17">
        <v>0.23</v>
      </c>
      <c r="BZ174" s="17">
        <v>0.04</v>
      </c>
      <c r="CA174" s="29">
        <v>6.33</v>
      </c>
      <c r="CB174" s="325"/>
      <c r="CC174" s="13">
        <v>18189.72</v>
      </c>
      <c r="CD174" s="13">
        <v>11264.06</v>
      </c>
      <c r="CE174" s="13">
        <v>6823.12</v>
      </c>
      <c r="CF174" s="13">
        <v>3364.23</v>
      </c>
      <c r="CG174" s="13">
        <v>1273.93</v>
      </c>
      <c r="CH174" s="13">
        <v>0</v>
      </c>
      <c r="CI174" s="13">
        <v>10389.67</v>
      </c>
      <c r="CJ174" s="13">
        <v>73368</v>
      </c>
      <c r="CK174" s="13">
        <v>4332.8</v>
      </c>
      <c r="CL174" s="13">
        <v>3008636.72</v>
      </c>
      <c r="CM174" s="13">
        <v>310515.67</v>
      </c>
      <c r="CN174" s="13">
        <v>219511.26</v>
      </c>
      <c r="CO174" s="13">
        <v>61321.88</v>
      </c>
      <c r="CP174" s="13">
        <v>35118.58</v>
      </c>
      <c r="CQ174" s="13">
        <v>0</v>
      </c>
      <c r="CR174" s="13">
        <v>2926251.07</v>
      </c>
      <c r="CS174" s="13">
        <v>288657.33</v>
      </c>
      <c r="CT174" s="13">
        <v>212629.6</v>
      </c>
      <c r="CU174" s="13">
        <v>59760.84</v>
      </c>
      <c r="CV174" s="13">
        <v>35023.82</v>
      </c>
      <c r="CW174" s="13">
        <v>0</v>
      </c>
      <c r="CX174" s="13">
        <v>292935.40000000002</v>
      </c>
      <c r="CY174" s="13">
        <v>30723.54</v>
      </c>
      <c r="CZ174" s="13">
        <v>31367.99</v>
      </c>
      <c r="DA174" s="13">
        <v>7534.08</v>
      </c>
      <c r="DB174" s="13">
        <v>4382.08</v>
      </c>
      <c r="DC174" s="13"/>
      <c r="DD174" s="315">
        <v>3635104.11</v>
      </c>
      <c r="DE174" s="317">
        <v>3522322.66</v>
      </c>
      <c r="DF174" s="317">
        <v>96.9</v>
      </c>
      <c r="DG174" s="318">
        <v>366943.09</v>
      </c>
      <c r="DH174" s="310">
        <v>114230.76</v>
      </c>
      <c r="DI174" s="310">
        <v>65329.8</v>
      </c>
      <c r="DJ174" s="312">
        <v>0</v>
      </c>
      <c r="DK174" s="362">
        <v>0</v>
      </c>
      <c r="DL174" s="362"/>
      <c r="DM174" s="362">
        <v>0</v>
      </c>
      <c r="DN174" s="362">
        <v>0</v>
      </c>
      <c r="DO174" s="362">
        <v>0</v>
      </c>
      <c r="DP174" s="362">
        <v>0</v>
      </c>
      <c r="DQ174" s="362">
        <v>0</v>
      </c>
      <c r="DR174" s="362"/>
      <c r="DS174" s="362">
        <v>0</v>
      </c>
      <c r="DT174" s="362"/>
      <c r="DU174" s="362">
        <v>0</v>
      </c>
      <c r="DV174" s="362">
        <v>0</v>
      </c>
      <c r="DW174" s="362">
        <v>257722.58</v>
      </c>
      <c r="DX174" s="362">
        <v>0</v>
      </c>
      <c r="DY174" s="362">
        <v>70000</v>
      </c>
      <c r="DZ174" s="375">
        <v>0</v>
      </c>
      <c r="EA174" s="362">
        <v>0</v>
      </c>
      <c r="EB174" s="362">
        <v>0</v>
      </c>
      <c r="EC174" s="362"/>
      <c r="ED174" s="362">
        <v>926391.54</v>
      </c>
      <c r="EE174" s="362">
        <v>7317</v>
      </c>
      <c r="EF174" s="362"/>
      <c r="EG174" s="362">
        <v>17778</v>
      </c>
      <c r="EH174" s="362">
        <v>0</v>
      </c>
      <c r="EI174" s="362"/>
      <c r="EJ174" s="362">
        <v>0</v>
      </c>
      <c r="EK174" s="362"/>
      <c r="EL174" s="362">
        <v>0</v>
      </c>
      <c r="EM174" s="362">
        <v>6517.44</v>
      </c>
      <c r="EN174" s="362">
        <v>0</v>
      </c>
      <c r="EO174" s="362">
        <v>0</v>
      </c>
      <c r="EP174" s="362">
        <v>683820</v>
      </c>
      <c r="EQ174" s="362">
        <v>0</v>
      </c>
      <c r="ER174" s="362">
        <v>16380</v>
      </c>
      <c r="ES174" s="362">
        <v>6347</v>
      </c>
      <c r="ET174" s="362">
        <v>23265</v>
      </c>
      <c r="EU174" s="362">
        <v>0</v>
      </c>
      <c r="EV174" s="362">
        <v>321739.98</v>
      </c>
      <c r="EW174" s="362"/>
      <c r="EX174" s="202"/>
      <c r="EY174" s="202"/>
      <c r="EZ174" s="229"/>
      <c r="FA174" s="368">
        <v>353520.23</v>
      </c>
      <c r="FB174" s="368">
        <v>229626.42</v>
      </c>
      <c r="FC174" s="368">
        <v>0</v>
      </c>
      <c r="FD174" s="368">
        <v>0</v>
      </c>
      <c r="FE174" s="368">
        <v>67112.45</v>
      </c>
      <c r="FF174" s="368">
        <v>38513.53</v>
      </c>
      <c r="FG174" s="368">
        <v>-6118.32</v>
      </c>
      <c r="FH174" s="368">
        <v>-6152.99</v>
      </c>
      <c r="FI174" s="368">
        <v>0</v>
      </c>
      <c r="FJ174" s="368">
        <v>0</v>
      </c>
      <c r="FK174" s="368">
        <v>53687.44</v>
      </c>
      <c r="FL174" s="368">
        <v>0</v>
      </c>
      <c r="FM174" s="368">
        <v>301225.19</v>
      </c>
      <c r="FN174" s="368">
        <v>191537.48</v>
      </c>
      <c r="FO174" s="323">
        <v>3009601.77</v>
      </c>
      <c r="FP174" s="323">
        <v>730188.76</v>
      </c>
      <c r="FQ174" s="323">
        <v>3739790.53</v>
      </c>
      <c r="FR174" s="362">
        <v>220010.9</v>
      </c>
      <c r="FS174" s="362">
        <v>34785.26</v>
      </c>
      <c r="FT174" s="377">
        <v>254796.16</v>
      </c>
      <c r="FU174" s="377">
        <v>3110584.11</v>
      </c>
      <c r="FV174" s="377">
        <v>653525.53</v>
      </c>
      <c r="FW174" s="362">
        <v>3764109.64</v>
      </c>
      <c r="FX174" s="362">
        <v>3036222.73</v>
      </c>
      <c r="FY174" s="362">
        <v>612474.34</v>
      </c>
      <c r="FZ174" s="362">
        <v>3648697.07</v>
      </c>
      <c r="GA174" s="362">
        <v>294372.28000000003</v>
      </c>
      <c r="GB174" s="362">
        <v>75836.45</v>
      </c>
      <c r="GC174" s="362">
        <v>370208.73</v>
      </c>
      <c r="GD174" s="362">
        <v>-764228.25</v>
      </c>
      <c r="GE174" s="362">
        <v>51879.54</v>
      </c>
      <c r="GF174" s="362">
        <v>-712348.71</v>
      </c>
      <c r="GG174" s="202">
        <v>3265.64</v>
      </c>
      <c r="GH174" s="416">
        <v>44</v>
      </c>
      <c r="GI174" s="414">
        <v>4885.1000000000004</v>
      </c>
      <c r="GJ174" s="419">
        <v>40915.06</v>
      </c>
      <c r="GK174" s="396">
        <v>3265.64</v>
      </c>
      <c r="GL174" s="202">
        <v>1436.8815999999999</v>
      </c>
      <c r="GM174" s="202">
        <v>1828.7583999999999</v>
      </c>
      <c r="GN174" s="323">
        <v>100982.34</v>
      </c>
      <c r="GO174" s="323">
        <v>-76663.23</v>
      </c>
      <c r="GP174" s="323">
        <v>24319.11</v>
      </c>
      <c r="GQ174" s="323">
        <v>-663245.91</v>
      </c>
      <c r="GR174" s="323">
        <v>-24783.69</v>
      </c>
      <c r="GS174" s="323">
        <v>-688029.6</v>
      </c>
    </row>
    <row r="175" spans="1:201" ht="12.75" customHeight="1" x14ac:dyDescent="0.2">
      <c r="A175" s="45" t="s">
        <v>254</v>
      </c>
      <c r="B175" s="60" t="s">
        <v>221</v>
      </c>
      <c r="C175" s="61" t="s">
        <v>46</v>
      </c>
      <c r="D175" s="388" t="s">
        <v>474</v>
      </c>
      <c r="E175" s="61" t="s">
        <v>12</v>
      </c>
      <c r="F175" s="11">
        <v>9</v>
      </c>
      <c r="G175" s="11">
        <v>2</v>
      </c>
      <c r="H175" s="11">
        <v>72</v>
      </c>
      <c r="I175" s="11">
        <v>72</v>
      </c>
      <c r="J175" s="11">
        <v>146</v>
      </c>
      <c r="K175" s="11">
        <v>196</v>
      </c>
      <c r="L175" s="11">
        <v>2</v>
      </c>
      <c r="M175" s="84">
        <v>600.29999999999995</v>
      </c>
      <c r="N175" s="84">
        <v>621.20000000000005</v>
      </c>
      <c r="O175" s="84">
        <v>0</v>
      </c>
      <c r="P175" s="135">
        <v>600.29999999999995</v>
      </c>
      <c r="Q175" s="135">
        <v>621.20000000000005</v>
      </c>
      <c r="R175" s="133">
        <v>0</v>
      </c>
      <c r="S175" s="133">
        <f t="shared" si="79"/>
        <v>1221.5</v>
      </c>
      <c r="T175" s="134">
        <v>600.29999999999995</v>
      </c>
      <c r="U175" s="130">
        <v>2.44</v>
      </c>
      <c r="V175" s="131">
        <v>1.9800000000000002E-2</v>
      </c>
      <c r="W175" s="131">
        <v>1.9800000000000002E-2</v>
      </c>
      <c r="X175" s="132">
        <v>1.32E-3</v>
      </c>
      <c r="Y175" s="131">
        <v>3.9699999999999999E-2</v>
      </c>
      <c r="Z175" s="29">
        <v>3452.07</v>
      </c>
      <c r="AA175" s="29">
        <v>382</v>
      </c>
      <c r="AB175" s="9">
        <f t="shared" si="57"/>
        <v>3834.07</v>
      </c>
      <c r="AC175" s="9">
        <f t="shared" si="82"/>
        <v>24269.66</v>
      </c>
      <c r="AD175" s="9">
        <v>2.15</v>
      </c>
      <c r="AE175" s="9">
        <v>4.2</v>
      </c>
      <c r="AF175" s="21">
        <f>2.49-AJ175</f>
        <v>2.34</v>
      </c>
      <c r="AG175" s="18">
        <f>0.62-AQ175</f>
        <v>0.56999999999999995</v>
      </c>
      <c r="AH175" s="9">
        <v>2.78</v>
      </c>
      <c r="AI175" s="43">
        <v>559</v>
      </c>
      <c r="AJ175" s="21">
        <f t="shared" si="58"/>
        <v>0.15</v>
      </c>
      <c r="AK175" s="9">
        <v>2.25</v>
      </c>
      <c r="AL175" s="9">
        <v>0.2</v>
      </c>
      <c r="AM175" s="9">
        <v>0.15</v>
      </c>
      <c r="AN175" s="13"/>
      <c r="AO175" s="13">
        <v>422.4</v>
      </c>
      <c r="AP175" s="13">
        <f t="shared" si="80"/>
        <v>5.58</v>
      </c>
      <c r="AQ175" s="18">
        <f t="shared" si="56"/>
        <v>0.05</v>
      </c>
      <c r="AR175" s="9">
        <v>0.54</v>
      </c>
      <c r="AS175" s="9">
        <v>0.36</v>
      </c>
      <c r="AT175" s="9">
        <v>7.0000000000000007E-2</v>
      </c>
      <c r="AU175" s="9">
        <v>3.87</v>
      </c>
      <c r="AV175" s="9">
        <v>0.17</v>
      </c>
      <c r="AW175" s="9">
        <f>1.42+0.27+0.32</f>
        <v>2.0099999999999998</v>
      </c>
      <c r="AX175" s="9">
        <f>2+0.46</f>
        <v>2.46</v>
      </c>
      <c r="AY175" s="63">
        <f t="shared" si="81"/>
        <v>24.32</v>
      </c>
      <c r="AZ175" s="13">
        <v>24.32</v>
      </c>
      <c r="BA175" s="13">
        <f t="shared" si="59"/>
        <v>0</v>
      </c>
      <c r="BB175" s="9">
        <f t="shared" si="60"/>
        <v>93244.58</v>
      </c>
      <c r="BC175" s="9">
        <v>24.32</v>
      </c>
      <c r="BD175" s="10">
        <v>44378</v>
      </c>
      <c r="BE175" s="9">
        <f t="shared" si="61"/>
        <v>8243.25</v>
      </c>
      <c r="BF175" s="9">
        <f t="shared" si="62"/>
        <v>16103.09</v>
      </c>
      <c r="BG175" s="9">
        <f t="shared" si="63"/>
        <v>8971.7199999999993</v>
      </c>
      <c r="BH175" s="9">
        <f t="shared" si="64"/>
        <v>2185.42</v>
      </c>
      <c r="BI175" s="9">
        <f t="shared" si="65"/>
        <v>10658.71</v>
      </c>
      <c r="BJ175" s="9">
        <f t="shared" si="66"/>
        <v>575.11</v>
      </c>
      <c r="BK175" s="9">
        <f t="shared" si="67"/>
        <v>8626.66</v>
      </c>
      <c r="BL175" s="9">
        <f t="shared" si="68"/>
        <v>766.81</v>
      </c>
      <c r="BM175" s="9">
        <f t="shared" si="69"/>
        <v>575.11</v>
      </c>
      <c r="BN175" s="9">
        <f t="shared" si="70"/>
        <v>191.7</v>
      </c>
      <c r="BO175" s="9">
        <f t="shared" si="71"/>
        <v>2070.4</v>
      </c>
      <c r="BP175" s="9">
        <f t="shared" si="72"/>
        <v>1380.27</v>
      </c>
      <c r="BQ175" s="9">
        <f t="shared" si="73"/>
        <v>268.38</v>
      </c>
      <c r="BR175" s="9">
        <f t="shared" si="74"/>
        <v>14837.85</v>
      </c>
      <c r="BS175" s="9">
        <f t="shared" si="75"/>
        <v>651.79</v>
      </c>
      <c r="BT175" s="9">
        <f t="shared" si="76"/>
        <v>7706.48</v>
      </c>
      <c r="BU175" s="9">
        <f t="shared" si="77"/>
        <v>9431.81</v>
      </c>
      <c r="BV175" s="17">
        <f t="shared" si="78"/>
        <v>93244.56</v>
      </c>
      <c r="BW175" s="17">
        <v>1.65</v>
      </c>
      <c r="BX175" s="17">
        <v>0.09</v>
      </c>
      <c r="BY175" s="17">
        <v>0.6</v>
      </c>
      <c r="BZ175" s="17">
        <v>0.1</v>
      </c>
      <c r="CA175" s="29">
        <v>6.33</v>
      </c>
      <c r="CB175" s="325"/>
      <c r="CC175" s="13">
        <v>111482.88</v>
      </c>
      <c r="CD175" s="13">
        <v>6157.82</v>
      </c>
      <c r="CE175" s="13">
        <v>542.42999999999995</v>
      </c>
      <c r="CF175" s="13">
        <v>5527.61</v>
      </c>
      <c r="CG175" s="13">
        <v>3449.51</v>
      </c>
      <c r="CH175" s="13">
        <v>0</v>
      </c>
      <c r="CI175" s="13">
        <v>4152.28</v>
      </c>
      <c r="CJ175" s="13">
        <v>34884</v>
      </c>
      <c r="CK175" s="13">
        <v>1474.54</v>
      </c>
      <c r="CL175" s="13">
        <v>1007476.4</v>
      </c>
      <c r="CM175" s="13">
        <v>55649.54</v>
      </c>
      <c r="CN175" s="13">
        <v>0</v>
      </c>
      <c r="CO175" s="13">
        <v>54855.35</v>
      </c>
      <c r="CP175" s="13">
        <v>31173.33</v>
      </c>
      <c r="CQ175" s="13">
        <v>0</v>
      </c>
      <c r="CR175" s="13">
        <v>969408.2</v>
      </c>
      <c r="CS175" s="13">
        <v>46455.360000000001</v>
      </c>
      <c r="CT175" s="13">
        <v>901.55</v>
      </c>
      <c r="CU175" s="13">
        <v>48303.360000000001</v>
      </c>
      <c r="CV175" s="13">
        <v>28395.65</v>
      </c>
      <c r="CW175" s="13">
        <v>0</v>
      </c>
      <c r="CX175" s="13">
        <v>117837.85</v>
      </c>
      <c r="CY175" s="13">
        <v>7825.3</v>
      </c>
      <c r="CZ175" s="13">
        <v>-2234.1999999999998</v>
      </c>
      <c r="DA175" s="13">
        <v>6990.32</v>
      </c>
      <c r="DB175" s="13">
        <v>4043.58</v>
      </c>
      <c r="DC175" s="13"/>
      <c r="DD175" s="315">
        <v>1149154.6200000001</v>
      </c>
      <c r="DE175" s="317">
        <v>1093464.1200000001</v>
      </c>
      <c r="DF175" s="317">
        <v>95.15</v>
      </c>
      <c r="DG175" s="318">
        <v>134462.85</v>
      </c>
      <c r="DH175" s="310">
        <v>36282.839999999997</v>
      </c>
      <c r="DI175" s="310">
        <v>20750.52</v>
      </c>
      <c r="DJ175" s="312">
        <v>0</v>
      </c>
      <c r="DK175" s="362">
        <v>0</v>
      </c>
      <c r="DL175" s="362"/>
      <c r="DM175" s="362">
        <v>0</v>
      </c>
      <c r="DN175" s="362">
        <v>0</v>
      </c>
      <c r="DO175" s="362">
        <v>0</v>
      </c>
      <c r="DP175" s="362">
        <v>0</v>
      </c>
      <c r="DQ175" s="362">
        <v>0</v>
      </c>
      <c r="DR175" s="362"/>
      <c r="DS175" s="362">
        <v>0</v>
      </c>
      <c r="DT175" s="362"/>
      <c r="DU175" s="362">
        <v>0</v>
      </c>
      <c r="DV175" s="362">
        <v>0</v>
      </c>
      <c r="DW175" s="362">
        <v>103200</v>
      </c>
      <c r="DX175" s="362">
        <v>0</v>
      </c>
      <c r="DY175" s="362">
        <v>9000</v>
      </c>
      <c r="DZ175" s="375">
        <v>0</v>
      </c>
      <c r="EA175" s="362">
        <v>0</v>
      </c>
      <c r="EB175" s="362">
        <v>0</v>
      </c>
      <c r="EC175" s="362"/>
      <c r="ED175" s="362">
        <v>323611.2</v>
      </c>
      <c r="EE175" s="362">
        <v>7317</v>
      </c>
      <c r="EF175" s="362"/>
      <c r="EG175" s="362">
        <v>8898</v>
      </c>
      <c r="EH175" s="362">
        <v>1050</v>
      </c>
      <c r="EI175" s="362"/>
      <c r="EJ175" s="362">
        <v>0</v>
      </c>
      <c r="EK175" s="362"/>
      <c r="EL175" s="362">
        <v>0</v>
      </c>
      <c r="EM175" s="362">
        <v>2356.98</v>
      </c>
      <c r="EN175" s="362">
        <v>0</v>
      </c>
      <c r="EO175" s="362">
        <v>0</v>
      </c>
      <c r="EP175" s="362">
        <v>245718</v>
      </c>
      <c r="EQ175" s="362">
        <v>0</v>
      </c>
      <c r="ER175" s="362">
        <v>10920</v>
      </c>
      <c r="ES175" s="362">
        <v>6924</v>
      </c>
      <c r="ET175" s="362">
        <v>8564</v>
      </c>
      <c r="EU175" s="362">
        <v>0</v>
      </c>
      <c r="EV175" s="362">
        <v>162146.32999999999</v>
      </c>
      <c r="EW175" s="362"/>
      <c r="EX175" s="202"/>
      <c r="EY175" s="202"/>
      <c r="EZ175" s="229"/>
      <c r="FA175" s="368">
        <v>55183.19</v>
      </c>
      <c r="FB175" s="368">
        <v>0</v>
      </c>
      <c r="FC175" s="368">
        <v>0</v>
      </c>
      <c r="FD175" s="368">
        <v>0</v>
      </c>
      <c r="FE175" s="368">
        <v>65872.09</v>
      </c>
      <c r="FF175" s="368">
        <v>37491.61</v>
      </c>
      <c r="FG175" s="368">
        <v>-4702.17</v>
      </c>
      <c r="FH175" s="368">
        <v>-3502.37</v>
      </c>
      <c r="FI175" s="368">
        <v>0</v>
      </c>
      <c r="FJ175" s="368">
        <v>0</v>
      </c>
      <c r="FK175" s="368">
        <v>0</v>
      </c>
      <c r="FL175" s="368">
        <v>0</v>
      </c>
      <c r="FM175" s="368">
        <v>102504.09</v>
      </c>
      <c r="FN175" s="368">
        <v>65176.88</v>
      </c>
      <c r="FO175" s="323">
        <v>1114419.8400000001</v>
      </c>
      <c r="FP175" s="323">
        <v>150342.35</v>
      </c>
      <c r="FQ175" s="323">
        <v>1264762.19</v>
      </c>
      <c r="FR175" s="362">
        <v>125203.68</v>
      </c>
      <c r="FS175" s="362">
        <v>7088.18</v>
      </c>
      <c r="FT175" s="377">
        <v>132291.85999999999</v>
      </c>
      <c r="FU175" s="377">
        <v>1157995.56</v>
      </c>
      <c r="FV175" s="377">
        <v>158830.13</v>
      </c>
      <c r="FW175" s="362">
        <v>1316825.69</v>
      </c>
      <c r="FX175" s="362">
        <v>1144824.71</v>
      </c>
      <c r="FY175" s="362">
        <v>146492.85</v>
      </c>
      <c r="FZ175" s="362">
        <v>1291317.56</v>
      </c>
      <c r="GA175" s="362">
        <v>138374.53</v>
      </c>
      <c r="GB175" s="362">
        <v>19425.46</v>
      </c>
      <c r="GC175" s="362">
        <v>157799.99</v>
      </c>
      <c r="GD175" s="362">
        <v>62112.33</v>
      </c>
      <c r="GE175" s="362">
        <v>-1620.47</v>
      </c>
      <c r="GF175" s="362">
        <v>60491.86</v>
      </c>
      <c r="GG175" s="202">
        <v>23337.14</v>
      </c>
      <c r="GH175" s="416">
        <v>88</v>
      </c>
      <c r="GI175" s="414">
        <v>2442.5500000000002</v>
      </c>
      <c r="GJ175" s="419">
        <v>127160.25</v>
      </c>
      <c r="GK175" s="396">
        <v>23337.14</v>
      </c>
      <c r="GL175" s="202">
        <v>20536.683199999999</v>
      </c>
      <c r="GM175" s="202">
        <v>2800.4567999999999</v>
      </c>
      <c r="GN175" s="323">
        <v>43575.72</v>
      </c>
      <c r="GO175" s="323">
        <v>8487.7800000000007</v>
      </c>
      <c r="GP175" s="323">
        <v>52063.5</v>
      </c>
      <c r="GQ175" s="323">
        <v>105688.05</v>
      </c>
      <c r="GR175" s="323">
        <v>6867.31</v>
      </c>
      <c r="GS175" s="323">
        <v>112555.36</v>
      </c>
    </row>
    <row r="176" spans="1:201" ht="12.75" customHeight="1" x14ac:dyDescent="0.2">
      <c r="A176" s="45" t="s">
        <v>256</v>
      </c>
      <c r="B176" s="60" t="s">
        <v>221</v>
      </c>
      <c r="C176" s="61" t="s">
        <v>46</v>
      </c>
      <c r="D176" s="388" t="s">
        <v>572</v>
      </c>
      <c r="E176" s="61" t="s">
        <v>9</v>
      </c>
      <c r="F176" s="11">
        <v>9</v>
      </c>
      <c r="G176" s="11">
        <v>2</v>
      </c>
      <c r="H176" s="11">
        <v>72</v>
      </c>
      <c r="I176" s="11">
        <v>72</v>
      </c>
      <c r="J176" s="11">
        <v>166</v>
      </c>
      <c r="K176" s="11">
        <v>198</v>
      </c>
      <c r="L176" s="83">
        <v>2</v>
      </c>
      <c r="M176" s="84">
        <v>600.29999999999995</v>
      </c>
      <c r="N176" s="84">
        <v>582.9</v>
      </c>
      <c r="O176" s="84">
        <v>0</v>
      </c>
      <c r="P176" s="135">
        <v>666.8</v>
      </c>
      <c r="Q176" s="135">
        <v>587.70000000000005</v>
      </c>
      <c r="R176" s="133">
        <v>0</v>
      </c>
      <c r="S176" s="133">
        <f t="shared" si="79"/>
        <v>1254.5</v>
      </c>
      <c r="T176" s="134">
        <v>666.8</v>
      </c>
      <c r="U176" s="130">
        <v>2.44</v>
      </c>
      <c r="V176" s="131">
        <v>1.9800000000000002E-2</v>
      </c>
      <c r="W176" s="131">
        <v>1.9800000000000002E-2</v>
      </c>
      <c r="X176" s="132">
        <v>1.32E-3</v>
      </c>
      <c r="Y176" s="131">
        <v>3.9699999999999999E-2</v>
      </c>
      <c r="Z176" s="29">
        <v>3810.68</v>
      </c>
      <c r="AA176" s="29">
        <v>55.7</v>
      </c>
      <c r="AB176" s="9">
        <f t="shared" si="57"/>
        <v>3866.38</v>
      </c>
      <c r="AC176" s="9">
        <f t="shared" si="82"/>
        <v>24474.19</v>
      </c>
      <c r="AD176" s="9">
        <v>2.2000000000000002</v>
      </c>
      <c r="AE176" s="9">
        <v>4.4400000000000004</v>
      </c>
      <c r="AF176" s="21">
        <f>2.47-AJ176</f>
        <v>2.33</v>
      </c>
      <c r="AG176" s="18">
        <f>0.62-AQ176</f>
        <v>0.56999999999999995</v>
      </c>
      <c r="AH176" s="9">
        <v>2.78</v>
      </c>
      <c r="AI176" s="43">
        <v>559</v>
      </c>
      <c r="AJ176" s="21">
        <f t="shared" si="58"/>
        <v>0.14000000000000001</v>
      </c>
      <c r="AK176" s="9">
        <v>2.23</v>
      </c>
      <c r="AL176" s="9">
        <v>0.19</v>
      </c>
      <c r="AM176" s="9">
        <v>0.15</v>
      </c>
      <c r="AN176" s="13"/>
      <c r="AO176" s="13">
        <v>422.4</v>
      </c>
      <c r="AP176" s="13">
        <f t="shared" si="80"/>
        <v>5.58</v>
      </c>
      <c r="AQ176" s="18">
        <f t="shared" si="56"/>
        <v>0.05</v>
      </c>
      <c r="AR176" s="9">
        <v>0.56999999999999995</v>
      </c>
      <c r="AS176" s="9">
        <v>0.35</v>
      </c>
      <c r="AT176" s="9">
        <v>7.0000000000000007E-2</v>
      </c>
      <c r="AU176" s="9">
        <v>3.86</v>
      </c>
      <c r="AV176" s="9">
        <v>0.17</v>
      </c>
      <c r="AW176" s="9">
        <f>0.26+1.44+0.33</f>
        <v>2.0299999999999998</v>
      </c>
      <c r="AX176" s="9">
        <f>2.03+0.46</f>
        <v>2.4900000000000002</v>
      </c>
      <c r="AY176" s="63">
        <f t="shared" si="81"/>
        <v>24.62</v>
      </c>
      <c r="AZ176" s="13">
        <v>24.62</v>
      </c>
      <c r="BA176" s="13">
        <f t="shared" si="59"/>
        <v>0</v>
      </c>
      <c r="BB176" s="9">
        <f t="shared" si="60"/>
        <v>95190.28</v>
      </c>
      <c r="BC176" s="9">
        <v>24.62</v>
      </c>
      <c r="BD176" s="10">
        <v>44378</v>
      </c>
      <c r="BE176" s="9">
        <f t="shared" si="61"/>
        <v>8506.0400000000009</v>
      </c>
      <c r="BF176" s="9">
        <f t="shared" si="62"/>
        <v>17166.73</v>
      </c>
      <c r="BG176" s="9">
        <f t="shared" si="63"/>
        <v>9008.67</v>
      </c>
      <c r="BH176" s="9">
        <f t="shared" si="64"/>
        <v>2203.84</v>
      </c>
      <c r="BI176" s="9">
        <f t="shared" si="65"/>
        <v>10748.54</v>
      </c>
      <c r="BJ176" s="9">
        <f t="shared" si="66"/>
        <v>541.29</v>
      </c>
      <c r="BK176" s="9">
        <f t="shared" si="67"/>
        <v>8622.0300000000007</v>
      </c>
      <c r="BL176" s="9">
        <f t="shared" si="68"/>
        <v>734.61</v>
      </c>
      <c r="BM176" s="9">
        <f t="shared" si="69"/>
        <v>579.96</v>
      </c>
      <c r="BN176" s="9">
        <f t="shared" si="70"/>
        <v>193.32</v>
      </c>
      <c r="BO176" s="9">
        <f t="shared" si="71"/>
        <v>2203.84</v>
      </c>
      <c r="BP176" s="9">
        <f t="shared" si="72"/>
        <v>1353.23</v>
      </c>
      <c r="BQ176" s="9">
        <f t="shared" si="73"/>
        <v>270.64999999999998</v>
      </c>
      <c r="BR176" s="9">
        <f t="shared" si="74"/>
        <v>14924.23</v>
      </c>
      <c r="BS176" s="9">
        <f t="shared" si="75"/>
        <v>657.28</v>
      </c>
      <c r="BT176" s="9">
        <f t="shared" si="76"/>
        <v>7848.75</v>
      </c>
      <c r="BU176" s="9">
        <f t="shared" si="77"/>
        <v>9627.2900000000009</v>
      </c>
      <c r="BV176" s="17">
        <f t="shared" si="78"/>
        <v>95190.3</v>
      </c>
      <c r="BW176" s="17">
        <v>1.69</v>
      </c>
      <c r="BX176" s="17">
        <v>0.1</v>
      </c>
      <c r="BY176" s="17">
        <v>0.56999999999999995</v>
      </c>
      <c r="BZ176" s="17">
        <v>0.11</v>
      </c>
      <c r="CA176" s="29">
        <v>6.33</v>
      </c>
      <c r="CB176" s="325"/>
      <c r="CC176" s="13">
        <v>16455.96</v>
      </c>
      <c r="CD176" s="13">
        <v>2010.21</v>
      </c>
      <c r="CE176" s="13">
        <v>255.1</v>
      </c>
      <c r="CF176" s="13">
        <v>1.67</v>
      </c>
      <c r="CG176" s="13">
        <v>32.92</v>
      </c>
      <c r="CH176" s="13">
        <v>0</v>
      </c>
      <c r="CI176" s="13">
        <v>4334.62</v>
      </c>
      <c r="CJ176" s="13">
        <v>33084</v>
      </c>
      <c r="CK176" s="13">
        <v>1486.96</v>
      </c>
      <c r="CL176" s="13">
        <v>1125869.77</v>
      </c>
      <c r="CM176" s="13">
        <v>137536.19</v>
      </c>
      <c r="CN176" s="13">
        <v>17567.080000000002</v>
      </c>
      <c r="CO176" s="13">
        <v>0</v>
      </c>
      <c r="CP176" s="13">
        <v>2247.7199999999998</v>
      </c>
      <c r="CQ176" s="13">
        <v>0</v>
      </c>
      <c r="CR176" s="13">
        <v>1085001.8500000001</v>
      </c>
      <c r="CS176" s="13">
        <v>123110.26</v>
      </c>
      <c r="CT176" s="13">
        <v>26731.19</v>
      </c>
      <c r="CU176" s="13">
        <v>150.30000000000001</v>
      </c>
      <c r="CV176" s="13">
        <v>2241.35</v>
      </c>
      <c r="CW176" s="13">
        <v>0</v>
      </c>
      <c r="CX176" s="13">
        <v>158246.51999999999</v>
      </c>
      <c r="CY176" s="13">
        <v>28224</v>
      </c>
      <c r="CZ176" s="13">
        <v>3021.44</v>
      </c>
      <c r="DA176" s="13">
        <v>-334.87</v>
      </c>
      <c r="DB176" s="13">
        <v>193.7</v>
      </c>
      <c r="DC176" s="13"/>
      <c r="DD176" s="315">
        <v>1283220.76</v>
      </c>
      <c r="DE176" s="317">
        <v>1237234.95</v>
      </c>
      <c r="DF176" s="317">
        <v>96.42</v>
      </c>
      <c r="DG176" s="318">
        <v>189350.79</v>
      </c>
      <c r="DH176" s="310">
        <v>40058.879999999997</v>
      </c>
      <c r="DI176" s="310">
        <v>22910.04</v>
      </c>
      <c r="DJ176" s="312">
        <v>0</v>
      </c>
      <c r="DK176" s="362">
        <v>0</v>
      </c>
      <c r="DL176" s="362"/>
      <c r="DM176" s="362">
        <v>0</v>
      </c>
      <c r="DN176" s="362">
        <v>0</v>
      </c>
      <c r="DO176" s="362">
        <v>0</v>
      </c>
      <c r="DP176" s="362">
        <v>0</v>
      </c>
      <c r="DQ176" s="362">
        <v>0</v>
      </c>
      <c r="DR176" s="362"/>
      <c r="DS176" s="362">
        <v>0</v>
      </c>
      <c r="DT176" s="362"/>
      <c r="DU176" s="362">
        <v>0</v>
      </c>
      <c r="DV176" s="362">
        <v>0</v>
      </c>
      <c r="DW176" s="362">
        <v>103200</v>
      </c>
      <c r="DX176" s="362">
        <v>0</v>
      </c>
      <c r="DY176" s="362">
        <v>9000</v>
      </c>
      <c r="DZ176" s="375">
        <v>0</v>
      </c>
      <c r="EA176" s="362">
        <v>0</v>
      </c>
      <c r="EB176" s="362">
        <v>0</v>
      </c>
      <c r="EC176" s="362"/>
      <c r="ED176" s="362">
        <v>341181</v>
      </c>
      <c r="EE176" s="362">
        <v>7317</v>
      </c>
      <c r="EF176" s="362"/>
      <c r="EG176" s="362">
        <v>8898</v>
      </c>
      <c r="EH176" s="362">
        <v>0</v>
      </c>
      <c r="EI176" s="362"/>
      <c r="EJ176" s="362">
        <v>0</v>
      </c>
      <c r="EK176" s="362"/>
      <c r="EL176" s="362">
        <v>0</v>
      </c>
      <c r="EM176" s="362">
        <v>2356.98</v>
      </c>
      <c r="EN176" s="362">
        <v>0</v>
      </c>
      <c r="EO176" s="362">
        <v>0</v>
      </c>
      <c r="EP176" s="362">
        <v>247530</v>
      </c>
      <c r="EQ176" s="362">
        <v>0</v>
      </c>
      <c r="ER176" s="362">
        <v>16380</v>
      </c>
      <c r="ES176" s="362">
        <v>6924</v>
      </c>
      <c r="ET176" s="362">
        <v>8829</v>
      </c>
      <c r="EU176" s="362">
        <v>0</v>
      </c>
      <c r="EV176" s="362">
        <v>88180.84</v>
      </c>
      <c r="EW176" s="362"/>
      <c r="EX176" s="202"/>
      <c r="EY176" s="202"/>
      <c r="EZ176" s="229"/>
      <c r="FA176" s="368">
        <v>124795.57</v>
      </c>
      <c r="FB176" s="368">
        <v>20235.73</v>
      </c>
      <c r="FC176" s="368">
        <v>0</v>
      </c>
      <c r="FD176" s="368">
        <v>0</v>
      </c>
      <c r="FE176" s="368">
        <v>0</v>
      </c>
      <c r="FF176" s="368">
        <v>2372.0500000000002</v>
      </c>
      <c r="FG176" s="368">
        <v>0</v>
      </c>
      <c r="FH176" s="368">
        <v>-1055.49</v>
      </c>
      <c r="FI176" s="368">
        <v>0</v>
      </c>
      <c r="FJ176" s="368">
        <v>0</v>
      </c>
      <c r="FK176" s="368">
        <v>11226.57</v>
      </c>
      <c r="FL176" s="368">
        <v>0</v>
      </c>
      <c r="FM176" s="368">
        <v>103367.91</v>
      </c>
      <c r="FN176" s="368">
        <v>65726.13</v>
      </c>
      <c r="FO176" s="323">
        <v>1071859.78</v>
      </c>
      <c r="FP176" s="323">
        <v>157574.43</v>
      </c>
      <c r="FQ176" s="323">
        <v>1229434.21</v>
      </c>
      <c r="FR176" s="362">
        <v>107905.51</v>
      </c>
      <c r="FS176" s="362">
        <v>23335.78</v>
      </c>
      <c r="FT176" s="377">
        <v>131241.29</v>
      </c>
      <c r="FU176" s="377">
        <v>1179744.3500000001</v>
      </c>
      <c r="FV176" s="377">
        <v>161137.85</v>
      </c>
      <c r="FW176" s="362">
        <v>1340882.2</v>
      </c>
      <c r="FX176" s="362">
        <v>1128593.1000000001</v>
      </c>
      <c r="FY176" s="362">
        <v>153258.87</v>
      </c>
      <c r="FZ176" s="362">
        <v>1281851.97</v>
      </c>
      <c r="GA176" s="362">
        <v>159056.76</v>
      </c>
      <c r="GB176" s="362">
        <v>31214.76</v>
      </c>
      <c r="GC176" s="362">
        <v>190271.52</v>
      </c>
      <c r="GD176" s="362">
        <v>86065.27</v>
      </c>
      <c r="GE176" s="362">
        <v>2775.4</v>
      </c>
      <c r="GF176" s="362">
        <v>88840.67</v>
      </c>
      <c r="GG176" s="202">
        <v>920.73</v>
      </c>
      <c r="GH176" s="416">
        <v>88</v>
      </c>
      <c r="GI176" s="414">
        <v>2442.5500000000002</v>
      </c>
      <c r="GJ176" s="419">
        <v>18755.86</v>
      </c>
      <c r="GK176" s="396">
        <v>920.73</v>
      </c>
      <c r="GL176" s="202">
        <v>810.24239999999998</v>
      </c>
      <c r="GM176" s="202">
        <v>110.4876</v>
      </c>
      <c r="GN176" s="323">
        <v>107884.57</v>
      </c>
      <c r="GO176" s="323">
        <v>3563.42</v>
      </c>
      <c r="GP176" s="323">
        <v>111447.99</v>
      </c>
      <c r="GQ176" s="323">
        <v>193949.84</v>
      </c>
      <c r="GR176" s="323">
        <v>6338.82</v>
      </c>
      <c r="GS176" s="323">
        <v>200288.66</v>
      </c>
    </row>
    <row r="177" spans="1:201" ht="12.75" customHeight="1" x14ac:dyDescent="0.2">
      <c r="A177" s="45" t="s">
        <v>258</v>
      </c>
      <c r="B177" s="66" t="s">
        <v>221</v>
      </c>
      <c r="C177" s="67" t="s">
        <v>48</v>
      </c>
      <c r="D177" s="388" t="s">
        <v>475</v>
      </c>
      <c r="E177" s="67" t="s">
        <v>12</v>
      </c>
      <c r="F177" s="11">
        <v>5</v>
      </c>
      <c r="G177" s="11">
        <v>5</v>
      </c>
      <c r="H177" s="11">
        <v>85</v>
      </c>
      <c r="I177" s="11">
        <v>85</v>
      </c>
      <c r="J177" s="11">
        <v>159</v>
      </c>
      <c r="K177" s="11">
        <v>207</v>
      </c>
      <c r="L177" s="11" t="s">
        <v>746</v>
      </c>
      <c r="M177" s="84">
        <v>412.5</v>
      </c>
      <c r="N177" s="84">
        <v>928.3</v>
      </c>
      <c r="O177" s="84">
        <v>0</v>
      </c>
      <c r="P177" s="135">
        <v>412.5</v>
      </c>
      <c r="Q177" s="135">
        <v>928.3</v>
      </c>
      <c r="R177" s="133">
        <v>0</v>
      </c>
      <c r="S177" s="133">
        <f t="shared" si="79"/>
        <v>1340.8</v>
      </c>
      <c r="T177" s="134">
        <v>412.5</v>
      </c>
      <c r="U177" s="130">
        <v>1.53</v>
      </c>
      <c r="V177" s="131">
        <v>1.9800000000000002E-2</v>
      </c>
      <c r="W177" s="131">
        <v>1.9800000000000002E-2</v>
      </c>
      <c r="X177" s="132">
        <v>1.2199999999999999E-3</v>
      </c>
      <c r="Y177" s="131">
        <v>3.95E-2</v>
      </c>
      <c r="Z177" s="29">
        <v>3558.46</v>
      </c>
      <c r="AA177" s="29">
        <v>901.8</v>
      </c>
      <c r="AB177" s="9">
        <f t="shared" si="57"/>
        <v>4460.26</v>
      </c>
      <c r="AC177" s="9">
        <f t="shared" si="82"/>
        <v>28233.45</v>
      </c>
      <c r="AD177" s="9">
        <v>0.46</v>
      </c>
      <c r="AE177" s="9">
        <v>4.66</v>
      </c>
      <c r="AF177" s="21">
        <f>2.43-AJ177</f>
        <v>2.19</v>
      </c>
      <c r="AG177" s="18">
        <f>0.56-AQ177</f>
        <v>0.5</v>
      </c>
      <c r="AH177" s="9">
        <v>2.78</v>
      </c>
      <c r="AI177" s="43">
        <v>1064</v>
      </c>
      <c r="AJ177" s="21">
        <f t="shared" si="58"/>
        <v>0.24</v>
      </c>
      <c r="AK177" s="9">
        <v>0</v>
      </c>
      <c r="AL177" s="9">
        <v>0</v>
      </c>
      <c r="AM177" s="9">
        <v>0.13</v>
      </c>
      <c r="AN177" s="13"/>
      <c r="AO177" s="13">
        <v>531</v>
      </c>
      <c r="AP177" s="13">
        <f t="shared" si="80"/>
        <v>5.58</v>
      </c>
      <c r="AQ177" s="18">
        <f t="shared" si="56"/>
        <v>0.06</v>
      </c>
      <c r="AR177" s="9">
        <v>0.54</v>
      </c>
      <c r="AS177" s="9">
        <v>0.31</v>
      </c>
      <c r="AT177" s="9">
        <v>7.0000000000000007E-2</v>
      </c>
      <c r="AU177" s="9">
        <v>4.0999999999999996</v>
      </c>
      <c r="AV177" s="9">
        <v>0.12</v>
      </c>
      <c r="AW177" s="9">
        <f>1.07+0.32+0.36</f>
        <v>1.75</v>
      </c>
      <c r="AX177" s="9">
        <f>1.46+0.48</f>
        <v>1.94</v>
      </c>
      <c r="AY177" s="69">
        <f t="shared" si="81"/>
        <v>19.850000000000001</v>
      </c>
      <c r="AZ177" s="13">
        <v>19.850000000000001</v>
      </c>
      <c r="BA177" s="13">
        <f t="shared" si="59"/>
        <v>0</v>
      </c>
      <c r="BB177" s="9">
        <f t="shared" si="60"/>
        <v>88536.16</v>
      </c>
      <c r="BC177" s="9">
        <v>19.850000000000001</v>
      </c>
      <c r="BD177" s="10">
        <v>44409</v>
      </c>
      <c r="BE177" s="9">
        <f t="shared" si="61"/>
        <v>2051.7199999999998</v>
      </c>
      <c r="BF177" s="9">
        <f t="shared" si="62"/>
        <v>20784.810000000001</v>
      </c>
      <c r="BG177" s="9">
        <f t="shared" si="63"/>
        <v>9767.9699999999993</v>
      </c>
      <c r="BH177" s="9">
        <f t="shared" si="64"/>
        <v>2230.13</v>
      </c>
      <c r="BI177" s="9">
        <f t="shared" si="65"/>
        <v>12399.52</v>
      </c>
      <c r="BJ177" s="9">
        <f t="shared" si="66"/>
        <v>1070.46</v>
      </c>
      <c r="BK177" s="9">
        <f t="shared" si="67"/>
        <v>0</v>
      </c>
      <c r="BL177" s="9">
        <f t="shared" si="68"/>
        <v>0</v>
      </c>
      <c r="BM177" s="9">
        <f t="shared" si="69"/>
        <v>579.83000000000004</v>
      </c>
      <c r="BN177" s="9">
        <f t="shared" si="70"/>
        <v>267.62</v>
      </c>
      <c r="BO177" s="9">
        <f t="shared" si="71"/>
        <v>2408.54</v>
      </c>
      <c r="BP177" s="9">
        <f t="shared" si="72"/>
        <v>1382.68</v>
      </c>
      <c r="BQ177" s="9">
        <f t="shared" si="73"/>
        <v>312.22000000000003</v>
      </c>
      <c r="BR177" s="9">
        <f t="shared" si="74"/>
        <v>18287.07</v>
      </c>
      <c r="BS177" s="9">
        <f t="shared" si="75"/>
        <v>535.23</v>
      </c>
      <c r="BT177" s="9">
        <f t="shared" si="76"/>
        <v>7805.46</v>
      </c>
      <c r="BU177" s="9">
        <f t="shared" si="77"/>
        <v>8652.9</v>
      </c>
      <c r="BV177" s="17">
        <f t="shared" si="78"/>
        <v>88536.16</v>
      </c>
      <c r="BW177" s="17">
        <v>1.85</v>
      </c>
      <c r="BX177" s="17">
        <v>0.05</v>
      </c>
      <c r="BY177" s="17">
        <v>0.28999999999999998</v>
      </c>
      <c r="BZ177" s="17">
        <v>0.06</v>
      </c>
      <c r="CA177" s="29">
        <v>6.33</v>
      </c>
      <c r="CB177" s="325"/>
      <c r="CC177" s="13">
        <v>214809</v>
      </c>
      <c r="CD177" s="13">
        <v>20723.46</v>
      </c>
      <c r="CE177" s="13">
        <v>16926.810000000001</v>
      </c>
      <c r="CF177" s="13">
        <v>5843.64</v>
      </c>
      <c r="CG177" s="13">
        <v>1848.7</v>
      </c>
      <c r="CH177" s="13">
        <v>1488</v>
      </c>
      <c r="CI177" s="13">
        <v>2904.26</v>
      </c>
      <c r="CJ177" s="13">
        <v>26664</v>
      </c>
      <c r="CK177" s="13">
        <v>1715.37</v>
      </c>
      <c r="CL177" s="13">
        <v>847626.48</v>
      </c>
      <c r="CM177" s="13">
        <v>81773.06</v>
      </c>
      <c r="CN177" s="13">
        <v>79104.850000000006</v>
      </c>
      <c r="CO177" s="13">
        <v>10746.56</v>
      </c>
      <c r="CP177" s="13">
        <v>7294.69</v>
      </c>
      <c r="CQ177" s="13">
        <v>0</v>
      </c>
      <c r="CR177" s="13">
        <v>832311.82</v>
      </c>
      <c r="CS177" s="13">
        <v>78993.59</v>
      </c>
      <c r="CT177" s="13">
        <v>74160.42</v>
      </c>
      <c r="CU177" s="13">
        <v>13842.12</v>
      </c>
      <c r="CV177" s="13">
        <v>8776.32</v>
      </c>
      <c r="CW177" s="13">
        <v>0</v>
      </c>
      <c r="CX177" s="13">
        <v>90882.85</v>
      </c>
      <c r="CY177" s="13">
        <v>10687.78</v>
      </c>
      <c r="CZ177" s="13">
        <v>11868.44</v>
      </c>
      <c r="DA177" s="13">
        <v>-2740.75</v>
      </c>
      <c r="DB177" s="13">
        <v>-1257.54</v>
      </c>
      <c r="DC177" s="13"/>
      <c r="DD177" s="315">
        <v>1026545.64</v>
      </c>
      <c r="DE177" s="317">
        <v>1008084.27</v>
      </c>
      <c r="DF177" s="317">
        <v>98.2</v>
      </c>
      <c r="DG177" s="318">
        <v>109440.78</v>
      </c>
      <c r="DH177" s="310">
        <v>37390.32</v>
      </c>
      <c r="DI177" s="310">
        <v>21383.88</v>
      </c>
      <c r="DJ177" s="312">
        <v>0</v>
      </c>
      <c r="DK177" s="362">
        <v>0</v>
      </c>
      <c r="DL177" s="362"/>
      <c r="DM177" s="362">
        <v>0</v>
      </c>
      <c r="DN177" s="362">
        <v>0</v>
      </c>
      <c r="DO177" s="362">
        <v>0</v>
      </c>
      <c r="DP177" s="362">
        <v>0</v>
      </c>
      <c r="DQ177" s="362">
        <v>0</v>
      </c>
      <c r="DR177" s="362"/>
      <c r="DS177" s="362">
        <v>0</v>
      </c>
      <c r="DT177" s="362"/>
      <c r="DU177" s="362">
        <v>0</v>
      </c>
      <c r="DV177" s="362">
        <v>0</v>
      </c>
      <c r="DW177" s="362">
        <v>0</v>
      </c>
      <c r="DX177" s="362">
        <v>0</v>
      </c>
      <c r="DY177" s="362">
        <v>0</v>
      </c>
      <c r="DZ177" s="375">
        <v>0</v>
      </c>
      <c r="EA177" s="362">
        <v>0</v>
      </c>
      <c r="EB177" s="362">
        <v>0</v>
      </c>
      <c r="EC177" s="362"/>
      <c r="ED177" s="362">
        <v>304243.56</v>
      </c>
      <c r="EE177" s="362">
        <v>7317</v>
      </c>
      <c r="EF177" s="362"/>
      <c r="EG177" s="362">
        <v>16932</v>
      </c>
      <c r="EH177" s="362">
        <v>132475</v>
      </c>
      <c r="EI177" s="362"/>
      <c r="EJ177" s="362">
        <v>59520</v>
      </c>
      <c r="EK177" s="362"/>
      <c r="EL177" s="362">
        <v>0</v>
      </c>
      <c r="EM177" s="362">
        <v>2962.98</v>
      </c>
      <c r="EN177" s="362">
        <v>0</v>
      </c>
      <c r="EO177" s="362">
        <v>744</v>
      </c>
      <c r="EP177" s="362">
        <v>275124</v>
      </c>
      <c r="EQ177" s="362">
        <v>0</v>
      </c>
      <c r="ER177" s="362">
        <v>16380</v>
      </c>
      <c r="ES177" s="362">
        <v>4039</v>
      </c>
      <c r="ET177" s="362">
        <v>8745</v>
      </c>
      <c r="EU177" s="362">
        <v>0</v>
      </c>
      <c r="EV177" s="362">
        <v>90086.39</v>
      </c>
      <c r="EW177" s="362"/>
      <c r="EX177" s="202"/>
      <c r="EY177" s="202"/>
      <c r="EZ177" s="229"/>
      <c r="FA177" s="368">
        <v>88788.35</v>
      </c>
      <c r="FB177" s="368">
        <v>89713.96</v>
      </c>
      <c r="FC177" s="368">
        <v>0</v>
      </c>
      <c r="FD177" s="368">
        <v>0</v>
      </c>
      <c r="FE177" s="368">
        <v>15347.55</v>
      </c>
      <c r="FF177" s="368">
        <v>9895.07</v>
      </c>
      <c r="FG177" s="368">
        <v>-4062.18</v>
      </c>
      <c r="FH177" s="368">
        <v>-3302.34</v>
      </c>
      <c r="FI177" s="368">
        <v>0</v>
      </c>
      <c r="FJ177" s="368">
        <v>0</v>
      </c>
      <c r="FK177" s="368">
        <v>15419.97</v>
      </c>
      <c r="FL177" s="368">
        <v>0</v>
      </c>
      <c r="FM177" s="368">
        <v>119245.31</v>
      </c>
      <c r="FN177" s="368">
        <v>75821.75</v>
      </c>
      <c r="FO177" s="323">
        <v>1172410.19</v>
      </c>
      <c r="FP177" s="323">
        <v>211800.38</v>
      </c>
      <c r="FQ177" s="323">
        <v>1384210.57</v>
      </c>
      <c r="FR177" s="362">
        <v>123630.56</v>
      </c>
      <c r="FS177" s="362">
        <v>8989.39</v>
      </c>
      <c r="FT177" s="377">
        <v>132619.95000000001</v>
      </c>
      <c r="FU177" s="377">
        <v>1092003.74</v>
      </c>
      <c r="FV177" s="377">
        <v>227465.14</v>
      </c>
      <c r="FW177" s="362">
        <v>1319468.8799999999</v>
      </c>
      <c r="FX177" s="362">
        <v>1033305.69</v>
      </c>
      <c r="FY177" s="362">
        <v>197823.14</v>
      </c>
      <c r="FZ177" s="362">
        <v>1231128.83</v>
      </c>
      <c r="GA177" s="362">
        <v>182328.61</v>
      </c>
      <c r="GB177" s="362">
        <v>38631.39</v>
      </c>
      <c r="GC177" s="362">
        <v>220960</v>
      </c>
      <c r="GD177" s="362">
        <v>71554.25</v>
      </c>
      <c r="GE177" s="362">
        <v>-23566.85</v>
      </c>
      <c r="GF177" s="362">
        <v>47987.4</v>
      </c>
      <c r="GG177" s="202">
        <v>111519.22</v>
      </c>
      <c r="GH177" s="416">
        <v>82</v>
      </c>
      <c r="GI177" s="414">
        <v>2878</v>
      </c>
      <c r="GJ177" s="419">
        <v>261639.61</v>
      </c>
      <c r="GK177" s="396">
        <v>111519.22</v>
      </c>
      <c r="GL177" s="202">
        <v>91445.760399999999</v>
      </c>
      <c r="GM177" s="202">
        <v>20073.459599999998</v>
      </c>
      <c r="GN177" s="323">
        <v>-80406.45</v>
      </c>
      <c r="GO177" s="323">
        <v>15664.76</v>
      </c>
      <c r="GP177" s="323">
        <v>-64741.69</v>
      </c>
      <c r="GQ177" s="323">
        <v>-8852.2000000000007</v>
      </c>
      <c r="GR177" s="323">
        <v>-7902.09</v>
      </c>
      <c r="GS177" s="323">
        <v>-16754.29</v>
      </c>
    </row>
    <row r="178" spans="1:201" ht="12.75" customHeight="1" x14ac:dyDescent="0.2">
      <c r="A178" s="45" t="s">
        <v>259</v>
      </c>
      <c r="B178" s="60" t="s">
        <v>221</v>
      </c>
      <c r="C178" s="61" t="s">
        <v>48</v>
      </c>
      <c r="D178" s="388" t="s">
        <v>573</v>
      </c>
      <c r="E178" s="61" t="s">
        <v>9</v>
      </c>
      <c r="F178" s="11">
        <v>9</v>
      </c>
      <c r="G178" s="11">
        <v>2</v>
      </c>
      <c r="H178" s="11">
        <v>72</v>
      </c>
      <c r="I178" s="11">
        <v>72</v>
      </c>
      <c r="J178" s="11">
        <v>140</v>
      </c>
      <c r="K178" s="11">
        <v>188</v>
      </c>
      <c r="L178" s="11">
        <v>2</v>
      </c>
      <c r="M178" s="84">
        <v>604.4</v>
      </c>
      <c r="N178" s="84">
        <v>466.3</v>
      </c>
      <c r="O178" s="84">
        <v>0</v>
      </c>
      <c r="P178" s="135">
        <v>604.4</v>
      </c>
      <c r="Q178" s="135">
        <v>466.3</v>
      </c>
      <c r="R178" s="133">
        <v>0</v>
      </c>
      <c r="S178" s="133">
        <f t="shared" si="79"/>
        <v>1070.7</v>
      </c>
      <c r="T178" s="134">
        <v>604.4</v>
      </c>
      <c r="U178" s="130">
        <v>2.44</v>
      </c>
      <c r="V178" s="131">
        <v>1.9800000000000002E-2</v>
      </c>
      <c r="W178" s="131">
        <v>1.9800000000000002E-2</v>
      </c>
      <c r="X178" s="132">
        <v>1.32E-3</v>
      </c>
      <c r="Y178" s="131">
        <v>3.9699999999999999E-2</v>
      </c>
      <c r="Z178" s="29">
        <v>3851.3</v>
      </c>
      <c r="AA178" s="29"/>
      <c r="AB178" s="9">
        <f t="shared" si="57"/>
        <v>3851.3</v>
      </c>
      <c r="AC178" s="9">
        <f t="shared" si="82"/>
        <v>24378.73</v>
      </c>
      <c r="AD178" s="9">
        <v>2.14</v>
      </c>
      <c r="AE178" s="9">
        <v>4.0999999999999996</v>
      </c>
      <c r="AF178" s="21">
        <f>2.42-AJ178</f>
        <v>2.27</v>
      </c>
      <c r="AG178" s="18">
        <f>0.61-AQ178</f>
        <v>0.56000000000000005</v>
      </c>
      <c r="AH178" s="9">
        <v>2.78</v>
      </c>
      <c r="AI178" s="43">
        <v>559</v>
      </c>
      <c r="AJ178" s="21">
        <f t="shared" si="58"/>
        <v>0.15</v>
      </c>
      <c r="AK178" s="9">
        <v>2.23</v>
      </c>
      <c r="AL178" s="9">
        <v>0.19</v>
      </c>
      <c r="AM178" s="9">
        <v>0.15</v>
      </c>
      <c r="AN178" s="13"/>
      <c r="AO178" s="13">
        <v>422.4</v>
      </c>
      <c r="AP178" s="13">
        <f t="shared" si="80"/>
        <v>5.58</v>
      </c>
      <c r="AQ178" s="18">
        <f t="shared" si="56"/>
        <v>0.05</v>
      </c>
      <c r="AR178" s="9">
        <v>0.74</v>
      </c>
      <c r="AS178" s="9">
        <v>0.35</v>
      </c>
      <c r="AT178" s="9">
        <v>7.0000000000000007E-2</v>
      </c>
      <c r="AU178" s="9">
        <v>3.8</v>
      </c>
      <c r="AV178" s="9">
        <v>0.17</v>
      </c>
      <c r="AW178" s="9">
        <f>0.26+1.42+0.34</f>
        <v>2.02</v>
      </c>
      <c r="AX178" s="9">
        <f>2+0.45</f>
        <v>2.4500000000000002</v>
      </c>
      <c r="AY178" s="63">
        <f t="shared" si="81"/>
        <v>24.22</v>
      </c>
      <c r="AZ178" s="13">
        <v>24.22</v>
      </c>
      <c r="BA178" s="13">
        <f t="shared" si="59"/>
        <v>0</v>
      </c>
      <c r="BB178" s="9">
        <f t="shared" si="60"/>
        <v>93278.49</v>
      </c>
      <c r="BC178" s="9">
        <v>24.22</v>
      </c>
      <c r="BD178" s="10">
        <v>44378</v>
      </c>
      <c r="BE178" s="9">
        <f t="shared" si="61"/>
        <v>8241.7800000000007</v>
      </c>
      <c r="BF178" s="9">
        <f t="shared" si="62"/>
        <v>15790.33</v>
      </c>
      <c r="BG178" s="9">
        <f t="shared" si="63"/>
        <v>8742.4500000000007</v>
      </c>
      <c r="BH178" s="9">
        <f t="shared" si="64"/>
        <v>2156.73</v>
      </c>
      <c r="BI178" s="9">
        <f t="shared" si="65"/>
        <v>10706.61</v>
      </c>
      <c r="BJ178" s="9">
        <f t="shared" si="66"/>
        <v>577.70000000000005</v>
      </c>
      <c r="BK178" s="9">
        <f t="shared" si="67"/>
        <v>8588.4</v>
      </c>
      <c r="BL178" s="9">
        <f t="shared" si="68"/>
        <v>731.75</v>
      </c>
      <c r="BM178" s="9">
        <f t="shared" si="69"/>
        <v>577.70000000000005</v>
      </c>
      <c r="BN178" s="9">
        <f t="shared" si="70"/>
        <v>192.57</v>
      </c>
      <c r="BO178" s="9">
        <f t="shared" si="71"/>
        <v>2849.96</v>
      </c>
      <c r="BP178" s="9">
        <f t="shared" si="72"/>
        <v>1347.96</v>
      </c>
      <c r="BQ178" s="9">
        <f t="shared" si="73"/>
        <v>269.58999999999997</v>
      </c>
      <c r="BR178" s="9">
        <f t="shared" si="74"/>
        <v>14634.94</v>
      </c>
      <c r="BS178" s="9">
        <f t="shared" si="75"/>
        <v>654.72</v>
      </c>
      <c r="BT178" s="9">
        <f t="shared" si="76"/>
        <v>7779.63</v>
      </c>
      <c r="BU178" s="9">
        <f t="shared" si="77"/>
        <v>9435.69</v>
      </c>
      <c r="BV178" s="17">
        <f t="shared" si="78"/>
        <v>93278.51</v>
      </c>
      <c r="BW178" s="17">
        <v>2.87</v>
      </c>
      <c r="BX178" s="17">
        <v>0.1</v>
      </c>
      <c r="BY178" s="17">
        <v>0.56999999999999995</v>
      </c>
      <c r="BZ178" s="17">
        <v>0.11</v>
      </c>
      <c r="CA178" s="29">
        <v>6.33</v>
      </c>
      <c r="CB178" s="325"/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0</v>
      </c>
      <c r="CI178" s="13">
        <v>3415.99</v>
      </c>
      <c r="CJ178" s="13">
        <v>33084</v>
      </c>
      <c r="CK178" s="13">
        <v>1480.97</v>
      </c>
      <c r="CL178" s="13">
        <v>1119094.8799999999</v>
      </c>
      <c r="CM178" s="13">
        <v>100204.13</v>
      </c>
      <c r="CN178" s="13">
        <v>208421.87</v>
      </c>
      <c r="CO178" s="13">
        <v>8664.2199999999993</v>
      </c>
      <c r="CP178" s="13">
        <v>6739.13</v>
      </c>
      <c r="CQ178" s="13">
        <v>0</v>
      </c>
      <c r="CR178" s="13">
        <v>1019531.48</v>
      </c>
      <c r="CS178" s="13">
        <v>80541.09</v>
      </c>
      <c r="CT178" s="13">
        <v>173306.97</v>
      </c>
      <c r="CU178" s="13">
        <v>11992.05</v>
      </c>
      <c r="CV178" s="13">
        <v>7645.64</v>
      </c>
      <c r="CW178" s="13">
        <v>0</v>
      </c>
      <c r="CX178" s="13">
        <v>215747.14</v>
      </c>
      <c r="CY178" s="13">
        <v>22952.77</v>
      </c>
      <c r="CZ178" s="13">
        <v>40209.78</v>
      </c>
      <c r="DA178" s="13">
        <v>1519.43</v>
      </c>
      <c r="DB178" s="13">
        <v>1024.3499999999999</v>
      </c>
      <c r="DC178" s="13"/>
      <c r="DD178" s="315">
        <v>1443124.23</v>
      </c>
      <c r="DE178" s="317">
        <v>1293017.23</v>
      </c>
      <c r="DF178" s="317">
        <v>89.6</v>
      </c>
      <c r="DG178" s="318">
        <v>281453.46999999997</v>
      </c>
      <c r="DH178" s="310">
        <v>40461.599999999999</v>
      </c>
      <c r="DI178" s="310">
        <v>23140.44</v>
      </c>
      <c r="DJ178" s="312">
        <v>0</v>
      </c>
      <c r="DK178" s="362">
        <v>0</v>
      </c>
      <c r="DL178" s="362"/>
      <c r="DM178" s="362">
        <v>0</v>
      </c>
      <c r="DN178" s="362">
        <v>0</v>
      </c>
      <c r="DO178" s="362">
        <v>0</v>
      </c>
      <c r="DP178" s="362">
        <v>0</v>
      </c>
      <c r="DQ178" s="362">
        <v>0</v>
      </c>
      <c r="DR178" s="362"/>
      <c r="DS178" s="362">
        <v>0</v>
      </c>
      <c r="DT178" s="362"/>
      <c r="DU178" s="362">
        <v>0</v>
      </c>
      <c r="DV178" s="362">
        <v>0</v>
      </c>
      <c r="DW178" s="362">
        <v>103200</v>
      </c>
      <c r="DX178" s="362">
        <v>0</v>
      </c>
      <c r="DY178" s="362">
        <v>9000</v>
      </c>
      <c r="DZ178" s="375">
        <v>0</v>
      </c>
      <c r="EA178" s="362">
        <v>0</v>
      </c>
      <c r="EB178" s="362">
        <v>0</v>
      </c>
      <c r="EC178" s="362"/>
      <c r="ED178" s="362">
        <v>320982.53999999998</v>
      </c>
      <c r="EE178" s="362">
        <v>7317</v>
      </c>
      <c r="EF178" s="362"/>
      <c r="EG178" s="362">
        <v>8898</v>
      </c>
      <c r="EH178" s="362">
        <v>0</v>
      </c>
      <c r="EI178" s="362"/>
      <c r="EJ178" s="362">
        <v>0</v>
      </c>
      <c r="EK178" s="362"/>
      <c r="EL178" s="362">
        <v>0</v>
      </c>
      <c r="EM178" s="362">
        <v>2356.98</v>
      </c>
      <c r="EN178" s="362">
        <v>0</v>
      </c>
      <c r="EO178" s="362">
        <v>0</v>
      </c>
      <c r="EP178" s="362">
        <v>245226</v>
      </c>
      <c r="EQ178" s="362">
        <v>0</v>
      </c>
      <c r="ER178" s="362">
        <v>16380</v>
      </c>
      <c r="ES178" s="362">
        <v>0</v>
      </c>
      <c r="ET178" s="362">
        <v>16322</v>
      </c>
      <c r="EU178" s="362">
        <v>0</v>
      </c>
      <c r="EV178" s="362">
        <v>120080.37</v>
      </c>
      <c r="EW178" s="362"/>
      <c r="EX178" s="202"/>
      <c r="EY178" s="202"/>
      <c r="EZ178" s="229"/>
      <c r="FA178" s="368">
        <v>96288.61</v>
      </c>
      <c r="FB178" s="368">
        <v>201384.67</v>
      </c>
      <c r="FC178" s="368">
        <v>0</v>
      </c>
      <c r="FD178" s="368">
        <v>0</v>
      </c>
      <c r="FE178" s="368">
        <v>7774.95</v>
      </c>
      <c r="FF178" s="368">
        <v>5497</v>
      </c>
      <c r="FG178" s="368">
        <v>-621.54999999999995</v>
      </c>
      <c r="FH178" s="368">
        <v>-1310.6199999999999</v>
      </c>
      <c r="FI178" s="368">
        <v>0</v>
      </c>
      <c r="FJ178" s="368">
        <v>0</v>
      </c>
      <c r="FK178" s="368">
        <v>0</v>
      </c>
      <c r="FL178" s="368">
        <v>0</v>
      </c>
      <c r="FM178" s="368">
        <v>102958.68</v>
      </c>
      <c r="FN178" s="368">
        <v>65465.81</v>
      </c>
      <c r="FO178" s="323">
        <v>1081789.42</v>
      </c>
      <c r="FP178" s="323">
        <v>309013.06</v>
      </c>
      <c r="FQ178" s="323">
        <v>1390802.48</v>
      </c>
      <c r="FR178" s="362">
        <v>127437.45</v>
      </c>
      <c r="FS178" s="362">
        <v>5486.61</v>
      </c>
      <c r="FT178" s="377">
        <v>132924.06</v>
      </c>
      <c r="FU178" s="377">
        <v>1155594.8700000001</v>
      </c>
      <c r="FV178" s="377">
        <v>325510.32</v>
      </c>
      <c r="FW178" s="362">
        <v>1481105.19</v>
      </c>
      <c r="FX178" s="362">
        <v>1067285.18</v>
      </c>
      <c r="FY178" s="362">
        <v>265290.59999999998</v>
      </c>
      <c r="FZ178" s="362">
        <v>1332575.78</v>
      </c>
      <c r="GA178" s="362">
        <v>215747.14</v>
      </c>
      <c r="GB178" s="362">
        <v>65706.33</v>
      </c>
      <c r="GC178" s="362">
        <v>281453.46999999997</v>
      </c>
      <c r="GD178" s="362">
        <v>104373.58</v>
      </c>
      <c r="GE178" s="362">
        <v>-12759.38</v>
      </c>
      <c r="GF178" s="362">
        <v>91614.2</v>
      </c>
      <c r="GG178" s="202"/>
      <c r="GH178" s="416"/>
      <c r="GI178" s="414">
        <v>2442.5500000000002</v>
      </c>
      <c r="GJ178" s="419">
        <v>0</v>
      </c>
      <c r="GK178" s="396"/>
      <c r="GL178" s="202">
        <v>0</v>
      </c>
      <c r="GM178" s="202">
        <v>0</v>
      </c>
      <c r="GN178" s="323">
        <v>73805.45</v>
      </c>
      <c r="GO178" s="323">
        <v>16497.259999999998</v>
      </c>
      <c r="GP178" s="323">
        <v>90302.71</v>
      </c>
      <c r="GQ178" s="323">
        <v>178179.03</v>
      </c>
      <c r="GR178" s="323">
        <v>3737.88</v>
      </c>
      <c r="GS178" s="323">
        <v>181916.91</v>
      </c>
    </row>
    <row r="179" spans="1:201" ht="12.75" customHeight="1" x14ac:dyDescent="0.2">
      <c r="A179" s="45" t="s">
        <v>260</v>
      </c>
      <c r="B179" s="60" t="s">
        <v>221</v>
      </c>
      <c r="C179" s="61" t="s">
        <v>17</v>
      </c>
      <c r="D179" s="388" t="s">
        <v>574</v>
      </c>
      <c r="E179" s="61" t="s">
        <v>9</v>
      </c>
      <c r="F179" s="11">
        <v>9</v>
      </c>
      <c r="G179" s="11">
        <v>2</v>
      </c>
      <c r="H179" s="11">
        <v>72</v>
      </c>
      <c r="I179" s="11">
        <v>73</v>
      </c>
      <c r="J179" s="11">
        <v>163</v>
      </c>
      <c r="K179" s="11">
        <v>188</v>
      </c>
      <c r="L179" s="11">
        <v>2</v>
      </c>
      <c r="M179" s="84">
        <v>604.4</v>
      </c>
      <c r="N179" s="84">
        <v>466.3</v>
      </c>
      <c r="O179" s="84">
        <v>466.3</v>
      </c>
      <c r="P179" s="139">
        <f>280.5+359.2</f>
        <v>639.70000000000005</v>
      </c>
      <c r="Q179" s="135">
        <v>607.20000000000005</v>
      </c>
      <c r="R179" s="133">
        <v>0</v>
      </c>
      <c r="S179" s="133">
        <f t="shared" si="79"/>
        <v>1246.9000000000001</v>
      </c>
      <c r="T179" s="139">
        <v>604.4</v>
      </c>
      <c r="U179" s="130">
        <v>2.44</v>
      </c>
      <c r="V179" s="91">
        <v>1.9800000000000002E-2</v>
      </c>
      <c r="W179" s="91">
        <v>1.9800000000000002E-2</v>
      </c>
      <c r="X179" s="132">
        <v>1.32E-3</v>
      </c>
      <c r="Y179" s="91">
        <v>3.9699999999999999E-2</v>
      </c>
      <c r="Z179" s="29">
        <v>3831.82</v>
      </c>
      <c r="AA179" s="29"/>
      <c r="AB179" s="9">
        <f t="shared" si="57"/>
        <v>3831.82</v>
      </c>
      <c r="AC179" s="9">
        <f t="shared" si="82"/>
        <v>24255.42</v>
      </c>
      <c r="AD179" s="9">
        <v>2.11</v>
      </c>
      <c r="AE179" s="9">
        <v>3.69</v>
      </c>
      <c r="AF179" s="21">
        <f>2.48-AJ179</f>
        <v>2.35</v>
      </c>
      <c r="AG179" s="18">
        <f>0.62-AQ179</f>
        <v>0.56999999999999995</v>
      </c>
      <c r="AH179" s="9">
        <v>2.78</v>
      </c>
      <c r="AI179" s="43">
        <v>507</v>
      </c>
      <c r="AJ179" s="21">
        <f t="shared" si="58"/>
        <v>0.13</v>
      </c>
      <c r="AK179" s="9">
        <v>2.2400000000000002</v>
      </c>
      <c r="AL179" s="9">
        <v>0.61</v>
      </c>
      <c r="AM179" s="9">
        <v>0.25</v>
      </c>
      <c r="AN179" s="13"/>
      <c r="AO179" s="13">
        <v>446.4</v>
      </c>
      <c r="AP179" s="13">
        <f t="shared" si="80"/>
        <v>5.58</v>
      </c>
      <c r="AQ179" s="18">
        <f t="shared" si="56"/>
        <v>0.05</v>
      </c>
      <c r="AR179" s="9">
        <v>0.59</v>
      </c>
      <c r="AS179" s="9">
        <v>0.36</v>
      </c>
      <c r="AT179" s="9">
        <v>7.0000000000000007E-2</v>
      </c>
      <c r="AU179" s="9">
        <v>3.86</v>
      </c>
      <c r="AV179" s="9">
        <v>0.15</v>
      </c>
      <c r="AW179" s="9">
        <f>1.42+0.27+0.34</f>
        <v>2.0299999999999998</v>
      </c>
      <c r="AX179" s="9">
        <f>2.01+0.45</f>
        <v>2.46</v>
      </c>
      <c r="AY179" s="63">
        <f t="shared" si="81"/>
        <v>24.3</v>
      </c>
      <c r="AZ179" s="13">
        <v>24.3</v>
      </c>
      <c r="BA179" s="13">
        <f t="shared" si="59"/>
        <v>0</v>
      </c>
      <c r="BB179" s="9">
        <f t="shared" si="60"/>
        <v>93113.23</v>
      </c>
      <c r="BC179" s="9">
        <v>24.3</v>
      </c>
      <c r="BD179" s="10">
        <v>44378</v>
      </c>
      <c r="BE179" s="9">
        <f t="shared" si="61"/>
        <v>8085.14</v>
      </c>
      <c r="BF179" s="9">
        <f t="shared" si="62"/>
        <v>14139.42</v>
      </c>
      <c r="BG179" s="9">
        <f t="shared" si="63"/>
        <v>9004.7800000000007</v>
      </c>
      <c r="BH179" s="9">
        <f t="shared" si="64"/>
        <v>2184.14</v>
      </c>
      <c r="BI179" s="9">
        <f t="shared" si="65"/>
        <v>10652.46</v>
      </c>
      <c r="BJ179" s="9">
        <f t="shared" si="66"/>
        <v>498.14</v>
      </c>
      <c r="BK179" s="9">
        <f t="shared" si="67"/>
        <v>8583.2800000000007</v>
      </c>
      <c r="BL179" s="9">
        <f t="shared" si="68"/>
        <v>2337.41</v>
      </c>
      <c r="BM179" s="9">
        <f t="shared" si="69"/>
        <v>957.96</v>
      </c>
      <c r="BN179" s="9">
        <f t="shared" si="70"/>
        <v>191.59</v>
      </c>
      <c r="BO179" s="9">
        <f t="shared" si="71"/>
        <v>2260.77</v>
      </c>
      <c r="BP179" s="9">
        <f t="shared" si="72"/>
        <v>1379.46</v>
      </c>
      <c r="BQ179" s="9">
        <f t="shared" si="73"/>
        <v>268.23</v>
      </c>
      <c r="BR179" s="9">
        <f t="shared" si="74"/>
        <v>14790.83</v>
      </c>
      <c r="BS179" s="9">
        <f t="shared" si="75"/>
        <v>574.77</v>
      </c>
      <c r="BT179" s="9">
        <f t="shared" si="76"/>
        <v>7778.59</v>
      </c>
      <c r="BU179" s="9">
        <f t="shared" si="77"/>
        <v>9426.2800000000007</v>
      </c>
      <c r="BV179" s="17">
        <f t="shared" si="78"/>
        <v>93113.25</v>
      </c>
      <c r="BW179" s="17">
        <v>1.64</v>
      </c>
      <c r="BX179" s="17">
        <v>0.09</v>
      </c>
      <c r="BY179" s="17">
        <v>0.59</v>
      </c>
      <c r="BZ179" s="17">
        <v>0.1</v>
      </c>
      <c r="CA179" s="29">
        <v>6.33</v>
      </c>
      <c r="CB179" s="325"/>
      <c r="CC179" s="13">
        <v>0</v>
      </c>
      <c r="CD179" s="13">
        <v>0</v>
      </c>
      <c r="CE179" s="13">
        <v>0</v>
      </c>
      <c r="CF179" s="13">
        <v>0</v>
      </c>
      <c r="CG179" s="13">
        <v>0</v>
      </c>
      <c r="CH179" s="13">
        <v>0</v>
      </c>
      <c r="CI179" s="13">
        <v>9613.5300000000007</v>
      </c>
      <c r="CJ179" s="13">
        <v>28788</v>
      </c>
      <c r="CK179" s="13">
        <v>1473.68</v>
      </c>
      <c r="CL179" s="13">
        <v>1116846.1399999999</v>
      </c>
      <c r="CM179" s="13">
        <v>178946.16</v>
      </c>
      <c r="CN179" s="13">
        <v>0</v>
      </c>
      <c r="CO179" s="13">
        <v>2644.27</v>
      </c>
      <c r="CP179" s="13">
        <v>3563.71</v>
      </c>
      <c r="CQ179" s="13">
        <v>0</v>
      </c>
      <c r="CR179" s="13">
        <v>1095880.8799999999</v>
      </c>
      <c r="CS179" s="13">
        <v>162359.82</v>
      </c>
      <c r="CT179" s="13">
        <v>1375.01</v>
      </c>
      <c r="CU179" s="13">
        <v>2981.45</v>
      </c>
      <c r="CV179" s="13">
        <v>3178.46</v>
      </c>
      <c r="CW179" s="13">
        <v>0</v>
      </c>
      <c r="CX179" s="13">
        <v>207795.91</v>
      </c>
      <c r="CY179" s="13">
        <v>43970.51</v>
      </c>
      <c r="CZ179" s="13">
        <v>-2203.83</v>
      </c>
      <c r="DA179" s="13">
        <v>860.16</v>
      </c>
      <c r="DB179" s="13">
        <v>680.76</v>
      </c>
      <c r="DC179" s="13"/>
      <c r="DD179" s="315">
        <v>1302000.28</v>
      </c>
      <c r="DE179" s="317">
        <v>1265775.6200000001</v>
      </c>
      <c r="DF179" s="317">
        <v>97.22</v>
      </c>
      <c r="DG179" s="318">
        <v>251103.51</v>
      </c>
      <c r="DH179" s="310">
        <v>40262.519999999997</v>
      </c>
      <c r="DI179" s="310">
        <v>23026.560000000001</v>
      </c>
      <c r="DJ179" s="312">
        <v>0</v>
      </c>
      <c r="DK179" s="362">
        <v>0</v>
      </c>
      <c r="DL179" s="362"/>
      <c r="DM179" s="362">
        <v>0</v>
      </c>
      <c r="DN179" s="362">
        <v>0</v>
      </c>
      <c r="DO179" s="362">
        <v>0</v>
      </c>
      <c r="DP179" s="362">
        <v>0</v>
      </c>
      <c r="DQ179" s="362">
        <v>0</v>
      </c>
      <c r="DR179" s="362"/>
      <c r="DS179" s="362">
        <v>0</v>
      </c>
      <c r="DT179" s="362"/>
      <c r="DU179" s="362">
        <v>0</v>
      </c>
      <c r="DV179" s="362">
        <v>0</v>
      </c>
      <c r="DW179" s="362">
        <v>102783.87</v>
      </c>
      <c r="DX179" s="362">
        <v>0</v>
      </c>
      <c r="DY179" s="362">
        <v>28000</v>
      </c>
      <c r="DZ179" s="375">
        <v>0</v>
      </c>
      <c r="EA179" s="362">
        <v>0</v>
      </c>
      <c r="EB179" s="362">
        <v>0</v>
      </c>
      <c r="EC179" s="362"/>
      <c r="ED179" s="362">
        <v>296507.40000000002</v>
      </c>
      <c r="EE179" s="362">
        <v>7317</v>
      </c>
      <c r="EF179" s="362"/>
      <c r="EG179" s="362">
        <v>8070</v>
      </c>
      <c r="EH179" s="362">
        <v>0</v>
      </c>
      <c r="EI179" s="362"/>
      <c r="EJ179" s="362">
        <v>0</v>
      </c>
      <c r="EK179" s="362"/>
      <c r="EL179" s="362">
        <v>0</v>
      </c>
      <c r="EM179" s="362">
        <v>2490.9</v>
      </c>
      <c r="EN179" s="362">
        <v>0</v>
      </c>
      <c r="EO179" s="362">
        <v>0</v>
      </c>
      <c r="EP179" s="362">
        <v>246456</v>
      </c>
      <c r="EQ179" s="362">
        <v>0</v>
      </c>
      <c r="ER179" s="362">
        <v>16380</v>
      </c>
      <c r="ES179" s="362">
        <v>0</v>
      </c>
      <c r="ET179" s="362">
        <v>8988</v>
      </c>
      <c r="EU179" s="362">
        <v>0</v>
      </c>
      <c r="EV179" s="362">
        <v>120206.48</v>
      </c>
      <c r="EW179" s="362"/>
      <c r="EX179" s="202"/>
      <c r="EY179" s="202"/>
      <c r="EZ179" s="229"/>
      <c r="FA179" s="368">
        <v>172287.44</v>
      </c>
      <c r="FB179" s="368">
        <v>2000.74</v>
      </c>
      <c r="FC179" s="368">
        <v>0</v>
      </c>
      <c r="FD179" s="368">
        <v>0</v>
      </c>
      <c r="FE179" s="368">
        <v>4202.0600000000004</v>
      </c>
      <c r="FF179" s="368">
        <v>3800.47</v>
      </c>
      <c r="FG179" s="368">
        <v>0</v>
      </c>
      <c r="FH179" s="368">
        <v>-980.37</v>
      </c>
      <c r="FI179" s="368">
        <v>-2655.41</v>
      </c>
      <c r="FJ179" s="368">
        <v>0</v>
      </c>
      <c r="FK179" s="368">
        <v>16217.59</v>
      </c>
      <c r="FL179" s="368">
        <v>0</v>
      </c>
      <c r="FM179" s="368">
        <v>102443.94</v>
      </c>
      <c r="FN179" s="368">
        <v>65138.64</v>
      </c>
      <c r="FO179" s="323">
        <v>1068071.31</v>
      </c>
      <c r="FP179" s="323">
        <v>194872.52</v>
      </c>
      <c r="FQ179" s="323">
        <v>1262943.83</v>
      </c>
      <c r="FR179" s="362">
        <v>154409.28</v>
      </c>
      <c r="FS179" s="362">
        <v>22199.360000000001</v>
      </c>
      <c r="FT179" s="377">
        <v>176608.64000000001</v>
      </c>
      <c r="FU179" s="377">
        <v>1155247.67</v>
      </c>
      <c r="FV179" s="377">
        <v>186627.82</v>
      </c>
      <c r="FW179" s="362">
        <v>1341875.49</v>
      </c>
      <c r="FX179" s="362">
        <v>1101861.04</v>
      </c>
      <c r="FY179" s="362">
        <v>165519.57999999999</v>
      </c>
      <c r="FZ179" s="362">
        <v>1267380.6200000001</v>
      </c>
      <c r="GA179" s="362">
        <v>207795.91</v>
      </c>
      <c r="GB179" s="362">
        <v>43307.6</v>
      </c>
      <c r="GC179" s="362">
        <v>251103.51</v>
      </c>
      <c r="GD179" s="362">
        <v>115923.02</v>
      </c>
      <c r="GE179" s="362">
        <v>-1987.7</v>
      </c>
      <c r="GF179" s="362">
        <v>113935.32</v>
      </c>
      <c r="GG179" s="202"/>
      <c r="GH179" s="416"/>
      <c r="GI179" s="414">
        <v>1947</v>
      </c>
      <c r="GJ179" s="419">
        <v>0</v>
      </c>
      <c r="GK179" s="396"/>
      <c r="GL179" s="202">
        <v>0</v>
      </c>
      <c r="GM179" s="202">
        <v>0</v>
      </c>
      <c r="GN179" s="323">
        <v>87176.36</v>
      </c>
      <c r="GO179" s="323">
        <v>-8244.7000000000007</v>
      </c>
      <c r="GP179" s="323">
        <v>78931.66</v>
      </c>
      <c r="GQ179" s="323">
        <v>203099.38</v>
      </c>
      <c r="GR179" s="323">
        <v>-10232.4</v>
      </c>
      <c r="GS179" s="323">
        <v>192866.98</v>
      </c>
    </row>
    <row r="180" spans="1:201" ht="12.75" customHeight="1" x14ac:dyDescent="0.2">
      <c r="A180" s="45" t="s">
        <v>261</v>
      </c>
      <c r="B180" s="66" t="s">
        <v>221</v>
      </c>
      <c r="C180" s="67" t="s">
        <v>62</v>
      </c>
      <c r="D180" s="388" t="s">
        <v>476</v>
      </c>
      <c r="E180" s="67" t="s">
        <v>12</v>
      </c>
      <c r="F180" s="11">
        <v>5</v>
      </c>
      <c r="G180" s="11">
        <v>3</v>
      </c>
      <c r="H180" s="11">
        <v>52</v>
      </c>
      <c r="I180" s="11">
        <v>0</v>
      </c>
      <c r="J180" s="11">
        <v>95</v>
      </c>
      <c r="K180" s="11">
        <v>181</v>
      </c>
      <c r="L180" s="11" t="s">
        <v>746</v>
      </c>
      <c r="M180" s="84">
        <v>183</v>
      </c>
      <c r="N180" s="84">
        <v>542.9</v>
      </c>
      <c r="O180" s="84">
        <v>542.9</v>
      </c>
      <c r="P180" s="135">
        <v>183</v>
      </c>
      <c r="Q180" s="135">
        <v>542.9</v>
      </c>
      <c r="R180" s="135">
        <v>542.9</v>
      </c>
      <c r="S180" s="133">
        <f t="shared" si="79"/>
        <v>1268.8</v>
      </c>
      <c r="T180" s="134">
        <v>183</v>
      </c>
      <c r="U180" s="130">
        <v>1.53</v>
      </c>
      <c r="V180" s="91">
        <v>1.1299999999999999E-2</v>
      </c>
      <c r="W180" s="91" t="s">
        <v>823</v>
      </c>
      <c r="X180" s="132" t="s">
        <v>823</v>
      </c>
      <c r="Y180" s="91">
        <v>1.1299999999999999E-2</v>
      </c>
      <c r="Z180" s="29">
        <v>2028.18</v>
      </c>
      <c r="AA180" s="29">
        <v>512</v>
      </c>
      <c r="AB180" s="9">
        <f t="shared" si="57"/>
        <v>2540.1799999999998</v>
      </c>
      <c r="AC180" s="9">
        <f t="shared" si="82"/>
        <v>16079.34</v>
      </c>
      <c r="AD180" s="9">
        <v>0.38</v>
      </c>
      <c r="AE180" s="9">
        <v>3.55</v>
      </c>
      <c r="AF180" s="21">
        <f>2.41-AJ180</f>
        <v>2.15</v>
      </c>
      <c r="AG180" s="18">
        <f>0.54-AQ180</f>
        <v>0.42</v>
      </c>
      <c r="AH180" s="9">
        <v>2.16</v>
      </c>
      <c r="AI180" s="43">
        <v>665</v>
      </c>
      <c r="AJ180" s="21">
        <f t="shared" si="58"/>
        <v>0.26</v>
      </c>
      <c r="AK180" s="9">
        <v>0</v>
      </c>
      <c r="AL180" s="9">
        <v>0</v>
      </c>
      <c r="AM180" s="9">
        <v>0.23</v>
      </c>
      <c r="AN180" s="13">
        <v>210</v>
      </c>
      <c r="AO180" s="13">
        <v>420</v>
      </c>
      <c r="AP180" s="13">
        <f t="shared" si="80"/>
        <v>5.58</v>
      </c>
      <c r="AQ180" s="18">
        <f t="shared" si="56"/>
        <v>0.12</v>
      </c>
      <c r="AR180" s="9">
        <v>0.74</v>
      </c>
      <c r="AS180" s="9">
        <v>0.54</v>
      </c>
      <c r="AT180" s="9">
        <v>7.0000000000000007E-2</v>
      </c>
      <c r="AU180" s="9">
        <v>4.58</v>
      </c>
      <c r="AV180" s="9">
        <v>0.11</v>
      </c>
      <c r="AW180" s="9">
        <f>0.95+0.4+0.33</f>
        <v>1.68</v>
      </c>
      <c r="AX180" s="9">
        <f>1.31+0.54</f>
        <v>1.85</v>
      </c>
      <c r="AY180" s="69">
        <f t="shared" si="81"/>
        <v>18.84</v>
      </c>
      <c r="AZ180" s="13">
        <v>18.84</v>
      </c>
      <c r="BA180" s="13">
        <f t="shared" si="59"/>
        <v>0</v>
      </c>
      <c r="BB180" s="9">
        <f t="shared" si="60"/>
        <v>47856.99</v>
      </c>
      <c r="BC180" s="9">
        <v>18.84</v>
      </c>
      <c r="BD180" s="10">
        <v>44409</v>
      </c>
      <c r="BE180" s="9">
        <f t="shared" si="61"/>
        <v>965.27</v>
      </c>
      <c r="BF180" s="9">
        <f t="shared" si="62"/>
        <v>9017.64</v>
      </c>
      <c r="BG180" s="9">
        <f t="shared" si="63"/>
        <v>5461.39</v>
      </c>
      <c r="BH180" s="9">
        <f t="shared" si="64"/>
        <v>1066.8800000000001</v>
      </c>
      <c r="BI180" s="9">
        <f t="shared" si="65"/>
        <v>5486.79</v>
      </c>
      <c r="BJ180" s="9">
        <f t="shared" si="66"/>
        <v>660.45</v>
      </c>
      <c r="BK180" s="9">
        <f t="shared" si="67"/>
        <v>0</v>
      </c>
      <c r="BL180" s="9">
        <f t="shared" si="68"/>
        <v>0</v>
      </c>
      <c r="BM180" s="9">
        <f t="shared" si="69"/>
        <v>584.24</v>
      </c>
      <c r="BN180" s="9">
        <f t="shared" si="70"/>
        <v>304.82</v>
      </c>
      <c r="BO180" s="9">
        <f t="shared" si="71"/>
        <v>1879.73</v>
      </c>
      <c r="BP180" s="9">
        <f t="shared" si="72"/>
        <v>1371.7</v>
      </c>
      <c r="BQ180" s="9">
        <f t="shared" si="73"/>
        <v>177.81</v>
      </c>
      <c r="BR180" s="9">
        <f t="shared" si="74"/>
        <v>11634.02</v>
      </c>
      <c r="BS180" s="9">
        <f t="shared" si="75"/>
        <v>279.42</v>
      </c>
      <c r="BT180" s="9">
        <f t="shared" si="76"/>
        <v>4267.5</v>
      </c>
      <c r="BU180" s="9">
        <f t="shared" si="77"/>
        <v>4699.33</v>
      </c>
      <c r="BV180" s="17">
        <f t="shared" si="78"/>
        <v>47856.99</v>
      </c>
      <c r="BW180" s="17">
        <v>1.76</v>
      </c>
      <c r="BX180" s="17">
        <v>0.02</v>
      </c>
      <c r="BY180" s="173">
        <v>0</v>
      </c>
      <c r="BZ180" s="17">
        <v>0.01</v>
      </c>
      <c r="CA180" s="29">
        <v>6.33</v>
      </c>
      <c r="CB180" s="325"/>
      <c r="CC180" s="13">
        <v>115411.4</v>
      </c>
      <c r="CD180" s="13">
        <v>10443.23</v>
      </c>
      <c r="CE180" s="13">
        <v>0</v>
      </c>
      <c r="CF180" s="13">
        <v>9420.98</v>
      </c>
      <c r="CG180" s="13">
        <v>4925.82</v>
      </c>
      <c r="CH180" s="13">
        <v>744</v>
      </c>
      <c r="CI180" s="13">
        <v>3837.87</v>
      </c>
      <c r="CJ180" s="13">
        <v>21588</v>
      </c>
      <c r="CK180" s="13">
        <v>976.92</v>
      </c>
      <c r="CL180" s="13">
        <v>458531.04</v>
      </c>
      <c r="CM180" s="13">
        <v>41253.019999999997</v>
      </c>
      <c r="CN180" s="13">
        <v>0</v>
      </c>
      <c r="CO180" s="13">
        <v>34093.9</v>
      </c>
      <c r="CP180" s="13">
        <v>17827.900000000001</v>
      </c>
      <c r="CQ180" s="13">
        <v>0</v>
      </c>
      <c r="CR180" s="13">
        <v>395453.1</v>
      </c>
      <c r="CS180" s="13">
        <v>31565.09</v>
      </c>
      <c r="CT180" s="13">
        <v>0</v>
      </c>
      <c r="CU180" s="13">
        <v>38765.919999999998</v>
      </c>
      <c r="CV180" s="13">
        <v>20243.18</v>
      </c>
      <c r="CW180" s="13">
        <v>0</v>
      </c>
      <c r="CX180" s="13">
        <v>110748.07</v>
      </c>
      <c r="CY180" s="13">
        <v>9410</v>
      </c>
      <c r="CZ180" s="13">
        <v>0</v>
      </c>
      <c r="DA180" s="13">
        <v>8065.61</v>
      </c>
      <c r="DB180" s="13">
        <v>4223.51</v>
      </c>
      <c r="DC180" s="13"/>
      <c r="DD180" s="315">
        <v>551705.86</v>
      </c>
      <c r="DE180" s="317">
        <v>486027.29</v>
      </c>
      <c r="DF180" s="317">
        <v>88.1</v>
      </c>
      <c r="DG180" s="318">
        <v>132447.19</v>
      </c>
      <c r="DH180" s="310">
        <v>21310.92</v>
      </c>
      <c r="DI180" s="310">
        <v>12187.92</v>
      </c>
      <c r="DJ180" s="312">
        <v>0</v>
      </c>
      <c r="DK180" s="362">
        <v>0</v>
      </c>
      <c r="DL180" s="362"/>
      <c r="DM180" s="362">
        <v>0</v>
      </c>
      <c r="DN180" s="362">
        <v>0</v>
      </c>
      <c r="DO180" s="362">
        <v>0</v>
      </c>
      <c r="DP180" s="362">
        <v>0</v>
      </c>
      <c r="DQ180" s="362">
        <v>0</v>
      </c>
      <c r="DR180" s="362"/>
      <c r="DS180" s="362">
        <v>0</v>
      </c>
      <c r="DT180" s="362"/>
      <c r="DU180" s="362">
        <v>0</v>
      </c>
      <c r="DV180" s="362">
        <v>0</v>
      </c>
      <c r="DW180" s="362">
        <v>0</v>
      </c>
      <c r="DX180" s="362">
        <v>0</v>
      </c>
      <c r="DY180" s="362">
        <v>0</v>
      </c>
      <c r="DZ180" s="375">
        <v>0</v>
      </c>
      <c r="EA180" s="362">
        <v>0</v>
      </c>
      <c r="EB180" s="362">
        <v>0</v>
      </c>
      <c r="EC180" s="362"/>
      <c r="ED180" s="362">
        <v>133367.04000000001</v>
      </c>
      <c r="EE180" s="362">
        <v>10761</v>
      </c>
      <c r="EF180" s="362"/>
      <c r="EG180" s="362">
        <v>10584</v>
      </c>
      <c r="EH180" s="362">
        <v>23625</v>
      </c>
      <c r="EI180" s="362"/>
      <c r="EJ180" s="362">
        <v>16400</v>
      </c>
      <c r="EK180" s="362"/>
      <c r="EL180" s="362">
        <v>0</v>
      </c>
      <c r="EM180" s="362">
        <v>3515.4</v>
      </c>
      <c r="EN180" s="362">
        <v>0</v>
      </c>
      <c r="EO180" s="362">
        <v>372</v>
      </c>
      <c r="EP180" s="362">
        <v>135696</v>
      </c>
      <c r="EQ180" s="362">
        <v>0</v>
      </c>
      <c r="ER180" s="362">
        <v>16380</v>
      </c>
      <c r="ES180" s="362">
        <v>6924</v>
      </c>
      <c r="ET180" s="362">
        <v>10143</v>
      </c>
      <c r="EU180" s="362">
        <v>0</v>
      </c>
      <c r="EV180" s="362">
        <v>36255.339999999997</v>
      </c>
      <c r="EW180" s="362"/>
      <c r="EX180" s="202"/>
      <c r="EY180" s="202"/>
      <c r="EZ180" s="229"/>
      <c r="FA180" s="368">
        <v>46503.46</v>
      </c>
      <c r="FB180" s="368">
        <v>0</v>
      </c>
      <c r="FC180" s="368">
        <v>0</v>
      </c>
      <c r="FD180" s="368">
        <v>0</v>
      </c>
      <c r="FE180" s="368">
        <v>37737.47</v>
      </c>
      <c r="FF180" s="368">
        <v>19764.54</v>
      </c>
      <c r="FG180" s="368">
        <v>-5620.99</v>
      </c>
      <c r="FH180" s="368">
        <v>-3592.69</v>
      </c>
      <c r="FI180" s="368">
        <v>0</v>
      </c>
      <c r="FJ180" s="368">
        <v>0</v>
      </c>
      <c r="FK180" s="368">
        <v>0</v>
      </c>
      <c r="FL180" s="368">
        <v>0</v>
      </c>
      <c r="FM180" s="368">
        <v>67911.86</v>
      </c>
      <c r="FN180" s="368">
        <v>43181.54</v>
      </c>
      <c r="FO180" s="323">
        <v>548615.02</v>
      </c>
      <c r="FP180" s="323">
        <v>94791.79</v>
      </c>
      <c r="FQ180" s="323">
        <v>643406.81000000006</v>
      </c>
      <c r="FR180" s="362">
        <v>75916.639999999999</v>
      </c>
      <c r="FS180" s="362">
        <v>20033.080000000002</v>
      </c>
      <c r="FT180" s="377">
        <v>95949.72</v>
      </c>
      <c r="FU180" s="377">
        <v>599368.31000000006</v>
      </c>
      <c r="FV180" s="377">
        <v>119685.77</v>
      </c>
      <c r="FW180" s="362">
        <v>719054.08</v>
      </c>
      <c r="FX180" s="362">
        <v>480243.91</v>
      </c>
      <c r="FY180" s="362">
        <v>99516.4</v>
      </c>
      <c r="FZ180" s="362">
        <v>579760.31000000006</v>
      </c>
      <c r="GA180" s="362">
        <v>195041.04</v>
      </c>
      <c r="GB180" s="362">
        <v>40202.449999999997</v>
      </c>
      <c r="GC180" s="362">
        <v>235243.49</v>
      </c>
      <c r="GD180" s="362">
        <v>40649.81</v>
      </c>
      <c r="GE180" s="362">
        <v>-16104.83</v>
      </c>
      <c r="GF180" s="362">
        <v>24544.98</v>
      </c>
      <c r="GG180" s="202">
        <v>102796.3</v>
      </c>
      <c r="GH180" s="416">
        <v>82</v>
      </c>
      <c r="GI180" s="414">
        <v>1947</v>
      </c>
      <c r="GJ180" s="419">
        <v>140945.43</v>
      </c>
      <c r="GK180" s="396">
        <v>102796.3</v>
      </c>
      <c r="GL180" s="202">
        <v>84292.966</v>
      </c>
      <c r="GM180" s="202">
        <v>18503.333999999999</v>
      </c>
      <c r="GN180" s="323">
        <v>50753.29</v>
      </c>
      <c r="GO180" s="323">
        <v>24893.98</v>
      </c>
      <c r="GP180" s="323">
        <v>75647.27</v>
      </c>
      <c r="GQ180" s="323">
        <v>91403.1</v>
      </c>
      <c r="GR180" s="323">
        <v>8789.15</v>
      </c>
      <c r="GS180" s="323">
        <v>100192.25</v>
      </c>
    </row>
    <row r="181" spans="1:201" ht="12.75" customHeight="1" x14ac:dyDescent="0.2">
      <c r="A181" s="45" t="s">
        <v>263</v>
      </c>
      <c r="B181" s="66" t="s">
        <v>221</v>
      </c>
      <c r="C181" s="67" t="s">
        <v>64</v>
      </c>
      <c r="D181" s="388" t="s">
        <v>477</v>
      </c>
      <c r="E181" s="67" t="s">
        <v>12</v>
      </c>
      <c r="F181" s="11">
        <v>5</v>
      </c>
      <c r="G181" s="11">
        <v>3</v>
      </c>
      <c r="H181" s="11">
        <v>56</v>
      </c>
      <c r="I181" s="11">
        <v>0</v>
      </c>
      <c r="J181" s="11">
        <v>100</v>
      </c>
      <c r="K181" s="11">
        <v>122</v>
      </c>
      <c r="L181" s="11" t="s">
        <v>746</v>
      </c>
      <c r="M181" s="84">
        <v>183</v>
      </c>
      <c r="N181" s="84">
        <v>542.9</v>
      </c>
      <c r="O181" s="84">
        <v>542.9</v>
      </c>
      <c r="P181" s="135">
        <v>183</v>
      </c>
      <c r="Q181" s="135">
        <v>588.5</v>
      </c>
      <c r="R181" s="133">
        <v>0</v>
      </c>
      <c r="S181" s="133">
        <f t="shared" si="79"/>
        <v>771.5</v>
      </c>
      <c r="T181" s="134">
        <v>183</v>
      </c>
      <c r="U181" s="130">
        <v>1.53</v>
      </c>
      <c r="V181" s="131">
        <v>1.1299999999999999E-2</v>
      </c>
      <c r="W181" s="131" t="s">
        <v>823</v>
      </c>
      <c r="X181" s="132" t="s">
        <v>823</v>
      </c>
      <c r="Y181" s="131">
        <v>1.1299999999999999E-2</v>
      </c>
      <c r="Z181" s="29">
        <v>2120.38</v>
      </c>
      <c r="AA181" s="29">
        <v>446.6</v>
      </c>
      <c r="AB181" s="9">
        <f t="shared" si="57"/>
        <v>2566.98</v>
      </c>
      <c r="AC181" s="9">
        <f t="shared" si="82"/>
        <v>16248.98</v>
      </c>
      <c r="AD181" s="9">
        <v>0.37</v>
      </c>
      <c r="AE181" s="9">
        <v>3.61</v>
      </c>
      <c r="AF181" s="21">
        <f>2.43-AJ181</f>
        <v>2.19</v>
      </c>
      <c r="AG181" s="18">
        <f>0.54-AQ181</f>
        <v>0.39</v>
      </c>
      <c r="AH181" s="9">
        <v>2.16</v>
      </c>
      <c r="AI181" s="43">
        <v>626</v>
      </c>
      <c r="AJ181" s="21">
        <f t="shared" si="58"/>
        <v>0.24</v>
      </c>
      <c r="AK181" s="9">
        <v>0</v>
      </c>
      <c r="AL181" s="9">
        <v>0</v>
      </c>
      <c r="AM181" s="9">
        <v>0.23</v>
      </c>
      <c r="AN181" s="13">
        <v>280</v>
      </c>
      <c r="AO181" s="13">
        <v>560</v>
      </c>
      <c r="AP181" s="13">
        <f t="shared" si="80"/>
        <v>5.58</v>
      </c>
      <c r="AQ181" s="18">
        <f t="shared" si="56"/>
        <v>0.15</v>
      </c>
      <c r="AR181" s="9">
        <v>0.75</v>
      </c>
      <c r="AS181" s="9">
        <v>0.53</v>
      </c>
      <c r="AT181" s="9">
        <v>7.0000000000000007E-2</v>
      </c>
      <c r="AU181" s="9">
        <v>4.3499999999999996</v>
      </c>
      <c r="AV181" s="9">
        <v>0.11</v>
      </c>
      <c r="AW181" s="9">
        <f>0.96+0.33+0.38</f>
        <v>1.67</v>
      </c>
      <c r="AX181" s="9">
        <f>1.32+0.52</f>
        <v>1.84</v>
      </c>
      <c r="AY181" s="69">
        <f t="shared" si="81"/>
        <v>18.66</v>
      </c>
      <c r="AZ181" s="13">
        <v>18.66</v>
      </c>
      <c r="BA181" s="13">
        <f t="shared" si="59"/>
        <v>0</v>
      </c>
      <c r="BB181" s="9">
        <f t="shared" si="60"/>
        <v>47899.85</v>
      </c>
      <c r="BC181" s="9">
        <v>18.66</v>
      </c>
      <c r="BD181" s="10">
        <v>44409</v>
      </c>
      <c r="BE181" s="9">
        <f t="shared" si="61"/>
        <v>949.78</v>
      </c>
      <c r="BF181" s="9">
        <f t="shared" si="62"/>
        <v>9266.7999999999993</v>
      </c>
      <c r="BG181" s="9">
        <f t="shared" si="63"/>
        <v>5621.69</v>
      </c>
      <c r="BH181" s="9">
        <f t="shared" si="64"/>
        <v>1001.12</v>
      </c>
      <c r="BI181" s="9">
        <f t="shared" si="65"/>
        <v>5544.68</v>
      </c>
      <c r="BJ181" s="9">
        <f t="shared" si="66"/>
        <v>616.08000000000004</v>
      </c>
      <c r="BK181" s="9">
        <f t="shared" si="67"/>
        <v>0</v>
      </c>
      <c r="BL181" s="9">
        <f t="shared" si="68"/>
        <v>0</v>
      </c>
      <c r="BM181" s="9">
        <f t="shared" si="69"/>
        <v>590.41</v>
      </c>
      <c r="BN181" s="9">
        <f t="shared" si="70"/>
        <v>385.05</v>
      </c>
      <c r="BO181" s="9">
        <f t="shared" si="71"/>
        <v>1925.24</v>
      </c>
      <c r="BP181" s="9">
        <f t="shared" si="72"/>
        <v>1360.5</v>
      </c>
      <c r="BQ181" s="9">
        <f t="shared" si="73"/>
        <v>179.69</v>
      </c>
      <c r="BR181" s="9">
        <f t="shared" si="74"/>
        <v>11166.36</v>
      </c>
      <c r="BS181" s="9">
        <f t="shared" si="75"/>
        <v>282.37</v>
      </c>
      <c r="BT181" s="9">
        <f t="shared" si="76"/>
        <v>4286.8599999999997</v>
      </c>
      <c r="BU181" s="9">
        <f t="shared" si="77"/>
        <v>4723.24</v>
      </c>
      <c r="BV181" s="17">
        <f t="shared" si="78"/>
        <v>47899.87</v>
      </c>
      <c r="BW181" s="17">
        <v>1.74</v>
      </c>
      <c r="BX181" s="17">
        <v>0.02</v>
      </c>
      <c r="BY181" s="173">
        <v>0</v>
      </c>
      <c r="BZ181" s="17">
        <v>0.01</v>
      </c>
      <c r="CA181" s="29">
        <v>6.33</v>
      </c>
      <c r="CB181" s="325"/>
      <c r="CC181" s="13">
        <v>100002.6</v>
      </c>
      <c r="CD181" s="13">
        <v>2295.4699999999998</v>
      </c>
      <c r="CE181" s="13">
        <v>192.05</v>
      </c>
      <c r="CF181" s="13">
        <v>3572.85</v>
      </c>
      <c r="CG181" s="13">
        <v>2023.13</v>
      </c>
      <c r="CH181" s="13">
        <v>0</v>
      </c>
      <c r="CI181" s="13">
        <v>1537.6</v>
      </c>
      <c r="CJ181" s="13">
        <v>15492</v>
      </c>
      <c r="CK181" s="13">
        <v>986.99</v>
      </c>
      <c r="CL181" s="13">
        <v>474695.76</v>
      </c>
      <c r="CM181" s="13">
        <v>10897.34</v>
      </c>
      <c r="CN181" s="13">
        <v>0</v>
      </c>
      <c r="CO181" s="13">
        <v>17869.95</v>
      </c>
      <c r="CP181" s="13">
        <v>9602.6</v>
      </c>
      <c r="CQ181" s="13">
        <v>0</v>
      </c>
      <c r="CR181" s="13">
        <v>428814.11</v>
      </c>
      <c r="CS181" s="13">
        <v>10302.69</v>
      </c>
      <c r="CT181" s="13">
        <v>0</v>
      </c>
      <c r="CU181" s="13">
        <v>19836.46</v>
      </c>
      <c r="CV181" s="13">
        <v>10474.41</v>
      </c>
      <c r="CW181" s="13">
        <v>0</v>
      </c>
      <c r="CX181" s="13">
        <v>89232.82</v>
      </c>
      <c r="CY181" s="13">
        <v>-113.24</v>
      </c>
      <c r="CZ181" s="13">
        <v>0</v>
      </c>
      <c r="DA181" s="13">
        <v>4065.58</v>
      </c>
      <c r="DB181" s="13">
        <v>2170.5500000000002</v>
      </c>
      <c r="DC181" s="13"/>
      <c r="DD181" s="315">
        <v>513065.65</v>
      </c>
      <c r="DE181" s="317">
        <v>469427.67</v>
      </c>
      <c r="DF181" s="317">
        <v>91.49</v>
      </c>
      <c r="DG181" s="318">
        <v>95355.71</v>
      </c>
      <c r="DH181" s="310">
        <v>22272.720000000001</v>
      </c>
      <c r="DI181" s="310">
        <v>12738</v>
      </c>
      <c r="DJ181" s="312">
        <v>0</v>
      </c>
      <c r="DK181" s="362">
        <v>0</v>
      </c>
      <c r="DL181" s="362"/>
      <c r="DM181" s="362">
        <v>0</v>
      </c>
      <c r="DN181" s="362">
        <v>0</v>
      </c>
      <c r="DO181" s="362">
        <v>0</v>
      </c>
      <c r="DP181" s="362">
        <v>0</v>
      </c>
      <c r="DQ181" s="362">
        <v>0</v>
      </c>
      <c r="DR181" s="362"/>
      <c r="DS181" s="362">
        <v>0</v>
      </c>
      <c r="DT181" s="362"/>
      <c r="DU181" s="362">
        <v>0</v>
      </c>
      <c r="DV181" s="362">
        <v>0</v>
      </c>
      <c r="DW181" s="362">
        <v>0</v>
      </c>
      <c r="DX181" s="362">
        <v>0</v>
      </c>
      <c r="DY181" s="362">
        <v>0</v>
      </c>
      <c r="DZ181" s="375">
        <v>0</v>
      </c>
      <c r="EA181" s="362">
        <v>0</v>
      </c>
      <c r="EB181" s="362">
        <v>0</v>
      </c>
      <c r="EC181" s="362"/>
      <c r="ED181" s="362">
        <v>136554.12</v>
      </c>
      <c r="EE181" s="362">
        <v>10761</v>
      </c>
      <c r="EF181" s="362"/>
      <c r="EG181" s="362">
        <v>9960</v>
      </c>
      <c r="EH181" s="362">
        <v>79800</v>
      </c>
      <c r="EI181" s="362"/>
      <c r="EJ181" s="362">
        <v>35340</v>
      </c>
      <c r="EK181" s="362"/>
      <c r="EL181" s="362">
        <v>0</v>
      </c>
      <c r="EM181" s="362">
        <v>4687.2</v>
      </c>
      <c r="EN181" s="362">
        <v>0</v>
      </c>
      <c r="EO181" s="362">
        <v>0</v>
      </c>
      <c r="EP181" s="362">
        <v>136974</v>
      </c>
      <c r="EQ181" s="362">
        <v>0</v>
      </c>
      <c r="ER181" s="362">
        <v>16380</v>
      </c>
      <c r="ES181" s="362">
        <v>6924</v>
      </c>
      <c r="ET181" s="362">
        <v>10249</v>
      </c>
      <c r="EU181" s="362">
        <v>0</v>
      </c>
      <c r="EV181" s="362">
        <v>20437</v>
      </c>
      <c r="EW181" s="362"/>
      <c r="EX181" s="202"/>
      <c r="EY181" s="202"/>
      <c r="EZ181" s="229"/>
      <c r="FA181" s="368">
        <v>13288.32</v>
      </c>
      <c r="FB181" s="368">
        <v>0</v>
      </c>
      <c r="FC181" s="368">
        <v>0</v>
      </c>
      <c r="FD181" s="368">
        <v>0</v>
      </c>
      <c r="FE181" s="368">
        <v>28036.32</v>
      </c>
      <c r="FF181" s="368">
        <v>15030.23</v>
      </c>
      <c r="FG181" s="368">
        <v>-5377.78</v>
      </c>
      <c r="FH181" s="368">
        <v>-3472.04</v>
      </c>
      <c r="FI181" s="368">
        <v>0</v>
      </c>
      <c r="FJ181" s="368">
        <v>0</v>
      </c>
      <c r="FK181" s="368">
        <v>0</v>
      </c>
      <c r="FL181" s="368">
        <v>0</v>
      </c>
      <c r="FM181" s="368">
        <v>68616.399999999994</v>
      </c>
      <c r="FN181" s="368">
        <v>43630.07</v>
      </c>
      <c r="FO181" s="323">
        <v>615323.51</v>
      </c>
      <c r="FP181" s="323">
        <v>47505.05</v>
      </c>
      <c r="FQ181" s="323">
        <v>662828.56000000006</v>
      </c>
      <c r="FR181" s="362">
        <v>79974.84</v>
      </c>
      <c r="FS181" s="362">
        <v>10688.34</v>
      </c>
      <c r="FT181" s="377">
        <v>90663.18</v>
      </c>
      <c r="FU181" s="377">
        <v>591727.96</v>
      </c>
      <c r="FV181" s="377">
        <v>47440.38</v>
      </c>
      <c r="FW181" s="362">
        <v>639168.34</v>
      </c>
      <c r="FX181" s="362">
        <v>566019.78</v>
      </c>
      <c r="FY181" s="362">
        <v>50767.64</v>
      </c>
      <c r="FZ181" s="362">
        <v>616787.42000000004</v>
      </c>
      <c r="GA181" s="362">
        <v>105683.02</v>
      </c>
      <c r="GB181" s="362">
        <v>7361.08</v>
      </c>
      <c r="GC181" s="362">
        <v>113044.1</v>
      </c>
      <c r="GD181" s="362">
        <v>43775.14</v>
      </c>
      <c r="GE181" s="362">
        <v>2546.3200000000002</v>
      </c>
      <c r="GF181" s="362">
        <v>46321.46</v>
      </c>
      <c r="GG181" s="202">
        <v>17688.39</v>
      </c>
      <c r="GH181" s="416">
        <v>93</v>
      </c>
      <c r="GI181" s="414">
        <v>931</v>
      </c>
      <c r="GJ181" s="419">
        <v>108086.1</v>
      </c>
      <c r="GK181" s="396">
        <v>17688.39</v>
      </c>
      <c r="GL181" s="202">
        <v>16450.202700000002</v>
      </c>
      <c r="GM181" s="202">
        <v>1238.1873000000001</v>
      </c>
      <c r="GN181" s="323">
        <v>-23595.55</v>
      </c>
      <c r="GO181" s="323">
        <v>-64.67</v>
      </c>
      <c r="GP181" s="323">
        <v>-23660.22</v>
      </c>
      <c r="GQ181" s="323">
        <v>20179.59</v>
      </c>
      <c r="GR181" s="323">
        <v>2481.65</v>
      </c>
      <c r="GS181" s="323">
        <v>22661.24</v>
      </c>
    </row>
    <row r="182" spans="1:201" ht="12.75" customHeight="1" x14ac:dyDescent="0.2">
      <c r="A182" s="45" t="s">
        <v>264</v>
      </c>
      <c r="B182" s="51" t="s">
        <v>221</v>
      </c>
      <c r="C182" s="52" t="s">
        <v>27</v>
      </c>
      <c r="D182" s="388" t="s">
        <v>478</v>
      </c>
      <c r="E182" s="52" t="s">
        <v>12</v>
      </c>
      <c r="F182" s="11">
        <v>5</v>
      </c>
      <c r="G182" s="11">
        <v>3</v>
      </c>
      <c r="H182" s="11">
        <v>45</v>
      </c>
      <c r="I182" s="11">
        <v>54</v>
      </c>
      <c r="J182" s="11">
        <v>75</v>
      </c>
      <c r="K182" s="11">
        <v>128</v>
      </c>
      <c r="L182" s="11" t="s">
        <v>746</v>
      </c>
      <c r="M182" s="84">
        <v>583</v>
      </c>
      <c r="N182" s="84">
        <v>626</v>
      </c>
      <c r="O182" s="84">
        <v>626</v>
      </c>
      <c r="P182" s="135">
        <f>179.5+7.3</f>
        <v>186.8</v>
      </c>
      <c r="Q182" s="135">
        <v>395.7</v>
      </c>
      <c r="R182" s="133">
        <v>460.1</v>
      </c>
      <c r="S182" s="133">
        <f t="shared" si="79"/>
        <v>1042.5999999999999</v>
      </c>
      <c r="T182" s="134">
        <v>216</v>
      </c>
      <c r="U182" s="130">
        <v>1.53</v>
      </c>
      <c r="V182" s="91">
        <v>1.1299999999999999E-2</v>
      </c>
      <c r="W182" s="91" t="s">
        <v>823</v>
      </c>
      <c r="X182" s="132" t="s">
        <v>823</v>
      </c>
      <c r="Y182" s="91">
        <v>1.1299999999999999E-2</v>
      </c>
      <c r="Z182" s="29">
        <v>1819.6</v>
      </c>
      <c r="AA182" s="29">
        <v>463.4</v>
      </c>
      <c r="AB182" s="9">
        <f t="shared" si="57"/>
        <v>2283</v>
      </c>
      <c r="AC182" s="9">
        <f t="shared" si="82"/>
        <v>14451.39</v>
      </c>
      <c r="AD182" s="9">
        <v>0.41</v>
      </c>
      <c r="AE182" s="9">
        <v>3.54</v>
      </c>
      <c r="AF182" s="21">
        <f>2.42-AJ182</f>
        <v>2.06</v>
      </c>
      <c r="AG182" s="18">
        <f>0.54-AQ182</f>
        <v>0.39</v>
      </c>
      <c r="AH182" s="9">
        <v>2.16</v>
      </c>
      <c r="AI182" s="13">
        <v>811</v>
      </c>
      <c r="AJ182" s="21">
        <f t="shared" si="58"/>
        <v>0.36</v>
      </c>
      <c r="AK182" s="9">
        <v>0</v>
      </c>
      <c r="AL182" s="9">
        <v>0</v>
      </c>
      <c r="AM182" s="9">
        <v>0.25</v>
      </c>
      <c r="AN182" s="13">
        <v>246</v>
      </c>
      <c r="AO182" s="13">
        <v>492</v>
      </c>
      <c r="AP182" s="13">
        <f t="shared" si="80"/>
        <v>5.58</v>
      </c>
      <c r="AQ182" s="18">
        <f t="shared" si="56"/>
        <v>0.15</v>
      </c>
      <c r="AR182" s="9">
        <v>0.64</v>
      </c>
      <c r="AS182" s="9">
        <v>0.6</v>
      </c>
      <c r="AT182" s="9">
        <v>7.0000000000000007E-2</v>
      </c>
      <c r="AU182" s="9">
        <v>4.58</v>
      </c>
      <c r="AV182" s="9">
        <v>0.11</v>
      </c>
      <c r="AW182" s="9">
        <f>0.34+0.95+0.4</f>
        <v>1.69</v>
      </c>
      <c r="AX182" s="9">
        <f>1.32+0.54</f>
        <v>1.86</v>
      </c>
      <c r="AY182" s="54">
        <f t="shared" si="81"/>
        <v>18.87</v>
      </c>
      <c r="AZ182" s="13">
        <v>18.87</v>
      </c>
      <c r="BA182" s="13">
        <f t="shared" si="59"/>
        <v>0</v>
      </c>
      <c r="BB182" s="9">
        <f t="shared" si="60"/>
        <v>43080.21</v>
      </c>
      <c r="BC182" s="9">
        <v>18.87</v>
      </c>
      <c r="BD182" s="10">
        <v>44409</v>
      </c>
      <c r="BE182" s="9">
        <f t="shared" si="61"/>
        <v>936.03</v>
      </c>
      <c r="BF182" s="9">
        <f t="shared" si="62"/>
        <v>8081.82</v>
      </c>
      <c r="BG182" s="9">
        <f t="shared" si="63"/>
        <v>4702.9799999999996</v>
      </c>
      <c r="BH182" s="9">
        <f t="shared" si="64"/>
        <v>890.37</v>
      </c>
      <c r="BI182" s="9">
        <f t="shared" si="65"/>
        <v>4931.28</v>
      </c>
      <c r="BJ182" s="9">
        <f t="shared" si="66"/>
        <v>821.88</v>
      </c>
      <c r="BK182" s="9">
        <f t="shared" si="67"/>
        <v>0</v>
      </c>
      <c r="BL182" s="9">
        <f t="shared" si="68"/>
        <v>0</v>
      </c>
      <c r="BM182" s="9">
        <f t="shared" si="69"/>
        <v>570.75</v>
      </c>
      <c r="BN182" s="9">
        <f t="shared" si="70"/>
        <v>342.45</v>
      </c>
      <c r="BO182" s="9">
        <f t="shared" si="71"/>
        <v>1461.12</v>
      </c>
      <c r="BP182" s="9">
        <f t="shared" si="72"/>
        <v>1369.8</v>
      </c>
      <c r="BQ182" s="9">
        <f t="shared" si="73"/>
        <v>159.81</v>
      </c>
      <c r="BR182" s="9">
        <f t="shared" si="74"/>
        <v>10456.14</v>
      </c>
      <c r="BS182" s="9">
        <f t="shared" si="75"/>
        <v>251.13</v>
      </c>
      <c r="BT182" s="9">
        <f t="shared" si="76"/>
        <v>3858.27</v>
      </c>
      <c r="BU182" s="9">
        <f t="shared" si="77"/>
        <v>4246.38</v>
      </c>
      <c r="BV182" s="17">
        <f t="shared" si="78"/>
        <v>43080.21</v>
      </c>
      <c r="BW182" s="17">
        <v>3.26</v>
      </c>
      <c r="BX182" s="17">
        <v>0.03</v>
      </c>
      <c r="BY182" s="173">
        <v>0</v>
      </c>
      <c r="BZ182" s="17">
        <v>0.01</v>
      </c>
      <c r="CA182" s="29">
        <v>6.33</v>
      </c>
      <c r="CB182" s="325"/>
      <c r="CC182" s="13">
        <v>104932.32</v>
      </c>
      <c r="CD182" s="13">
        <v>8503.52</v>
      </c>
      <c r="CE182" s="13">
        <v>0</v>
      </c>
      <c r="CF182" s="13">
        <v>0</v>
      </c>
      <c r="CG182" s="13">
        <v>0</v>
      </c>
      <c r="CH182" s="13">
        <v>744</v>
      </c>
      <c r="CI182" s="13">
        <v>1106.8800000000001</v>
      </c>
      <c r="CJ182" s="13">
        <v>22608</v>
      </c>
      <c r="CK182" s="13">
        <v>878.02</v>
      </c>
      <c r="CL182" s="13">
        <v>412030.56</v>
      </c>
      <c r="CM182" s="13">
        <v>33389.56</v>
      </c>
      <c r="CN182" s="13">
        <v>0</v>
      </c>
      <c r="CO182" s="13">
        <v>0</v>
      </c>
      <c r="CP182" s="13">
        <v>-163.75</v>
      </c>
      <c r="CQ182" s="13">
        <v>0</v>
      </c>
      <c r="CR182" s="13">
        <v>397950.82</v>
      </c>
      <c r="CS182" s="13">
        <v>32695.03</v>
      </c>
      <c r="CT182" s="13">
        <v>0</v>
      </c>
      <c r="CU182" s="13">
        <v>44.11</v>
      </c>
      <c r="CV182" s="13">
        <v>67.150000000000006</v>
      </c>
      <c r="CW182" s="13">
        <v>0</v>
      </c>
      <c r="CX182" s="13">
        <v>59669.86</v>
      </c>
      <c r="CY182" s="13">
        <v>2364.15</v>
      </c>
      <c r="CZ182" s="13">
        <v>0</v>
      </c>
      <c r="DA182" s="13">
        <v>-65.650000000000006</v>
      </c>
      <c r="DB182" s="13">
        <v>-246.62</v>
      </c>
      <c r="DC182" s="13"/>
      <c r="DD182" s="315">
        <v>445256.37</v>
      </c>
      <c r="DE182" s="317">
        <v>430757.11</v>
      </c>
      <c r="DF182" s="317">
        <v>96.74</v>
      </c>
      <c r="DG182" s="318">
        <v>61721.74</v>
      </c>
      <c r="DH182" s="310">
        <v>19119.36</v>
      </c>
      <c r="DI182" s="310">
        <v>10934.52</v>
      </c>
      <c r="DJ182" s="312">
        <v>0</v>
      </c>
      <c r="DK182" s="362">
        <v>0</v>
      </c>
      <c r="DL182" s="362"/>
      <c r="DM182" s="362">
        <v>0</v>
      </c>
      <c r="DN182" s="362">
        <v>0</v>
      </c>
      <c r="DO182" s="362">
        <v>0</v>
      </c>
      <c r="DP182" s="362">
        <v>12894.9</v>
      </c>
      <c r="DQ182" s="362">
        <v>32580</v>
      </c>
      <c r="DR182" s="362"/>
      <c r="DS182" s="362">
        <v>28350</v>
      </c>
      <c r="DT182" s="362"/>
      <c r="DU182" s="362">
        <v>0</v>
      </c>
      <c r="DV182" s="362">
        <v>0</v>
      </c>
      <c r="DW182" s="362">
        <v>0</v>
      </c>
      <c r="DX182" s="362">
        <v>0</v>
      </c>
      <c r="DY182" s="362">
        <v>0</v>
      </c>
      <c r="DZ182" s="375">
        <v>0</v>
      </c>
      <c r="EA182" s="362">
        <v>0</v>
      </c>
      <c r="EB182" s="362">
        <v>0</v>
      </c>
      <c r="EC182" s="362"/>
      <c r="ED182" s="362">
        <v>120250.98</v>
      </c>
      <c r="EE182" s="362">
        <v>8494.9</v>
      </c>
      <c r="EF182" s="362"/>
      <c r="EG182" s="362">
        <v>0</v>
      </c>
      <c r="EH182" s="362">
        <v>0</v>
      </c>
      <c r="EI182" s="362"/>
      <c r="EJ182" s="362">
        <v>0</v>
      </c>
      <c r="EK182" s="362"/>
      <c r="EL182" s="362">
        <v>0</v>
      </c>
      <c r="EM182" s="362">
        <v>4118.04</v>
      </c>
      <c r="EN182" s="362">
        <v>0</v>
      </c>
      <c r="EO182" s="362">
        <v>372</v>
      </c>
      <c r="EP182" s="362">
        <v>118470</v>
      </c>
      <c r="EQ182" s="362">
        <v>0</v>
      </c>
      <c r="ER182" s="362">
        <v>16380</v>
      </c>
      <c r="ES182" s="362">
        <v>6924</v>
      </c>
      <c r="ET182" s="362">
        <v>7700</v>
      </c>
      <c r="EU182" s="362">
        <v>0</v>
      </c>
      <c r="EV182" s="362">
        <v>44673.59</v>
      </c>
      <c r="EW182" s="362"/>
      <c r="EX182" s="202"/>
      <c r="EY182" s="202"/>
      <c r="EZ182" s="229"/>
      <c r="FA182" s="368">
        <v>42333.84</v>
      </c>
      <c r="FB182" s="368">
        <v>0</v>
      </c>
      <c r="FC182" s="368">
        <v>0</v>
      </c>
      <c r="FD182" s="368">
        <v>0</v>
      </c>
      <c r="FE182" s="368">
        <v>0</v>
      </c>
      <c r="FF182" s="368">
        <v>0</v>
      </c>
      <c r="FG182" s="368">
        <v>0</v>
      </c>
      <c r="FH182" s="368">
        <v>-584.11</v>
      </c>
      <c r="FI182" s="368">
        <v>0</v>
      </c>
      <c r="FJ182" s="368">
        <v>0</v>
      </c>
      <c r="FK182" s="368">
        <v>0</v>
      </c>
      <c r="FL182" s="368">
        <v>0</v>
      </c>
      <c r="FM182" s="368">
        <v>61036.14</v>
      </c>
      <c r="FN182" s="368">
        <v>38809.629999999997</v>
      </c>
      <c r="FO182" s="323">
        <v>531108.06000000006</v>
      </c>
      <c r="FP182" s="323">
        <v>41749.730000000003</v>
      </c>
      <c r="FQ182" s="323">
        <v>572857.79</v>
      </c>
      <c r="FR182" s="362">
        <v>73047.72</v>
      </c>
      <c r="FS182" s="362">
        <v>4584.17</v>
      </c>
      <c r="FT182" s="377">
        <v>77631.89</v>
      </c>
      <c r="FU182" s="377">
        <v>540677.76</v>
      </c>
      <c r="FV182" s="377">
        <v>43351.35</v>
      </c>
      <c r="FW182" s="362">
        <v>584029.11</v>
      </c>
      <c r="FX182" s="362">
        <v>516175.33</v>
      </c>
      <c r="FY182" s="362">
        <v>42589.7</v>
      </c>
      <c r="FZ182" s="362">
        <v>558765.03</v>
      </c>
      <c r="GA182" s="362">
        <v>97550.15</v>
      </c>
      <c r="GB182" s="362">
        <v>5345.82</v>
      </c>
      <c r="GC182" s="362">
        <v>102895.97</v>
      </c>
      <c r="GD182" s="362">
        <v>-8237.86</v>
      </c>
      <c r="GE182" s="362">
        <v>4322.7700000000004</v>
      </c>
      <c r="GF182" s="362">
        <v>-3915.09</v>
      </c>
      <c r="GG182" s="202">
        <v>41174.230000000003</v>
      </c>
      <c r="GH182" s="416">
        <v>92</v>
      </c>
      <c r="GI182" s="414">
        <v>2019.55</v>
      </c>
      <c r="GJ182" s="419">
        <v>114179.84</v>
      </c>
      <c r="GK182" s="396">
        <v>41174.230000000003</v>
      </c>
      <c r="GL182" s="202">
        <v>37880.291599999997</v>
      </c>
      <c r="GM182" s="202">
        <v>3293.93840000001</v>
      </c>
      <c r="GN182" s="323">
        <v>9569.7000000000007</v>
      </c>
      <c r="GO182" s="323">
        <v>1601.62</v>
      </c>
      <c r="GP182" s="323">
        <v>11171.32</v>
      </c>
      <c r="GQ182" s="323">
        <v>1331.84</v>
      </c>
      <c r="GR182" s="323">
        <v>5924.39</v>
      </c>
      <c r="GS182" s="323">
        <v>7256.23</v>
      </c>
    </row>
    <row r="183" spans="1:201" ht="12.75" customHeight="1" x14ac:dyDescent="0.2">
      <c r="A183" s="45" t="s">
        <v>265</v>
      </c>
      <c r="B183" s="60" t="s">
        <v>221</v>
      </c>
      <c r="C183" s="61" t="s">
        <v>79</v>
      </c>
      <c r="D183" s="388" t="s">
        <v>575</v>
      </c>
      <c r="E183" s="61" t="s">
        <v>9</v>
      </c>
      <c r="F183" s="11">
        <v>10</v>
      </c>
      <c r="G183" s="11">
        <v>4</v>
      </c>
      <c r="H183" s="11">
        <v>160</v>
      </c>
      <c r="I183" s="11">
        <v>160</v>
      </c>
      <c r="J183" s="11">
        <v>363</v>
      </c>
      <c r="K183" s="11">
        <v>418</v>
      </c>
      <c r="L183" s="11">
        <v>4</v>
      </c>
      <c r="M183" s="84">
        <v>937</v>
      </c>
      <c r="N183" s="84">
        <v>1164</v>
      </c>
      <c r="O183" s="84">
        <v>1164</v>
      </c>
      <c r="P183" s="139">
        <f>492+547.3</f>
        <v>1039.3</v>
      </c>
      <c r="Q183" s="135">
        <v>1164</v>
      </c>
      <c r="R183" s="133">
        <v>1187</v>
      </c>
      <c r="S183" s="133">
        <f t="shared" si="79"/>
        <v>3390.3</v>
      </c>
      <c r="T183" s="139">
        <v>937</v>
      </c>
      <c r="U183" s="130">
        <v>2.74</v>
      </c>
      <c r="V183" s="91">
        <v>1.1299999999999999E-2</v>
      </c>
      <c r="W183" s="91">
        <v>1.1299999999999999E-2</v>
      </c>
      <c r="X183" s="132">
        <v>7.5000000000000002E-4</v>
      </c>
      <c r="Y183" s="91">
        <v>2.2499999999999999E-2</v>
      </c>
      <c r="Z183" s="29">
        <v>8592.9699999999993</v>
      </c>
      <c r="AA183" s="29"/>
      <c r="AB183" s="9">
        <f t="shared" si="57"/>
        <v>8592.9699999999993</v>
      </c>
      <c r="AC183" s="9">
        <f t="shared" si="82"/>
        <v>54393.5</v>
      </c>
      <c r="AD183" s="9">
        <v>1.54</v>
      </c>
      <c r="AE183" s="9">
        <v>4.5599999999999996</v>
      </c>
      <c r="AF183" s="21">
        <f>2.49-AJ183</f>
        <v>2.36</v>
      </c>
      <c r="AG183" s="18">
        <f>0.62-AQ183</f>
        <v>0.56999999999999995</v>
      </c>
      <c r="AH183" s="9">
        <v>2.4700000000000002</v>
      </c>
      <c r="AI183" s="43">
        <v>1117</v>
      </c>
      <c r="AJ183" s="21">
        <f t="shared" si="58"/>
        <v>0.13</v>
      </c>
      <c r="AK183" s="9">
        <v>2</v>
      </c>
      <c r="AL183" s="9">
        <v>0.17</v>
      </c>
      <c r="AM183" s="9">
        <v>0.11</v>
      </c>
      <c r="AN183" s="13"/>
      <c r="AO183" s="13">
        <v>982.4</v>
      </c>
      <c r="AP183" s="13">
        <f t="shared" si="80"/>
        <v>5.58</v>
      </c>
      <c r="AQ183" s="18">
        <f t="shared" si="56"/>
        <v>0.05</v>
      </c>
      <c r="AR183" s="9">
        <v>0.56000000000000005</v>
      </c>
      <c r="AS183" s="9">
        <v>0.16</v>
      </c>
      <c r="AT183" s="9">
        <v>7.0000000000000007E-2</v>
      </c>
      <c r="AU183" s="9">
        <v>4.37</v>
      </c>
      <c r="AV183" s="9">
        <v>0.16</v>
      </c>
      <c r="AW183" s="9">
        <f>0.26+0.39+1.32</f>
        <v>1.97</v>
      </c>
      <c r="AX183" s="9">
        <f>1.86+0.51</f>
        <v>2.37</v>
      </c>
      <c r="AY183" s="63">
        <f t="shared" si="81"/>
        <v>23.62</v>
      </c>
      <c r="AZ183" s="13">
        <v>23.62</v>
      </c>
      <c r="BA183" s="13">
        <f t="shared" si="59"/>
        <v>0</v>
      </c>
      <c r="BB183" s="9">
        <f t="shared" si="60"/>
        <v>202965.95</v>
      </c>
      <c r="BC183" s="9">
        <v>23.62</v>
      </c>
      <c r="BD183" s="10">
        <v>44409</v>
      </c>
      <c r="BE183" s="9">
        <f t="shared" si="61"/>
        <v>13233.17</v>
      </c>
      <c r="BF183" s="9">
        <f t="shared" si="62"/>
        <v>39183.94</v>
      </c>
      <c r="BG183" s="9">
        <f t="shared" si="63"/>
        <v>20279.41</v>
      </c>
      <c r="BH183" s="9">
        <f t="shared" si="64"/>
        <v>4897.99</v>
      </c>
      <c r="BI183" s="9">
        <f t="shared" si="65"/>
        <v>21224.639999999999</v>
      </c>
      <c r="BJ183" s="9">
        <f t="shared" si="66"/>
        <v>1117.0899999999999</v>
      </c>
      <c r="BK183" s="9">
        <f t="shared" si="67"/>
        <v>17185.939999999999</v>
      </c>
      <c r="BL183" s="9">
        <f t="shared" si="68"/>
        <v>1460.8</v>
      </c>
      <c r="BM183" s="9">
        <f t="shared" si="69"/>
        <v>945.23</v>
      </c>
      <c r="BN183" s="9">
        <f t="shared" si="70"/>
        <v>429.65</v>
      </c>
      <c r="BO183" s="9">
        <f t="shared" si="71"/>
        <v>4812.0600000000004</v>
      </c>
      <c r="BP183" s="9">
        <f t="shared" si="72"/>
        <v>1374.88</v>
      </c>
      <c r="BQ183" s="9">
        <f t="shared" si="73"/>
        <v>601.51</v>
      </c>
      <c r="BR183" s="9">
        <f t="shared" si="74"/>
        <v>37551.279999999999</v>
      </c>
      <c r="BS183" s="9">
        <f t="shared" si="75"/>
        <v>1374.88</v>
      </c>
      <c r="BT183" s="9">
        <f t="shared" si="76"/>
        <v>16928.150000000001</v>
      </c>
      <c r="BU183" s="9">
        <f t="shared" si="77"/>
        <v>20365.34</v>
      </c>
      <c r="BV183" s="17">
        <f t="shared" si="78"/>
        <v>202965.96</v>
      </c>
      <c r="BW183" s="17">
        <v>3.85</v>
      </c>
      <c r="BX183" s="17">
        <v>0.04</v>
      </c>
      <c r="BY183" s="17">
        <v>0.23</v>
      </c>
      <c r="BZ183" s="17">
        <v>0.04</v>
      </c>
      <c r="CA183" s="29">
        <v>6.33</v>
      </c>
      <c r="CB183" s="325"/>
      <c r="CC183" s="13">
        <v>0</v>
      </c>
      <c r="CD183" s="13">
        <v>0</v>
      </c>
      <c r="CE183" s="13">
        <v>0</v>
      </c>
      <c r="CF183" s="13">
        <v>0</v>
      </c>
      <c r="CG183" s="13">
        <v>0</v>
      </c>
      <c r="CH183" s="13">
        <v>4464</v>
      </c>
      <c r="CI183" s="13">
        <v>8013.28</v>
      </c>
      <c r="CJ183" s="13">
        <v>51480</v>
      </c>
      <c r="CK183" s="13">
        <v>3304.34</v>
      </c>
      <c r="CL183" s="13">
        <v>2435480.64</v>
      </c>
      <c r="CM183" s="13">
        <v>365615.41</v>
      </c>
      <c r="CN183" s="13">
        <v>200714.26</v>
      </c>
      <c r="CO183" s="13">
        <v>2752.05</v>
      </c>
      <c r="CP183" s="13">
        <v>3265.2</v>
      </c>
      <c r="CQ183" s="13">
        <v>0</v>
      </c>
      <c r="CR183" s="13">
        <v>2375301.8199999998</v>
      </c>
      <c r="CS183" s="13">
        <v>338370.99</v>
      </c>
      <c r="CT183" s="13">
        <v>203611.51999999999</v>
      </c>
      <c r="CU183" s="13">
        <v>3104.54</v>
      </c>
      <c r="CV183" s="13">
        <v>3006.18</v>
      </c>
      <c r="CW183" s="13">
        <v>0</v>
      </c>
      <c r="CX183" s="13">
        <v>280234.87</v>
      </c>
      <c r="CY183" s="13">
        <v>45610.99</v>
      </c>
      <c r="CZ183" s="13">
        <v>19664.740000000002</v>
      </c>
      <c r="DA183" s="13">
        <v>535.45000000000005</v>
      </c>
      <c r="DB183" s="13">
        <v>401.25</v>
      </c>
      <c r="DC183" s="13"/>
      <c r="DD183" s="315">
        <v>3007827.56</v>
      </c>
      <c r="DE183" s="317">
        <v>2923395.05</v>
      </c>
      <c r="DF183" s="317">
        <v>97.19</v>
      </c>
      <c r="DG183" s="318">
        <v>346447.3</v>
      </c>
      <c r="DH183" s="310">
        <v>90265.8</v>
      </c>
      <c r="DI183" s="310">
        <v>51624</v>
      </c>
      <c r="DJ183" s="312">
        <v>0</v>
      </c>
      <c r="DK183" s="362">
        <v>0</v>
      </c>
      <c r="DL183" s="362"/>
      <c r="DM183" s="362">
        <v>0</v>
      </c>
      <c r="DN183" s="362">
        <v>0</v>
      </c>
      <c r="DO183" s="362">
        <v>0</v>
      </c>
      <c r="DP183" s="362">
        <v>0</v>
      </c>
      <c r="DQ183" s="362">
        <v>0</v>
      </c>
      <c r="DR183" s="362"/>
      <c r="DS183" s="362">
        <v>0</v>
      </c>
      <c r="DT183" s="362"/>
      <c r="DU183" s="362">
        <v>0</v>
      </c>
      <c r="DV183" s="362">
        <v>0</v>
      </c>
      <c r="DW183" s="362">
        <v>206400</v>
      </c>
      <c r="DX183" s="362">
        <v>0</v>
      </c>
      <c r="DY183" s="362">
        <v>56000</v>
      </c>
      <c r="DZ183" s="375">
        <v>0</v>
      </c>
      <c r="EA183" s="362">
        <v>0</v>
      </c>
      <c r="EB183" s="362">
        <v>0</v>
      </c>
      <c r="EC183" s="362"/>
      <c r="ED183" s="362">
        <v>700830.71999999997</v>
      </c>
      <c r="EE183" s="362">
        <v>10761</v>
      </c>
      <c r="EF183" s="362"/>
      <c r="EG183" s="362">
        <v>17778</v>
      </c>
      <c r="EH183" s="362">
        <v>0</v>
      </c>
      <c r="EI183" s="362"/>
      <c r="EJ183" s="362">
        <v>0</v>
      </c>
      <c r="EK183" s="362"/>
      <c r="EL183" s="362">
        <v>0</v>
      </c>
      <c r="EM183" s="362">
        <v>5481.78</v>
      </c>
      <c r="EN183" s="362">
        <v>0</v>
      </c>
      <c r="EO183" s="362">
        <v>2232</v>
      </c>
      <c r="EP183" s="362">
        <v>525582</v>
      </c>
      <c r="EQ183" s="362">
        <v>0</v>
      </c>
      <c r="ER183" s="362">
        <v>10920</v>
      </c>
      <c r="ES183" s="362">
        <v>0</v>
      </c>
      <c r="ET183" s="362">
        <v>18612</v>
      </c>
      <c r="EU183" s="362">
        <v>0</v>
      </c>
      <c r="EV183" s="362">
        <v>194937.4</v>
      </c>
      <c r="EW183" s="362"/>
      <c r="EX183" s="202"/>
      <c r="EY183" s="202"/>
      <c r="EZ183" s="229"/>
      <c r="FA183" s="368">
        <v>349150.49</v>
      </c>
      <c r="FB183" s="368">
        <v>175951.98</v>
      </c>
      <c r="FC183" s="368">
        <v>0</v>
      </c>
      <c r="FD183" s="368">
        <v>0</v>
      </c>
      <c r="FE183" s="368">
        <v>4146.76</v>
      </c>
      <c r="FF183" s="368">
        <v>3490.84</v>
      </c>
      <c r="FG183" s="368">
        <v>0</v>
      </c>
      <c r="FH183" s="368">
        <v>-2198.1999999999998</v>
      </c>
      <c r="FI183" s="368">
        <v>0</v>
      </c>
      <c r="FJ183" s="368">
        <v>0</v>
      </c>
      <c r="FK183" s="368">
        <v>99952.02</v>
      </c>
      <c r="FL183" s="368">
        <v>0</v>
      </c>
      <c r="FM183" s="368">
        <v>229720.09</v>
      </c>
      <c r="FN183" s="368">
        <v>146066.48000000001</v>
      </c>
      <c r="FO183" s="323">
        <v>2267211.27</v>
      </c>
      <c r="FP183" s="323">
        <v>630493.89</v>
      </c>
      <c r="FQ183" s="323">
        <v>2897705.16</v>
      </c>
      <c r="FR183" s="362">
        <v>206849.69</v>
      </c>
      <c r="FS183" s="362">
        <v>45482.13</v>
      </c>
      <c r="FT183" s="377">
        <v>252331.82</v>
      </c>
      <c r="FU183" s="377">
        <v>2494973.92</v>
      </c>
      <c r="FV183" s="377">
        <v>580115.26</v>
      </c>
      <c r="FW183" s="362">
        <v>3075089.18</v>
      </c>
      <c r="FX183" s="362">
        <v>2421588.7400000002</v>
      </c>
      <c r="FY183" s="362">
        <v>559384.96</v>
      </c>
      <c r="FZ183" s="362">
        <v>2980973.7</v>
      </c>
      <c r="GA183" s="362">
        <v>280234.87</v>
      </c>
      <c r="GB183" s="362">
        <v>66212.429999999993</v>
      </c>
      <c r="GC183" s="362">
        <v>346447.3</v>
      </c>
      <c r="GD183" s="362">
        <v>203250.16</v>
      </c>
      <c r="GE183" s="362">
        <v>10514.67</v>
      </c>
      <c r="GF183" s="362">
        <v>213764.83</v>
      </c>
      <c r="GG183" s="202"/>
      <c r="GH183" s="416">
        <v>0</v>
      </c>
      <c r="GI183" s="414">
        <v>2878</v>
      </c>
      <c r="GJ183" s="419">
        <v>4464</v>
      </c>
      <c r="GK183" s="396"/>
      <c r="GL183" s="202">
        <v>0</v>
      </c>
      <c r="GM183" s="202">
        <v>0</v>
      </c>
      <c r="GN183" s="323">
        <v>227762.65</v>
      </c>
      <c r="GO183" s="323">
        <v>-50378.63</v>
      </c>
      <c r="GP183" s="323">
        <v>177384.02</v>
      </c>
      <c r="GQ183" s="323">
        <v>431012.81</v>
      </c>
      <c r="GR183" s="323">
        <v>-39863.96</v>
      </c>
      <c r="GS183" s="323">
        <v>391148.85</v>
      </c>
    </row>
    <row r="184" spans="1:201" ht="12.75" customHeight="1" x14ac:dyDescent="0.2">
      <c r="A184" s="45" t="s">
        <v>266</v>
      </c>
      <c r="B184" s="51" t="s">
        <v>221</v>
      </c>
      <c r="C184" s="52" t="s">
        <v>32</v>
      </c>
      <c r="D184" s="388" t="s">
        <v>479</v>
      </c>
      <c r="E184" s="52" t="s">
        <v>12</v>
      </c>
      <c r="F184" s="11">
        <v>5</v>
      </c>
      <c r="G184" s="11">
        <v>4</v>
      </c>
      <c r="H184" s="11">
        <v>52</v>
      </c>
      <c r="I184" s="11">
        <v>73</v>
      </c>
      <c r="J184" s="11">
        <v>137</v>
      </c>
      <c r="K184" s="11">
        <v>162</v>
      </c>
      <c r="L184" s="11" t="s">
        <v>746</v>
      </c>
      <c r="M184" s="84">
        <v>315</v>
      </c>
      <c r="N184" s="84">
        <v>720</v>
      </c>
      <c r="O184" s="84">
        <v>720</v>
      </c>
      <c r="P184" s="139">
        <v>327</v>
      </c>
      <c r="Q184" s="135">
        <v>753.1</v>
      </c>
      <c r="R184" s="135">
        <v>753.1</v>
      </c>
      <c r="S184" s="133">
        <f t="shared" si="79"/>
        <v>1833.2</v>
      </c>
      <c r="T184" s="139">
        <v>315</v>
      </c>
      <c r="U184" s="130">
        <v>1.53</v>
      </c>
      <c r="V184" s="91">
        <v>1.1299999999999999E-2</v>
      </c>
      <c r="W184" s="91" t="s">
        <v>823</v>
      </c>
      <c r="X184" s="132" t="s">
        <v>823</v>
      </c>
      <c r="Y184" s="91">
        <v>1.1299999999999999E-2</v>
      </c>
      <c r="Z184" s="29">
        <v>3170.27</v>
      </c>
      <c r="AA184" s="29">
        <v>529.9</v>
      </c>
      <c r="AB184" s="9">
        <f t="shared" si="57"/>
        <v>3700.17</v>
      </c>
      <c r="AC184" s="9">
        <f t="shared" si="82"/>
        <v>23422.080000000002</v>
      </c>
      <c r="AD184" s="9">
        <v>0.38</v>
      </c>
      <c r="AE184" s="9">
        <v>4.43</v>
      </c>
      <c r="AF184" s="21">
        <f>2.42-AJ184</f>
        <v>2.08</v>
      </c>
      <c r="AG184" s="18">
        <f>0.52-AQ184</f>
        <v>0.4</v>
      </c>
      <c r="AH184" s="9">
        <v>2.16</v>
      </c>
      <c r="AI184" s="13">
        <v>1258</v>
      </c>
      <c r="AJ184" s="21">
        <f t="shared" si="58"/>
        <v>0.34</v>
      </c>
      <c r="AK184" s="9">
        <v>0</v>
      </c>
      <c r="AL184" s="9">
        <v>0</v>
      </c>
      <c r="AM184" s="9">
        <v>0.16</v>
      </c>
      <c r="AN184" s="13">
        <v>328</v>
      </c>
      <c r="AO184" s="13">
        <v>656</v>
      </c>
      <c r="AP184" s="13">
        <f t="shared" si="80"/>
        <v>5.58</v>
      </c>
      <c r="AQ184" s="18">
        <f t="shared" si="56"/>
        <v>0.12</v>
      </c>
      <c r="AR184" s="9">
        <v>0.56000000000000005</v>
      </c>
      <c r="AS184" s="9">
        <v>0.37</v>
      </c>
      <c r="AT184" s="9">
        <v>7.0000000000000007E-2</v>
      </c>
      <c r="AU184" s="9">
        <v>3.91</v>
      </c>
      <c r="AV184" s="9">
        <v>0.11</v>
      </c>
      <c r="AW184" s="9">
        <f>0.27+0.99+0.35</f>
        <v>1.61</v>
      </c>
      <c r="AX184" s="9">
        <f>1.35+0.46</f>
        <v>1.81</v>
      </c>
      <c r="AY184" s="54">
        <f t="shared" si="81"/>
        <v>18.510000000000002</v>
      </c>
      <c r="AZ184" s="13">
        <v>18.510000000000002</v>
      </c>
      <c r="BA184" s="13">
        <f t="shared" si="59"/>
        <v>0</v>
      </c>
      <c r="BB184" s="9">
        <f t="shared" si="60"/>
        <v>68490.149999999994</v>
      </c>
      <c r="BC184" s="9">
        <v>18.510000000000002</v>
      </c>
      <c r="BD184" s="10">
        <v>44378</v>
      </c>
      <c r="BE184" s="9">
        <f t="shared" si="61"/>
        <v>1406.06</v>
      </c>
      <c r="BF184" s="9">
        <f t="shared" si="62"/>
        <v>16391.75</v>
      </c>
      <c r="BG184" s="9">
        <f t="shared" si="63"/>
        <v>7696.35</v>
      </c>
      <c r="BH184" s="9">
        <f t="shared" si="64"/>
        <v>1480.07</v>
      </c>
      <c r="BI184" s="9">
        <f t="shared" si="65"/>
        <v>7992.37</v>
      </c>
      <c r="BJ184" s="9">
        <f t="shared" si="66"/>
        <v>1258.06</v>
      </c>
      <c r="BK184" s="9">
        <f t="shared" si="67"/>
        <v>0</v>
      </c>
      <c r="BL184" s="9">
        <f t="shared" si="68"/>
        <v>0</v>
      </c>
      <c r="BM184" s="9">
        <f t="shared" si="69"/>
        <v>592.03</v>
      </c>
      <c r="BN184" s="9">
        <f t="shared" si="70"/>
        <v>444.02</v>
      </c>
      <c r="BO184" s="9">
        <f t="shared" si="71"/>
        <v>2072.1</v>
      </c>
      <c r="BP184" s="9">
        <f t="shared" si="72"/>
        <v>1369.06</v>
      </c>
      <c r="BQ184" s="9">
        <f t="shared" si="73"/>
        <v>259.01</v>
      </c>
      <c r="BR184" s="9">
        <f t="shared" si="74"/>
        <v>14467.66</v>
      </c>
      <c r="BS184" s="9">
        <f t="shared" si="75"/>
        <v>407.02</v>
      </c>
      <c r="BT184" s="9">
        <f t="shared" si="76"/>
        <v>5957.27</v>
      </c>
      <c r="BU184" s="9">
        <f t="shared" si="77"/>
        <v>6697.31</v>
      </c>
      <c r="BV184" s="17">
        <f t="shared" si="78"/>
        <v>68490.14</v>
      </c>
      <c r="BW184" s="17">
        <v>3.47</v>
      </c>
      <c r="BX184" s="17">
        <v>0.03</v>
      </c>
      <c r="BY184" s="173">
        <v>0</v>
      </c>
      <c r="BZ184" s="17">
        <v>0.02</v>
      </c>
      <c r="CA184" s="29">
        <v>6.33</v>
      </c>
      <c r="CB184" s="325"/>
      <c r="CC184" s="13">
        <v>117701.52</v>
      </c>
      <c r="CD184" s="13">
        <v>3232.4</v>
      </c>
      <c r="CE184" s="13">
        <v>1685.08</v>
      </c>
      <c r="CF184" s="13">
        <v>5034.01</v>
      </c>
      <c r="CG184" s="13">
        <v>3555.64</v>
      </c>
      <c r="CH184" s="13">
        <v>744</v>
      </c>
      <c r="CI184" s="13">
        <v>11973.18</v>
      </c>
      <c r="CJ184" s="13">
        <v>18288</v>
      </c>
      <c r="CK184" s="13">
        <v>1423.05</v>
      </c>
      <c r="CL184" s="13">
        <v>704125.68</v>
      </c>
      <c r="CM184" s="13">
        <v>19412.8</v>
      </c>
      <c r="CN184" s="13">
        <v>0</v>
      </c>
      <c r="CO184" s="13">
        <v>39458.449999999997</v>
      </c>
      <c r="CP184" s="13">
        <v>21265.77</v>
      </c>
      <c r="CQ184" s="13">
        <v>0</v>
      </c>
      <c r="CR184" s="13">
        <v>690905.89</v>
      </c>
      <c r="CS184" s="13">
        <v>22051.59</v>
      </c>
      <c r="CT184" s="13">
        <v>0</v>
      </c>
      <c r="CU184" s="13">
        <v>38349.120000000003</v>
      </c>
      <c r="CV184" s="13">
        <v>20251.55</v>
      </c>
      <c r="CW184" s="13">
        <v>0</v>
      </c>
      <c r="CX184" s="13">
        <v>100626.05</v>
      </c>
      <c r="CY184" s="13">
        <v>-3813.52</v>
      </c>
      <c r="CZ184" s="13">
        <v>0</v>
      </c>
      <c r="DA184" s="13">
        <v>5890.03</v>
      </c>
      <c r="DB184" s="13">
        <v>3149.89</v>
      </c>
      <c r="DC184" s="13"/>
      <c r="DD184" s="315">
        <v>784262.7</v>
      </c>
      <c r="DE184" s="317">
        <v>771558.15</v>
      </c>
      <c r="DF184" s="317">
        <v>98.38</v>
      </c>
      <c r="DG184" s="318">
        <v>105852.45</v>
      </c>
      <c r="DH184" s="310">
        <v>33311.4</v>
      </c>
      <c r="DI184" s="310">
        <v>19051.080000000002</v>
      </c>
      <c r="DJ184" s="312">
        <v>0</v>
      </c>
      <c r="DK184" s="362">
        <v>0</v>
      </c>
      <c r="DL184" s="362"/>
      <c r="DM184" s="362">
        <v>0</v>
      </c>
      <c r="DN184" s="362">
        <v>0</v>
      </c>
      <c r="DO184" s="362">
        <v>0</v>
      </c>
      <c r="DP184" s="362">
        <v>20002.2</v>
      </c>
      <c r="DQ184" s="362">
        <v>48870</v>
      </c>
      <c r="DR184" s="362"/>
      <c r="DS184" s="362">
        <v>45250</v>
      </c>
      <c r="DT184" s="362"/>
      <c r="DU184" s="362">
        <v>0</v>
      </c>
      <c r="DV184" s="362">
        <v>0</v>
      </c>
      <c r="DW184" s="362">
        <v>0</v>
      </c>
      <c r="DX184" s="362">
        <v>0</v>
      </c>
      <c r="DY184" s="362">
        <v>0</v>
      </c>
      <c r="DZ184" s="375">
        <v>0</v>
      </c>
      <c r="EA184" s="362">
        <v>0</v>
      </c>
      <c r="EB184" s="362">
        <v>0</v>
      </c>
      <c r="EC184" s="362"/>
      <c r="ED184" s="362">
        <v>237505.56</v>
      </c>
      <c r="EE184" s="362">
        <v>8494.9</v>
      </c>
      <c r="EF184" s="362"/>
      <c r="EG184" s="362">
        <v>0</v>
      </c>
      <c r="EH184" s="362">
        <v>0</v>
      </c>
      <c r="EI184" s="362"/>
      <c r="EJ184" s="362">
        <v>0</v>
      </c>
      <c r="EK184" s="362"/>
      <c r="EL184" s="362">
        <v>0</v>
      </c>
      <c r="EM184" s="362">
        <v>5490.72</v>
      </c>
      <c r="EN184" s="362">
        <v>0</v>
      </c>
      <c r="EO184" s="362">
        <v>372</v>
      </c>
      <c r="EP184" s="362">
        <v>194004</v>
      </c>
      <c r="EQ184" s="362">
        <v>0</v>
      </c>
      <c r="ER184" s="362">
        <v>16380</v>
      </c>
      <c r="ES184" s="362">
        <v>6924</v>
      </c>
      <c r="ET184" s="362">
        <v>10567</v>
      </c>
      <c r="EU184" s="362">
        <v>0</v>
      </c>
      <c r="EV184" s="362">
        <v>175042.34</v>
      </c>
      <c r="EW184" s="362"/>
      <c r="EX184" s="202"/>
      <c r="EY184" s="202"/>
      <c r="EZ184" s="229"/>
      <c r="FA184" s="368">
        <v>22873.360000000001</v>
      </c>
      <c r="FB184" s="368">
        <v>0</v>
      </c>
      <c r="FC184" s="368">
        <v>0</v>
      </c>
      <c r="FD184" s="368">
        <v>0</v>
      </c>
      <c r="FE184" s="368">
        <v>76406.58</v>
      </c>
      <c r="FF184" s="368">
        <v>41015.089999999997</v>
      </c>
      <c r="FG184" s="368">
        <v>-18511.439999999999</v>
      </c>
      <c r="FH184" s="368">
        <v>-10638.07</v>
      </c>
      <c r="FI184" s="368">
        <v>0</v>
      </c>
      <c r="FJ184" s="368">
        <v>0</v>
      </c>
      <c r="FK184" s="368">
        <v>0</v>
      </c>
      <c r="FL184" s="368">
        <v>0</v>
      </c>
      <c r="FM184" s="368">
        <v>98924.27</v>
      </c>
      <c r="FN184" s="368">
        <v>62900.65</v>
      </c>
      <c r="FO184" s="323">
        <v>983090.12</v>
      </c>
      <c r="FP184" s="323">
        <v>111145.52</v>
      </c>
      <c r="FQ184" s="323">
        <v>1094235.6399999999</v>
      </c>
      <c r="FR184" s="362">
        <v>112895.26</v>
      </c>
      <c r="FS184" s="362">
        <v>-794.9</v>
      </c>
      <c r="FT184" s="377">
        <v>112100.36</v>
      </c>
      <c r="FU184" s="377">
        <v>852088.38</v>
      </c>
      <c r="FV184" s="377">
        <v>95811.199999999997</v>
      </c>
      <c r="FW184" s="362">
        <v>947899.58</v>
      </c>
      <c r="FX184" s="362">
        <v>837816.95</v>
      </c>
      <c r="FY184" s="362">
        <v>86509.6</v>
      </c>
      <c r="FZ184" s="362">
        <v>924326.55</v>
      </c>
      <c r="GA184" s="362">
        <v>127166.69</v>
      </c>
      <c r="GB184" s="362">
        <v>8506.7000000000007</v>
      </c>
      <c r="GC184" s="362">
        <v>135673.39000000001</v>
      </c>
      <c r="GD184" s="362">
        <v>13936.6</v>
      </c>
      <c r="GE184" s="362">
        <v>8202.64</v>
      </c>
      <c r="GF184" s="362">
        <v>22139.24</v>
      </c>
      <c r="GG184" s="202">
        <v>29820.94</v>
      </c>
      <c r="GH184" s="416">
        <v>89</v>
      </c>
      <c r="GI184" s="414">
        <v>2019.55</v>
      </c>
      <c r="GJ184" s="419">
        <v>131952.65</v>
      </c>
      <c r="GK184" s="396">
        <v>29820.94</v>
      </c>
      <c r="GL184" s="202">
        <v>26540.636600000002</v>
      </c>
      <c r="GM184" s="202">
        <v>3280.3033999999998</v>
      </c>
      <c r="GN184" s="323">
        <v>-131001.74</v>
      </c>
      <c r="GO184" s="323">
        <v>-15334.32</v>
      </c>
      <c r="GP184" s="323">
        <v>-146336.06</v>
      </c>
      <c r="GQ184" s="323">
        <v>-117065.14</v>
      </c>
      <c r="GR184" s="323">
        <v>-7131.68</v>
      </c>
      <c r="GS184" s="323">
        <v>-124196.82</v>
      </c>
    </row>
    <row r="185" spans="1:201" ht="12.75" customHeight="1" x14ac:dyDescent="0.2">
      <c r="A185" s="45" t="s">
        <v>268</v>
      </c>
      <c r="B185" s="51" t="s">
        <v>221</v>
      </c>
      <c r="C185" s="52" t="s">
        <v>34</v>
      </c>
      <c r="D185" s="388" t="s">
        <v>480</v>
      </c>
      <c r="E185" s="52" t="s">
        <v>12</v>
      </c>
      <c r="F185" s="11">
        <v>5</v>
      </c>
      <c r="G185" s="11">
        <v>3</v>
      </c>
      <c r="H185" s="11">
        <v>48</v>
      </c>
      <c r="I185" s="11">
        <v>49</v>
      </c>
      <c r="J185" s="11">
        <v>98</v>
      </c>
      <c r="K185" s="11">
        <v>112</v>
      </c>
      <c r="L185" s="11" t="s">
        <v>746</v>
      </c>
      <c r="M185" s="84">
        <v>315</v>
      </c>
      <c r="N185" s="84">
        <v>687.2</v>
      </c>
      <c r="O185" s="84">
        <v>687.2</v>
      </c>
      <c r="P185" s="135">
        <f>7.6+182.5</f>
        <v>190.1</v>
      </c>
      <c r="Q185" s="135">
        <v>0</v>
      </c>
      <c r="R185" s="133">
        <v>342.2</v>
      </c>
      <c r="S185" s="133">
        <f t="shared" si="79"/>
        <v>532.29999999999995</v>
      </c>
      <c r="T185" s="134">
        <v>315</v>
      </c>
      <c r="U185" s="130">
        <v>1.53</v>
      </c>
      <c r="V185" s="91">
        <v>1.1299999999999999E-2</v>
      </c>
      <c r="W185" s="91" t="s">
        <v>823</v>
      </c>
      <c r="X185" s="132" t="s">
        <v>823</v>
      </c>
      <c r="Y185" s="91">
        <v>1.1299999999999999E-2</v>
      </c>
      <c r="Z185" s="29">
        <v>1996.9</v>
      </c>
      <c r="AA185" s="29">
        <v>499.2</v>
      </c>
      <c r="AB185" s="9">
        <f t="shared" si="57"/>
        <v>2496.1</v>
      </c>
      <c r="AC185" s="9">
        <f t="shared" si="82"/>
        <v>15800.31</v>
      </c>
      <c r="AD185" s="9">
        <v>0.36</v>
      </c>
      <c r="AE185" s="9">
        <v>3.71</v>
      </c>
      <c r="AF185" s="21">
        <f>2.45-AJ185</f>
        <v>2.0099999999999998</v>
      </c>
      <c r="AG185" s="18">
        <f>0.53-AQ185</f>
        <v>0.39</v>
      </c>
      <c r="AH185" s="9">
        <v>2.16</v>
      </c>
      <c r="AI185" s="13">
        <v>1092</v>
      </c>
      <c r="AJ185" s="21">
        <f t="shared" si="58"/>
        <v>0.44</v>
      </c>
      <c r="AK185" s="9">
        <v>0</v>
      </c>
      <c r="AL185" s="9">
        <v>0</v>
      </c>
      <c r="AM185" s="9">
        <v>0.23</v>
      </c>
      <c r="AN185" s="13">
        <v>246</v>
      </c>
      <c r="AO185" s="13">
        <v>492</v>
      </c>
      <c r="AP185" s="13">
        <f t="shared" si="80"/>
        <v>5.58</v>
      </c>
      <c r="AQ185" s="18">
        <f t="shared" si="56"/>
        <v>0.14000000000000001</v>
      </c>
      <c r="AR185" s="9">
        <v>0.76</v>
      </c>
      <c r="AS185" s="9">
        <v>0.55000000000000004</v>
      </c>
      <c r="AT185" s="9">
        <v>7.0000000000000007E-2</v>
      </c>
      <c r="AU185" s="9">
        <v>4.4000000000000004</v>
      </c>
      <c r="AV185" s="9">
        <v>0.11</v>
      </c>
      <c r="AW185" s="9">
        <f>0.34+0.97+0.38</f>
        <v>1.69</v>
      </c>
      <c r="AX185" s="9">
        <f>1.34+0.52</f>
        <v>1.86</v>
      </c>
      <c r="AY185" s="54">
        <f t="shared" si="81"/>
        <v>18.88</v>
      </c>
      <c r="AZ185" s="13">
        <v>18.88</v>
      </c>
      <c r="BA185" s="13">
        <f t="shared" si="59"/>
        <v>0</v>
      </c>
      <c r="BB185" s="9">
        <f t="shared" si="60"/>
        <v>47126.37</v>
      </c>
      <c r="BC185" s="9">
        <v>18.88</v>
      </c>
      <c r="BD185" s="10">
        <v>44409</v>
      </c>
      <c r="BE185" s="9">
        <f t="shared" si="61"/>
        <v>898.6</v>
      </c>
      <c r="BF185" s="9">
        <f t="shared" si="62"/>
        <v>9260.5300000000007</v>
      </c>
      <c r="BG185" s="9">
        <f t="shared" si="63"/>
        <v>5017.16</v>
      </c>
      <c r="BH185" s="9">
        <f t="shared" si="64"/>
        <v>973.48</v>
      </c>
      <c r="BI185" s="9">
        <f t="shared" si="65"/>
        <v>5391.58</v>
      </c>
      <c r="BJ185" s="9">
        <f t="shared" si="66"/>
        <v>1098.28</v>
      </c>
      <c r="BK185" s="9">
        <f t="shared" si="67"/>
        <v>0</v>
      </c>
      <c r="BL185" s="9">
        <f t="shared" si="68"/>
        <v>0</v>
      </c>
      <c r="BM185" s="9">
        <f t="shared" si="69"/>
        <v>574.1</v>
      </c>
      <c r="BN185" s="9">
        <f t="shared" si="70"/>
        <v>349.45</v>
      </c>
      <c r="BO185" s="9">
        <f t="shared" si="71"/>
        <v>1897.04</v>
      </c>
      <c r="BP185" s="9">
        <f t="shared" si="72"/>
        <v>1372.86</v>
      </c>
      <c r="BQ185" s="9">
        <f t="shared" si="73"/>
        <v>174.73</v>
      </c>
      <c r="BR185" s="9">
        <f t="shared" si="74"/>
        <v>10982.84</v>
      </c>
      <c r="BS185" s="9">
        <f t="shared" si="75"/>
        <v>274.57</v>
      </c>
      <c r="BT185" s="9">
        <f t="shared" si="76"/>
        <v>4218.41</v>
      </c>
      <c r="BU185" s="9">
        <f t="shared" si="77"/>
        <v>4642.75</v>
      </c>
      <c r="BV185" s="17">
        <f t="shared" si="78"/>
        <v>47126.38</v>
      </c>
      <c r="BW185" s="17">
        <v>3.01</v>
      </c>
      <c r="BX185" s="17">
        <v>0.02</v>
      </c>
      <c r="BY185" s="173">
        <v>0</v>
      </c>
      <c r="BZ185" s="17">
        <v>0.01</v>
      </c>
      <c r="CA185" s="29">
        <v>6.33</v>
      </c>
      <c r="CB185" s="325"/>
      <c r="CC185" s="13">
        <v>113098.8</v>
      </c>
      <c r="CD185" s="13">
        <v>4363.03</v>
      </c>
      <c r="CE185" s="13">
        <v>0</v>
      </c>
      <c r="CF185" s="13">
        <v>0</v>
      </c>
      <c r="CG185" s="13">
        <v>0</v>
      </c>
      <c r="CH185" s="13">
        <v>0</v>
      </c>
      <c r="CI185" s="13">
        <v>2778.86</v>
      </c>
      <c r="CJ185" s="13">
        <v>30480</v>
      </c>
      <c r="CK185" s="13">
        <v>959.76</v>
      </c>
      <c r="CL185" s="13">
        <v>452384.25</v>
      </c>
      <c r="CM185" s="13">
        <v>9822.41</v>
      </c>
      <c r="CN185" s="13">
        <v>0</v>
      </c>
      <c r="CO185" s="13">
        <v>0</v>
      </c>
      <c r="CP185" s="13">
        <v>0</v>
      </c>
      <c r="CQ185" s="13">
        <v>0</v>
      </c>
      <c r="CR185" s="13">
        <v>432205.93</v>
      </c>
      <c r="CS185" s="13">
        <v>10347.85</v>
      </c>
      <c r="CT185" s="13">
        <v>0</v>
      </c>
      <c r="CU185" s="13">
        <v>39.22</v>
      </c>
      <c r="CV185" s="13">
        <v>31.11</v>
      </c>
      <c r="CW185" s="13">
        <v>0</v>
      </c>
      <c r="CX185" s="13">
        <v>99032.46</v>
      </c>
      <c r="CY185" s="13">
        <v>-2942.5</v>
      </c>
      <c r="CZ185" s="13">
        <v>0</v>
      </c>
      <c r="DA185" s="13">
        <v>-71.11</v>
      </c>
      <c r="DB185" s="13">
        <v>-47.06</v>
      </c>
      <c r="DC185" s="13"/>
      <c r="DD185" s="315">
        <v>462206.66</v>
      </c>
      <c r="DE185" s="317">
        <v>442624.11</v>
      </c>
      <c r="DF185" s="317">
        <v>95.76</v>
      </c>
      <c r="DG185" s="318">
        <v>95971.79</v>
      </c>
      <c r="DH185" s="310">
        <v>20976</v>
      </c>
      <c r="DI185" s="310">
        <v>11996.4</v>
      </c>
      <c r="DJ185" s="312">
        <v>0</v>
      </c>
      <c r="DK185" s="362">
        <v>0</v>
      </c>
      <c r="DL185" s="362"/>
      <c r="DM185" s="362">
        <v>0</v>
      </c>
      <c r="DN185" s="362">
        <v>0</v>
      </c>
      <c r="DO185" s="362">
        <v>0</v>
      </c>
      <c r="DP185" s="362">
        <v>17362.8</v>
      </c>
      <c r="DQ185" s="362">
        <v>111105</v>
      </c>
      <c r="DR185" s="362"/>
      <c r="DS185" s="362">
        <v>30600</v>
      </c>
      <c r="DT185" s="362"/>
      <c r="DU185" s="362">
        <v>0</v>
      </c>
      <c r="DV185" s="362">
        <v>0</v>
      </c>
      <c r="DW185" s="362">
        <v>0</v>
      </c>
      <c r="DX185" s="362">
        <v>0</v>
      </c>
      <c r="DY185" s="362">
        <v>0</v>
      </c>
      <c r="DZ185" s="375">
        <v>0</v>
      </c>
      <c r="EA185" s="362">
        <v>0</v>
      </c>
      <c r="EB185" s="362">
        <v>0</v>
      </c>
      <c r="EC185" s="362"/>
      <c r="ED185" s="362">
        <v>136295.34</v>
      </c>
      <c r="EE185" s="362">
        <v>8494.9</v>
      </c>
      <c r="EF185" s="362"/>
      <c r="EG185" s="362">
        <v>0</v>
      </c>
      <c r="EH185" s="362">
        <v>0</v>
      </c>
      <c r="EI185" s="362"/>
      <c r="EJ185" s="362">
        <v>0</v>
      </c>
      <c r="EK185" s="362"/>
      <c r="EL185" s="362">
        <v>0</v>
      </c>
      <c r="EM185" s="362">
        <v>4118.04</v>
      </c>
      <c r="EN185" s="362">
        <v>0</v>
      </c>
      <c r="EO185" s="362">
        <v>0</v>
      </c>
      <c r="EP185" s="362">
        <v>129078</v>
      </c>
      <c r="EQ185" s="362">
        <v>0</v>
      </c>
      <c r="ER185" s="362">
        <v>16380</v>
      </c>
      <c r="ES185" s="362">
        <v>6924</v>
      </c>
      <c r="ET185" s="362">
        <v>10196</v>
      </c>
      <c r="EU185" s="362">
        <v>0</v>
      </c>
      <c r="EV185" s="362">
        <v>32414.560000000001</v>
      </c>
      <c r="EW185" s="362"/>
      <c r="EX185" s="202"/>
      <c r="EY185" s="202"/>
      <c r="EZ185" s="229"/>
      <c r="FA185" s="368">
        <v>12262.81</v>
      </c>
      <c r="FB185" s="368">
        <v>0</v>
      </c>
      <c r="FC185" s="368">
        <v>0</v>
      </c>
      <c r="FD185" s="368">
        <v>0</v>
      </c>
      <c r="FE185" s="368">
        <v>0</v>
      </c>
      <c r="FF185" s="368">
        <v>0</v>
      </c>
      <c r="FG185" s="368">
        <v>0</v>
      </c>
      <c r="FH185" s="368">
        <v>-638.47</v>
      </c>
      <c r="FI185" s="368">
        <v>0</v>
      </c>
      <c r="FJ185" s="368">
        <v>0</v>
      </c>
      <c r="FK185" s="368">
        <v>0</v>
      </c>
      <c r="FL185" s="368">
        <v>0</v>
      </c>
      <c r="FM185" s="368">
        <v>66726.64</v>
      </c>
      <c r="FN185" s="368">
        <v>42427.76</v>
      </c>
      <c r="FO185" s="323">
        <v>645095.43999999994</v>
      </c>
      <c r="FP185" s="323">
        <v>11624.34</v>
      </c>
      <c r="FQ185" s="323">
        <v>656719.78</v>
      </c>
      <c r="FR185" s="362">
        <v>96540.29</v>
      </c>
      <c r="FS185" s="362">
        <v>-2059.7600000000002</v>
      </c>
      <c r="FT185" s="377">
        <v>94480.53</v>
      </c>
      <c r="FU185" s="377">
        <v>598741.91</v>
      </c>
      <c r="FV185" s="377">
        <v>15145.2</v>
      </c>
      <c r="FW185" s="362">
        <v>613887.11</v>
      </c>
      <c r="FX185" s="362">
        <v>579441.76</v>
      </c>
      <c r="FY185" s="362">
        <v>15445.78</v>
      </c>
      <c r="FZ185" s="362">
        <v>594887.54</v>
      </c>
      <c r="GA185" s="362">
        <v>115840.44</v>
      </c>
      <c r="GB185" s="362">
        <v>-2360.34</v>
      </c>
      <c r="GC185" s="362">
        <v>113480.1</v>
      </c>
      <c r="GD185" s="362">
        <v>9608.9599999999991</v>
      </c>
      <c r="GE185" s="362">
        <v>9682.49</v>
      </c>
      <c r="GF185" s="362">
        <v>19291.45</v>
      </c>
      <c r="GG185" s="202">
        <v>17508.310000000001</v>
      </c>
      <c r="GH185" s="416">
        <v>96</v>
      </c>
      <c r="GI185" s="414">
        <v>3531.1</v>
      </c>
      <c r="GJ185" s="419">
        <v>117461.83</v>
      </c>
      <c r="GK185" s="396">
        <v>17508.310000000001</v>
      </c>
      <c r="GL185" s="202">
        <v>16807.977599999998</v>
      </c>
      <c r="GM185" s="202">
        <v>700.33240000000296</v>
      </c>
      <c r="GN185" s="323">
        <v>-46353.53</v>
      </c>
      <c r="GO185" s="323">
        <v>3520.86</v>
      </c>
      <c r="GP185" s="323">
        <v>-42832.67</v>
      </c>
      <c r="GQ185" s="323">
        <v>-36744.57</v>
      </c>
      <c r="GR185" s="323">
        <v>13203.35</v>
      </c>
      <c r="GS185" s="323">
        <v>-23541.22</v>
      </c>
    </row>
    <row r="186" spans="1:201" ht="12.75" customHeight="1" x14ac:dyDescent="0.2">
      <c r="A186" s="45" t="s">
        <v>270</v>
      </c>
      <c r="B186" s="60" t="s">
        <v>221</v>
      </c>
      <c r="C186" s="61" t="s">
        <v>235</v>
      </c>
      <c r="D186" s="388" t="s">
        <v>481</v>
      </c>
      <c r="E186" s="61" t="s">
        <v>12</v>
      </c>
      <c r="F186" s="11">
        <v>9</v>
      </c>
      <c r="G186" s="11">
        <v>4</v>
      </c>
      <c r="H186" s="11">
        <v>143</v>
      </c>
      <c r="I186" s="11">
        <v>142</v>
      </c>
      <c r="J186" s="11">
        <v>354</v>
      </c>
      <c r="K186" s="11">
        <v>392</v>
      </c>
      <c r="L186" s="83">
        <v>4</v>
      </c>
      <c r="M186" s="84">
        <v>924.8</v>
      </c>
      <c r="N186" s="84">
        <v>910</v>
      </c>
      <c r="O186" s="84">
        <v>0</v>
      </c>
      <c r="P186" s="135">
        <f>682.9+500.3</f>
        <v>1183.2</v>
      </c>
      <c r="Q186" s="135">
        <v>910</v>
      </c>
      <c r="R186" s="133">
        <v>0</v>
      </c>
      <c r="S186" s="133">
        <f t="shared" si="79"/>
        <v>2093.1999999999998</v>
      </c>
      <c r="T186" s="134">
        <v>1186.2</v>
      </c>
      <c r="U186" s="130">
        <v>2.44</v>
      </c>
      <c r="V186" s="131">
        <v>1.9800000000000002E-2</v>
      </c>
      <c r="W186" s="131">
        <v>1.9800000000000002E-2</v>
      </c>
      <c r="X186" s="132">
        <v>1.32E-3</v>
      </c>
      <c r="Y186" s="131">
        <v>3.9699999999999999E-2</v>
      </c>
      <c r="Z186" s="29">
        <v>7467.1</v>
      </c>
      <c r="AA186" s="29">
        <v>331.3</v>
      </c>
      <c r="AB186" s="9">
        <f t="shared" si="57"/>
        <v>7798.4</v>
      </c>
      <c r="AC186" s="9">
        <f t="shared" si="82"/>
        <v>49363.87</v>
      </c>
      <c r="AD186" s="9">
        <v>2.11</v>
      </c>
      <c r="AE186" s="9">
        <v>3.73</v>
      </c>
      <c r="AF186" s="21">
        <f>2.47-AJ186</f>
        <v>2.33</v>
      </c>
      <c r="AG186" s="18">
        <f>0.64-AQ186</f>
        <v>0.59</v>
      </c>
      <c r="AH186" s="9">
        <v>2.78</v>
      </c>
      <c r="AI186" s="43">
        <v>1096</v>
      </c>
      <c r="AJ186" s="21">
        <f t="shared" si="58"/>
        <v>0.14000000000000001</v>
      </c>
      <c r="AK186" s="9">
        <v>2.23</v>
      </c>
      <c r="AL186" s="9">
        <v>0.19</v>
      </c>
      <c r="AM186" s="9">
        <v>0</v>
      </c>
      <c r="AN186" s="13"/>
      <c r="AO186" s="13">
        <v>844.8</v>
      </c>
      <c r="AP186" s="13">
        <f t="shared" si="80"/>
        <v>5.58</v>
      </c>
      <c r="AQ186" s="18">
        <f t="shared" si="56"/>
        <v>0.05</v>
      </c>
      <c r="AR186" s="9">
        <v>0.57999999999999996</v>
      </c>
      <c r="AS186" s="9">
        <v>0.18</v>
      </c>
      <c r="AT186" s="9">
        <v>7.0000000000000007E-2</v>
      </c>
      <c r="AU186" s="9">
        <v>4.9800000000000004</v>
      </c>
      <c r="AV186" s="9">
        <v>0.15</v>
      </c>
      <c r="AW186" s="9">
        <f>0.27+0.39+1.34</f>
        <v>2</v>
      </c>
      <c r="AX186" s="9">
        <f>1.89+0.51</f>
        <v>2.4</v>
      </c>
      <c r="AY186" s="63">
        <f t="shared" si="81"/>
        <v>24.51</v>
      </c>
      <c r="AZ186" s="13">
        <v>24.51</v>
      </c>
      <c r="BA186" s="13">
        <f t="shared" si="59"/>
        <v>0</v>
      </c>
      <c r="BB186" s="9">
        <f t="shared" si="60"/>
        <v>191138.78</v>
      </c>
      <c r="BC186" s="9">
        <v>24.51</v>
      </c>
      <c r="BD186" s="10">
        <v>44409</v>
      </c>
      <c r="BE186" s="9">
        <f t="shared" si="61"/>
        <v>16454.62</v>
      </c>
      <c r="BF186" s="9">
        <f t="shared" si="62"/>
        <v>29088.03</v>
      </c>
      <c r="BG186" s="9">
        <f t="shared" si="63"/>
        <v>18170.27</v>
      </c>
      <c r="BH186" s="9">
        <f t="shared" si="64"/>
        <v>4601.0600000000004</v>
      </c>
      <c r="BI186" s="9">
        <f t="shared" si="65"/>
        <v>21679.55</v>
      </c>
      <c r="BJ186" s="9">
        <f t="shared" si="66"/>
        <v>1091.78</v>
      </c>
      <c r="BK186" s="9">
        <f t="shared" si="67"/>
        <v>17390.43</v>
      </c>
      <c r="BL186" s="9">
        <f t="shared" si="68"/>
        <v>1481.7</v>
      </c>
      <c r="BM186" s="9">
        <f t="shared" si="69"/>
        <v>0</v>
      </c>
      <c r="BN186" s="9">
        <f t="shared" si="70"/>
        <v>389.92</v>
      </c>
      <c r="BO186" s="9">
        <f t="shared" si="71"/>
        <v>4523.07</v>
      </c>
      <c r="BP186" s="9">
        <f t="shared" si="72"/>
        <v>1403.71</v>
      </c>
      <c r="BQ186" s="9">
        <f t="shared" si="73"/>
        <v>545.89</v>
      </c>
      <c r="BR186" s="9">
        <f t="shared" si="74"/>
        <v>38836.03</v>
      </c>
      <c r="BS186" s="9">
        <f t="shared" si="75"/>
        <v>1169.76</v>
      </c>
      <c r="BT186" s="9">
        <f t="shared" si="76"/>
        <v>15596.8</v>
      </c>
      <c r="BU186" s="9">
        <f t="shared" si="77"/>
        <v>18716.16</v>
      </c>
      <c r="BV186" s="17">
        <f t="shared" si="78"/>
        <v>191138.78</v>
      </c>
      <c r="BW186" s="17">
        <v>2.78</v>
      </c>
      <c r="BX186" s="17">
        <v>0.09</v>
      </c>
      <c r="BY186" s="17">
        <v>0.56000000000000005</v>
      </c>
      <c r="BZ186" s="17">
        <v>0.1</v>
      </c>
      <c r="CA186" s="29">
        <v>6.33</v>
      </c>
      <c r="CB186" s="325"/>
      <c r="CC186" s="13">
        <v>97442.04</v>
      </c>
      <c r="CD186" s="13">
        <v>8318.94</v>
      </c>
      <c r="CE186" s="13">
        <v>-102.71</v>
      </c>
      <c r="CF186" s="13">
        <v>437.33</v>
      </c>
      <c r="CG186" s="13">
        <v>357.72</v>
      </c>
      <c r="CH186" s="13">
        <v>3720</v>
      </c>
      <c r="CI186" s="13">
        <v>5648.62</v>
      </c>
      <c r="CJ186" s="13">
        <v>49680</v>
      </c>
      <c r="CK186" s="13">
        <v>3000.17</v>
      </c>
      <c r="CL186" s="13">
        <v>2196041.35</v>
      </c>
      <c r="CM186" s="13">
        <v>187527.84</v>
      </c>
      <c r="CN186" s="13">
        <v>-0.05</v>
      </c>
      <c r="CO186" s="13">
        <v>7541.73</v>
      </c>
      <c r="CP186" s="13">
        <v>8065.06</v>
      </c>
      <c r="CQ186" s="13">
        <v>0</v>
      </c>
      <c r="CR186" s="13">
        <v>2080905.63</v>
      </c>
      <c r="CS186" s="13">
        <v>169742.61</v>
      </c>
      <c r="CT186" s="13">
        <v>5296.28</v>
      </c>
      <c r="CU186" s="13">
        <v>6877.37</v>
      </c>
      <c r="CV186" s="13">
        <v>7704.29</v>
      </c>
      <c r="CW186" s="13">
        <v>0</v>
      </c>
      <c r="CX186" s="13">
        <v>335139.03000000003</v>
      </c>
      <c r="CY186" s="13">
        <v>25012.93</v>
      </c>
      <c r="CZ186" s="13">
        <v>-7012.93</v>
      </c>
      <c r="DA186" s="13">
        <v>1173.23</v>
      </c>
      <c r="DB186" s="13">
        <v>1193.1500000000001</v>
      </c>
      <c r="DC186" s="13"/>
      <c r="DD186" s="315">
        <v>2399175.9300000002</v>
      </c>
      <c r="DE186" s="317">
        <v>2270526.1800000002</v>
      </c>
      <c r="DF186" s="317">
        <v>94.64</v>
      </c>
      <c r="DG186" s="318">
        <v>355505.41</v>
      </c>
      <c r="DH186" s="310">
        <v>78489.48</v>
      </c>
      <c r="DI186" s="310">
        <v>44889</v>
      </c>
      <c r="DJ186" s="312">
        <v>0</v>
      </c>
      <c r="DK186" s="362">
        <v>0</v>
      </c>
      <c r="DL186" s="362"/>
      <c r="DM186" s="362">
        <v>0</v>
      </c>
      <c r="DN186" s="362">
        <v>0</v>
      </c>
      <c r="DO186" s="362">
        <v>0</v>
      </c>
      <c r="DP186" s="362">
        <v>0</v>
      </c>
      <c r="DQ186" s="362">
        <v>0</v>
      </c>
      <c r="DR186" s="362"/>
      <c r="DS186" s="362">
        <v>0</v>
      </c>
      <c r="DT186" s="362"/>
      <c r="DU186" s="362">
        <v>0</v>
      </c>
      <c r="DV186" s="362">
        <v>0</v>
      </c>
      <c r="DW186" s="362">
        <v>205697.22</v>
      </c>
      <c r="DX186" s="362">
        <v>0</v>
      </c>
      <c r="DY186" s="362">
        <v>46500</v>
      </c>
      <c r="DZ186" s="375">
        <v>0</v>
      </c>
      <c r="EA186" s="362">
        <v>0</v>
      </c>
      <c r="EB186" s="362">
        <v>0</v>
      </c>
      <c r="EC186" s="362"/>
      <c r="ED186" s="362">
        <v>600301.5</v>
      </c>
      <c r="EE186" s="362">
        <v>22100</v>
      </c>
      <c r="EF186" s="362"/>
      <c r="EG186" s="362">
        <v>17442</v>
      </c>
      <c r="EH186" s="362">
        <v>0</v>
      </c>
      <c r="EI186" s="362"/>
      <c r="EJ186" s="362">
        <v>0</v>
      </c>
      <c r="EK186" s="362"/>
      <c r="EL186" s="362">
        <v>0</v>
      </c>
      <c r="EM186" s="362">
        <v>4713.99</v>
      </c>
      <c r="EN186" s="362">
        <v>0</v>
      </c>
      <c r="EO186" s="362">
        <v>1488</v>
      </c>
      <c r="EP186" s="362">
        <v>496992</v>
      </c>
      <c r="EQ186" s="362">
        <v>0</v>
      </c>
      <c r="ER186" s="362">
        <v>16380</v>
      </c>
      <c r="ES186" s="362">
        <v>0</v>
      </c>
      <c r="ET186" s="362">
        <v>17923</v>
      </c>
      <c r="EU186" s="362">
        <v>0</v>
      </c>
      <c r="EV186" s="362">
        <v>21204.57</v>
      </c>
      <c r="EW186" s="362"/>
      <c r="EX186" s="202"/>
      <c r="EY186" s="202"/>
      <c r="EZ186" s="229"/>
      <c r="FA186" s="368">
        <v>181866</v>
      </c>
      <c r="FB186" s="368">
        <v>7893.23</v>
      </c>
      <c r="FC186" s="368">
        <v>0</v>
      </c>
      <c r="FD186" s="368">
        <v>0</v>
      </c>
      <c r="FE186" s="368">
        <v>7867.31</v>
      </c>
      <c r="FF186" s="368">
        <v>8460.75</v>
      </c>
      <c r="FG186" s="368">
        <v>0</v>
      </c>
      <c r="FH186" s="368">
        <v>-1995.94</v>
      </c>
      <c r="FI186" s="368">
        <v>0</v>
      </c>
      <c r="FJ186" s="368">
        <v>0</v>
      </c>
      <c r="FK186" s="368">
        <v>89130.57</v>
      </c>
      <c r="FL186" s="368">
        <v>0</v>
      </c>
      <c r="FM186" s="368">
        <v>208522.17</v>
      </c>
      <c r="FN186" s="368">
        <v>132588.79</v>
      </c>
      <c r="FO186" s="323">
        <v>1915231.72</v>
      </c>
      <c r="FP186" s="323">
        <v>293221.92</v>
      </c>
      <c r="FQ186" s="323">
        <v>2208453.64</v>
      </c>
      <c r="FR186" s="362">
        <v>210481.19</v>
      </c>
      <c r="FS186" s="362">
        <v>11585.76</v>
      </c>
      <c r="FT186" s="377">
        <v>222066.95</v>
      </c>
      <c r="FU186" s="377">
        <v>2348812.0099999998</v>
      </c>
      <c r="FV186" s="377">
        <v>218866.03</v>
      </c>
      <c r="FW186" s="362">
        <v>2567678.04</v>
      </c>
      <c r="FX186" s="362">
        <v>2213969.58</v>
      </c>
      <c r="FY186" s="362">
        <v>208696.6</v>
      </c>
      <c r="FZ186" s="362">
        <v>2422666.1800000002</v>
      </c>
      <c r="GA186" s="362">
        <v>345323.62</v>
      </c>
      <c r="GB186" s="362">
        <v>21755.19</v>
      </c>
      <c r="GC186" s="362">
        <v>367078.81</v>
      </c>
      <c r="GD186" s="362">
        <v>235225.24</v>
      </c>
      <c r="GE186" s="362">
        <v>1782.06</v>
      </c>
      <c r="GF186" s="362">
        <v>237007.3</v>
      </c>
      <c r="GG186" s="202">
        <v>11573.4</v>
      </c>
      <c r="GH186" s="416">
        <v>88</v>
      </c>
      <c r="GI186" s="414">
        <v>2878</v>
      </c>
      <c r="GJ186" s="419">
        <v>110173.32</v>
      </c>
      <c r="GK186" s="396">
        <v>11573.4</v>
      </c>
      <c r="GL186" s="202">
        <v>10184.592000000001</v>
      </c>
      <c r="GM186" s="202">
        <v>1388.808</v>
      </c>
      <c r="GN186" s="323">
        <v>433580.29</v>
      </c>
      <c r="GO186" s="323">
        <v>-74355.89</v>
      </c>
      <c r="GP186" s="323">
        <v>359224.4</v>
      </c>
      <c r="GQ186" s="323">
        <v>668805.53</v>
      </c>
      <c r="GR186" s="323">
        <v>-72573.83</v>
      </c>
      <c r="GS186" s="323">
        <v>596231.69999999995</v>
      </c>
    </row>
    <row r="187" spans="1:201" ht="12.75" customHeight="1" x14ac:dyDescent="0.2">
      <c r="A187" s="45" t="s">
        <v>272</v>
      </c>
      <c r="B187" s="51" t="s">
        <v>221</v>
      </c>
      <c r="C187" s="52" t="s">
        <v>106</v>
      </c>
      <c r="D187" s="388" t="s">
        <v>482</v>
      </c>
      <c r="E187" s="52" t="s">
        <v>12</v>
      </c>
      <c r="F187" s="11">
        <v>5</v>
      </c>
      <c r="G187" s="11">
        <v>4</v>
      </c>
      <c r="H187" s="11">
        <v>76</v>
      </c>
      <c r="I187" s="11">
        <v>76</v>
      </c>
      <c r="J187" s="11">
        <v>129</v>
      </c>
      <c r="K187" s="11">
        <v>153</v>
      </c>
      <c r="L187" s="11" t="s">
        <v>746</v>
      </c>
      <c r="M187" s="84">
        <v>243.5</v>
      </c>
      <c r="N187" s="84">
        <v>644.1</v>
      </c>
      <c r="O187" s="84">
        <v>0</v>
      </c>
      <c r="P187" s="135">
        <v>243.5</v>
      </c>
      <c r="Q187" s="135">
        <v>513.6</v>
      </c>
      <c r="R187" s="133">
        <v>0</v>
      </c>
      <c r="S187" s="133">
        <f t="shared" si="79"/>
        <v>757.1</v>
      </c>
      <c r="T187" s="134">
        <v>243.5</v>
      </c>
      <c r="U187" s="130">
        <v>1.53</v>
      </c>
      <c r="V187" s="91">
        <v>1.9800000000000002E-2</v>
      </c>
      <c r="W187" s="91">
        <v>1.9800000000000002E-2</v>
      </c>
      <c r="X187" s="132">
        <v>1.2199999999999999E-3</v>
      </c>
      <c r="Y187" s="91">
        <v>3.95E-2</v>
      </c>
      <c r="Z187" s="29">
        <v>2820.7</v>
      </c>
      <c r="AA187" s="29">
        <v>478.3</v>
      </c>
      <c r="AB187" s="9">
        <f t="shared" si="57"/>
        <v>3299</v>
      </c>
      <c r="AC187" s="9">
        <f t="shared" si="82"/>
        <v>20882.669999999998</v>
      </c>
      <c r="AD187" s="9">
        <v>0.37</v>
      </c>
      <c r="AE187" s="9">
        <v>4.05</v>
      </c>
      <c r="AF187" s="21">
        <f>2.4-AJ187</f>
        <v>2.16</v>
      </c>
      <c r="AG187" s="18">
        <f>0.54-AQ187</f>
        <v>0.46</v>
      </c>
      <c r="AH187" s="9">
        <v>2.78</v>
      </c>
      <c r="AI187" s="13">
        <v>797</v>
      </c>
      <c r="AJ187" s="21">
        <f t="shared" si="58"/>
        <v>0.24</v>
      </c>
      <c r="AK187" s="9">
        <v>0</v>
      </c>
      <c r="AL187" s="9">
        <v>0</v>
      </c>
      <c r="AM187" s="9">
        <v>0.18</v>
      </c>
      <c r="AN187" s="13"/>
      <c r="AO187" s="13">
        <v>566.4</v>
      </c>
      <c r="AP187" s="13">
        <f t="shared" si="80"/>
        <v>5.58</v>
      </c>
      <c r="AQ187" s="18">
        <f t="shared" si="56"/>
        <v>0.08</v>
      </c>
      <c r="AR187" s="9">
        <v>0.77</v>
      </c>
      <c r="AS187" s="9">
        <v>0.41</v>
      </c>
      <c r="AT187" s="9">
        <v>7.0000000000000007E-2</v>
      </c>
      <c r="AU187" s="9">
        <v>4.93</v>
      </c>
      <c r="AV187" s="9">
        <v>0.12</v>
      </c>
      <c r="AW187" s="9">
        <f>0.35+1.04+0.41</f>
        <v>1.8</v>
      </c>
      <c r="AX187" s="9">
        <f>1.42+0.58</f>
        <v>2</v>
      </c>
      <c r="AY187" s="54">
        <f t="shared" si="81"/>
        <v>20.420000000000002</v>
      </c>
      <c r="AZ187" s="13">
        <v>20.420000000000002</v>
      </c>
      <c r="BA187" s="13">
        <f t="shared" si="59"/>
        <v>0</v>
      </c>
      <c r="BB187" s="9">
        <f t="shared" si="60"/>
        <v>67365.58</v>
      </c>
      <c r="BC187" s="9">
        <v>20.420000000000002</v>
      </c>
      <c r="BD187" s="10">
        <v>44409</v>
      </c>
      <c r="BE187" s="9">
        <f t="shared" si="61"/>
        <v>1220.6300000000001</v>
      </c>
      <c r="BF187" s="9">
        <f t="shared" si="62"/>
        <v>13360.95</v>
      </c>
      <c r="BG187" s="9">
        <f t="shared" si="63"/>
        <v>7125.84</v>
      </c>
      <c r="BH187" s="9">
        <f t="shared" si="64"/>
        <v>1517.54</v>
      </c>
      <c r="BI187" s="9">
        <f t="shared" si="65"/>
        <v>9171.2199999999993</v>
      </c>
      <c r="BJ187" s="9">
        <f t="shared" si="66"/>
        <v>791.76</v>
      </c>
      <c r="BK187" s="9">
        <f t="shared" si="67"/>
        <v>0</v>
      </c>
      <c r="BL187" s="9">
        <f t="shared" si="68"/>
        <v>0</v>
      </c>
      <c r="BM187" s="9">
        <f t="shared" si="69"/>
        <v>593.82000000000005</v>
      </c>
      <c r="BN187" s="9">
        <f t="shared" si="70"/>
        <v>263.92</v>
      </c>
      <c r="BO187" s="9">
        <f t="shared" si="71"/>
        <v>2540.23</v>
      </c>
      <c r="BP187" s="9">
        <f t="shared" si="72"/>
        <v>1352.59</v>
      </c>
      <c r="BQ187" s="9">
        <f t="shared" si="73"/>
        <v>230.93</v>
      </c>
      <c r="BR187" s="9">
        <f t="shared" si="74"/>
        <v>16264.07</v>
      </c>
      <c r="BS187" s="9">
        <f t="shared" si="75"/>
        <v>395.88</v>
      </c>
      <c r="BT187" s="9">
        <f t="shared" si="76"/>
        <v>5938.2</v>
      </c>
      <c r="BU187" s="9">
        <f t="shared" si="77"/>
        <v>6598</v>
      </c>
      <c r="BV187" s="17">
        <f t="shared" si="78"/>
        <v>67365.58</v>
      </c>
      <c r="BW187" s="17">
        <v>1.41</v>
      </c>
      <c r="BX187" s="17">
        <v>0.04</v>
      </c>
      <c r="BY187" s="17">
        <v>0.25</v>
      </c>
      <c r="BZ187" s="17">
        <v>0.05</v>
      </c>
      <c r="CA187" s="29">
        <v>6.33</v>
      </c>
      <c r="CB187" s="325"/>
      <c r="CC187" s="13">
        <v>117202.56</v>
      </c>
      <c r="CD187" s="13">
        <v>14463.8</v>
      </c>
      <c r="CE187" s="13">
        <v>28.7</v>
      </c>
      <c r="CF187" s="13">
        <v>392.22</v>
      </c>
      <c r="CG187" s="13">
        <v>354.03</v>
      </c>
      <c r="CH187" s="13">
        <v>2232</v>
      </c>
      <c r="CI187" s="13">
        <v>3020.87</v>
      </c>
      <c r="CJ187" s="13">
        <v>16512</v>
      </c>
      <c r="CK187" s="13">
        <v>1268.76</v>
      </c>
      <c r="CL187" s="13">
        <v>691184.28</v>
      </c>
      <c r="CM187" s="13">
        <v>85298.14</v>
      </c>
      <c r="CN187" s="13">
        <v>0</v>
      </c>
      <c r="CO187" s="13">
        <v>2481.8000000000002</v>
      </c>
      <c r="CP187" s="13">
        <v>2088.17</v>
      </c>
      <c r="CQ187" s="13">
        <v>0</v>
      </c>
      <c r="CR187" s="13">
        <v>633208.39</v>
      </c>
      <c r="CS187" s="13">
        <v>68599.91</v>
      </c>
      <c r="CT187" s="13">
        <v>399.3</v>
      </c>
      <c r="CU187" s="13">
        <v>8375.73</v>
      </c>
      <c r="CV187" s="13">
        <v>4778.16</v>
      </c>
      <c r="CW187" s="13">
        <v>0</v>
      </c>
      <c r="CX187" s="13">
        <v>148103.44</v>
      </c>
      <c r="CY187" s="13">
        <v>13624.03</v>
      </c>
      <c r="CZ187" s="13">
        <v>-633.39</v>
      </c>
      <c r="DA187" s="13">
        <v>520.85</v>
      </c>
      <c r="DB187" s="13">
        <v>370.31</v>
      </c>
      <c r="DC187" s="13"/>
      <c r="DD187" s="315">
        <v>781052.39</v>
      </c>
      <c r="DE187" s="317">
        <v>715361.49</v>
      </c>
      <c r="DF187" s="317">
        <v>91.59</v>
      </c>
      <c r="DG187" s="318">
        <v>161985.24</v>
      </c>
      <c r="DH187" s="310">
        <v>29638.32</v>
      </c>
      <c r="DI187" s="310">
        <v>16950.48</v>
      </c>
      <c r="DJ187" s="312">
        <v>0</v>
      </c>
      <c r="DK187" s="362">
        <v>0</v>
      </c>
      <c r="DL187" s="362"/>
      <c r="DM187" s="362">
        <v>0</v>
      </c>
      <c r="DN187" s="362">
        <v>0</v>
      </c>
      <c r="DO187" s="362">
        <v>0</v>
      </c>
      <c r="DP187" s="362">
        <v>12672.3</v>
      </c>
      <c r="DQ187" s="362">
        <v>47810</v>
      </c>
      <c r="DR187" s="362"/>
      <c r="DS187" s="362">
        <v>16080</v>
      </c>
      <c r="DT187" s="362"/>
      <c r="DU187" s="362">
        <v>0</v>
      </c>
      <c r="DV187" s="362">
        <v>0</v>
      </c>
      <c r="DW187" s="362">
        <v>0</v>
      </c>
      <c r="DX187" s="362">
        <v>0</v>
      </c>
      <c r="DY187" s="362">
        <v>0</v>
      </c>
      <c r="DZ187" s="375">
        <v>0</v>
      </c>
      <c r="EA187" s="362">
        <v>0</v>
      </c>
      <c r="EB187" s="362">
        <v>0</v>
      </c>
      <c r="EC187" s="362"/>
      <c r="ED187" s="362">
        <v>194616.18</v>
      </c>
      <c r="EE187" s="362">
        <v>22100</v>
      </c>
      <c r="EF187" s="362"/>
      <c r="EG187" s="362">
        <v>0</v>
      </c>
      <c r="EH187" s="362">
        <v>0</v>
      </c>
      <c r="EI187" s="362"/>
      <c r="EJ187" s="362">
        <v>0</v>
      </c>
      <c r="EK187" s="362"/>
      <c r="EL187" s="362">
        <v>0</v>
      </c>
      <c r="EM187" s="362">
        <v>3160.5</v>
      </c>
      <c r="EN187" s="362">
        <v>0</v>
      </c>
      <c r="EO187" s="362">
        <v>1116</v>
      </c>
      <c r="EP187" s="362">
        <v>201048</v>
      </c>
      <c r="EQ187" s="362">
        <v>0</v>
      </c>
      <c r="ER187" s="362">
        <v>16380</v>
      </c>
      <c r="ES187" s="362">
        <v>577</v>
      </c>
      <c r="ET187" s="362">
        <v>12402</v>
      </c>
      <c r="EU187" s="362">
        <v>0</v>
      </c>
      <c r="EV187" s="362">
        <v>56133.21</v>
      </c>
      <c r="EW187" s="362"/>
      <c r="EX187" s="202"/>
      <c r="EY187" s="202"/>
      <c r="EZ187" s="229"/>
      <c r="FA187" s="368">
        <v>104944.44</v>
      </c>
      <c r="FB187" s="368">
        <v>0</v>
      </c>
      <c r="FC187" s="368">
        <v>0</v>
      </c>
      <c r="FD187" s="368">
        <v>0</v>
      </c>
      <c r="FE187" s="368">
        <v>2130.23</v>
      </c>
      <c r="FF187" s="368">
        <v>1654.67</v>
      </c>
      <c r="FG187" s="368">
        <v>-2107.87</v>
      </c>
      <c r="FH187" s="368">
        <v>-1947.59</v>
      </c>
      <c r="FI187" s="368">
        <v>0</v>
      </c>
      <c r="FJ187" s="368">
        <v>0</v>
      </c>
      <c r="FK187" s="368">
        <v>0</v>
      </c>
      <c r="FL187" s="368">
        <v>0</v>
      </c>
      <c r="FM187" s="368">
        <v>88198.96</v>
      </c>
      <c r="FN187" s="368">
        <v>56081.02</v>
      </c>
      <c r="FO187" s="323">
        <v>774963.97</v>
      </c>
      <c r="FP187" s="323">
        <v>104673.88</v>
      </c>
      <c r="FQ187" s="323">
        <v>879637.85</v>
      </c>
      <c r="FR187" s="362">
        <v>104778.43</v>
      </c>
      <c r="FS187" s="362">
        <v>10467.82</v>
      </c>
      <c r="FT187" s="377">
        <v>115246.25</v>
      </c>
      <c r="FU187" s="377">
        <v>827919.71</v>
      </c>
      <c r="FV187" s="377">
        <v>108607.62</v>
      </c>
      <c r="FW187" s="362">
        <v>936527.33</v>
      </c>
      <c r="FX187" s="362">
        <v>761156.76</v>
      </c>
      <c r="FY187" s="362">
        <v>101691.42</v>
      </c>
      <c r="FZ187" s="362">
        <v>862848.18</v>
      </c>
      <c r="GA187" s="362">
        <v>171541.38</v>
      </c>
      <c r="GB187" s="362">
        <v>17384.02</v>
      </c>
      <c r="GC187" s="362">
        <v>188925.4</v>
      </c>
      <c r="GD187" s="362">
        <v>45556.63</v>
      </c>
      <c r="GE187" s="362">
        <v>-740.53</v>
      </c>
      <c r="GF187" s="362">
        <v>44816.1</v>
      </c>
      <c r="GG187" s="202">
        <v>26940.16</v>
      </c>
      <c r="GH187" s="416">
        <v>87</v>
      </c>
      <c r="GI187" s="414">
        <v>1511.55</v>
      </c>
      <c r="GJ187" s="419">
        <v>134673.31</v>
      </c>
      <c r="GK187" s="396">
        <v>26940.16</v>
      </c>
      <c r="GL187" s="202">
        <v>23437.939200000001</v>
      </c>
      <c r="GM187" s="202">
        <v>3502.2208000000001</v>
      </c>
      <c r="GN187" s="323">
        <v>52955.74</v>
      </c>
      <c r="GO187" s="323">
        <v>3933.74</v>
      </c>
      <c r="GP187" s="323">
        <v>56889.48</v>
      </c>
      <c r="GQ187" s="323">
        <v>98512.37</v>
      </c>
      <c r="GR187" s="323">
        <v>3193.21</v>
      </c>
      <c r="GS187" s="323">
        <v>101705.58</v>
      </c>
    </row>
    <row r="188" spans="1:201" ht="12.75" customHeight="1" x14ac:dyDescent="0.2">
      <c r="A188" s="45" t="s">
        <v>273</v>
      </c>
      <c r="B188" s="48" t="s">
        <v>221</v>
      </c>
      <c r="C188" s="49" t="s">
        <v>41</v>
      </c>
      <c r="D188" s="388" t="s">
        <v>483</v>
      </c>
      <c r="E188" s="49" t="s">
        <v>12</v>
      </c>
      <c r="F188" s="11">
        <v>9</v>
      </c>
      <c r="G188" s="11">
        <v>2</v>
      </c>
      <c r="H188" s="11">
        <v>71</v>
      </c>
      <c r="I188" s="11">
        <v>71</v>
      </c>
      <c r="J188" s="11">
        <v>171</v>
      </c>
      <c r="K188" s="11">
        <v>208</v>
      </c>
      <c r="L188" s="83">
        <v>2</v>
      </c>
      <c r="M188" s="84">
        <v>254.5</v>
      </c>
      <c r="N188" s="84">
        <v>619.29999999999995</v>
      </c>
      <c r="O188" s="84">
        <v>619.29999999999995</v>
      </c>
      <c r="P188" s="135">
        <v>635.4</v>
      </c>
      <c r="Q188" s="135">
        <v>583.70000000000005</v>
      </c>
      <c r="R188" s="133">
        <v>619</v>
      </c>
      <c r="S188" s="133">
        <f t="shared" si="79"/>
        <v>1838.1</v>
      </c>
      <c r="T188" s="134">
        <v>635.4</v>
      </c>
      <c r="U188" s="130">
        <v>2.72</v>
      </c>
      <c r="V188" s="91">
        <v>1.21E-2</v>
      </c>
      <c r="W188" s="91">
        <v>1.9800000000000002E-2</v>
      </c>
      <c r="X188" s="132">
        <v>1.2700000000000001E-3</v>
      </c>
      <c r="Y188" s="91">
        <v>1.21E-2</v>
      </c>
      <c r="Z188" s="29">
        <v>3679.67</v>
      </c>
      <c r="AA188" s="29">
        <v>370.3</v>
      </c>
      <c r="AB188" s="9">
        <f t="shared" si="57"/>
        <v>4049.97</v>
      </c>
      <c r="AC188" s="9">
        <f t="shared" si="82"/>
        <v>25636.31</v>
      </c>
      <c r="AD188" s="9">
        <v>1.99</v>
      </c>
      <c r="AE188" s="9">
        <v>4.26</v>
      </c>
      <c r="AF188" s="21">
        <f>2.46-AJ188</f>
        <v>2.27</v>
      </c>
      <c r="AG188" s="18">
        <f>0.61-AQ188</f>
        <v>0.56000000000000005</v>
      </c>
      <c r="AH188" s="19">
        <f>2.78+0.06+0.17</f>
        <v>3.01</v>
      </c>
      <c r="AI188" s="13">
        <v>754</v>
      </c>
      <c r="AJ188" s="21">
        <f t="shared" si="58"/>
        <v>0.19</v>
      </c>
      <c r="AK188" s="9">
        <v>2.13</v>
      </c>
      <c r="AL188" s="9">
        <v>0.19</v>
      </c>
      <c r="AM188" s="9">
        <v>0.17</v>
      </c>
      <c r="AN188" s="13"/>
      <c r="AO188" s="13">
        <v>410.2</v>
      </c>
      <c r="AP188" s="13">
        <f t="shared" si="80"/>
        <v>5.58</v>
      </c>
      <c r="AQ188" s="18">
        <f t="shared" si="56"/>
        <v>0.05</v>
      </c>
      <c r="AR188" s="9">
        <v>0.54</v>
      </c>
      <c r="AS188" s="9">
        <v>0.34</v>
      </c>
      <c r="AT188" s="9">
        <v>7.0000000000000007E-2</v>
      </c>
      <c r="AU188" s="9">
        <v>3.7</v>
      </c>
      <c r="AV188" s="9">
        <v>0.16</v>
      </c>
      <c r="AW188" s="9">
        <f>0.26+1.41+0.22</f>
        <v>1.89</v>
      </c>
      <c r="AX188" s="9">
        <f>1.98+0.53</f>
        <v>2.5099999999999998</v>
      </c>
      <c r="AY188" s="46">
        <f t="shared" si="81"/>
        <v>24.03</v>
      </c>
      <c r="AZ188" s="13">
        <v>24.03</v>
      </c>
      <c r="BA188" s="13">
        <f t="shared" si="59"/>
        <v>0</v>
      </c>
      <c r="BB188" s="9">
        <f t="shared" si="60"/>
        <v>97320.78</v>
      </c>
      <c r="BC188" s="9">
        <v>24.03</v>
      </c>
      <c r="BD188" s="10">
        <v>44378</v>
      </c>
      <c r="BE188" s="9">
        <f t="shared" si="61"/>
        <v>8059.44</v>
      </c>
      <c r="BF188" s="9">
        <f t="shared" si="62"/>
        <v>17252.87</v>
      </c>
      <c r="BG188" s="9">
        <f t="shared" si="63"/>
        <v>9193.43</v>
      </c>
      <c r="BH188" s="9">
        <f t="shared" si="64"/>
        <v>2267.98</v>
      </c>
      <c r="BI188" s="9">
        <f t="shared" si="65"/>
        <v>12190.41</v>
      </c>
      <c r="BJ188" s="9">
        <f t="shared" si="66"/>
        <v>769.49</v>
      </c>
      <c r="BK188" s="9">
        <f t="shared" si="67"/>
        <v>8626.44</v>
      </c>
      <c r="BL188" s="9">
        <f t="shared" si="68"/>
        <v>769.49</v>
      </c>
      <c r="BM188" s="9">
        <f t="shared" si="69"/>
        <v>688.49</v>
      </c>
      <c r="BN188" s="9">
        <f t="shared" si="70"/>
        <v>202.5</v>
      </c>
      <c r="BO188" s="9">
        <f t="shared" si="71"/>
        <v>2186.98</v>
      </c>
      <c r="BP188" s="9">
        <f t="shared" si="72"/>
        <v>1376.99</v>
      </c>
      <c r="BQ188" s="9">
        <f t="shared" si="73"/>
        <v>283.5</v>
      </c>
      <c r="BR188" s="9">
        <f t="shared" si="74"/>
        <v>14984.89</v>
      </c>
      <c r="BS188" s="9">
        <f t="shared" si="75"/>
        <v>648</v>
      </c>
      <c r="BT188" s="9">
        <f t="shared" si="76"/>
        <v>7654.44</v>
      </c>
      <c r="BU188" s="9">
        <f t="shared" si="77"/>
        <v>10165.42</v>
      </c>
      <c r="BV188" s="17">
        <f t="shared" si="78"/>
        <v>97320.76</v>
      </c>
      <c r="BW188" s="17">
        <v>1.81</v>
      </c>
      <c r="BX188" s="17">
        <v>0.05</v>
      </c>
      <c r="BY188" s="17">
        <v>0.54</v>
      </c>
      <c r="BZ188" s="17">
        <v>0.03</v>
      </c>
      <c r="CA188" s="29">
        <v>6.33</v>
      </c>
      <c r="CB188" s="325"/>
      <c r="CC188" s="13">
        <v>106779.72</v>
      </c>
      <c r="CD188" s="13">
        <v>10823.86</v>
      </c>
      <c r="CE188" s="13">
        <v>48.14</v>
      </c>
      <c r="CF188" s="13">
        <v>318.47000000000003</v>
      </c>
      <c r="CG188" s="13">
        <v>211.17</v>
      </c>
      <c r="CH188" s="13">
        <v>2976</v>
      </c>
      <c r="CI188" s="13">
        <v>3382.52</v>
      </c>
      <c r="CJ188" s="13">
        <v>14946</v>
      </c>
      <c r="CK188" s="13">
        <v>1557.58</v>
      </c>
      <c r="CL188" s="13">
        <v>1061070.48</v>
      </c>
      <c r="CM188" s="13">
        <v>107556.77</v>
      </c>
      <c r="CN188" s="13">
        <v>0</v>
      </c>
      <c r="CO188" s="13">
        <v>4121.8999999999996</v>
      </c>
      <c r="CP188" s="13">
        <v>2245.4499999999998</v>
      </c>
      <c r="CQ188" s="13">
        <v>0</v>
      </c>
      <c r="CR188" s="13">
        <v>972007.52</v>
      </c>
      <c r="CS188" s="13">
        <v>98324.18</v>
      </c>
      <c r="CT188" s="13">
        <v>556.13</v>
      </c>
      <c r="CU188" s="13">
        <v>9224.0400000000009</v>
      </c>
      <c r="CV188" s="13">
        <v>4039.98</v>
      </c>
      <c r="CW188" s="13">
        <v>0</v>
      </c>
      <c r="CX188" s="13">
        <v>203931.86</v>
      </c>
      <c r="CY188" s="13">
        <v>26539.279999999999</v>
      </c>
      <c r="CZ188" s="13">
        <v>-1677.74</v>
      </c>
      <c r="DA188" s="13">
        <v>2471.5</v>
      </c>
      <c r="DB188" s="13">
        <v>1101.6400000000001</v>
      </c>
      <c r="DC188" s="13"/>
      <c r="DD188" s="315">
        <v>1174994.6000000001</v>
      </c>
      <c r="DE188" s="317">
        <v>1084151.8500000001</v>
      </c>
      <c r="DF188" s="317">
        <v>92.27</v>
      </c>
      <c r="DG188" s="318">
        <v>232366.54</v>
      </c>
      <c r="DH188" s="310">
        <v>38663.879999999997</v>
      </c>
      <c r="DI188" s="310">
        <v>22112.28</v>
      </c>
      <c r="DJ188" s="312">
        <v>0</v>
      </c>
      <c r="DK188" s="362">
        <v>0</v>
      </c>
      <c r="DL188" s="362"/>
      <c r="DM188" s="362">
        <v>0</v>
      </c>
      <c r="DN188" s="362">
        <v>0</v>
      </c>
      <c r="DO188" s="362">
        <v>0</v>
      </c>
      <c r="DP188" s="362">
        <v>11988.6</v>
      </c>
      <c r="DQ188" s="362">
        <v>0</v>
      </c>
      <c r="DR188" s="362"/>
      <c r="DS188" s="362">
        <v>0</v>
      </c>
      <c r="DT188" s="362"/>
      <c r="DU188" s="362">
        <v>0</v>
      </c>
      <c r="DV188" s="362">
        <v>0</v>
      </c>
      <c r="DW188" s="362">
        <v>0</v>
      </c>
      <c r="DX188" s="362">
        <v>103200</v>
      </c>
      <c r="DY188" s="362">
        <v>9000</v>
      </c>
      <c r="DZ188" s="375">
        <v>0</v>
      </c>
      <c r="EA188" s="362">
        <v>0</v>
      </c>
      <c r="EB188" s="362">
        <v>0</v>
      </c>
      <c r="EC188" s="362"/>
      <c r="ED188" s="362">
        <v>336740.88</v>
      </c>
      <c r="EE188" s="362">
        <v>10200</v>
      </c>
      <c r="EF188" s="362"/>
      <c r="EG188" s="362">
        <v>0</v>
      </c>
      <c r="EH188" s="362">
        <v>0</v>
      </c>
      <c r="EI188" s="362"/>
      <c r="EJ188" s="362">
        <v>0</v>
      </c>
      <c r="EK188" s="362"/>
      <c r="EL188" s="362">
        <v>0</v>
      </c>
      <c r="EM188" s="362">
        <v>2288.91</v>
      </c>
      <c r="EN188" s="362">
        <v>0</v>
      </c>
      <c r="EO188" s="362">
        <v>1116</v>
      </c>
      <c r="EP188" s="362">
        <v>259242</v>
      </c>
      <c r="EQ188" s="362">
        <v>0</v>
      </c>
      <c r="ER188" s="362">
        <v>16380</v>
      </c>
      <c r="ES188" s="362">
        <v>577</v>
      </c>
      <c r="ET188" s="362">
        <v>8829</v>
      </c>
      <c r="EU188" s="362">
        <v>0</v>
      </c>
      <c r="EV188" s="362">
        <v>24769.35</v>
      </c>
      <c r="EW188" s="362"/>
      <c r="EX188" s="202"/>
      <c r="EY188" s="202"/>
      <c r="EZ188" s="229"/>
      <c r="FA188" s="368">
        <v>113502.11</v>
      </c>
      <c r="FB188" s="368">
        <v>0</v>
      </c>
      <c r="FC188" s="368">
        <v>0</v>
      </c>
      <c r="FD188" s="368">
        <v>0</v>
      </c>
      <c r="FE188" s="368">
        <v>6534.71</v>
      </c>
      <c r="FF188" s="368">
        <v>2529.39</v>
      </c>
      <c r="FG188" s="368">
        <v>-975.6</v>
      </c>
      <c r="FH188" s="368">
        <v>-1518.58</v>
      </c>
      <c r="FI188" s="368">
        <v>0</v>
      </c>
      <c r="FJ188" s="368">
        <v>0</v>
      </c>
      <c r="FK188" s="368">
        <v>0</v>
      </c>
      <c r="FL188" s="368">
        <v>0</v>
      </c>
      <c r="FM188" s="368">
        <v>108276.21</v>
      </c>
      <c r="FN188" s="368">
        <v>68847.06</v>
      </c>
      <c r="FO188" s="323">
        <v>1022231.17</v>
      </c>
      <c r="FP188" s="323">
        <v>120072.03</v>
      </c>
      <c r="FQ188" s="323">
        <v>1142303.2</v>
      </c>
      <c r="FR188" s="362">
        <v>127643.45</v>
      </c>
      <c r="FS188" s="362">
        <v>22727.62</v>
      </c>
      <c r="FT188" s="377">
        <v>150371.07</v>
      </c>
      <c r="FU188" s="377">
        <v>1186178.72</v>
      </c>
      <c r="FV188" s="377">
        <v>129859.34</v>
      </c>
      <c r="FW188" s="362">
        <v>1316038.06</v>
      </c>
      <c r="FX188" s="362">
        <v>1080137.06</v>
      </c>
      <c r="FY188" s="362">
        <v>120095.02</v>
      </c>
      <c r="FZ188" s="362">
        <v>1200232.08</v>
      </c>
      <c r="GA188" s="362">
        <v>233685.11</v>
      </c>
      <c r="GB188" s="362">
        <v>32491.94</v>
      </c>
      <c r="GC188" s="362">
        <v>266177.05</v>
      </c>
      <c r="GD188" s="362">
        <v>-102000.34</v>
      </c>
      <c r="GE188" s="362">
        <v>32262.09</v>
      </c>
      <c r="GF188" s="362">
        <v>-69738.25</v>
      </c>
      <c r="GG188" s="202">
        <v>33810.51</v>
      </c>
      <c r="GH188" s="416">
        <v>88</v>
      </c>
      <c r="GI188" s="414">
        <v>423</v>
      </c>
      <c r="GJ188" s="419">
        <v>121157.36</v>
      </c>
      <c r="GK188" s="396">
        <v>33810.51</v>
      </c>
      <c r="GL188" s="202">
        <v>29753.248800000001</v>
      </c>
      <c r="GM188" s="202">
        <v>4057.2611999999999</v>
      </c>
      <c r="GN188" s="323">
        <v>163947.54999999999</v>
      </c>
      <c r="GO188" s="323">
        <v>9787.31</v>
      </c>
      <c r="GP188" s="323">
        <v>173734.86</v>
      </c>
      <c r="GQ188" s="323">
        <v>61947.21</v>
      </c>
      <c r="GR188" s="323">
        <v>42049.4</v>
      </c>
      <c r="GS188" s="323">
        <v>103996.61</v>
      </c>
    </row>
    <row r="189" spans="1:201" ht="12.75" customHeight="1" x14ac:dyDescent="0.2">
      <c r="A189" s="45" t="s">
        <v>274</v>
      </c>
      <c r="B189" s="51" t="s">
        <v>221</v>
      </c>
      <c r="C189" s="52" t="s">
        <v>41</v>
      </c>
      <c r="D189" s="388" t="s">
        <v>576</v>
      </c>
      <c r="E189" s="52" t="s">
        <v>9</v>
      </c>
      <c r="F189" s="11">
        <v>5</v>
      </c>
      <c r="G189" s="11">
        <v>4</v>
      </c>
      <c r="H189" s="11">
        <v>68</v>
      </c>
      <c r="I189" s="11">
        <v>68</v>
      </c>
      <c r="J189" s="11">
        <v>166</v>
      </c>
      <c r="K189" s="11">
        <v>178</v>
      </c>
      <c r="L189" s="11" t="s">
        <v>746</v>
      </c>
      <c r="M189" s="84">
        <v>264</v>
      </c>
      <c r="N189" s="84">
        <v>910</v>
      </c>
      <c r="O189" s="84">
        <v>0</v>
      </c>
      <c r="P189" s="135">
        <f>264+24.7</f>
        <v>288.7</v>
      </c>
      <c r="Q189" s="135">
        <v>697.8</v>
      </c>
      <c r="R189" s="133">
        <v>0</v>
      </c>
      <c r="S189" s="133">
        <f t="shared" si="79"/>
        <v>986.5</v>
      </c>
      <c r="T189" s="134">
        <v>288.7</v>
      </c>
      <c r="U189" s="130">
        <v>1.53</v>
      </c>
      <c r="V189" s="91">
        <v>1.1299999999999999E-2</v>
      </c>
      <c r="W189" s="171" t="s">
        <v>824</v>
      </c>
      <c r="X189" s="172" t="s">
        <v>824</v>
      </c>
      <c r="Y189" s="91">
        <v>1.1299999999999999E-2</v>
      </c>
      <c r="Z189" s="29">
        <v>3340.22</v>
      </c>
      <c r="AA189" s="29"/>
      <c r="AB189" s="9">
        <f t="shared" si="57"/>
        <v>3340.22</v>
      </c>
      <c r="AC189" s="9">
        <f t="shared" si="82"/>
        <v>21143.59</v>
      </c>
      <c r="AD189" s="9">
        <v>0.43</v>
      </c>
      <c r="AE189" s="9">
        <v>3.59</v>
      </c>
      <c r="AF189" s="21">
        <f>2.43-AJ189</f>
        <v>2.17</v>
      </c>
      <c r="AG189" s="18">
        <f>0.53-AQ189</f>
        <v>0.41</v>
      </c>
      <c r="AH189" s="9">
        <v>2.16</v>
      </c>
      <c r="AI189" s="13">
        <v>874</v>
      </c>
      <c r="AJ189" s="21">
        <f t="shared" si="58"/>
        <v>0.26</v>
      </c>
      <c r="AK189" s="9">
        <v>0</v>
      </c>
      <c r="AL189" s="9">
        <v>0</v>
      </c>
      <c r="AM189" s="9">
        <v>0.17</v>
      </c>
      <c r="AN189" s="13">
        <v>280</v>
      </c>
      <c r="AO189" s="13">
        <v>560</v>
      </c>
      <c r="AP189" s="13">
        <f t="shared" si="80"/>
        <v>5.58</v>
      </c>
      <c r="AQ189" s="18">
        <f t="shared" si="56"/>
        <v>0.12</v>
      </c>
      <c r="AR189" s="9">
        <v>0.77</v>
      </c>
      <c r="AS189" s="9">
        <v>0.41</v>
      </c>
      <c r="AT189" s="9">
        <v>7.0000000000000007E-2</v>
      </c>
      <c r="AU189" s="9">
        <v>4.6900000000000004</v>
      </c>
      <c r="AV189" s="9">
        <v>0.11</v>
      </c>
      <c r="AW189" s="9">
        <f>0.29+0.41+0.95</f>
        <v>1.65</v>
      </c>
      <c r="AX189" s="9">
        <f>1.3+0.55</f>
        <v>1.85</v>
      </c>
      <c r="AY189" s="54">
        <f t="shared" si="81"/>
        <v>18.86</v>
      </c>
      <c r="AZ189" s="13">
        <v>18.86</v>
      </c>
      <c r="BA189" s="13">
        <f t="shared" si="59"/>
        <v>0</v>
      </c>
      <c r="BB189" s="9">
        <f t="shared" si="60"/>
        <v>62996.55</v>
      </c>
      <c r="BC189" s="9">
        <v>18.86</v>
      </c>
      <c r="BD189" s="10">
        <v>44409</v>
      </c>
      <c r="BE189" s="9">
        <f t="shared" si="61"/>
        <v>1436.29</v>
      </c>
      <c r="BF189" s="9">
        <f t="shared" si="62"/>
        <v>11991.39</v>
      </c>
      <c r="BG189" s="9">
        <f t="shared" si="63"/>
        <v>7248.28</v>
      </c>
      <c r="BH189" s="9">
        <f t="shared" si="64"/>
        <v>1369.49</v>
      </c>
      <c r="BI189" s="9">
        <f t="shared" si="65"/>
        <v>7214.88</v>
      </c>
      <c r="BJ189" s="9">
        <f t="shared" si="66"/>
        <v>868.46</v>
      </c>
      <c r="BK189" s="9">
        <f t="shared" si="67"/>
        <v>0</v>
      </c>
      <c r="BL189" s="9">
        <f t="shared" si="68"/>
        <v>0</v>
      </c>
      <c r="BM189" s="9">
        <f t="shared" si="69"/>
        <v>567.84</v>
      </c>
      <c r="BN189" s="9">
        <f t="shared" si="70"/>
        <v>400.83</v>
      </c>
      <c r="BO189" s="9">
        <f t="shared" si="71"/>
        <v>2571.9699999999998</v>
      </c>
      <c r="BP189" s="9">
        <f t="shared" si="72"/>
        <v>1369.49</v>
      </c>
      <c r="BQ189" s="9">
        <f t="shared" si="73"/>
        <v>233.82</v>
      </c>
      <c r="BR189" s="9">
        <f t="shared" si="74"/>
        <v>15665.63</v>
      </c>
      <c r="BS189" s="9">
        <f t="shared" si="75"/>
        <v>367.42</v>
      </c>
      <c r="BT189" s="9">
        <f t="shared" si="76"/>
        <v>5511.36</v>
      </c>
      <c r="BU189" s="9">
        <f t="shared" si="77"/>
        <v>6179.41</v>
      </c>
      <c r="BV189" s="17">
        <f t="shared" si="78"/>
        <v>62996.56</v>
      </c>
      <c r="BW189" s="17">
        <v>1.82</v>
      </c>
      <c r="BX189" s="17">
        <v>0.03</v>
      </c>
      <c r="BY189" s="173">
        <v>0</v>
      </c>
      <c r="BZ189" s="17">
        <v>0.02</v>
      </c>
      <c r="CA189" s="29">
        <v>6.33</v>
      </c>
      <c r="CB189" s="325"/>
      <c r="CC189" s="13">
        <v>0</v>
      </c>
      <c r="CD189" s="13">
        <v>0</v>
      </c>
      <c r="CE189" s="13">
        <v>0</v>
      </c>
      <c r="CF189" s="13">
        <v>0</v>
      </c>
      <c r="CG189" s="13">
        <v>0</v>
      </c>
      <c r="CH189" s="13">
        <v>4464</v>
      </c>
      <c r="CI189" s="13">
        <v>4591.6499999999996</v>
      </c>
      <c r="CJ189" s="13">
        <v>15492</v>
      </c>
      <c r="CK189" s="13">
        <v>1283.55</v>
      </c>
      <c r="CL189" s="13">
        <v>755615.95</v>
      </c>
      <c r="CM189" s="13">
        <v>76323.539999999994</v>
      </c>
      <c r="CN189" s="13">
        <v>0</v>
      </c>
      <c r="CO189" s="13">
        <v>24784.51</v>
      </c>
      <c r="CP189" s="13">
        <v>13594.8</v>
      </c>
      <c r="CQ189" s="13">
        <v>0</v>
      </c>
      <c r="CR189" s="13">
        <v>698396.84</v>
      </c>
      <c r="CS189" s="13">
        <v>71048.83</v>
      </c>
      <c r="CT189" s="13">
        <v>0</v>
      </c>
      <c r="CU189" s="13">
        <v>15118.28</v>
      </c>
      <c r="CV189" s="13">
        <v>9366.27</v>
      </c>
      <c r="CW189" s="13">
        <v>0</v>
      </c>
      <c r="CX189" s="13">
        <v>140311.89000000001</v>
      </c>
      <c r="CY189" s="13">
        <v>18492.52</v>
      </c>
      <c r="CZ189" s="13">
        <v>0</v>
      </c>
      <c r="DA189" s="13">
        <v>8994.6299999999992</v>
      </c>
      <c r="DB189" s="13">
        <v>4922.55</v>
      </c>
      <c r="DC189" s="13"/>
      <c r="DD189" s="315">
        <v>870318.8</v>
      </c>
      <c r="DE189" s="317">
        <v>793930.22</v>
      </c>
      <c r="DF189" s="317">
        <v>91.22</v>
      </c>
      <c r="DG189" s="318">
        <v>172721.59</v>
      </c>
      <c r="DH189" s="310">
        <v>35060.400000000001</v>
      </c>
      <c r="DI189" s="310">
        <v>20051.400000000001</v>
      </c>
      <c r="DJ189" s="312">
        <v>0</v>
      </c>
      <c r="DK189" s="362">
        <v>0</v>
      </c>
      <c r="DL189" s="362"/>
      <c r="DM189" s="362">
        <v>0</v>
      </c>
      <c r="DN189" s="362">
        <v>0</v>
      </c>
      <c r="DO189" s="362">
        <v>0</v>
      </c>
      <c r="DP189" s="362">
        <v>13896.6</v>
      </c>
      <c r="DQ189" s="362">
        <v>39760</v>
      </c>
      <c r="DR189" s="362"/>
      <c r="DS189" s="362">
        <v>28400</v>
      </c>
      <c r="DT189" s="362"/>
      <c r="DU189" s="362">
        <v>0</v>
      </c>
      <c r="DV189" s="362">
        <v>0</v>
      </c>
      <c r="DW189" s="362">
        <v>0</v>
      </c>
      <c r="DX189" s="362">
        <v>0</v>
      </c>
      <c r="DY189" s="362">
        <v>0</v>
      </c>
      <c r="DZ189" s="375">
        <v>0</v>
      </c>
      <c r="EA189" s="362">
        <v>0</v>
      </c>
      <c r="EB189" s="362">
        <v>0</v>
      </c>
      <c r="EC189" s="362"/>
      <c r="ED189" s="362">
        <v>179647.8</v>
      </c>
      <c r="EE189" s="362">
        <v>10200</v>
      </c>
      <c r="EF189" s="362"/>
      <c r="EG189" s="362">
        <v>0</v>
      </c>
      <c r="EH189" s="362">
        <v>0</v>
      </c>
      <c r="EI189" s="362"/>
      <c r="EJ189" s="362">
        <v>0</v>
      </c>
      <c r="EK189" s="362"/>
      <c r="EL189" s="362">
        <v>0</v>
      </c>
      <c r="EM189" s="362">
        <v>4687.2</v>
      </c>
      <c r="EN189" s="362">
        <v>0</v>
      </c>
      <c r="EO189" s="362">
        <v>2232</v>
      </c>
      <c r="EP189" s="362">
        <v>178818</v>
      </c>
      <c r="EQ189" s="362">
        <v>0</v>
      </c>
      <c r="ER189" s="362">
        <v>16380</v>
      </c>
      <c r="ES189" s="362">
        <v>6924</v>
      </c>
      <c r="ET189" s="362">
        <v>13683</v>
      </c>
      <c r="EU189" s="362">
        <v>0</v>
      </c>
      <c r="EV189" s="362">
        <v>0</v>
      </c>
      <c r="EW189" s="362"/>
      <c r="EX189" s="202"/>
      <c r="EY189" s="202"/>
      <c r="EZ189" s="229"/>
      <c r="FA189" s="368">
        <v>78743.679999999993</v>
      </c>
      <c r="FB189" s="368">
        <v>0</v>
      </c>
      <c r="FC189" s="368">
        <v>0</v>
      </c>
      <c r="FD189" s="368">
        <v>0</v>
      </c>
      <c r="FE189" s="368">
        <v>24804.12</v>
      </c>
      <c r="FF189" s="368">
        <v>13602.93</v>
      </c>
      <c r="FG189" s="368">
        <v>0</v>
      </c>
      <c r="FH189" s="368">
        <v>-853.7</v>
      </c>
      <c r="FI189" s="368">
        <v>0</v>
      </c>
      <c r="FJ189" s="368">
        <v>0</v>
      </c>
      <c r="FK189" s="368">
        <v>0</v>
      </c>
      <c r="FL189" s="368">
        <v>0</v>
      </c>
      <c r="FM189" s="368">
        <v>89257.81</v>
      </c>
      <c r="FN189" s="368">
        <v>56755.53</v>
      </c>
      <c r="FO189" s="323">
        <v>695753.74</v>
      </c>
      <c r="FP189" s="323">
        <v>116297.03</v>
      </c>
      <c r="FQ189" s="323">
        <v>812050.77</v>
      </c>
      <c r="FR189" s="362">
        <v>85098.41</v>
      </c>
      <c r="FS189" s="362">
        <v>9406.24</v>
      </c>
      <c r="FT189" s="377">
        <v>94504.65</v>
      </c>
      <c r="FU189" s="377">
        <v>775699.6</v>
      </c>
      <c r="FV189" s="377">
        <v>120450.4</v>
      </c>
      <c r="FW189" s="362">
        <v>896150</v>
      </c>
      <c r="FX189" s="362">
        <v>720486.12</v>
      </c>
      <c r="FY189" s="362">
        <v>97446.94</v>
      </c>
      <c r="FZ189" s="362">
        <v>817933.06</v>
      </c>
      <c r="GA189" s="362">
        <v>140311.89000000001</v>
      </c>
      <c r="GB189" s="362">
        <v>32409.7</v>
      </c>
      <c r="GC189" s="362">
        <v>172721.59</v>
      </c>
      <c r="GD189" s="362">
        <v>37017.910000000003</v>
      </c>
      <c r="GE189" s="362">
        <v>85.84</v>
      </c>
      <c r="GF189" s="362">
        <v>37103.75</v>
      </c>
      <c r="GG189" s="202"/>
      <c r="GH189" s="416">
        <v>0</v>
      </c>
      <c r="GI189" s="414">
        <v>931</v>
      </c>
      <c r="GJ189" s="419">
        <v>4464</v>
      </c>
      <c r="GK189" s="396"/>
      <c r="GL189" s="202">
        <v>0</v>
      </c>
      <c r="GM189" s="202">
        <v>0</v>
      </c>
      <c r="GN189" s="323">
        <v>79945.86</v>
      </c>
      <c r="GO189" s="323">
        <v>4153.37</v>
      </c>
      <c r="GP189" s="323">
        <v>84099.23</v>
      </c>
      <c r="GQ189" s="323">
        <v>116963.77</v>
      </c>
      <c r="GR189" s="323">
        <v>4239.21</v>
      </c>
      <c r="GS189" s="323">
        <v>121202.98</v>
      </c>
    </row>
    <row r="190" spans="1:201" ht="12.75" customHeight="1" x14ac:dyDescent="0.2">
      <c r="A190" s="45" t="s">
        <v>275</v>
      </c>
      <c r="B190" s="66" t="s">
        <v>221</v>
      </c>
      <c r="C190" s="67" t="s">
        <v>240</v>
      </c>
      <c r="D190" s="388" t="s">
        <v>484</v>
      </c>
      <c r="E190" s="67" t="s">
        <v>12</v>
      </c>
      <c r="F190" s="11">
        <v>5</v>
      </c>
      <c r="G190" s="11">
        <v>4</v>
      </c>
      <c r="H190" s="11">
        <v>64</v>
      </c>
      <c r="I190" s="11">
        <v>0</v>
      </c>
      <c r="J190" s="11">
        <v>118</v>
      </c>
      <c r="K190" s="11">
        <v>131</v>
      </c>
      <c r="L190" s="11" t="s">
        <v>746</v>
      </c>
      <c r="M190" s="84">
        <v>193.2</v>
      </c>
      <c r="N190" s="84">
        <v>872.3</v>
      </c>
      <c r="O190" s="84">
        <v>872.3</v>
      </c>
      <c r="P190" s="135">
        <v>241.5</v>
      </c>
      <c r="Q190" s="135">
        <v>645.79999999999995</v>
      </c>
      <c r="R190" s="133">
        <v>0</v>
      </c>
      <c r="S190" s="133">
        <f t="shared" si="79"/>
        <v>887.3</v>
      </c>
      <c r="T190" s="134">
        <v>241.5</v>
      </c>
      <c r="U190" s="130">
        <v>1.53</v>
      </c>
      <c r="V190" s="131">
        <v>1.9800000000000002E-2</v>
      </c>
      <c r="W190" s="131">
        <v>1.9800000000000002E-2</v>
      </c>
      <c r="X190" s="132">
        <v>1.2199999999999999E-3</v>
      </c>
      <c r="Y190" s="131">
        <v>3.95E-2</v>
      </c>
      <c r="Z190" s="29">
        <v>2603.34</v>
      </c>
      <c r="AA190" s="29">
        <v>688</v>
      </c>
      <c r="AB190" s="9">
        <f t="shared" si="57"/>
        <v>3291.34</v>
      </c>
      <c r="AC190" s="9">
        <f t="shared" si="82"/>
        <v>20834.18</v>
      </c>
      <c r="AD190" s="9">
        <v>0.37</v>
      </c>
      <c r="AE190" s="9">
        <v>4.08</v>
      </c>
      <c r="AF190" s="21">
        <f>2.42-AJ190</f>
        <v>2.17</v>
      </c>
      <c r="AG190" s="18">
        <f>0.54-AQ190</f>
        <v>0.48</v>
      </c>
      <c r="AH190" s="9">
        <v>2.78</v>
      </c>
      <c r="AI190" s="43">
        <v>837</v>
      </c>
      <c r="AJ190" s="21">
        <f t="shared" si="58"/>
        <v>0.25</v>
      </c>
      <c r="AK190" s="9">
        <v>0</v>
      </c>
      <c r="AL190" s="9">
        <v>0</v>
      </c>
      <c r="AM190" s="9">
        <v>0.28999999999999998</v>
      </c>
      <c r="AN190" s="13"/>
      <c r="AO190" s="13">
        <v>448.8</v>
      </c>
      <c r="AP190" s="13">
        <f t="shared" si="80"/>
        <v>5.58</v>
      </c>
      <c r="AQ190" s="18">
        <f t="shared" si="56"/>
        <v>0.06</v>
      </c>
      <c r="AR190" s="9">
        <v>0.72</v>
      </c>
      <c r="AS190" s="9">
        <v>0.41</v>
      </c>
      <c r="AT190" s="9">
        <v>7.0000000000000007E-2</v>
      </c>
      <c r="AU190" s="9">
        <v>4.6100000000000003</v>
      </c>
      <c r="AV190" s="9">
        <v>0.12</v>
      </c>
      <c r="AW190" s="9">
        <f>1.05+0.41+0.34</f>
        <v>1.8</v>
      </c>
      <c r="AX190" s="9">
        <f>1.44+0.56</f>
        <v>2</v>
      </c>
      <c r="AY190" s="69">
        <f t="shared" si="81"/>
        <v>20.21</v>
      </c>
      <c r="AZ190" s="13">
        <v>20.21</v>
      </c>
      <c r="BA190" s="13">
        <f t="shared" si="59"/>
        <v>0</v>
      </c>
      <c r="BB190" s="9">
        <f t="shared" si="60"/>
        <v>66517.98</v>
      </c>
      <c r="BC190" s="9">
        <v>20.21</v>
      </c>
      <c r="BD190" s="10">
        <v>44409</v>
      </c>
      <c r="BE190" s="9">
        <f t="shared" si="61"/>
        <v>1217.8</v>
      </c>
      <c r="BF190" s="9">
        <f t="shared" si="62"/>
        <v>13428.67</v>
      </c>
      <c r="BG190" s="9">
        <f t="shared" si="63"/>
        <v>7142.21</v>
      </c>
      <c r="BH190" s="9">
        <f t="shared" si="64"/>
        <v>1579.84</v>
      </c>
      <c r="BI190" s="9">
        <f t="shared" si="65"/>
        <v>9149.93</v>
      </c>
      <c r="BJ190" s="9">
        <f t="shared" si="66"/>
        <v>822.84</v>
      </c>
      <c r="BK190" s="9">
        <f t="shared" si="67"/>
        <v>0</v>
      </c>
      <c r="BL190" s="9">
        <f t="shared" si="68"/>
        <v>0</v>
      </c>
      <c r="BM190" s="9">
        <f t="shared" si="69"/>
        <v>954.49</v>
      </c>
      <c r="BN190" s="9">
        <f t="shared" si="70"/>
        <v>197.48</v>
      </c>
      <c r="BO190" s="9">
        <f t="shared" si="71"/>
        <v>2369.7600000000002</v>
      </c>
      <c r="BP190" s="9">
        <f t="shared" si="72"/>
        <v>1349.45</v>
      </c>
      <c r="BQ190" s="9">
        <f t="shared" si="73"/>
        <v>230.39</v>
      </c>
      <c r="BR190" s="9">
        <f t="shared" si="74"/>
        <v>15173.08</v>
      </c>
      <c r="BS190" s="9">
        <f t="shared" si="75"/>
        <v>394.96</v>
      </c>
      <c r="BT190" s="9">
        <f t="shared" si="76"/>
        <v>5924.41</v>
      </c>
      <c r="BU190" s="9">
        <f t="shared" si="77"/>
        <v>6582.68</v>
      </c>
      <c r="BV190" s="17">
        <f t="shared" si="78"/>
        <v>66517.990000000005</v>
      </c>
      <c r="BW190" s="17">
        <v>1.66</v>
      </c>
      <c r="BX190" s="17">
        <v>0.04</v>
      </c>
      <c r="BY190" s="17">
        <v>0.24</v>
      </c>
      <c r="BZ190" s="17">
        <v>0.05</v>
      </c>
      <c r="CA190" s="29">
        <v>6.33</v>
      </c>
      <c r="CB190" s="325"/>
      <c r="CC190" s="13">
        <v>166853.76000000001</v>
      </c>
      <c r="CD190" s="13">
        <v>2875.84</v>
      </c>
      <c r="CE190" s="13">
        <v>32563.07</v>
      </c>
      <c r="CF190" s="13">
        <v>233.92</v>
      </c>
      <c r="CG190" s="13">
        <v>337.17</v>
      </c>
      <c r="CH190" s="13">
        <v>0</v>
      </c>
      <c r="CI190" s="13">
        <v>6488.3</v>
      </c>
      <c r="CJ190" s="13">
        <v>17268</v>
      </c>
      <c r="CK190" s="13">
        <v>1265.82</v>
      </c>
      <c r="CL190" s="13">
        <v>631362.6</v>
      </c>
      <c r="CM190" s="13">
        <v>10881.87</v>
      </c>
      <c r="CN190" s="13">
        <v>123060.28</v>
      </c>
      <c r="CO190" s="13">
        <v>1041.53</v>
      </c>
      <c r="CP190" s="13">
        <v>1276.27</v>
      </c>
      <c r="CQ190" s="13">
        <v>0</v>
      </c>
      <c r="CR190" s="13">
        <v>590703.59</v>
      </c>
      <c r="CS190" s="13">
        <v>11722.56</v>
      </c>
      <c r="CT190" s="13">
        <v>120291.81</v>
      </c>
      <c r="CU190" s="13">
        <v>1172.23</v>
      </c>
      <c r="CV190" s="13">
        <v>1109.5899999999999</v>
      </c>
      <c r="CW190" s="13">
        <v>0</v>
      </c>
      <c r="CX190" s="13">
        <v>125432.89</v>
      </c>
      <c r="CY190" s="13">
        <v>-1586.56</v>
      </c>
      <c r="CZ190" s="13">
        <v>17816.38</v>
      </c>
      <c r="DA190" s="13">
        <v>314.49</v>
      </c>
      <c r="DB190" s="13">
        <v>251.53</v>
      </c>
      <c r="DC190" s="13"/>
      <c r="DD190" s="315">
        <v>767622.55</v>
      </c>
      <c r="DE190" s="317">
        <v>724999.78</v>
      </c>
      <c r="DF190" s="317">
        <v>94.45</v>
      </c>
      <c r="DG190" s="318">
        <v>142228.73000000001</v>
      </c>
      <c r="DH190" s="310">
        <v>27354.36</v>
      </c>
      <c r="DI190" s="310">
        <v>15644.28</v>
      </c>
      <c r="DJ190" s="312">
        <v>0</v>
      </c>
      <c r="DK190" s="362">
        <v>0</v>
      </c>
      <c r="DL190" s="362"/>
      <c r="DM190" s="362">
        <v>0</v>
      </c>
      <c r="DN190" s="362">
        <v>0</v>
      </c>
      <c r="DO190" s="362">
        <v>0</v>
      </c>
      <c r="DP190" s="362">
        <v>0</v>
      </c>
      <c r="DQ190" s="362">
        <v>0</v>
      </c>
      <c r="DR190" s="362"/>
      <c r="DS190" s="362">
        <v>0</v>
      </c>
      <c r="DT190" s="362"/>
      <c r="DU190" s="362">
        <v>0</v>
      </c>
      <c r="DV190" s="362">
        <v>0</v>
      </c>
      <c r="DW190" s="362">
        <v>0</v>
      </c>
      <c r="DX190" s="362">
        <v>0</v>
      </c>
      <c r="DY190" s="362">
        <v>0</v>
      </c>
      <c r="DZ190" s="375">
        <v>0</v>
      </c>
      <c r="EA190" s="362">
        <v>0</v>
      </c>
      <c r="EB190" s="362">
        <v>0</v>
      </c>
      <c r="EC190" s="362"/>
      <c r="ED190" s="362">
        <v>196345.92</v>
      </c>
      <c r="EE190" s="362">
        <v>20400</v>
      </c>
      <c r="EF190" s="362"/>
      <c r="EG190" s="362">
        <v>13320</v>
      </c>
      <c r="EH190" s="362">
        <v>42910</v>
      </c>
      <c r="EI190" s="362"/>
      <c r="EJ190" s="362">
        <v>32000</v>
      </c>
      <c r="EK190" s="362"/>
      <c r="EL190" s="362">
        <v>0</v>
      </c>
      <c r="EM190" s="362">
        <v>2504.31</v>
      </c>
      <c r="EN190" s="362">
        <v>0</v>
      </c>
      <c r="EO190" s="362">
        <v>0</v>
      </c>
      <c r="EP190" s="362">
        <v>202230</v>
      </c>
      <c r="EQ190" s="362">
        <v>0</v>
      </c>
      <c r="ER190" s="362">
        <v>16380</v>
      </c>
      <c r="ES190" s="362">
        <v>0</v>
      </c>
      <c r="ET190" s="362">
        <v>12084</v>
      </c>
      <c r="EU190" s="362">
        <v>0</v>
      </c>
      <c r="EV190" s="362">
        <v>22078.28</v>
      </c>
      <c r="EW190" s="362"/>
      <c r="EX190" s="202"/>
      <c r="EY190" s="202"/>
      <c r="EZ190" s="229"/>
      <c r="FA190" s="368">
        <v>14029.18</v>
      </c>
      <c r="FB190" s="368">
        <v>104041.84</v>
      </c>
      <c r="FC190" s="368">
        <v>0</v>
      </c>
      <c r="FD190" s="368">
        <v>0</v>
      </c>
      <c r="FE190" s="368">
        <v>2066.7399999999998</v>
      </c>
      <c r="FF190" s="368">
        <v>1646.55</v>
      </c>
      <c r="FG190" s="368">
        <v>0</v>
      </c>
      <c r="FH190" s="368">
        <v>-842.09</v>
      </c>
      <c r="FI190" s="368">
        <v>0</v>
      </c>
      <c r="FJ190" s="368">
        <v>0</v>
      </c>
      <c r="FK190" s="368">
        <v>0</v>
      </c>
      <c r="FL190" s="368">
        <v>0</v>
      </c>
      <c r="FM190" s="368">
        <v>87994.18</v>
      </c>
      <c r="FN190" s="368">
        <v>55950.81</v>
      </c>
      <c r="FO190" s="323">
        <v>747196.14</v>
      </c>
      <c r="FP190" s="323">
        <v>120942.22</v>
      </c>
      <c r="FQ190" s="323">
        <v>868138.36</v>
      </c>
      <c r="FR190" s="362">
        <v>124728.39</v>
      </c>
      <c r="FS190" s="362">
        <v>20325.25</v>
      </c>
      <c r="FT190" s="377">
        <v>145053.64000000001</v>
      </c>
      <c r="FU190" s="377">
        <v>821972.66</v>
      </c>
      <c r="FV190" s="377">
        <v>173535.77</v>
      </c>
      <c r="FW190" s="362">
        <v>995508.43</v>
      </c>
      <c r="FX190" s="362">
        <v>799883.72</v>
      </c>
      <c r="FY190" s="362">
        <v>172371.03</v>
      </c>
      <c r="FZ190" s="362">
        <v>972254.75</v>
      </c>
      <c r="GA190" s="362">
        <v>146817.32999999999</v>
      </c>
      <c r="GB190" s="362">
        <v>21489.99</v>
      </c>
      <c r="GC190" s="362">
        <v>168307.32</v>
      </c>
      <c r="GD190" s="362">
        <v>71235.33</v>
      </c>
      <c r="GE190" s="362">
        <v>-40083.93</v>
      </c>
      <c r="GF190" s="362">
        <v>31151.4</v>
      </c>
      <c r="GG190" s="202">
        <v>26078.59</v>
      </c>
      <c r="GH190" s="416">
        <v>82</v>
      </c>
      <c r="GI190" s="414">
        <v>1947</v>
      </c>
      <c r="GJ190" s="419">
        <v>202863.76</v>
      </c>
      <c r="GK190" s="396">
        <v>26078.59</v>
      </c>
      <c r="GL190" s="202">
        <v>21384.443800000001</v>
      </c>
      <c r="GM190" s="202">
        <v>4694.1462000000001</v>
      </c>
      <c r="GN190" s="323">
        <v>74776.52</v>
      </c>
      <c r="GO190" s="323">
        <v>52593.55</v>
      </c>
      <c r="GP190" s="323">
        <v>127370.07</v>
      </c>
      <c r="GQ190" s="323">
        <v>146011.85</v>
      </c>
      <c r="GR190" s="323">
        <v>12509.62</v>
      </c>
      <c r="GS190" s="323">
        <v>158521.47</v>
      </c>
    </row>
    <row r="191" spans="1:201" ht="12.75" customHeight="1" x14ac:dyDescent="0.2">
      <c r="A191" s="45" t="s">
        <v>276</v>
      </c>
      <c r="B191" s="66" t="s">
        <v>221</v>
      </c>
      <c r="C191" s="67" t="s">
        <v>52</v>
      </c>
      <c r="D191" s="388" t="s">
        <v>485</v>
      </c>
      <c r="E191" s="67" t="s">
        <v>12</v>
      </c>
      <c r="F191" s="11">
        <v>5</v>
      </c>
      <c r="G191" s="11">
        <v>4</v>
      </c>
      <c r="H191" s="11">
        <v>64</v>
      </c>
      <c r="I191" s="11">
        <v>0</v>
      </c>
      <c r="J191" s="11">
        <v>119</v>
      </c>
      <c r="K191" s="11">
        <v>130</v>
      </c>
      <c r="L191" s="11" t="s">
        <v>746</v>
      </c>
      <c r="M191" s="84">
        <v>246</v>
      </c>
      <c r="N191" s="84">
        <v>863.6</v>
      </c>
      <c r="O191" s="84">
        <v>863.6</v>
      </c>
      <c r="P191" s="135">
        <v>246</v>
      </c>
      <c r="Q191" s="135">
        <v>653.9</v>
      </c>
      <c r="R191" s="133">
        <v>0</v>
      </c>
      <c r="S191" s="133">
        <f t="shared" si="79"/>
        <v>899.9</v>
      </c>
      <c r="T191" s="134">
        <v>246</v>
      </c>
      <c r="U191" s="130">
        <v>1.53</v>
      </c>
      <c r="V191" s="131">
        <v>1.9800000000000002E-2</v>
      </c>
      <c r="W191" s="131">
        <v>1.9800000000000002E-2</v>
      </c>
      <c r="X191" s="132">
        <v>1.2199999999999999E-3</v>
      </c>
      <c r="Y191" s="131">
        <v>3.95E-2</v>
      </c>
      <c r="Z191" s="29">
        <v>2565</v>
      </c>
      <c r="AA191" s="29">
        <v>661.4</v>
      </c>
      <c r="AB191" s="9">
        <f t="shared" si="57"/>
        <v>3226.4</v>
      </c>
      <c r="AC191" s="9">
        <f t="shared" si="82"/>
        <v>20423.11</v>
      </c>
      <c r="AD191" s="9">
        <v>0.39</v>
      </c>
      <c r="AE191" s="9">
        <v>3.62</v>
      </c>
      <c r="AF191" s="21">
        <f>2.41-AJ191</f>
        <v>2.15</v>
      </c>
      <c r="AG191" s="18">
        <f>0.54-AQ191</f>
        <v>0.48</v>
      </c>
      <c r="AH191" s="9">
        <v>2.78</v>
      </c>
      <c r="AI191" s="43">
        <v>829</v>
      </c>
      <c r="AJ191" s="21">
        <f t="shared" si="58"/>
        <v>0.26</v>
      </c>
      <c r="AK191" s="9">
        <v>0</v>
      </c>
      <c r="AL191" s="9">
        <v>0</v>
      </c>
      <c r="AM191" s="9">
        <v>0.28999999999999998</v>
      </c>
      <c r="AN191" s="13"/>
      <c r="AO191" s="13">
        <v>448.8</v>
      </c>
      <c r="AP191" s="13">
        <f t="shared" si="80"/>
        <v>5.58</v>
      </c>
      <c r="AQ191" s="18">
        <f t="shared" si="56"/>
        <v>0.06</v>
      </c>
      <c r="AR191" s="9">
        <v>0.74</v>
      </c>
      <c r="AS191" s="9">
        <v>0.42</v>
      </c>
      <c r="AT191" s="9">
        <v>7.0000000000000007E-2</v>
      </c>
      <c r="AU191" s="9">
        <v>5</v>
      </c>
      <c r="AV191" s="9">
        <v>0.12</v>
      </c>
      <c r="AW191" s="9">
        <f>1.01+0.44+0.35</f>
        <v>1.8</v>
      </c>
      <c r="AX191" s="9">
        <f>1.39+0.61</f>
        <v>2</v>
      </c>
      <c r="AY191" s="69">
        <f t="shared" si="81"/>
        <v>20.18</v>
      </c>
      <c r="AZ191" s="13">
        <v>20.18</v>
      </c>
      <c r="BA191" s="13">
        <f t="shared" si="59"/>
        <v>0</v>
      </c>
      <c r="BB191" s="9">
        <f t="shared" si="60"/>
        <v>65108.75</v>
      </c>
      <c r="BC191" s="9">
        <v>20.18</v>
      </c>
      <c r="BD191" s="10">
        <v>44409</v>
      </c>
      <c r="BE191" s="9">
        <f t="shared" si="61"/>
        <v>1258.3</v>
      </c>
      <c r="BF191" s="9">
        <f t="shared" si="62"/>
        <v>11679.57</v>
      </c>
      <c r="BG191" s="9">
        <f t="shared" si="63"/>
        <v>6936.76</v>
      </c>
      <c r="BH191" s="9">
        <f t="shared" si="64"/>
        <v>1548.67</v>
      </c>
      <c r="BI191" s="9">
        <f t="shared" si="65"/>
        <v>8969.39</v>
      </c>
      <c r="BJ191" s="9">
        <f t="shared" si="66"/>
        <v>838.86</v>
      </c>
      <c r="BK191" s="9">
        <f t="shared" si="67"/>
        <v>0</v>
      </c>
      <c r="BL191" s="9">
        <f t="shared" si="68"/>
        <v>0</v>
      </c>
      <c r="BM191" s="9">
        <f t="shared" si="69"/>
        <v>935.66</v>
      </c>
      <c r="BN191" s="9">
        <f t="shared" si="70"/>
        <v>193.58</v>
      </c>
      <c r="BO191" s="9">
        <f t="shared" si="71"/>
        <v>2387.54</v>
      </c>
      <c r="BP191" s="9">
        <f t="shared" si="72"/>
        <v>1355.09</v>
      </c>
      <c r="BQ191" s="9">
        <f t="shared" si="73"/>
        <v>225.85</v>
      </c>
      <c r="BR191" s="9">
        <f t="shared" si="74"/>
        <v>16132</v>
      </c>
      <c r="BS191" s="9">
        <f t="shared" si="75"/>
        <v>387.17</v>
      </c>
      <c r="BT191" s="9">
        <f t="shared" si="76"/>
        <v>5807.52</v>
      </c>
      <c r="BU191" s="9">
        <f t="shared" si="77"/>
        <v>6452.8</v>
      </c>
      <c r="BV191" s="17">
        <f t="shared" si="78"/>
        <v>65108.76</v>
      </c>
      <c r="BW191" s="17">
        <v>1.72</v>
      </c>
      <c r="BX191" s="17">
        <v>0.04</v>
      </c>
      <c r="BY191" s="17">
        <v>0.25</v>
      </c>
      <c r="BZ191" s="17">
        <v>0.05</v>
      </c>
      <c r="CA191" s="29">
        <v>6.33</v>
      </c>
      <c r="CB191" s="325"/>
      <c r="CC191" s="13">
        <v>160164.6</v>
      </c>
      <c r="CD191" s="13">
        <v>3637.78</v>
      </c>
      <c r="CE191" s="13">
        <v>44862.78</v>
      </c>
      <c r="CF191" s="13">
        <v>4576.8999999999996</v>
      </c>
      <c r="CG191" s="13">
        <v>654.80999999999995</v>
      </c>
      <c r="CH191" s="13">
        <v>0</v>
      </c>
      <c r="CI191" s="13">
        <v>3194.88</v>
      </c>
      <c r="CJ191" s="13">
        <v>17268</v>
      </c>
      <c r="CK191" s="13">
        <v>1240.8399999999999</v>
      </c>
      <c r="CL191" s="13">
        <v>621140.16</v>
      </c>
      <c r="CM191" s="13">
        <v>14107.14</v>
      </c>
      <c r="CN191" s="13">
        <v>188271.22</v>
      </c>
      <c r="CO191" s="13">
        <v>3462.76</v>
      </c>
      <c r="CP191" s="13">
        <v>2539.58</v>
      </c>
      <c r="CQ191" s="13">
        <v>0</v>
      </c>
      <c r="CR191" s="13">
        <v>579964.31999999995</v>
      </c>
      <c r="CS191" s="13">
        <v>12411.31</v>
      </c>
      <c r="CT191" s="13">
        <v>166730.14000000001</v>
      </c>
      <c r="CU191" s="13">
        <v>525.99</v>
      </c>
      <c r="CV191" s="13">
        <v>1320.55</v>
      </c>
      <c r="CW191" s="13">
        <v>0</v>
      </c>
      <c r="CX191" s="13">
        <v>108527.66</v>
      </c>
      <c r="CY191" s="13">
        <v>-108.1</v>
      </c>
      <c r="CZ191" s="13">
        <v>36005.21</v>
      </c>
      <c r="DA191" s="13">
        <v>556.42999999999995</v>
      </c>
      <c r="DB191" s="13">
        <v>421.32</v>
      </c>
      <c r="DC191" s="13"/>
      <c r="DD191" s="315">
        <v>829520.86</v>
      </c>
      <c r="DE191" s="317">
        <v>760952.31</v>
      </c>
      <c r="DF191" s="317">
        <v>91.73</v>
      </c>
      <c r="DG191" s="318">
        <v>145402.51999999999</v>
      </c>
      <c r="DH191" s="310">
        <v>26951.52</v>
      </c>
      <c r="DI191" s="310">
        <v>15413.88</v>
      </c>
      <c r="DJ191" s="312">
        <v>0</v>
      </c>
      <c r="DK191" s="362">
        <v>0</v>
      </c>
      <c r="DL191" s="362"/>
      <c r="DM191" s="362">
        <v>0</v>
      </c>
      <c r="DN191" s="362">
        <v>0</v>
      </c>
      <c r="DO191" s="362">
        <v>0</v>
      </c>
      <c r="DP191" s="362">
        <v>0</v>
      </c>
      <c r="DQ191" s="362">
        <v>0</v>
      </c>
      <c r="DR191" s="362"/>
      <c r="DS191" s="362">
        <v>0</v>
      </c>
      <c r="DT191" s="362"/>
      <c r="DU191" s="362">
        <v>0</v>
      </c>
      <c r="DV191" s="362">
        <v>0</v>
      </c>
      <c r="DW191" s="362">
        <v>0</v>
      </c>
      <c r="DX191" s="362">
        <v>0</v>
      </c>
      <c r="DY191" s="362">
        <v>0</v>
      </c>
      <c r="DZ191" s="375">
        <v>0</v>
      </c>
      <c r="EA191" s="362">
        <v>0</v>
      </c>
      <c r="EB191" s="362">
        <v>0</v>
      </c>
      <c r="EC191" s="362"/>
      <c r="ED191" s="362">
        <v>173123.82</v>
      </c>
      <c r="EE191" s="362">
        <v>12461</v>
      </c>
      <c r="EF191" s="362"/>
      <c r="EG191" s="362">
        <v>13194</v>
      </c>
      <c r="EH191" s="362">
        <v>54565</v>
      </c>
      <c r="EI191" s="362"/>
      <c r="EJ191" s="362">
        <v>47520</v>
      </c>
      <c r="EK191" s="362"/>
      <c r="EL191" s="362">
        <v>0</v>
      </c>
      <c r="EM191" s="362">
        <v>2504.31</v>
      </c>
      <c r="EN191" s="362">
        <v>0</v>
      </c>
      <c r="EO191" s="362">
        <v>0</v>
      </c>
      <c r="EP191" s="362">
        <v>197370</v>
      </c>
      <c r="EQ191" s="362">
        <v>0</v>
      </c>
      <c r="ER191" s="362">
        <v>16380</v>
      </c>
      <c r="ES191" s="362">
        <v>8478</v>
      </c>
      <c r="ET191" s="362">
        <v>12084</v>
      </c>
      <c r="EU191" s="362">
        <v>0</v>
      </c>
      <c r="EV191" s="362">
        <v>8234.01</v>
      </c>
      <c r="EW191" s="362"/>
      <c r="EX191" s="202"/>
      <c r="EY191" s="202"/>
      <c r="EZ191" s="229"/>
      <c r="FA191" s="368">
        <v>17863.03</v>
      </c>
      <c r="FB191" s="368">
        <v>230960.11</v>
      </c>
      <c r="FC191" s="368">
        <v>0</v>
      </c>
      <c r="FD191" s="368">
        <v>0</v>
      </c>
      <c r="FE191" s="368">
        <v>6042.96</v>
      </c>
      <c r="FF191" s="368">
        <v>4188.97</v>
      </c>
      <c r="FG191" s="368">
        <v>0</v>
      </c>
      <c r="FH191" s="368">
        <v>-848.44</v>
      </c>
      <c r="FI191" s="368">
        <v>0</v>
      </c>
      <c r="FJ191" s="368">
        <v>0</v>
      </c>
      <c r="FK191" s="368">
        <v>0</v>
      </c>
      <c r="FL191" s="368">
        <v>0</v>
      </c>
      <c r="FM191" s="368">
        <v>86258</v>
      </c>
      <c r="FN191" s="368">
        <v>54846.84</v>
      </c>
      <c r="FO191" s="323">
        <v>729384.38</v>
      </c>
      <c r="FP191" s="323">
        <v>258206.63</v>
      </c>
      <c r="FQ191" s="323">
        <v>987591.01</v>
      </c>
      <c r="FR191" s="362">
        <v>108294.91</v>
      </c>
      <c r="FS191" s="362">
        <v>19664.52</v>
      </c>
      <c r="FT191" s="377">
        <v>127959.43</v>
      </c>
      <c r="FU191" s="377">
        <v>801767.64</v>
      </c>
      <c r="FV191" s="377">
        <v>263353.81</v>
      </c>
      <c r="FW191" s="362">
        <v>1065121.45</v>
      </c>
      <c r="FX191" s="362">
        <v>770753.41</v>
      </c>
      <c r="FY191" s="362">
        <v>235882.98</v>
      </c>
      <c r="FZ191" s="362">
        <v>1006636.39</v>
      </c>
      <c r="GA191" s="362">
        <v>139309.14000000001</v>
      </c>
      <c r="GB191" s="362">
        <v>47135.35</v>
      </c>
      <c r="GC191" s="362">
        <v>186444.49</v>
      </c>
      <c r="GD191" s="362">
        <v>58875.51</v>
      </c>
      <c r="GE191" s="362">
        <v>-76467.86</v>
      </c>
      <c r="GF191" s="362">
        <v>-17592.349999999999</v>
      </c>
      <c r="GG191" s="202">
        <v>41041.97</v>
      </c>
      <c r="GH191" s="416">
        <v>75</v>
      </c>
      <c r="GI191" s="414">
        <v>1947</v>
      </c>
      <c r="GJ191" s="419">
        <v>213896.87</v>
      </c>
      <c r="GK191" s="396">
        <v>41041.97</v>
      </c>
      <c r="GL191" s="202">
        <v>30781.477500000001</v>
      </c>
      <c r="GM191" s="202">
        <v>10260.4925</v>
      </c>
      <c r="GN191" s="323">
        <v>72383.259999999995</v>
      </c>
      <c r="GO191" s="323">
        <v>5147.18</v>
      </c>
      <c r="GP191" s="323">
        <v>77530.44</v>
      </c>
      <c r="GQ191" s="323">
        <v>131258.76999999999</v>
      </c>
      <c r="GR191" s="323">
        <v>-71320.679999999993</v>
      </c>
      <c r="GS191" s="323">
        <v>59938.09</v>
      </c>
    </row>
    <row r="192" spans="1:201" x14ac:dyDescent="0.2">
      <c r="A192" s="45" t="s">
        <v>278</v>
      </c>
      <c r="B192" s="66" t="s">
        <v>221</v>
      </c>
      <c r="C192" s="67" t="s">
        <v>243</v>
      </c>
      <c r="D192" s="388" t="s">
        <v>486</v>
      </c>
      <c r="E192" s="67" t="s">
        <v>12</v>
      </c>
      <c r="F192" s="11">
        <v>5</v>
      </c>
      <c r="G192" s="11">
        <v>4</v>
      </c>
      <c r="H192" s="11">
        <v>64</v>
      </c>
      <c r="I192" s="11">
        <v>0</v>
      </c>
      <c r="J192" s="11">
        <v>108</v>
      </c>
      <c r="K192" s="11">
        <v>127</v>
      </c>
      <c r="L192" s="11" t="s">
        <v>746</v>
      </c>
      <c r="M192" s="84">
        <v>247</v>
      </c>
      <c r="N192" s="84">
        <v>672.1</v>
      </c>
      <c r="O192" s="84">
        <v>672.1</v>
      </c>
      <c r="P192" s="139">
        <v>242</v>
      </c>
      <c r="Q192" s="135">
        <v>874.7</v>
      </c>
      <c r="R192" s="133">
        <v>0</v>
      </c>
      <c r="S192" s="133">
        <f t="shared" si="79"/>
        <v>1116.7</v>
      </c>
      <c r="T192" s="139">
        <v>247</v>
      </c>
      <c r="U192" s="130">
        <v>1.53</v>
      </c>
      <c r="V192" s="131">
        <v>1.9800000000000002E-2</v>
      </c>
      <c r="W192" s="131">
        <v>1.9800000000000002E-2</v>
      </c>
      <c r="X192" s="132">
        <v>1.2199999999999999E-3</v>
      </c>
      <c r="Y192" s="131">
        <v>3.95E-2</v>
      </c>
      <c r="Z192" s="29">
        <v>2602.3200000000002</v>
      </c>
      <c r="AA192" s="29">
        <v>1076.7</v>
      </c>
      <c r="AB192" s="9">
        <f t="shared" si="57"/>
        <v>3679.02</v>
      </c>
      <c r="AC192" s="9">
        <f t="shared" si="82"/>
        <v>23288.2</v>
      </c>
      <c r="AD192" s="9">
        <v>0.34</v>
      </c>
      <c r="AE192" s="9">
        <v>3.81</v>
      </c>
      <c r="AF192" s="21">
        <f>2.33-AJ192</f>
        <v>2.15</v>
      </c>
      <c r="AG192" s="18">
        <f>0.53-AQ192</f>
        <v>0.47</v>
      </c>
      <c r="AH192" s="9">
        <v>2.78</v>
      </c>
      <c r="AI192" s="43">
        <v>645</v>
      </c>
      <c r="AJ192" s="21">
        <f t="shared" si="58"/>
        <v>0.18</v>
      </c>
      <c r="AK192" s="9">
        <v>0</v>
      </c>
      <c r="AL192" s="9">
        <v>0</v>
      </c>
      <c r="AM192" s="9">
        <v>0.26</v>
      </c>
      <c r="AN192" s="13"/>
      <c r="AO192" s="13">
        <v>448.8</v>
      </c>
      <c r="AP192" s="13">
        <f t="shared" si="80"/>
        <v>5.58</v>
      </c>
      <c r="AQ192" s="18">
        <f t="shared" si="56"/>
        <v>0.06</v>
      </c>
      <c r="AR192" s="9">
        <v>0.54</v>
      </c>
      <c r="AS192" s="9">
        <v>0.37</v>
      </c>
      <c r="AT192" s="9">
        <v>7.0000000000000007E-2</v>
      </c>
      <c r="AU192" s="9">
        <v>4.9800000000000004</v>
      </c>
      <c r="AV192" s="9">
        <v>0.11</v>
      </c>
      <c r="AW192" s="9">
        <f>0.99+0.35+0.44</f>
        <v>1.78</v>
      </c>
      <c r="AX192" s="9">
        <f>1.35+0.6</f>
        <v>1.95</v>
      </c>
      <c r="AY192" s="69">
        <f t="shared" si="81"/>
        <v>19.850000000000001</v>
      </c>
      <c r="AZ192" s="13">
        <v>19.850000000000001</v>
      </c>
      <c r="BA192" s="13">
        <f t="shared" si="59"/>
        <v>0</v>
      </c>
      <c r="BB192" s="9">
        <f t="shared" si="60"/>
        <v>73028.55</v>
      </c>
      <c r="BC192" s="9">
        <v>19.850000000000001</v>
      </c>
      <c r="BD192" s="10">
        <v>44409</v>
      </c>
      <c r="BE192" s="9">
        <f t="shared" si="61"/>
        <v>1250.8699999999999</v>
      </c>
      <c r="BF192" s="9">
        <f t="shared" si="62"/>
        <v>14017.07</v>
      </c>
      <c r="BG192" s="9">
        <f t="shared" si="63"/>
        <v>7909.89</v>
      </c>
      <c r="BH192" s="9">
        <f t="shared" si="64"/>
        <v>1729.14</v>
      </c>
      <c r="BI192" s="9">
        <f t="shared" si="65"/>
        <v>10227.68</v>
      </c>
      <c r="BJ192" s="9">
        <f t="shared" si="66"/>
        <v>662.22</v>
      </c>
      <c r="BK192" s="9">
        <f t="shared" si="67"/>
        <v>0</v>
      </c>
      <c r="BL192" s="9">
        <f t="shared" si="68"/>
        <v>0</v>
      </c>
      <c r="BM192" s="9">
        <f t="shared" si="69"/>
        <v>956.55</v>
      </c>
      <c r="BN192" s="9">
        <f t="shared" si="70"/>
        <v>220.74</v>
      </c>
      <c r="BO192" s="9">
        <f t="shared" si="71"/>
        <v>1986.67</v>
      </c>
      <c r="BP192" s="9">
        <f t="shared" si="72"/>
        <v>1361.24</v>
      </c>
      <c r="BQ192" s="9">
        <f t="shared" si="73"/>
        <v>257.52999999999997</v>
      </c>
      <c r="BR192" s="9">
        <f t="shared" si="74"/>
        <v>18321.52</v>
      </c>
      <c r="BS192" s="9">
        <f t="shared" si="75"/>
        <v>404.69</v>
      </c>
      <c r="BT192" s="9">
        <f t="shared" si="76"/>
        <v>6548.66</v>
      </c>
      <c r="BU192" s="9">
        <f t="shared" si="77"/>
        <v>7174.09</v>
      </c>
      <c r="BV192" s="17">
        <f t="shared" si="78"/>
        <v>73028.56</v>
      </c>
      <c r="BW192" s="17">
        <v>1.87</v>
      </c>
      <c r="BX192" s="17">
        <v>0.04</v>
      </c>
      <c r="BY192" s="17">
        <v>0.22</v>
      </c>
      <c r="BZ192" s="17">
        <v>0.04</v>
      </c>
      <c r="CA192" s="29">
        <v>6.33</v>
      </c>
      <c r="CB192" s="325"/>
      <c r="CC192" s="13">
        <v>256470</v>
      </c>
      <c r="CD192" s="13">
        <v>12080.56</v>
      </c>
      <c r="CE192" s="13">
        <v>54481.02</v>
      </c>
      <c r="CF192" s="13">
        <v>344.48</v>
      </c>
      <c r="CG192" s="13">
        <v>430.64</v>
      </c>
      <c r="CH192" s="13">
        <v>0</v>
      </c>
      <c r="CI192" s="13">
        <v>8701.02</v>
      </c>
      <c r="CJ192" s="13">
        <v>21588</v>
      </c>
      <c r="CK192" s="13">
        <v>1414.91</v>
      </c>
      <c r="CL192" s="13">
        <v>619887.42000000004</v>
      </c>
      <c r="CM192" s="13">
        <v>29199.09</v>
      </c>
      <c r="CN192" s="13">
        <v>131680.79999999999</v>
      </c>
      <c r="CO192" s="13">
        <v>832.56</v>
      </c>
      <c r="CP192" s="13">
        <v>1040.76</v>
      </c>
      <c r="CQ192" s="13">
        <v>0</v>
      </c>
      <c r="CR192" s="13">
        <v>594452.68000000005</v>
      </c>
      <c r="CS192" s="13">
        <v>32111.25</v>
      </c>
      <c r="CT192" s="13">
        <v>109430.53</v>
      </c>
      <c r="CU192" s="13">
        <v>949.29</v>
      </c>
      <c r="CV192" s="13">
        <v>1068.53</v>
      </c>
      <c r="CW192" s="13">
        <v>0</v>
      </c>
      <c r="CX192" s="13">
        <v>90476.68</v>
      </c>
      <c r="CY192" s="13">
        <v>7202.29</v>
      </c>
      <c r="CZ192" s="13">
        <v>15155.79</v>
      </c>
      <c r="DA192" s="13">
        <v>24.08</v>
      </c>
      <c r="DB192" s="13">
        <v>104.87</v>
      </c>
      <c r="DC192" s="13"/>
      <c r="DD192" s="315">
        <v>782640.63</v>
      </c>
      <c r="DE192" s="317">
        <v>738012.28</v>
      </c>
      <c r="DF192" s="317">
        <v>94.3</v>
      </c>
      <c r="DG192" s="318">
        <v>112963.71</v>
      </c>
      <c r="DH192" s="310">
        <v>27343.68</v>
      </c>
      <c r="DI192" s="310">
        <v>15638.16</v>
      </c>
      <c r="DJ192" s="312">
        <v>0</v>
      </c>
      <c r="DK192" s="362">
        <v>0</v>
      </c>
      <c r="DL192" s="362"/>
      <c r="DM192" s="362">
        <v>0</v>
      </c>
      <c r="DN192" s="362">
        <v>0</v>
      </c>
      <c r="DO192" s="362">
        <v>0</v>
      </c>
      <c r="DP192" s="362">
        <v>0</v>
      </c>
      <c r="DQ192" s="362">
        <v>0</v>
      </c>
      <c r="DR192" s="362"/>
      <c r="DS192" s="362">
        <v>0</v>
      </c>
      <c r="DT192" s="362"/>
      <c r="DU192" s="362">
        <v>0</v>
      </c>
      <c r="DV192" s="362">
        <v>0</v>
      </c>
      <c r="DW192" s="362">
        <v>0</v>
      </c>
      <c r="DX192" s="362">
        <v>0</v>
      </c>
      <c r="DY192" s="362">
        <v>0</v>
      </c>
      <c r="DZ192" s="375">
        <v>0</v>
      </c>
      <c r="EA192" s="362">
        <v>0</v>
      </c>
      <c r="EB192" s="362">
        <v>0</v>
      </c>
      <c r="EC192" s="362"/>
      <c r="ED192" s="362">
        <v>204722.22</v>
      </c>
      <c r="EE192" s="362">
        <v>12461</v>
      </c>
      <c r="EF192" s="362"/>
      <c r="EG192" s="362">
        <v>10266</v>
      </c>
      <c r="EH192" s="362">
        <v>37170</v>
      </c>
      <c r="EI192" s="362"/>
      <c r="EJ192" s="362">
        <v>22260</v>
      </c>
      <c r="EK192" s="362"/>
      <c r="EL192" s="362">
        <v>0</v>
      </c>
      <c r="EM192" s="362">
        <v>2504.31</v>
      </c>
      <c r="EN192" s="362">
        <v>0</v>
      </c>
      <c r="EO192" s="362">
        <v>0</v>
      </c>
      <c r="EP192" s="362">
        <v>225060</v>
      </c>
      <c r="EQ192" s="362">
        <v>0</v>
      </c>
      <c r="ER192" s="362">
        <v>16380</v>
      </c>
      <c r="ES192" s="362">
        <v>4710</v>
      </c>
      <c r="ET192" s="362">
        <v>7844</v>
      </c>
      <c r="EU192" s="362">
        <v>0</v>
      </c>
      <c r="EV192" s="362">
        <v>29356.23</v>
      </c>
      <c r="EW192" s="362"/>
      <c r="EX192" s="202"/>
      <c r="EY192" s="202"/>
      <c r="EZ192" s="229"/>
      <c r="FA192" s="368">
        <v>53813.72</v>
      </c>
      <c r="FB192" s="368">
        <v>454729.63</v>
      </c>
      <c r="FC192" s="368">
        <v>0</v>
      </c>
      <c r="FD192" s="368">
        <v>0</v>
      </c>
      <c r="FE192" s="368">
        <v>931.76</v>
      </c>
      <c r="FF192" s="368">
        <v>1367.44</v>
      </c>
      <c r="FG192" s="368">
        <v>0</v>
      </c>
      <c r="FH192" s="368">
        <v>-941.28</v>
      </c>
      <c r="FI192" s="368">
        <v>0</v>
      </c>
      <c r="FJ192" s="368">
        <v>0</v>
      </c>
      <c r="FK192" s="368">
        <v>50061.440000000002</v>
      </c>
      <c r="FL192" s="368">
        <v>0</v>
      </c>
      <c r="FM192" s="368">
        <v>98358.82</v>
      </c>
      <c r="FN192" s="368">
        <v>62542.49</v>
      </c>
      <c r="FO192" s="323">
        <v>776616.91</v>
      </c>
      <c r="FP192" s="323">
        <v>559962.71</v>
      </c>
      <c r="FQ192" s="323">
        <v>1336579.6200000001</v>
      </c>
      <c r="FR192" s="362">
        <v>122149.77</v>
      </c>
      <c r="FS192" s="362">
        <v>19772.02</v>
      </c>
      <c r="FT192" s="377">
        <v>141921.79</v>
      </c>
      <c r="FU192" s="377">
        <v>906646.44</v>
      </c>
      <c r="FV192" s="377">
        <v>231504.82</v>
      </c>
      <c r="FW192" s="362">
        <v>1138151.26</v>
      </c>
      <c r="FX192" s="362">
        <v>905346.28</v>
      </c>
      <c r="FY192" s="362">
        <v>220024.77</v>
      </c>
      <c r="FZ192" s="362">
        <v>1125371.05</v>
      </c>
      <c r="GA192" s="362">
        <v>123449.93</v>
      </c>
      <c r="GB192" s="362">
        <v>31252.07</v>
      </c>
      <c r="GC192" s="362">
        <v>154702</v>
      </c>
      <c r="GD192" s="362">
        <v>96190.79</v>
      </c>
      <c r="GE192" s="362">
        <v>-14619.83</v>
      </c>
      <c r="GF192" s="362">
        <v>81570.960000000006</v>
      </c>
      <c r="GG192" s="202">
        <v>41738.29</v>
      </c>
      <c r="GH192" s="416">
        <v>79</v>
      </c>
      <c r="GI192" s="414">
        <v>1947</v>
      </c>
      <c r="GJ192" s="419">
        <v>323806.7</v>
      </c>
      <c r="GK192" s="396">
        <v>41738.29</v>
      </c>
      <c r="GL192" s="202">
        <v>32973.249100000001</v>
      </c>
      <c r="GM192" s="202">
        <v>8765.0409</v>
      </c>
      <c r="GN192" s="323">
        <v>130029.53</v>
      </c>
      <c r="GO192" s="323">
        <v>-328457.89</v>
      </c>
      <c r="GP192" s="323">
        <v>-198428.36</v>
      </c>
      <c r="GQ192" s="323">
        <v>226220.32</v>
      </c>
      <c r="GR192" s="323">
        <v>-343077.72</v>
      </c>
      <c r="GS192" s="323">
        <v>-116857.4</v>
      </c>
    </row>
    <row r="193" spans="1:201" x14ac:dyDescent="0.2">
      <c r="A193" s="45" t="s">
        <v>279</v>
      </c>
      <c r="B193" s="66" t="s">
        <v>221</v>
      </c>
      <c r="C193" s="67" t="s">
        <v>245</v>
      </c>
      <c r="D193" s="388" t="s">
        <v>487</v>
      </c>
      <c r="E193" s="67" t="s">
        <v>12</v>
      </c>
      <c r="F193" s="11">
        <v>5</v>
      </c>
      <c r="G193" s="11">
        <v>4</v>
      </c>
      <c r="H193" s="11">
        <v>64</v>
      </c>
      <c r="I193" s="11">
        <v>0</v>
      </c>
      <c r="J193" s="11">
        <v>110</v>
      </c>
      <c r="K193" s="11">
        <v>123</v>
      </c>
      <c r="L193" s="11" t="s">
        <v>746</v>
      </c>
      <c r="M193" s="84">
        <v>246.8</v>
      </c>
      <c r="N193" s="84">
        <v>672.1</v>
      </c>
      <c r="O193" s="84">
        <v>672.1</v>
      </c>
      <c r="P193" s="139">
        <v>246.8</v>
      </c>
      <c r="Q193" s="139">
        <v>672.1</v>
      </c>
      <c r="R193" s="139">
        <v>672.1</v>
      </c>
      <c r="S193" s="133">
        <f t="shared" si="79"/>
        <v>1591</v>
      </c>
      <c r="T193" s="139">
        <v>246.8</v>
      </c>
      <c r="U193" s="130">
        <v>1.53</v>
      </c>
      <c r="V193" s="131">
        <v>1.9800000000000002E-2</v>
      </c>
      <c r="W193" s="131">
        <v>1.9800000000000002E-2</v>
      </c>
      <c r="X193" s="132">
        <v>1.2199999999999999E-3</v>
      </c>
      <c r="Y193" s="131">
        <v>3.95E-2</v>
      </c>
      <c r="Z193" s="29">
        <v>2564.7399999999998</v>
      </c>
      <c r="AA193" s="29">
        <v>886.8</v>
      </c>
      <c r="AB193" s="9">
        <f t="shared" si="57"/>
        <v>3451.54</v>
      </c>
      <c r="AC193" s="9">
        <f t="shared" si="82"/>
        <v>21848.25</v>
      </c>
      <c r="AD193" s="9">
        <v>0.35</v>
      </c>
      <c r="AE193" s="9">
        <v>4.75</v>
      </c>
      <c r="AF193" s="21">
        <f>2.39-AJ193</f>
        <v>2.2000000000000002</v>
      </c>
      <c r="AG193" s="18">
        <f>0.54-AQ193</f>
        <v>0.48</v>
      </c>
      <c r="AH193" s="9">
        <v>2.78</v>
      </c>
      <c r="AI193" s="43">
        <v>645</v>
      </c>
      <c r="AJ193" s="21">
        <f t="shared" si="58"/>
        <v>0.19</v>
      </c>
      <c r="AK193" s="9">
        <v>0</v>
      </c>
      <c r="AL193" s="9">
        <v>0</v>
      </c>
      <c r="AM193" s="9">
        <v>0.17</v>
      </c>
      <c r="AN193" s="13"/>
      <c r="AO193" s="13">
        <v>448.8</v>
      </c>
      <c r="AP193" s="13">
        <f t="shared" si="80"/>
        <v>5.58</v>
      </c>
      <c r="AQ193" s="18">
        <f t="shared" si="56"/>
        <v>0.06</v>
      </c>
      <c r="AR193" s="9">
        <v>0.69</v>
      </c>
      <c r="AS193" s="9">
        <v>0.4</v>
      </c>
      <c r="AT193" s="9">
        <v>7.0000000000000007E-2</v>
      </c>
      <c r="AU193" s="9">
        <v>4.04</v>
      </c>
      <c r="AV193" s="9">
        <v>0.11</v>
      </c>
      <c r="AW193" s="9">
        <f>1.09+0.35+0.35</f>
        <v>1.79</v>
      </c>
      <c r="AX193" s="9">
        <f>1.49+0.48</f>
        <v>1.97</v>
      </c>
      <c r="AY193" s="69">
        <f t="shared" si="81"/>
        <v>20.05</v>
      </c>
      <c r="AZ193" s="13">
        <v>20.05</v>
      </c>
      <c r="BA193" s="13">
        <f t="shared" si="59"/>
        <v>0</v>
      </c>
      <c r="BB193" s="9">
        <f t="shared" si="60"/>
        <v>69203.38</v>
      </c>
      <c r="BC193" s="9">
        <v>20.05</v>
      </c>
      <c r="BD193" s="10">
        <v>44409</v>
      </c>
      <c r="BE193" s="9">
        <f t="shared" si="61"/>
        <v>1208.04</v>
      </c>
      <c r="BF193" s="9">
        <f t="shared" si="62"/>
        <v>16394.82</v>
      </c>
      <c r="BG193" s="9">
        <f t="shared" si="63"/>
        <v>7593.39</v>
      </c>
      <c r="BH193" s="9">
        <f t="shared" si="64"/>
        <v>1656.74</v>
      </c>
      <c r="BI193" s="9">
        <f t="shared" si="65"/>
        <v>9595.2800000000007</v>
      </c>
      <c r="BJ193" s="9">
        <f t="shared" si="66"/>
        <v>655.79</v>
      </c>
      <c r="BK193" s="9">
        <f t="shared" si="67"/>
        <v>0</v>
      </c>
      <c r="BL193" s="9">
        <f t="shared" si="68"/>
        <v>0</v>
      </c>
      <c r="BM193" s="9">
        <f t="shared" si="69"/>
        <v>586.76</v>
      </c>
      <c r="BN193" s="9">
        <f t="shared" si="70"/>
        <v>207.09</v>
      </c>
      <c r="BO193" s="9">
        <f t="shared" si="71"/>
        <v>2381.56</v>
      </c>
      <c r="BP193" s="9">
        <f t="shared" si="72"/>
        <v>1380.62</v>
      </c>
      <c r="BQ193" s="9">
        <f t="shared" si="73"/>
        <v>241.61</v>
      </c>
      <c r="BR193" s="9">
        <f t="shared" si="74"/>
        <v>13944.22</v>
      </c>
      <c r="BS193" s="9">
        <f t="shared" si="75"/>
        <v>379.67</v>
      </c>
      <c r="BT193" s="9">
        <f t="shared" si="76"/>
        <v>6178.26</v>
      </c>
      <c r="BU193" s="9">
        <f t="shared" si="77"/>
        <v>6799.53</v>
      </c>
      <c r="BV193" s="17">
        <f t="shared" si="78"/>
        <v>69203.38</v>
      </c>
      <c r="BW193" s="17">
        <v>1.3</v>
      </c>
      <c r="BX193" s="17">
        <v>0.04</v>
      </c>
      <c r="BY193" s="17">
        <v>0.23</v>
      </c>
      <c r="BZ193" s="17">
        <v>0.04</v>
      </c>
      <c r="CA193" s="29">
        <v>6.33</v>
      </c>
      <c r="CB193" s="325"/>
      <c r="CC193" s="13">
        <v>213364.44</v>
      </c>
      <c r="CD193" s="13">
        <v>19004.27</v>
      </c>
      <c r="CE193" s="13">
        <v>10845.63</v>
      </c>
      <c r="CF193" s="13">
        <v>257.08999999999997</v>
      </c>
      <c r="CG193" s="13">
        <v>354.76</v>
      </c>
      <c r="CH193" s="13">
        <v>0</v>
      </c>
      <c r="CI193" s="13">
        <v>1381.71</v>
      </c>
      <c r="CJ193" s="13">
        <v>21588</v>
      </c>
      <c r="CK193" s="13">
        <v>1328.2</v>
      </c>
      <c r="CL193" s="13">
        <v>617007.98</v>
      </c>
      <c r="CM193" s="13">
        <v>54978.73</v>
      </c>
      <c r="CN193" s="13">
        <v>31387.8</v>
      </c>
      <c r="CO193" s="13">
        <v>744.45</v>
      </c>
      <c r="CP193" s="13">
        <v>1025.92</v>
      </c>
      <c r="CQ193" s="13">
        <v>0</v>
      </c>
      <c r="CR193" s="13">
        <v>615313.29</v>
      </c>
      <c r="CS193" s="13">
        <v>53653.62</v>
      </c>
      <c r="CT193" s="13">
        <v>32451.67</v>
      </c>
      <c r="CU193" s="13">
        <v>1347.04</v>
      </c>
      <c r="CV193" s="13">
        <v>1062.22</v>
      </c>
      <c r="CW193" s="13">
        <v>0</v>
      </c>
      <c r="CX193" s="13">
        <v>50275.86</v>
      </c>
      <c r="CY193" s="13">
        <v>4410.8</v>
      </c>
      <c r="CZ193" s="13">
        <v>845.2</v>
      </c>
      <c r="DA193" s="13">
        <v>3.5</v>
      </c>
      <c r="DB193" s="13">
        <v>50.6</v>
      </c>
      <c r="DC193" s="13"/>
      <c r="DD193" s="315">
        <v>705144.88</v>
      </c>
      <c r="DE193" s="317">
        <v>703827.84</v>
      </c>
      <c r="DF193" s="317">
        <v>99.81</v>
      </c>
      <c r="DG193" s="318">
        <v>55585.96</v>
      </c>
      <c r="DH193" s="310">
        <v>26971.919999999998</v>
      </c>
      <c r="DI193" s="310">
        <v>15425.52</v>
      </c>
      <c r="DJ193" s="312">
        <v>0</v>
      </c>
      <c r="DK193" s="362">
        <v>0</v>
      </c>
      <c r="DL193" s="362"/>
      <c r="DM193" s="362">
        <v>0</v>
      </c>
      <c r="DN193" s="362">
        <v>0</v>
      </c>
      <c r="DO193" s="362">
        <v>0</v>
      </c>
      <c r="DP193" s="362">
        <v>0</v>
      </c>
      <c r="DQ193" s="362">
        <v>0</v>
      </c>
      <c r="DR193" s="362"/>
      <c r="DS193" s="362">
        <v>0</v>
      </c>
      <c r="DT193" s="362"/>
      <c r="DU193" s="362">
        <v>0</v>
      </c>
      <c r="DV193" s="362">
        <v>0</v>
      </c>
      <c r="DW193" s="362">
        <v>0</v>
      </c>
      <c r="DX193" s="362">
        <v>0</v>
      </c>
      <c r="DY193" s="362">
        <v>0</v>
      </c>
      <c r="DZ193" s="375">
        <v>0</v>
      </c>
      <c r="EA193" s="362">
        <v>0</v>
      </c>
      <c r="EB193" s="362">
        <v>0</v>
      </c>
      <c r="EC193" s="362"/>
      <c r="ED193" s="362">
        <v>235013.1</v>
      </c>
      <c r="EE193" s="362">
        <v>12461</v>
      </c>
      <c r="EF193" s="362"/>
      <c r="EG193" s="362">
        <v>10266</v>
      </c>
      <c r="EH193" s="362">
        <v>32655</v>
      </c>
      <c r="EI193" s="362"/>
      <c r="EJ193" s="362">
        <v>28620</v>
      </c>
      <c r="EK193" s="362"/>
      <c r="EL193" s="362">
        <v>0</v>
      </c>
      <c r="EM193" s="362">
        <v>2504.31</v>
      </c>
      <c r="EN193" s="362">
        <v>0</v>
      </c>
      <c r="EO193" s="362">
        <v>0</v>
      </c>
      <c r="EP193" s="362">
        <v>213060</v>
      </c>
      <c r="EQ193" s="362">
        <v>0</v>
      </c>
      <c r="ER193" s="362">
        <v>16380</v>
      </c>
      <c r="ES193" s="362">
        <v>2885</v>
      </c>
      <c r="ET193" s="362">
        <v>12084</v>
      </c>
      <c r="EU193" s="362">
        <v>0</v>
      </c>
      <c r="EV193" s="362">
        <v>17508.63</v>
      </c>
      <c r="EW193" s="362"/>
      <c r="EX193" s="202"/>
      <c r="EY193" s="202"/>
      <c r="EZ193" s="229"/>
      <c r="FA193" s="368">
        <v>69095.81</v>
      </c>
      <c r="FB193" s="368">
        <v>36478.949999999997</v>
      </c>
      <c r="FC193" s="368">
        <v>0</v>
      </c>
      <c r="FD193" s="368">
        <v>0</v>
      </c>
      <c r="FE193" s="368">
        <v>1395.93</v>
      </c>
      <c r="FF193" s="368">
        <v>1366.35</v>
      </c>
      <c r="FG193" s="368">
        <v>0</v>
      </c>
      <c r="FH193" s="368">
        <v>-883.64</v>
      </c>
      <c r="FI193" s="368">
        <v>0</v>
      </c>
      <c r="FJ193" s="368">
        <v>0</v>
      </c>
      <c r="FK193" s="368">
        <v>0</v>
      </c>
      <c r="FL193" s="368">
        <v>0</v>
      </c>
      <c r="FM193" s="368">
        <v>92301.85</v>
      </c>
      <c r="FN193" s="368">
        <v>58690.34</v>
      </c>
      <c r="FO193" s="323">
        <v>776826.67</v>
      </c>
      <c r="FP193" s="323">
        <v>107453.4</v>
      </c>
      <c r="FQ193" s="323">
        <v>884280.07</v>
      </c>
      <c r="FR193" s="362">
        <v>86265.73</v>
      </c>
      <c r="FS193" s="362">
        <v>23967.71</v>
      </c>
      <c r="FT193" s="377">
        <v>110233.44</v>
      </c>
      <c r="FU193" s="377">
        <v>853342.13</v>
      </c>
      <c r="FV193" s="377">
        <v>119926.85</v>
      </c>
      <c r="FW193" s="362">
        <v>973268.98</v>
      </c>
      <c r="FX193" s="362">
        <v>868817.96</v>
      </c>
      <c r="FY193" s="362">
        <v>135787.09</v>
      </c>
      <c r="FZ193" s="362">
        <v>1004605.05</v>
      </c>
      <c r="GA193" s="362">
        <v>70789.899999999994</v>
      </c>
      <c r="GB193" s="362">
        <v>8107.47</v>
      </c>
      <c r="GC193" s="362">
        <v>78897.37</v>
      </c>
      <c r="GD193" s="362">
        <v>63691.31</v>
      </c>
      <c r="GE193" s="362">
        <v>-16372.04</v>
      </c>
      <c r="GF193" s="362">
        <v>47319.27</v>
      </c>
      <c r="GG193" s="202">
        <v>23311.41</v>
      </c>
      <c r="GH193" s="416">
        <v>88</v>
      </c>
      <c r="GI193" s="414">
        <v>1947</v>
      </c>
      <c r="GJ193" s="419">
        <v>243826.19</v>
      </c>
      <c r="GK193" s="396">
        <v>23311.41</v>
      </c>
      <c r="GL193" s="202">
        <v>20514.040799999999</v>
      </c>
      <c r="GM193" s="202">
        <v>2797.3692000000001</v>
      </c>
      <c r="GN193" s="323">
        <v>76515.460000000006</v>
      </c>
      <c r="GO193" s="323">
        <v>12473.45</v>
      </c>
      <c r="GP193" s="323">
        <v>88988.91</v>
      </c>
      <c r="GQ193" s="323">
        <v>140206.76999999999</v>
      </c>
      <c r="GR193" s="323">
        <v>-3898.59</v>
      </c>
      <c r="GS193" s="323">
        <v>136308.18</v>
      </c>
    </row>
    <row r="194" spans="1:201" x14ac:dyDescent="0.2">
      <c r="A194" s="45" t="s">
        <v>280</v>
      </c>
      <c r="B194" s="66" t="s">
        <v>221</v>
      </c>
      <c r="C194" s="67" t="s">
        <v>247</v>
      </c>
      <c r="D194" s="388" t="s">
        <v>656</v>
      </c>
      <c r="E194" s="67" t="s">
        <v>44</v>
      </c>
      <c r="F194" s="11">
        <v>5</v>
      </c>
      <c r="G194" s="11">
        <v>4</v>
      </c>
      <c r="H194" s="11">
        <v>64</v>
      </c>
      <c r="I194" s="11">
        <v>0</v>
      </c>
      <c r="J194" s="11">
        <v>116</v>
      </c>
      <c r="K194" s="11">
        <v>135</v>
      </c>
      <c r="L194" s="11" t="s">
        <v>746</v>
      </c>
      <c r="M194" s="84">
        <v>937</v>
      </c>
      <c r="N194" s="84">
        <v>872.1</v>
      </c>
      <c r="O194" s="84">
        <v>872.1</v>
      </c>
      <c r="P194" s="139">
        <v>937</v>
      </c>
      <c r="Q194" s="139">
        <v>872.1</v>
      </c>
      <c r="R194" s="139">
        <v>872.1</v>
      </c>
      <c r="S194" s="133">
        <f t="shared" si="79"/>
        <v>2681.2</v>
      </c>
      <c r="T194" s="139">
        <v>246.8</v>
      </c>
      <c r="U194" s="130">
        <v>1.53</v>
      </c>
      <c r="V194" s="131">
        <v>1.9800000000000002E-2</v>
      </c>
      <c r="W194" s="131">
        <v>1.9800000000000002E-2</v>
      </c>
      <c r="X194" s="132">
        <v>1.2199999999999999E-3</v>
      </c>
      <c r="Y194" s="131">
        <v>3.95E-2</v>
      </c>
      <c r="Z194" s="29">
        <v>2607.1999999999998</v>
      </c>
      <c r="AA194" s="29">
        <v>605.4</v>
      </c>
      <c r="AB194" s="9">
        <f t="shared" si="57"/>
        <v>3212.6</v>
      </c>
      <c r="AC194" s="9">
        <f t="shared" si="82"/>
        <v>20335.759999999998</v>
      </c>
      <c r="AD194" s="9">
        <v>0.39</v>
      </c>
      <c r="AE194" s="9">
        <v>4.55</v>
      </c>
      <c r="AF194" s="21">
        <f>2.44-AJ194</f>
        <v>2.1800000000000002</v>
      </c>
      <c r="AG194" s="18">
        <f>0.54-AQ194</f>
        <v>0.48</v>
      </c>
      <c r="AH194" s="9">
        <v>2.78</v>
      </c>
      <c r="AI194" s="43">
        <v>837</v>
      </c>
      <c r="AJ194" s="21">
        <f t="shared" si="58"/>
        <v>0.26</v>
      </c>
      <c r="AK194" s="9">
        <v>0</v>
      </c>
      <c r="AL194" s="9">
        <v>0</v>
      </c>
      <c r="AM194" s="9">
        <v>0.18</v>
      </c>
      <c r="AN194" s="13"/>
      <c r="AO194" s="13">
        <v>448.8</v>
      </c>
      <c r="AP194" s="13">
        <f t="shared" si="80"/>
        <v>5.58</v>
      </c>
      <c r="AQ194" s="18">
        <f t="shared" si="56"/>
        <v>0.06</v>
      </c>
      <c r="AR194" s="9">
        <v>0.74</v>
      </c>
      <c r="AS194" s="9">
        <v>0.42</v>
      </c>
      <c r="AT194" s="9">
        <v>7.0000000000000007E-2</v>
      </c>
      <c r="AU194" s="9">
        <v>4.07</v>
      </c>
      <c r="AV194" s="9">
        <v>0.12</v>
      </c>
      <c r="AW194" s="9">
        <f>1.08+0.34+0.36</f>
        <v>1.78</v>
      </c>
      <c r="AX194" s="9">
        <f>1.49+0.49</f>
        <v>1.98</v>
      </c>
      <c r="AY194" s="69">
        <f t="shared" si="81"/>
        <v>20.059999999999999</v>
      </c>
      <c r="AZ194" s="13">
        <v>20.059999999999999</v>
      </c>
      <c r="BA194" s="13">
        <f t="shared" si="59"/>
        <v>0</v>
      </c>
      <c r="BB194" s="9">
        <f t="shared" si="60"/>
        <v>64444.76</v>
      </c>
      <c r="BC194" s="9">
        <v>20.059999999999999</v>
      </c>
      <c r="BD194" s="10">
        <v>44409</v>
      </c>
      <c r="BE194" s="9">
        <f t="shared" si="61"/>
        <v>1252.9100000000001</v>
      </c>
      <c r="BF194" s="9">
        <f t="shared" si="62"/>
        <v>14617.33</v>
      </c>
      <c r="BG194" s="9">
        <f t="shared" si="63"/>
        <v>7003.47</v>
      </c>
      <c r="BH194" s="9">
        <f t="shared" si="64"/>
        <v>1542.05</v>
      </c>
      <c r="BI194" s="9">
        <f t="shared" si="65"/>
        <v>8931.0300000000007</v>
      </c>
      <c r="BJ194" s="9">
        <f t="shared" si="66"/>
        <v>835.28</v>
      </c>
      <c r="BK194" s="9">
        <f t="shared" si="67"/>
        <v>0</v>
      </c>
      <c r="BL194" s="9">
        <f t="shared" si="68"/>
        <v>0</v>
      </c>
      <c r="BM194" s="9">
        <f t="shared" si="69"/>
        <v>578.27</v>
      </c>
      <c r="BN194" s="9">
        <f t="shared" si="70"/>
        <v>192.76</v>
      </c>
      <c r="BO194" s="9">
        <f t="shared" si="71"/>
        <v>2377.3200000000002</v>
      </c>
      <c r="BP194" s="9">
        <f t="shared" si="72"/>
        <v>1349.29</v>
      </c>
      <c r="BQ194" s="9">
        <f t="shared" si="73"/>
        <v>224.88</v>
      </c>
      <c r="BR194" s="9">
        <f t="shared" si="74"/>
        <v>13075.28</v>
      </c>
      <c r="BS194" s="9">
        <f t="shared" si="75"/>
        <v>385.51</v>
      </c>
      <c r="BT194" s="9">
        <f t="shared" si="76"/>
        <v>5718.43</v>
      </c>
      <c r="BU194" s="9">
        <f t="shared" si="77"/>
        <v>6360.95</v>
      </c>
      <c r="BV194" s="17">
        <f t="shared" si="78"/>
        <v>64444.76</v>
      </c>
      <c r="BW194" s="17">
        <v>0.46</v>
      </c>
      <c r="BX194" s="17">
        <v>0.04</v>
      </c>
      <c r="BY194" s="17">
        <v>0.25</v>
      </c>
      <c r="BZ194" s="17">
        <v>0.05</v>
      </c>
      <c r="CA194" s="29">
        <v>6.33</v>
      </c>
      <c r="CB194" s="325"/>
      <c r="CC194" s="13">
        <v>135210.82999999999</v>
      </c>
      <c r="CD194" s="13">
        <v>10737.53</v>
      </c>
      <c r="CE194" s="13">
        <v>16196.48</v>
      </c>
      <c r="CF194" s="13">
        <v>10847.85</v>
      </c>
      <c r="CG194" s="13">
        <v>5080.0200000000004</v>
      </c>
      <c r="CH194" s="13">
        <v>0</v>
      </c>
      <c r="CI194" s="13">
        <v>2119.8000000000002</v>
      </c>
      <c r="CJ194" s="13">
        <v>21588</v>
      </c>
      <c r="CK194" s="13">
        <v>1235.53</v>
      </c>
      <c r="CL194" s="13">
        <v>627605.16</v>
      </c>
      <c r="CM194" s="13">
        <v>56498.18</v>
      </c>
      <c r="CN194" s="13">
        <v>77068.95</v>
      </c>
      <c r="CO194" s="13">
        <v>39264.71</v>
      </c>
      <c r="CP194" s="13">
        <v>21301.360000000001</v>
      </c>
      <c r="CQ194" s="13">
        <v>0</v>
      </c>
      <c r="CR194" s="13">
        <v>622668.52</v>
      </c>
      <c r="CS194" s="13">
        <v>53265.59</v>
      </c>
      <c r="CT194" s="13">
        <v>73998.070000000007</v>
      </c>
      <c r="CU194" s="13">
        <v>47318.55</v>
      </c>
      <c r="CV194" s="13">
        <v>25351.18</v>
      </c>
      <c r="CW194" s="13">
        <v>0</v>
      </c>
      <c r="CX194" s="13">
        <v>67437.899999999994</v>
      </c>
      <c r="CY194" s="13">
        <v>9641.27</v>
      </c>
      <c r="CZ194" s="13">
        <v>12360.19</v>
      </c>
      <c r="DA194" s="13">
        <v>2665.07</v>
      </c>
      <c r="DB194" s="13">
        <v>1410.77</v>
      </c>
      <c r="DC194" s="13"/>
      <c r="DD194" s="315">
        <v>821738.36</v>
      </c>
      <c r="DE194" s="317">
        <v>822601.91</v>
      </c>
      <c r="DF194" s="317">
        <v>100.11</v>
      </c>
      <c r="DG194" s="318">
        <v>93515.199999999997</v>
      </c>
      <c r="DH194" s="310">
        <v>27394.92</v>
      </c>
      <c r="DI194" s="310">
        <v>15667.44</v>
      </c>
      <c r="DJ194" s="312">
        <v>0</v>
      </c>
      <c r="DK194" s="362">
        <v>0</v>
      </c>
      <c r="DL194" s="362"/>
      <c r="DM194" s="362">
        <v>0</v>
      </c>
      <c r="DN194" s="362">
        <v>0</v>
      </c>
      <c r="DO194" s="362">
        <v>0</v>
      </c>
      <c r="DP194" s="362">
        <v>0</v>
      </c>
      <c r="DQ194" s="362">
        <v>0</v>
      </c>
      <c r="DR194" s="362"/>
      <c r="DS194" s="362">
        <v>0</v>
      </c>
      <c r="DT194" s="362"/>
      <c r="DU194" s="362">
        <v>0</v>
      </c>
      <c r="DV194" s="362">
        <v>0</v>
      </c>
      <c r="DW194" s="362">
        <v>0</v>
      </c>
      <c r="DX194" s="362">
        <v>0</v>
      </c>
      <c r="DY194" s="362">
        <v>0</v>
      </c>
      <c r="DZ194" s="375">
        <v>0</v>
      </c>
      <c r="EA194" s="362">
        <v>0</v>
      </c>
      <c r="EB194" s="362">
        <v>0</v>
      </c>
      <c r="EC194" s="362"/>
      <c r="ED194" s="362">
        <v>213193.86</v>
      </c>
      <c r="EE194" s="362">
        <v>12750</v>
      </c>
      <c r="EF194" s="362"/>
      <c r="EG194" s="362">
        <v>13320</v>
      </c>
      <c r="EH194" s="362">
        <v>31640</v>
      </c>
      <c r="EI194" s="362"/>
      <c r="EJ194" s="362">
        <v>28000</v>
      </c>
      <c r="EK194" s="362"/>
      <c r="EL194" s="362">
        <v>0</v>
      </c>
      <c r="EM194" s="362">
        <v>2504.31</v>
      </c>
      <c r="EN194" s="362">
        <v>0</v>
      </c>
      <c r="EO194" s="362">
        <v>0</v>
      </c>
      <c r="EP194" s="362">
        <v>198444</v>
      </c>
      <c r="EQ194" s="362">
        <v>0</v>
      </c>
      <c r="ER194" s="362">
        <v>16380</v>
      </c>
      <c r="ES194" s="362">
        <v>577</v>
      </c>
      <c r="ET194" s="362">
        <v>12084</v>
      </c>
      <c r="EU194" s="362">
        <v>0</v>
      </c>
      <c r="EV194" s="362">
        <v>13752.73</v>
      </c>
      <c r="EW194" s="362"/>
      <c r="EX194" s="202"/>
      <c r="EY194" s="202"/>
      <c r="EZ194" s="229"/>
      <c r="FA194" s="368">
        <v>76011.66</v>
      </c>
      <c r="FB194" s="368">
        <v>162082.14000000001</v>
      </c>
      <c r="FC194" s="368">
        <v>0</v>
      </c>
      <c r="FD194" s="368">
        <v>0</v>
      </c>
      <c r="FE194" s="368">
        <v>40675.279999999999</v>
      </c>
      <c r="FF194" s="368">
        <v>21976.78</v>
      </c>
      <c r="FG194" s="368">
        <v>-594.53</v>
      </c>
      <c r="FH194" s="368">
        <v>-1133.2</v>
      </c>
      <c r="FI194" s="368">
        <v>0</v>
      </c>
      <c r="FJ194" s="368">
        <v>0</v>
      </c>
      <c r="FK194" s="368">
        <v>0</v>
      </c>
      <c r="FL194" s="368">
        <v>0</v>
      </c>
      <c r="FM194" s="368">
        <v>85889.06</v>
      </c>
      <c r="FN194" s="368">
        <v>54612.28</v>
      </c>
      <c r="FO194" s="323">
        <v>726209.6</v>
      </c>
      <c r="FP194" s="323">
        <v>299018.13</v>
      </c>
      <c r="FQ194" s="323">
        <v>1025227.73</v>
      </c>
      <c r="FR194" s="362">
        <v>84652.64</v>
      </c>
      <c r="FS194" s="362">
        <v>45758.71</v>
      </c>
      <c r="FT194" s="377">
        <v>130411.35</v>
      </c>
      <c r="FU194" s="377">
        <v>786523.79</v>
      </c>
      <c r="FV194" s="377">
        <v>238230.61</v>
      </c>
      <c r="FW194" s="362">
        <v>1024754.4</v>
      </c>
      <c r="FX194" s="362">
        <v>787961.68</v>
      </c>
      <c r="FY194" s="362">
        <v>252929.86</v>
      </c>
      <c r="FZ194" s="362">
        <v>1040891.54</v>
      </c>
      <c r="GA194" s="362">
        <v>83214.75</v>
      </c>
      <c r="GB194" s="362">
        <v>31059.46</v>
      </c>
      <c r="GC194" s="362">
        <v>114274.21</v>
      </c>
      <c r="GD194" s="362">
        <v>44580.63</v>
      </c>
      <c r="GE194" s="362">
        <v>-29472.32</v>
      </c>
      <c r="GF194" s="362">
        <v>15108.31</v>
      </c>
      <c r="GG194" s="202">
        <v>20759.009999999998</v>
      </c>
      <c r="GH194" s="416">
        <v>76</v>
      </c>
      <c r="GI194" s="414">
        <v>1947</v>
      </c>
      <c r="GJ194" s="419">
        <v>178072.71</v>
      </c>
      <c r="GK194" s="396">
        <v>20759.009999999998</v>
      </c>
      <c r="GL194" s="202">
        <v>15776.847599999999</v>
      </c>
      <c r="GM194" s="202">
        <v>4982.1624000000002</v>
      </c>
      <c r="GN194" s="323">
        <v>60314.19</v>
      </c>
      <c r="GO194" s="323">
        <v>-60787.519999999997</v>
      </c>
      <c r="GP194" s="323">
        <v>-473.33</v>
      </c>
      <c r="GQ194" s="323">
        <v>104894.82</v>
      </c>
      <c r="GR194" s="323">
        <v>-90259.839999999997</v>
      </c>
      <c r="GS194" s="323">
        <v>14634.98</v>
      </c>
    </row>
    <row r="195" spans="1:201" x14ac:dyDescent="0.2">
      <c r="A195" s="45" t="s">
        <v>281</v>
      </c>
      <c r="B195" s="113" t="s">
        <v>221</v>
      </c>
      <c r="C195" s="114" t="s">
        <v>249</v>
      </c>
      <c r="D195" s="388" t="s">
        <v>650</v>
      </c>
      <c r="E195" s="114" t="s">
        <v>8</v>
      </c>
      <c r="F195" s="11">
        <v>5</v>
      </c>
      <c r="G195" s="11">
        <v>4</v>
      </c>
      <c r="H195" s="11">
        <v>80</v>
      </c>
      <c r="I195" s="11">
        <v>0</v>
      </c>
      <c r="J195" s="11">
        <v>175</v>
      </c>
      <c r="K195" s="11">
        <v>205</v>
      </c>
      <c r="L195" s="11" t="s">
        <v>746</v>
      </c>
      <c r="M195" s="84">
        <v>280</v>
      </c>
      <c r="N195" s="84">
        <v>893</v>
      </c>
      <c r="O195" s="84">
        <v>0</v>
      </c>
      <c r="P195" s="139">
        <v>282.5</v>
      </c>
      <c r="Q195" s="135">
        <v>893</v>
      </c>
      <c r="R195" s="133">
        <v>0</v>
      </c>
      <c r="S195" s="133">
        <f t="shared" si="79"/>
        <v>1175.5</v>
      </c>
      <c r="T195" s="139">
        <v>280</v>
      </c>
      <c r="U195" s="130">
        <v>1.53</v>
      </c>
      <c r="V195" s="131">
        <v>1.9800000000000002E-2</v>
      </c>
      <c r="W195" s="131">
        <v>1.9800000000000002E-2</v>
      </c>
      <c r="X195" s="132">
        <v>1.32E-3</v>
      </c>
      <c r="Y195" s="131">
        <v>3.95E-2</v>
      </c>
      <c r="Z195" s="29">
        <v>3425.6</v>
      </c>
      <c r="AA195" s="29">
        <v>125.3</v>
      </c>
      <c r="AB195" s="9">
        <f t="shared" si="57"/>
        <v>3550.9</v>
      </c>
      <c r="AC195" s="9">
        <f t="shared" si="82"/>
        <v>22477.200000000001</v>
      </c>
      <c r="AD195" s="9">
        <v>0.4</v>
      </c>
      <c r="AE195" s="9">
        <v>4.6500000000000004</v>
      </c>
      <c r="AF195" s="21">
        <f>2.42-AJ195</f>
        <v>2.1800000000000002</v>
      </c>
      <c r="AG195" s="18">
        <f>0.53-AQ195</f>
        <v>0.43</v>
      </c>
      <c r="AH195" s="9">
        <v>2.78</v>
      </c>
      <c r="AI195" s="43">
        <v>857</v>
      </c>
      <c r="AJ195" s="21">
        <f t="shared" si="58"/>
        <v>0.24</v>
      </c>
      <c r="AK195" s="9">
        <v>0</v>
      </c>
      <c r="AL195" s="9">
        <v>0</v>
      </c>
      <c r="AM195" s="9">
        <v>0</v>
      </c>
      <c r="AN195" s="13"/>
      <c r="AO195" s="13">
        <v>801.6</v>
      </c>
      <c r="AP195" s="13">
        <f t="shared" si="80"/>
        <v>5.58</v>
      </c>
      <c r="AQ195" s="18">
        <f t="shared" si="56"/>
        <v>0.1</v>
      </c>
      <c r="AR195" s="9">
        <v>0.77</v>
      </c>
      <c r="AS195" s="9">
        <v>0.39</v>
      </c>
      <c r="AT195" s="9">
        <v>7.0000000000000007E-2</v>
      </c>
      <c r="AU195" s="9">
        <v>4.26</v>
      </c>
      <c r="AV195" s="9">
        <v>0.12</v>
      </c>
      <c r="AW195" s="9">
        <f>1.07+0.32+0.38</f>
        <v>1.77</v>
      </c>
      <c r="AX195" s="9">
        <f>1.47+0.51</f>
        <v>1.98</v>
      </c>
      <c r="AY195" s="110">
        <f t="shared" si="81"/>
        <v>20.14</v>
      </c>
      <c r="AZ195" s="13">
        <v>20.14</v>
      </c>
      <c r="BA195" s="13">
        <f t="shared" si="59"/>
        <v>0</v>
      </c>
      <c r="BB195" s="9">
        <f t="shared" si="60"/>
        <v>71515.13</v>
      </c>
      <c r="BC195" s="9">
        <v>20.14</v>
      </c>
      <c r="BD195" s="10">
        <v>44409</v>
      </c>
      <c r="BE195" s="9">
        <f t="shared" si="61"/>
        <v>1420.36</v>
      </c>
      <c r="BF195" s="9">
        <f t="shared" si="62"/>
        <v>16511.689999999999</v>
      </c>
      <c r="BG195" s="9">
        <f t="shared" si="63"/>
        <v>7740.96</v>
      </c>
      <c r="BH195" s="9">
        <f t="shared" si="64"/>
        <v>1526.89</v>
      </c>
      <c r="BI195" s="9">
        <f t="shared" si="65"/>
        <v>9871.5</v>
      </c>
      <c r="BJ195" s="9">
        <f t="shared" si="66"/>
        <v>852.22</v>
      </c>
      <c r="BK195" s="9">
        <f t="shared" si="67"/>
        <v>0</v>
      </c>
      <c r="BL195" s="9">
        <f t="shared" si="68"/>
        <v>0</v>
      </c>
      <c r="BM195" s="9">
        <f t="shared" si="69"/>
        <v>0</v>
      </c>
      <c r="BN195" s="9">
        <f t="shared" si="70"/>
        <v>355.09</v>
      </c>
      <c r="BO195" s="9">
        <f t="shared" si="71"/>
        <v>2734.19</v>
      </c>
      <c r="BP195" s="9">
        <f t="shared" si="72"/>
        <v>1384.85</v>
      </c>
      <c r="BQ195" s="9">
        <f t="shared" si="73"/>
        <v>248.56</v>
      </c>
      <c r="BR195" s="9">
        <f t="shared" si="74"/>
        <v>15126.83</v>
      </c>
      <c r="BS195" s="9">
        <f t="shared" si="75"/>
        <v>426.11</v>
      </c>
      <c r="BT195" s="9">
        <f t="shared" si="76"/>
        <v>6285.09</v>
      </c>
      <c r="BU195" s="9">
        <f t="shared" si="77"/>
        <v>7030.78</v>
      </c>
      <c r="BV195" s="17">
        <f t="shared" si="78"/>
        <v>71515.12</v>
      </c>
      <c r="BW195" s="17">
        <v>1.65</v>
      </c>
      <c r="BX195" s="17">
        <v>0.04</v>
      </c>
      <c r="BY195" s="17">
        <v>0.28000000000000003</v>
      </c>
      <c r="BZ195" s="17">
        <v>0.05</v>
      </c>
      <c r="CA195" s="29">
        <v>6.33</v>
      </c>
      <c r="CB195" s="325"/>
      <c r="CC195" s="13">
        <v>29120.67</v>
      </c>
      <c r="CD195" s="13">
        <v>704.16</v>
      </c>
      <c r="CE195" s="13">
        <v>-20.88</v>
      </c>
      <c r="CF195" s="13">
        <v>80.28</v>
      </c>
      <c r="CG195" s="13">
        <v>66.489999999999995</v>
      </c>
      <c r="CH195" s="13">
        <v>0</v>
      </c>
      <c r="CI195" s="13">
        <v>7399.17</v>
      </c>
      <c r="CJ195" s="13">
        <v>27684</v>
      </c>
      <c r="CK195" s="13">
        <v>1365.64</v>
      </c>
      <c r="CL195" s="13">
        <v>827866.74</v>
      </c>
      <c r="CM195" s="13">
        <v>19252.43</v>
      </c>
      <c r="CN195" s="13">
        <v>0.21</v>
      </c>
      <c r="CO195" s="13">
        <v>1644.42</v>
      </c>
      <c r="CP195" s="13">
        <v>1816.21</v>
      </c>
      <c r="CQ195" s="13">
        <v>0</v>
      </c>
      <c r="CR195" s="13">
        <v>771876.4</v>
      </c>
      <c r="CS195" s="13">
        <v>19813.830000000002</v>
      </c>
      <c r="CT195" s="13">
        <v>1386.65</v>
      </c>
      <c r="CU195" s="13">
        <v>1491.06</v>
      </c>
      <c r="CV195" s="13">
        <v>1667.55</v>
      </c>
      <c r="CW195" s="13">
        <v>0</v>
      </c>
      <c r="CX195" s="13">
        <v>145655.35999999999</v>
      </c>
      <c r="CY195" s="13">
        <v>508.44</v>
      </c>
      <c r="CZ195" s="13">
        <v>-1561.94</v>
      </c>
      <c r="DA195" s="13">
        <v>289.45999999999998</v>
      </c>
      <c r="DB195" s="13">
        <v>325.60000000000002</v>
      </c>
      <c r="DC195" s="13"/>
      <c r="DD195" s="315">
        <v>850580.01</v>
      </c>
      <c r="DE195" s="317">
        <v>796235.49</v>
      </c>
      <c r="DF195" s="317">
        <v>93.61</v>
      </c>
      <c r="DG195" s="318">
        <v>145216.92000000001</v>
      </c>
      <c r="DH195" s="310">
        <v>35985.839999999997</v>
      </c>
      <c r="DI195" s="310">
        <v>20580.72</v>
      </c>
      <c r="DJ195" s="312">
        <v>0</v>
      </c>
      <c r="DK195" s="362">
        <v>0</v>
      </c>
      <c r="DL195" s="362"/>
      <c r="DM195" s="362">
        <v>0</v>
      </c>
      <c r="DN195" s="362">
        <v>0</v>
      </c>
      <c r="DO195" s="362">
        <v>0</v>
      </c>
      <c r="DP195" s="362">
        <v>0</v>
      </c>
      <c r="DQ195" s="362">
        <v>0</v>
      </c>
      <c r="DR195" s="362"/>
      <c r="DS195" s="362">
        <v>0</v>
      </c>
      <c r="DT195" s="362"/>
      <c r="DU195" s="362">
        <v>0</v>
      </c>
      <c r="DV195" s="362">
        <v>0</v>
      </c>
      <c r="DW195" s="362">
        <v>0</v>
      </c>
      <c r="DX195" s="362">
        <v>0</v>
      </c>
      <c r="DY195" s="362">
        <v>0</v>
      </c>
      <c r="DZ195" s="375">
        <v>0</v>
      </c>
      <c r="EA195" s="362">
        <v>248388</v>
      </c>
      <c r="EB195" s="362">
        <v>11050</v>
      </c>
      <c r="EC195" s="362"/>
      <c r="ED195" s="362">
        <v>0</v>
      </c>
      <c r="EE195" s="362">
        <v>0</v>
      </c>
      <c r="EF195" s="362"/>
      <c r="EG195" s="362">
        <v>13638</v>
      </c>
      <c r="EH195" s="362">
        <v>52150</v>
      </c>
      <c r="EI195" s="362"/>
      <c r="EJ195" s="362">
        <v>28560</v>
      </c>
      <c r="EK195" s="362"/>
      <c r="EL195" s="362">
        <v>0</v>
      </c>
      <c r="EM195" s="362">
        <v>4472.9399999999996</v>
      </c>
      <c r="EN195" s="362">
        <v>0</v>
      </c>
      <c r="EO195" s="362">
        <v>0</v>
      </c>
      <c r="EP195" s="362">
        <v>219048</v>
      </c>
      <c r="EQ195" s="362">
        <v>0</v>
      </c>
      <c r="ER195" s="362">
        <v>16380</v>
      </c>
      <c r="ES195" s="362">
        <v>0</v>
      </c>
      <c r="ET195" s="362">
        <v>12826</v>
      </c>
      <c r="EU195" s="362">
        <v>0</v>
      </c>
      <c r="EV195" s="362">
        <v>5219</v>
      </c>
      <c r="EW195" s="362"/>
      <c r="EX195" s="202"/>
      <c r="EY195" s="202"/>
      <c r="EZ195" s="229"/>
      <c r="FA195" s="368">
        <v>20331.86</v>
      </c>
      <c r="FB195" s="368">
        <v>0</v>
      </c>
      <c r="FC195" s="368">
        <v>0</v>
      </c>
      <c r="FD195" s="368">
        <v>0</v>
      </c>
      <c r="FE195" s="368">
        <v>1857.06</v>
      </c>
      <c r="FF195" s="368">
        <v>1987.11</v>
      </c>
      <c r="FG195" s="368">
        <v>0</v>
      </c>
      <c r="FH195" s="368">
        <v>-908.29</v>
      </c>
      <c r="FI195" s="368">
        <v>-654.82000000000005</v>
      </c>
      <c r="FJ195" s="368">
        <v>0</v>
      </c>
      <c r="FK195" s="368">
        <v>80962.94</v>
      </c>
      <c r="FL195" s="368">
        <v>0</v>
      </c>
      <c r="FM195" s="368">
        <v>94929.94</v>
      </c>
      <c r="FN195" s="368">
        <v>60361.04</v>
      </c>
      <c r="FO195" s="323">
        <v>823589.48</v>
      </c>
      <c r="FP195" s="323">
        <v>103575.86</v>
      </c>
      <c r="FQ195" s="323">
        <v>927165.34</v>
      </c>
      <c r="FR195" s="362">
        <v>97712.5</v>
      </c>
      <c r="FS195" s="362">
        <v>1369.73</v>
      </c>
      <c r="FT195" s="377">
        <v>99082.23</v>
      </c>
      <c r="FU195" s="377">
        <v>892070.58</v>
      </c>
      <c r="FV195" s="377">
        <v>24908.959999999999</v>
      </c>
      <c r="FW195" s="362">
        <v>916979.54</v>
      </c>
      <c r="FX195" s="362">
        <v>834204.03</v>
      </c>
      <c r="FY195" s="362">
        <v>26410.21</v>
      </c>
      <c r="FZ195" s="362">
        <v>860614.24</v>
      </c>
      <c r="GA195" s="362">
        <v>155579.04999999999</v>
      </c>
      <c r="GB195" s="362">
        <v>-131.52000000000001</v>
      </c>
      <c r="GC195" s="362">
        <v>155447.53</v>
      </c>
      <c r="GD195" s="362">
        <v>57991.68</v>
      </c>
      <c r="GE195" s="362">
        <v>6026.42</v>
      </c>
      <c r="GF195" s="362">
        <v>64018.1</v>
      </c>
      <c r="GG195" s="202">
        <v>10230.61</v>
      </c>
      <c r="GH195" s="416">
        <v>97</v>
      </c>
      <c r="GI195" s="414">
        <v>2455</v>
      </c>
      <c r="GJ195" s="419">
        <v>29950.720000000001</v>
      </c>
      <c r="GK195" s="396">
        <v>10230.61</v>
      </c>
      <c r="GL195" s="202">
        <v>9923.6916999999994</v>
      </c>
      <c r="GM195" s="202">
        <v>306.91830000000101</v>
      </c>
      <c r="GN195" s="323">
        <v>68481.100000000006</v>
      </c>
      <c r="GO195" s="323">
        <v>-78666.899999999994</v>
      </c>
      <c r="GP195" s="323">
        <v>-10185.799999999999</v>
      </c>
      <c r="GQ195" s="323">
        <v>126472.78</v>
      </c>
      <c r="GR195" s="323">
        <v>-72640.479999999996</v>
      </c>
      <c r="GS195" s="323">
        <v>53832.3</v>
      </c>
    </row>
    <row r="196" spans="1:201" x14ac:dyDescent="0.2">
      <c r="A196" s="45" t="s">
        <v>282</v>
      </c>
      <c r="B196" s="113" t="s">
        <v>221</v>
      </c>
      <c r="C196" s="114" t="s">
        <v>251</v>
      </c>
      <c r="D196" s="388" t="s">
        <v>488</v>
      </c>
      <c r="E196" s="114" t="s">
        <v>12</v>
      </c>
      <c r="F196" s="11">
        <v>5</v>
      </c>
      <c r="G196" s="11">
        <v>5</v>
      </c>
      <c r="H196" s="11">
        <v>100</v>
      </c>
      <c r="I196" s="11">
        <v>0</v>
      </c>
      <c r="J196" s="11">
        <v>179</v>
      </c>
      <c r="K196" s="11">
        <v>186</v>
      </c>
      <c r="L196" s="11" t="s">
        <v>746</v>
      </c>
      <c r="M196" s="84">
        <v>280</v>
      </c>
      <c r="N196" s="84">
        <v>887</v>
      </c>
      <c r="O196" s="84">
        <v>0</v>
      </c>
      <c r="P196" s="139">
        <v>350</v>
      </c>
      <c r="Q196" s="135">
        <v>887.4</v>
      </c>
      <c r="R196" s="133">
        <v>0</v>
      </c>
      <c r="S196" s="133">
        <f t="shared" si="79"/>
        <v>1237.4000000000001</v>
      </c>
      <c r="T196" s="139">
        <v>280</v>
      </c>
      <c r="U196" s="130">
        <v>1.53</v>
      </c>
      <c r="V196" s="131">
        <v>1.9800000000000002E-2</v>
      </c>
      <c r="W196" s="131">
        <v>1.9800000000000002E-2</v>
      </c>
      <c r="X196" s="132">
        <v>1.32E-3</v>
      </c>
      <c r="Y196" s="131">
        <v>3.95E-2</v>
      </c>
      <c r="Z196" s="29">
        <v>3393.87</v>
      </c>
      <c r="AA196" s="29">
        <v>31</v>
      </c>
      <c r="AB196" s="9">
        <f t="shared" si="57"/>
        <v>3424.87</v>
      </c>
      <c r="AC196" s="9">
        <f t="shared" si="82"/>
        <v>21679.43</v>
      </c>
      <c r="AD196" s="9">
        <v>0.5</v>
      </c>
      <c r="AE196" s="9">
        <v>3.66</v>
      </c>
      <c r="AF196" s="21">
        <f>2.41-AJ196</f>
        <v>2.16</v>
      </c>
      <c r="AG196" s="18">
        <f>0.56-AQ196</f>
        <v>0.42</v>
      </c>
      <c r="AH196" s="9">
        <v>2.78</v>
      </c>
      <c r="AI196" s="43">
        <v>852</v>
      </c>
      <c r="AJ196" s="21">
        <f t="shared" si="58"/>
        <v>0.25</v>
      </c>
      <c r="AK196" s="9">
        <v>0</v>
      </c>
      <c r="AL196" s="9">
        <v>0</v>
      </c>
      <c r="AM196" s="9">
        <v>0.17</v>
      </c>
      <c r="AN196" s="13"/>
      <c r="AO196" s="13">
        <v>1002</v>
      </c>
      <c r="AP196" s="13">
        <f t="shared" si="80"/>
        <v>5.58</v>
      </c>
      <c r="AQ196" s="18">
        <f t="shared" si="56"/>
        <v>0.14000000000000001</v>
      </c>
      <c r="AR196" s="9">
        <v>0.94</v>
      </c>
      <c r="AS196" s="9">
        <v>0.4</v>
      </c>
      <c r="AT196" s="9">
        <v>7.0000000000000007E-2</v>
      </c>
      <c r="AU196" s="9">
        <v>4.74</v>
      </c>
      <c r="AV196" s="9">
        <v>0.12</v>
      </c>
      <c r="AW196" s="9">
        <f>1.03+0.41+0.42</f>
        <v>1.86</v>
      </c>
      <c r="AX196" s="9">
        <f>1.42+0.56</f>
        <v>1.98</v>
      </c>
      <c r="AY196" s="110">
        <f t="shared" si="81"/>
        <v>20.190000000000001</v>
      </c>
      <c r="AZ196" s="13">
        <v>20.190000000000001</v>
      </c>
      <c r="BA196" s="13">
        <f t="shared" si="59"/>
        <v>0</v>
      </c>
      <c r="BB196" s="9">
        <f t="shared" si="60"/>
        <v>69148.13</v>
      </c>
      <c r="BC196" s="9">
        <v>20.190000000000001</v>
      </c>
      <c r="BD196" s="10">
        <v>44409</v>
      </c>
      <c r="BE196" s="9">
        <f t="shared" si="61"/>
        <v>1712.44</v>
      </c>
      <c r="BF196" s="9">
        <f t="shared" si="62"/>
        <v>12535.02</v>
      </c>
      <c r="BG196" s="9">
        <f t="shared" si="63"/>
        <v>7397.72</v>
      </c>
      <c r="BH196" s="9">
        <f t="shared" si="64"/>
        <v>1438.45</v>
      </c>
      <c r="BI196" s="9">
        <f t="shared" si="65"/>
        <v>9521.14</v>
      </c>
      <c r="BJ196" s="9">
        <f t="shared" si="66"/>
        <v>856.22</v>
      </c>
      <c r="BK196" s="9">
        <f t="shared" si="67"/>
        <v>0</v>
      </c>
      <c r="BL196" s="9">
        <f t="shared" si="68"/>
        <v>0</v>
      </c>
      <c r="BM196" s="9">
        <f t="shared" si="69"/>
        <v>582.23</v>
      </c>
      <c r="BN196" s="9">
        <f t="shared" si="70"/>
        <v>479.48</v>
      </c>
      <c r="BO196" s="9">
        <f t="shared" si="71"/>
        <v>3219.38</v>
      </c>
      <c r="BP196" s="9">
        <f t="shared" si="72"/>
        <v>1369.95</v>
      </c>
      <c r="BQ196" s="9">
        <f t="shared" si="73"/>
        <v>239.74</v>
      </c>
      <c r="BR196" s="9">
        <f t="shared" si="74"/>
        <v>16233.88</v>
      </c>
      <c r="BS196" s="9">
        <f t="shared" si="75"/>
        <v>410.98</v>
      </c>
      <c r="BT196" s="9">
        <f t="shared" si="76"/>
        <v>6370.26</v>
      </c>
      <c r="BU196" s="9">
        <f t="shared" si="77"/>
        <v>6781.24</v>
      </c>
      <c r="BV196" s="17">
        <f t="shared" si="78"/>
        <v>69148.13</v>
      </c>
      <c r="BW196" s="17">
        <v>1.9</v>
      </c>
      <c r="BX196" s="17">
        <v>0.06</v>
      </c>
      <c r="BY196" s="17">
        <v>0.36</v>
      </c>
      <c r="BZ196" s="17">
        <v>0.06</v>
      </c>
      <c r="CA196" s="29">
        <v>6.33</v>
      </c>
      <c r="CB196" s="325"/>
      <c r="CC196" s="13">
        <v>13086.99</v>
      </c>
      <c r="CD196" s="13">
        <v>692.92</v>
      </c>
      <c r="CE196" s="13">
        <v>84.57</v>
      </c>
      <c r="CF196" s="13">
        <v>83.6</v>
      </c>
      <c r="CG196" s="13">
        <v>52.67</v>
      </c>
      <c r="CH196" s="13">
        <v>0</v>
      </c>
      <c r="CI196" s="13">
        <v>4522.34</v>
      </c>
      <c r="CJ196" s="13">
        <v>27684</v>
      </c>
      <c r="CK196" s="13">
        <v>1317.16</v>
      </c>
      <c r="CL196" s="13">
        <v>816853.58</v>
      </c>
      <c r="CM196" s="13">
        <v>16879.54</v>
      </c>
      <c r="CN196" s="13">
        <v>0</v>
      </c>
      <c r="CO196" s="13">
        <v>8097.34</v>
      </c>
      <c r="CP196" s="13">
        <v>5162.1000000000004</v>
      </c>
      <c r="CQ196" s="13">
        <v>0</v>
      </c>
      <c r="CR196" s="13">
        <v>772359.76</v>
      </c>
      <c r="CS196" s="13">
        <v>18237.169999999998</v>
      </c>
      <c r="CT196" s="13">
        <v>815.91</v>
      </c>
      <c r="CU196" s="13">
        <v>5895.36</v>
      </c>
      <c r="CV196" s="13">
        <v>4106.3500000000004</v>
      </c>
      <c r="CW196" s="13">
        <v>0</v>
      </c>
      <c r="CX196" s="13">
        <v>149605.51999999999</v>
      </c>
      <c r="CY196" s="13">
        <v>-2676.54</v>
      </c>
      <c r="CZ196" s="13">
        <v>-1045.83</v>
      </c>
      <c r="DA196" s="13">
        <v>1807.68</v>
      </c>
      <c r="DB196" s="13">
        <v>1132.29</v>
      </c>
      <c r="DC196" s="13"/>
      <c r="DD196" s="315">
        <v>846992.56</v>
      </c>
      <c r="DE196" s="317">
        <v>801414.55</v>
      </c>
      <c r="DF196" s="317">
        <v>94.62</v>
      </c>
      <c r="DG196" s="318">
        <v>148823.12</v>
      </c>
      <c r="DH196" s="310">
        <v>35660.879999999997</v>
      </c>
      <c r="DI196" s="310">
        <v>20394.84</v>
      </c>
      <c r="DJ196" s="312">
        <v>0</v>
      </c>
      <c r="DK196" s="362">
        <v>0</v>
      </c>
      <c r="DL196" s="362"/>
      <c r="DM196" s="362">
        <v>0</v>
      </c>
      <c r="DN196" s="362">
        <v>0</v>
      </c>
      <c r="DO196" s="362">
        <v>0</v>
      </c>
      <c r="DP196" s="362">
        <v>0</v>
      </c>
      <c r="DQ196" s="362">
        <v>0</v>
      </c>
      <c r="DR196" s="362"/>
      <c r="DS196" s="362">
        <v>0</v>
      </c>
      <c r="DT196" s="362"/>
      <c r="DU196" s="362">
        <v>0</v>
      </c>
      <c r="DV196" s="362">
        <v>0</v>
      </c>
      <c r="DW196" s="362">
        <v>0</v>
      </c>
      <c r="DX196" s="362">
        <v>0</v>
      </c>
      <c r="DY196" s="362">
        <v>0</v>
      </c>
      <c r="DZ196" s="375">
        <v>0</v>
      </c>
      <c r="EA196" s="362">
        <v>199476</v>
      </c>
      <c r="EB196" s="362">
        <v>11050</v>
      </c>
      <c r="EC196" s="362"/>
      <c r="ED196" s="362">
        <v>0</v>
      </c>
      <c r="EE196" s="362">
        <v>0</v>
      </c>
      <c r="EF196" s="362"/>
      <c r="EG196" s="362">
        <v>13560</v>
      </c>
      <c r="EH196" s="362">
        <v>44800</v>
      </c>
      <c r="EI196" s="362"/>
      <c r="EJ196" s="362">
        <v>24360</v>
      </c>
      <c r="EK196" s="362"/>
      <c r="EL196" s="362">
        <v>0</v>
      </c>
      <c r="EM196" s="362">
        <v>5591.16</v>
      </c>
      <c r="EN196" s="362">
        <v>0</v>
      </c>
      <c r="EO196" s="362">
        <v>0</v>
      </c>
      <c r="EP196" s="362">
        <v>212430</v>
      </c>
      <c r="EQ196" s="362">
        <v>0</v>
      </c>
      <c r="ER196" s="362">
        <v>16380</v>
      </c>
      <c r="ES196" s="362">
        <v>6924</v>
      </c>
      <c r="ET196" s="362">
        <v>13992</v>
      </c>
      <c r="EU196" s="362">
        <v>0</v>
      </c>
      <c r="EV196" s="362">
        <v>7429.17</v>
      </c>
      <c r="EW196" s="362"/>
      <c r="EX196" s="202"/>
      <c r="EY196" s="202"/>
      <c r="EZ196" s="229"/>
      <c r="FA196" s="368">
        <v>17214.29</v>
      </c>
      <c r="FB196" s="368">
        <v>0</v>
      </c>
      <c r="FC196" s="368">
        <v>0</v>
      </c>
      <c r="FD196" s="368">
        <v>0</v>
      </c>
      <c r="FE196" s="368">
        <v>8197.9699999999993</v>
      </c>
      <c r="FF196" s="368">
        <v>5410.84</v>
      </c>
      <c r="FG196" s="368">
        <v>-169.62</v>
      </c>
      <c r="FH196" s="368">
        <v>-986.27</v>
      </c>
      <c r="FI196" s="368">
        <v>0</v>
      </c>
      <c r="FJ196" s="368">
        <v>0</v>
      </c>
      <c r="FK196" s="368">
        <v>211.8</v>
      </c>
      <c r="FL196" s="368">
        <v>0</v>
      </c>
      <c r="FM196" s="368">
        <v>91564.12</v>
      </c>
      <c r="FN196" s="368">
        <v>58220.74</v>
      </c>
      <c r="FO196" s="323">
        <v>761832.91</v>
      </c>
      <c r="FP196" s="323">
        <v>29879.01</v>
      </c>
      <c r="FQ196" s="323">
        <v>791711.92</v>
      </c>
      <c r="FR196" s="362">
        <v>102611.13</v>
      </c>
      <c r="FS196" s="362">
        <v>-1966.31</v>
      </c>
      <c r="FT196" s="377">
        <v>100644.82</v>
      </c>
      <c r="FU196" s="377">
        <v>862146.91</v>
      </c>
      <c r="FV196" s="377">
        <v>32369.9</v>
      </c>
      <c r="FW196" s="362">
        <v>894516.81</v>
      </c>
      <c r="FX196" s="362">
        <v>814549.4</v>
      </c>
      <c r="FY196" s="362">
        <v>31140.59</v>
      </c>
      <c r="FZ196" s="362">
        <v>845689.99</v>
      </c>
      <c r="GA196" s="362">
        <v>150208.64000000001</v>
      </c>
      <c r="GB196" s="362">
        <v>-737</v>
      </c>
      <c r="GC196" s="362">
        <v>149471.64000000001</v>
      </c>
      <c r="GD196" s="362">
        <v>58067.93</v>
      </c>
      <c r="GE196" s="362">
        <v>7998.9</v>
      </c>
      <c r="GF196" s="362">
        <v>66066.83</v>
      </c>
      <c r="GG196" s="202">
        <v>648.52</v>
      </c>
      <c r="GH196" s="416">
        <v>93</v>
      </c>
      <c r="GI196" s="414">
        <v>2455</v>
      </c>
      <c r="GJ196" s="419">
        <v>14000.75</v>
      </c>
      <c r="GK196" s="396">
        <v>648.52</v>
      </c>
      <c r="GL196" s="202">
        <v>603.12360000000001</v>
      </c>
      <c r="GM196" s="202">
        <v>45.3964</v>
      </c>
      <c r="GN196" s="323">
        <v>100314</v>
      </c>
      <c r="GO196" s="323">
        <v>2490.89</v>
      </c>
      <c r="GP196" s="323">
        <v>102804.89</v>
      </c>
      <c r="GQ196" s="323">
        <v>158381.93</v>
      </c>
      <c r="GR196" s="323">
        <v>10489.79</v>
      </c>
      <c r="GS196" s="323">
        <v>168871.72</v>
      </c>
    </row>
    <row r="197" spans="1:201" x14ac:dyDescent="0.2">
      <c r="A197" s="45" t="s">
        <v>283</v>
      </c>
      <c r="B197" s="113" t="s">
        <v>221</v>
      </c>
      <c r="C197" s="114" t="s">
        <v>253</v>
      </c>
      <c r="D197" s="388" t="s">
        <v>489</v>
      </c>
      <c r="E197" s="114" t="s">
        <v>12</v>
      </c>
      <c r="F197" s="11">
        <v>5</v>
      </c>
      <c r="G197" s="11">
        <v>5</v>
      </c>
      <c r="H197" s="11">
        <v>64</v>
      </c>
      <c r="I197" s="11">
        <v>0</v>
      </c>
      <c r="J197" s="11">
        <v>123</v>
      </c>
      <c r="K197" s="11">
        <v>139</v>
      </c>
      <c r="L197" s="11" t="s">
        <v>746</v>
      </c>
      <c r="M197" s="84">
        <v>244</v>
      </c>
      <c r="N197" s="84">
        <v>868</v>
      </c>
      <c r="O197" s="84">
        <v>0</v>
      </c>
      <c r="P197" s="135">
        <v>244</v>
      </c>
      <c r="Q197" s="135">
        <v>649.70000000000005</v>
      </c>
      <c r="R197" s="133">
        <v>0</v>
      </c>
      <c r="S197" s="133">
        <f t="shared" si="79"/>
        <v>893.7</v>
      </c>
      <c r="T197" s="134">
        <v>244</v>
      </c>
      <c r="U197" s="130">
        <v>1.53</v>
      </c>
      <c r="V197" s="131">
        <v>1.9800000000000002E-2</v>
      </c>
      <c r="W197" s="131">
        <v>1.9800000000000002E-2</v>
      </c>
      <c r="X197" s="132">
        <v>1.2199999999999999E-3</v>
      </c>
      <c r="Y197" s="131">
        <v>3.95E-2</v>
      </c>
      <c r="Z197" s="29">
        <v>2583.3200000000002</v>
      </c>
      <c r="AA197" s="29">
        <v>707.1</v>
      </c>
      <c r="AB197" s="9">
        <f t="shared" si="57"/>
        <v>3290.42</v>
      </c>
      <c r="AC197" s="9">
        <f t="shared" si="82"/>
        <v>20828.36</v>
      </c>
      <c r="AD197" s="9">
        <v>0.38</v>
      </c>
      <c r="AE197" s="9">
        <v>5.0999999999999996</v>
      </c>
      <c r="AF197" s="21">
        <f>2.38-AJ197</f>
        <v>2.13</v>
      </c>
      <c r="AG197" s="18">
        <f>0.54-AQ197</f>
        <v>0.43</v>
      </c>
      <c r="AH197" s="9">
        <v>2.78</v>
      </c>
      <c r="AI197" s="43">
        <v>833</v>
      </c>
      <c r="AJ197" s="21">
        <f t="shared" si="58"/>
        <v>0.25</v>
      </c>
      <c r="AK197" s="9">
        <v>0</v>
      </c>
      <c r="AL197" s="9">
        <v>0</v>
      </c>
      <c r="AM197" s="9">
        <v>0</v>
      </c>
      <c r="AN197" s="13"/>
      <c r="AO197" s="13">
        <v>787.5</v>
      </c>
      <c r="AP197" s="13">
        <f t="shared" si="80"/>
        <v>5.58</v>
      </c>
      <c r="AQ197" s="18">
        <f t="shared" si="56"/>
        <v>0.11</v>
      </c>
      <c r="AR197" s="9">
        <v>0.72</v>
      </c>
      <c r="AS197" s="9">
        <v>0.41</v>
      </c>
      <c r="AT197" s="9">
        <v>7.0000000000000007E-2</v>
      </c>
      <c r="AU197" s="9">
        <v>3.63</v>
      </c>
      <c r="AV197" s="9">
        <v>0.12</v>
      </c>
      <c r="AW197" s="9">
        <f>1.11+0.35+0.32</f>
        <v>1.78</v>
      </c>
      <c r="AX197" s="9">
        <f>1.51+0.44</f>
        <v>1.95</v>
      </c>
      <c r="AY197" s="110">
        <f t="shared" si="81"/>
        <v>19.86</v>
      </c>
      <c r="AZ197" s="13">
        <v>19.86</v>
      </c>
      <c r="BA197" s="13">
        <f t="shared" si="59"/>
        <v>0</v>
      </c>
      <c r="BB197" s="9">
        <f t="shared" si="60"/>
        <v>65347.74</v>
      </c>
      <c r="BC197" s="9">
        <v>19.86</v>
      </c>
      <c r="BD197" s="10">
        <v>44409</v>
      </c>
      <c r="BE197" s="9">
        <f t="shared" si="61"/>
        <v>1250.3599999999999</v>
      </c>
      <c r="BF197" s="9">
        <f t="shared" si="62"/>
        <v>16781.14</v>
      </c>
      <c r="BG197" s="9">
        <f t="shared" si="63"/>
        <v>7008.59</v>
      </c>
      <c r="BH197" s="9">
        <f t="shared" si="64"/>
        <v>1414.88</v>
      </c>
      <c r="BI197" s="9">
        <f t="shared" si="65"/>
        <v>9147.3700000000008</v>
      </c>
      <c r="BJ197" s="9">
        <f t="shared" si="66"/>
        <v>822.61</v>
      </c>
      <c r="BK197" s="9">
        <f t="shared" si="67"/>
        <v>0</v>
      </c>
      <c r="BL197" s="9">
        <f t="shared" si="68"/>
        <v>0</v>
      </c>
      <c r="BM197" s="9">
        <f t="shared" si="69"/>
        <v>0</v>
      </c>
      <c r="BN197" s="9">
        <f t="shared" si="70"/>
        <v>361.95</v>
      </c>
      <c r="BO197" s="9">
        <f t="shared" si="71"/>
        <v>2369.1</v>
      </c>
      <c r="BP197" s="9">
        <f t="shared" si="72"/>
        <v>1349.07</v>
      </c>
      <c r="BQ197" s="9">
        <f t="shared" si="73"/>
        <v>230.33</v>
      </c>
      <c r="BR197" s="9">
        <f t="shared" si="74"/>
        <v>11944.22</v>
      </c>
      <c r="BS197" s="9">
        <f t="shared" si="75"/>
        <v>394.85</v>
      </c>
      <c r="BT197" s="9">
        <f t="shared" si="76"/>
        <v>5856.95</v>
      </c>
      <c r="BU197" s="9">
        <f t="shared" si="77"/>
        <v>6416.32</v>
      </c>
      <c r="BV197" s="17">
        <f t="shared" si="78"/>
        <v>65347.74</v>
      </c>
      <c r="BW197" s="17">
        <v>1.67</v>
      </c>
      <c r="BX197" s="17">
        <v>0.04</v>
      </c>
      <c r="BY197" s="17">
        <v>0.25</v>
      </c>
      <c r="BZ197" s="17">
        <v>0.05</v>
      </c>
      <c r="CA197" s="29">
        <v>6.33</v>
      </c>
      <c r="CB197" s="325"/>
      <c r="CC197" s="13">
        <v>175745.29</v>
      </c>
      <c r="CD197" s="13">
        <v>864.26</v>
      </c>
      <c r="CE197" s="13">
        <v>121.14</v>
      </c>
      <c r="CF197" s="13">
        <v>326.58</v>
      </c>
      <c r="CG197" s="13">
        <v>401.09</v>
      </c>
      <c r="CH197" s="13">
        <v>0</v>
      </c>
      <c r="CI197" s="13">
        <v>2336.19</v>
      </c>
      <c r="CJ197" s="13">
        <v>27684</v>
      </c>
      <c r="CK197" s="13">
        <v>1265.47</v>
      </c>
      <c r="CL197" s="13">
        <v>608862.49</v>
      </c>
      <c r="CM197" s="13">
        <v>638.05999999999995</v>
      </c>
      <c r="CN197" s="13">
        <v>0</v>
      </c>
      <c r="CO197" s="13">
        <v>1227.68</v>
      </c>
      <c r="CP197" s="13">
        <v>1356.66</v>
      </c>
      <c r="CQ197" s="13">
        <v>0</v>
      </c>
      <c r="CR197" s="13">
        <v>538212.52</v>
      </c>
      <c r="CS197" s="13">
        <v>4358.6899999999996</v>
      </c>
      <c r="CT197" s="13">
        <v>320.98</v>
      </c>
      <c r="CU197" s="13">
        <v>1055.6500000000001</v>
      </c>
      <c r="CV197" s="13">
        <v>1178.7</v>
      </c>
      <c r="CW197" s="13">
        <v>0</v>
      </c>
      <c r="CX197" s="13">
        <v>127094.89</v>
      </c>
      <c r="CY197" s="13">
        <v>-3107.28</v>
      </c>
      <c r="CZ197" s="13">
        <v>-550.91999999999996</v>
      </c>
      <c r="DA197" s="13">
        <v>257.25</v>
      </c>
      <c r="DB197" s="13">
        <v>293.25</v>
      </c>
      <c r="DC197" s="13"/>
      <c r="DD197" s="315">
        <v>612084.89</v>
      </c>
      <c r="DE197" s="317">
        <v>545126.54</v>
      </c>
      <c r="DF197" s="317">
        <v>89.06</v>
      </c>
      <c r="DG197" s="318">
        <v>123987.19</v>
      </c>
      <c r="DH197" s="310">
        <v>27144</v>
      </c>
      <c r="DI197" s="310">
        <v>15523.92</v>
      </c>
      <c r="DJ197" s="312">
        <v>0</v>
      </c>
      <c r="DK197" s="362">
        <v>0</v>
      </c>
      <c r="DL197" s="362"/>
      <c r="DM197" s="362">
        <v>0</v>
      </c>
      <c r="DN197" s="362">
        <v>0</v>
      </c>
      <c r="DO197" s="362">
        <v>0</v>
      </c>
      <c r="DP197" s="362">
        <v>0</v>
      </c>
      <c r="DQ197" s="362">
        <v>0</v>
      </c>
      <c r="DR197" s="362"/>
      <c r="DS197" s="362">
        <v>0</v>
      </c>
      <c r="DT197" s="362"/>
      <c r="DU197" s="362">
        <v>0</v>
      </c>
      <c r="DV197" s="362">
        <v>0</v>
      </c>
      <c r="DW197" s="362">
        <v>0</v>
      </c>
      <c r="DX197" s="362">
        <v>0</v>
      </c>
      <c r="DY197" s="362">
        <v>0</v>
      </c>
      <c r="DZ197" s="375">
        <v>0</v>
      </c>
      <c r="EA197" s="362">
        <v>250350</v>
      </c>
      <c r="EB197" s="362">
        <v>11050</v>
      </c>
      <c r="EC197" s="362"/>
      <c r="ED197" s="362">
        <v>0</v>
      </c>
      <c r="EE197" s="362">
        <v>0</v>
      </c>
      <c r="EF197" s="362"/>
      <c r="EG197" s="362">
        <v>13254</v>
      </c>
      <c r="EH197" s="362">
        <v>52150</v>
      </c>
      <c r="EI197" s="362"/>
      <c r="EJ197" s="362">
        <v>23880</v>
      </c>
      <c r="EK197" s="362"/>
      <c r="EL197" s="362">
        <v>0</v>
      </c>
      <c r="EM197" s="362">
        <v>4394.25</v>
      </c>
      <c r="EN197" s="362">
        <v>0</v>
      </c>
      <c r="EO197" s="362">
        <v>0</v>
      </c>
      <c r="EP197" s="362">
        <v>202614</v>
      </c>
      <c r="EQ197" s="362">
        <v>0</v>
      </c>
      <c r="ER197" s="362">
        <v>12285</v>
      </c>
      <c r="ES197" s="362">
        <v>0</v>
      </c>
      <c r="ET197" s="362">
        <v>12084</v>
      </c>
      <c r="EU197" s="362">
        <v>0</v>
      </c>
      <c r="EV197" s="362">
        <v>68764.160000000003</v>
      </c>
      <c r="EW197" s="362"/>
      <c r="EX197" s="202"/>
      <c r="EY197" s="202"/>
      <c r="EZ197" s="229"/>
      <c r="FA197" s="368">
        <v>762.52</v>
      </c>
      <c r="FB197" s="368">
        <v>0</v>
      </c>
      <c r="FC197" s="368">
        <v>0</v>
      </c>
      <c r="FD197" s="368">
        <v>0</v>
      </c>
      <c r="FE197" s="368">
        <v>1618.31</v>
      </c>
      <c r="FF197" s="368">
        <v>1731.63</v>
      </c>
      <c r="FG197" s="368">
        <v>0</v>
      </c>
      <c r="FH197" s="368">
        <v>-841.85</v>
      </c>
      <c r="FI197" s="368">
        <v>0</v>
      </c>
      <c r="FJ197" s="368">
        <v>0</v>
      </c>
      <c r="FK197" s="368">
        <v>8817.85</v>
      </c>
      <c r="FL197" s="368">
        <v>0</v>
      </c>
      <c r="FM197" s="368">
        <v>87969.57</v>
      </c>
      <c r="FN197" s="368">
        <v>55935.17</v>
      </c>
      <c r="FO197" s="323">
        <v>837398.07</v>
      </c>
      <c r="FP197" s="323">
        <v>12088.46</v>
      </c>
      <c r="FQ197" s="323">
        <v>849486.53</v>
      </c>
      <c r="FR197" s="362">
        <v>95189.23</v>
      </c>
      <c r="FS197" s="362">
        <v>2024.02</v>
      </c>
      <c r="FT197" s="377">
        <v>97213.25</v>
      </c>
      <c r="FU197" s="377">
        <v>814627.97</v>
      </c>
      <c r="FV197" s="377">
        <v>6200.94</v>
      </c>
      <c r="FW197" s="362">
        <v>820828.91</v>
      </c>
      <c r="FX197" s="362">
        <v>542471.99</v>
      </c>
      <c r="FY197" s="362">
        <v>8905.89</v>
      </c>
      <c r="FZ197" s="362">
        <v>551377.88</v>
      </c>
      <c r="GA197" s="362">
        <v>367345.21</v>
      </c>
      <c r="GB197" s="362">
        <v>-680.93</v>
      </c>
      <c r="GC197" s="362">
        <v>366664.28</v>
      </c>
      <c r="GD197" s="362">
        <v>43363.77</v>
      </c>
      <c r="GE197" s="362">
        <v>7262.33</v>
      </c>
      <c r="GF197" s="362">
        <v>50626.1</v>
      </c>
      <c r="GG197" s="202">
        <v>242677.09</v>
      </c>
      <c r="GH197" s="416">
        <v>99</v>
      </c>
      <c r="GI197" s="414">
        <v>2455</v>
      </c>
      <c r="GJ197" s="419">
        <v>177458.36</v>
      </c>
      <c r="GK197" s="396">
        <v>242677.09</v>
      </c>
      <c r="GL197" s="202">
        <v>240250.31909999999</v>
      </c>
      <c r="GM197" s="202">
        <v>2426.7709</v>
      </c>
      <c r="GN197" s="323">
        <v>-22770.1</v>
      </c>
      <c r="GO197" s="323">
        <v>-5887.52</v>
      </c>
      <c r="GP197" s="323">
        <v>-28657.62</v>
      </c>
      <c r="GQ197" s="323">
        <v>20593.669999999998</v>
      </c>
      <c r="GR197" s="323">
        <v>1374.81</v>
      </c>
      <c r="GS197" s="323">
        <v>21968.48</v>
      </c>
    </row>
    <row r="198" spans="1:201" ht="12.75" customHeight="1" x14ac:dyDescent="0.2">
      <c r="A198" s="45" t="s">
        <v>284</v>
      </c>
      <c r="B198" s="78" t="s">
        <v>221</v>
      </c>
      <c r="C198" s="79" t="s">
        <v>255</v>
      </c>
      <c r="D198" s="388" t="s">
        <v>490</v>
      </c>
      <c r="E198" s="79"/>
      <c r="F198" s="11">
        <v>9</v>
      </c>
      <c r="G198" s="11">
        <v>1</v>
      </c>
      <c r="H198" s="11">
        <v>54</v>
      </c>
      <c r="I198" s="11">
        <v>54</v>
      </c>
      <c r="J198" s="11">
        <v>89</v>
      </c>
      <c r="K198" s="11">
        <v>120</v>
      </c>
      <c r="L198" s="11">
        <v>1</v>
      </c>
      <c r="M198" s="84">
        <v>279</v>
      </c>
      <c r="N198" s="84">
        <v>385</v>
      </c>
      <c r="O198" s="84">
        <v>385</v>
      </c>
      <c r="P198" s="139">
        <v>250.7</v>
      </c>
      <c r="Q198" s="135">
        <v>102</v>
      </c>
      <c r="R198" s="133">
        <v>6.3</v>
      </c>
      <c r="S198" s="133">
        <f t="shared" si="79"/>
        <v>359</v>
      </c>
      <c r="T198" s="139">
        <v>279</v>
      </c>
      <c r="U198" s="130">
        <v>2.44</v>
      </c>
      <c r="V198" s="131">
        <v>1.9800000000000002E-2</v>
      </c>
      <c r="W198" s="131">
        <v>1.9800000000000002E-2</v>
      </c>
      <c r="X198" s="132">
        <v>1.2199999999999999E-3</v>
      </c>
      <c r="Y198" s="131">
        <v>3.9699999999999999E-2</v>
      </c>
      <c r="Z198" s="29">
        <v>2204.6999999999998</v>
      </c>
      <c r="AA198" s="29"/>
      <c r="AB198" s="9">
        <f t="shared" si="57"/>
        <v>2204.6999999999998</v>
      </c>
      <c r="AC198" s="9">
        <f t="shared" si="82"/>
        <v>13955.75</v>
      </c>
      <c r="AD198" s="9">
        <v>1.59</v>
      </c>
      <c r="AE198" s="9">
        <f>4.46</f>
        <v>4.46</v>
      </c>
      <c r="AF198" s="21">
        <f>2.42-AJ198</f>
        <v>2.17</v>
      </c>
      <c r="AG198" s="18">
        <f>0.61-AQ198</f>
        <v>0.55000000000000004</v>
      </c>
      <c r="AH198" s="9">
        <v>2.77</v>
      </c>
      <c r="AI198" s="43">
        <v>562</v>
      </c>
      <c r="AJ198" s="21">
        <f t="shared" si="58"/>
        <v>0.25</v>
      </c>
      <c r="AK198" s="9">
        <v>1.96</v>
      </c>
      <c r="AL198" s="9">
        <v>0.17</v>
      </c>
      <c r="AM198" s="9">
        <v>0.43</v>
      </c>
      <c r="AN198" s="13"/>
      <c r="AO198" s="13">
        <v>305.89999999999998</v>
      </c>
      <c r="AP198" s="13">
        <f t="shared" si="80"/>
        <v>5.58</v>
      </c>
      <c r="AQ198" s="18">
        <f t="shared" ref="AQ198:AQ238" si="83">SUM(AN198:AO198)*AP198/AB198/12</f>
        <v>0.06</v>
      </c>
      <c r="AR198" s="9">
        <v>0.79</v>
      </c>
      <c r="AS198" s="9">
        <v>0.62</v>
      </c>
      <c r="AT198" s="9">
        <v>7.0000000000000007E-2</v>
      </c>
      <c r="AU198" s="9">
        <v>3.68</v>
      </c>
      <c r="AV198" s="9">
        <v>0.17</v>
      </c>
      <c r="AW198" s="9">
        <f>1.43+0.34+0.33</f>
        <v>2.1</v>
      </c>
      <c r="AX198" s="9">
        <f>2.02+0.44</f>
        <v>2.46</v>
      </c>
      <c r="AY198" s="81">
        <f t="shared" si="81"/>
        <v>24.3</v>
      </c>
      <c r="AZ198" s="13">
        <v>24.3</v>
      </c>
      <c r="BA198" s="13">
        <f t="shared" si="59"/>
        <v>0</v>
      </c>
      <c r="BB198" s="9">
        <f t="shared" si="60"/>
        <v>53574.21</v>
      </c>
      <c r="BC198" s="9">
        <v>24.3</v>
      </c>
      <c r="BD198" s="10">
        <v>44440</v>
      </c>
      <c r="BE198" s="9">
        <f t="shared" si="61"/>
        <v>3505.47</v>
      </c>
      <c r="BF198" s="9">
        <f t="shared" si="62"/>
        <v>9832.9599999999991</v>
      </c>
      <c r="BG198" s="9">
        <f t="shared" si="63"/>
        <v>4784.2</v>
      </c>
      <c r="BH198" s="9">
        <f t="shared" si="64"/>
        <v>1212.5899999999999</v>
      </c>
      <c r="BI198" s="9">
        <f t="shared" si="65"/>
        <v>6107.02</v>
      </c>
      <c r="BJ198" s="9">
        <f t="shared" si="66"/>
        <v>551.17999999999995</v>
      </c>
      <c r="BK198" s="9">
        <f t="shared" si="67"/>
        <v>4321.21</v>
      </c>
      <c r="BL198" s="9">
        <f t="shared" si="68"/>
        <v>374.8</v>
      </c>
      <c r="BM198" s="9">
        <f t="shared" si="69"/>
        <v>948.02</v>
      </c>
      <c r="BN198" s="9">
        <f t="shared" si="70"/>
        <v>132.28</v>
      </c>
      <c r="BO198" s="9">
        <f t="shared" si="71"/>
        <v>1741.71</v>
      </c>
      <c r="BP198" s="9">
        <f t="shared" si="72"/>
        <v>1366.91</v>
      </c>
      <c r="BQ198" s="9">
        <f t="shared" si="73"/>
        <v>154.33000000000001</v>
      </c>
      <c r="BR198" s="9">
        <f t="shared" si="74"/>
        <v>8113.3</v>
      </c>
      <c r="BS198" s="9">
        <f t="shared" si="75"/>
        <v>374.8</v>
      </c>
      <c r="BT198" s="9">
        <f t="shared" si="76"/>
        <v>4629.87</v>
      </c>
      <c r="BU198" s="9">
        <f t="shared" si="77"/>
        <v>5423.56</v>
      </c>
      <c r="BV198" s="17">
        <f t="shared" si="78"/>
        <v>53574.21</v>
      </c>
      <c r="BW198" s="17">
        <v>2.91</v>
      </c>
      <c r="BX198" s="17">
        <v>7.0000000000000007E-2</v>
      </c>
      <c r="BY198" s="17">
        <v>0.41</v>
      </c>
      <c r="BZ198" s="17">
        <v>0.08</v>
      </c>
      <c r="CA198" s="29">
        <v>6.33</v>
      </c>
      <c r="CB198" s="325"/>
      <c r="CC198" s="13">
        <v>0</v>
      </c>
      <c r="CD198" s="13">
        <v>0</v>
      </c>
      <c r="CE198" s="13">
        <v>0</v>
      </c>
      <c r="CF198" s="13">
        <v>0</v>
      </c>
      <c r="CG198" s="13">
        <v>0</v>
      </c>
      <c r="CH198" s="13">
        <v>0</v>
      </c>
      <c r="CI198" s="13">
        <v>2227.21</v>
      </c>
      <c r="CJ198" s="13">
        <v>29484</v>
      </c>
      <c r="CK198" s="13">
        <v>847.91</v>
      </c>
      <c r="CL198" s="13">
        <v>642890.52</v>
      </c>
      <c r="CM198" s="13">
        <v>130716.69</v>
      </c>
      <c r="CN198" s="13">
        <v>0</v>
      </c>
      <c r="CO198" s="13">
        <v>11663.15</v>
      </c>
      <c r="CP198" s="13">
        <v>8422.0499999999993</v>
      </c>
      <c r="CQ198" s="13">
        <v>0</v>
      </c>
      <c r="CR198" s="13">
        <v>643449.09</v>
      </c>
      <c r="CS198" s="13">
        <v>126048.72</v>
      </c>
      <c r="CT198" s="13">
        <v>616.07000000000005</v>
      </c>
      <c r="CU198" s="13">
        <v>6514.39</v>
      </c>
      <c r="CV198" s="13">
        <v>5426.19</v>
      </c>
      <c r="CW198" s="13">
        <v>0</v>
      </c>
      <c r="CX198" s="13">
        <v>65766.210000000006</v>
      </c>
      <c r="CY198" s="13">
        <v>14293.3</v>
      </c>
      <c r="CZ198" s="13">
        <v>-824.9</v>
      </c>
      <c r="DA198" s="13">
        <v>3502.51</v>
      </c>
      <c r="DB198" s="13">
        <v>2020.77</v>
      </c>
      <c r="DC198" s="13"/>
      <c r="DD198" s="315">
        <v>793692.41</v>
      </c>
      <c r="DE198" s="317">
        <v>782054.46</v>
      </c>
      <c r="DF198" s="317">
        <v>98.53</v>
      </c>
      <c r="DG198" s="318">
        <v>84757.89</v>
      </c>
      <c r="DH198" s="310">
        <v>23165.759999999998</v>
      </c>
      <c r="DI198" s="310">
        <v>13248.72</v>
      </c>
      <c r="DJ198" s="312">
        <v>0</v>
      </c>
      <c r="DK198" s="362">
        <v>0</v>
      </c>
      <c r="DL198" s="362"/>
      <c r="DM198" s="362">
        <v>0</v>
      </c>
      <c r="DN198" s="362">
        <v>0</v>
      </c>
      <c r="DO198" s="362">
        <v>0</v>
      </c>
      <c r="DP198" s="362">
        <v>0</v>
      </c>
      <c r="DQ198" s="362">
        <v>0</v>
      </c>
      <c r="DR198" s="362"/>
      <c r="DS198" s="362">
        <v>0</v>
      </c>
      <c r="DT198" s="362"/>
      <c r="DU198" s="362">
        <v>0</v>
      </c>
      <c r="DV198" s="362">
        <v>0</v>
      </c>
      <c r="DW198" s="362">
        <v>51600</v>
      </c>
      <c r="DX198" s="362">
        <v>0</v>
      </c>
      <c r="DY198" s="362">
        <v>4500</v>
      </c>
      <c r="DZ198" s="375">
        <v>0</v>
      </c>
      <c r="EA198" s="362">
        <v>183840</v>
      </c>
      <c r="EB198" s="362">
        <v>12466.67</v>
      </c>
      <c r="EC198" s="362"/>
      <c r="ED198" s="362">
        <v>0</v>
      </c>
      <c r="EE198" s="362">
        <v>0</v>
      </c>
      <c r="EF198" s="362"/>
      <c r="EG198" s="362">
        <v>8946</v>
      </c>
      <c r="EH198" s="362">
        <v>0</v>
      </c>
      <c r="EI198" s="362"/>
      <c r="EJ198" s="362">
        <v>0</v>
      </c>
      <c r="EK198" s="362"/>
      <c r="EL198" s="362">
        <v>0</v>
      </c>
      <c r="EM198" s="362">
        <v>1706.91</v>
      </c>
      <c r="EN198" s="362">
        <v>0</v>
      </c>
      <c r="EO198" s="362">
        <v>0</v>
      </c>
      <c r="EP198" s="362">
        <v>136470</v>
      </c>
      <c r="EQ198" s="362">
        <v>0</v>
      </c>
      <c r="ER198" s="362">
        <v>15015</v>
      </c>
      <c r="ES198" s="362">
        <v>11304</v>
      </c>
      <c r="ET198" s="362">
        <v>6847</v>
      </c>
      <c r="EU198" s="362">
        <v>0</v>
      </c>
      <c r="EV198" s="362">
        <v>61924.63</v>
      </c>
      <c r="EW198" s="362"/>
      <c r="EX198" s="202"/>
      <c r="EY198" s="202"/>
      <c r="EZ198" s="229"/>
      <c r="FA198" s="368">
        <v>142331.89000000001</v>
      </c>
      <c r="FB198" s="368">
        <v>0</v>
      </c>
      <c r="FC198" s="368">
        <v>0</v>
      </c>
      <c r="FD198" s="368">
        <v>0</v>
      </c>
      <c r="FE198" s="368">
        <v>21775.85</v>
      </c>
      <c r="FF198" s="368">
        <v>12877.07</v>
      </c>
      <c r="FG198" s="368">
        <v>0</v>
      </c>
      <c r="FH198" s="368">
        <v>-590.12</v>
      </c>
      <c r="FI198" s="368">
        <v>0</v>
      </c>
      <c r="FJ198" s="368">
        <v>0</v>
      </c>
      <c r="FK198" s="368">
        <v>0</v>
      </c>
      <c r="FL198" s="368">
        <v>0</v>
      </c>
      <c r="FM198" s="368">
        <v>58942.78</v>
      </c>
      <c r="FN198" s="368">
        <v>37478.57</v>
      </c>
      <c r="FO198" s="323">
        <v>627456.04</v>
      </c>
      <c r="FP198" s="323">
        <v>176394.69</v>
      </c>
      <c r="FQ198" s="323">
        <v>803850.73</v>
      </c>
      <c r="FR198" s="362">
        <v>64425.23</v>
      </c>
      <c r="FS198" s="362">
        <v>10991.03</v>
      </c>
      <c r="FT198" s="377">
        <v>75416.259999999995</v>
      </c>
      <c r="FU198" s="377">
        <v>674601.73</v>
      </c>
      <c r="FV198" s="377">
        <v>151649.79999999999</v>
      </c>
      <c r="FW198" s="362">
        <v>826251.53</v>
      </c>
      <c r="FX198" s="362">
        <v>673260.75</v>
      </c>
      <c r="FY198" s="362">
        <v>143649.15</v>
      </c>
      <c r="FZ198" s="362">
        <v>816909.9</v>
      </c>
      <c r="GA198" s="362">
        <v>65766.210000000006</v>
      </c>
      <c r="GB198" s="362">
        <v>18991.68</v>
      </c>
      <c r="GC198" s="362">
        <v>84757.89</v>
      </c>
      <c r="GD198" s="362">
        <v>45315.41</v>
      </c>
      <c r="GE198" s="362">
        <v>-1690.38</v>
      </c>
      <c r="GF198" s="362">
        <v>43625.03</v>
      </c>
      <c r="GG198" s="202"/>
      <c r="GH198" s="416"/>
      <c r="GI198" s="414">
        <v>2455</v>
      </c>
      <c r="GJ198" s="419">
        <v>0</v>
      </c>
      <c r="GK198" s="396"/>
      <c r="GL198" s="202">
        <v>0</v>
      </c>
      <c r="GM198" s="202">
        <v>0</v>
      </c>
      <c r="GN198" s="323">
        <v>47145.69</v>
      </c>
      <c r="GO198" s="323">
        <v>-24744.89</v>
      </c>
      <c r="GP198" s="323">
        <v>22400.799999999999</v>
      </c>
      <c r="GQ198" s="323">
        <v>92461.1</v>
      </c>
      <c r="GR198" s="323">
        <v>-26435.27</v>
      </c>
      <c r="GS198" s="323">
        <v>66025.83</v>
      </c>
    </row>
    <row r="199" spans="1:201" ht="12.75" customHeight="1" x14ac:dyDescent="0.2">
      <c r="A199" s="45" t="s">
        <v>285</v>
      </c>
      <c r="B199" s="78" t="s">
        <v>221</v>
      </c>
      <c r="C199" s="79" t="s">
        <v>255</v>
      </c>
      <c r="D199" s="388" t="s">
        <v>577</v>
      </c>
      <c r="E199" s="79" t="s">
        <v>9</v>
      </c>
      <c r="F199" s="11">
        <v>9</v>
      </c>
      <c r="G199" s="11">
        <v>1</v>
      </c>
      <c r="H199" s="11">
        <v>52</v>
      </c>
      <c r="I199" s="11">
        <v>53</v>
      </c>
      <c r="J199" s="11">
        <v>98</v>
      </c>
      <c r="K199" s="11">
        <v>101</v>
      </c>
      <c r="L199" s="11">
        <v>1</v>
      </c>
      <c r="M199" s="84">
        <v>279</v>
      </c>
      <c r="N199" s="84">
        <v>384</v>
      </c>
      <c r="O199" s="84">
        <v>384</v>
      </c>
      <c r="P199" s="139">
        <v>279</v>
      </c>
      <c r="Q199" s="139">
        <v>384</v>
      </c>
      <c r="R199" s="139">
        <v>384</v>
      </c>
      <c r="S199" s="133">
        <f t="shared" si="79"/>
        <v>1047</v>
      </c>
      <c r="T199" s="139">
        <v>279</v>
      </c>
      <c r="U199" s="130">
        <v>2.44</v>
      </c>
      <c r="V199" s="131">
        <v>1.9800000000000002E-2</v>
      </c>
      <c r="W199" s="131">
        <v>1.9800000000000002E-2</v>
      </c>
      <c r="X199" s="132">
        <v>1.32E-3</v>
      </c>
      <c r="Y199" s="131">
        <v>3.9699999999999999E-2</v>
      </c>
      <c r="Z199" s="29">
        <v>2205.42</v>
      </c>
      <c r="AA199" s="29">
        <v>323</v>
      </c>
      <c r="AB199" s="9">
        <f t="shared" ref="AB199:AB262" si="84">Z199+AA199</f>
        <v>2528.42</v>
      </c>
      <c r="AC199" s="9">
        <f t="shared" si="82"/>
        <v>16004.9</v>
      </c>
      <c r="AD199" s="9">
        <v>1.54</v>
      </c>
      <c r="AE199" s="9">
        <v>4.54</v>
      </c>
      <c r="AF199" s="21">
        <f>2.43-AJ199</f>
        <v>2.2799999999999998</v>
      </c>
      <c r="AG199" s="18">
        <f>0.61-AQ199</f>
        <v>0.55000000000000004</v>
      </c>
      <c r="AH199" s="9">
        <v>2.77</v>
      </c>
      <c r="AI199" s="43">
        <v>369</v>
      </c>
      <c r="AJ199" s="21">
        <f t="shared" si="58"/>
        <v>0.15</v>
      </c>
      <c r="AK199" s="9">
        <v>1.95</v>
      </c>
      <c r="AL199" s="9">
        <v>0.17</v>
      </c>
      <c r="AM199" s="9">
        <v>0.43</v>
      </c>
      <c r="AN199" s="13"/>
      <c r="AO199" s="13">
        <v>305.89999999999998</v>
      </c>
      <c r="AP199" s="13">
        <f t="shared" si="80"/>
        <v>5.58</v>
      </c>
      <c r="AQ199" s="18">
        <f t="shared" si="83"/>
        <v>0.06</v>
      </c>
      <c r="AR199" s="9">
        <v>0.76</v>
      </c>
      <c r="AS199" s="9">
        <v>0.62</v>
      </c>
      <c r="AT199" s="9">
        <v>7.0000000000000007E-2</v>
      </c>
      <c r="AU199" s="9">
        <v>3.67</v>
      </c>
      <c r="AV199" s="9">
        <v>0.17</v>
      </c>
      <c r="AW199" s="9">
        <f>1.43+0.33+0.32</f>
        <v>2.08</v>
      </c>
      <c r="AX199" s="9">
        <f>2.02+0.44</f>
        <v>2.46</v>
      </c>
      <c r="AY199" s="81">
        <f t="shared" si="81"/>
        <v>24.27</v>
      </c>
      <c r="AZ199" s="13">
        <v>24.27</v>
      </c>
      <c r="BA199" s="13">
        <f t="shared" ref="BA199:BA262" si="85">SUM(AY199-AZ199)</f>
        <v>0</v>
      </c>
      <c r="BB199" s="9">
        <f t="shared" ref="BB199:BB262" si="86">SUM(AB199*AZ199)</f>
        <v>61364.75</v>
      </c>
      <c r="BC199" s="9">
        <v>24.27</v>
      </c>
      <c r="BD199" s="10">
        <v>44409</v>
      </c>
      <c r="BE199" s="9">
        <f t="shared" si="61"/>
        <v>3893.77</v>
      </c>
      <c r="BF199" s="9">
        <f t="shared" si="62"/>
        <v>11479.03</v>
      </c>
      <c r="BG199" s="9">
        <f t="shared" si="63"/>
        <v>5764.8</v>
      </c>
      <c r="BH199" s="9">
        <f t="shared" si="64"/>
        <v>1390.63</v>
      </c>
      <c r="BI199" s="9">
        <f t="shared" si="65"/>
        <v>7003.72</v>
      </c>
      <c r="BJ199" s="9">
        <f t="shared" si="66"/>
        <v>379.26</v>
      </c>
      <c r="BK199" s="9">
        <f t="shared" si="67"/>
        <v>4930.42</v>
      </c>
      <c r="BL199" s="9">
        <f t="shared" si="68"/>
        <v>429.83</v>
      </c>
      <c r="BM199" s="9">
        <f t="shared" si="69"/>
        <v>1087.22</v>
      </c>
      <c r="BN199" s="9">
        <f t="shared" si="70"/>
        <v>151.71</v>
      </c>
      <c r="BO199" s="9">
        <f t="shared" si="71"/>
        <v>1921.6</v>
      </c>
      <c r="BP199" s="9">
        <f t="shared" si="72"/>
        <v>1567.62</v>
      </c>
      <c r="BQ199" s="9">
        <f t="shared" si="73"/>
        <v>176.99</v>
      </c>
      <c r="BR199" s="9">
        <f t="shared" si="74"/>
        <v>9279.2999999999993</v>
      </c>
      <c r="BS199" s="9">
        <f t="shared" si="75"/>
        <v>429.83</v>
      </c>
      <c r="BT199" s="9">
        <f t="shared" si="76"/>
        <v>5259.11</v>
      </c>
      <c r="BU199" s="9">
        <f t="shared" si="77"/>
        <v>6219.91</v>
      </c>
      <c r="BV199" s="17">
        <f t="shared" si="78"/>
        <v>61364.75</v>
      </c>
      <c r="BW199" s="17">
        <v>3.08</v>
      </c>
      <c r="BX199" s="17">
        <v>0.06</v>
      </c>
      <c r="BY199" s="17">
        <v>0.33</v>
      </c>
      <c r="BZ199" s="17">
        <v>0.06</v>
      </c>
      <c r="CA199" s="29">
        <v>6.33</v>
      </c>
      <c r="CB199" s="325"/>
      <c r="CC199" s="13">
        <v>94070.52</v>
      </c>
      <c r="CD199" s="13">
        <v>10917.4</v>
      </c>
      <c r="CE199" s="13">
        <v>18562.810000000001</v>
      </c>
      <c r="CF199" s="13">
        <v>1175.72</v>
      </c>
      <c r="CG199" s="13">
        <v>151.81</v>
      </c>
      <c r="CH199" s="13">
        <v>0</v>
      </c>
      <c r="CI199" s="13">
        <v>307.74</v>
      </c>
      <c r="CJ199" s="13">
        <v>31284</v>
      </c>
      <c r="CK199" s="13">
        <v>972.4</v>
      </c>
      <c r="CL199" s="13">
        <v>642306.84</v>
      </c>
      <c r="CM199" s="13">
        <v>74543.22</v>
      </c>
      <c r="CN199" s="13">
        <v>134244.10999999999</v>
      </c>
      <c r="CO199" s="13">
        <v>529.49</v>
      </c>
      <c r="CP199" s="13">
        <v>1036.4100000000001</v>
      </c>
      <c r="CQ199" s="13">
        <v>0</v>
      </c>
      <c r="CR199" s="13">
        <v>617122.56999999995</v>
      </c>
      <c r="CS199" s="13">
        <v>72507.600000000006</v>
      </c>
      <c r="CT199" s="13">
        <v>119991.02</v>
      </c>
      <c r="CU199" s="13">
        <v>619.14</v>
      </c>
      <c r="CV199" s="13">
        <v>1046.8900000000001</v>
      </c>
      <c r="CW199" s="13">
        <v>0</v>
      </c>
      <c r="CX199" s="13">
        <v>78126.95</v>
      </c>
      <c r="CY199" s="13">
        <v>7957.31</v>
      </c>
      <c r="CZ199" s="13">
        <v>17811.13</v>
      </c>
      <c r="DA199" s="13">
        <v>-68.260000000000005</v>
      </c>
      <c r="DB199" s="13">
        <v>68.13</v>
      </c>
      <c r="DC199" s="13"/>
      <c r="DD199" s="315">
        <v>852660.07</v>
      </c>
      <c r="DE199" s="317">
        <v>811287.22</v>
      </c>
      <c r="DF199" s="317">
        <v>95.15</v>
      </c>
      <c r="DG199" s="318">
        <v>103895.26</v>
      </c>
      <c r="DH199" s="310">
        <v>23173.32</v>
      </c>
      <c r="DI199" s="310">
        <v>13253.04</v>
      </c>
      <c r="DJ199" s="312">
        <v>0</v>
      </c>
      <c r="DK199" s="362">
        <v>0</v>
      </c>
      <c r="DL199" s="362"/>
      <c r="DM199" s="362">
        <v>0</v>
      </c>
      <c r="DN199" s="362">
        <v>0</v>
      </c>
      <c r="DO199" s="362">
        <v>0</v>
      </c>
      <c r="DP199" s="362">
        <v>0</v>
      </c>
      <c r="DQ199" s="362">
        <v>0</v>
      </c>
      <c r="DR199" s="362"/>
      <c r="DS199" s="362">
        <v>0</v>
      </c>
      <c r="DT199" s="362"/>
      <c r="DU199" s="362">
        <v>0</v>
      </c>
      <c r="DV199" s="362">
        <v>0</v>
      </c>
      <c r="DW199" s="362">
        <v>51600</v>
      </c>
      <c r="DX199" s="362">
        <v>0</v>
      </c>
      <c r="DY199" s="362">
        <v>4500</v>
      </c>
      <c r="DZ199" s="375">
        <v>0</v>
      </c>
      <c r="EA199" s="362">
        <v>185586</v>
      </c>
      <c r="EB199" s="362">
        <v>12466.67</v>
      </c>
      <c r="EC199" s="362"/>
      <c r="ED199" s="362">
        <v>0</v>
      </c>
      <c r="EE199" s="362">
        <v>0</v>
      </c>
      <c r="EF199" s="362"/>
      <c r="EG199" s="362">
        <v>5874</v>
      </c>
      <c r="EH199" s="362">
        <v>1750</v>
      </c>
      <c r="EI199" s="362"/>
      <c r="EJ199" s="362">
        <v>0</v>
      </c>
      <c r="EK199" s="362"/>
      <c r="EL199" s="362">
        <v>0</v>
      </c>
      <c r="EM199" s="362">
        <v>1706.91</v>
      </c>
      <c r="EN199" s="362">
        <v>0</v>
      </c>
      <c r="EO199" s="362">
        <v>0</v>
      </c>
      <c r="EP199" s="362">
        <v>137454</v>
      </c>
      <c r="EQ199" s="362">
        <v>0</v>
      </c>
      <c r="ER199" s="362">
        <v>10920</v>
      </c>
      <c r="ES199" s="362">
        <v>11304</v>
      </c>
      <c r="ET199" s="362">
        <v>6741</v>
      </c>
      <c r="EU199" s="362">
        <v>0</v>
      </c>
      <c r="EV199" s="362">
        <v>50216</v>
      </c>
      <c r="EW199" s="362"/>
      <c r="EX199" s="202"/>
      <c r="EY199" s="202"/>
      <c r="EZ199" s="229"/>
      <c r="FA199" s="368">
        <v>75433.740000000005</v>
      </c>
      <c r="FB199" s="368">
        <v>109251.01</v>
      </c>
      <c r="FC199" s="368">
        <v>0</v>
      </c>
      <c r="FD199" s="368">
        <v>0</v>
      </c>
      <c r="FE199" s="368">
        <v>594.53</v>
      </c>
      <c r="FF199" s="368">
        <v>1289.6300000000001</v>
      </c>
      <c r="FG199" s="368">
        <v>0</v>
      </c>
      <c r="FH199" s="368">
        <v>-672.95</v>
      </c>
      <c r="FI199" s="368">
        <v>0</v>
      </c>
      <c r="FJ199" s="368">
        <v>0</v>
      </c>
      <c r="FK199" s="368">
        <v>38195.31</v>
      </c>
      <c r="FL199" s="368">
        <v>0</v>
      </c>
      <c r="FM199" s="368">
        <v>67597.47</v>
      </c>
      <c r="FN199" s="368">
        <v>42981.64</v>
      </c>
      <c r="FO199" s="323">
        <v>627124.05000000005</v>
      </c>
      <c r="FP199" s="323">
        <v>224091.27</v>
      </c>
      <c r="FQ199" s="323">
        <v>851215.32</v>
      </c>
      <c r="FR199" s="362">
        <v>77706.62</v>
      </c>
      <c r="FS199" s="362">
        <v>18957.2</v>
      </c>
      <c r="FT199" s="377">
        <v>96663.82</v>
      </c>
      <c r="FU199" s="377">
        <v>767969.1</v>
      </c>
      <c r="FV199" s="377">
        <v>242133.37</v>
      </c>
      <c r="FW199" s="362">
        <v>1010102.47</v>
      </c>
      <c r="FX199" s="362">
        <v>759944.54</v>
      </c>
      <c r="FY199" s="362">
        <v>232787.52</v>
      </c>
      <c r="FZ199" s="362">
        <v>992732.06</v>
      </c>
      <c r="GA199" s="362">
        <v>85731.18</v>
      </c>
      <c r="GB199" s="362">
        <v>28303.05</v>
      </c>
      <c r="GC199" s="362">
        <v>114034.23</v>
      </c>
      <c r="GD199" s="362">
        <v>27592.75</v>
      </c>
      <c r="GE199" s="362">
        <v>-60017.32</v>
      </c>
      <c r="GF199" s="362">
        <v>-32424.57</v>
      </c>
      <c r="GG199" s="202">
        <v>10138.969999999999</v>
      </c>
      <c r="GH199" s="416">
        <v>75</v>
      </c>
      <c r="GI199" s="414">
        <v>2963</v>
      </c>
      <c r="GJ199" s="419">
        <v>124878.26</v>
      </c>
      <c r="GK199" s="396">
        <v>10138.969999999999</v>
      </c>
      <c r="GL199" s="202">
        <v>7604.2275</v>
      </c>
      <c r="GM199" s="202">
        <v>2534.7424999999998</v>
      </c>
      <c r="GN199" s="323">
        <v>140845.04999999999</v>
      </c>
      <c r="GO199" s="323">
        <v>18042.099999999999</v>
      </c>
      <c r="GP199" s="323">
        <v>158887.15</v>
      </c>
      <c r="GQ199" s="323">
        <v>168437.8</v>
      </c>
      <c r="GR199" s="323">
        <v>-41975.22</v>
      </c>
      <c r="GS199" s="323">
        <v>126462.58</v>
      </c>
    </row>
    <row r="200" spans="1:201" ht="12.75" customHeight="1" x14ac:dyDescent="0.2">
      <c r="A200" s="45" t="s">
        <v>287</v>
      </c>
      <c r="B200" s="113" t="s">
        <v>221</v>
      </c>
      <c r="C200" s="114" t="s">
        <v>257</v>
      </c>
      <c r="D200" s="388" t="s">
        <v>491</v>
      </c>
      <c r="E200" s="114" t="s">
        <v>12</v>
      </c>
      <c r="F200" s="11">
        <v>5</v>
      </c>
      <c r="G200" s="11">
        <v>6</v>
      </c>
      <c r="H200" s="11">
        <v>90</v>
      </c>
      <c r="I200" s="11">
        <v>91</v>
      </c>
      <c r="J200" s="11">
        <v>192</v>
      </c>
      <c r="K200" s="11">
        <v>247</v>
      </c>
      <c r="L200" s="11" t="s">
        <v>746</v>
      </c>
      <c r="M200" s="84">
        <v>422</v>
      </c>
      <c r="N200" s="84">
        <v>863</v>
      </c>
      <c r="O200" s="84">
        <v>0</v>
      </c>
      <c r="P200" s="135">
        <v>422</v>
      </c>
      <c r="Q200" s="135">
        <v>940.5</v>
      </c>
      <c r="R200" s="133">
        <v>0</v>
      </c>
      <c r="S200" s="133">
        <f t="shared" si="79"/>
        <v>1362.5</v>
      </c>
      <c r="T200" s="134">
        <v>422</v>
      </c>
      <c r="U200" s="130">
        <v>1.53</v>
      </c>
      <c r="V200" s="131">
        <v>1.9800000000000002E-2</v>
      </c>
      <c r="W200" s="131">
        <v>1.9800000000000002E-2</v>
      </c>
      <c r="X200" s="132">
        <v>1.2199999999999999E-3</v>
      </c>
      <c r="Y200" s="131">
        <v>3.95E-2</v>
      </c>
      <c r="Z200" s="29">
        <v>4013.12</v>
      </c>
      <c r="AA200" s="29"/>
      <c r="AB200" s="9">
        <f t="shared" si="84"/>
        <v>4013.12</v>
      </c>
      <c r="AC200" s="9">
        <f t="shared" si="82"/>
        <v>25403.05</v>
      </c>
      <c r="AD200" s="9">
        <v>0.52</v>
      </c>
      <c r="AE200" s="9">
        <v>5.01</v>
      </c>
      <c r="AF200" s="21">
        <f>2.49-AJ200</f>
        <v>2.25</v>
      </c>
      <c r="AG200" s="18">
        <f>0.56-AQ200</f>
        <v>0.46</v>
      </c>
      <c r="AH200" s="9">
        <v>2.78</v>
      </c>
      <c r="AI200" s="43">
        <v>968</v>
      </c>
      <c r="AJ200" s="21">
        <f t="shared" ref="AJ200:AJ238" si="87">SUM(AI200/AB200)</f>
        <v>0.24</v>
      </c>
      <c r="AK200" s="9">
        <v>0</v>
      </c>
      <c r="AL200" s="9">
        <v>0</v>
      </c>
      <c r="AM200" s="9">
        <v>0.14000000000000001</v>
      </c>
      <c r="AN200" s="13"/>
      <c r="AO200" s="13">
        <v>901.8</v>
      </c>
      <c r="AP200" s="13">
        <f t="shared" si="80"/>
        <v>5.58</v>
      </c>
      <c r="AQ200" s="18">
        <f t="shared" si="83"/>
        <v>0.1</v>
      </c>
      <c r="AR200" s="9">
        <v>0.78</v>
      </c>
      <c r="AS200" s="9">
        <v>0.34</v>
      </c>
      <c r="AT200" s="9">
        <v>7.0000000000000007E-2</v>
      </c>
      <c r="AU200" s="9">
        <v>3.57</v>
      </c>
      <c r="AV200" s="9">
        <v>0.13</v>
      </c>
      <c r="AW200" s="9">
        <f>1.14+0.32+0.31</f>
        <v>1.77</v>
      </c>
      <c r="AX200" s="9">
        <f>1.56+0.42</f>
        <v>1.98</v>
      </c>
      <c r="AY200" s="110">
        <f t="shared" si="81"/>
        <v>20.14</v>
      </c>
      <c r="AZ200" s="13">
        <v>20.14</v>
      </c>
      <c r="BA200" s="13">
        <f t="shared" si="85"/>
        <v>0</v>
      </c>
      <c r="BB200" s="9">
        <f t="shared" si="86"/>
        <v>80824.240000000005</v>
      </c>
      <c r="BC200" s="9">
        <v>20.14</v>
      </c>
      <c r="BD200" s="10">
        <v>44409</v>
      </c>
      <c r="BE200" s="9">
        <f t="shared" ref="BE200:BE263" si="88">SUM(AB200*AD200)</f>
        <v>2086.8200000000002</v>
      </c>
      <c r="BF200" s="9">
        <f t="shared" ref="BF200:BF263" si="89">SUM(AB200*AE200)</f>
        <v>20105.73</v>
      </c>
      <c r="BG200" s="9">
        <f t="shared" ref="BG200:BG263" si="90">SUM(AB200*AF200)</f>
        <v>9029.52</v>
      </c>
      <c r="BH200" s="9">
        <f t="shared" ref="BH200:BH263" si="91">SUM(AB200*AG200)</f>
        <v>1846.04</v>
      </c>
      <c r="BI200" s="9">
        <f t="shared" ref="BI200:BI263" si="92">SUM(AB200*AH200)</f>
        <v>11156.47</v>
      </c>
      <c r="BJ200" s="9">
        <f t="shared" ref="BJ200:BJ263" si="93">SUM(AB200*AJ200)</f>
        <v>963.15</v>
      </c>
      <c r="BK200" s="9">
        <f t="shared" ref="BK200:BK263" si="94">SUM(AB200*AK200)</f>
        <v>0</v>
      </c>
      <c r="BL200" s="9">
        <f t="shared" ref="BL200:BL263" si="95">SUM(AB200*AL200)</f>
        <v>0</v>
      </c>
      <c r="BM200" s="9">
        <f t="shared" ref="BM200:BM263" si="96">SUM(AB200*AM200)</f>
        <v>561.84</v>
      </c>
      <c r="BN200" s="9">
        <f t="shared" ref="BN200:BN263" si="97">SUM(AB200*AQ200)</f>
        <v>401.31</v>
      </c>
      <c r="BO200" s="9">
        <f t="shared" ref="BO200:BO263" si="98">SUM(AB200*AR200)</f>
        <v>3130.23</v>
      </c>
      <c r="BP200" s="9">
        <f t="shared" ref="BP200:BP263" si="99">SUM(AB200*AS200)</f>
        <v>1364.46</v>
      </c>
      <c r="BQ200" s="9">
        <f t="shared" ref="BQ200:BQ263" si="100">SUM(AB200*AT200)</f>
        <v>280.92</v>
      </c>
      <c r="BR200" s="9">
        <f t="shared" ref="BR200:BR263" si="101">SUM(AB200*AU200)</f>
        <v>14326.84</v>
      </c>
      <c r="BS200" s="9">
        <f t="shared" ref="BS200:BS263" si="102">SUM(AB200*AV200)</f>
        <v>521.71</v>
      </c>
      <c r="BT200" s="9">
        <f t="shared" ref="BT200:BT263" si="103">SUM(AB200*AW200)</f>
        <v>7103.22</v>
      </c>
      <c r="BU200" s="9">
        <f t="shared" ref="BU200:BU263" si="104">SUM(AB200*AX200)</f>
        <v>7945.98</v>
      </c>
      <c r="BV200" s="17">
        <f t="shared" ref="BV200:BV263" si="105">SUM(BE200:BU200)</f>
        <v>80824.240000000005</v>
      </c>
      <c r="BW200" s="17">
        <v>0.64</v>
      </c>
      <c r="BX200" s="17">
        <v>0.06</v>
      </c>
      <c r="BY200" s="17">
        <v>0.35</v>
      </c>
      <c r="BZ200" s="17">
        <v>0.06</v>
      </c>
      <c r="CA200" s="29">
        <v>6.33</v>
      </c>
      <c r="CB200" s="325"/>
      <c r="CC200" s="13">
        <v>0</v>
      </c>
      <c r="CD200" s="13">
        <v>0</v>
      </c>
      <c r="CE200" s="13">
        <v>0</v>
      </c>
      <c r="CF200" s="13">
        <v>0</v>
      </c>
      <c r="CG200" s="13">
        <v>0</v>
      </c>
      <c r="CH200" s="13">
        <v>0</v>
      </c>
      <c r="CI200" s="13">
        <v>4141.42</v>
      </c>
      <c r="CJ200" s="13">
        <v>45972</v>
      </c>
      <c r="CK200" s="13">
        <v>1543.4</v>
      </c>
      <c r="CL200" s="13">
        <v>969890.76</v>
      </c>
      <c r="CM200" s="13">
        <v>112126.69</v>
      </c>
      <c r="CN200" s="13">
        <v>130787.91</v>
      </c>
      <c r="CO200" s="13">
        <v>-120.47</v>
      </c>
      <c r="CP200" s="13">
        <v>1364.5</v>
      </c>
      <c r="CQ200" s="13">
        <v>0</v>
      </c>
      <c r="CR200" s="13">
        <v>913941.81</v>
      </c>
      <c r="CS200" s="13">
        <v>109192.17</v>
      </c>
      <c r="CT200" s="13">
        <v>132822.9</v>
      </c>
      <c r="CU200" s="13">
        <v>222.86</v>
      </c>
      <c r="CV200" s="13">
        <v>1382.1</v>
      </c>
      <c r="CW200" s="13">
        <v>0</v>
      </c>
      <c r="CX200" s="13">
        <v>139098.29999999999</v>
      </c>
      <c r="CY200" s="13">
        <v>19441.75</v>
      </c>
      <c r="CZ200" s="13">
        <v>14777.76</v>
      </c>
      <c r="DA200" s="13">
        <v>-93.06</v>
      </c>
      <c r="DB200" s="13">
        <v>230.37</v>
      </c>
      <c r="DC200" s="13"/>
      <c r="DD200" s="315">
        <v>1214049.3899999999</v>
      </c>
      <c r="DE200" s="317">
        <v>1157561.8400000001</v>
      </c>
      <c r="DF200" s="317">
        <v>95.35</v>
      </c>
      <c r="DG200" s="318">
        <v>173455.12</v>
      </c>
      <c r="DH200" s="310">
        <v>42167.519999999997</v>
      </c>
      <c r="DI200" s="310">
        <v>24116.04</v>
      </c>
      <c r="DJ200" s="312">
        <v>0</v>
      </c>
      <c r="DK200" s="362">
        <v>0</v>
      </c>
      <c r="DL200" s="362"/>
      <c r="DM200" s="362">
        <v>0</v>
      </c>
      <c r="DN200" s="362">
        <v>0</v>
      </c>
      <c r="DO200" s="362">
        <v>0</v>
      </c>
      <c r="DP200" s="362">
        <v>0</v>
      </c>
      <c r="DQ200" s="362">
        <v>0</v>
      </c>
      <c r="DR200" s="362"/>
      <c r="DS200" s="362">
        <v>0</v>
      </c>
      <c r="DT200" s="362"/>
      <c r="DU200" s="362">
        <v>0</v>
      </c>
      <c r="DV200" s="362">
        <v>0</v>
      </c>
      <c r="DW200" s="362">
        <v>0</v>
      </c>
      <c r="DX200" s="362">
        <v>0</v>
      </c>
      <c r="DY200" s="362">
        <v>0</v>
      </c>
      <c r="DZ200" s="375">
        <v>0</v>
      </c>
      <c r="EA200" s="362">
        <v>309054</v>
      </c>
      <c r="EB200" s="362">
        <v>12466.67</v>
      </c>
      <c r="EC200" s="362"/>
      <c r="ED200" s="362">
        <v>0</v>
      </c>
      <c r="EE200" s="362">
        <v>0</v>
      </c>
      <c r="EF200" s="362"/>
      <c r="EG200" s="362">
        <v>15402</v>
      </c>
      <c r="EH200" s="362">
        <v>12810</v>
      </c>
      <c r="EI200" s="362"/>
      <c r="EJ200" s="362">
        <v>13680</v>
      </c>
      <c r="EK200" s="362"/>
      <c r="EL200" s="362">
        <v>0</v>
      </c>
      <c r="EM200" s="362">
        <v>5032.05</v>
      </c>
      <c r="EN200" s="362">
        <v>0</v>
      </c>
      <c r="EO200" s="362">
        <v>0</v>
      </c>
      <c r="EP200" s="362">
        <v>253008</v>
      </c>
      <c r="EQ200" s="362">
        <v>0</v>
      </c>
      <c r="ER200" s="362">
        <v>16380</v>
      </c>
      <c r="ES200" s="362">
        <v>6924</v>
      </c>
      <c r="ET200" s="362">
        <v>14628</v>
      </c>
      <c r="EU200" s="362">
        <v>0</v>
      </c>
      <c r="EV200" s="362">
        <v>11315</v>
      </c>
      <c r="EW200" s="362"/>
      <c r="EX200" s="202"/>
      <c r="EY200" s="202"/>
      <c r="EZ200" s="229"/>
      <c r="FA200" s="368">
        <v>104317.11</v>
      </c>
      <c r="FB200" s="368">
        <v>110208.75</v>
      </c>
      <c r="FC200" s="368">
        <v>0</v>
      </c>
      <c r="FD200" s="368">
        <v>0</v>
      </c>
      <c r="FE200" s="368">
        <v>0</v>
      </c>
      <c r="FF200" s="368">
        <v>1501.25</v>
      </c>
      <c r="FG200" s="368">
        <v>-108.09</v>
      </c>
      <c r="FH200" s="368">
        <v>-1122.76</v>
      </c>
      <c r="FI200" s="368">
        <v>0</v>
      </c>
      <c r="FJ200" s="368">
        <v>0</v>
      </c>
      <c r="FK200" s="368">
        <v>6750.7</v>
      </c>
      <c r="FL200" s="368">
        <v>0</v>
      </c>
      <c r="FM200" s="368">
        <v>107291.01</v>
      </c>
      <c r="FN200" s="368">
        <v>68220.63</v>
      </c>
      <c r="FO200" s="323">
        <v>912494.92</v>
      </c>
      <c r="FP200" s="323">
        <v>221546.96</v>
      </c>
      <c r="FQ200" s="323">
        <v>1134041.8799999999</v>
      </c>
      <c r="FR200" s="362">
        <v>85564.19</v>
      </c>
      <c r="FS200" s="362">
        <v>25939.25</v>
      </c>
      <c r="FT200" s="377">
        <v>111503.44</v>
      </c>
      <c r="FU200" s="377">
        <v>1020004.18</v>
      </c>
      <c r="FV200" s="377">
        <v>245702.03</v>
      </c>
      <c r="FW200" s="362">
        <v>1265706.21</v>
      </c>
      <c r="FX200" s="362">
        <v>966470.07</v>
      </c>
      <c r="FY200" s="362">
        <v>237284.46</v>
      </c>
      <c r="FZ200" s="362">
        <v>1203754.53</v>
      </c>
      <c r="GA200" s="362">
        <v>139098.29999999999</v>
      </c>
      <c r="GB200" s="362">
        <v>34356.82</v>
      </c>
      <c r="GC200" s="362">
        <v>173455.12</v>
      </c>
      <c r="GD200" s="362">
        <v>74262.25</v>
      </c>
      <c r="GE200" s="362">
        <v>-35529.64</v>
      </c>
      <c r="GF200" s="362">
        <v>38732.61</v>
      </c>
      <c r="GG200" s="202"/>
      <c r="GH200" s="416"/>
      <c r="GI200" s="414">
        <v>4487</v>
      </c>
      <c r="GJ200" s="419">
        <v>0</v>
      </c>
      <c r="GK200" s="396"/>
      <c r="GL200" s="202">
        <v>0</v>
      </c>
      <c r="GM200" s="202">
        <v>0</v>
      </c>
      <c r="GN200" s="323">
        <v>107509.26</v>
      </c>
      <c r="GO200" s="323">
        <v>24155.07</v>
      </c>
      <c r="GP200" s="323">
        <v>131664.32999999999</v>
      </c>
      <c r="GQ200" s="323">
        <v>181771.51</v>
      </c>
      <c r="GR200" s="323">
        <v>-11374.57</v>
      </c>
      <c r="GS200" s="323">
        <v>170396.94</v>
      </c>
    </row>
    <row r="201" spans="1:201" ht="12.75" customHeight="1" x14ac:dyDescent="0.2">
      <c r="A201" s="45" t="s">
        <v>289</v>
      </c>
      <c r="B201" s="78" t="s">
        <v>221</v>
      </c>
      <c r="C201" s="79" t="s">
        <v>119</v>
      </c>
      <c r="D201" s="388" t="s">
        <v>651</v>
      </c>
      <c r="E201" s="79"/>
      <c r="F201" s="11">
        <v>9</v>
      </c>
      <c r="G201" s="11">
        <v>1</v>
      </c>
      <c r="H201" s="11">
        <v>54</v>
      </c>
      <c r="I201" s="11">
        <v>54</v>
      </c>
      <c r="J201" s="11">
        <v>96</v>
      </c>
      <c r="K201" s="11">
        <v>131</v>
      </c>
      <c r="L201" s="83">
        <v>1</v>
      </c>
      <c r="M201" s="84">
        <v>250</v>
      </c>
      <c r="N201" s="84">
        <v>384</v>
      </c>
      <c r="O201" s="84">
        <v>384</v>
      </c>
      <c r="P201" s="135">
        <v>250.3</v>
      </c>
      <c r="Q201" s="133">
        <v>275.60000000000002</v>
      </c>
      <c r="R201" s="133">
        <v>275.60000000000002</v>
      </c>
      <c r="S201" s="133">
        <f t="shared" ref="S201:S264" si="106">SUM(P201:R201)</f>
        <v>801.5</v>
      </c>
      <c r="T201" s="134">
        <v>250</v>
      </c>
      <c r="U201" s="130">
        <v>2.44</v>
      </c>
      <c r="V201" s="131">
        <v>1.9800000000000002E-2</v>
      </c>
      <c r="W201" s="131">
        <v>1.9800000000000002E-2</v>
      </c>
      <c r="X201" s="132">
        <v>1.32E-3</v>
      </c>
      <c r="Y201" s="131">
        <v>3.9699999999999999E-2</v>
      </c>
      <c r="Z201" s="29">
        <v>2331.14</v>
      </c>
      <c r="AA201" s="29"/>
      <c r="AB201" s="9">
        <f t="shared" si="84"/>
        <v>2331.14</v>
      </c>
      <c r="AC201" s="9">
        <f t="shared" si="82"/>
        <v>14756.12</v>
      </c>
      <c r="AD201" s="9">
        <v>1.48</v>
      </c>
      <c r="AE201" s="9">
        <v>5.07</v>
      </c>
      <c r="AF201" s="21">
        <f>2.46-AJ201</f>
        <v>2.2999999999999998</v>
      </c>
      <c r="AG201" s="18">
        <f>0.6-AQ201</f>
        <v>0.54</v>
      </c>
      <c r="AH201" s="9">
        <v>2.77</v>
      </c>
      <c r="AI201" s="43">
        <v>369</v>
      </c>
      <c r="AJ201" s="21">
        <f t="shared" si="87"/>
        <v>0.16</v>
      </c>
      <c r="AK201" s="9">
        <v>1.84</v>
      </c>
      <c r="AL201" s="9">
        <v>0.16</v>
      </c>
      <c r="AM201" s="9">
        <v>0.25</v>
      </c>
      <c r="AN201" s="13"/>
      <c r="AO201" s="13">
        <v>305.89999999999998</v>
      </c>
      <c r="AP201" s="13">
        <f t="shared" si="80"/>
        <v>5.58</v>
      </c>
      <c r="AQ201" s="18">
        <f t="shared" si="83"/>
        <v>0.06</v>
      </c>
      <c r="AR201" s="9">
        <v>0.72</v>
      </c>
      <c r="AS201" s="9">
        <v>0.57999999999999996</v>
      </c>
      <c r="AT201" s="9">
        <v>7.0000000000000007E-2</v>
      </c>
      <c r="AU201" s="9">
        <v>3.66</v>
      </c>
      <c r="AV201" s="9">
        <v>0.17</v>
      </c>
      <c r="AW201" s="9">
        <f>1.44+0.32+0.32</f>
        <v>2.08</v>
      </c>
      <c r="AX201" s="9">
        <f>2.02+0.43</f>
        <v>2.4500000000000002</v>
      </c>
      <c r="AY201" s="81">
        <f t="shared" si="81"/>
        <v>24.36</v>
      </c>
      <c r="AZ201" s="13">
        <v>24.36</v>
      </c>
      <c r="BA201" s="13">
        <f t="shared" si="85"/>
        <v>0</v>
      </c>
      <c r="BB201" s="9">
        <f t="shared" si="86"/>
        <v>56786.57</v>
      </c>
      <c r="BC201" s="9">
        <v>24.36</v>
      </c>
      <c r="BD201" s="10">
        <v>44440</v>
      </c>
      <c r="BE201" s="9">
        <f t="shared" si="88"/>
        <v>3450.09</v>
      </c>
      <c r="BF201" s="9">
        <f t="shared" si="89"/>
        <v>11818.88</v>
      </c>
      <c r="BG201" s="9">
        <f t="shared" si="90"/>
        <v>5361.62</v>
      </c>
      <c r="BH201" s="9">
        <f t="shared" si="91"/>
        <v>1258.82</v>
      </c>
      <c r="BI201" s="9">
        <f t="shared" si="92"/>
        <v>6457.26</v>
      </c>
      <c r="BJ201" s="9">
        <f t="shared" si="93"/>
        <v>372.98</v>
      </c>
      <c r="BK201" s="9">
        <f t="shared" si="94"/>
        <v>4289.3</v>
      </c>
      <c r="BL201" s="9">
        <f t="shared" si="95"/>
        <v>372.98</v>
      </c>
      <c r="BM201" s="9">
        <f t="shared" si="96"/>
        <v>582.79</v>
      </c>
      <c r="BN201" s="9">
        <f t="shared" si="97"/>
        <v>139.87</v>
      </c>
      <c r="BO201" s="9">
        <f t="shared" si="98"/>
        <v>1678.42</v>
      </c>
      <c r="BP201" s="9">
        <f t="shared" si="99"/>
        <v>1352.06</v>
      </c>
      <c r="BQ201" s="9">
        <f t="shared" si="100"/>
        <v>163.18</v>
      </c>
      <c r="BR201" s="9">
        <f t="shared" si="101"/>
        <v>8531.9699999999993</v>
      </c>
      <c r="BS201" s="9">
        <f t="shared" si="102"/>
        <v>396.29</v>
      </c>
      <c r="BT201" s="9">
        <f t="shared" si="103"/>
        <v>4848.7700000000004</v>
      </c>
      <c r="BU201" s="9">
        <f t="shared" si="104"/>
        <v>5711.29</v>
      </c>
      <c r="BV201" s="17">
        <f t="shared" si="105"/>
        <v>56786.57</v>
      </c>
      <c r="BW201" s="17">
        <v>3.8</v>
      </c>
      <c r="BX201" s="17">
        <v>7.0000000000000007E-2</v>
      </c>
      <c r="BY201" s="17">
        <v>0.44</v>
      </c>
      <c r="BZ201" s="17">
        <v>0.08</v>
      </c>
      <c r="CA201" s="29">
        <v>6.33</v>
      </c>
      <c r="CB201" s="325"/>
      <c r="CC201" s="13">
        <v>0</v>
      </c>
      <c r="CD201" s="13">
        <v>0</v>
      </c>
      <c r="CE201" s="13">
        <v>0</v>
      </c>
      <c r="CF201" s="13">
        <v>0</v>
      </c>
      <c r="CG201" s="13">
        <v>0</v>
      </c>
      <c r="CH201" s="13">
        <v>0</v>
      </c>
      <c r="CI201" s="13">
        <v>430.3</v>
      </c>
      <c r="CJ201" s="13">
        <v>31284</v>
      </c>
      <c r="CK201" s="13">
        <v>896.53</v>
      </c>
      <c r="CL201" s="13">
        <v>681439.08</v>
      </c>
      <c r="CM201" s="13">
        <v>32193.040000000001</v>
      </c>
      <c r="CN201" s="13">
        <v>0</v>
      </c>
      <c r="CO201" s="13">
        <v>1352</v>
      </c>
      <c r="CP201" s="13">
        <v>1655.05</v>
      </c>
      <c r="CQ201" s="13">
        <v>0</v>
      </c>
      <c r="CR201" s="13">
        <v>689839.11</v>
      </c>
      <c r="CS201" s="13">
        <v>33740.93</v>
      </c>
      <c r="CT201" s="13">
        <v>1042.3399999999999</v>
      </c>
      <c r="CU201" s="13">
        <v>1805.1</v>
      </c>
      <c r="CV201" s="13">
        <v>1596.08</v>
      </c>
      <c r="CW201" s="13">
        <v>0</v>
      </c>
      <c r="CX201" s="13">
        <v>51902.39</v>
      </c>
      <c r="CY201" s="13">
        <v>-1592.41</v>
      </c>
      <c r="CZ201" s="13">
        <v>-1246.8699999999999</v>
      </c>
      <c r="DA201" s="13">
        <v>234.7</v>
      </c>
      <c r="DB201" s="13">
        <v>133.94999999999999</v>
      </c>
      <c r="DC201" s="13"/>
      <c r="DD201" s="315">
        <v>716639.17</v>
      </c>
      <c r="DE201" s="317">
        <v>728023.56</v>
      </c>
      <c r="DF201" s="317">
        <v>101.59</v>
      </c>
      <c r="DG201" s="318">
        <v>49431.76</v>
      </c>
      <c r="DH201" s="310">
        <v>24494.28</v>
      </c>
      <c r="DI201" s="310">
        <v>14008.56</v>
      </c>
      <c r="DJ201" s="312">
        <v>0</v>
      </c>
      <c r="DK201" s="362">
        <v>0</v>
      </c>
      <c r="DL201" s="362"/>
      <c r="DM201" s="362">
        <v>0</v>
      </c>
      <c r="DN201" s="362">
        <v>0</v>
      </c>
      <c r="DO201" s="362">
        <v>0</v>
      </c>
      <c r="DP201" s="362">
        <v>0</v>
      </c>
      <c r="DQ201" s="362">
        <v>0</v>
      </c>
      <c r="DR201" s="362"/>
      <c r="DS201" s="362">
        <v>0</v>
      </c>
      <c r="DT201" s="362"/>
      <c r="DU201" s="362">
        <v>0</v>
      </c>
      <c r="DV201" s="362">
        <v>0</v>
      </c>
      <c r="DW201" s="362">
        <v>51600</v>
      </c>
      <c r="DX201" s="362">
        <v>0</v>
      </c>
      <c r="DY201" s="362">
        <v>4500</v>
      </c>
      <c r="DZ201" s="375">
        <v>0</v>
      </c>
      <c r="EA201" s="362">
        <v>211764</v>
      </c>
      <c r="EB201" s="362">
        <v>7242</v>
      </c>
      <c r="EC201" s="362"/>
      <c r="ED201" s="362">
        <v>0</v>
      </c>
      <c r="EE201" s="362">
        <v>0</v>
      </c>
      <c r="EF201" s="362"/>
      <c r="EG201" s="362">
        <v>5874</v>
      </c>
      <c r="EH201" s="362">
        <v>87.5</v>
      </c>
      <c r="EI201" s="362"/>
      <c r="EJ201" s="362">
        <v>0</v>
      </c>
      <c r="EK201" s="362"/>
      <c r="EL201" s="362">
        <v>0</v>
      </c>
      <c r="EM201" s="362">
        <v>1706.91</v>
      </c>
      <c r="EN201" s="362">
        <v>0</v>
      </c>
      <c r="EO201" s="362">
        <v>0</v>
      </c>
      <c r="EP201" s="362">
        <v>146238</v>
      </c>
      <c r="EQ201" s="362">
        <v>0</v>
      </c>
      <c r="ER201" s="362">
        <v>10920</v>
      </c>
      <c r="ES201" s="362">
        <v>0</v>
      </c>
      <c r="ET201" s="362">
        <v>6688</v>
      </c>
      <c r="EU201" s="362">
        <v>0</v>
      </c>
      <c r="EV201" s="362">
        <v>51559.54</v>
      </c>
      <c r="EW201" s="362"/>
      <c r="EX201" s="202"/>
      <c r="EY201" s="202"/>
      <c r="EZ201" s="229"/>
      <c r="FA201" s="368">
        <v>32190.95</v>
      </c>
      <c r="FB201" s="368">
        <v>0</v>
      </c>
      <c r="FC201" s="368">
        <v>0</v>
      </c>
      <c r="FD201" s="368">
        <v>0</v>
      </c>
      <c r="FE201" s="368">
        <v>2140.94</v>
      </c>
      <c r="FF201" s="368">
        <v>1712.77</v>
      </c>
      <c r="FG201" s="368">
        <v>0</v>
      </c>
      <c r="FH201" s="368">
        <v>-596.41999999999996</v>
      </c>
      <c r="FI201" s="368">
        <v>0</v>
      </c>
      <c r="FJ201" s="368">
        <v>0</v>
      </c>
      <c r="FK201" s="368">
        <v>269.43</v>
      </c>
      <c r="FL201" s="368">
        <v>0</v>
      </c>
      <c r="FM201" s="368">
        <v>62323.17</v>
      </c>
      <c r="FN201" s="368">
        <v>39627.980000000003</v>
      </c>
      <c r="FO201" s="323">
        <v>638633.93999999994</v>
      </c>
      <c r="FP201" s="323">
        <v>35717.67</v>
      </c>
      <c r="FQ201" s="323">
        <v>674351.61</v>
      </c>
      <c r="FR201" s="362">
        <v>64267.48</v>
      </c>
      <c r="FS201" s="362">
        <v>-3534.92</v>
      </c>
      <c r="FT201" s="377">
        <v>60732.56</v>
      </c>
      <c r="FU201" s="377">
        <v>713153.38</v>
      </c>
      <c r="FV201" s="377">
        <v>36096.620000000003</v>
      </c>
      <c r="FW201" s="362">
        <v>749250</v>
      </c>
      <c r="FX201" s="362">
        <v>725518.47</v>
      </c>
      <c r="FY201" s="362">
        <v>35032.33</v>
      </c>
      <c r="FZ201" s="362">
        <v>760550.8</v>
      </c>
      <c r="GA201" s="362">
        <v>51902.39</v>
      </c>
      <c r="GB201" s="362">
        <v>-2470.63</v>
      </c>
      <c r="GC201" s="362">
        <v>49431.76</v>
      </c>
      <c r="GD201" s="362">
        <v>42029.81</v>
      </c>
      <c r="GE201" s="362">
        <v>10242.06</v>
      </c>
      <c r="GF201" s="362">
        <v>52271.87</v>
      </c>
      <c r="GG201" s="202"/>
      <c r="GH201" s="416"/>
      <c r="GI201" s="414">
        <v>2455</v>
      </c>
      <c r="GJ201" s="419">
        <v>0</v>
      </c>
      <c r="GK201" s="396"/>
      <c r="GL201" s="202">
        <v>0</v>
      </c>
      <c r="GM201" s="202">
        <v>0</v>
      </c>
      <c r="GN201" s="323">
        <v>74519.44</v>
      </c>
      <c r="GO201" s="323">
        <v>378.95</v>
      </c>
      <c r="GP201" s="323">
        <v>74898.39</v>
      </c>
      <c r="GQ201" s="323">
        <v>116549.25</v>
      </c>
      <c r="GR201" s="323">
        <v>10621.01</v>
      </c>
      <c r="GS201" s="323">
        <v>127170.26</v>
      </c>
    </row>
    <row r="202" spans="1:201" ht="12.75" customHeight="1" x14ac:dyDescent="0.2">
      <c r="A202" s="45" t="s">
        <v>290</v>
      </c>
      <c r="B202" s="113" t="s">
        <v>221</v>
      </c>
      <c r="C202" s="114" t="s">
        <v>129</v>
      </c>
      <c r="D202" s="388" t="s">
        <v>492</v>
      </c>
      <c r="E202" s="114" t="s">
        <v>12</v>
      </c>
      <c r="F202" s="11">
        <v>5</v>
      </c>
      <c r="G202" s="11">
        <v>4</v>
      </c>
      <c r="H202" s="11">
        <v>64</v>
      </c>
      <c r="I202" s="11">
        <v>0</v>
      </c>
      <c r="J202" s="11">
        <v>124</v>
      </c>
      <c r="K202" s="11">
        <v>144</v>
      </c>
      <c r="L202" s="11" t="s">
        <v>746</v>
      </c>
      <c r="M202" s="84">
        <v>253</v>
      </c>
      <c r="N202" s="84">
        <v>873</v>
      </c>
      <c r="O202" s="84">
        <v>0</v>
      </c>
      <c r="P202" s="135">
        <v>253</v>
      </c>
      <c r="Q202" s="135">
        <v>623.9</v>
      </c>
      <c r="R202" s="133">
        <v>0</v>
      </c>
      <c r="S202" s="133">
        <f t="shared" si="106"/>
        <v>876.9</v>
      </c>
      <c r="T202" s="134">
        <v>253</v>
      </c>
      <c r="U202" s="130">
        <v>1.53</v>
      </c>
      <c r="V202" s="131">
        <v>1.9800000000000002E-2</v>
      </c>
      <c r="W202" s="131">
        <v>1.9800000000000002E-2</v>
      </c>
      <c r="X202" s="132">
        <v>1.2199999999999999E-3</v>
      </c>
      <c r="Y202" s="131">
        <v>3.95E-2</v>
      </c>
      <c r="Z202" s="29">
        <v>2552.86</v>
      </c>
      <c r="AA202" s="29">
        <v>844.3</v>
      </c>
      <c r="AB202" s="9">
        <f t="shared" si="84"/>
        <v>3397.16</v>
      </c>
      <c r="AC202" s="9">
        <f t="shared" si="82"/>
        <v>21504.02</v>
      </c>
      <c r="AD202" s="9">
        <v>0.39</v>
      </c>
      <c r="AE202" s="9">
        <v>4.7</v>
      </c>
      <c r="AF202" s="21">
        <f>2.42-AJ202</f>
        <v>2.17</v>
      </c>
      <c r="AG202" s="18">
        <f>0.54-AQ202</f>
        <v>0.45</v>
      </c>
      <c r="AH202" s="9">
        <v>2.78</v>
      </c>
      <c r="AI202" s="43">
        <v>838</v>
      </c>
      <c r="AJ202" s="21">
        <f t="shared" si="87"/>
        <v>0.25</v>
      </c>
      <c r="AK202" s="9">
        <v>0</v>
      </c>
      <c r="AL202" s="9">
        <v>0</v>
      </c>
      <c r="AM202" s="9">
        <v>0.17</v>
      </c>
      <c r="AN202" s="13"/>
      <c r="AO202" s="13">
        <v>630</v>
      </c>
      <c r="AP202" s="13">
        <f t="shared" ref="AP202:AP265" si="107">5.58</f>
        <v>5.58</v>
      </c>
      <c r="AQ202" s="18">
        <f t="shared" si="83"/>
        <v>0.09</v>
      </c>
      <c r="AR202" s="9">
        <v>0.7</v>
      </c>
      <c r="AS202" s="9">
        <v>0.4</v>
      </c>
      <c r="AT202" s="9">
        <v>7.0000000000000007E-2</v>
      </c>
      <c r="AU202" s="9">
        <v>4.07</v>
      </c>
      <c r="AV202" s="9">
        <v>0.13</v>
      </c>
      <c r="AW202" s="9">
        <f>1.09+0.36+0.36</f>
        <v>1.81</v>
      </c>
      <c r="AX202" s="9">
        <f>1.49+0.48</f>
        <v>1.97</v>
      </c>
      <c r="AY202" s="110">
        <f t="shared" ref="AY202:AY265" si="108">SUM(AD202:AH202,AJ202:AM202,AQ202:AX202)</f>
        <v>20.149999999999999</v>
      </c>
      <c r="AZ202" s="13">
        <v>20.149999999999999</v>
      </c>
      <c r="BA202" s="13">
        <f t="shared" si="85"/>
        <v>0</v>
      </c>
      <c r="BB202" s="9">
        <f t="shared" si="86"/>
        <v>68452.77</v>
      </c>
      <c r="BC202" s="9">
        <v>20.149999999999999</v>
      </c>
      <c r="BD202" s="10">
        <v>44409</v>
      </c>
      <c r="BE202" s="9">
        <f t="shared" si="88"/>
        <v>1324.89</v>
      </c>
      <c r="BF202" s="9">
        <f t="shared" si="89"/>
        <v>15966.65</v>
      </c>
      <c r="BG202" s="9">
        <f t="shared" si="90"/>
        <v>7371.84</v>
      </c>
      <c r="BH202" s="9">
        <f t="shared" si="91"/>
        <v>1528.72</v>
      </c>
      <c r="BI202" s="9">
        <f t="shared" si="92"/>
        <v>9444.1</v>
      </c>
      <c r="BJ202" s="9">
        <f t="shared" si="93"/>
        <v>849.29</v>
      </c>
      <c r="BK202" s="9">
        <f t="shared" si="94"/>
        <v>0</v>
      </c>
      <c r="BL202" s="9">
        <f t="shared" si="95"/>
        <v>0</v>
      </c>
      <c r="BM202" s="9">
        <f t="shared" si="96"/>
        <v>577.52</v>
      </c>
      <c r="BN202" s="9">
        <f t="shared" si="97"/>
        <v>305.74</v>
      </c>
      <c r="BO202" s="9">
        <f t="shared" si="98"/>
        <v>2378.0100000000002</v>
      </c>
      <c r="BP202" s="9">
        <f t="shared" si="99"/>
        <v>1358.86</v>
      </c>
      <c r="BQ202" s="9">
        <f t="shared" si="100"/>
        <v>237.8</v>
      </c>
      <c r="BR202" s="9">
        <f t="shared" si="101"/>
        <v>13826.44</v>
      </c>
      <c r="BS202" s="9">
        <f t="shared" si="102"/>
        <v>441.63</v>
      </c>
      <c r="BT202" s="9">
        <f t="shared" si="103"/>
        <v>6148.86</v>
      </c>
      <c r="BU202" s="9">
        <f t="shared" si="104"/>
        <v>6692.41</v>
      </c>
      <c r="BV202" s="17">
        <f t="shared" si="105"/>
        <v>68452.759999999995</v>
      </c>
      <c r="BW202" s="17">
        <v>1.59</v>
      </c>
      <c r="BX202" s="17">
        <v>0.04</v>
      </c>
      <c r="BY202" s="17">
        <v>0.25</v>
      </c>
      <c r="BZ202" s="17">
        <v>0.05</v>
      </c>
      <c r="CA202" s="29">
        <v>6.33</v>
      </c>
      <c r="CB202" s="325"/>
      <c r="CC202" s="13">
        <v>204151.92</v>
      </c>
      <c r="CD202" s="13">
        <v>19942.39</v>
      </c>
      <c r="CE202" s="13">
        <v>50.66</v>
      </c>
      <c r="CF202" s="13">
        <v>135.09</v>
      </c>
      <c r="CG202" s="13">
        <v>295.49</v>
      </c>
      <c r="CH202" s="13">
        <v>744</v>
      </c>
      <c r="CI202" s="13">
        <v>9597.34</v>
      </c>
      <c r="CJ202" s="13">
        <v>27684</v>
      </c>
      <c r="CK202" s="13">
        <v>1306.51</v>
      </c>
      <c r="CL202" s="13">
        <v>617283.48</v>
      </c>
      <c r="CM202" s="13">
        <v>60298.64</v>
      </c>
      <c r="CN202" s="13">
        <v>0</v>
      </c>
      <c r="CO202" s="13">
        <v>561.69000000000005</v>
      </c>
      <c r="CP202" s="13">
        <v>893.74</v>
      </c>
      <c r="CQ202" s="13">
        <v>0</v>
      </c>
      <c r="CR202" s="13">
        <v>558085.57999999996</v>
      </c>
      <c r="CS202" s="13">
        <v>52928.34</v>
      </c>
      <c r="CT202" s="13">
        <v>481.35</v>
      </c>
      <c r="CU202" s="13">
        <v>460.57</v>
      </c>
      <c r="CV202" s="13">
        <v>765.36</v>
      </c>
      <c r="CW202" s="13">
        <v>0</v>
      </c>
      <c r="CX202" s="13">
        <v>137140.97</v>
      </c>
      <c r="CY202" s="13">
        <v>18372.2</v>
      </c>
      <c r="CZ202" s="13">
        <v>-539.04</v>
      </c>
      <c r="DA202" s="13">
        <v>164.18</v>
      </c>
      <c r="DB202" s="13">
        <v>191.74</v>
      </c>
      <c r="DC202" s="13"/>
      <c r="DD202" s="315">
        <v>679037.55</v>
      </c>
      <c r="DE202" s="317">
        <v>612721.19999999995</v>
      </c>
      <c r="DF202" s="317">
        <v>90.23</v>
      </c>
      <c r="DG202" s="318">
        <v>155330.04999999999</v>
      </c>
      <c r="DH202" s="310">
        <v>26823.96</v>
      </c>
      <c r="DI202" s="310">
        <v>15340.92</v>
      </c>
      <c r="DJ202" s="312">
        <v>0</v>
      </c>
      <c r="DK202" s="362">
        <v>0</v>
      </c>
      <c r="DL202" s="362"/>
      <c r="DM202" s="362">
        <v>0</v>
      </c>
      <c r="DN202" s="362">
        <v>0</v>
      </c>
      <c r="DO202" s="362">
        <v>0</v>
      </c>
      <c r="DP202" s="362">
        <v>0</v>
      </c>
      <c r="DQ202" s="362">
        <v>0</v>
      </c>
      <c r="DR202" s="362"/>
      <c r="DS202" s="362">
        <v>0</v>
      </c>
      <c r="DT202" s="362"/>
      <c r="DU202" s="362">
        <v>0</v>
      </c>
      <c r="DV202" s="362">
        <v>0</v>
      </c>
      <c r="DW202" s="362">
        <v>0</v>
      </c>
      <c r="DX202" s="362">
        <v>0</v>
      </c>
      <c r="DY202" s="362">
        <v>0</v>
      </c>
      <c r="DZ202" s="375">
        <v>0</v>
      </c>
      <c r="EA202" s="362">
        <v>239982</v>
      </c>
      <c r="EB202" s="362">
        <v>7599</v>
      </c>
      <c r="EC202" s="362"/>
      <c r="ED202" s="362">
        <v>0</v>
      </c>
      <c r="EE202" s="362">
        <v>0</v>
      </c>
      <c r="EF202" s="362"/>
      <c r="EG202" s="362">
        <v>13338</v>
      </c>
      <c r="EH202" s="362">
        <v>30555</v>
      </c>
      <c r="EI202" s="362"/>
      <c r="EJ202" s="362">
        <v>16000</v>
      </c>
      <c r="EK202" s="362"/>
      <c r="EL202" s="362">
        <v>0</v>
      </c>
      <c r="EM202" s="362">
        <v>3515.4</v>
      </c>
      <c r="EN202" s="362">
        <v>0</v>
      </c>
      <c r="EO202" s="362">
        <v>372</v>
      </c>
      <c r="EP202" s="362">
        <v>210414</v>
      </c>
      <c r="EQ202" s="362">
        <v>0</v>
      </c>
      <c r="ER202" s="362">
        <v>16380</v>
      </c>
      <c r="ES202" s="362">
        <v>4039</v>
      </c>
      <c r="ET202" s="362">
        <v>12084</v>
      </c>
      <c r="EU202" s="362">
        <v>0</v>
      </c>
      <c r="EV202" s="362">
        <v>22168.23</v>
      </c>
      <c r="EW202" s="362"/>
      <c r="EX202" s="202"/>
      <c r="EY202" s="202"/>
      <c r="EZ202" s="229"/>
      <c r="FA202" s="368">
        <v>82042.62</v>
      </c>
      <c r="FB202" s="368">
        <v>0</v>
      </c>
      <c r="FC202" s="368">
        <v>0</v>
      </c>
      <c r="FD202" s="368">
        <v>0</v>
      </c>
      <c r="FE202" s="368">
        <v>1060.49</v>
      </c>
      <c r="FF202" s="368">
        <v>1383.96</v>
      </c>
      <c r="FG202" s="368">
        <v>-337.17</v>
      </c>
      <c r="FH202" s="368">
        <v>-1059.51</v>
      </c>
      <c r="FI202" s="368">
        <v>0</v>
      </c>
      <c r="FJ202" s="368">
        <v>0</v>
      </c>
      <c r="FK202" s="368">
        <v>272.67</v>
      </c>
      <c r="FL202" s="368">
        <v>0</v>
      </c>
      <c r="FM202" s="368">
        <v>90823.28</v>
      </c>
      <c r="FN202" s="368">
        <v>57749.69</v>
      </c>
      <c r="FO202" s="323">
        <v>767184.48</v>
      </c>
      <c r="FP202" s="323">
        <v>83363.06</v>
      </c>
      <c r="FQ202" s="323">
        <v>850547.54</v>
      </c>
      <c r="FR202" s="362">
        <v>126374.92</v>
      </c>
      <c r="FS202" s="362">
        <v>12456.48</v>
      </c>
      <c r="FT202" s="377">
        <v>138831.4</v>
      </c>
      <c r="FU202" s="377">
        <v>858716.74</v>
      </c>
      <c r="FV202" s="377">
        <v>84228.21</v>
      </c>
      <c r="FW202" s="362">
        <v>942944.95</v>
      </c>
      <c r="FX202" s="362">
        <v>745556.58</v>
      </c>
      <c r="FY202" s="362">
        <v>68368.72</v>
      </c>
      <c r="FZ202" s="362">
        <v>813925.3</v>
      </c>
      <c r="GA202" s="362">
        <v>239535.08</v>
      </c>
      <c r="GB202" s="362">
        <v>28315.97</v>
      </c>
      <c r="GC202" s="362">
        <v>267851.05</v>
      </c>
      <c r="GD202" s="362">
        <v>-109186.27</v>
      </c>
      <c r="GE202" s="362">
        <v>2887.65</v>
      </c>
      <c r="GF202" s="362">
        <v>-106298.62</v>
      </c>
      <c r="GG202" s="202">
        <v>112521</v>
      </c>
      <c r="GH202" s="416">
        <v>91</v>
      </c>
      <c r="GI202" s="414">
        <v>2455</v>
      </c>
      <c r="GJ202" s="419">
        <v>225319.55</v>
      </c>
      <c r="GK202" s="396">
        <v>112521</v>
      </c>
      <c r="GL202" s="202">
        <v>102394.11</v>
      </c>
      <c r="GM202" s="202">
        <v>10126.89</v>
      </c>
      <c r="GN202" s="323">
        <v>91532.26</v>
      </c>
      <c r="GO202" s="323">
        <v>865.15</v>
      </c>
      <c r="GP202" s="323">
        <v>92397.41</v>
      </c>
      <c r="GQ202" s="323">
        <v>-17654.009999999998</v>
      </c>
      <c r="GR202" s="323">
        <v>3752.8</v>
      </c>
      <c r="GS202" s="323">
        <v>-13901.21</v>
      </c>
    </row>
    <row r="203" spans="1:201" x14ac:dyDescent="0.2">
      <c r="A203" s="45" t="s">
        <v>292</v>
      </c>
      <c r="B203" s="113" t="s">
        <v>221</v>
      </c>
      <c r="C203" s="114" t="s">
        <v>129</v>
      </c>
      <c r="D203" s="388" t="s">
        <v>578</v>
      </c>
      <c r="E203" s="114" t="s">
        <v>9</v>
      </c>
      <c r="F203" s="11">
        <v>5</v>
      </c>
      <c r="G203" s="11">
        <v>4</v>
      </c>
      <c r="H203" s="11">
        <v>80</v>
      </c>
      <c r="I203" s="11">
        <v>0</v>
      </c>
      <c r="J203" s="11">
        <v>162</v>
      </c>
      <c r="K203" s="11">
        <v>211</v>
      </c>
      <c r="L203" s="11" t="s">
        <v>746</v>
      </c>
      <c r="M203" s="84">
        <v>280</v>
      </c>
      <c r="N203" s="84">
        <v>900</v>
      </c>
      <c r="O203" s="84">
        <v>0</v>
      </c>
      <c r="P203" s="139">
        <v>278</v>
      </c>
      <c r="Q203" s="135">
        <v>762.6</v>
      </c>
      <c r="R203" s="133">
        <v>0</v>
      </c>
      <c r="S203" s="133">
        <f t="shared" si="106"/>
        <v>1040.5999999999999</v>
      </c>
      <c r="T203" s="139">
        <v>280</v>
      </c>
      <c r="U203" s="130">
        <v>1.53</v>
      </c>
      <c r="V203" s="131">
        <v>1.9800000000000002E-2</v>
      </c>
      <c r="W203" s="131">
        <v>1.9800000000000002E-2</v>
      </c>
      <c r="X203" s="132">
        <v>1.2199999999999999E-3</v>
      </c>
      <c r="Y203" s="131">
        <v>3.95E-2</v>
      </c>
      <c r="Z203" s="29">
        <v>3552.65</v>
      </c>
      <c r="AA203" s="29"/>
      <c r="AB203" s="9">
        <f t="shared" si="84"/>
        <v>3552.65</v>
      </c>
      <c r="AC203" s="9">
        <f t="shared" si="82"/>
        <v>22488.27</v>
      </c>
      <c r="AD203" s="9">
        <v>0.39</v>
      </c>
      <c r="AE203" s="9">
        <v>4.88</v>
      </c>
      <c r="AF203" s="21">
        <f>2.45-AJ203</f>
        <v>2.21</v>
      </c>
      <c r="AG203" s="18">
        <f>0.53-AQ203</f>
        <v>0.43</v>
      </c>
      <c r="AH203" s="9">
        <v>2.78</v>
      </c>
      <c r="AI203" s="43">
        <v>864</v>
      </c>
      <c r="AJ203" s="21">
        <f t="shared" si="87"/>
        <v>0.24</v>
      </c>
      <c r="AK203" s="9">
        <v>0</v>
      </c>
      <c r="AL203" s="9">
        <v>0</v>
      </c>
      <c r="AM203" s="9">
        <v>0.16</v>
      </c>
      <c r="AN203" s="13"/>
      <c r="AO203" s="13">
        <v>801.6</v>
      </c>
      <c r="AP203" s="13">
        <f t="shared" si="107"/>
        <v>5.58</v>
      </c>
      <c r="AQ203" s="18">
        <f t="shared" si="83"/>
        <v>0.1</v>
      </c>
      <c r="AR203" s="9">
        <v>0.78</v>
      </c>
      <c r="AS203" s="9">
        <v>0.38</v>
      </c>
      <c r="AT203" s="9">
        <v>7.0000000000000007E-2</v>
      </c>
      <c r="AU203" s="9">
        <v>3.76</v>
      </c>
      <c r="AV203" s="9">
        <v>0.13</v>
      </c>
      <c r="AW203" s="9">
        <f>1.11+0.32+0.33</f>
        <v>1.76</v>
      </c>
      <c r="AX203" s="9">
        <f>1.52+0.44</f>
        <v>1.96</v>
      </c>
      <c r="AY203" s="110">
        <f t="shared" si="108"/>
        <v>20.03</v>
      </c>
      <c r="AZ203" s="13">
        <v>20.03</v>
      </c>
      <c r="BA203" s="13">
        <f t="shared" si="85"/>
        <v>0</v>
      </c>
      <c r="BB203" s="9">
        <f t="shared" si="86"/>
        <v>71159.58</v>
      </c>
      <c r="BC203" s="9">
        <v>20.03</v>
      </c>
      <c r="BD203" s="10">
        <v>44409</v>
      </c>
      <c r="BE203" s="9">
        <f t="shared" si="88"/>
        <v>1385.53</v>
      </c>
      <c r="BF203" s="9">
        <f t="shared" si="89"/>
        <v>17336.93</v>
      </c>
      <c r="BG203" s="9">
        <f t="shared" si="90"/>
        <v>7851.36</v>
      </c>
      <c r="BH203" s="9">
        <f t="shared" si="91"/>
        <v>1527.64</v>
      </c>
      <c r="BI203" s="9">
        <f t="shared" si="92"/>
        <v>9876.3700000000008</v>
      </c>
      <c r="BJ203" s="9">
        <f t="shared" si="93"/>
        <v>852.64</v>
      </c>
      <c r="BK203" s="9">
        <f t="shared" si="94"/>
        <v>0</v>
      </c>
      <c r="BL203" s="9">
        <f t="shared" si="95"/>
        <v>0</v>
      </c>
      <c r="BM203" s="9">
        <f t="shared" si="96"/>
        <v>568.41999999999996</v>
      </c>
      <c r="BN203" s="9">
        <f t="shared" si="97"/>
        <v>355.27</v>
      </c>
      <c r="BO203" s="9">
        <f t="shared" si="98"/>
        <v>2771.07</v>
      </c>
      <c r="BP203" s="9">
        <f t="shared" si="99"/>
        <v>1350.01</v>
      </c>
      <c r="BQ203" s="9">
        <f t="shared" si="100"/>
        <v>248.69</v>
      </c>
      <c r="BR203" s="9">
        <f t="shared" si="101"/>
        <v>13357.96</v>
      </c>
      <c r="BS203" s="9">
        <f t="shared" si="102"/>
        <v>461.84</v>
      </c>
      <c r="BT203" s="9">
        <f t="shared" si="103"/>
        <v>6252.66</v>
      </c>
      <c r="BU203" s="9">
        <f t="shared" si="104"/>
        <v>6963.19</v>
      </c>
      <c r="BV203" s="17">
        <f t="shared" si="105"/>
        <v>71159.58</v>
      </c>
      <c r="BW203" s="17">
        <v>1.8</v>
      </c>
      <c r="BX203" s="17">
        <v>0.04</v>
      </c>
      <c r="BY203" s="17">
        <v>0.26</v>
      </c>
      <c r="BZ203" s="17">
        <v>0.05</v>
      </c>
      <c r="CA203" s="29">
        <v>6.33</v>
      </c>
      <c r="CB203" s="325"/>
      <c r="CC203" s="13">
        <v>0</v>
      </c>
      <c r="CD203" s="13">
        <v>0</v>
      </c>
      <c r="CE203" s="13">
        <v>0</v>
      </c>
      <c r="CF203" s="13">
        <v>0</v>
      </c>
      <c r="CG203" s="13">
        <v>0</v>
      </c>
      <c r="CH203" s="13">
        <v>0</v>
      </c>
      <c r="CI203" s="13">
        <v>2825.1</v>
      </c>
      <c r="CJ203" s="13">
        <v>27684</v>
      </c>
      <c r="CK203" s="13">
        <v>1366.31</v>
      </c>
      <c r="CL203" s="13">
        <v>853915.08</v>
      </c>
      <c r="CM203" s="13">
        <v>18402.8</v>
      </c>
      <c r="CN203" s="13">
        <v>35.43</v>
      </c>
      <c r="CO203" s="13">
        <v>26005.91</v>
      </c>
      <c r="CP203" s="13">
        <v>14814.85</v>
      </c>
      <c r="CQ203" s="13">
        <v>0</v>
      </c>
      <c r="CR203" s="13">
        <v>803398.85</v>
      </c>
      <c r="CS203" s="13">
        <v>19390.89</v>
      </c>
      <c r="CT203" s="13">
        <v>1515.06</v>
      </c>
      <c r="CU203" s="13">
        <v>22720.82</v>
      </c>
      <c r="CV203" s="13">
        <v>13559.52</v>
      </c>
      <c r="CW203" s="13">
        <v>0</v>
      </c>
      <c r="CX203" s="13">
        <v>134407.85</v>
      </c>
      <c r="CY203" s="13">
        <v>-1568.57</v>
      </c>
      <c r="CZ203" s="13">
        <v>-1732.72</v>
      </c>
      <c r="DA203" s="13">
        <v>3935.22</v>
      </c>
      <c r="DB203" s="13">
        <v>2269.4699999999998</v>
      </c>
      <c r="DC203" s="13"/>
      <c r="DD203" s="315">
        <v>913174.07</v>
      </c>
      <c r="DE203" s="317">
        <v>860585.14</v>
      </c>
      <c r="DF203" s="317">
        <v>94.24</v>
      </c>
      <c r="DG203" s="318">
        <v>137311.25</v>
      </c>
      <c r="DH203" s="310">
        <v>37329.24</v>
      </c>
      <c r="DI203" s="310">
        <v>21348.959999999999</v>
      </c>
      <c r="DJ203" s="312">
        <v>0</v>
      </c>
      <c r="DK203" s="362">
        <v>0</v>
      </c>
      <c r="DL203" s="362"/>
      <c r="DM203" s="362">
        <v>0</v>
      </c>
      <c r="DN203" s="362">
        <v>0</v>
      </c>
      <c r="DO203" s="362">
        <v>0</v>
      </c>
      <c r="DP203" s="362">
        <v>0</v>
      </c>
      <c r="DQ203" s="362">
        <v>0</v>
      </c>
      <c r="DR203" s="362"/>
      <c r="DS203" s="362">
        <v>0</v>
      </c>
      <c r="DT203" s="362"/>
      <c r="DU203" s="362">
        <v>0</v>
      </c>
      <c r="DV203" s="362">
        <v>0</v>
      </c>
      <c r="DW203" s="362">
        <v>0</v>
      </c>
      <c r="DX203" s="362">
        <v>0</v>
      </c>
      <c r="DY203" s="362">
        <v>0</v>
      </c>
      <c r="DZ203" s="375">
        <v>0</v>
      </c>
      <c r="EA203" s="362">
        <v>260904</v>
      </c>
      <c r="EB203" s="362">
        <v>7599</v>
      </c>
      <c r="EC203" s="362"/>
      <c r="ED203" s="362">
        <v>0</v>
      </c>
      <c r="EE203" s="362">
        <v>0</v>
      </c>
      <c r="EF203" s="362"/>
      <c r="EG203" s="362">
        <v>13752</v>
      </c>
      <c r="EH203" s="362">
        <v>42000</v>
      </c>
      <c r="EI203" s="362"/>
      <c r="EJ203" s="362">
        <v>20500</v>
      </c>
      <c r="EK203" s="362"/>
      <c r="EL203" s="362">
        <v>0</v>
      </c>
      <c r="EM203" s="362">
        <v>4472.9399999999996</v>
      </c>
      <c r="EN203" s="362">
        <v>0</v>
      </c>
      <c r="EO203" s="362">
        <v>0</v>
      </c>
      <c r="EP203" s="362">
        <v>221340</v>
      </c>
      <c r="EQ203" s="362">
        <v>0</v>
      </c>
      <c r="ER203" s="362">
        <v>16380</v>
      </c>
      <c r="ES203" s="362">
        <v>5770</v>
      </c>
      <c r="ET203" s="362">
        <v>12932</v>
      </c>
      <c r="EU203" s="362">
        <v>0</v>
      </c>
      <c r="EV203" s="362">
        <v>22407.93</v>
      </c>
      <c r="EW203" s="362"/>
      <c r="EX203" s="202"/>
      <c r="EY203" s="202"/>
      <c r="EZ203" s="229"/>
      <c r="FA203" s="368">
        <v>22188.400000000001</v>
      </c>
      <c r="FB203" s="368">
        <v>0</v>
      </c>
      <c r="FC203" s="368">
        <v>0</v>
      </c>
      <c r="FD203" s="368">
        <v>0</v>
      </c>
      <c r="FE203" s="368">
        <v>23359.86</v>
      </c>
      <c r="FF203" s="368">
        <v>13456.51</v>
      </c>
      <c r="FG203" s="368">
        <v>-426.37</v>
      </c>
      <c r="FH203" s="368">
        <v>-1127.8599999999999</v>
      </c>
      <c r="FI203" s="368">
        <v>0</v>
      </c>
      <c r="FJ203" s="368">
        <v>0</v>
      </c>
      <c r="FK203" s="368">
        <v>8187</v>
      </c>
      <c r="FL203" s="368">
        <v>0</v>
      </c>
      <c r="FM203" s="368">
        <v>94980.29</v>
      </c>
      <c r="FN203" s="368">
        <v>60392.93</v>
      </c>
      <c r="FO203" s="323">
        <v>842109.29</v>
      </c>
      <c r="FP203" s="323">
        <v>65637.539999999994</v>
      </c>
      <c r="FQ203" s="323">
        <v>907746.83</v>
      </c>
      <c r="FR203" s="362">
        <v>89125.51</v>
      </c>
      <c r="FS203" s="362">
        <v>5169.8500000000004</v>
      </c>
      <c r="FT203" s="377">
        <v>94295.360000000001</v>
      </c>
      <c r="FU203" s="377">
        <v>884424.18</v>
      </c>
      <c r="FV203" s="377">
        <v>60625.3</v>
      </c>
      <c r="FW203" s="362">
        <v>945049.48</v>
      </c>
      <c r="FX203" s="362">
        <v>839141.84</v>
      </c>
      <c r="FY203" s="362">
        <v>62891.75</v>
      </c>
      <c r="FZ203" s="362">
        <v>902033.59</v>
      </c>
      <c r="GA203" s="362">
        <v>134407.85</v>
      </c>
      <c r="GB203" s="362">
        <v>2903.4</v>
      </c>
      <c r="GC203" s="362">
        <v>137311.25</v>
      </c>
      <c r="GD203" s="362">
        <v>50717.79</v>
      </c>
      <c r="GE203" s="362">
        <v>712.57</v>
      </c>
      <c r="GF203" s="362">
        <v>51430.36</v>
      </c>
      <c r="GG203" s="202"/>
      <c r="GH203" s="416"/>
      <c r="GI203" s="414">
        <v>2455</v>
      </c>
      <c r="GJ203" s="419">
        <v>0</v>
      </c>
      <c r="GK203" s="396"/>
      <c r="GL203" s="202">
        <v>0</v>
      </c>
      <c r="GM203" s="202">
        <v>0</v>
      </c>
      <c r="GN203" s="323">
        <v>42314.89</v>
      </c>
      <c r="GO203" s="323">
        <v>-5012.24</v>
      </c>
      <c r="GP203" s="323">
        <v>37302.65</v>
      </c>
      <c r="GQ203" s="323">
        <v>93032.68</v>
      </c>
      <c r="GR203" s="323">
        <v>-4299.67</v>
      </c>
      <c r="GS203" s="323">
        <v>88733.01</v>
      </c>
    </row>
    <row r="204" spans="1:201" x14ac:dyDescent="0.2">
      <c r="A204" s="45" t="s">
        <v>293</v>
      </c>
      <c r="B204" s="113" t="s">
        <v>221</v>
      </c>
      <c r="C204" s="114" t="s">
        <v>129</v>
      </c>
      <c r="D204" s="388" t="s">
        <v>579</v>
      </c>
      <c r="E204" s="114" t="s">
        <v>30</v>
      </c>
      <c r="F204" s="11">
        <v>5</v>
      </c>
      <c r="G204" s="11">
        <v>4</v>
      </c>
      <c r="H204" s="11">
        <v>80</v>
      </c>
      <c r="I204" s="11">
        <v>0</v>
      </c>
      <c r="J204" s="11">
        <v>148</v>
      </c>
      <c r="K204" s="11">
        <v>186</v>
      </c>
      <c r="L204" s="11" t="s">
        <v>746</v>
      </c>
      <c r="M204" s="84">
        <v>278</v>
      </c>
      <c r="N204" s="84">
        <v>883</v>
      </c>
      <c r="O204" s="84">
        <v>0</v>
      </c>
      <c r="P204" s="135">
        <v>278</v>
      </c>
      <c r="Q204" s="135">
        <v>774.8</v>
      </c>
      <c r="R204" s="133">
        <v>0</v>
      </c>
      <c r="S204" s="133">
        <f t="shared" si="106"/>
        <v>1052.8</v>
      </c>
      <c r="T204" s="134">
        <v>278</v>
      </c>
      <c r="U204" s="130">
        <v>1.53</v>
      </c>
      <c r="V204" s="131">
        <v>1.9800000000000002E-2</v>
      </c>
      <c r="W204" s="131">
        <v>1.9800000000000002E-2</v>
      </c>
      <c r="X204" s="132">
        <v>1.2199999999999999E-3</v>
      </c>
      <c r="Y204" s="131">
        <v>3.95E-2</v>
      </c>
      <c r="Z204" s="29">
        <v>3556.83</v>
      </c>
      <c r="AA204" s="29"/>
      <c r="AB204" s="9">
        <f t="shared" si="84"/>
        <v>3556.83</v>
      </c>
      <c r="AC204" s="9">
        <f t="shared" si="82"/>
        <v>22514.73</v>
      </c>
      <c r="AD204" s="9">
        <v>0.39</v>
      </c>
      <c r="AE204" s="9">
        <v>4.7</v>
      </c>
      <c r="AF204" s="21">
        <f>2.44-AJ204</f>
        <v>2.2000000000000002</v>
      </c>
      <c r="AG204" s="18">
        <f>0.53-AQ204</f>
        <v>0.43</v>
      </c>
      <c r="AH204" s="9">
        <v>2.78</v>
      </c>
      <c r="AI204" s="43">
        <v>848</v>
      </c>
      <c r="AJ204" s="21">
        <f t="shared" si="87"/>
        <v>0.24</v>
      </c>
      <c r="AK204" s="9">
        <v>0</v>
      </c>
      <c r="AL204" s="9">
        <v>0</v>
      </c>
      <c r="AM204" s="9">
        <v>0.26</v>
      </c>
      <c r="AN204" s="13"/>
      <c r="AO204" s="13">
        <v>801.6</v>
      </c>
      <c r="AP204" s="13">
        <f t="shared" si="107"/>
        <v>5.58</v>
      </c>
      <c r="AQ204" s="18">
        <f t="shared" si="83"/>
        <v>0.1</v>
      </c>
      <c r="AR204" s="9">
        <v>0.78</v>
      </c>
      <c r="AS204" s="9">
        <v>0.38</v>
      </c>
      <c r="AT204" s="9">
        <v>7.0000000000000007E-2</v>
      </c>
      <c r="AU204" s="9">
        <v>3.75</v>
      </c>
      <c r="AV204" s="9">
        <v>0.13</v>
      </c>
      <c r="AW204" s="9">
        <f>1.1+0.33+0.32</f>
        <v>1.75</v>
      </c>
      <c r="AX204" s="9">
        <f>1.52+0.46</f>
        <v>1.98</v>
      </c>
      <c r="AY204" s="110">
        <f t="shared" si="108"/>
        <v>19.940000000000001</v>
      </c>
      <c r="AZ204" s="13">
        <v>19.940000000000001</v>
      </c>
      <c r="BA204" s="13">
        <f t="shared" si="85"/>
        <v>0</v>
      </c>
      <c r="BB204" s="9">
        <f t="shared" si="86"/>
        <v>70923.19</v>
      </c>
      <c r="BC204" s="9">
        <v>19.940000000000001</v>
      </c>
      <c r="BD204" s="10">
        <v>44409</v>
      </c>
      <c r="BE204" s="9">
        <f t="shared" si="88"/>
        <v>1387.16</v>
      </c>
      <c r="BF204" s="9">
        <f t="shared" si="89"/>
        <v>16717.099999999999</v>
      </c>
      <c r="BG204" s="9">
        <f t="shared" si="90"/>
        <v>7825.03</v>
      </c>
      <c r="BH204" s="9">
        <f t="shared" si="91"/>
        <v>1529.44</v>
      </c>
      <c r="BI204" s="9">
        <f t="shared" si="92"/>
        <v>9887.99</v>
      </c>
      <c r="BJ204" s="9">
        <f t="shared" si="93"/>
        <v>853.64</v>
      </c>
      <c r="BK204" s="9">
        <f t="shared" si="94"/>
        <v>0</v>
      </c>
      <c r="BL204" s="9">
        <f t="shared" si="95"/>
        <v>0</v>
      </c>
      <c r="BM204" s="9">
        <f t="shared" si="96"/>
        <v>924.78</v>
      </c>
      <c r="BN204" s="9">
        <f t="shared" si="97"/>
        <v>355.68</v>
      </c>
      <c r="BO204" s="9">
        <f t="shared" si="98"/>
        <v>2774.33</v>
      </c>
      <c r="BP204" s="9">
        <f t="shared" si="99"/>
        <v>1351.6</v>
      </c>
      <c r="BQ204" s="9">
        <f t="shared" si="100"/>
        <v>248.98</v>
      </c>
      <c r="BR204" s="9">
        <f t="shared" si="101"/>
        <v>13338.11</v>
      </c>
      <c r="BS204" s="9">
        <f t="shared" si="102"/>
        <v>462.39</v>
      </c>
      <c r="BT204" s="9">
        <f t="shared" si="103"/>
        <v>6224.45</v>
      </c>
      <c r="BU204" s="9">
        <f t="shared" si="104"/>
        <v>7042.52</v>
      </c>
      <c r="BV204" s="17">
        <f t="shared" si="105"/>
        <v>70923.199999999997</v>
      </c>
      <c r="BW204" s="17">
        <v>1.82</v>
      </c>
      <c r="BX204" s="17">
        <v>0.04</v>
      </c>
      <c r="BY204" s="17">
        <v>0.24</v>
      </c>
      <c r="BZ204" s="17">
        <v>0.05</v>
      </c>
      <c r="CA204" s="29">
        <v>6.33</v>
      </c>
      <c r="CB204" s="325"/>
      <c r="CC204" s="13">
        <v>0</v>
      </c>
      <c r="CD204" s="13">
        <v>0</v>
      </c>
      <c r="CE204" s="13">
        <v>0</v>
      </c>
      <c r="CF204" s="13">
        <v>0</v>
      </c>
      <c r="CG204" s="13">
        <v>0</v>
      </c>
      <c r="CH204" s="13">
        <v>0</v>
      </c>
      <c r="CI204" s="13">
        <v>1710.95</v>
      </c>
      <c r="CJ204" s="13">
        <v>27684</v>
      </c>
      <c r="CK204" s="13">
        <v>1367.92</v>
      </c>
      <c r="CL204" s="13">
        <v>851077.56</v>
      </c>
      <c r="CM204" s="13">
        <v>34785.279999999999</v>
      </c>
      <c r="CN204" s="13">
        <v>0</v>
      </c>
      <c r="CO204" s="13">
        <v>2098.54</v>
      </c>
      <c r="CP204" s="13">
        <v>1955.84</v>
      </c>
      <c r="CQ204" s="13">
        <v>0</v>
      </c>
      <c r="CR204" s="13">
        <v>769734.51</v>
      </c>
      <c r="CS204" s="13">
        <v>35657.67</v>
      </c>
      <c r="CT204" s="13">
        <v>587.6</v>
      </c>
      <c r="CU204" s="13">
        <v>4589.49</v>
      </c>
      <c r="CV204" s="13">
        <v>3098.55</v>
      </c>
      <c r="CW204" s="13">
        <v>0</v>
      </c>
      <c r="CX204" s="13">
        <v>134894.97</v>
      </c>
      <c r="CY204" s="13">
        <v>5549.8</v>
      </c>
      <c r="CZ204" s="13">
        <v>-1081.23</v>
      </c>
      <c r="DA204" s="13">
        <v>-943.77</v>
      </c>
      <c r="DB204" s="13">
        <v>-334.72</v>
      </c>
      <c r="DC204" s="13"/>
      <c r="DD204" s="315">
        <v>889917.22</v>
      </c>
      <c r="DE204" s="317">
        <v>813667.82</v>
      </c>
      <c r="DF204" s="317">
        <v>91.43</v>
      </c>
      <c r="DG204" s="318">
        <v>138085.04999999999</v>
      </c>
      <c r="DH204" s="310">
        <v>37373.160000000003</v>
      </c>
      <c r="DI204" s="310">
        <v>21374.04</v>
      </c>
      <c r="DJ204" s="312">
        <v>0</v>
      </c>
      <c r="DK204" s="362">
        <v>0</v>
      </c>
      <c r="DL204" s="362"/>
      <c r="DM204" s="362">
        <v>0</v>
      </c>
      <c r="DN204" s="362">
        <v>0</v>
      </c>
      <c r="DO204" s="362">
        <v>0</v>
      </c>
      <c r="DP204" s="362">
        <v>0</v>
      </c>
      <c r="DQ204" s="362">
        <v>0</v>
      </c>
      <c r="DR204" s="362"/>
      <c r="DS204" s="362">
        <v>0</v>
      </c>
      <c r="DT204" s="362"/>
      <c r="DU204" s="362">
        <v>0</v>
      </c>
      <c r="DV204" s="362">
        <v>0</v>
      </c>
      <c r="DW204" s="362">
        <v>0</v>
      </c>
      <c r="DX204" s="362">
        <v>0</v>
      </c>
      <c r="DY204" s="362">
        <v>0</v>
      </c>
      <c r="DZ204" s="375">
        <v>0</v>
      </c>
      <c r="EA204" s="362">
        <v>251916</v>
      </c>
      <c r="EB204" s="362">
        <v>7599</v>
      </c>
      <c r="EC204" s="362"/>
      <c r="ED204" s="362">
        <v>0</v>
      </c>
      <c r="EE204" s="362">
        <v>0</v>
      </c>
      <c r="EF204" s="362"/>
      <c r="EG204" s="362">
        <v>13494</v>
      </c>
      <c r="EH204" s="362">
        <v>20580</v>
      </c>
      <c r="EI204" s="362"/>
      <c r="EJ204" s="362">
        <v>12120</v>
      </c>
      <c r="EK204" s="362"/>
      <c r="EL204" s="362">
        <v>0</v>
      </c>
      <c r="EM204" s="362">
        <v>4472.9399999999996</v>
      </c>
      <c r="EN204" s="362">
        <v>0</v>
      </c>
      <c r="EO204" s="362">
        <v>0</v>
      </c>
      <c r="EP204" s="362">
        <v>220848</v>
      </c>
      <c r="EQ204" s="362">
        <v>0</v>
      </c>
      <c r="ER204" s="362">
        <v>13650</v>
      </c>
      <c r="ES204" s="362">
        <v>11304</v>
      </c>
      <c r="ET204" s="362">
        <v>12932</v>
      </c>
      <c r="EU204" s="362">
        <v>0</v>
      </c>
      <c r="EV204" s="362">
        <v>58269.63</v>
      </c>
      <c r="EW204" s="362"/>
      <c r="EX204" s="202"/>
      <c r="EY204" s="202"/>
      <c r="EZ204" s="229"/>
      <c r="FA204" s="368">
        <v>32480.5</v>
      </c>
      <c r="FB204" s="368">
        <v>0</v>
      </c>
      <c r="FC204" s="368">
        <v>0</v>
      </c>
      <c r="FD204" s="368">
        <v>0</v>
      </c>
      <c r="FE204" s="368">
        <v>3702.29</v>
      </c>
      <c r="FF204" s="368">
        <v>2913.07</v>
      </c>
      <c r="FG204" s="368">
        <v>-1594.42</v>
      </c>
      <c r="FH204" s="368">
        <v>-1770.7</v>
      </c>
      <c r="FI204" s="368">
        <v>0</v>
      </c>
      <c r="FJ204" s="368">
        <v>0</v>
      </c>
      <c r="FK204" s="368">
        <v>0</v>
      </c>
      <c r="FL204" s="368">
        <v>0</v>
      </c>
      <c r="FM204" s="368">
        <v>95092.06</v>
      </c>
      <c r="FN204" s="368">
        <v>60463.97</v>
      </c>
      <c r="FO204" s="323">
        <v>841488.8</v>
      </c>
      <c r="FP204" s="323">
        <v>35730.74</v>
      </c>
      <c r="FQ204" s="323">
        <v>877219.54</v>
      </c>
      <c r="FR204" s="362">
        <v>61866.239999999998</v>
      </c>
      <c r="FS204" s="362">
        <v>5197.3100000000004</v>
      </c>
      <c r="FT204" s="377">
        <v>67063.55</v>
      </c>
      <c r="FU204" s="377">
        <v>880472.51</v>
      </c>
      <c r="FV204" s="377">
        <v>40207.58</v>
      </c>
      <c r="FW204" s="362">
        <v>920680.09</v>
      </c>
      <c r="FX204" s="362">
        <v>807443.78</v>
      </c>
      <c r="FY204" s="362">
        <v>42214.81</v>
      </c>
      <c r="FZ204" s="362">
        <v>849658.59</v>
      </c>
      <c r="GA204" s="362">
        <v>134894.97</v>
      </c>
      <c r="GB204" s="362">
        <v>3190.08</v>
      </c>
      <c r="GC204" s="362">
        <v>138085.04999999999</v>
      </c>
      <c r="GD204" s="362">
        <v>9350.2900000000009</v>
      </c>
      <c r="GE204" s="362">
        <v>5549.02</v>
      </c>
      <c r="GF204" s="362">
        <v>14899.31</v>
      </c>
      <c r="GG204" s="202"/>
      <c r="GH204" s="416"/>
      <c r="GI204" s="414">
        <v>2455</v>
      </c>
      <c r="GJ204" s="419">
        <v>0</v>
      </c>
      <c r="GK204" s="396"/>
      <c r="GL204" s="202">
        <v>0</v>
      </c>
      <c r="GM204" s="202">
        <v>0</v>
      </c>
      <c r="GN204" s="323">
        <v>38983.71</v>
      </c>
      <c r="GO204" s="323">
        <v>4476.84</v>
      </c>
      <c r="GP204" s="323">
        <v>43460.55</v>
      </c>
      <c r="GQ204" s="323">
        <v>48334</v>
      </c>
      <c r="GR204" s="323">
        <v>10025.86</v>
      </c>
      <c r="GS204" s="323">
        <v>58359.86</v>
      </c>
    </row>
    <row r="205" spans="1:201" x14ac:dyDescent="0.2">
      <c r="A205" s="45" t="s">
        <v>294</v>
      </c>
      <c r="B205" s="113" t="s">
        <v>221</v>
      </c>
      <c r="C205" s="114" t="s">
        <v>262</v>
      </c>
      <c r="D205" s="388" t="s">
        <v>493</v>
      </c>
      <c r="E205" s="114" t="s">
        <v>12</v>
      </c>
      <c r="F205" s="11">
        <v>5</v>
      </c>
      <c r="G205" s="11">
        <v>4</v>
      </c>
      <c r="H205" s="11">
        <v>80</v>
      </c>
      <c r="I205" s="11">
        <v>0</v>
      </c>
      <c r="J205" s="11">
        <v>147</v>
      </c>
      <c r="K205" s="11">
        <v>176</v>
      </c>
      <c r="L205" s="11" t="s">
        <v>746</v>
      </c>
      <c r="M205" s="84">
        <v>223</v>
      </c>
      <c r="N205" s="84">
        <v>886</v>
      </c>
      <c r="O205" s="84">
        <v>0</v>
      </c>
      <c r="P205" s="135">
        <v>279</v>
      </c>
      <c r="Q205" s="135">
        <v>738.9</v>
      </c>
      <c r="R205" s="133">
        <v>0</v>
      </c>
      <c r="S205" s="133">
        <f t="shared" si="106"/>
        <v>1017.9</v>
      </c>
      <c r="T205" s="134">
        <v>279</v>
      </c>
      <c r="U205" s="130">
        <v>1.53</v>
      </c>
      <c r="V205" s="131">
        <v>1.9800000000000002E-2</v>
      </c>
      <c r="W205" s="131">
        <v>1.9800000000000002E-2</v>
      </c>
      <c r="X205" s="132">
        <v>1.2199999999999999E-3</v>
      </c>
      <c r="Y205" s="131">
        <v>3.95E-2</v>
      </c>
      <c r="Z205" s="29">
        <v>3552.82</v>
      </c>
      <c r="AA205" s="29"/>
      <c r="AB205" s="9">
        <f t="shared" si="84"/>
        <v>3552.82</v>
      </c>
      <c r="AC205" s="9">
        <f t="shared" si="82"/>
        <v>22489.35</v>
      </c>
      <c r="AD205" s="9">
        <v>0.39</v>
      </c>
      <c r="AE205" s="9">
        <v>4.66</v>
      </c>
      <c r="AF205" s="21">
        <f>2.37-AJ205</f>
        <v>2.13</v>
      </c>
      <c r="AG205" s="18">
        <f>0.53-AQ205</f>
        <v>0.43</v>
      </c>
      <c r="AH205" s="9">
        <v>2.78</v>
      </c>
      <c r="AI205" s="43">
        <v>851</v>
      </c>
      <c r="AJ205" s="21">
        <f t="shared" si="87"/>
        <v>0.24</v>
      </c>
      <c r="AK205" s="9">
        <v>0</v>
      </c>
      <c r="AL205" s="9">
        <v>0</v>
      </c>
      <c r="AM205" s="9">
        <v>0.26</v>
      </c>
      <c r="AN205" s="13"/>
      <c r="AO205" s="13">
        <v>801.6</v>
      </c>
      <c r="AP205" s="13">
        <f t="shared" si="107"/>
        <v>5.58</v>
      </c>
      <c r="AQ205" s="18">
        <f t="shared" si="83"/>
        <v>0.1</v>
      </c>
      <c r="AR205" s="9">
        <v>0.78</v>
      </c>
      <c r="AS205" s="9">
        <v>0.38</v>
      </c>
      <c r="AT205" s="9">
        <v>7.0000000000000007E-2</v>
      </c>
      <c r="AU205" s="9">
        <v>3.72</v>
      </c>
      <c r="AV205" s="9">
        <v>0.13</v>
      </c>
      <c r="AW205" s="9">
        <f>1.1+0.33+0.31</f>
        <v>1.74</v>
      </c>
      <c r="AX205" s="9">
        <f>1.5+0.44</f>
        <v>1.94</v>
      </c>
      <c r="AY205" s="110">
        <f t="shared" si="108"/>
        <v>19.75</v>
      </c>
      <c r="AZ205" s="13">
        <v>19.75</v>
      </c>
      <c r="BA205" s="13">
        <f t="shared" si="85"/>
        <v>0</v>
      </c>
      <c r="BB205" s="9">
        <f t="shared" si="86"/>
        <v>70168.2</v>
      </c>
      <c r="BC205" s="9">
        <v>19.75</v>
      </c>
      <c r="BD205" s="10">
        <v>44409</v>
      </c>
      <c r="BE205" s="9">
        <f t="shared" si="88"/>
        <v>1385.6</v>
      </c>
      <c r="BF205" s="9">
        <f t="shared" si="89"/>
        <v>16556.14</v>
      </c>
      <c r="BG205" s="9">
        <f t="shared" si="90"/>
        <v>7567.51</v>
      </c>
      <c r="BH205" s="9">
        <f t="shared" si="91"/>
        <v>1527.71</v>
      </c>
      <c r="BI205" s="9">
        <f t="shared" si="92"/>
        <v>9876.84</v>
      </c>
      <c r="BJ205" s="9">
        <f t="shared" si="93"/>
        <v>852.68</v>
      </c>
      <c r="BK205" s="9">
        <f t="shared" si="94"/>
        <v>0</v>
      </c>
      <c r="BL205" s="9">
        <f t="shared" si="95"/>
        <v>0</v>
      </c>
      <c r="BM205" s="9">
        <f t="shared" si="96"/>
        <v>923.73</v>
      </c>
      <c r="BN205" s="9">
        <f t="shared" si="97"/>
        <v>355.28</v>
      </c>
      <c r="BO205" s="9">
        <f t="shared" si="98"/>
        <v>2771.2</v>
      </c>
      <c r="BP205" s="9">
        <f t="shared" si="99"/>
        <v>1350.07</v>
      </c>
      <c r="BQ205" s="9">
        <f t="shared" si="100"/>
        <v>248.7</v>
      </c>
      <c r="BR205" s="9">
        <f t="shared" si="101"/>
        <v>13216.49</v>
      </c>
      <c r="BS205" s="9">
        <f t="shared" si="102"/>
        <v>461.87</v>
      </c>
      <c r="BT205" s="9">
        <f t="shared" si="103"/>
        <v>6181.91</v>
      </c>
      <c r="BU205" s="9">
        <f t="shared" si="104"/>
        <v>6892.47</v>
      </c>
      <c r="BV205" s="17">
        <f t="shared" si="105"/>
        <v>70168.2</v>
      </c>
      <c r="BW205" s="17">
        <v>1.76</v>
      </c>
      <c r="BX205" s="17">
        <v>0.04</v>
      </c>
      <c r="BY205" s="17">
        <v>0.24</v>
      </c>
      <c r="BZ205" s="17">
        <v>0.05</v>
      </c>
      <c r="CA205" s="29">
        <v>6.33</v>
      </c>
      <c r="CB205" s="325"/>
      <c r="CC205" s="13">
        <v>0</v>
      </c>
      <c r="CD205" s="13">
        <v>0</v>
      </c>
      <c r="CE205" s="13">
        <v>0</v>
      </c>
      <c r="CF205" s="13">
        <v>0</v>
      </c>
      <c r="CG205" s="13">
        <v>0</v>
      </c>
      <c r="CH205" s="13">
        <v>0</v>
      </c>
      <c r="CI205" s="13">
        <v>3661.44</v>
      </c>
      <c r="CJ205" s="13">
        <v>27684</v>
      </c>
      <c r="CK205" s="13">
        <v>1366.37</v>
      </c>
      <c r="CL205" s="13">
        <v>842021.4</v>
      </c>
      <c r="CM205" s="13">
        <v>51124.99</v>
      </c>
      <c r="CN205" s="13">
        <v>0</v>
      </c>
      <c r="CO205" s="13">
        <v>13110.07</v>
      </c>
      <c r="CP205" s="13">
        <v>7817.24</v>
      </c>
      <c r="CQ205" s="13">
        <v>0</v>
      </c>
      <c r="CR205" s="13">
        <v>792432.89</v>
      </c>
      <c r="CS205" s="13">
        <v>45259.69</v>
      </c>
      <c r="CT205" s="13">
        <v>1425.08</v>
      </c>
      <c r="CU205" s="13">
        <v>17146.97</v>
      </c>
      <c r="CV205" s="13">
        <v>9634.2199999999993</v>
      </c>
      <c r="CW205" s="13">
        <v>0</v>
      </c>
      <c r="CX205" s="13">
        <v>154665.92000000001</v>
      </c>
      <c r="CY205" s="13">
        <v>9517</v>
      </c>
      <c r="CZ205" s="13">
        <v>-1618.01</v>
      </c>
      <c r="DA205" s="13">
        <v>1908.83</v>
      </c>
      <c r="DB205" s="13">
        <v>1089.43</v>
      </c>
      <c r="DC205" s="13"/>
      <c r="DD205" s="315">
        <v>914073.7</v>
      </c>
      <c r="DE205" s="317">
        <v>865898.85</v>
      </c>
      <c r="DF205" s="317">
        <v>94.73</v>
      </c>
      <c r="DG205" s="318">
        <v>165563.17000000001</v>
      </c>
      <c r="DH205" s="310">
        <v>37331.040000000001</v>
      </c>
      <c r="DI205" s="310">
        <v>21350.04</v>
      </c>
      <c r="DJ205" s="312">
        <v>0</v>
      </c>
      <c r="DK205" s="362">
        <v>0</v>
      </c>
      <c r="DL205" s="362"/>
      <c r="DM205" s="362">
        <v>0</v>
      </c>
      <c r="DN205" s="362">
        <v>0</v>
      </c>
      <c r="DO205" s="362">
        <v>0</v>
      </c>
      <c r="DP205" s="362">
        <v>0</v>
      </c>
      <c r="DQ205" s="362">
        <v>0</v>
      </c>
      <c r="DR205" s="362"/>
      <c r="DS205" s="362">
        <v>0</v>
      </c>
      <c r="DT205" s="362"/>
      <c r="DU205" s="362">
        <v>0</v>
      </c>
      <c r="DV205" s="362">
        <v>0</v>
      </c>
      <c r="DW205" s="362">
        <v>0</v>
      </c>
      <c r="DX205" s="362">
        <v>0</v>
      </c>
      <c r="DY205" s="362">
        <v>0</v>
      </c>
      <c r="DZ205" s="375">
        <v>0</v>
      </c>
      <c r="EA205" s="362">
        <v>249966</v>
      </c>
      <c r="EB205" s="362">
        <v>7599</v>
      </c>
      <c r="EC205" s="362"/>
      <c r="ED205" s="362">
        <v>0</v>
      </c>
      <c r="EE205" s="362">
        <v>0</v>
      </c>
      <c r="EF205" s="362"/>
      <c r="EG205" s="362">
        <v>13542</v>
      </c>
      <c r="EH205" s="362">
        <v>12425</v>
      </c>
      <c r="EI205" s="362"/>
      <c r="EJ205" s="362">
        <v>12180</v>
      </c>
      <c r="EK205" s="362"/>
      <c r="EL205" s="362">
        <v>0</v>
      </c>
      <c r="EM205" s="362">
        <v>4472.9399999999996</v>
      </c>
      <c r="EN205" s="362">
        <v>0</v>
      </c>
      <c r="EO205" s="362">
        <v>0</v>
      </c>
      <c r="EP205" s="362">
        <v>218304</v>
      </c>
      <c r="EQ205" s="362">
        <v>0</v>
      </c>
      <c r="ER205" s="362">
        <v>16380</v>
      </c>
      <c r="ES205" s="362">
        <v>942</v>
      </c>
      <c r="ET205" s="362">
        <v>12932</v>
      </c>
      <c r="EU205" s="362">
        <v>0</v>
      </c>
      <c r="EV205" s="362">
        <v>23334.49</v>
      </c>
      <c r="EW205" s="362"/>
      <c r="EX205" s="202"/>
      <c r="EY205" s="202"/>
      <c r="EZ205" s="229"/>
      <c r="FA205" s="368">
        <v>44441.02</v>
      </c>
      <c r="FB205" s="368">
        <v>0</v>
      </c>
      <c r="FC205" s="368">
        <v>0</v>
      </c>
      <c r="FD205" s="368">
        <v>0</v>
      </c>
      <c r="FE205" s="368">
        <v>12552.41</v>
      </c>
      <c r="FF205" s="368">
        <v>7342.27</v>
      </c>
      <c r="FG205" s="368">
        <v>-783.69</v>
      </c>
      <c r="FH205" s="368">
        <v>-1319.28</v>
      </c>
      <c r="FI205" s="368">
        <v>0</v>
      </c>
      <c r="FJ205" s="368">
        <v>0</v>
      </c>
      <c r="FK205" s="368">
        <v>0</v>
      </c>
      <c r="FL205" s="368">
        <v>0</v>
      </c>
      <c r="FM205" s="368">
        <v>94984.85</v>
      </c>
      <c r="FN205" s="368">
        <v>60395.81</v>
      </c>
      <c r="FO205" s="323">
        <v>786139.17</v>
      </c>
      <c r="FP205" s="323">
        <v>62232.73</v>
      </c>
      <c r="FQ205" s="323">
        <v>848371.9</v>
      </c>
      <c r="FR205" s="362">
        <v>95988.66</v>
      </c>
      <c r="FS205" s="362">
        <v>10828.81</v>
      </c>
      <c r="FT205" s="377">
        <v>106817.47</v>
      </c>
      <c r="FU205" s="377">
        <v>873366.84</v>
      </c>
      <c r="FV205" s="377">
        <v>73418.67</v>
      </c>
      <c r="FW205" s="362">
        <v>946785.51</v>
      </c>
      <c r="FX205" s="362">
        <v>814689.58</v>
      </c>
      <c r="FY205" s="362">
        <v>73350.23</v>
      </c>
      <c r="FZ205" s="362">
        <v>888039.81</v>
      </c>
      <c r="GA205" s="362">
        <v>154665.92000000001</v>
      </c>
      <c r="GB205" s="362">
        <v>10897.25</v>
      </c>
      <c r="GC205" s="362">
        <v>165563.17000000001</v>
      </c>
      <c r="GD205" s="362">
        <v>53786.33</v>
      </c>
      <c r="GE205" s="362">
        <v>-1726.81</v>
      </c>
      <c r="GF205" s="362">
        <v>52059.519999999997</v>
      </c>
      <c r="GG205" s="202"/>
      <c r="GH205" s="416"/>
      <c r="GI205" s="414">
        <v>2455</v>
      </c>
      <c r="GJ205" s="419">
        <v>0</v>
      </c>
      <c r="GK205" s="396"/>
      <c r="GL205" s="202">
        <v>0</v>
      </c>
      <c r="GM205" s="202">
        <v>0</v>
      </c>
      <c r="GN205" s="323">
        <v>87227.67</v>
      </c>
      <c r="GO205" s="323">
        <v>11185.94</v>
      </c>
      <c r="GP205" s="323">
        <v>98413.61</v>
      </c>
      <c r="GQ205" s="323">
        <v>141014</v>
      </c>
      <c r="GR205" s="323">
        <v>9459.1299999999992</v>
      </c>
      <c r="GS205" s="323">
        <v>150473.13</v>
      </c>
    </row>
    <row r="206" spans="1:201" ht="12.75" customHeight="1" x14ac:dyDescent="0.2">
      <c r="A206" s="45" t="s">
        <v>295</v>
      </c>
      <c r="B206" s="113" t="s">
        <v>221</v>
      </c>
      <c r="C206" s="114" t="s">
        <v>262</v>
      </c>
      <c r="D206" s="388" t="s">
        <v>580</v>
      </c>
      <c r="E206" s="114" t="s">
        <v>9</v>
      </c>
      <c r="F206" s="11">
        <v>5</v>
      </c>
      <c r="G206" s="11">
        <v>4</v>
      </c>
      <c r="H206" s="11">
        <v>80</v>
      </c>
      <c r="I206" s="11">
        <v>0</v>
      </c>
      <c r="J206" s="11">
        <v>139</v>
      </c>
      <c r="K206" s="11">
        <v>181</v>
      </c>
      <c r="L206" s="11" t="s">
        <v>746</v>
      </c>
      <c r="M206" s="84">
        <v>279</v>
      </c>
      <c r="N206" s="84">
        <v>883</v>
      </c>
      <c r="O206" s="84">
        <v>0</v>
      </c>
      <c r="P206" s="135">
        <v>278.5</v>
      </c>
      <c r="Q206" s="135">
        <v>882.6</v>
      </c>
      <c r="R206" s="133">
        <v>0</v>
      </c>
      <c r="S206" s="133">
        <f t="shared" si="106"/>
        <v>1161.0999999999999</v>
      </c>
      <c r="T206" s="134">
        <v>278.5</v>
      </c>
      <c r="U206" s="130">
        <v>1.53</v>
      </c>
      <c r="V206" s="131">
        <v>1.9800000000000002E-2</v>
      </c>
      <c r="W206" s="131">
        <v>1.9800000000000002E-2</v>
      </c>
      <c r="X206" s="132">
        <v>1.2199999999999999E-3</v>
      </c>
      <c r="Y206" s="131">
        <v>3.95E-2</v>
      </c>
      <c r="Z206" s="29">
        <v>3483.98</v>
      </c>
      <c r="AA206" s="29">
        <v>58.2</v>
      </c>
      <c r="AB206" s="9">
        <f t="shared" si="84"/>
        <v>3542.18</v>
      </c>
      <c r="AC206" s="9">
        <f t="shared" si="82"/>
        <v>22422</v>
      </c>
      <c r="AD206" s="9">
        <v>0.4</v>
      </c>
      <c r="AE206" s="9">
        <v>4.37</v>
      </c>
      <c r="AF206" s="21">
        <f>2.42-AJ206</f>
        <v>2.1800000000000002</v>
      </c>
      <c r="AG206" s="18">
        <f>0.53-AQ206</f>
        <v>0.42</v>
      </c>
      <c r="AH206" s="9">
        <v>2.78</v>
      </c>
      <c r="AI206" s="43">
        <v>848</v>
      </c>
      <c r="AJ206" s="21">
        <f t="shared" si="87"/>
        <v>0.24</v>
      </c>
      <c r="AK206" s="9">
        <v>0</v>
      </c>
      <c r="AL206" s="9">
        <v>0</v>
      </c>
      <c r="AM206" s="9">
        <v>0.16</v>
      </c>
      <c r="AN206" s="13"/>
      <c r="AO206" s="13">
        <v>801.6</v>
      </c>
      <c r="AP206" s="13">
        <f t="shared" si="107"/>
        <v>5.58</v>
      </c>
      <c r="AQ206" s="18">
        <f t="shared" si="83"/>
        <v>0.11</v>
      </c>
      <c r="AR206" s="9">
        <v>0.77</v>
      </c>
      <c r="AS206" s="9">
        <v>0.38</v>
      </c>
      <c r="AT206" s="9">
        <v>7.0000000000000007E-2</v>
      </c>
      <c r="AU206" s="9">
        <v>4.29</v>
      </c>
      <c r="AV206" s="9">
        <v>0.12</v>
      </c>
      <c r="AW206" s="9">
        <f>1.06+0.32+0.38</f>
        <v>1.76</v>
      </c>
      <c r="AX206" s="9">
        <f>1.46+0.51</f>
        <v>1.97</v>
      </c>
      <c r="AY206" s="110">
        <f t="shared" si="108"/>
        <v>20.02</v>
      </c>
      <c r="AZ206" s="13">
        <v>20.02</v>
      </c>
      <c r="BA206" s="13">
        <f t="shared" si="85"/>
        <v>0</v>
      </c>
      <c r="BB206" s="9">
        <f t="shared" si="86"/>
        <v>70914.44</v>
      </c>
      <c r="BC206" s="9">
        <v>20.02</v>
      </c>
      <c r="BD206" s="10">
        <v>44409</v>
      </c>
      <c r="BE206" s="9">
        <f t="shared" si="88"/>
        <v>1416.87</v>
      </c>
      <c r="BF206" s="9">
        <f t="shared" si="89"/>
        <v>15479.33</v>
      </c>
      <c r="BG206" s="9">
        <f t="shared" si="90"/>
        <v>7721.95</v>
      </c>
      <c r="BH206" s="9">
        <f t="shared" si="91"/>
        <v>1487.72</v>
      </c>
      <c r="BI206" s="9">
        <f t="shared" si="92"/>
        <v>9847.26</v>
      </c>
      <c r="BJ206" s="9">
        <f t="shared" si="93"/>
        <v>850.12</v>
      </c>
      <c r="BK206" s="9">
        <f t="shared" si="94"/>
        <v>0</v>
      </c>
      <c r="BL206" s="9">
        <f t="shared" si="95"/>
        <v>0</v>
      </c>
      <c r="BM206" s="9">
        <f t="shared" si="96"/>
        <v>566.75</v>
      </c>
      <c r="BN206" s="9">
        <f t="shared" si="97"/>
        <v>389.64</v>
      </c>
      <c r="BO206" s="9">
        <f t="shared" si="98"/>
        <v>2727.48</v>
      </c>
      <c r="BP206" s="9">
        <f t="shared" si="99"/>
        <v>1346.03</v>
      </c>
      <c r="BQ206" s="9">
        <f t="shared" si="100"/>
        <v>247.95</v>
      </c>
      <c r="BR206" s="9">
        <f t="shared" si="101"/>
        <v>15195.95</v>
      </c>
      <c r="BS206" s="9">
        <f t="shared" si="102"/>
        <v>425.06</v>
      </c>
      <c r="BT206" s="9">
        <f t="shared" si="103"/>
        <v>6234.24</v>
      </c>
      <c r="BU206" s="9">
        <f t="shared" si="104"/>
        <v>6978.09</v>
      </c>
      <c r="BV206" s="17">
        <f t="shared" si="105"/>
        <v>70914.44</v>
      </c>
      <c r="BW206" s="17">
        <v>1.81</v>
      </c>
      <c r="BX206" s="17">
        <v>0.04</v>
      </c>
      <c r="BY206" s="17">
        <v>0.26</v>
      </c>
      <c r="BZ206" s="17">
        <v>0.05</v>
      </c>
      <c r="CA206" s="29">
        <v>6.33</v>
      </c>
      <c r="CB206" s="325"/>
      <c r="CC206" s="13">
        <v>13981.92</v>
      </c>
      <c r="CD206" s="13">
        <v>349.78</v>
      </c>
      <c r="CE206" s="13">
        <v>16.88</v>
      </c>
      <c r="CF206" s="13">
        <v>38.409999999999997</v>
      </c>
      <c r="CG206" s="13">
        <v>34.89</v>
      </c>
      <c r="CH206" s="13">
        <v>0</v>
      </c>
      <c r="CI206" s="13">
        <v>4182.3599999999997</v>
      </c>
      <c r="CJ206" s="13">
        <v>27684</v>
      </c>
      <c r="CK206" s="13">
        <v>1362.29</v>
      </c>
      <c r="CL206" s="13">
        <v>836991.12</v>
      </c>
      <c r="CM206" s="13">
        <v>14075.56</v>
      </c>
      <c r="CN206" s="13">
        <v>0</v>
      </c>
      <c r="CO206" s="13">
        <v>2125.17</v>
      </c>
      <c r="CP206" s="13">
        <v>1985.68</v>
      </c>
      <c r="CQ206" s="13">
        <v>0</v>
      </c>
      <c r="CR206" s="13">
        <v>787408.54</v>
      </c>
      <c r="CS206" s="13">
        <v>12246.43</v>
      </c>
      <c r="CT206" s="13">
        <v>615.87</v>
      </c>
      <c r="CU206" s="13">
        <v>3036.39</v>
      </c>
      <c r="CV206" s="13">
        <v>2315.37</v>
      </c>
      <c r="CW206" s="13">
        <v>0</v>
      </c>
      <c r="CX206" s="13">
        <v>131527.23000000001</v>
      </c>
      <c r="CY206" s="13">
        <v>4357.71</v>
      </c>
      <c r="CZ206" s="13">
        <v>-853.69</v>
      </c>
      <c r="DA206" s="13">
        <v>-931.28</v>
      </c>
      <c r="DB206" s="13">
        <v>-298.61</v>
      </c>
      <c r="DC206" s="13"/>
      <c r="DD206" s="315">
        <v>855177.53</v>
      </c>
      <c r="DE206" s="317">
        <v>805622.6</v>
      </c>
      <c r="DF206" s="317">
        <v>94.21</v>
      </c>
      <c r="DG206" s="318">
        <v>133801.35999999999</v>
      </c>
      <c r="DH206" s="310">
        <v>39759.839999999997</v>
      </c>
      <c r="DI206" s="310">
        <v>22739.16</v>
      </c>
      <c r="DJ206" s="312">
        <v>0</v>
      </c>
      <c r="DK206" s="362">
        <v>0</v>
      </c>
      <c r="DL206" s="362"/>
      <c r="DM206" s="362">
        <v>0</v>
      </c>
      <c r="DN206" s="362">
        <v>0</v>
      </c>
      <c r="DO206" s="362">
        <v>0</v>
      </c>
      <c r="DP206" s="362">
        <v>0</v>
      </c>
      <c r="DQ206" s="362">
        <v>0</v>
      </c>
      <c r="DR206" s="362"/>
      <c r="DS206" s="362">
        <v>0</v>
      </c>
      <c r="DT206" s="362"/>
      <c r="DU206" s="362">
        <v>0</v>
      </c>
      <c r="DV206" s="362">
        <v>0</v>
      </c>
      <c r="DW206" s="362">
        <v>0</v>
      </c>
      <c r="DX206" s="362">
        <v>0</v>
      </c>
      <c r="DY206" s="362">
        <v>0</v>
      </c>
      <c r="DZ206" s="375">
        <v>0</v>
      </c>
      <c r="EA206" s="362">
        <v>235272</v>
      </c>
      <c r="EB206" s="362">
        <v>7531</v>
      </c>
      <c r="EC206" s="362"/>
      <c r="ED206" s="362">
        <v>0</v>
      </c>
      <c r="EE206" s="362">
        <v>0</v>
      </c>
      <c r="EF206" s="362"/>
      <c r="EG206" s="362">
        <v>13494</v>
      </c>
      <c r="EH206" s="362">
        <v>120995</v>
      </c>
      <c r="EI206" s="362"/>
      <c r="EJ206" s="362">
        <v>24240</v>
      </c>
      <c r="EK206" s="362"/>
      <c r="EL206" s="362">
        <v>0</v>
      </c>
      <c r="EM206" s="362">
        <v>4472.9399999999996</v>
      </c>
      <c r="EN206" s="362">
        <v>0</v>
      </c>
      <c r="EO206" s="362">
        <v>0</v>
      </c>
      <c r="EP206" s="362">
        <v>219366</v>
      </c>
      <c r="EQ206" s="362">
        <v>0</v>
      </c>
      <c r="ER206" s="362">
        <v>15015</v>
      </c>
      <c r="ES206" s="362">
        <v>4616</v>
      </c>
      <c r="ET206" s="362">
        <v>12879</v>
      </c>
      <c r="EU206" s="362">
        <v>0</v>
      </c>
      <c r="EV206" s="362">
        <v>108621.71</v>
      </c>
      <c r="EW206" s="362"/>
      <c r="EX206" s="202"/>
      <c r="EY206" s="202"/>
      <c r="EZ206" s="229"/>
      <c r="FA206" s="368">
        <v>15105.98</v>
      </c>
      <c r="FB206" s="368">
        <v>0</v>
      </c>
      <c r="FC206" s="368">
        <v>0</v>
      </c>
      <c r="FD206" s="368">
        <v>0</v>
      </c>
      <c r="FE206" s="368">
        <v>3359.35</v>
      </c>
      <c r="FF206" s="368">
        <v>2753.21</v>
      </c>
      <c r="FG206" s="368">
        <v>-1053.94</v>
      </c>
      <c r="FH206" s="368">
        <v>-1484.05</v>
      </c>
      <c r="FI206" s="368">
        <v>0</v>
      </c>
      <c r="FJ206" s="368">
        <v>0</v>
      </c>
      <c r="FK206" s="368">
        <v>17.72</v>
      </c>
      <c r="FL206" s="368">
        <v>0</v>
      </c>
      <c r="FM206" s="368">
        <v>94700.4</v>
      </c>
      <c r="FN206" s="368">
        <v>60214.94</v>
      </c>
      <c r="FO206" s="323">
        <v>983916.99</v>
      </c>
      <c r="FP206" s="323">
        <v>18698.27</v>
      </c>
      <c r="FQ206" s="323">
        <v>1002615.26</v>
      </c>
      <c r="FR206" s="362">
        <v>73160.259999999995</v>
      </c>
      <c r="FS206" s="362">
        <v>-1310.68</v>
      </c>
      <c r="FT206" s="377">
        <v>71849.58</v>
      </c>
      <c r="FU206" s="377">
        <v>882839.4</v>
      </c>
      <c r="FV206" s="377">
        <v>19988.66</v>
      </c>
      <c r="FW206" s="362">
        <v>902828.06</v>
      </c>
      <c r="FX206" s="362">
        <v>813177.74</v>
      </c>
      <c r="FY206" s="362">
        <v>16054.53</v>
      </c>
      <c r="FZ206" s="362">
        <v>829232.27</v>
      </c>
      <c r="GA206" s="362">
        <v>142821.92000000001</v>
      </c>
      <c r="GB206" s="362">
        <v>2623.45</v>
      </c>
      <c r="GC206" s="362">
        <v>145445.37</v>
      </c>
      <c r="GD206" s="362">
        <v>57930.17</v>
      </c>
      <c r="GE206" s="362">
        <v>6768.93</v>
      </c>
      <c r="GF206" s="362">
        <v>64699.1</v>
      </c>
      <c r="GG206" s="202">
        <v>11644.01</v>
      </c>
      <c r="GH206" s="416">
        <v>97</v>
      </c>
      <c r="GI206" s="414">
        <v>2455</v>
      </c>
      <c r="GJ206" s="419">
        <v>14421.88</v>
      </c>
      <c r="GK206" s="396">
        <v>11644.01</v>
      </c>
      <c r="GL206" s="202">
        <v>11294.689700000001</v>
      </c>
      <c r="GM206" s="202">
        <v>349.32029999999901</v>
      </c>
      <c r="GN206" s="323">
        <v>-101077.59</v>
      </c>
      <c r="GO206" s="323">
        <v>1290.3900000000001</v>
      </c>
      <c r="GP206" s="323">
        <v>-99787.199999999997</v>
      </c>
      <c r="GQ206" s="323">
        <v>-43147.42</v>
      </c>
      <c r="GR206" s="323">
        <v>8059.32</v>
      </c>
      <c r="GS206" s="323">
        <v>-35088.1</v>
      </c>
    </row>
    <row r="207" spans="1:201" ht="12.75" customHeight="1" x14ac:dyDescent="0.2">
      <c r="A207" s="45" t="s">
        <v>297</v>
      </c>
      <c r="B207" s="113" t="s">
        <v>221</v>
      </c>
      <c r="C207" s="114" t="s">
        <v>262</v>
      </c>
      <c r="D207" s="388" t="s">
        <v>581</v>
      </c>
      <c r="E207" s="114" t="s">
        <v>30</v>
      </c>
      <c r="F207" s="11">
        <v>5</v>
      </c>
      <c r="G207" s="11">
        <v>6</v>
      </c>
      <c r="H207" s="11">
        <v>90</v>
      </c>
      <c r="I207" s="11">
        <v>0</v>
      </c>
      <c r="J207" s="11">
        <v>179</v>
      </c>
      <c r="K207" s="11">
        <v>229</v>
      </c>
      <c r="L207" s="11" t="s">
        <v>746</v>
      </c>
      <c r="M207" s="84">
        <v>411</v>
      </c>
      <c r="N207" s="84">
        <v>1008</v>
      </c>
      <c r="O207" s="84">
        <v>0</v>
      </c>
      <c r="P207" s="135">
        <v>411</v>
      </c>
      <c r="Q207" s="135">
        <v>1008.3</v>
      </c>
      <c r="R207" s="133">
        <v>0</v>
      </c>
      <c r="S207" s="133">
        <f t="shared" si="106"/>
        <v>1419.3</v>
      </c>
      <c r="T207" s="134">
        <v>411</v>
      </c>
      <c r="U207" s="130">
        <v>1.53</v>
      </c>
      <c r="V207" s="131">
        <v>1.9800000000000002E-2</v>
      </c>
      <c r="W207" s="131">
        <v>1.9800000000000002E-2</v>
      </c>
      <c r="X207" s="132">
        <v>1.2199999999999999E-3</v>
      </c>
      <c r="Y207" s="131">
        <v>3.95E-2</v>
      </c>
      <c r="Z207" s="29">
        <v>3893.61</v>
      </c>
      <c r="AA207" s="29">
        <v>28.6</v>
      </c>
      <c r="AB207" s="9">
        <f t="shared" si="84"/>
        <v>3922.21</v>
      </c>
      <c r="AC207" s="9">
        <f t="shared" si="82"/>
        <v>24827.59</v>
      </c>
      <c r="AD207" s="9">
        <v>0.53</v>
      </c>
      <c r="AE207" s="9">
        <v>3.56</v>
      </c>
      <c r="AF207" s="21">
        <f>2.46-AJ207</f>
        <v>2.21</v>
      </c>
      <c r="AG207" s="18">
        <f>0.57-AQ207</f>
        <v>0.46</v>
      </c>
      <c r="AH207" s="9">
        <v>2.78</v>
      </c>
      <c r="AI207" s="43">
        <v>968</v>
      </c>
      <c r="AJ207" s="21">
        <f t="shared" si="87"/>
        <v>0.25</v>
      </c>
      <c r="AK207" s="9">
        <v>0</v>
      </c>
      <c r="AL207" s="9">
        <v>0</v>
      </c>
      <c r="AM207" s="9">
        <v>0.15</v>
      </c>
      <c r="AN207" s="13"/>
      <c r="AO207" s="13">
        <v>901.8</v>
      </c>
      <c r="AP207" s="13">
        <f t="shared" si="107"/>
        <v>5.58</v>
      </c>
      <c r="AQ207" s="18">
        <f t="shared" si="83"/>
        <v>0.11</v>
      </c>
      <c r="AR207" s="9">
        <v>0.8</v>
      </c>
      <c r="AS207" s="9">
        <v>0.35</v>
      </c>
      <c r="AT207" s="9">
        <v>7.0000000000000007E-2</v>
      </c>
      <c r="AU207" s="9">
        <v>4.9800000000000004</v>
      </c>
      <c r="AV207" s="9">
        <v>0.12</v>
      </c>
      <c r="AW207" s="9">
        <f>1.01+0.33+0.43</f>
        <v>1.77</v>
      </c>
      <c r="AX207" s="9">
        <f>1.38+0.59</f>
        <v>1.97</v>
      </c>
      <c r="AY207" s="110">
        <f t="shared" si="108"/>
        <v>20.11</v>
      </c>
      <c r="AZ207" s="13">
        <v>20.11</v>
      </c>
      <c r="BA207" s="13">
        <f t="shared" si="85"/>
        <v>0</v>
      </c>
      <c r="BB207" s="9">
        <f t="shared" si="86"/>
        <v>78875.64</v>
      </c>
      <c r="BC207" s="9">
        <v>20.11</v>
      </c>
      <c r="BD207" s="10">
        <v>44409</v>
      </c>
      <c r="BE207" s="9">
        <f t="shared" si="88"/>
        <v>2078.77</v>
      </c>
      <c r="BF207" s="9">
        <f t="shared" si="89"/>
        <v>13963.07</v>
      </c>
      <c r="BG207" s="9">
        <f t="shared" si="90"/>
        <v>8668.08</v>
      </c>
      <c r="BH207" s="9">
        <f t="shared" si="91"/>
        <v>1804.22</v>
      </c>
      <c r="BI207" s="9">
        <f t="shared" si="92"/>
        <v>10903.74</v>
      </c>
      <c r="BJ207" s="9">
        <f t="shared" si="93"/>
        <v>980.55</v>
      </c>
      <c r="BK207" s="9">
        <f t="shared" si="94"/>
        <v>0</v>
      </c>
      <c r="BL207" s="9">
        <f t="shared" si="95"/>
        <v>0</v>
      </c>
      <c r="BM207" s="9">
        <f t="shared" si="96"/>
        <v>588.33000000000004</v>
      </c>
      <c r="BN207" s="9">
        <f t="shared" si="97"/>
        <v>431.44</v>
      </c>
      <c r="BO207" s="9">
        <f t="shared" si="98"/>
        <v>3137.77</v>
      </c>
      <c r="BP207" s="9">
        <f t="shared" si="99"/>
        <v>1372.77</v>
      </c>
      <c r="BQ207" s="9">
        <f t="shared" si="100"/>
        <v>274.55</v>
      </c>
      <c r="BR207" s="9">
        <f t="shared" si="101"/>
        <v>19532.61</v>
      </c>
      <c r="BS207" s="9">
        <f t="shared" si="102"/>
        <v>470.67</v>
      </c>
      <c r="BT207" s="9">
        <f t="shared" si="103"/>
        <v>6942.31</v>
      </c>
      <c r="BU207" s="9">
        <f t="shared" si="104"/>
        <v>7726.75</v>
      </c>
      <c r="BV207" s="17">
        <f t="shared" si="105"/>
        <v>78875.63</v>
      </c>
      <c r="BW207" s="17">
        <v>0.64</v>
      </c>
      <c r="BX207" s="17">
        <v>0.06</v>
      </c>
      <c r="BY207" s="17">
        <v>0.33</v>
      </c>
      <c r="BZ207" s="17">
        <v>0.06</v>
      </c>
      <c r="CA207" s="29">
        <v>6.33</v>
      </c>
      <c r="CB207" s="325"/>
      <c r="CC207" s="13">
        <v>6901.8</v>
      </c>
      <c r="CD207" s="13">
        <v>509.37</v>
      </c>
      <c r="CE207" s="13">
        <v>2.57</v>
      </c>
      <c r="CF207" s="13">
        <v>24.89</v>
      </c>
      <c r="CG207" s="13">
        <v>24.92</v>
      </c>
      <c r="CH207" s="13">
        <v>5952</v>
      </c>
      <c r="CI207" s="13">
        <v>6264.31</v>
      </c>
      <c r="CJ207" s="13">
        <v>33780</v>
      </c>
      <c r="CK207" s="13">
        <v>1508.16</v>
      </c>
      <c r="CL207" s="13">
        <v>939558.8</v>
      </c>
      <c r="CM207" s="13">
        <v>69344.179999999993</v>
      </c>
      <c r="CN207" s="13">
        <v>0</v>
      </c>
      <c r="CO207" s="13">
        <v>3736.48</v>
      </c>
      <c r="CP207" s="13">
        <v>3386.66</v>
      </c>
      <c r="CQ207" s="13">
        <v>0</v>
      </c>
      <c r="CR207" s="13">
        <v>851252.48</v>
      </c>
      <c r="CS207" s="13">
        <v>58788.24</v>
      </c>
      <c r="CT207" s="13">
        <v>670.52</v>
      </c>
      <c r="CU207" s="13">
        <v>9569.64</v>
      </c>
      <c r="CV207" s="13">
        <v>5651.04</v>
      </c>
      <c r="CW207" s="13">
        <v>0</v>
      </c>
      <c r="CX207" s="13">
        <v>202992.05</v>
      </c>
      <c r="CY207" s="13">
        <v>27051.69</v>
      </c>
      <c r="CZ207" s="13">
        <v>-951.69</v>
      </c>
      <c r="DA207" s="13">
        <v>-214.97</v>
      </c>
      <c r="DB207" s="13">
        <v>60.05</v>
      </c>
      <c r="DC207" s="13"/>
      <c r="DD207" s="315">
        <v>1016026.12</v>
      </c>
      <c r="DE207" s="317">
        <v>925931.92</v>
      </c>
      <c r="DF207" s="317">
        <v>91.13</v>
      </c>
      <c r="DG207" s="318">
        <v>228937.13</v>
      </c>
      <c r="DH207" s="310">
        <v>40903.440000000002</v>
      </c>
      <c r="DI207" s="310">
        <v>23393.16</v>
      </c>
      <c r="DJ207" s="312">
        <v>0</v>
      </c>
      <c r="DK207" s="362">
        <v>0</v>
      </c>
      <c r="DL207" s="362"/>
      <c r="DM207" s="362">
        <v>0</v>
      </c>
      <c r="DN207" s="362">
        <v>0</v>
      </c>
      <c r="DO207" s="362">
        <v>0</v>
      </c>
      <c r="DP207" s="362">
        <v>0</v>
      </c>
      <c r="DQ207" s="362">
        <v>0</v>
      </c>
      <c r="DR207" s="362"/>
      <c r="DS207" s="362">
        <v>0</v>
      </c>
      <c r="DT207" s="362"/>
      <c r="DU207" s="362">
        <v>0</v>
      </c>
      <c r="DV207" s="362">
        <v>0</v>
      </c>
      <c r="DW207" s="362">
        <v>0</v>
      </c>
      <c r="DX207" s="362">
        <v>0</v>
      </c>
      <c r="DY207" s="362">
        <v>0</v>
      </c>
      <c r="DZ207" s="375">
        <v>0</v>
      </c>
      <c r="EA207" s="362">
        <v>222810</v>
      </c>
      <c r="EB207" s="362">
        <v>7531</v>
      </c>
      <c r="EC207" s="362"/>
      <c r="ED207" s="362">
        <v>0</v>
      </c>
      <c r="EE207" s="362">
        <v>0</v>
      </c>
      <c r="EF207" s="362"/>
      <c r="EG207" s="362">
        <v>15402</v>
      </c>
      <c r="EH207" s="362">
        <v>41090</v>
      </c>
      <c r="EI207" s="362"/>
      <c r="EJ207" s="362">
        <v>18240</v>
      </c>
      <c r="EK207" s="362"/>
      <c r="EL207" s="362">
        <v>0</v>
      </c>
      <c r="EM207" s="362">
        <v>5032.05</v>
      </c>
      <c r="EN207" s="362">
        <v>0</v>
      </c>
      <c r="EO207" s="362">
        <v>2976</v>
      </c>
      <c r="EP207" s="362">
        <v>244986</v>
      </c>
      <c r="EQ207" s="362">
        <v>0</v>
      </c>
      <c r="ER207" s="362">
        <v>16380</v>
      </c>
      <c r="ES207" s="362">
        <v>0</v>
      </c>
      <c r="ET207" s="362">
        <v>14575</v>
      </c>
      <c r="EU207" s="362">
        <v>0</v>
      </c>
      <c r="EV207" s="362">
        <v>13516.15</v>
      </c>
      <c r="EW207" s="362"/>
      <c r="EX207" s="202"/>
      <c r="EY207" s="202"/>
      <c r="EZ207" s="229"/>
      <c r="FA207" s="368">
        <v>68504.58</v>
      </c>
      <c r="FB207" s="368">
        <v>0</v>
      </c>
      <c r="FC207" s="368">
        <v>0</v>
      </c>
      <c r="FD207" s="368">
        <v>0</v>
      </c>
      <c r="FE207" s="368">
        <v>6302.93</v>
      </c>
      <c r="FF207" s="368">
        <v>4237.45</v>
      </c>
      <c r="FG207" s="368">
        <v>-2649.87</v>
      </c>
      <c r="FH207" s="368">
        <v>-2367.79</v>
      </c>
      <c r="FI207" s="368">
        <v>0</v>
      </c>
      <c r="FJ207" s="368">
        <v>0</v>
      </c>
      <c r="FK207" s="368">
        <v>1150.55</v>
      </c>
      <c r="FL207" s="368">
        <v>0</v>
      </c>
      <c r="FM207" s="368">
        <v>104851.52</v>
      </c>
      <c r="FN207" s="368">
        <v>66670.95</v>
      </c>
      <c r="FO207" s="323">
        <v>838357.27</v>
      </c>
      <c r="FP207" s="323">
        <v>75177.850000000006</v>
      </c>
      <c r="FQ207" s="323">
        <v>913535.12</v>
      </c>
      <c r="FR207" s="362">
        <v>107596.13</v>
      </c>
      <c r="FS207" s="362">
        <v>15629.77</v>
      </c>
      <c r="FT207" s="377">
        <v>123225.9</v>
      </c>
      <c r="FU207" s="377">
        <v>986504.91</v>
      </c>
      <c r="FV207" s="377">
        <v>84489.23</v>
      </c>
      <c r="FW207" s="362">
        <v>1070994.1399999999</v>
      </c>
      <c r="FX207" s="362">
        <v>891328.06</v>
      </c>
      <c r="FY207" s="362">
        <v>74384.399999999994</v>
      </c>
      <c r="FZ207" s="362">
        <v>965712.46</v>
      </c>
      <c r="GA207" s="362">
        <v>202772.98</v>
      </c>
      <c r="GB207" s="362">
        <v>25734.6</v>
      </c>
      <c r="GC207" s="362">
        <v>228507.58</v>
      </c>
      <c r="GD207" s="362">
        <v>84747.22</v>
      </c>
      <c r="GE207" s="362">
        <v>5181</v>
      </c>
      <c r="GF207" s="362">
        <v>89928.22</v>
      </c>
      <c r="GG207" s="202">
        <v>-429.55</v>
      </c>
      <c r="GH207" s="416">
        <v>51</v>
      </c>
      <c r="GI207" s="414">
        <v>2963</v>
      </c>
      <c r="GJ207" s="419">
        <v>13415.55</v>
      </c>
      <c r="GK207" s="396">
        <v>-429.55</v>
      </c>
      <c r="GL207" s="202">
        <v>-219.07050000000001</v>
      </c>
      <c r="GM207" s="202">
        <v>-210.4795</v>
      </c>
      <c r="GN207" s="323">
        <v>148147.64000000001</v>
      </c>
      <c r="GO207" s="323">
        <v>9311.3799999999992</v>
      </c>
      <c r="GP207" s="323">
        <v>157459.01999999999</v>
      </c>
      <c r="GQ207" s="323">
        <v>232894.86</v>
      </c>
      <c r="GR207" s="323">
        <v>14492.38</v>
      </c>
      <c r="GS207" s="323">
        <v>247387.24</v>
      </c>
    </row>
    <row r="208" spans="1:201" ht="12.75" customHeight="1" x14ac:dyDescent="0.2">
      <c r="A208" s="45" t="s">
        <v>298</v>
      </c>
      <c r="B208" s="78" t="s">
        <v>221</v>
      </c>
      <c r="C208" s="79" t="s">
        <v>135</v>
      </c>
      <c r="D208" s="388" t="s">
        <v>652</v>
      </c>
      <c r="E208" s="79"/>
      <c r="F208" s="11">
        <v>9</v>
      </c>
      <c r="G208" s="11">
        <v>1</v>
      </c>
      <c r="H208" s="11">
        <v>54</v>
      </c>
      <c r="I208" s="11">
        <v>54</v>
      </c>
      <c r="J208" s="11">
        <v>103</v>
      </c>
      <c r="K208" s="11">
        <v>108</v>
      </c>
      <c r="L208" s="11">
        <v>1</v>
      </c>
      <c r="M208" s="84">
        <v>272</v>
      </c>
      <c r="N208" s="84">
        <v>384</v>
      </c>
      <c r="O208" s="84">
        <v>384</v>
      </c>
      <c r="P208" s="135">
        <v>272.10000000000002</v>
      </c>
      <c r="Q208" s="135">
        <v>276</v>
      </c>
      <c r="R208" s="133">
        <v>276</v>
      </c>
      <c r="S208" s="133">
        <f t="shared" si="106"/>
        <v>824.1</v>
      </c>
      <c r="T208" s="134">
        <v>272</v>
      </c>
      <c r="U208" s="130">
        <v>2.44</v>
      </c>
      <c r="V208" s="131">
        <v>1.9800000000000002E-2</v>
      </c>
      <c r="W208" s="131">
        <v>1.9800000000000002E-2</v>
      </c>
      <c r="X208" s="132">
        <v>1.32E-3</v>
      </c>
      <c r="Y208" s="131">
        <v>3.9699999999999999E-2</v>
      </c>
      <c r="Z208" s="29">
        <v>2296.91</v>
      </c>
      <c r="AA208" s="29"/>
      <c r="AB208" s="9">
        <f t="shared" si="84"/>
        <v>2296.91</v>
      </c>
      <c r="AC208" s="9">
        <f t="shared" si="82"/>
        <v>14539.44</v>
      </c>
      <c r="AD208" s="9">
        <v>1.59</v>
      </c>
      <c r="AE208" s="9">
        <v>4.97</v>
      </c>
      <c r="AF208" s="21">
        <f>2.5-AJ208</f>
        <v>2.34</v>
      </c>
      <c r="AG208" s="18">
        <f>0.6-AQ208</f>
        <v>0.54</v>
      </c>
      <c r="AH208" s="9">
        <v>2.77</v>
      </c>
      <c r="AI208" s="43">
        <v>369</v>
      </c>
      <c r="AJ208" s="21">
        <f t="shared" si="87"/>
        <v>0.16</v>
      </c>
      <c r="AK208" s="9">
        <v>1.88</v>
      </c>
      <c r="AL208" s="9">
        <v>0.16</v>
      </c>
      <c r="AM208" s="9">
        <v>0.41</v>
      </c>
      <c r="AN208" s="13"/>
      <c r="AO208" s="13">
        <v>305.89999999999998</v>
      </c>
      <c r="AP208" s="13">
        <f t="shared" si="107"/>
        <v>5.58</v>
      </c>
      <c r="AQ208" s="18">
        <f t="shared" si="83"/>
        <v>0.06</v>
      </c>
      <c r="AR208" s="9">
        <v>0.72</v>
      </c>
      <c r="AS208" s="9">
        <v>0.6</v>
      </c>
      <c r="AT208" s="9">
        <v>7.0000000000000007E-2</v>
      </c>
      <c r="AU208" s="9">
        <v>3.69</v>
      </c>
      <c r="AV208" s="9">
        <v>0.17</v>
      </c>
      <c r="AW208" s="9">
        <f>1.46+0.33+0.33</f>
        <v>2.12</v>
      </c>
      <c r="AX208" s="9">
        <f>2.06+0.44</f>
        <v>2.5</v>
      </c>
      <c r="AY208" s="81">
        <f t="shared" si="108"/>
        <v>24.75</v>
      </c>
      <c r="AZ208" s="13">
        <v>24.75</v>
      </c>
      <c r="BA208" s="13">
        <f t="shared" si="85"/>
        <v>0</v>
      </c>
      <c r="BB208" s="9">
        <f t="shared" si="86"/>
        <v>56848.52</v>
      </c>
      <c r="BC208" s="9">
        <v>24.75</v>
      </c>
      <c r="BD208" s="10">
        <v>44440</v>
      </c>
      <c r="BE208" s="9">
        <f t="shared" si="88"/>
        <v>3652.09</v>
      </c>
      <c r="BF208" s="9">
        <f t="shared" si="89"/>
        <v>11415.64</v>
      </c>
      <c r="BG208" s="9">
        <f t="shared" si="90"/>
        <v>5374.77</v>
      </c>
      <c r="BH208" s="9">
        <f t="shared" si="91"/>
        <v>1240.33</v>
      </c>
      <c r="BI208" s="9">
        <f t="shared" si="92"/>
        <v>6362.44</v>
      </c>
      <c r="BJ208" s="9">
        <f t="shared" si="93"/>
        <v>367.51</v>
      </c>
      <c r="BK208" s="9">
        <f t="shared" si="94"/>
        <v>4318.1899999999996</v>
      </c>
      <c r="BL208" s="9">
        <f t="shared" si="95"/>
        <v>367.51</v>
      </c>
      <c r="BM208" s="9">
        <f t="shared" si="96"/>
        <v>941.73</v>
      </c>
      <c r="BN208" s="9">
        <f t="shared" si="97"/>
        <v>137.81</v>
      </c>
      <c r="BO208" s="9">
        <f t="shared" si="98"/>
        <v>1653.78</v>
      </c>
      <c r="BP208" s="9">
        <f t="shared" si="99"/>
        <v>1378.15</v>
      </c>
      <c r="BQ208" s="9">
        <f t="shared" si="100"/>
        <v>160.78</v>
      </c>
      <c r="BR208" s="9">
        <f t="shared" si="101"/>
        <v>8475.6</v>
      </c>
      <c r="BS208" s="9">
        <f t="shared" si="102"/>
        <v>390.47</v>
      </c>
      <c r="BT208" s="9">
        <f t="shared" si="103"/>
        <v>4869.45</v>
      </c>
      <c r="BU208" s="9">
        <f t="shared" si="104"/>
        <v>5742.28</v>
      </c>
      <c r="BV208" s="17">
        <f t="shared" si="105"/>
        <v>56848.53</v>
      </c>
      <c r="BW208" s="17">
        <v>2.39</v>
      </c>
      <c r="BX208" s="17">
        <v>0.08</v>
      </c>
      <c r="BY208" s="17">
        <v>0.52</v>
      </c>
      <c r="BZ208" s="17">
        <v>0.09</v>
      </c>
      <c r="CA208" s="29">
        <v>6.33</v>
      </c>
      <c r="CB208" s="325"/>
      <c r="CC208" s="13">
        <v>8793.73</v>
      </c>
      <c r="CD208" s="13">
        <v>704.14</v>
      </c>
      <c r="CE208" s="13">
        <v>123.4</v>
      </c>
      <c r="CF208" s="13">
        <v>23.26</v>
      </c>
      <c r="CG208" s="13">
        <v>174.74</v>
      </c>
      <c r="CH208" s="13">
        <v>0</v>
      </c>
      <c r="CI208" s="13">
        <v>3631.17</v>
      </c>
      <c r="CJ208" s="13">
        <v>29484</v>
      </c>
      <c r="CK208" s="13">
        <v>883.36</v>
      </c>
      <c r="CL208" s="13">
        <v>674189.98</v>
      </c>
      <c r="CM208" s="13">
        <v>33757.75</v>
      </c>
      <c r="CN208" s="13">
        <v>0</v>
      </c>
      <c r="CO208" s="13">
        <v>0</v>
      </c>
      <c r="CP208" s="13">
        <v>932.87</v>
      </c>
      <c r="CQ208" s="13">
        <v>0</v>
      </c>
      <c r="CR208" s="13">
        <v>646155.61</v>
      </c>
      <c r="CS208" s="13">
        <v>33324.839999999997</v>
      </c>
      <c r="CT208" s="13">
        <v>583.49</v>
      </c>
      <c r="CU208" s="13">
        <v>90.99</v>
      </c>
      <c r="CV208" s="13">
        <v>896.67</v>
      </c>
      <c r="CW208" s="13">
        <v>0</v>
      </c>
      <c r="CX208" s="13">
        <v>88936.06</v>
      </c>
      <c r="CY208" s="13">
        <v>4552.6099999999997</v>
      </c>
      <c r="CZ208" s="13">
        <v>-955.11</v>
      </c>
      <c r="DA208" s="13">
        <v>-144.97</v>
      </c>
      <c r="DB208" s="13">
        <v>79.08</v>
      </c>
      <c r="DC208" s="13"/>
      <c r="DD208" s="315">
        <v>708880.6</v>
      </c>
      <c r="DE208" s="317">
        <v>681051.6</v>
      </c>
      <c r="DF208" s="317">
        <v>96.07</v>
      </c>
      <c r="DG208" s="318">
        <v>92467.67</v>
      </c>
      <c r="DH208" s="310">
        <v>24134.639999999999</v>
      </c>
      <c r="DI208" s="310">
        <v>13802.88</v>
      </c>
      <c r="DJ208" s="312">
        <v>0</v>
      </c>
      <c r="DK208" s="362">
        <v>0</v>
      </c>
      <c r="DL208" s="362"/>
      <c r="DM208" s="362">
        <v>0</v>
      </c>
      <c r="DN208" s="362">
        <v>0</v>
      </c>
      <c r="DO208" s="362">
        <v>0</v>
      </c>
      <c r="DP208" s="362">
        <v>0</v>
      </c>
      <c r="DQ208" s="362">
        <v>0</v>
      </c>
      <c r="DR208" s="362"/>
      <c r="DS208" s="362">
        <v>0</v>
      </c>
      <c r="DT208" s="362"/>
      <c r="DU208" s="362">
        <v>0</v>
      </c>
      <c r="DV208" s="362">
        <v>0</v>
      </c>
      <c r="DW208" s="362">
        <v>51600</v>
      </c>
      <c r="DX208" s="362">
        <v>0</v>
      </c>
      <c r="DY208" s="362">
        <v>4500</v>
      </c>
      <c r="DZ208" s="375">
        <v>0</v>
      </c>
      <c r="EA208" s="362">
        <v>208566</v>
      </c>
      <c r="EB208" s="362">
        <v>9775</v>
      </c>
      <c r="EC208" s="362"/>
      <c r="ED208" s="362">
        <v>0</v>
      </c>
      <c r="EE208" s="362">
        <v>0</v>
      </c>
      <c r="EF208" s="362"/>
      <c r="EG208" s="362">
        <v>5874</v>
      </c>
      <c r="EH208" s="362">
        <v>0</v>
      </c>
      <c r="EI208" s="362"/>
      <c r="EJ208" s="362">
        <v>0</v>
      </c>
      <c r="EK208" s="362"/>
      <c r="EL208" s="362">
        <v>0</v>
      </c>
      <c r="EM208" s="362">
        <v>1706.91</v>
      </c>
      <c r="EN208" s="362">
        <v>0</v>
      </c>
      <c r="EO208" s="362">
        <v>0</v>
      </c>
      <c r="EP208" s="362">
        <v>144672</v>
      </c>
      <c r="EQ208" s="362">
        <v>0</v>
      </c>
      <c r="ER208" s="362">
        <v>16380</v>
      </c>
      <c r="ES208" s="362">
        <v>11304</v>
      </c>
      <c r="ET208" s="362">
        <v>6635</v>
      </c>
      <c r="EU208" s="362">
        <v>0</v>
      </c>
      <c r="EV208" s="362">
        <v>12838.77</v>
      </c>
      <c r="EW208" s="362"/>
      <c r="EX208" s="202"/>
      <c r="EY208" s="202"/>
      <c r="EZ208" s="229"/>
      <c r="FA208" s="368">
        <v>35568.620000000003</v>
      </c>
      <c r="FB208" s="368">
        <v>0</v>
      </c>
      <c r="FC208" s="368">
        <v>0</v>
      </c>
      <c r="FD208" s="368">
        <v>0</v>
      </c>
      <c r="FE208" s="368">
        <v>0</v>
      </c>
      <c r="FF208" s="368">
        <v>967.62</v>
      </c>
      <c r="FG208" s="368">
        <v>0</v>
      </c>
      <c r="FH208" s="368">
        <v>-587.66</v>
      </c>
      <c r="FI208" s="368">
        <v>0</v>
      </c>
      <c r="FJ208" s="368">
        <v>0</v>
      </c>
      <c r="FK208" s="368">
        <v>291.57</v>
      </c>
      <c r="FL208" s="368">
        <v>0</v>
      </c>
      <c r="FM208" s="368">
        <v>61408.03</v>
      </c>
      <c r="FN208" s="368">
        <v>39046.089999999997</v>
      </c>
      <c r="FO208" s="323">
        <v>612243.31999999995</v>
      </c>
      <c r="FP208" s="323">
        <v>36240.15</v>
      </c>
      <c r="FQ208" s="323">
        <v>648483.47</v>
      </c>
      <c r="FR208" s="362">
        <v>54213.18</v>
      </c>
      <c r="FS208" s="362">
        <v>694.14</v>
      </c>
      <c r="FT208" s="377">
        <v>54907.32</v>
      </c>
      <c r="FU208" s="377">
        <v>716098.88</v>
      </c>
      <c r="FV208" s="377">
        <v>36599.519999999997</v>
      </c>
      <c r="FW208" s="362">
        <v>752698.4</v>
      </c>
      <c r="FX208" s="362">
        <v>681376</v>
      </c>
      <c r="FY208" s="362">
        <v>33762.050000000003</v>
      </c>
      <c r="FZ208" s="362">
        <v>715138.05</v>
      </c>
      <c r="GA208" s="362">
        <v>88936.06</v>
      </c>
      <c r="GB208" s="362">
        <v>3531.61</v>
      </c>
      <c r="GC208" s="362">
        <v>92467.67</v>
      </c>
      <c r="GD208" s="362">
        <v>12175.4</v>
      </c>
      <c r="GE208" s="362">
        <v>10915.4</v>
      </c>
      <c r="GF208" s="362">
        <v>23090.799999999999</v>
      </c>
      <c r="GG208" s="202"/>
      <c r="GH208" s="416">
        <v>90</v>
      </c>
      <c r="GI208" s="414">
        <v>2455</v>
      </c>
      <c r="GJ208" s="419">
        <v>9819.27</v>
      </c>
      <c r="GK208" s="396"/>
      <c r="GL208" s="202">
        <v>0</v>
      </c>
      <c r="GM208" s="202">
        <v>0</v>
      </c>
      <c r="GN208" s="323">
        <v>103855.56</v>
      </c>
      <c r="GO208" s="323">
        <v>359.37</v>
      </c>
      <c r="GP208" s="323">
        <v>104214.93</v>
      </c>
      <c r="GQ208" s="323">
        <v>116030.96</v>
      </c>
      <c r="GR208" s="323">
        <v>11274.77</v>
      </c>
      <c r="GS208" s="323">
        <v>127305.73</v>
      </c>
    </row>
    <row r="209" spans="1:201" x14ac:dyDescent="0.2">
      <c r="A209" s="45" t="s">
        <v>300</v>
      </c>
      <c r="B209" s="78" t="s">
        <v>221</v>
      </c>
      <c r="C209" s="79" t="s">
        <v>137</v>
      </c>
      <c r="D209" s="388" t="s">
        <v>653</v>
      </c>
      <c r="E209" s="79"/>
      <c r="F209" s="11">
        <v>9</v>
      </c>
      <c r="G209" s="11">
        <v>1</v>
      </c>
      <c r="H209" s="11">
        <v>54</v>
      </c>
      <c r="I209" s="11">
        <v>54</v>
      </c>
      <c r="J209" s="11">
        <v>104</v>
      </c>
      <c r="K209" s="11">
        <v>115</v>
      </c>
      <c r="L209" s="11">
        <v>1</v>
      </c>
      <c r="M209" s="84">
        <v>267</v>
      </c>
      <c r="N209" s="84">
        <v>384</v>
      </c>
      <c r="O209" s="84">
        <v>384</v>
      </c>
      <c r="P209" s="135">
        <v>267.2</v>
      </c>
      <c r="Q209" s="135">
        <v>258.10000000000002</v>
      </c>
      <c r="R209" s="133">
        <v>258.10000000000002</v>
      </c>
      <c r="S209" s="133">
        <f t="shared" si="106"/>
        <v>783.4</v>
      </c>
      <c r="T209" s="134">
        <v>267</v>
      </c>
      <c r="U209" s="130">
        <v>2.44</v>
      </c>
      <c r="V209" s="131">
        <v>1.9800000000000002E-2</v>
      </c>
      <c r="W209" s="131">
        <v>1.9800000000000002E-2</v>
      </c>
      <c r="X209" s="132">
        <v>1.32E-3</v>
      </c>
      <c r="Y209" s="131">
        <v>3.9699999999999999E-2</v>
      </c>
      <c r="Z209" s="29">
        <v>2299.2800000000002</v>
      </c>
      <c r="AA209" s="29"/>
      <c r="AB209" s="9">
        <f t="shared" si="84"/>
        <v>2299.2800000000002</v>
      </c>
      <c r="AC209" s="9">
        <f t="shared" si="82"/>
        <v>14554.44</v>
      </c>
      <c r="AD209" s="9">
        <v>1.6</v>
      </c>
      <c r="AE209" s="9">
        <v>4.1500000000000004</v>
      </c>
      <c r="AF209" s="21">
        <f>2.49-AJ209</f>
        <v>2.33</v>
      </c>
      <c r="AG209" s="18">
        <f>0.6-AQ209</f>
        <v>0.54</v>
      </c>
      <c r="AH209" s="9">
        <v>2.77</v>
      </c>
      <c r="AI209" s="43">
        <v>369</v>
      </c>
      <c r="AJ209" s="21">
        <f t="shared" si="87"/>
        <v>0.16</v>
      </c>
      <c r="AK209" s="9">
        <v>1.87</v>
      </c>
      <c r="AL209" s="9">
        <v>0.51</v>
      </c>
      <c r="AM209" s="9">
        <v>0.41</v>
      </c>
      <c r="AN209" s="13"/>
      <c r="AO209" s="13">
        <v>305.89999999999998</v>
      </c>
      <c r="AP209" s="13">
        <f t="shared" si="107"/>
        <v>5.58</v>
      </c>
      <c r="AQ209" s="18">
        <f t="shared" si="83"/>
        <v>0.06</v>
      </c>
      <c r="AR209" s="9">
        <v>0.72</v>
      </c>
      <c r="AS209" s="9">
        <v>0.59</v>
      </c>
      <c r="AT209" s="9">
        <v>7.0000000000000007E-2</v>
      </c>
      <c r="AU209" s="9">
        <v>4.12</v>
      </c>
      <c r="AV209" s="9">
        <v>0.17</v>
      </c>
      <c r="AW209" s="9">
        <f>1.42+0.33+0.36</f>
        <v>2.11</v>
      </c>
      <c r="AX209" s="9">
        <f>2.02+0.51</f>
        <v>2.5299999999999998</v>
      </c>
      <c r="AY209" s="81">
        <f t="shared" si="108"/>
        <v>24.71</v>
      </c>
      <c r="AZ209" s="13">
        <v>24.71</v>
      </c>
      <c r="BA209" s="13">
        <f t="shared" si="85"/>
        <v>0</v>
      </c>
      <c r="BB209" s="9">
        <f t="shared" si="86"/>
        <v>56815.21</v>
      </c>
      <c r="BC209" s="9">
        <v>24.71</v>
      </c>
      <c r="BD209" s="10">
        <v>44440</v>
      </c>
      <c r="BE209" s="9">
        <f t="shared" si="88"/>
        <v>3678.85</v>
      </c>
      <c r="BF209" s="9">
        <f t="shared" si="89"/>
        <v>9542.01</v>
      </c>
      <c r="BG209" s="9">
        <f t="shared" si="90"/>
        <v>5357.32</v>
      </c>
      <c r="BH209" s="9">
        <f t="shared" si="91"/>
        <v>1241.6099999999999</v>
      </c>
      <c r="BI209" s="9">
        <f t="shared" si="92"/>
        <v>6369.01</v>
      </c>
      <c r="BJ209" s="9">
        <f t="shared" si="93"/>
        <v>367.88</v>
      </c>
      <c r="BK209" s="9">
        <f t="shared" si="94"/>
        <v>4299.6499999999996</v>
      </c>
      <c r="BL209" s="9">
        <f t="shared" si="95"/>
        <v>1172.6300000000001</v>
      </c>
      <c r="BM209" s="9">
        <f t="shared" si="96"/>
        <v>942.7</v>
      </c>
      <c r="BN209" s="9">
        <f t="shared" si="97"/>
        <v>137.96</v>
      </c>
      <c r="BO209" s="9">
        <f t="shared" si="98"/>
        <v>1655.48</v>
      </c>
      <c r="BP209" s="9">
        <f t="shared" si="99"/>
        <v>1356.58</v>
      </c>
      <c r="BQ209" s="9">
        <f t="shared" si="100"/>
        <v>160.94999999999999</v>
      </c>
      <c r="BR209" s="9">
        <f t="shared" si="101"/>
        <v>9473.0300000000007</v>
      </c>
      <c r="BS209" s="9">
        <f t="shared" si="102"/>
        <v>390.88</v>
      </c>
      <c r="BT209" s="9">
        <f t="shared" si="103"/>
        <v>4851.4799999999996</v>
      </c>
      <c r="BU209" s="9">
        <f t="shared" si="104"/>
        <v>5817.18</v>
      </c>
      <c r="BV209" s="17">
        <f t="shared" si="105"/>
        <v>56815.199999999997</v>
      </c>
      <c r="BW209" s="17">
        <v>2.37</v>
      </c>
      <c r="BX209" s="17">
        <v>7.0000000000000007E-2</v>
      </c>
      <c r="BY209" s="17">
        <v>0.39</v>
      </c>
      <c r="BZ209" s="17">
        <v>7.0000000000000007E-2</v>
      </c>
      <c r="CA209" s="29">
        <v>6.33</v>
      </c>
      <c r="CB209" s="325"/>
      <c r="CC209" s="13">
        <v>0</v>
      </c>
      <c r="CD209" s="13">
        <v>0</v>
      </c>
      <c r="CE209" s="13">
        <v>0</v>
      </c>
      <c r="CF209" s="13">
        <v>0</v>
      </c>
      <c r="CG209" s="13">
        <v>0</v>
      </c>
      <c r="CH209" s="13">
        <v>0</v>
      </c>
      <c r="CI209" s="13">
        <v>1103.5999999999999</v>
      </c>
      <c r="CJ209" s="13">
        <v>35580</v>
      </c>
      <c r="CK209" s="13">
        <v>884.29</v>
      </c>
      <c r="CL209" s="13">
        <v>681827.73</v>
      </c>
      <c r="CM209" s="13">
        <v>38169.31</v>
      </c>
      <c r="CN209" s="13">
        <v>0.01</v>
      </c>
      <c r="CO209" s="13">
        <v>11728.79</v>
      </c>
      <c r="CP209" s="13">
        <v>7175.1</v>
      </c>
      <c r="CQ209" s="13">
        <v>0</v>
      </c>
      <c r="CR209" s="13">
        <v>654782.6</v>
      </c>
      <c r="CS209" s="13">
        <v>37269.71</v>
      </c>
      <c r="CT209" s="13">
        <v>1196.7</v>
      </c>
      <c r="CU209" s="13">
        <v>8146.05</v>
      </c>
      <c r="CV209" s="13">
        <v>5482.73</v>
      </c>
      <c r="CW209" s="13">
        <v>0</v>
      </c>
      <c r="CX209" s="13">
        <v>78361.88</v>
      </c>
      <c r="CY209" s="13">
        <v>858.08</v>
      </c>
      <c r="CZ209" s="13">
        <v>-1530.14</v>
      </c>
      <c r="DA209" s="13">
        <v>864.3</v>
      </c>
      <c r="DB209" s="13">
        <v>575.78</v>
      </c>
      <c r="DC209" s="13"/>
      <c r="DD209" s="315">
        <v>738900.94</v>
      </c>
      <c r="DE209" s="317">
        <v>706877.79</v>
      </c>
      <c r="DF209" s="317">
        <v>95.67</v>
      </c>
      <c r="DG209" s="318">
        <v>79129.899999999994</v>
      </c>
      <c r="DH209" s="310">
        <v>24159.48</v>
      </c>
      <c r="DI209" s="310">
        <v>13817.04</v>
      </c>
      <c r="DJ209" s="312">
        <v>0</v>
      </c>
      <c r="DK209" s="362">
        <v>0</v>
      </c>
      <c r="DL209" s="362"/>
      <c r="DM209" s="362">
        <v>0</v>
      </c>
      <c r="DN209" s="362">
        <v>0</v>
      </c>
      <c r="DO209" s="362">
        <v>0</v>
      </c>
      <c r="DP209" s="362">
        <v>0</v>
      </c>
      <c r="DQ209" s="362">
        <v>0</v>
      </c>
      <c r="DR209" s="362"/>
      <c r="DS209" s="362">
        <v>0</v>
      </c>
      <c r="DT209" s="362"/>
      <c r="DU209" s="362">
        <v>0</v>
      </c>
      <c r="DV209" s="362">
        <v>0</v>
      </c>
      <c r="DW209" s="362">
        <v>51600</v>
      </c>
      <c r="DX209" s="362">
        <v>0</v>
      </c>
      <c r="DY209" s="362">
        <v>4500</v>
      </c>
      <c r="DZ209" s="375">
        <v>0</v>
      </c>
      <c r="EA209" s="362">
        <v>183336</v>
      </c>
      <c r="EB209" s="362">
        <v>9775</v>
      </c>
      <c r="EC209" s="362"/>
      <c r="ED209" s="362">
        <v>0</v>
      </c>
      <c r="EE209" s="362">
        <v>0</v>
      </c>
      <c r="EF209" s="362"/>
      <c r="EG209" s="362">
        <v>5874</v>
      </c>
      <c r="EH209" s="362">
        <v>0</v>
      </c>
      <c r="EI209" s="362"/>
      <c r="EJ209" s="362">
        <v>0</v>
      </c>
      <c r="EK209" s="362"/>
      <c r="EL209" s="362">
        <v>0</v>
      </c>
      <c r="EM209" s="362">
        <v>1706.91</v>
      </c>
      <c r="EN209" s="362">
        <v>0</v>
      </c>
      <c r="EO209" s="362">
        <v>0</v>
      </c>
      <c r="EP209" s="362">
        <v>144630</v>
      </c>
      <c r="EQ209" s="362">
        <v>0</v>
      </c>
      <c r="ER209" s="362">
        <v>15015</v>
      </c>
      <c r="ES209" s="362">
        <v>11304</v>
      </c>
      <c r="ET209" s="362">
        <v>6635</v>
      </c>
      <c r="EU209" s="362">
        <v>0</v>
      </c>
      <c r="EV209" s="362">
        <v>54000.97</v>
      </c>
      <c r="EW209" s="362"/>
      <c r="EX209" s="202"/>
      <c r="EY209" s="202"/>
      <c r="EZ209" s="229"/>
      <c r="FA209" s="368">
        <v>33902.97</v>
      </c>
      <c r="FB209" s="368">
        <v>0</v>
      </c>
      <c r="FC209" s="368">
        <v>0</v>
      </c>
      <c r="FD209" s="368">
        <v>0</v>
      </c>
      <c r="FE209" s="368">
        <v>11737.42</v>
      </c>
      <c r="FF209" s="368">
        <v>7226.07</v>
      </c>
      <c r="FG209" s="368">
        <v>0</v>
      </c>
      <c r="FH209" s="368">
        <v>-613.20000000000005</v>
      </c>
      <c r="FI209" s="368">
        <v>0</v>
      </c>
      <c r="FJ209" s="368">
        <v>0</v>
      </c>
      <c r="FK209" s="368">
        <v>9856.93</v>
      </c>
      <c r="FL209" s="368">
        <v>0</v>
      </c>
      <c r="FM209" s="368">
        <v>61471.41</v>
      </c>
      <c r="FN209" s="368">
        <v>39090.129999999997</v>
      </c>
      <c r="FO209" s="323">
        <v>626914.93999999994</v>
      </c>
      <c r="FP209" s="323">
        <v>62110.19</v>
      </c>
      <c r="FQ209" s="323">
        <v>689025.13</v>
      </c>
      <c r="FR209" s="362">
        <v>65945.97</v>
      </c>
      <c r="FS209" s="362">
        <v>-379.67</v>
      </c>
      <c r="FT209" s="377">
        <v>65566.3</v>
      </c>
      <c r="FU209" s="377">
        <v>718511.33</v>
      </c>
      <c r="FV209" s="377">
        <v>57957.5</v>
      </c>
      <c r="FW209" s="362">
        <v>776468.83</v>
      </c>
      <c r="FX209" s="362">
        <v>706095.42</v>
      </c>
      <c r="FY209" s="362">
        <v>56809.81</v>
      </c>
      <c r="FZ209" s="362">
        <v>762905.23</v>
      </c>
      <c r="GA209" s="362">
        <v>78361.88</v>
      </c>
      <c r="GB209" s="362">
        <v>768.02</v>
      </c>
      <c r="GC209" s="362">
        <v>79129.899999999994</v>
      </c>
      <c r="GD209" s="362">
        <v>54763.78</v>
      </c>
      <c r="GE209" s="362">
        <v>6121.11</v>
      </c>
      <c r="GF209" s="362">
        <v>60884.89</v>
      </c>
      <c r="GG209" s="202"/>
      <c r="GH209" s="416"/>
      <c r="GI209" s="414">
        <v>3471</v>
      </c>
      <c r="GJ209" s="419">
        <v>0</v>
      </c>
      <c r="GK209" s="396"/>
      <c r="GL209" s="202">
        <v>0</v>
      </c>
      <c r="GM209" s="202">
        <v>0</v>
      </c>
      <c r="GN209" s="323">
        <v>91596.39</v>
      </c>
      <c r="GO209" s="323">
        <v>-4152.6899999999996</v>
      </c>
      <c r="GP209" s="323">
        <v>87443.7</v>
      </c>
      <c r="GQ209" s="323">
        <v>146360.17000000001</v>
      </c>
      <c r="GR209" s="323">
        <v>1968.42</v>
      </c>
      <c r="GS209" s="323">
        <v>148328.59</v>
      </c>
    </row>
    <row r="210" spans="1:201" ht="12.75" customHeight="1" x14ac:dyDescent="0.2">
      <c r="A210" s="45" t="s">
        <v>301</v>
      </c>
      <c r="B210" s="113" t="s">
        <v>221</v>
      </c>
      <c r="C210" s="114" t="s">
        <v>142</v>
      </c>
      <c r="D210" s="388" t="s">
        <v>494</v>
      </c>
      <c r="E210" s="114" t="s">
        <v>12</v>
      </c>
      <c r="F210" s="11">
        <v>5</v>
      </c>
      <c r="G210" s="11">
        <v>6</v>
      </c>
      <c r="H210" s="11">
        <v>90</v>
      </c>
      <c r="I210" s="11">
        <v>90</v>
      </c>
      <c r="J210" s="11">
        <v>180</v>
      </c>
      <c r="K210" s="11">
        <v>194</v>
      </c>
      <c r="L210" s="11" t="s">
        <v>746</v>
      </c>
      <c r="M210" s="84">
        <v>414</v>
      </c>
      <c r="N210" s="84">
        <v>1006</v>
      </c>
      <c r="O210" s="84">
        <v>0</v>
      </c>
      <c r="P210" s="135">
        <v>414</v>
      </c>
      <c r="Q210" s="135">
        <v>1005.8</v>
      </c>
      <c r="R210" s="135">
        <v>0</v>
      </c>
      <c r="S210" s="133">
        <f t="shared" si="106"/>
        <v>1419.8</v>
      </c>
      <c r="T210" s="135">
        <v>414</v>
      </c>
      <c r="U210" s="130">
        <v>1.53</v>
      </c>
      <c r="V210" s="91">
        <v>1.9800000000000002E-2</v>
      </c>
      <c r="W210" s="91">
        <v>1.9800000000000002E-2</v>
      </c>
      <c r="X210" s="132">
        <v>1.2199999999999999E-3</v>
      </c>
      <c r="Y210" s="91">
        <v>3.95E-2</v>
      </c>
      <c r="Z210" s="29">
        <v>3993.3</v>
      </c>
      <c r="AA210" s="29"/>
      <c r="AB210" s="9">
        <f t="shared" si="84"/>
        <v>3993.3</v>
      </c>
      <c r="AC210" s="9">
        <f t="shared" si="82"/>
        <v>25277.59</v>
      </c>
      <c r="AD210" s="9">
        <v>0.52</v>
      </c>
      <c r="AE210" s="9">
        <v>5.05</v>
      </c>
      <c r="AF210" s="21">
        <f>2.49-AJ210</f>
        <v>2.25</v>
      </c>
      <c r="AG210" s="18">
        <f>0.56-AQ210</f>
        <v>0.45</v>
      </c>
      <c r="AH210" s="9">
        <v>2.78</v>
      </c>
      <c r="AI210" s="43">
        <v>966</v>
      </c>
      <c r="AJ210" s="21">
        <f t="shared" si="87"/>
        <v>0.24</v>
      </c>
      <c r="AK210" s="9">
        <v>0</v>
      </c>
      <c r="AL210" s="9">
        <v>0</v>
      </c>
      <c r="AM210" s="9">
        <v>0.14000000000000001</v>
      </c>
      <c r="AN210" s="13"/>
      <c r="AO210" s="13">
        <v>901.8</v>
      </c>
      <c r="AP210" s="13">
        <f t="shared" si="107"/>
        <v>5.58</v>
      </c>
      <c r="AQ210" s="18">
        <f t="shared" si="83"/>
        <v>0.11</v>
      </c>
      <c r="AR210" s="9">
        <v>0.79</v>
      </c>
      <c r="AS210" s="9">
        <v>0.34</v>
      </c>
      <c r="AT210" s="9">
        <v>7.0000000000000007E-2</v>
      </c>
      <c r="AU210" s="9">
        <v>3.51</v>
      </c>
      <c r="AV210" s="9">
        <v>0.13</v>
      </c>
      <c r="AW210" s="9">
        <f>1.14+0.32+0.31</f>
        <v>1.77</v>
      </c>
      <c r="AX210" s="9">
        <f>1.56+0.42</f>
        <v>1.98</v>
      </c>
      <c r="AY210" s="110">
        <f t="shared" si="108"/>
        <v>20.13</v>
      </c>
      <c r="AZ210" s="13">
        <v>20.13</v>
      </c>
      <c r="BA210" s="13">
        <f t="shared" si="85"/>
        <v>0</v>
      </c>
      <c r="BB210" s="9">
        <f t="shared" si="86"/>
        <v>80385.13</v>
      </c>
      <c r="BC210" s="9">
        <v>20.13</v>
      </c>
      <c r="BD210" s="10">
        <v>44409</v>
      </c>
      <c r="BE210" s="9">
        <f t="shared" si="88"/>
        <v>2076.52</v>
      </c>
      <c r="BF210" s="9">
        <f t="shared" si="89"/>
        <v>20166.169999999998</v>
      </c>
      <c r="BG210" s="9">
        <f t="shared" si="90"/>
        <v>8984.93</v>
      </c>
      <c r="BH210" s="9">
        <f t="shared" si="91"/>
        <v>1796.99</v>
      </c>
      <c r="BI210" s="9">
        <f t="shared" si="92"/>
        <v>11101.37</v>
      </c>
      <c r="BJ210" s="9">
        <f t="shared" si="93"/>
        <v>958.39</v>
      </c>
      <c r="BK210" s="9">
        <f t="shared" si="94"/>
        <v>0</v>
      </c>
      <c r="BL210" s="9">
        <f t="shared" si="95"/>
        <v>0</v>
      </c>
      <c r="BM210" s="9">
        <f t="shared" si="96"/>
        <v>559.05999999999995</v>
      </c>
      <c r="BN210" s="9">
        <f t="shared" si="97"/>
        <v>439.26</v>
      </c>
      <c r="BO210" s="9">
        <f t="shared" si="98"/>
        <v>3154.71</v>
      </c>
      <c r="BP210" s="9">
        <f t="shared" si="99"/>
        <v>1357.72</v>
      </c>
      <c r="BQ210" s="9">
        <f t="shared" si="100"/>
        <v>279.52999999999997</v>
      </c>
      <c r="BR210" s="9">
        <f t="shared" si="101"/>
        <v>14016.48</v>
      </c>
      <c r="BS210" s="9">
        <f t="shared" si="102"/>
        <v>519.13</v>
      </c>
      <c r="BT210" s="9">
        <f t="shared" si="103"/>
        <v>7068.14</v>
      </c>
      <c r="BU210" s="9">
        <f t="shared" si="104"/>
        <v>7906.73</v>
      </c>
      <c r="BV210" s="17">
        <f t="shared" si="105"/>
        <v>80385.13</v>
      </c>
      <c r="BW210" s="17">
        <v>0.64</v>
      </c>
      <c r="BX210" s="17">
        <v>0.06</v>
      </c>
      <c r="BY210" s="17">
        <v>0.32</v>
      </c>
      <c r="BZ210" s="17">
        <v>0.06</v>
      </c>
      <c r="CA210" s="29">
        <v>6.33</v>
      </c>
      <c r="CB210" s="325"/>
      <c r="CC210" s="13">
        <v>0</v>
      </c>
      <c r="CD210" s="13">
        <v>0</v>
      </c>
      <c r="CE210" s="13">
        <v>0</v>
      </c>
      <c r="CF210" s="13">
        <v>0</v>
      </c>
      <c r="CG210" s="13">
        <v>0</v>
      </c>
      <c r="CH210" s="13">
        <v>0</v>
      </c>
      <c r="CI210" s="13">
        <v>816.24</v>
      </c>
      <c r="CJ210" s="13">
        <v>33780</v>
      </c>
      <c r="CK210" s="13">
        <v>1535.78</v>
      </c>
      <c r="CL210" s="13">
        <v>963983.93</v>
      </c>
      <c r="CM210" s="13">
        <v>91922.1</v>
      </c>
      <c r="CN210" s="13">
        <v>0</v>
      </c>
      <c r="CO210" s="13">
        <v>28268.11</v>
      </c>
      <c r="CP210" s="13">
        <v>16428.38</v>
      </c>
      <c r="CQ210" s="13">
        <v>0</v>
      </c>
      <c r="CR210" s="13">
        <v>893446.3</v>
      </c>
      <c r="CS210" s="13">
        <v>75910.14</v>
      </c>
      <c r="CT210" s="13">
        <v>3949.63</v>
      </c>
      <c r="CU210" s="13">
        <v>28802.62</v>
      </c>
      <c r="CV210" s="13">
        <v>16883</v>
      </c>
      <c r="CW210" s="13">
        <v>0</v>
      </c>
      <c r="CX210" s="13">
        <v>157562.75</v>
      </c>
      <c r="CY210" s="13">
        <v>20823.95</v>
      </c>
      <c r="CZ210" s="13">
        <v>-4582.32</v>
      </c>
      <c r="DA210" s="13">
        <v>4959.46</v>
      </c>
      <c r="DB210" s="13">
        <v>2869.62</v>
      </c>
      <c r="DC210" s="13"/>
      <c r="DD210" s="315">
        <v>1100602.52</v>
      </c>
      <c r="DE210" s="317">
        <v>1018991.69</v>
      </c>
      <c r="DF210" s="317">
        <v>92.58</v>
      </c>
      <c r="DG210" s="318">
        <v>181633.46</v>
      </c>
      <c r="DH210" s="310">
        <v>41959.32</v>
      </c>
      <c r="DI210" s="310">
        <v>23997</v>
      </c>
      <c r="DJ210" s="312">
        <v>0</v>
      </c>
      <c r="DK210" s="362">
        <v>0</v>
      </c>
      <c r="DL210" s="362"/>
      <c r="DM210" s="362">
        <v>0</v>
      </c>
      <c r="DN210" s="362">
        <v>0</v>
      </c>
      <c r="DO210" s="362">
        <v>0</v>
      </c>
      <c r="DP210" s="362">
        <v>0</v>
      </c>
      <c r="DQ210" s="362">
        <v>0</v>
      </c>
      <c r="DR210" s="362"/>
      <c r="DS210" s="362">
        <v>0</v>
      </c>
      <c r="DT210" s="362"/>
      <c r="DU210" s="362">
        <v>0</v>
      </c>
      <c r="DV210" s="362">
        <v>0</v>
      </c>
      <c r="DW210" s="362">
        <v>0</v>
      </c>
      <c r="DX210" s="362">
        <v>0</v>
      </c>
      <c r="DY210" s="362">
        <v>0</v>
      </c>
      <c r="DZ210" s="375">
        <v>0</v>
      </c>
      <c r="EA210" s="362">
        <v>308016</v>
      </c>
      <c r="EB210" s="362">
        <v>9775</v>
      </c>
      <c r="EC210" s="362"/>
      <c r="ED210" s="362">
        <v>0</v>
      </c>
      <c r="EE210" s="362">
        <v>0</v>
      </c>
      <c r="EF210" s="362"/>
      <c r="EG210" s="362">
        <v>15372</v>
      </c>
      <c r="EH210" s="362">
        <v>80185</v>
      </c>
      <c r="EI210" s="362"/>
      <c r="EJ210" s="362">
        <v>27360</v>
      </c>
      <c r="EK210" s="362"/>
      <c r="EL210" s="362">
        <v>0</v>
      </c>
      <c r="EM210" s="362">
        <v>5032.05</v>
      </c>
      <c r="EN210" s="362">
        <v>0</v>
      </c>
      <c r="EO210" s="362">
        <v>0</v>
      </c>
      <c r="EP210" s="362">
        <v>250362</v>
      </c>
      <c r="EQ210" s="362">
        <v>0</v>
      </c>
      <c r="ER210" s="362">
        <v>16380</v>
      </c>
      <c r="ES210" s="362">
        <v>6347</v>
      </c>
      <c r="ET210" s="362">
        <v>14628</v>
      </c>
      <c r="EU210" s="362">
        <v>0</v>
      </c>
      <c r="EV210" s="362">
        <v>14243</v>
      </c>
      <c r="EW210" s="362"/>
      <c r="EX210" s="202"/>
      <c r="EY210" s="202"/>
      <c r="EZ210" s="229"/>
      <c r="FA210" s="368">
        <v>98793.15</v>
      </c>
      <c r="FB210" s="368">
        <v>0</v>
      </c>
      <c r="FC210" s="368">
        <v>0</v>
      </c>
      <c r="FD210" s="368">
        <v>0</v>
      </c>
      <c r="FE210" s="368">
        <v>21065.34</v>
      </c>
      <c r="FF210" s="368">
        <v>12719.35</v>
      </c>
      <c r="FG210" s="368">
        <v>-132.1</v>
      </c>
      <c r="FH210" s="368">
        <v>-1127.24</v>
      </c>
      <c r="FI210" s="368">
        <v>-2800.36</v>
      </c>
      <c r="FJ210" s="368">
        <v>0</v>
      </c>
      <c r="FK210" s="368">
        <v>14509.3</v>
      </c>
      <c r="FL210" s="368">
        <v>0</v>
      </c>
      <c r="FM210" s="368">
        <v>106761.14</v>
      </c>
      <c r="FN210" s="368">
        <v>67883.679999999993</v>
      </c>
      <c r="FO210" s="323">
        <v>988301.19</v>
      </c>
      <c r="FP210" s="323">
        <v>143027.44</v>
      </c>
      <c r="FQ210" s="323">
        <v>1131328.6299999999</v>
      </c>
      <c r="FR210" s="362">
        <v>81181.7</v>
      </c>
      <c r="FS210" s="362">
        <v>14044.86</v>
      </c>
      <c r="FT210" s="377">
        <v>95226.559999999998</v>
      </c>
      <c r="FU210" s="377">
        <v>998580.17</v>
      </c>
      <c r="FV210" s="377">
        <v>138154.37</v>
      </c>
      <c r="FW210" s="362">
        <v>1136734.54</v>
      </c>
      <c r="FX210" s="362">
        <v>922199.12</v>
      </c>
      <c r="FY210" s="362">
        <v>128128.52</v>
      </c>
      <c r="FZ210" s="362">
        <v>1050327.6399999999</v>
      </c>
      <c r="GA210" s="362">
        <v>157562.75</v>
      </c>
      <c r="GB210" s="362">
        <v>24070.71</v>
      </c>
      <c r="GC210" s="362">
        <v>181633.46</v>
      </c>
      <c r="GD210" s="362">
        <v>-98840.45</v>
      </c>
      <c r="GE210" s="362">
        <v>-13963.36</v>
      </c>
      <c r="GF210" s="362">
        <v>-112803.81</v>
      </c>
      <c r="GG210" s="202"/>
      <c r="GH210" s="416"/>
      <c r="GI210" s="414">
        <v>2963</v>
      </c>
      <c r="GJ210" s="419">
        <v>0</v>
      </c>
      <c r="GK210" s="396"/>
      <c r="GL210" s="202">
        <v>0</v>
      </c>
      <c r="GM210" s="202">
        <v>0</v>
      </c>
      <c r="GN210" s="323">
        <v>10278.98</v>
      </c>
      <c r="GO210" s="323">
        <v>-4873.07</v>
      </c>
      <c r="GP210" s="323">
        <v>5405.91</v>
      </c>
      <c r="GQ210" s="323">
        <v>-88561.47</v>
      </c>
      <c r="GR210" s="323">
        <v>-18836.43</v>
      </c>
      <c r="GS210" s="323">
        <v>-107397.9</v>
      </c>
    </row>
    <row r="211" spans="1:201" ht="12.75" customHeight="1" x14ac:dyDescent="0.2">
      <c r="A211" s="45" t="s">
        <v>302</v>
      </c>
      <c r="B211" s="113" t="s">
        <v>221</v>
      </c>
      <c r="C211" s="114" t="s">
        <v>735</v>
      </c>
      <c r="D211" s="388" t="s">
        <v>654</v>
      </c>
      <c r="E211" s="114"/>
      <c r="F211" s="11">
        <v>5</v>
      </c>
      <c r="G211" s="11">
        <v>6</v>
      </c>
      <c r="H211" s="11">
        <v>120</v>
      </c>
      <c r="I211" s="11">
        <v>121</v>
      </c>
      <c r="J211" s="11">
        <v>237</v>
      </c>
      <c r="K211" s="11">
        <v>308</v>
      </c>
      <c r="L211" s="11" t="s">
        <v>746</v>
      </c>
      <c r="M211" s="84">
        <v>455</v>
      </c>
      <c r="N211" s="84">
        <v>1505</v>
      </c>
      <c r="O211" s="84">
        <v>0</v>
      </c>
      <c r="P211" s="139">
        <v>451.5</v>
      </c>
      <c r="Q211" s="135">
        <v>920.6</v>
      </c>
      <c r="R211" s="133">
        <v>0</v>
      </c>
      <c r="S211" s="133">
        <f t="shared" si="106"/>
        <v>1372.1</v>
      </c>
      <c r="T211" s="139">
        <v>455</v>
      </c>
      <c r="U211" s="130">
        <v>1.53</v>
      </c>
      <c r="V211" s="131">
        <v>1.9800000000000002E-2</v>
      </c>
      <c r="W211" s="131">
        <v>1.9800000000000002E-2</v>
      </c>
      <c r="X211" s="132">
        <v>1.2199999999999999E-3</v>
      </c>
      <c r="Y211" s="131">
        <v>3.95E-2</v>
      </c>
      <c r="Z211" s="29">
        <v>5419.57</v>
      </c>
      <c r="AA211" s="29">
        <v>353</v>
      </c>
      <c r="AB211" s="9">
        <f t="shared" si="84"/>
        <v>5772.57</v>
      </c>
      <c r="AC211" s="9">
        <f t="shared" si="82"/>
        <v>36540.370000000003</v>
      </c>
      <c r="AD211" s="9">
        <v>0.39</v>
      </c>
      <c r="AE211" s="9">
        <v>4.04</v>
      </c>
      <c r="AF211" s="21">
        <f>2.42-AJ211</f>
        <v>2.17</v>
      </c>
      <c r="AG211" s="18">
        <f>0.53-AQ211</f>
        <v>0.43</v>
      </c>
      <c r="AH211" s="9">
        <v>2.78</v>
      </c>
      <c r="AI211" s="43">
        <v>1444</v>
      </c>
      <c r="AJ211" s="21">
        <f t="shared" si="87"/>
        <v>0.25</v>
      </c>
      <c r="AK211" s="9">
        <v>0</v>
      </c>
      <c r="AL211" s="9">
        <v>0</v>
      </c>
      <c r="AM211" s="9">
        <v>0.1</v>
      </c>
      <c r="AN211" s="13"/>
      <c r="AO211" s="13">
        <v>1260</v>
      </c>
      <c r="AP211" s="13">
        <f t="shared" si="107"/>
        <v>5.58</v>
      </c>
      <c r="AQ211" s="18">
        <f t="shared" si="83"/>
        <v>0.1</v>
      </c>
      <c r="AR211" s="9">
        <v>0.72</v>
      </c>
      <c r="AS211" s="9">
        <v>0.71</v>
      </c>
      <c r="AT211" s="9">
        <v>7.0000000000000007E-2</v>
      </c>
      <c r="AU211" s="9">
        <v>4.54</v>
      </c>
      <c r="AV211" s="9">
        <v>0.12</v>
      </c>
      <c r="AW211" s="9">
        <f>1.05+0.3+0.4</f>
        <v>1.75</v>
      </c>
      <c r="AX211" s="9">
        <f>1.45+0.53</f>
        <v>1.98</v>
      </c>
      <c r="AY211" s="110">
        <f t="shared" si="108"/>
        <v>20.149999999999999</v>
      </c>
      <c r="AZ211" s="13">
        <v>20.149999999999999</v>
      </c>
      <c r="BA211" s="13">
        <f t="shared" si="85"/>
        <v>0</v>
      </c>
      <c r="BB211" s="9">
        <f t="shared" si="86"/>
        <v>116317.29</v>
      </c>
      <c r="BC211" s="9">
        <v>20.149999999999999</v>
      </c>
      <c r="BD211" s="10">
        <v>44440</v>
      </c>
      <c r="BE211" s="9">
        <f t="shared" si="88"/>
        <v>2251.3000000000002</v>
      </c>
      <c r="BF211" s="9">
        <f t="shared" si="89"/>
        <v>23321.18</v>
      </c>
      <c r="BG211" s="9">
        <f t="shared" si="90"/>
        <v>12526.48</v>
      </c>
      <c r="BH211" s="9">
        <f t="shared" si="91"/>
        <v>2482.21</v>
      </c>
      <c r="BI211" s="9">
        <f t="shared" si="92"/>
        <v>16047.74</v>
      </c>
      <c r="BJ211" s="9">
        <f t="shared" si="93"/>
        <v>1443.14</v>
      </c>
      <c r="BK211" s="9">
        <f t="shared" si="94"/>
        <v>0</v>
      </c>
      <c r="BL211" s="9">
        <f t="shared" si="95"/>
        <v>0</v>
      </c>
      <c r="BM211" s="9">
        <f t="shared" si="96"/>
        <v>577.26</v>
      </c>
      <c r="BN211" s="9">
        <f t="shared" si="97"/>
        <v>577.26</v>
      </c>
      <c r="BO211" s="9">
        <f t="shared" si="98"/>
        <v>4156.25</v>
      </c>
      <c r="BP211" s="9">
        <f t="shared" si="99"/>
        <v>4098.5200000000004</v>
      </c>
      <c r="BQ211" s="9">
        <f t="shared" si="100"/>
        <v>404.08</v>
      </c>
      <c r="BR211" s="9">
        <f t="shared" si="101"/>
        <v>26207.47</v>
      </c>
      <c r="BS211" s="9">
        <f t="shared" si="102"/>
        <v>692.71</v>
      </c>
      <c r="BT211" s="9">
        <f t="shared" si="103"/>
        <v>10102</v>
      </c>
      <c r="BU211" s="9">
        <f t="shared" si="104"/>
        <v>11429.69</v>
      </c>
      <c r="BV211" s="17">
        <f t="shared" si="105"/>
        <v>116317.29</v>
      </c>
      <c r="BW211" s="17">
        <v>1.72</v>
      </c>
      <c r="BX211" s="17">
        <v>0.04</v>
      </c>
      <c r="BY211" s="17">
        <v>0.26</v>
      </c>
      <c r="BZ211" s="17">
        <v>0.05</v>
      </c>
      <c r="CA211" s="29">
        <v>6.33</v>
      </c>
      <c r="CB211" s="325"/>
      <c r="CC211" s="13">
        <v>85355.4</v>
      </c>
      <c r="CD211" s="13">
        <v>1782.67</v>
      </c>
      <c r="CE211" s="13">
        <v>4288.91</v>
      </c>
      <c r="CF211" s="13">
        <v>1821.53</v>
      </c>
      <c r="CG211" s="13">
        <v>137.61000000000001</v>
      </c>
      <c r="CH211" s="13">
        <v>0</v>
      </c>
      <c r="CI211" s="13">
        <v>3529.76</v>
      </c>
      <c r="CJ211" s="13">
        <v>45972</v>
      </c>
      <c r="CK211" s="13">
        <v>2220.0700000000002</v>
      </c>
      <c r="CL211" s="13">
        <v>1310455.08</v>
      </c>
      <c r="CM211" s="13">
        <v>27382.05</v>
      </c>
      <c r="CN211" s="13">
        <v>92570.16</v>
      </c>
      <c r="CO211" s="13">
        <v>1289.51</v>
      </c>
      <c r="CP211" s="13">
        <v>2114.4299999999998</v>
      </c>
      <c r="CQ211" s="13">
        <v>0</v>
      </c>
      <c r="CR211" s="13">
        <v>1203432.8700000001</v>
      </c>
      <c r="CS211" s="13">
        <v>21949.38</v>
      </c>
      <c r="CT211" s="13">
        <v>65435.26</v>
      </c>
      <c r="CU211" s="13">
        <v>9168.67</v>
      </c>
      <c r="CV211" s="13">
        <v>5444.8</v>
      </c>
      <c r="CW211" s="13">
        <v>0</v>
      </c>
      <c r="CX211" s="13">
        <v>235744.42</v>
      </c>
      <c r="CY211" s="13">
        <v>5105.42</v>
      </c>
      <c r="CZ211" s="13">
        <v>39263.910000000003</v>
      </c>
      <c r="DA211" s="13">
        <v>756.43</v>
      </c>
      <c r="DB211" s="13">
        <v>511.02</v>
      </c>
      <c r="DC211" s="13"/>
      <c r="DD211" s="315">
        <v>1433811.23</v>
      </c>
      <c r="DE211" s="317">
        <v>1305430.98</v>
      </c>
      <c r="DF211" s="317">
        <v>91.05</v>
      </c>
      <c r="DG211" s="318">
        <v>281381.2</v>
      </c>
      <c r="DH211" s="310">
        <v>56945.760000000002</v>
      </c>
      <c r="DI211" s="310">
        <v>32567.88</v>
      </c>
      <c r="DJ211" s="312">
        <v>0</v>
      </c>
      <c r="DK211" s="362">
        <v>0</v>
      </c>
      <c r="DL211" s="362"/>
      <c r="DM211" s="362">
        <v>0</v>
      </c>
      <c r="DN211" s="362">
        <v>0</v>
      </c>
      <c r="DO211" s="362">
        <v>0</v>
      </c>
      <c r="DP211" s="362">
        <v>0</v>
      </c>
      <c r="DQ211" s="362">
        <v>0</v>
      </c>
      <c r="DR211" s="362"/>
      <c r="DS211" s="362">
        <v>0</v>
      </c>
      <c r="DT211" s="362"/>
      <c r="DU211" s="362">
        <v>0</v>
      </c>
      <c r="DV211" s="362">
        <v>0</v>
      </c>
      <c r="DW211" s="362">
        <v>0</v>
      </c>
      <c r="DX211" s="362">
        <v>0</v>
      </c>
      <c r="DY211" s="362">
        <v>0</v>
      </c>
      <c r="DZ211" s="375">
        <v>0</v>
      </c>
      <c r="EA211" s="362">
        <v>356490</v>
      </c>
      <c r="EB211" s="362">
        <v>9775</v>
      </c>
      <c r="EC211" s="362"/>
      <c r="ED211" s="362">
        <v>0</v>
      </c>
      <c r="EE211" s="362">
        <v>0</v>
      </c>
      <c r="EF211" s="362"/>
      <c r="EG211" s="362">
        <v>22980</v>
      </c>
      <c r="EH211" s="362">
        <v>88375</v>
      </c>
      <c r="EI211" s="362"/>
      <c r="EJ211" s="362">
        <v>33000</v>
      </c>
      <c r="EK211" s="362"/>
      <c r="EL211" s="362">
        <v>0</v>
      </c>
      <c r="EM211" s="362">
        <v>7030.8</v>
      </c>
      <c r="EN211" s="362">
        <v>0</v>
      </c>
      <c r="EO211" s="362">
        <v>0</v>
      </c>
      <c r="EP211" s="362">
        <v>357594</v>
      </c>
      <c r="EQ211" s="362">
        <v>0</v>
      </c>
      <c r="ER211" s="362">
        <v>40950</v>
      </c>
      <c r="ES211" s="362">
        <v>0</v>
      </c>
      <c r="ET211" s="362">
        <v>19398</v>
      </c>
      <c r="EU211" s="362">
        <v>0</v>
      </c>
      <c r="EV211" s="362">
        <v>187783.34</v>
      </c>
      <c r="EW211" s="362"/>
      <c r="EX211" s="202"/>
      <c r="EY211" s="202"/>
      <c r="EZ211" s="229"/>
      <c r="FA211" s="368">
        <v>33958.85</v>
      </c>
      <c r="FB211" s="368">
        <v>144525.16</v>
      </c>
      <c r="FC211" s="368">
        <v>0</v>
      </c>
      <c r="FD211" s="368">
        <v>0</v>
      </c>
      <c r="FE211" s="368">
        <v>4258.25</v>
      </c>
      <c r="FF211" s="368">
        <v>3228.96</v>
      </c>
      <c r="FG211" s="368">
        <v>-1540.37</v>
      </c>
      <c r="FH211" s="368">
        <v>-2283.35</v>
      </c>
      <c r="FI211" s="368">
        <v>-5693.13</v>
      </c>
      <c r="FJ211" s="368">
        <v>0</v>
      </c>
      <c r="FK211" s="368">
        <v>54335.93</v>
      </c>
      <c r="FL211" s="368">
        <v>0</v>
      </c>
      <c r="FM211" s="368">
        <v>154329.99</v>
      </c>
      <c r="FN211" s="368">
        <v>98130.21</v>
      </c>
      <c r="FO211" s="323">
        <v>1465349.98</v>
      </c>
      <c r="FP211" s="323">
        <v>230790.3</v>
      </c>
      <c r="FQ211" s="323">
        <v>1696140.28</v>
      </c>
      <c r="FR211" s="362">
        <v>151947.69</v>
      </c>
      <c r="FS211" s="362">
        <v>9105.42</v>
      </c>
      <c r="FT211" s="377">
        <v>161053.10999999999</v>
      </c>
      <c r="FU211" s="377">
        <v>1445312.24</v>
      </c>
      <c r="FV211" s="377">
        <v>133606.94</v>
      </c>
      <c r="FW211" s="362">
        <v>1578919.18</v>
      </c>
      <c r="FX211" s="362">
        <v>1335850.21</v>
      </c>
      <c r="FY211" s="362">
        <v>94537.25</v>
      </c>
      <c r="FZ211" s="362">
        <v>1430387.46</v>
      </c>
      <c r="GA211" s="362">
        <v>261409.72</v>
      </c>
      <c r="GB211" s="362">
        <v>48175.11</v>
      </c>
      <c r="GC211" s="362">
        <v>309584.83</v>
      </c>
      <c r="GD211" s="362">
        <v>92143.7</v>
      </c>
      <c r="GE211" s="362">
        <v>12778.69</v>
      </c>
      <c r="GF211" s="362">
        <v>104922.39</v>
      </c>
      <c r="GG211" s="202">
        <v>28203.63</v>
      </c>
      <c r="GH211" s="416">
        <v>91</v>
      </c>
      <c r="GI211" s="414">
        <v>4995</v>
      </c>
      <c r="GJ211" s="419">
        <v>93386.12</v>
      </c>
      <c r="GK211" s="396">
        <v>28203.63</v>
      </c>
      <c r="GL211" s="202">
        <v>25665.3033</v>
      </c>
      <c r="GM211" s="202">
        <v>2538.3267000000001</v>
      </c>
      <c r="GN211" s="323">
        <v>-20037.740000000002</v>
      </c>
      <c r="GO211" s="323">
        <v>-97183.360000000001</v>
      </c>
      <c r="GP211" s="323">
        <v>-117221.1</v>
      </c>
      <c r="GQ211" s="323">
        <v>72105.960000000006</v>
      </c>
      <c r="GR211" s="323">
        <v>-84404.67</v>
      </c>
      <c r="GS211" s="323">
        <v>-12298.71</v>
      </c>
    </row>
    <row r="212" spans="1:201" x14ac:dyDescent="0.2">
      <c r="A212" s="45" t="s">
        <v>303</v>
      </c>
      <c r="B212" s="78" t="s">
        <v>221</v>
      </c>
      <c r="C212" s="79" t="s">
        <v>267</v>
      </c>
      <c r="D212" s="388" t="s">
        <v>495</v>
      </c>
      <c r="E212" s="79" t="s">
        <v>12</v>
      </c>
      <c r="F212" s="11">
        <v>9</v>
      </c>
      <c r="G212" s="11">
        <v>1</v>
      </c>
      <c r="H212" s="11">
        <v>54</v>
      </c>
      <c r="I212" s="11">
        <v>52</v>
      </c>
      <c r="J212" s="11">
        <v>108</v>
      </c>
      <c r="K212" s="11">
        <v>119</v>
      </c>
      <c r="L212" s="11">
        <v>1</v>
      </c>
      <c r="M212" s="84">
        <v>266</v>
      </c>
      <c r="N212" s="84">
        <v>369</v>
      </c>
      <c r="O212" s="84">
        <v>369</v>
      </c>
      <c r="P212" s="139">
        <v>266</v>
      </c>
      <c r="Q212" s="139">
        <v>369</v>
      </c>
      <c r="R212" s="133">
        <v>382.8</v>
      </c>
      <c r="S212" s="133">
        <f t="shared" si="106"/>
        <v>1017.8</v>
      </c>
      <c r="T212" s="139">
        <v>266</v>
      </c>
      <c r="U212" s="130">
        <v>2.44</v>
      </c>
      <c r="V212" s="91">
        <v>1.9800000000000002E-2</v>
      </c>
      <c r="W212" s="91">
        <v>1.9800000000000002E-2</v>
      </c>
      <c r="X212" s="132">
        <v>1.32E-3</v>
      </c>
      <c r="Y212" s="91">
        <v>3.9699999999999999E-2</v>
      </c>
      <c r="Z212" s="29">
        <v>2144.6999999999998</v>
      </c>
      <c r="AA212" s="29">
        <v>119.7</v>
      </c>
      <c r="AB212" s="9">
        <f t="shared" si="84"/>
        <v>2264.4</v>
      </c>
      <c r="AC212" s="9">
        <f t="shared" si="82"/>
        <v>14333.65</v>
      </c>
      <c r="AD212" s="9">
        <v>1.57</v>
      </c>
      <c r="AE212" s="9">
        <v>3.69</v>
      </c>
      <c r="AF212" s="21">
        <f>2.4-AJ212</f>
        <v>2.2400000000000002</v>
      </c>
      <c r="AG212" s="18">
        <f>0.61-AQ212</f>
        <v>0.55000000000000004</v>
      </c>
      <c r="AH212" s="9">
        <v>2.77</v>
      </c>
      <c r="AI212" s="43">
        <v>354</v>
      </c>
      <c r="AJ212" s="21">
        <f t="shared" si="87"/>
        <v>0.16</v>
      </c>
      <c r="AK212" s="9">
        <v>1.91</v>
      </c>
      <c r="AL212" s="9">
        <v>0.17</v>
      </c>
      <c r="AM212" s="9">
        <v>0.42</v>
      </c>
      <c r="AN212" s="13"/>
      <c r="AO212" s="13">
        <v>305.89999999999998</v>
      </c>
      <c r="AP212" s="13">
        <f t="shared" si="107"/>
        <v>5.58</v>
      </c>
      <c r="AQ212" s="18">
        <f t="shared" si="83"/>
        <v>0.06</v>
      </c>
      <c r="AR212" s="9">
        <v>0.73</v>
      </c>
      <c r="AS212" s="9">
        <v>0.61</v>
      </c>
      <c r="AT212" s="9">
        <v>7.0000000000000007E-2</v>
      </c>
      <c r="AU212" s="9">
        <v>5.03</v>
      </c>
      <c r="AV212" s="9">
        <v>0.16</v>
      </c>
      <c r="AW212" s="9">
        <f>1.34+0.34+0.44</f>
        <v>2.12</v>
      </c>
      <c r="AX212" s="9">
        <f>1.92+0.59</f>
        <v>2.5099999999999998</v>
      </c>
      <c r="AY212" s="81">
        <f t="shared" si="108"/>
        <v>24.77</v>
      </c>
      <c r="AZ212" s="13">
        <v>24.77</v>
      </c>
      <c r="BA212" s="13">
        <f t="shared" si="85"/>
        <v>0</v>
      </c>
      <c r="BB212" s="9">
        <f t="shared" si="86"/>
        <v>56089.19</v>
      </c>
      <c r="BC212" s="9">
        <v>24.77</v>
      </c>
      <c r="BD212" s="10">
        <v>44409</v>
      </c>
      <c r="BE212" s="9">
        <f t="shared" si="88"/>
        <v>3555.11</v>
      </c>
      <c r="BF212" s="9">
        <f t="shared" si="89"/>
        <v>8355.64</v>
      </c>
      <c r="BG212" s="9">
        <f t="shared" si="90"/>
        <v>5072.26</v>
      </c>
      <c r="BH212" s="9">
        <f t="shared" si="91"/>
        <v>1245.42</v>
      </c>
      <c r="BI212" s="9">
        <f t="shared" si="92"/>
        <v>6272.39</v>
      </c>
      <c r="BJ212" s="9">
        <f t="shared" si="93"/>
        <v>362.3</v>
      </c>
      <c r="BK212" s="9">
        <f t="shared" si="94"/>
        <v>4325</v>
      </c>
      <c r="BL212" s="9">
        <f t="shared" si="95"/>
        <v>384.95</v>
      </c>
      <c r="BM212" s="9">
        <f t="shared" si="96"/>
        <v>951.05</v>
      </c>
      <c r="BN212" s="9">
        <f t="shared" si="97"/>
        <v>135.86000000000001</v>
      </c>
      <c r="BO212" s="9">
        <f t="shared" si="98"/>
        <v>1653.01</v>
      </c>
      <c r="BP212" s="9">
        <f t="shared" si="99"/>
        <v>1381.28</v>
      </c>
      <c r="BQ212" s="9">
        <f t="shared" si="100"/>
        <v>158.51</v>
      </c>
      <c r="BR212" s="9">
        <f t="shared" si="101"/>
        <v>11389.93</v>
      </c>
      <c r="BS212" s="9">
        <f t="shared" si="102"/>
        <v>362.3</v>
      </c>
      <c r="BT212" s="9">
        <f t="shared" si="103"/>
        <v>4800.53</v>
      </c>
      <c r="BU212" s="9">
        <f t="shared" si="104"/>
        <v>5683.64</v>
      </c>
      <c r="BV212" s="17">
        <f t="shared" si="105"/>
        <v>56089.18</v>
      </c>
      <c r="BW212" s="17">
        <v>3.98</v>
      </c>
      <c r="BX212" s="17">
        <v>7.0000000000000007E-2</v>
      </c>
      <c r="BY212" s="17">
        <v>0.46</v>
      </c>
      <c r="BZ212" s="17">
        <v>0.08</v>
      </c>
      <c r="CA212" s="29">
        <v>6.33</v>
      </c>
      <c r="CB212" s="325"/>
      <c r="CC212" s="13">
        <v>36817.51</v>
      </c>
      <c r="CD212" s="13">
        <v>1204.3699999999999</v>
      </c>
      <c r="CE212" s="13">
        <v>36.85</v>
      </c>
      <c r="CF212" s="13">
        <v>93.61</v>
      </c>
      <c r="CG212" s="13">
        <v>93.67</v>
      </c>
      <c r="CH212" s="13">
        <v>0</v>
      </c>
      <c r="CI212" s="13">
        <v>3035.77</v>
      </c>
      <c r="CJ212" s="13">
        <v>29484</v>
      </c>
      <c r="CK212" s="13">
        <v>870.57</v>
      </c>
      <c r="CL212" s="13">
        <v>636669.04</v>
      </c>
      <c r="CM212" s="13">
        <v>16771.259999999998</v>
      </c>
      <c r="CN212" s="13">
        <v>0.36</v>
      </c>
      <c r="CO212" s="13">
        <v>1200.83</v>
      </c>
      <c r="CP212" s="13">
        <v>1650.91</v>
      </c>
      <c r="CQ212" s="13">
        <v>0</v>
      </c>
      <c r="CR212" s="13">
        <v>587844.27</v>
      </c>
      <c r="CS212" s="13">
        <v>19048.419999999998</v>
      </c>
      <c r="CT212" s="13">
        <v>579.13</v>
      </c>
      <c r="CU212" s="13">
        <v>1729.25</v>
      </c>
      <c r="CV212" s="13">
        <v>1474.16</v>
      </c>
      <c r="CW212" s="13">
        <v>0</v>
      </c>
      <c r="CX212" s="13">
        <v>84714.18</v>
      </c>
      <c r="CY212" s="13">
        <v>-5019.6400000000003</v>
      </c>
      <c r="CZ212" s="13">
        <v>-1153.9100000000001</v>
      </c>
      <c r="DA212" s="13">
        <v>210.6</v>
      </c>
      <c r="DB212" s="13">
        <v>165.56</v>
      </c>
      <c r="DC212" s="13"/>
      <c r="DD212" s="315">
        <v>656292.4</v>
      </c>
      <c r="DE212" s="317">
        <v>610675.23</v>
      </c>
      <c r="DF212" s="317">
        <v>93.05</v>
      </c>
      <c r="DG212" s="318">
        <v>78916.789999999994</v>
      </c>
      <c r="DH212" s="310">
        <v>22526.880000000001</v>
      </c>
      <c r="DI212" s="310">
        <v>12883.32</v>
      </c>
      <c r="DJ212" s="312">
        <v>0</v>
      </c>
      <c r="DK212" s="362">
        <v>0</v>
      </c>
      <c r="DL212" s="362"/>
      <c r="DM212" s="362">
        <v>0</v>
      </c>
      <c r="DN212" s="362">
        <v>0</v>
      </c>
      <c r="DO212" s="362">
        <v>0</v>
      </c>
      <c r="DP212" s="362">
        <v>0</v>
      </c>
      <c r="DQ212" s="362">
        <v>0</v>
      </c>
      <c r="DR212" s="362"/>
      <c r="DS212" s="362">
        <v>0</v>
      </c>
      <c r="DT212" s="362"/>
      <c r="DU212" s="362">
        <v>0</v>
      </c>
      <c r="DV212" s="362">
        <v>0</v>
      </c>
      <c r="DW212" s="362">
        <v>51045.16</v>
      </c>
      <c r="DX212" s="362">
        <v>0</v>
      </c>
      <c r="DY212" s="362">
        <v>4500</v>
      </c>
      <c r="DZ212" s="375">
        <v>0</v>
      </c>
      <c r="EA212" s="362">
        <v>164148</v>
      </c>
      <c r="EB212" s="362">
        <v>7939</v>
      </c>
      <c r="EC212" s="362"/>
      <c r="ED212" s="362">
        <v>0</v>
      </c>
      <c r="EE212" s="362">
        <v>0</v>
      </c>
      <c r="EF212" s="362"/>
      <c r="EG212" s="362">
        <v>5634</v>
      </c>
      <c r="EH212" s="362">
        <v>0</v>
      </c>
      <c r="EI212" s="362"/>
      <c r="EJ212" s="362">
        <v>0</v>
      </c>
      <c r="EK212" s="362"/>
      <c r="EL212" s="362">
        <v>0</v>
      </c>
      <c r="EM212" s="362">
        <v>1706.91</v>
      </c>
      <c r="EN212" s="362">
        <v>0</v>
      </c>
      <c r="EO212" s="362">
        <v>0</v>
      </c>
      <c r="EP212" s="362">
        <v>139524</v>
      </c>
      <c r="EQ212" s="362">
        <v>0</v>
      </c>
      <c r="ER212" s="362">
        <v>15015</v>
      </c>
      <c r="ES212" s="362">
        <v>1884</v>
      </c>
      <c r="ET212" s="362">
        <v>6635</v>
      </c>
      <c r="EU212" s="362">
        <v>0</v>
      </c>
      <c r="EV212" s="362">
        <v>59979.77</v>
      </c>
      <c r="EW212" s="362"/>
      <c r="EX212" s="202"/>
      <c r="EY212" s="202"/>
      <c r="EZ212" s="229"/>
      <c r="FA212" s="368">
        <v>17274.080000000002</v>
      </c>
      <c r="FB212" s="368">
        <v>0</v>
      </c>
      <c r="FC212" s="368">
        <v>0</v>
      </c>
      <c r="FD212" s="368">
        <v>0</v>
      </c>
      <c r="FE212" s="368">
        <v>2119.0100000000002</v>
      </c>
      <c r="FF212" s="368">
        <v>1771.13</v>
      </c>
      <c r="FG212" s="368">
        <v>0</v>
      </c>
      <c r="FH212" s="368">
        <v>-579.14</v>
      </c>
      <c r="FI212" s="368">
        <v>0</v>
      </c>
      <c r="FJ212" s="368">
        <v>0</v>
      </c>
      <c r="FK212" s="368">
        <v>285.14999999999998</v>
      </c>
      <c r="FL212" s="368">
        <v>0</v>
      </c>
      <c r="FM212" s="368">
        <v>60527.95</v>
      </c>
      <c r="FN212" s="368">
        <v>38486.379999999997</v>
      </c>
      <c r="FO212" s="323">
        <v>592435.37</v>
      </c>
      <c r="FP212" s="323">
        <v>20870.23</v>
      </c>
      <c r="FQ212" s="323">
        <v>613305.59999999998</v>
      </c>
      <c r="FR212" s="362">
        <v>51644.05</v>
      </c>
      <c r="FS212" s="362">
        <v>-2553.02</v>
      </c>
      <c r="FT212" s="377">
        <v>49091.03</v>
      </c>
      <c r="FU212" s="377">
        <v>706006.32</v>
      </c>
      <c r="FV212" s="377">
        <v>21922.43</v>
      </c>
      <c r="FW212" s="362">
        <v>727928.75</v>
      </c>
      <c r="FX212" s="362">
        <v>649482.06999999995</v>
      </c>
      <c r="FY212" s="362">
        <v>24189.54</v>
      </c>
      <c r="FZ212" s="362">
        <v>673671.61</v>
      </c>
      <c r="GA212" s="362">
        <v>108168.3</v>
      </c>
      <c r="GB212" s="362">
        <v>-4820.13</v>
      </c>
      <c r="GC212" s="362">
        <v>103348.17</v>
      </c>
      <c r="GD212" s="362">
        <v>77084.22</v>
      </c>
      <c r="GE212" s="362">
        <v>7894.16</v>
      </c>
      <c r="GF212" s="362">
        <v>84978.38</v>
      </c>
      <c r="GG212" s="202">
        <v>24431.38</v>
      </c>
      <c r="GH212" s="416">
        <v>96</v>
      </c>
      <c r="GI212" s="414">
        <v>2455</v>
      </c>
      <c r="GJ212" s="419">
        <v>38246.01</v>
      </c>
      <c r="GK212" s="396">
        <v>24431.38</v>
      </c>
      <c r="GL212" s="202">
        <v>23454.124800000001</v>
      </c>
      <c r="GM212" s="202">
        <v>977.25519999999995</v>
      </c>
      <c r="GN212" s="323">
        <v>113570.95</v>
      </c>
      <c r="GO212" s="323">
        <v>1052.2</v>
      </c>
      <c r="GP212" s="323">
        <v>114623.15</v>
      </c>
      <c r="GQ212" s="323">
        <v>190655.17</v>
      </c>
      <c r="GR212" s="323">
        <v>8946.36</v>
      </c>
      <c r="GS212" s="323">
        <v>199601.53</v>
      </c>
    </row>
    <row r="213" spans="1:201" x14ac:dyDescent="0.2">
      <c r="A213" s="45" t="s">
        <v>304</v>
      </c>
      <c r="B213" s="60" t="s">
        <v>269</v>
      </c>
      <c r="C213" s="61" t="s">
        <v>249</v>
      </c>
      <c r="D213" s="388" t="s">
        <v>657</v>
      </c>
      <c r="E213" s="61" t="s">
        <v>12</v>
      </c>
      <c r="F213" s="11">
        <v>9</v>
      </c>
      <c r="G213" s="11">
        <v>4</v>
      </c>
      <c r="H213" s="11">
        <v>144</v>
      </c>
      <c r="I213" s="11">
        <v>144</v>
      </c>
      <c r="J213" s="11">
        <v>352</v>
      </c>
      <c r="K213" s="11">
        <v>386</v>
      </c>
      <c r="L213" s="11">
        <v>4</v>
      </c>
      <c r="M213" s="84">
        <v>503</v>
      </c>
      <c r="N213" s="84">
        <v>1164</v>
      </c>
      <c r="O213" s="84">
        <v>1164</v>
      </c>
      <c r="P213" s="139">
        <v>832.8</v>
      </c>
      <c r="Q213" s="135">
        <v>892.4</v>
      </c>
      <c r="R213" s="133">
        <v>0</v>
      </c>
      <c r="S213" s="133">
        <f t="shared" si="106"/>
        <v>1725.2</v>
      </c>
      <c r="T213" s="139">
        <v>868.4</v>
      </c>
      <c r="U213" s="130">
        <v>2.44</v>
      </c>
      <c r="V213" s="131">
        <v>1.9800000000000002E-2</v>
      </c>
      <c r="W213" s="131">
        <v>1.9800000000000002E-2</v>
      </c>
      <c r="X213" s="132">
        <v>1.32E-3</v>
      </c>
      <c r="Y213" s="131">
        <v>3.9699999999999999E-2</v>
      </c>
      <c r="Z213" s="29">
        <v>7726.7</v>
      </c>
      <c r="AA213" s="29">
        <v>256.8</v>
      </c>
      <c r="AB213" s="9">
        <f t="shared" si="84"/>
        <v>7983.5</v>
      </c>
      <c r="AC213" s="9">
        <f t="shared" si="82"/>
        <v>50535.56</v>
      </c>
      <c r="AD213" s="9">
        <v>1.45</v>
      </c>
      <c r="AE213" s="9">
        <v>4.5</v>
      </c>
      <c r="AF213" s="21">
        <f>2.38-AJ213</f>
        <v>2.2400000000000002</v>
      </c>
      <c r="AG213" s="18">
        <f>0.6-AQ213</f>
        <v>0.55000000000000004</v>
      </c>
      <c r="AH213" s="9">
        <v>2.78</v>
      </c>
      <c r="AI213" s="43">
        <v>1117</v>
      </c>
      <c r="AJ213" s="21">
        <f t="shared" si="87"/>
        <v>0.14000000000000001</v>
      </c>
      <c r="AK213" s="9">
        <v>2.16</v>
      </c>
      <c r="AL213" s="9">
        <v>0.19</v>
      </c>
      <c r="AM213" s="9">
        <v>7.0000000000000007E-2</v>
      </c>
      <c r="AN213" s="13"/>
      <c r="AO213" s="13">
        <v>892.8</v>
      </c>
      <c r="AP213" s="13">
        <f t="shared" si="107"/>
        <v>5.58</v>
      </c>
      <c r="AQ213" s="18">
        <f t="shared" si="83"/>
        <v>0.05</v>
      </c>
      <c r="AR213" s="9">
        <v>0.56000000000000005</v>
      </c>
      <c r="AS213" s="9">
        <v>0.17</v>
      </c>
      <c r="AT213" s="9">
        <v>7.0000000000000007E-2</v>
      </c>
      <c r="AU213" s="9">
        <v>4.78</v>
      </c>
      <c r="AV213" s="9">
        <v>0.16</v>
      </c>
      <c r="AW213" s="9">
        <f>1.34+0.26+0.42</f>
        <v>2.02</v>
      </c>
      <c r="AX213" s="9">
        <f>1.88+0.56</f>
        <v>2.44</v>
      </c>
      <c r="AY213" s="63">
        <f t="shared" si="108"/>
        <v>24.33</v>
      </c>
      <c r="AZ213" s="13">
        <v>24.33</v>
      </c>
      <c r="BA213" s="13">
        <f t="shared" si="85"/>
        <v>0</v>
      </c>
      <c r="BB213" s="9">
        <f t="shared" si="86"/>
        <v>194238.56</v>
      </c>
      <c r="BC213" s="9">
        <v>24.33</v>
      </c>
      <c r="BD213" s="10">
        <v>44409</v>
      </c>
      <c r="BE213" s="9">
        <f t="shared" si="88"/>
        <v>11576.08</v>
      </c>
      <c r="BF213" s="9">
        <f t="shared" si="89"/>
        <v>35925.75</v>
      </c>
      <c r="BG213" s="9">
        <f t="shared" si="90"/>
        <v>17883.04</v>
      </c>
      <c r="BH213" s="9">
        <f t="shared" si="91"/>
        <v>4390.93</v>
      </c>
      <c r="BI213" s="9">
        <f t="shared" si="92"/>
        <v>22194.13</v>
      </c>
      <c r="BJ213" s="9">
        <f t="shared" si="93"/>
        <v>1117.69</v>
      </c>
      <c r="BK213" s="9">
        <f t="shared" si="94"/>
        <v>17244.36</v>
      </c>
      <c r="BL213" s="9">
        <f t="shared" si="95"/>
        <v>1516.87</v>
      </c>
      <c r="BM213" s="9">
        <f t="shared" si="96"/>
        <v>558.85</v>
      </c>
      <c r="BN213" s="9">
        <f t="shared" si="97"/>
        <v>399.18</v>
      </c>
      <c r="BO213" s="9">
        <f t="shared" si="98"/>
        <v>4470.76</v>
      </c>
      <c r="BP213" s="9">
        <f t="shared" si="99"/>
        <v>1357.2</v>
      </c>
      <c r="BQ213" s="9">
        <f t="shared" si="100"/>
        <v>558.85</v>
      </c>
      <c r="BR213" s="9">
        <f t="shared" si="101"/>
        <v>38161.129999999997</v>
      </c>
      <c r="BS213" s="9">
        <f t="shared" si="102"/>
        <v>1277.3599999999999</v>
      </c>
      <c r="BT213" s="9">
        <f t="shared" si="103"/>
        <v>16126.67</v>
      </c>
      <c r="BU213" s="9">
        <f t="shared" si="104"/>
        <v>19479.740000000002</v>
      </c>
      <c r="BV213" s="17">
        <f t="shared" si="105"/>
        <v>194238.59</v>
      </c>
      <c r="BW213" s="17">
        <v>2.25</v>
      </c>
      <c r="BX213" s="17">
        <v>7.0000000000000007E-2</v>
      </c>
      <c r="BY213" s="17">
        <v>0.45</v>
      </c>
      <c r="BZ213" s="17">
        <v>0.08</v>
      </c>
      <c r="CA213" s="29">
        <v>6.33</v>
      </c>
      <c r="CB213" s="325"/>
      <c r="CC213" s="13">
        <v>74975.28</v>
      </c>
      <c r="CD213" s="13">
        <v>6604.89</v>
      </c>
      <c r="CE213" s="13">
        <v>6260.79</v>
      </c>
      <c r="CF213" s="13">
        <v>3179.18</v>
      </c>
      <c r="CG213" s="13">
        <v>1954.25</v>
      </c>
      <c r="CH213" s="13">
        <v>0</v>
      </c>
      <c r="CI213" s="13">
        <v>3555.49</v>
      </c>
      <c r="CJ213" s="13">
        <v>51480</v>
      </c>
      <c r="CK213" s="13">
        <v>3069.83</v>
      </c>
      <c r="CL213" s="13">
        <v>2255559.2999999998</v>
      </c>
      <c r="CM213" s="13">
        <v>198697.60000000001</v>
      </c>
      <c r="CN213" s="13">
        <v>179135.29</v>
      </c>
      <c r="CO213" s="13">
        <v>104837.75999999999</v>
      </c>
      <c r="CP213" s="13">
        <v>58792.98</v>
      </c>
      <c r="CQ213" s="13">
        <v>0</v>
      </c>
      <c r="CR213" s="13">
        <v>2145088.46</v>
      </c>
      <c r="CS213" s="13">
        <v>206639.44</v>
      </c>
      <c r="CT213" s="13">
        <v>200889.84</v>
      </c>
      <c r="CU213" s="13">
        <v>91055.79</v>
      </c>
      <c r="CV213" s="13">
        <v>52494.02</v>
      </c>
      <c r="CW213" s="13">
        <v>0</v>
      </c>
      <c r="CX213" s="13">
        <v>310188.08</v>
      </c>
      <c r="CY213" s="13">
        <v>30585.84</v>
      </c>
      <c r="CZ213" s="13">
        <v>15987.25</v>
      </c>
      <c r="DA213" s="13">
        <v>18088.419999999998</v>
      </c>
      <c r="DB213" s="13">
        <v>10178.81</v>
      </c>
      <c r="DC213" s="13"/>
      <c r="DD213" s="315">
        <v>2797022.93</v>
      </c>
      <c r="DE213" s="317">
        <v>2696167.55</v>
      </c>
      <c r="DF213" s="317">
        <v>96.39</v>
      </c>
      <c r="DG213" s="318">
        <v>385028.4</v>
      </c>
      <c r="DH213" s="310">
        <v>81149.399999999994</v>
      </c>
      <c r="DI213" s="310">
        <v>46410.239999999998</v>
      </c>
      <c r="DJ213" s="312">
        <v>0</v>
      </c>
      <c r="DK213" s="362">
        <v>0</v>
      </c>
      <c r="DL213" s="362"/>
      <c r="DM213" s="362">
        <v>0</v>
      </c>
      <c r="DN213" s="362">
        <v>0</v>
      </c>
      <c r="DO213" s="362">
        <v>0</v>
      </c>
      <c r="DP213" s="362">
        <v>0</v>
      </c>
      <c r="DQ213" s="362">
        <v>0</v>
      </c>
      <c r="DR213" s="362"/>
      <c r="DS213" s="362">
        <v>0</v>
      </c>
      <c r="DT213" s="362"/>
      <c r="DU213" s="362">
        <v>0</v>
      </c>
      <c r="DV213" s="362">
        <v>0</v>
      </c>
      <c r="DW213" s="362">
        <v>206400</v>
      </c>
      <c r="DX213" s="362">
        <v>0</v>
      </c>
      <c r="DY213" s="362">
        <v>56000</v>
      </c>
      <c r="DZ213" s="375">
        <v>0</v>
      </c>
      <c r="EA213" s="362">
        <v>0</v>
      </c>
      <c r="EB213" s="362">
        <v>0</v>
      </c>
      <c r="EC213" s="362"/>
      <c r="ED213" s="362">
        <v>631859.04</v>
      </c>
      <c r="EE213" s="362">
        <v>18700</v>
      </c>
      <c r="EF213" s="362"/>
      <c r="EG213" s="362">
        <v>17778</v>
      </c>
      <c r="EH213" s="362">
        <v>0</v>
      </c>
      <c r="EI213" s="362"/>
      <c r="EJ213" s="362">
        <v>0</v>
      </c>
      <c r="EK213" s="362"/>
      <c r="EL213" s="362">
        <v>0</v>
      </c>
      <c r="EM213" s="362">
        <v>4981.83</v>
      </c>
      <c r="EN213" s="362">
        <v>0</v>
      </c>
      <c r="EO213" s="362">
        <v>0</v>
      </c>
      <c r="EP213" s="362">
        <v>501486</v>
      </c>
      <c r="EQ213" s="362">
        <v>0</v>
      </c>
      <c r="ER213" s="362">
        <v>10920</v>
      </c>
      <c r="ES213" s="362">
        <v>6347</v>
      </c>
      <c r="ET213" s="362">
        <v>17764</v>
      </c>
      <c r="EU213" s="362">
        <v>0</v>
      </c>
      <c r="EV213" s="362">
        <v>66405.11</v>
      </c>
      <c r="EW213" s="362"/>
      <c r="EX213" s="202"/>
      <c r="EY213" s="202"/>
      <c r="EZ213" s="229"/>
      <c r="FA213" s="368">
        <v>225414.61</v>
      </c>
      <c r="FB213" s="368">
        <v>94123.520000000004</v>
      </c>
      <c r="FC213" s="368">
        <v>0</v>
      </c>
      <c r="FD213" s="368">
        <v>0</v>
      </c>
      <c r="FE213" s="368">
        <v>111942.58</v>
      </c>
      <c r="FF213" s="368">
        <v>63307.63</v>
      </c>
      <c r="FG213" s="368">
        <v>-2494.79</v>
      </c>
      <c r="FH213" s="368">
        <v>-3422.31</v>
      </c>
      <c r="FI213" s="368">
        <v>0</v>
      </c>
      <c r="FJ213" s="368">
        <v>0</v>
      </c>
      <c r="FK213" s="368">
        <v>67090.789999999994</v>
      </c>
      <c r="FL213" s="368">
        <v>0</v>
      </c>
      <c r="FM213" s="368">
        <v>213408.82</v>
      </c>
      <c r="FN213" s="368">
        <v>135695.45000000001</v>
      </c>
      <c r="FO213" s="323">
        <v>2015304.89</v>
      </c>
      <c r="FP213" s="323">
        <v>555962.03</v>
      </c>
      <c r="FQ213" s="323">
        <v>2571266.92</v>
      </c>
      <c r="FR213" s="362">
        <v>222002.55</v>
      </c>
      <c r="FS213" s="362">
        <v>95223.46</v>
      </c>
      <c r="FT213" s="377">
        <v>317226.01</v>
      </c>
      <c r="FU213" s="377">
        <v>2385570.0699999998</v>
      </c>
      <c r="FV213" s="377">
        <v>562532.56999999995</v>
      </c>
      <c r="FW213" s="362">
        <v>2948102.64</v>
      </c>
      <c r="FX213" s="362">
        <v>2261588.48</v>
      </c>
      <c r="FY213" s="362">
        <v>574519.1</v>
      </c>
      <c r="FZ213" s="362">
        <v>2836107.58</v>
      </c>
      <c r="GA213" s="362">
        <v>345984.14</v>
      </c>
      <c r="GB213" s="362">
        <v>83236.929999999993</v>
      </c>
      <c r="GC213" s="362">
        <v>429221.07</v>
      </c>
      <c r="GD213" s="362">
        <v>248820.79</v>
      </c>
      <c r="GE213" s="362">
        <v>-104468.85</v>
      </c>
      <c r="GF213" s="362">
        <v>144351.94</v>
      </c>
      <c r="GG213" s="202">
        <v>44192.67</v>
      </c>
      <c r="GH213" s="416">
        <v>81</v>
      </c>
      <c r="GI213" s="414">
        <v>2878</v>
      </c>
      <c r="GJ213" s="419">
        <v>92974.39</v>
      </c>
      <c r="GK213" s="396">
        <v>44192.67</v>
      </c>
      <c r="GL213" s="202">
        <v>35796.062700000002</v>
      </c>
      <c r="GM213" s="202">
        <v>8396.6072999999997</v>
      </c>
      <c r="GN213" s="323">
        <v>370265.18</v>
      </c>
      <c r="GO213" s="323">
        <v>6570.54</v>
      </c>
      <c r="GP213" s="323">
        <v>376835.72</v>
      </c>
      <c r="GQ213" s="323">
        <v>619085.97</v>
      </c>
      <c r="GR213" s="323">
        <v>-97898.31</v>
      </c>
      <c r="GS213" s="323">
        <v>521187.66</v>
      </c>
    </row>
    <row r="214" spans="1:201" x14ac:dyDescent="0.2">
      <c r="A214" s="45" t="s">
        <v>305</v>
      </c>
      <c r="B214" s="48" t="s">
        <v>271</v>
      </c>
      <c r="C214" s="49" t="s">
        <v>67</v>
      </c>
      <c r="D214" s="388" t="s">
        <v>659</v>
      </c>
      <c r="E214" s="49" t="s">
        <v>12</v>
      </c>
      <c r="F214" s="11">
        <v>9</v>
      </c>
      <c r="G214" s="11">
        <v>4</v>
      </c>
      <c r="H214" s="11">
        <v>216</v>
      </c>
      <c r="I214" s="11">
        <v>216</v>
      </c>
      <c r="J214" s="11">
        <v>406</v>
      </c>
      <c r="K214" s="11">
        <v>465</v>
      </c>
      <c r="L214" s="83">
        <v>4</v>
      </c>
      <c r="M214" s="84">
        <v>1183</v>
      </c>
      <c r="N214" s="84">
        <v>793.9</v>
      </c>
      <c r="O214" s="84">
        <v>793.9</v>
      </c>
      <c r="P214" s="135">
        <f>599.5+836</f>
        <v>1435.5</v>
      </c>
      <c r="Q214" s="135">
        <v>965.4</v>
      </c>
      <c r="R214" s="133">
        <v>0</v>
      </c>
      <c r="S214" s="133">
        <f t="shared" si="106"/>
        <v>2400.9</v>
      </c>
      <c r="T214" s="134">
        <v>1435.2</v>
      </c>
      <c r="U214" s="130">
        <v>2.44</v>
      </c>
      <c r="V214" s="131">
        <v>1.9800000000000002E-2</v>
      </c>
      <c r="W214" s="131">
        <v>1.9800000000000002E-2</v>
      </c>
      <c r="X214" s="132">
        <v>1.2199999999999999E-3</v>
      </c>
      <c r="Y214" s="131">
        <v>3.9699999999999999E-2</v>
      </c>
      <c r="Z214" s="29">
        <v>9529.6299999999992</v>
      </c>
      <c r="AA214" s="29"/>
      <c r="AB214" s="9">
        <f t="shared" si="84"/>
        <v>9529.6299999999992</v>
      </c>
      <c r="AC214" s="9">
        <f t="shared" si="82"/>
        <v>60322.559999999998</v>
      </c>
      <c r="AD214" s="9">
        <v>1.25</v>
      </c>
      <c r="AE214" s="9">
        <v>4.79</v>
      </c>
      <c r="AF214" s="21">
        <f>2.46-AJ214</f>
        <v>2.37</v>
      </c>
      <c r="AG214" s="18">
        <f>0.6-AQ214</f>
        <v>0.54</v>
      </c>
      <c r="AH214" s="9">
        <v>2.77</v>
      </c>
      <c r="AI214" s="13">
        <v>823</v>
      </c>
      <c r="AJ214" s="21">
        <f t="shared" si="87"/>
        <v>0.09</v>
      </c>
      <c r="AK214" s="9">
        <v>1.81</v>
      </c>
      <c r="AL214" s="9">
        <v>0.16</v>
      </c>
      <c r="AM214" s="9">
        <v>0.12</v>
      </c>
      <c r="AN214" s="13"/>
      <c r="AO214" s="13">
        <v>1223.5999999999999</v>
      </c>
      <c r="AP214" s="13">
        <f t="shared" si="107"/>
        <v>5.58</v>
      </c>
      <c r="AQ214" s="18">
        <f t="shared" si="83"/>
        <v>0.06</v>
      </c>
      <c r="AR214" s="9">
        <v>0.73</v>
      </c>
      <c r="AS214" s="9">
        <v>0.28999999999999998</v>
      </c>
      <c r="AT214" s="9">
        <v>7.0000000000000007E-2</v>
      </c>
      <c r="AU214" s="9">
        <v>3.99</v>
      </c>
      <c r="AV214" s="9">
        <v>0.16</v>
      </c>
      <c r="AW214" s="9">
        <f>0.32+1.35+0.35</f>
        <v>2.02</v>
      </c>
      <c r="AX214" s="9">
        <f>1.89+0.47</f>
        <v>2.36</v>
      </c>
      <c r="AY214" s="46">
        <f t="shared" si="108"/>
        <v>23.58</v>
      </c>
      <c r="AZ214" s="13">
        <v>23.58</v>
      </c>
      <c r="BA214" s="13">
        <f t="shared" si="85"/>
        <v>0</v>
      </c>
      <c r="BB214" s="9">
        <f t="shared" si="86"/>
        <v>224708.68</v>
      </c>
      <c r="BC214" s="9">
        <v>23.58</v>
      </c>
      <c r="BD214" s="10">
        <v>44409</v>
      </c>
      <c r="BE214" s="9">
        <f t="shared" si="88"/>
        <v>11912.04</v>
      </c>
      <c r="BF214" s="9">
        <f t="shared" si="89"/>
        <v>45646.93</v>
      </c>
      <c r="BG214" s="9">
        <f t="shared" si="90"/>
        <v>22585.22</v>
      </c>
      <c r="BH214" s="9">
        <f t="shared" si="91"/>
        <v>5146</v>
      </c>
      <c r="BI214" s="9">
        <f t="shared" si="92"/>
        <v>26397.08</v>
      </c>
      <c r="BJ214" s="9">
        <f t="shared" si="93"/>
        <v>857.67</v>
      </c>
      <c r="BK214" s="9">
        <f t="shared" si="94"/>
        <v>17248.63</v>
      </c>
      <c r="BL214" s="9">
        <f t="shared" si="95"/>
        <v>1524.74</v>
      </c>
      <c r="BM214" s="9">
        <f t="shared" si="96"/>
        <v>1143.56</v>
      </c>
      <c r="BN214" s="9">
        <f t="shared" si="97"/>
        <v>571.78</v>
      </c>
      <c r="BO214" s="9">
        <f t="shared" si="98"/>
        <v>6956.63</v>
      </c>
      <c r="BP214" s="9">
        <f t="shared" si="99"/>
        <v>2763.59</v>
      </c>
      <c r="BQ214" s="9">
        <f t="shared" si="100"/>
        <v>667.07</v>
      </c>
      <c r="BR214" s="9">
        <f t="shared" si="101"/>
        <v>38023.22</v>
      </c>
      <c r="BS214" s="9">
        <f t="shared" si="102"/>
        <v>1524.74</v>
      </c>
      <c r="BT214" s="9">
        <f t="shared" si="103"/>
        <v>19249.849999999999</v>
      </c>
      <c r="BU214" s="9">
        <f t="shared" si="104"/>
        <v>22489.93</v>
      </c>
      <c r="BV214" s="17">
        <f t="shared" si="105"/>
        <v>224708.68</v>
      </c>
      <c r="BW214" s="17">
        <v>4.13</v>
      </c>
      <c r="BX214" s="17">
        <v>0.08</v>
      </c>
      <c r="BY214" s="17">
        <v>0.44</v>
      </c>
      <c r="BZ214" s="17">
        <v>0.09</v>
      </c>
      <c r="CA214" s="29">
        <v>6.33</v>
      </c>
      <c r="CB214" s="325"/>
      <c r="CC214" s="13">
        <v>0</v>
      </c>
      <c r="CD214" s="13">
        <v>0</v>
      </c>
      <c r="CE214" s="13">
        <v>0</v>
      </c>
      <c r="CF214" s="13">
        <v>0</v>
      </c>
      <c r="CG214" s="13">
        <v>0</v>
      </c>
      <c r="CH214" s="13">
        <v>0</v>
      </c>
      <c r="CI214" s="13">
        <v>10821.29</v>
      </c>
      <c r="CJ214" s="13">
        <v>58596</v>
      </c>
      <c r="CK214" s="13">
        <v>3663.22</v>
      </c>
      <c r="CL214" s="13">
        <v>2694120.14</v>
      </c>
      <c r="CM214" s="13">
        <v>275808.99</v>
      </c>
      <c r="CN214" s="13">
        <v>8000.72</v>
      </c>
      <c r="CO214" s="13">
        <v>9146.84</v>
      </c>
      <c r="CP214" s="13">
        <v>9623.3799999999992</v>
      </c>
      <c r="CQ214" s="13">
        <v>0</v>
      </c>
      <c r="CR214" s="13">
        <v>2541944.5699999998</v>
      </c>
      <c r="CS214" s="13">
        <v>260645.61</v>
      </c>
      <c r="CT214" s="13">
        <v>13055.48</v>
      </c>
      <c r="CU214" s="13">
        <v>8429.93</v>
      </c>
      <c r="CV214" s="13">
        <v>9014.2800000000007</v>
      </c>
      <c r="CW214" s="13">
        <v>0</v>
      </c>
      <c r="CX214" s="13">
        <v>436511.79</v>
      </c>
      <c r="CY214" s="13">
        <v>53318.54</v>
      </c>
      <c r="CZ214" s="13">
        <v>-7114.09</v>
      </c>
      <c r="DA214" s="13">
        <v>1536.39</v>
      </c>
      <c r="DB214" s="13">
        <v>1651.3</v>
      </c>
      <c r="DC214" s="13"/>
      <c r="DD214" s="315">
        <v>2996700.07</v>
      </c>
      <c r="DE214" s="317">
        <v>2833089.87</v>
      </c>
      <c r="DF214" s="317">
        <v>94.54</v>
      </c>
      <c r="DG214" s="318">
        <v>485903.93</v>
      </c>
      <c r="DH214" s="310">
        <v>100079.4</v>
      </c>
      <c r="DI214" s="310">
        <v>57236.4</v>
      </c>
      <c r="DJ214" s="312">
        <v>0</v>
      </c>
      <c r="DK214" s="362">
        <v>0</v>
      </c>
      <c r="DL214" s="362"/>
      <c r="DM214" s="362">
        <v>0</v>
      </c>
      <c r="DN214" s="362">
        <v>0</v>
      </c>
      <c r="DO214" s="362">
        <v>0</v>
      </c>
      <c r="DP214" s="362">
        <v>13085.7</v>
      </c>
      <c r="DQ214" s="362">
        <v>0</v>
      </c>
      <c r="DR214" s="362"/>
      <c r="DS214" s="362">
        <v>0</v>
      </c>
      <c r="DT214" s="362"/>
      <c r="DU214" s="362">
        <v>0</v>
      </c>
      <c r="DV214" s="362">
        <v>0</v>
      </c>
      <c r="DW214" s="362">
        <v>0</v>
      </c>
      <c r="DX214" s="362">
        <v>204923.73</v>
      </c>
      <c r="DY214" s="362">
        <v>18000</v>
      </c>
      <c r="DZ214" s="375">
        <v>0</v>
      </c>
      <c r="EA214" s="362">
        <v>0</v>
      </c>
      <c r="EB214" s="362">
        <v>0</v>
      </c>
      <c r="EC214" s="362"/>
      <c r="ED214" s="362">
        <v>763278.42</v>
      </c>
      <c r="EE214" s="362">
        <v>17000</v>
      </c>
      <c r="EF214" s="362"/>
      <c r="EG214" s="362">
        <v>0</v>
      </c>
      <c r="EH214" s="362">
        <v>0</v>
      </c>
      <c r="EI214" s="362"/>
      <c r="EJ214" s="362">
        <v>0</v>
      </c>
      <c r="EK214" s="362"/>
      <c r="EL214" s="362">
        <v>0</v>
      </c>
      <c r="EM214" s="362">
        <v>6827.7</v>
      </c>
      <c r="EN214" s="362">
        <v>0</v>
      </c>
      <c r="EO214" s="362">
        <v>0</v>
      </c>
      <c r="EP214" s="362">
        <v>610950</v>
      </c>
      <c r="EQ214" s="362">
        <v>0</v>
      </c>
      <c r="ER214" s="362">
        <v>20475</v>
      </c>
      <c r="ES214" s="362">
        <v>0</v>
      </c>
      <c r="ET214" s="362">
        <v>27388</v>
      </c>
      <c r="EU214" s="362">
        <v>0</v>
      </c>
      <c r="EV214" s="362">
        <v>103507.33</v>
      </c>
      <c r="EW214" s="362"/>
      <c r="EX214" s="202"/>
      <c r="EY214" s="202"/>
      <c r="EZ214" s="229"/>
      <c r="FA214" s="368">
        <v>309166.13</v>
      </c>
      <c r="FB214" s="368">
        <v>7975.37</v>
      </c>
      <c r="FC214" s="368">
        <v>0</v>
      </c>
      <c r="FD214" s="368">
        <v>0</v>
      </c>
      <c r="FE214" s="368">
        <v>9518.76</v>
      </c>
      <c r="FF214" s="368">
        <v>10236.83</v>
      </c>
      <c r="FG214" s="368">
        <v>0</v>
      </c>
      <c r="FH214" s="368">
        <v>-2436.88</v>
      </c>
      <c r="FI214" s="368">
        <v>0</v>
      </c>
      <c r="FJ214" s="368">
        <v>0</v>
      </c>
      <c r="FK214" s="368">
        <v>0</v>
      </c>
      <c r="FL214" s="368">
        <v>0</v>
      </c>
      <c r="FM214" s="368">
        <v>254707.03</v>
      </c>
      <c r="FN214" s="368">
        <v>161952.76</v>
      </c>
      <c r="FO214" s="323">
        <v>2359411.4700000002</v>
      </c>
      <c r="FP214" s="323">
        <v>334460.21000000002</v>
      </c>
      <c r="FQ214" s="323">
        <v>2693871.68</v>
      </c>
      <c r="FR214" s="362">
        <v>232341.77</v>
      </c>
      <c r="FS214" s="362">
        <v>19871.34</v>
      </c>
      <c r="FT214" s="377">
        <v>252213.11</v>
      </c>
      <c r="FU214" s="377">
        <v>2763537.43</v>
      </c>
      <c r="FV214" s="377">
        <v>306243.15000000002</v>
      </c>
      <c r="FW214" s="362">
        <v>3069780.58</v>
      </c>
      <c r="FX214" s="362">
        <v>2559367.41</v>
      </c>
      <c r="FY214" s="362">
        <v>276722.34999999998</v>
      </c>
      <c r="FZ214" s="362">
        <v>2836089.76</v>
      </c>
      <c r="GA214" s="362">
        <v>436511.79</v>
      </c>
      <c r="GB214" s="362">
        <v>49392.14</v>
      </c>
      <c r="GC214" s="362">
        <v>485903.93</v>
      </c>
      <c r="GD214" s="362">
        <v>227460.73</v>
      </c>
      <c r="GE214" s="362">
        <v>25555.29</v>
      </c>
      <c r="GF214" s="362">
        <v>253016.02</v>
      </c>
      <c r="GG214" s="202"/>
      <c r="GH214" s="416"/>
      <c r="GI214" s="414">
        <v>3446.1</v>
      </c>
      <c r="GJ214" s="419">
        <v>0</v>
      </c>
      <c r="GK214" s="396"/>
      <c r="GL214" s="202">
        <v>0</v>
      </c>
      <c r="GM214" s="202">
        <v>0</v>
      </c>
      <c r="GN214" s="323">
        <v>404125.96</v>
      </c>
      <c r="GO214" s="323">
        <v>-28217.06</v>
      </c>
      <c r="GP214" s="323">
        <v>375908.9</v>
      </c>
      <c r="GQ214" s="323">
        <v>631586.68999999994</v>
      </c>
      <c r="GR214" s="323">
        <v>-2661.77</v>
      </c>
      <c r="GS214" s="323">
        <v>628924.92000000004</v>
      </c>
    </row>
    <row r="215" spans="1:201" ht="12.75" customHeight="1" x14ac:dyDescent="0.2">
      <c r="A215" s="45" t="s">
        <v>306</v>
      </c>
      <c r="B215" s="48" t="s">
        <v>271</v>
      </c>
      <c r="C215" s="49" t="s">
        <v>23</v>
      </c>
      <c r="D215" s="388" t="s">
        <v>658</v>
      </c>
      <c r="E215" s="49" t="s">
        <v>12</v>
      </c>
      <c r="F215" s="11">
        <v>9</v>
      </c>
      <c r="G215" s="11">
        <v>4</v>
      </c>
      <c r="H215" s="11">
        <v>216</v>
      </c>
      <c r="I215" s="11">
        <v>216</v>
      </c>
      <c r="J215" s="11">
        <v>389</v>
      </c>
      <c r="K215" s="11">
        <v>481</v>
      </c>
      <c r="L215" s="83">
        <v>4</v>
      </c>
      <c r="M215" s="84">
        <v>327</v>
      </c>
      <c r="N215" s="84">
        <v>777.8</v>
      </c>
      <c r="O215" s="84">
        <v>777.8</v>
      </c>
      <c r="P215" s="135">
        <f>592.2+602.3</f>
        <v>1194.5</v>
      </c>
      <c r="Q215" s="135">
        <v>1059.5999999999999</v>
      </c>
      <c r="R215" s="135">
        <v>1059.5999999999999</v>
      </c>
      <c r="S215" s="133">
        <f t="shared" si="106"/>
        <v>3313.7</v>
      </c>
      <c r="T215" s="134">
        <v>1194.5</v>
      </c>
      <c r="U215" s="130">
        <v>2.44</v>
      </c>
      <c r="V215" s="91">
        <v>1.9800000000000002E-2</v>
      </c>
      <c r="W215" s="91">
        <v>1.9800000000000002E-2</v>
      </c>
      <c r="X215" s="132">
        <v>1.2199999999999999E-3</v>
      </c>
      <c r="Y215" s="91">
        <v>3.9699999999999999E-2</v>
      </c>
      <c r="Z215" s="29">
        <v>9345.9500000000007</v>
      </c>
      <c r="AA215" s="29"/>
      <c r="AB215" s="9">
        <f t="shared" si="84"/>
        <v>9345.9500000000007</v>
      </c>
      <c r="AC215" s="9">
        <f t="shared" si="82"/>
        <v>59159.86</v>
      </c>
      <c r="AD215" s="9">
        <v>1.75</v>
      </c>
      <c r="AE215" s="9">
        <v>4.0999999999999996</v>
      </c>
      <c r="AF215" s="21">
        <f>2.49-AJ215</f>
        <v>2.3199999999999998</v>
      </c>
      <c r="AG215" s="18">
        <f>0.6-AQ215</f>
        <v>0.54</v>
      </c>
      <c r="AH215" s="9">
        <v>2.77</v>
      </c>
      <c r="AI215" s="13">
        <v>1628</v>
      </c>
      <c r="AJ215" s="21">
        <f t="shared" si="87"/>
        <v>0.17</v>
      </c>
      <c r="AK215" s="9">
        <v>1.85</v>
      </c>
      <c r="AL215" s="9">
        <v>0.16</v>
      </c>
      <c r="AM215" s="9">
        <v>0.1</v>
      </c>
      <c r="AN215" s="13"/>
      <c r="AO215" s="13">
        <v>1223.5999999999999</v>
      </c>
      <c r="AP215" s="13">
        <f t="shared" si="107"/>
        <v>5.58</v>
      </c>
      <c r="AQ215" s="18">
        <f t="shared" si="83"/>
        <v>0.06</v>
      </c>
      <c r="AR215" s="9">
        <v>0.71</v>
      </c>
      <c r="AS215" s="9">
        <v>0.59</v>
      </c>
      <c r="AT215" s="9">
        <v>7.0000000000000007E-2</v>
      </c>
      <c r="AU215" s="9">
        <v>4.3099999999999996</v>
      </c>
      <c r="AV215" s="9">
        <v>0.16</v>
      </c>
      <c r="AW215" s="9">
        <f>0.33+1.37+0.38</f>
        <v>2.08</v>
      </c>
      <c r="AX215" s="9">
        <f>1.92+0.51</f>
        <v>2.4300000000000002</v>
      </c>
      <c r="AY215" s="46">
        <f t="shared" si="108"/>
        <v>24.17</v>
      </c>
      <c r="AZ215" s="13">
        <v>24.17</v>
      </c>
      <c r="BA215" s="13">
        <f t="shared" si="85"/>
        <v>0</v>
      </c>
      <c r="BB215" s="9">
        <f t="shared" si="86"/>
        <v>225891.61</v>
      </c>
      <c r="BC215" s="9">
        <v>24.17</v>
      </c>
      <c r="BD215" s="10">
        <v>44409</v>
      </c>
      <c r="BE215" s="9">
        <f t="shared" si="88"/>
        <v>16355.41</v>
      </c>
      <c r="BF215" s="9">
        <f t="shared" si="89"/>
        <v>38318.400000000001</v>
      </c>
      <c r="BG215" s="9">
        <f t="shared" si="90"/>
        <v>21682.6</v>
      </c>
      <c r="BH215" s="9">
        <f t="shared" si="91"/>
        <v>5046.8100000000004</v>
      </c>
      <c r="BI215" s="9">
        <f t="shared" si="92"/>
        <v>25888.28</v>
      </c>
      <c r="BJ215" s="9">
        <f t="shared" si="93"/>
        <v>1588.81</v>
      </c>
      <c r="BK215" s="9">
        <f t="shared" si="94"/>
        <v>17290.009999999998</v>
      </c>
      <c r="BL215" s="9">
        <f t="shared" si="95"/>
        <v>1495.35</v>
      </c>
      <c r="BM215" s="9">
        <f t="shared" si="96"/>
        <v>934.6</v>
      </c>
      <c r="BN215" s="9">
        <f t="shared" si="97"/>
        <v>560.76</v>
      </c>
      <c r="BO215" s="9">
        <f t="shared" si="98"/>
        <v>6635.62</v>
      </c>
      <c r="BP215" s="9">
        <f t="shared" si="99"/>
        <v>5514.11</v>
      </c>
      <c r="BQ215" s="9">
        <f t="shared" si="100"/>
        <v>654.22</v>
      </c>
      <c r="BR215" s="9">
        <f t="shared" si="101"/>
        <v>40281.040000000001</v>
      </c>
      <c r="BS215" s="9">
        <f t="shared" si="102"/>
        <v>1495.35</v>
      </c>
      <c r="BT215" s="9">
        <f t="shared" si="103"/>
        <v>19439.580000000002</v>
      </c>
      <c r="BU215" s="9">
        <f t="shared" si="104"/>
        <v>22710.66</v>
      </c>
      <c r="BV215" s="17">
        <f t="shared" si="105"/>
        <v>225891.61</v>
      </c>
      <c r="BW215" s="17">
        <v>4.12</v>
      </c>
      <c r="BX215" s="17">
        <v>0.08</v>
      </c>
      <c r="BY215" s="17">
        <v>0.48</v>
      </c>
      <c r="BZ215" s="17">
        <v>0.09</v>
      </c>
      <c r="CA215" s="29">
        <v>6.33</v>
      </c>
      <c r="CB215" s="325"/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0</v>
      </c>
      <c r="CI215" s="13">
        <v>14657.91</v>
      </c>
      <c r="CJ215" s="13">
        <v>58596</v>
      </c>
      <c r="CK215" s="13">
        <v>3592.11</v>
      </c>
      <c r="CL215" s="13">
        <v>2708799.54</v>
      </c>
      <c r="CM215" s="13">
        <v>50152.84</v>
      </c>
      <c r="CN215" s="13">
        <v>0</v>
      </c>
      <c r="CO215" s="13">
        <v>11301.42</v>
      </c>
      <c r="CP215" s="13">
        <v>10276.32</v>
      </c>
      <c r="CQ215" s="13">
        <v>0</v>
      </c>
      <c r="CR215" s="13">
        <v>2417033.9700000002</v>
      </c>
      <c r="CS215" s="13">
        <v>74729.2</v>
      </c>
      <c r="CT215" s="13">
        <v>2299.1799999999998</v>
      </c>
      <c r="CU215" s="13">
        <v>25117.67</v>
      </c>
      <c r="CV215" s="13">
        <v>16122.36</v>
      </c>
      <c r="CW215" s="13">
        <v>0</v>
      </c>
      <c r="CX215" s="13">
        <v>578452.41</v>
      </c>
      <c r="CY215" s="13">
        <v>-20847.73</v>
      </c>
      <c r="CZ215" s="13">
        <v>-3912.26</v>
      </c>
      <c r="DA215" s="13">
        <v>3051</v>
      </c>
      <c r="DB215" s="13">
        <v>2841.12</v>
      </c>
      <c r="DC215" s="13"/>
      <c r="DD215" s="315">
        <v>2780530.12</v>
      </c>
      <c r="DE215" s="317">
        <v>2535302.38</v>
      </c>
      <c r="DF215" s="317">
        <v>91.18</v>
      </c>
      <c r="DG215" s="318">
        <v>559584.54</v>
      </c>
      <c r="DH215" s="310">
        <v>98135.64</v>
      </c>
      <c r="DI215" s="310">
        <v>56124.84</v>
      </c>
      <c r="DJ215" s="312">
        <v>0</v>
      </c>
      <c r="DK215" s="362">
        <v>0</v>
      </c>
      <c r="DL215" s="362"/>
      <c r="DM215" s="362">
        <v>0</v>
      </c>
      <c r="DN215" s="362">
        <v>0</v>
      </c>
      <c r="DO215" s="362">
        <v>6970.56</v>
      </c>
      <c r="DP215" s="362">
        <v>25885.200000000001</v>
      </c>
      <c r="DQ215" s="362">
        <v>0</v>
      </c>
      <c r="DR215" s="362"/>
      <c r="DS215" s="362">
        <v>0</v>
      </c>
      <c r="DT215" s="362"/>
      <c r="DU215" s="362">
        <v>5536</v>
      </c>
      <c r="DV215" s="362">
        <v>0</v>
      </c>
      <c r="DW215" s="362">
        <v>0</v>
      </c>
      <c r="DX215" s="362">
        <v>205262.58</v>
      </c>
      <c r="DY215" s="362">
        <v>18000</v>
      </c>
      <c r="DZ215" s="375">
        <v>0</v>
      </c>
      <c r="EA215" s="362">
        <v>0</v>
      </c>
      <c r="EB215" s="362">
        <v>0</v>
      </c>
      <c r="EC215" s="362"/>
      <c r="ED215" s="362">
        <v>725741.7</v>
      </c>
      <c r="EE215" s="362">
        <v>7939</v>
      </c>
      <c r="EF215" s="362"/>
      <c r="EG215" s="362">
        <v>0</v>
      </c>
      <c r="EH215" s="362">
        <v>0</v>
      </c>
      <c r="EI215" s="362"/>
      <c r="EJ215" s="362">
        <v>0</v>
      </c>
      <c r="EK215" s="362"/>
      <c r="EL215" s="362">
        <v>0</v>
      </c>
      <c r="EM215" s="362">
        <v>6827.7</v>
      </c>
      <c r="EN215" s="362">
        <v>0</v>
      </c>
      <c r="EO215" s="362">
        <v>0</v>
      </c>
      <c r="EP215" s="362">
        <v>592278</v>
      </c>
      <c r="EQ215" s="362">
        <v>0</v>
      </c>
      <c r="ER215" s="362">
        <v>51870</v>
      </c>
      <c r="ES215" s="362">
        <v>11304</v>
      </c>
      <c r="ET215" s="362">
        <v>26540</v>
      </c>
      <c r="EU215" s="362">
        <v>0</v>
      </c>
      <c r="EV215" s="362">
        <v>307715.45</v>
      </c>
      <c r="EW215" s="362"/>
      <c r="EX215" s="202"/>
      <c r="EY215" s="202"/>
      <c r="EZ215" s="229"/>
      <c r="FA215" s="368">
        <v>50125.09</v>
      </c>
      <c r="FB215" s="368">
        <v>0</v>
      </c>
      <c r="FC215" s="368">
        <v>0</v>
      </c>
      <c r="FD215" s="368">
        <v>0</v>
      </c>
      <c r="FE215" s="368">
        <v>7983.37</v>
      </c>
      <c r="FF215" s="368">
        <v>8382.9500000000007</v>
      </c>
      <c r="FG215" s="368">
        <v>-4875.6099999999997</v>
      </c>
      <c r="FH215" s="368">
        <v>-4896.2</v>
      </c>
      <c r="FI215" s="368">
        <v>0</v>
      </c>
      <c r="FJ215" s="368">
        <v>0</v>
      </c>
      <c r="FK215" s="368">
        <v>0</v>
      </c>
      <c r="FL215" s="368">
        <v>0</v>
      </c>
      <c r="FM215" s="368">
        <v>249793.72</v>
      </c>
      <c r="FN215" s="368">
        <v>158829.01999999999</v>
      </c>
      <c r="FO215" s="323">
        <v>2554753.41</v>
      </c>
      <c r="FP215" s="323">
        <v>56719.6</v>
      </c>
      <c r="FQ215" s="323">
        <v>2611473.0099999998</v>
      </c>
      <c r="FR215" s="362">
        <v>280174.92</v>
      </c>
      <c r="FS215" s="362">
        <v>17551.86</v>
      </c>
      <c r="FT215" s="377">
        <v>297726.78000000003</v>
      </c>
      <c r="FU215" s="377">
        <v>2782053.45</v>
      </c>
      <c r="FV215" s="377">
        <v>75322.69</v>
      </c>
      <c r="FW215" s="362">
        <v>2857376.14</v>
      </c>
      <c r="FX215" s="362">
        <v>2483775.96</v>
      </c>
      <c r="FY215" s="362">
        <v>111742.42</v>
      </c>
      <c r="FZ215" s="362">
        <v>2595518.38</v>
      </c>
      <c r="GA215" s="362">
        <v>578452.41</v>
      </c>
      <c r="GB215" s="362">
        <v>-18867.87</v>
      </c>
      <c r="GC215" s="362">
        <v>559584.54</v>
      </c>
      <c r="GD215" s="362">
        <v>182837.87</v>
      </c>
      <c r="GE215" s="362">
        <v>14249.73</v>
      </c>
      <c r="GF215" s="362">
        <v>197087.6</v>
      </c>
      <c r="GG215" s="202"/>
      <c r="GH215" s="416"/>
      <c r="GI215" s="414">
        <v>3446.1</v>
      </c>
      <c r="GJ215" s="419">
        <v>0</v>
      </c>
      <c r="GK215" s="396"/>
      <c r="GL215" s="202">
        <v>0</v>
      </c>
      <c r="GM215" s="202">
        <v>0</v>
      </c>
      <c r="GN215" s="323">
        <v>227300.04</v>
      </c>
      <c r="GO215" s="323">
        <v>18603.09</v>
      </c>
      <c r="GP215" s="323">
        <v>245903.13</v>
      </c>
      <c r="GQ215" s="323">
        <v>410137.91</v>
      </c>
      <c r="GR215" s="323">
        <v>32852.82</v>
      </c>
      <c r="GS215" s="323">
        <v>442990.73</v>
      </c>
    </row>
    <row r="216" spans="1:201" ht="12.75" customHeight="1" x14ac:dyDescent="0.2">
      <c r="A216" s="45" t="s">
        <v>307</v>
      </c>
      <c r="B216" s="55" t="s">
        <v>271</v>
      </c>
      <c r="C216" s="56" t="s">
        <v>37</v>
      </c>
      <c r="D216" s="388" t="s">
        <v>496</v>
      </c>
      <c r="E216" s="56" t="s">
        <v>12</v>
      </c>
      <c r="F216" s="11">
        <v>4</v>
      </c>
      <c r="G216" s="11">
        <v>2</v>
      </c>
      <c r="H216" s="11">
        <v>32</v>
      </c>
      <c r="I216" s="11">
        <v>0</v>
      </c>
      <c r="J216" s="11">
        <v>69</v>
      </c>
      <c r="K216" s="11">
        <v>73</v>
      </c>
      <c r="L216" s="11" t="s">
        <v>746</v>
      </c>
      <c r="M216" s="84">
        <v>73.2</v>
      </c>
      <c r="N216" s="84">
        <v>437.6</v>
      </c>
      <c r="O216" s="84">
        <v>0</v>
      </c>
      <c r="P216" s="139">
        <v>73.2</v>
      </c>
      <c r="Q216" s="139">
        <v>437.6</v>
      </c>
      <c r="R216" s="139">
        <v>0</v>
      </c>
      <c r="S216" s="133">
        <f t="shared" si="106"/>
        <v>510.8</v>
      </c>
      <c r="T216" s="139">
        <v>103.3</v>
      </c>
      <c r="U216" s="130">
        <v>0.84</v>
      </c>
      <c r="V216" s="131">
        <v>1.1299999999999999E-2</v>
      </c>
      <c r="W216" s="131" t="s">
        <v>823</v>
      </c>
      <c r="X216" s="132" t="s">
        <v>823</v>
      </c>
      <c r="Y216" s="131">
        <v>1.1299999999999999E-2</v>
      </c>
      <c r="Z216" s="29">
        <v>1253.5999999999999</v>
      </c>
      <c r="AA216" s="29"/>
      <c r="AB216" s="9">
        <f t="shared" si="84"/>
        <v>1253.5999999999999</v>
      </c>
      <c r="AC216" s="9">
        <f t="shared" si="82"/>
        <v>7935.29</v>
      </c>
      <c r="AD216" s="9">
        <v>0.41</v>
      </c>
      <c r="AE216" s="9">
        <v>3.65</v>
      </c>
      <c r="AF216" s="21">
        <f>2.44-AJ216</f>
        <v>2.1</v>
      </c>
      <c r="AG216" s="18">
        <f>0.56-AQ216</f>
        <v>0.43</v>
      </c>
      <c r="AH216" s="9">
        <v>2.16</v>
      </c>
      <c r="AI216" s="13">
        <v>427</v>
      </c>
      <c r="AJ216" s="21">
        <f t="shared" si="87"/>
        <v>0.34</v>
      </c>
      <c r="AK216" s="9">
        <v>0</v>
      </c>
      <c r="AL216" s="9">
        <v>0</v>
      </c>
      <c r="AM216" s="9">
        <v>0.47</v>
      </c>
      <c r="AN216" s="13">
        <v>114.4</v>
      </c>
      <c r="AO216" s="13">
        <v>228.8</v>
      </c>
      <c r="AP216" s="13">
        <f t="shared" si="107"/>
        <v>5.58</v>
      </c>
      <c r="AQ216" s="18">
        <f t="shared" si="83"/>
        <v>0.13</v>
      </c>
      <c r="AR216" s="9">
        <v>1.2</v>
      </c>
      <c r="AS216" s="9">
        <v>1.1100000000000001</v>
      </c>
      <c r="AT216" s="9">
        <v>7.0000000000000007E-2</v>
      </c>
      <c r="AU216" s="9">
        <v>4.4000000000000004</v>
      </c>
      <c r="AV216" s="9">
        <v>0.13</v>
      </c>
      <c r="AW216" s="9">
        <f>1.08+0.36+0.38</f>
        <v>1.82</v>
      </c>
      <c r="AX216" s="9">
        <f>1.53+0.52</f>
        <v>2.0499999999999998</v>
      </c>
      <c r="AY216" s="58">
        <f t="shared" si="108"/>
        <v>20.47</v>
      </c>
      <c r="AZ216" s="13">
        <v>20.47</v>
      </c>
      <c r="BA216" s="13">
        <f t="shared" si="85"/>
        <v>0</v>
      </c>
      <c r="BB216" s="9">
        <f t="shared" si="86"/>
        <v>25661.19</v>
      </c>
      <c r="BC216" s="9">
        <v>20.47</v>
      </c>
      <c r="BD216" s="10">
        <v>44378</v>
      </c>
      <c r="BE216" s="9">
        <f t="shared" si="88"/>
        <v>513.98</v>
      </c>
      <c r="BF216" s="9">
        <f t="shared" si="89"/>
        <v>4575.6400000000003</v>
      </c>
      <c r="BG216" s="9">
        <f t="shared" si="90"/>
        <v>2632.56</v>
      </c>
      <c r="BH216" s="9">
        <f t="shared" si="91"/>
        <v>539.04999999999995</v>
      </c>
      <c r="BI216" s="9">
        <f t="shared" si="92"/>
        <v>2707.78</v>
      </c>
      <c r="BJ216" s="9">
        <f t="shared" si="93"/>
        <v>426.22</v>
      </c>
      <c r="BK216" s="9">
        <f t="shared" si="94"/>
        <v>0</v>
      </c>
      <c r="BL216" s="9">
        <f t="shared" si="95"/>
        <v>0</v>
      </c>
      <c r="BM216" s="9">
        <f t="shared" si="96"/>
        <v>589.19000000000005</v>
      </c>
      <c r="BN216" s="9">
        <f t="shared" si="97"/>
        <v>162.97</v>
      </c>
      <c r="BO216" s="9">
        <f t="shared" si="98"/>
        <v>1504.32</v>
      </c>
      <c r="BP216" s="9">
        <f t="shared" si="99"/>
        <v>1391.5</v>
      </c>
      <c r="BQ216" s="9">
        <f t="shared" si="100"/>
        <v>87.75</v>
      </c>
      <c r="BR216" s="9">
        <f t="shared" si="101"/>
        <v>5515.84</v>
      </c>
      <c r="BS216" s="9">
        <f t="shared" si="102"/>
        <v>162.97</v>
      </c>
      <c r="BT216" s="9">
        <f t="shared" si="103"/>
        <v>2281.5500000000002</v>
      </c>
      <c r="BU216" s="9">
        <f t="shared" si="104"/>
        <v>2569.88</v>
      </c>
      <c r="BV216" s="17">
        <f t="shared" si="105"/>
        <v>25661.200000000001</v>
      </c>
      <c r="BW216" s="17">
        <v>2.33</v>
      </c>
      <c r="BX216" s="17">
        <v>0.02</v>
      </c>
      <c r="BY216" s="173">
        <v>0</v>
      </c>
      <c r="BZ216" s="17">
        <v>0.01</v>
      </c>
      <c r="CA216" s="29">
        <v>6.33</v>
      </c>
      <c r="CB216" s="325"/>
      <c r="CC216" s="13">
        <v>0</v>
      </c>
      <c r="CD216" s="13">
        <v>0</v>
      </c>
      <c r="CE216" s="13">
        <v>0</v>
      </c>
      <c r="CF216" s="13">
        <v>0</v>
      </c>
      <c r="CG216" s="13">
        <v>0</v>
      </c>
      <c r="CH216" s="13">
        <v>0</v>
      </c>
      <c r="CI216" s="13">
        <v>722.2</v>
      </c>
      <c r="CJ216" s="13">
        <v>17268</v>
      </c>
      <c r="CK216" s="13">
        <v>482.12</v>
      </c>
      <c r="CL216" s="13">
        <v>307934.64</v>
      </c>
      <c r="CM216" s="13">
        <v>2920.7</v>
      </c>
      <c r="CN216" s="13">
        <v>0</v>
      </c>
      <c r="CO216" s="13">
        <v>413.61</v>
      </c>
      <c r="CP216" s="13">
        <v>150.68</v>
      </c>
      <c r="CQ216" s="13">
        <v>0</v>
      </c>
      <c r="CR216" s="13">
        <v>244766.3</v>
      </c>
      <c r="CS216" s="13">
        <v>3027.52</v>
      </c>
      <c r="CT216" s="13">
        <v>0</v>
      </c>
      <c r="CU216" s="13">
        <v>392.21</v>
      </c>
      <c r="CV216" s="13">
        <v>102.89</v>
      </c>
      <c r="CW216" s="13">
        <v>0</v>
      </c>
      <c r="CX216" s="13">
        <v>108714.4</v>
      </c>
      <c r="CY216" s="13">
        <v>-71.569999999999993</v>
      </c>
      <c r="CZ216" s="13">
        <v>0</v>
      </c>
      <c r="DA216" s="13">
        <v>170.88</v>
      </c>
      <c r="DB216" s="13">
        <v>41.43</v>
      </c>
      <c r="DC216" s="13"/>
      <c r="DD216" s="315">
        <v>311419.63</v>
      </c>
      <c r="DE216" s="317">
        <v>248288.92</v>
      </c>
      <c r="DF216" s="317">
        <v>79.73</v>
      </c>
      <c r="DG216" s="318">
        <v>108855.14</v>
      </c>
      <c r="DH216" s="310">
        <v>13172.16</v>
      </c>
      <c r="DI216" s="310">
        <v>7533.24</v>
      </c>
      <c r="DJ216" s="312">
        <v>0</v>
      </c>
      <c r="DK216" s="362">
        <v>0</v>
      </c>
      <c r="DL216" s="362"/>
      <c r="DM216" s="362">
        <v>0</v>
      </c>
      <c r="DN216" s="362">
        <v>0</v>
      </c>
      <c r="DO216" s="362">
        <v>0</v>
      </c>
      <c r="DP216" s="362">
        <v>6789.3</v>
      </c>
      <c r="DQ216" s="362">
        <v>45990</v>
      </c>
      <c r="DR216" s="362"/>
      <c r="DS216" s="362">
        <v>21775</v>
      </c>
      <c r="DT216" s="362"/>
      <c r="DU216" s="362">
        <v>2498</v>
      </c>
      <c r="DV216" s="362">
        <v>0</v>
      </c>
      <c r="DW216" s="362">
        <v>0</v>
      </c>
      <c r="DX216" s="362">
        <v>0</v>
      </c>
      <c r="DY216" s="362">
        <v>0</v>
      </c>
      <c r="DZ216" s="375">
        <v>0</v>
      </c>
      <c r="EA216" s="362">
        <v>0</v>
      </c>
      <c r="EB216" s="362">
        <v>0</v>
      </c>
      <c r="EC216" s="362"/>
      <c r="ED216" s="362">
        <v>66683.520000000004</v>
      </c>
      <c r="EE216" s="362">
        <v>11900</v>
      </c>
      <c r="EF216" s="362"/>
      <c r="EG216" s="362">
        <v>0</v>
      </c>
      <c r="EH216" s="362">
        <v>0</v>
      </c>
      <c r="EI216" s="362"/>
      <c r="EJ216" s="362">
        <v>0</v>
      </c>
      <c r="EK216" s="362"/>
      <c r="EL216" s="362">
        <v>0</v>
      </c>
      <c r="EM216" s="362">
        <v>1915.05</v>
      </c>
      <c r="EN216" s="362">
        <v>0</v>
      </c>
      <c r="EO216" s="362">
        <v>0</v>
      </c>
      <c r="EP216" s="362">
        <v>64914</v>
      </c>
      <c r="EQ216" s="362">
        <v>0</v>
      </c>
      <c r="ER216" s="362">
        <v>10920</v>
      </c>
      <c r="ES216" s="362">
        <v>0</v>
      </c>
      <c r="ET216" s="362">
        <v>9242</v>
      </c>
      <c r="EU216" s="362">
        <v>0</v>
      </c>
      <c r="EV216" s="362">
        <v>43425.25</v>
      </c>
      <c r="EW216" s="362"/>
      <c r="EX216" s="202"/>
      <c r="EY216" s="202"/>
      <c r="EZ216" s="229"/>
      <c r="FA216" s="368">
        <v>2918.34</v>
      </c>
      <c r="FB216" s="368">
        <v>0</v>
      </c>
      <c r="FC216" s="368">
        <v>0</v>
      </c>
      <c r="FD216" s="368">
        <v>0</v>
      </c>
      <c r="FE216" s="368">
        <v>550.91</v>
      </c>
      <c r="FF216" s="368">
        <v>209.7</v>
      </c>
      <c r="FG216" s="368">
        <v>0</v>
      </c>
      <c r="FH216" s="368">
        <v>-320.73</v>
      </c>
      <c r="FI216" s="368">
        <v>0</v>
      </c>
      <c r="FJ216" s="368">
        <v>0</v>
      </c>
      <c r="FK216" s="368">
        <v>0</v>
      </c>
      <c r="FL216" s="368">
        <v>0</v>
      </c>
      <c r="FM216" s="368">
        <v>33515.07</v>
      </c>
      <c r="FN216" s="368">
        <v>21310.45</v>
      </c>
      <c r="FO216" s="323">
        <v>361583.04</v>
      </c>
      <c r="FP216" s="323">
        <v>3358.22</v>
      </c>
      <c r="FQ216" s="323">
        <v>364941.26</v>
      </c>
      <c r="FR216" s="362">
        <v>49525.18</v>
      </c>
      <c r="FS216" s="362">
        <v>-80.88</v>
      </c>
      <c r="FT216" s="377">
        <v>49444.3</v>
      </c>
      <c r="FU216" s="377">
        <v>325924.84000000003</v>
      </c>
      <c r="FV216" s="377">
        <v>3967.11</v>
      </c>
      <c r="FW216" s="362">
        <v>329891.95</v>
      </c>
      <c r="FX216" s="362">
        <v>266735.62</v>
      </c>
      <c r="FY216" s="362">
        <v>3745.49</v>
      </c>
      <c r="FZ216" s="362">
        <v>270481.11</v>
      </c>
      <c r="GA216" s="362">
        <v>108714.4</v>
      </c>
      <c r="GB216" s="362">
        <v>140.74</v>
      </c>
      <c r="GC216" s="362">
        <v>108855.14</v>
      </c>
      <c r="GD216" s="362">
        <v>12690.35</v>
      </c>
      <c r="GE216" s="362">
        <v>1506.68</v>
      </c>
      <c r="GF216" s="362">
        <v>14197.03</v>
      </c>
      <c r="GG216" s="202"/>
      <c r="GH216" s="416"/>
      <c r="GI216" s="414">
        <v>1947</v>
      </c>
      <c r="GJ216" s="419">
        <v>0</v>
      </c>
      <c r="GK216" s="396"/>
      <c r="GL216" s="202">
        <v>0</v>
      </c>
      <c r="GM216" s="202">
        <v>0</v>
      </c>
      <c r="GN216" s="323">
        <v>-35658.199999999997</v>
      </c>
      <c r="GO216" s="323">
        <v>608.89</v>
      </c>
      <c r="GP216" s="323">
        <v>-35049.31</v>
      </c>
      <c r="GQ216" s="323">
        <v>-22967.85</v>
      </c>
      <c r="GR216" s="323">
        <v>2115.5700000000002</v>
      </c>
      <c r="GS216" s="323">
        <v>-20852.28</v>
      </c>
    </row>
    <row r="217" spans="1:201" ht="12.75" customHeight="1" x14ac:dyDescent="0.2">
      <c r="A217" s="45" t="s">
        <v>308</v>
      </c>
      <c r="B217" s="48" t="s">
        <v>271</v>
      </c>
      <c r="C217" s="49" t="s">
        <v>39</v>
      </c>
      <c r="D217" s="388" t="s">
        <v>497</v>
      </c>
      <c r="E217" s="49" t="s">
        <v>12</v>
      </c>
      <c r="F217" s="11">
        <v>9</v>
      </c>
      <c r="G217" s="11">
        <v>4</v>
      </c>
      <c r="H217" s="11">
        <v>148</v>
      </c>
      <c r="I217" s="11">
        <v>148</v>
      </c>
      <c r="J217" s="11">
        <v>390</v>
      </c>
      <c r="K217" s="11">
        <v>439</v>
      </c>
      <c r="L217" s="11">
        <v>4</v>
      </c>
      <c r="M217" s="84">
        <v>1244.9000000000001</v>
      </c>
      <c r="N217" s="84">
        <v>1130</v>
      </c>
      <c r="O217" s="84">
        <v>1130</v>
      </c>
      <c r="P217" s="135">
        <f>1244.9+108.4</f>
        <v>1353.3</v>
      </c>
      <c r="Q217" s="135">
        <v>1339.7</v>
      </c>
      <c r="R217" s="133">
        <v>1469.7</v>
      </c>
      <c r="S217" s="133">
        <f t="shared" si="106"/>
        <v>4162.7</v>
      </c>
      <c r="T217" s="134">
        <v>1353.3</v>
      </c>
      <c r="U217" s="130">
        <v>2.44</v>
      </c>
      <c r="V217" s="91">
        <v>1.9800000000000002E-2</v>
      </c>
      <c r="W217" s="91">
        <v>1.9800000000000002E-2</v>
      </c>
      <c r="X217" s="132">
        <v>1.32E-3</v>
      </c>
      <c r="Y217" s="91">
        <v>3.9699999999999999E-2</v>
      </c>
      <c r="Z217" s="29">
        <v>8155.8</v>
      </c>
      <c r="AA217" s="29">
        <v>257.7</v>
      </c>
      <c r="AB217" s="9">
        <f t="shared" si="84"/>
        <v>8413.5</v>
      </c>
      <c r="AC217" s="9">
        <f t="shared" si="82"/>
        <v>53257.46</v>
      </c>
      <c r="AD217" s="9">
        <v>2.02</v>
      </c>
      <c r="AE217" s="9">
        <v>4.2300000000000004</v>
      </c>
      <c r="AF217" s="21">
        <f>2.45-AJ217</f>
        <v>2.3199999999999998</v>
      </c>
      <c r="AG217" s="18">
        <f>0.63-AQ217</f>
        <v>0.57999999999999996</v>
      </c>
      <c r="AH217" s="9">
        <v>2.78</v>
      </c>
      <c r="AI217" s="13">
        <v>1085</v>
      </c>
      <c r="AJ217" s="21">
        <f t="shared" si="87"/>
        <v>0.13</v>
      </c>
      <c r="AK217" s="9">
        <v>2.0499999999999998</v>
      </c>
      <c r="AL217" s="9">
        <v>0.18</v>
      </c>
      <c r="AM217" s="9">
        <v>7.0000000000000007E-2</v>
      </c>
      <c r="AN217" s="13"/>
      <c r="AO217" s="13">
        <v>820.4</v>
      </c>
      <c r="AP217" s="13">
        <f t="shared" si="107"/>
        <v>5.58</v>
      </c>
      <c r="AQ217" s="18">
        <f t="shared" si="83"/>
        <v>0.05</v>
      </c>
      <c r="AR217" s="9">
        <v>0.54</v>
      </c>
      <c r="AS217" s="9">
        <v>0.16</v>
      </c>
      <c r="AT217" s="9">
        <v>7.0000000000000007E-2</v>
      </c>
      <c r="AU217" s="9">
        <v>4.88</v>
      </c>
      <c r="AV217" s="9">
        <v>0.16</v>
      </c>
      <c r="AW217" s="9">
        <f>0.25+1.36+0.42</f>
        <v>2.0299999999999998</v>
      </c>
      <c r="AX217" s="9">
        <f>1.91+0.58</f>
        <v>2.4900000000000002</v>
      </c>
      <c r="AY217" s="46">
        <f t="shared" si="108"/>
        <v>24.74</v>
      </c>
      <c r="AZ217" s="13">
        <v>24.74</v>
      </c>
      <c r="BA217" s="13">
        <f t="shared" si="85"/>
        <v>0</v>
      </c>
      <c r="BB217" s="9">
        <f t="shared" si="86"/>
        <v>208149.99</v>
      </c>
      <c r="BC217" s="9">
        <v>24.74</v>
      </c>
      <c r="BD217" s="10">
        <v>44409</v>
      </c>
      <c r="BE217" s="9">
        <f t="shared" si="88"/>
        <v>16995.27</v>
      </c>
      <c r="BF217" s="9">
        <f t="shared" si="89"/>
        <v>35589.11</v>
      </c>
      <c r="BG217" s="9">
        <f t="shared" si="90"/>
        <v>19519.32</v>
      </c>
      <c r="BH217" s="9">
        <f t="shared" si="91"/>
        <v>4879.83</v>
      </c>
      <c r="BI217" s="9">
        <f t="shared" si="92"/>
        <v>23389.53</v>
      </c>
      <c r="BJ217" s="9">
        <f t="shared" si="93"/>
        <v>1093.76</v>
      </c>
      <c r="BK217" s="9">
        <f t="shared" si="94"/>
        <v>17247.68</v>
      </c>
      <c r="BL217" s="9">
        <f t="shared" si="95"/>
        <v>1514.43</v>
      </c>
      <c r="BM217" s="9">
        <f t="shared" si="96"/>
        <v>588.95000000000005</v>
      </c>
      <c r="BN217" s="9">
        <f t="shared" si="97"/>
        <v>420.68</v>
      </c>
      <c r="BO217" s="9">
        <f t="shared" si="98"/>
        <v>4543.29</v>
      </c>
      <c r="BP217" s="9">
        <f t="shared" si="99"/>
        <v>1346.16</v>
      </c>
      <c r="BQ217" s="9">
        <f t="shared" si="100"/>
        <v>588.95000000000005</v>
      </c>
      <c r="BR217" s="9">
        <f t="shared" si="101"/>
        <v>41057.879999999997</v>
      </c>
      <c r="BS217" s="9">
        <f t="shared" si="102"/>
        <v>1346.16</v>
      </c>
      <c r="BT217" s="9">
        <f t="shared" si="103"/>
        <v>17079.41</v>
      </c>
      <c r="BU217" s="9">
        <f t="shared" si="104"/>
        <v>20949.62</v>
      </c>
      <c r="BV217" s="17">
        <f t="shared" si="105"/>
        <v>208150.03</v>
      </c>
      <c r="BW217" s="17">
        <v>4.3</v>
      </c>
      <c r="BX217" s="17">
        <v>0.09</v>
      </c>
      <c r="BY217" s="17">
        <v>0.56999999999999995</v>
      </c>
      <c r="BZ217" s="17">
        <v>0.1</v>
      </c>
      <c r="CA217" s="29">
        <v>6.33</v>
      </c>
      <c r="CB217" s="325"/>
      <c r="CC217" s="13">
        <v>79381.63</v>
      </c>
      <c r="CD217" s="13">
        <v>12369.57</v>
      </c>
      <c r="CE217" s="13">
        <v>4447.91</v>
      </c>
      <c r="CF217" s="13">
        <v>-1441.71</v>
      </c>
      <c r="CG217" s="13">
        <v>262.95999999999998</v>
      </c>
      <c r="CH217" s="13">
        <v>0</v>
      </c>
      <c r="CI217" s="13">
        <v>10046.76</v>
      </c>
      <c r="CJ217" s="13">
        <v>43860</v>
      </c>
      <c r="CK217" s="13">
        <v>3234.51</v>
      </c>
      <c r="CL217" s="13">
        <v>2419324.89</v>
      </c>
      <c r="CM217" s="13">
        <v>393069.78</v>
      </c>
      <c r="CN217" s="13">
        <v>88267.02</v>
      </c>
      <c r="CO217" s="13">
        <v>8232.83</v>
      </c>
      <c r="CP217" s="13">
        <v>9129.85</v>
      </c>
      <c r="CQ217" s="13">
        <v>0</v>
      </c>
      <c r="CR217" s="13">
        <v>2215107.13</v>
      </c>
      <c r="CS217" s="13">
        <v>356127.42</v>
      </c>
      <c r="CT217" s="13">
        <v>105022.76</v>
      </c>
      <c r="CU217" s="13">
        <v>16771.689999999999</v>
      </c>
      <c r="CV217" s="13">
        <v>12727.52</v>
      </c>
      <c r="CW217" s="13">
        <v>0</v>
      </c>
      <c r="CX217" s="13">
        <v>472378.27</v>
      </c>
      <c r="CY217" s="13">
        <v>75418.820000000007</v>
      </c>
      <c r="CZ217" s="13">
        <v>-14783.04</v>
      </c>
      <c r="DA217" s="13">
        <v>3539.7</v>
      </c>
      <c r="DB217" s="13">
        <v>2492.04</v>
      </c>
      <c r="DC217" s="13"/>
      <c r="DD217" s="315">
        <v>2918024.37</v>
      </c>
      <c r="DE217" s="317">
        <v>2705756.52</v>
      </c>
      <c r="DF217" s="317">
        <v>92.73</v>
      </c>
      <c r="DG217" s="318">
        <v>539045.79</v>
      </c>
      <c r="DH217" s="310">
        <v>85659.72</v>
      </c>
      <c r="DI217" s="310">
        <v>48989.64</v>
      </c>
      <c r="DJ217" s="312">
        <v>0</v>
      </c>
      <c r="DK217" s="362">
        <v>0</v>
      </c>
      <c r="DL217" s="362"/>
      <c r="DM217" s="362">
        <v>0</v>
      </c>
      <c r="DN217" s="362">
        <v>0</v>
      </c>
      <c r="DO217" s="362">
        <v>0</v>
      </c>
      <c r="DP217" s="362">
        <v>17251.5</v>
      </c>
      <c r="DQ217" s="362">
        <v>3178</v>
      </c>
      <c r="DR217" s="362"/>
      <c r="DS217" s="362">
        <v>0</v>
      </c>
      <c r="DT217" s="362"/>
      <c r="DU217" s="362">
        <v>0</v>
      </c>
      <c r="DV217" s="362">
        <v>0</v>
      </c>
      <c r="DW217" s="362">
        <v>0</v>
      </c>
      <c r="DX217" s="362">
        <v>206113.33</v>
      </c>
      <c r="DY217" s="362">
        <v>93000</v>
      </c>
      <c r="DZ217" s="375">
        <v>0</v>
      </c>
      <c r="EA217" s="362">
        <v>0</v>
      </c>
      <c r="EB217" s="362">
        <v>0</v>
      </c>
      <c r="EC217" s="362"/>
      <c r="ED217" s="362">
        <v>698311.02</v>
      </c>
      <c r="EE217" s="362">
        <v>11900</v>
      </c>
      <c r="EF217" s="362"/>
      <c r="EG217" s="362">
        <v>0</v>
      </c>
      <c r="EH217" s="362">
        <v>0</v>
      </c>
      <c r="EI217" s="362"/>
      <c r="EJ217" s="362">
        <v>0</v>
      </c>
      <c r="EK217" s="362"/>
      <c r="EL217" s="362">
        <v>0</v>
      </c>
      <c r="EM217" s="362">
        <v>4577.82</v>
      </c>
      <c r="EN217" s="362">
        <v>0</v>
      </c>
      <c r="EO217" s="362">
        <v>0</v>
      </c>
      <c r="EP217" s="362">
        <v>538806</v>
      </c>
      <c r="EQ217" s="362">
        <v>0</v>
      </c>
      <c r="ER217" s="362">
        <v>13650</v>
      </c>
      <c r="ES217" s="362">
        <v>6924</v>
      </c>
      <c r="ET217" s="362">
        <v>17976</v>
      </c>
      <c r="EU217" s="362">
        <v>0</v>
      </c>
      <c r="EV217" s="362">
        <v>79085.600000000006</v>
      </c>
      <c r="EW217" s="362"/>
      <c r="EX217" s="202"/>
      <c r="EY217" s="202"/>
      <c r="EZ217" s="229"/>
      <c r="FA217" s="368">
        <v>470969.27</v>
      </c>
      <c r="FB217" s="368">
        <v>91051.68</v>
      </c>
      <c r="FC217" s="368">
        <v>0</v>
      </c>
      <c r="FD217" s="368">
        <v>0</v>
      </c>
      <c r="FE217" s="368">
        <v>2540.2600000000002</v>
      </c>
      <c r="FF217" s="368">
        <v>6144.05</v>
      </c>
      <c r="FG217" s="368">
        <v>-2297.04</v>
      </c>
      <c r="FH217" s="368">
        <v>-3354.28</v>
      </c>
      <c r="FI217" s="368">
        <v>0</v>
      </c>
      <c r="FJ217" s="368">
        <v>0</v>
      </c>
      <c r="FK217" s="368">
        <v>0</v>
      </c>
      <c r="FL217" s="368">
        <v>0</v>
      </c>
      <c r="FM217" s="368">
        <v>224865.14</v>
      </c>
      <c r="FN217" s="368">
        <v>142983.82</v>
      </c>
      <c r="FO217" s="323">
        <v>2193271.59</v>
      </c>
      <c r="FP217" s="323">
        <v>565053.93999999994</v>
      </c>
      <c r="FQ217" s="323">
        <v>2758325.53</v>
      </c>
      <c r="FR217" s="362">
        <v>281821.75</v>
      </c>
      <c r="FS217" s="362">
        <v>71240.34</v>
      </c>
      <c r="FT217" s="377">
        <v>353062.09</v>
      </c>
      <c r="FU217" s="377">
        <v>2552613.2799999998</v>
      </c>
      <c r="FV217" s="377">
        <v>517572.72</v>
      </c>
      <c r="FW217" s="362">
        <v>3070186</v>
      </c>
      <c r="FX217" s="362">
        <v>2300324.2799999998</v>
      </c>
      <c r="FY217" s="362">
        <v>510386.97</v>
      </c>
      <c r="FZ217" s="362">
        <v>2810711.25</v>
      </c>
      <c r="GA217" s="362">
        <v>534110.75</v>
      </c>
      <c r="GB217" s="362">
        <v>78426.09</v>
      </c>
      <c r="GC217" s="362">
        <v>612536.84</v>
      </c>
      <c r="GD217" s="362">
        <v>261552.66</v>
      </c>
      <c r="GE217" s="362">
        <v>12763.43</v>
      </c>
      <c r="GF217" s="362">
        <v>274316.09000000003</v>
      </c>
      <c r="GG217" s="202">
        <v>73491.05</v>
      </c>
      <c r="GH217" s="416">
        <v>84</v>
      </c>
      <c r="GI217" s="414">
        <v>3446.1</v>
      </c>
      <c r="GJ217" s="419">
        <v>95020.36</v>
      </c>
      <c r="GK217" s="396">
        <v>73491.05</v>
      </c>
      <c r="GL217" s="202">
        <v>61732.482000000004</v>
      </c>
      <c r="GM217" s="202">
        <v>11758.567999999999</v>
      </c>
      <c r="GN217" s="323">
        <v>359341.69</v>
      </c>
      <c r="GO217" s="323">
        <v>-47481.22</v>
      </c>
      <c r="GP217" s="323">
        <v>311860.46999999997</v>
      </c>
      <c r="GQ217" s="323">
        <v>620894.35</v>
      </c>
      <c r="GR217" s="323">
        <v>-34717.79</v>
      </c>
      <c r="GS217" s="323">
        <v>586176.56000000006</v>
      </c>
    </row>
    <row r="218" spans="1:201" ht="12.75" customHeight="1" x14ac:dyDescent="0.2">
      <c r="A218" s="45" t="s">
        <v>309</v>
      </c>
      <c r="B218" s="48" t="s">
        <v>271</v>
      </c>
      <c r="C218" s="49" t="s">
        <v>39</v>
      </c>
      <c r="D218" s="388" t="s">
        <v>582</v>
      </c>
      <c r="E218" s="49" t="s">
        <v>9</v>
      </c>
      <c r="F218" s="11">
        <v>9</v>
      </c>
      <c r="G218" s="11">
        <v>4</v>
      </c>
      <c r="H218" s="11">
        <v>144</v>
      </c>
      <c r="I218" s="11">
        <v>145</v>
      </c>
      <c r="J218" s="11">
        <v>372</v>
      </c>
      <c r="K218" s="11">
        <v>443</v>
      </c>
      <c r="L218" s="83">
        <v>4</v>
      </c>
      <c r="M218" s="84">
        <v>883.8</v>
      </c>
      <c r="N218" s="84">
        <v>1349</v>
      </c>
      <c r="O218" s="84">
        <v>1349</v>
      </c>
      <c r="P218" s="135">
        <v>1345.9</v>
      </c>
      <c r="Q218" s="135">
        <v>1349.9</v>
      </c>
      <c r="R218" s="135">
        <v>1349.9</v>
      </c>
      <c r="S218" s="133">
        <f t="shared" si="106"/>
        <v>4045.7</v>
      </c>
      <c r="T218" s="134">
        <v>1345.9</v>
      </c>
      <c r="U218" s="130">
        <v>2.44</v>
      </c>
      <c r="V218" s="131">
        <v>1.9800000000000002E-2</v>
      </c>
      <c r="W218" s="131">
        <v>1.9800000000000002E-2</v>
      </c>
      <c r="X218" s="132">
        <v>1.32E-3</v>
      </c>
      <c r="Y218" s="131">
        <v>3.9699999999999999E-2</v>
      </c>
      <c r="Z218" s="29">
        <v>7867.3</v>
      </c>
      <c r="AA218" s="29"/>
      <c r="AB218" s="9">
        <f t="shared" si="84"/>
        <v>7867.3</v>
      </c>
      <c r="AC218" s="9">
        <f t="shared" si="82"/>
        <v>49800.01</v>
      </c>
      <c r="AD218" s="9">
        <v>2.15</v>
      </c>
      <c r="AE218" s="9">
        <v>4.18</v>
      </c>
      <c r="AF218" s="21">
        <f>2.39-AJ218</f>
        <v>2.23</v>
      </c>
      <c r="AG218" s="18">
        <f>0.64-AQ218</f>
        <v>0.59</v>
      </c>
      <c r="AH218" s="9">
        <v>2.78</v>
      </c>
      <c r="AI218" s="13">
        <v>1296</v>
      </c>
      <c r="AJ218" s="21">
        <f t="shared" si="87"/>
        <v>0.16</v>
      </c>
      <c r="AK218" s="9">
        <v>2.19</v>
      </c>
      <c r="AL218" s="9">
        <v>0.49</v>
      </c>
      <c r="AM218" s="9">
        <v>7.0000000000000007E-2</v>
      </c>
      <c r="AN218" s="13"/>
      <c r="AO218" s="13">
        <v>820.4</v>
      </c>
      <c r="AP218" s="13">
        <f t="shared" si="107"/>
        <v>5.58</v>
      </c>
      <c r="AQ218" s="18">
        <f t="shared" si="83"/>
        <v>0.05</v>
      </c>
      <c r="AR218" s="9">
        <v>0.56000000000000005</v>
      </c>
      <c r="AS218" s="9">
        <v>0.17</v>
      </c>
      <c r="AT218" s="9">
        <v>7.0000000000000007E-2</v>
      </c>
      <c r="AU218" s="9">
        <v>4.58</v>
      </c>
      <c r="AV218" s="9">
        <v>0.17</v>
      </c>
      <c r="AW218" s="9">
        <f>0.26+1.41+0.4</f>
        <v>2.0699999999999998</v>
      </c>
      <c r="AX218" s="9">
        <f>1.98+0.55</f>
        <v>2.5299999999999998</v>
      </c>
      <c r="AY218" s="46">
        <f t="shared" si="108"/>
        <v>25.04</v>
      </c>
      <c r="AZ218" s="13">
        <v>25.04</v>
      </c>
      <c r="BA218" s="13">
        <f t="shared" si="85"/>
        <v>0</v>
      </c>
      <c r="BB218" s="9">
        <f t="shared" si="86"/>
        <v>196997.19</v>
      </c>
      <c r="BC218" s="9">
        <v>25.04</v>
      </c>
      <c r="BD218" s="10">
        <v>44409</v>
      </c>
      <c r="BE218" s="9">
        <f t="shared" si="88"/>
        <v>16914.7</v>
      </c>
      <c r="BF218" s="9">
        <f t="shared" si="89"/>
        <v>32885.31</v>
      </c>
      <c r="BG218" s="9">
        <f t="shared" si="90"/>
        <v>17544.080000000002</v>
      </c>
      <c r="BH218" s="9">
        <f t="shared" si="91"/>
        <v>4641.71</v>
      </c>
      <c r="BI218" s="9">
        <f t="shared" si="92"/>
        <v>21871.09</v>
      </c>
      <c r="BJ218" s="9">
        <f t="shared" si="93"/>
        <v>1258.77</v>
      </c>
      <c r="BK218" s="9">
        <f t="shared" si="94"/>
        <v>17229.39</v>
      </c>
      <c r="BL218" s="9">
        <f t="shared" si="95"/>
        <v>3854.98</v>
      </c>
      <c r="BM218" s="9">
        <f t="shared" si="96"/>
        <v>550.71</v>
      </c>
      <c r="BN218" s="9">
        <f t="shared" si="97"/>
        <v>393.37</v>
      </c>
      <c r="BO218" s="9">
        <f t="shared" si="98"/>
        <v>4405.6899999999996</v>
      </c>
      <c r="BP218" s="9">
        <f t="shared" si="99"/>
        <v>1337.44</v>
      </c>
      <c r="BQ218" s="9">
        <f t="shared" si="100"/>
        <v>550.71</v>
      </c>
      <c r="BR218" s="9">
        <f t="shared" si="101"/>
        <v>36032.230000000003</v>
      </c>
      <c r="BS218" s="9">
        <f t="shared" si="102"/>
        <v>1337.44</v>
      </c>
      <c r="BT218" s="9">
        <f t="shared" si="103"/>
        <v>16285.31</v>
      </c>
      <c r="BU218" s="9">
        <f t="shared" si="104"/>
        <v>19904.27</v>
      </c>
      <c r="BV218" s="17">
        <f t="shared" si="105"/>
        <v>196997.2</v>
      </c>
      <c r="BW218" s="17">
        <v>4.7</v>
      </c>
      <c r="BX218" s="17">
        <v>0.1</v>
      </c>
      <c r="BY218" s="17">
        <v>0.56999999999999995</v>
      </c>
      <c r="BZ218" s="17">
        <v>0.11</v>
      </c>
      <c r="CA218" s="29">
        <v>6.33</v>
      </c>
      <c r="CB218" s="325"/>
      <c r="CC218" s="13">
        <v>0</v>
      </c>
      <c r="CD218" s="13">
        <v>0</v>
      </c>
      <c r="CE218" s="13">
        <v>0</v>
      </c>
      <c r="CF218" s="13">
        <v>0</v>
      </c>
      <c r="CG218" s="13">
        <v>0</v>
      </c>
      <c r="CH218" s="13">
        <v>0</v>
      </c>
      <c r="CI218" s="13">
        <v>10158.36</v>
      </c>
      <c r="CJ218" s="13">
        <v>43860</v>
      </c>
      <c r="CK218" s="13">
        <v>3025.67</v>
      </c>
      <c r="CL218" s="13">
        <v>2363960.2400000002</v>
      </c>
      <c r="CM218" s="13">
        <v>543473.75</v>
      </c>
      <c r="CN218" s="13">
        <v>29659.8</v>
      </c>
      <c r="CO218" s="13">
        <v>1180.17</v>
      </c>
      <c r="CP218" s="13">
        <v>5348.56</v>
      </c>
      <c r="CQ218" s="13">
        <v>0</v>
      </c>
      <c r="CR218" s="13">
        <v>2178967.5299999998</v>
      </c>
      <c r="CS218" s="13">
        <v>486100.84</v>
      </c>
      <c r="CT218" s="13">
        <v>36946.9</v>
      </c>
      <c r="CU218" s="13">
        <v>7930.28</v>
      </c>
      <c r="CV218" s="13">
        <v>7982.37</v>
      </c>
      <c r="CW218" s="13">
        <v>0</v>
      </c>
      <c r="CX218" s="13">
        <v>434411.35</v>
      </c>
      <c r="CY218" s="13">
        <v>126787.28</v>
      </c>
      <c r="CZ218" s="13">
        <v>-6511.48</v>
      </c>
      <c r="DA218" s="13">
        <v>-1928.05</v>
      </c>
      <c r="DB218" s="13">
        <v>-9.68</v>
      </c>
      <c r="DC218" s="13"/>
      <c r="DD218" s="315">
        <v>2943622.52</v>
      </c>
      <c r="DE218" s="317">
        <v>2717927.92</v>
      </c>
      <c r="DF218" s="317">
        <v>92.33</v>
      </c>
      <c r="DG218" s="318">
        <v>552749.42000000004</v>
      </c>
      <c r="DH218" s="310">
        <v>82665.119999999995</v>
      </c>
      <c r="DI218" s="310">
        <v>47277</v>
      </c>
      <c r="DJ218" s="312">
        <v>0</v>
      </c>
      <c r="DK218" s="362">
        <v>0</v>
      </c>
      <c r="DL218" s="362"/>
      <c r="DM218" s="362">
        <v>0</v>
      </c>
      <c r="DN218" s="362">
        <v>0</v>
      </c>
      <c r="DO218" s="362">
        <v>0</v>
      </c>
      <c r="DP218" s="362">
        <v>20606.400000000001</v>
      </c>
      <c r="DQ218" s="362">
        <v>3178</v>
      </c>
      <c r="DR218" s="362"/>
      <c r="DS218" s="362">
        <v>0</v>
      </c>
      <c r="DT218" s="362"/>
      <c r="DU218" s="362">
        <v>0</v>
      </c>
      <c r="DV218" s="362">
        <v>0</v>
      </c>
      <c r="DW218" s="362">
        <v>0</v>
      </c>
      <c r="DX218" s="362">
        <v>206400</v>
      </c>
      <c r="DY218" s="362">
        <v>0</v>
      </c>
      <c r="DZ218" s="375">
        <v>0</v>
      </c>
      <c r="EA218" s="362">
        <v>0</v>
      </c>
      <c r="EB218" s="362">
        <v>0</v>
      </c>
      <c r="EC218" s="362"/>
      <c r="ED218" s="362">
        <v>660815.16</v>
      </c>
      <c r="EE218" s="362">
        <v>11900</v>
      </c>
      <c r="EF218" s="362"/>
      <c r="EG218" s="362">
        <v>0</v>
      </c>
      <c r="EH218" s="362">
        <v>0</v>
      </c>
      <c r="EI218" s="362"/>
      <c r="EJ218" s="362">
        <v>0</v>
      </c>
      <c r="EK218" s="362"/>
      <c r="EL218" s="362">
        <v>0</v>
      </c>
      <c r="EM218" s="362">
        <v>4577.82</v>
      </c>
      <c r="EN218" s="362">
        <v>0</v>
      </c>
      <c r="EO218" s="362">
        <v>0</v>
      </c>
      <c r="EP218" s="362">
        <v>495810</v>
      </c>
      <c r="EQ218" s="362">
        <v>0</v>
      </c>
      <c r="ER218" s="362">
        <v>13650</v>
      </c>
      <c r="ES218" s="362">
        <v>6924</v>
      </c>
      <c r="ET218" s="362">
        <v>17764</v>
      </c>
      <c r="EU218" s="362">
        <v>0</v>
      </c>
      <c r="EV218" s="362">
        <v>111649.13</v>
      </c>
      <c r="EW218" s="362"/>
      <c r="EX218" s="202"/>
      <c r="EY218" s="202"/>
      <c r="EZ218" s="229"/>
      <c r="FA218" s="368">
        <v>615006.6</v>
      </c>
      <c r="FB218" s="368">
        <v>29680.76</v>
      </c>
      <c r="FC218" s="368">
        <v>0</v>
      </c>
      <c r="FD218" s="368">
        <v>0</v>
      </c>
      <c r="FE218" s="368">
        <v>1883.28</v>
      </c>
      <c r="FF218" s="368">
        <v>5778.76</v>
      </c>
      <c r="FG218" s="368">
        <v>-3099.36</v>
      </c>
      <c r="FH218" s="368">
        <v>-3640.43</v>
      </c>
      <c r="FI218" s="368">
        <v>0</v>
      </c>
      <c r="FJ218" s="368">
        <v>0</v>
      </c>
      <c r="FK218" s="368">
        <v>0</v>
      </c>
      <c r="FL218" s="368">
        <v>0</v>
      </c>
      <c r="FM218" s="368">
        <v>210332.74</v>
      </c>
      <c r="FN218" s="368">
        <v>133739.39000000001</v>
      </c>
      <c r="FO218" s="323">
        <v>2027288.76</v>
      </c>
      <c r="FP218" s="323">
        <v>645609.61</v>
      </c>
      <c r="FQ218" s="323">
        <v>2672898.37</v>
      </c>
      <c r="FR218" s="362">
        <v>208631.38</v>
      </c>
      <c r="FS218" s="362">
        <v>67578.100000000006</v>
      </c>
      <c r="FT218" s="377">
        <v>276209.48</v>
      </c>
      <c r="FU218" s="377">
        <v>2417978.6</v>
      </c>
      <c r="FV218" s="377">
        <v>582687.94999999995</v>
      </c>
      <c r="FW218" s="362">
        <v>3000666.55</v>
      </c>
      <c r="FX218" s="362">
        <v>2192198.63</v>
      </c>
      <c r="FY218" s="362">
        <v>531927.98</v>
      </c>
      <c r="FZ218" s="362">
        <v>2724126.61</v>
      </c>
      <c r="GA218" s="362">
        <v>434411.35</v>
      </c>
      <c r="GB218" s="362">
        <v>118338.07</v>
      </c>
      <c r="GC218" s="362">
        <v>552749.42000000004</v>
      </c>
      <c r="GD218" s="362">
        <v>206013.29</v>
      </c>
      <c r="GE218" s="362">
        <v>30755.79</v>
      </c>
      <c r="GF218" s="362">
        <v>236769.08</v>
      </c>
      <c r="GG218" s="202"/>
      <c r="GH218" s="416"/>
      <c r="GI218" s="414">
        <v>3446.1</v>
      </c>
      <c r="GJ218" s="419">
        <v>0</v>
      </c>
      <c r="GK218" s="396"/>
      <c r="GL218" s="202">
        <v>0</v>
      </c>
      <c r="GM218" s="202">
        <v>0</v>
      </c>
      <c r="GN218" s="323">
        <v>390689.84</v>
      </c>
      <c r="GO218" s="323">
        <v>-62921.66</v>
      </c>
      <c r="GP218" s="323">
        <v>327768.18</v>
      </c>
      <c r="GQ218" s="323">
        <v>596703.13</v>
      </c>
      <c r="GR218" s="323">
        <v>-32165.87</v>
      </c>
      <c r="GS218" s="323">
        <v>564537.26</v>
      </c>
    </row>
    <row r="219" spans="1:201" ht="12.75" customHeight="1" x14ac:dyDescent="0.2">
      <c r="A219" s="45" t="s">
        <v>310</v>
      </c>
      <c r="B219" s="48" t="s">
        <v>277</v>
      </c>
      <c r="C219" s="49" t="s">
        <v>11</v>
      </c>
      <c r="D219" s="388" t="s">
        <v>583</v>
      </c>
      <c r="E219" s="49" t="s">
        <v>9</v>
      </c>
      <c r="F219" s="11">
        <v>9</v>
      </c>
      <c r="G219" s="11">
        <v>5</v>
      </c>
      <c r="H219" s="11">
        <v>180</v>
      </c>
      <c r="I219" s="11">
        <v>181</v>
      </c>
      <c r="J219" s="11">
        <v>377</v>
      </c>
      <c r="K219" s="11">
        <v>489</v>
      </c>
      <c r="L219" s="11">
        <v>5</v>
      </c>
      <c r="M219" s="84">
        <v>1462.4</v>
      </c>
      <c r="N219" s="84">
        <v>1859</v>
      </c>
      <c r="O219" s="84">
        <v>1859</v>
      </c>
      <c r="P219" s="139">
        <v>1462.4</v>
      </c>
      <c r="Q219" s="135">
        <f>1365.6+54.6+5.1+86.5+164+247.7</f>
        <v>1923.5</v>
      </c>
      <c r="R219" s="133">
        <v>686.9</v>
      </c>
      <c r="S219" s="133">
        <f t="shared" si="106"/>
        <v>4072.8</v>
      </c>
      <c r="T219" s="139">
        <v>1856.3</v>
      </c>
      <c r="U219" s="130">
        <v>2.44</v>
      </c>
      <c r="V219" s="91">
        <v>1.9800000000000002E-2</v>
      </c>
      <c r="W219" s="91">
        <v>1.9800000000000002E-2</v>
      </c>
      <c r="X219" s="132">
        <v>1.32E-3</v>
      </c>
      <c r="Y219" s="91">
        <v>3.9699999999999999E-2</v>
      </c>
      <c r="Z219" s="29">
        <v>9963</v>
      </c>
      <c r="AA219" s="29">
        <v>156.4</v>
      </c>
      <c r="AB219" s="9">
        <f t="shared" si="84"/>
        <v>10119.4</v>
      </c>
      <c r="AC219" s="9">
        <f t="shared" si="82"/>
        <v>64055.8</v>
      </c>
      <c r="AD219" s="9">
        <v>1.98</v>
      </c>
      <c r="AE219" s="9">
        <v>4.72</v>
      </c>
      <c r="AF219" s="21">
        <f>2.43-AJ219</f>
        <v>2.25</v>
      </c>
      <c r="AG219" s="18">
        <f>0.61-AQ219</f>
        <v>0.56000000000000005</v>
      </c>
      <c r="AH219" s="9">
        <v>2.78</v>
      </c>
      <c r="AI219" s="13">
        <v>1785</v>
      </c>
      <c r="AJ219" s="21">
        <f t="shared" si="87"/>
        <v>0.18</v>
      </c>
      <c r="AK219" s="9">
        <v>2.13</v>
      </c>
      <c r="AL219" s="9">
        <v>0.19</v>
      </c>
      <c r="AM219" s="9">
        <v>0</v>
      </c>
      <c r="AN219" s="13"/>
      <c r="AO219" s="13">
        <v>1025.5</v>
      </c>
      <c r="AP219" s="13">
        <f t="shared" si="107"/>
        <v>5.58</v>
      </c>
      <c r="AQ219" s="18">
        <f t="shared" si="83"/>
        <v>0.05</v>
      </c>
      <c r="AR219" s="9">
        <v>0.55000000000000004</v>
      </c>
      <c r="AS219" s="9">
        <v>0.4</v>
      </c>
      <c r="AT219" s="9">
        <v>7.0000000000000007E-2</v>
      </c>
      <c r="AU219" s="9">
        <v>3.74</v>
      </c>
      <c r="AV219" s="9">
        <v>0.17</v>
      </c>
      <c r="AW219" s="9">
        <f>0.26+1.42+0.31</f>
        <v>1.99</v>
      </c>
      <c r="AX219" s="9">
        <f>1.99+0.44</f>
        <v>2.4300000000000002</v>
      </c>
      <c r="AY219" s="46">
        <f t="shared" si="108"/>
        <v>24.19</v>
      </c>
      <c r="AZ219" s="13">
        <v>24.19</v>
      </c>
      <c r="BA219" s="13">
        <f t="shared" si="85"/>
        <v>0</v>
      </c>
      <c r="BB219" s="9">
        <f t="shared" si="86"/>
        <v>244788.29</v>
      </c>
      <c r="BC219" s="9">
        <v>24.19</v>
      </c>
      <c r="BD219" s="10">
        <v>44409</v>
      </c>
      <c r="BE219" s="9">
        <f t="shared" si="88"/>
        <v>20036.41</v>
      </c>
      <c r="BF219" s="9">
        <f t="shared" si="89"/>
        <v>47763.57</v>
      </c>
      <c r="BG219" s="9">
        <f t="shared" si="90"/>
        <v>22768.65</v>
      </c>
      <c r="BH219" s="9">
        <f t="shared" si="91"/>
        <v>5666.86</v>
      </c>
      <c r="BI219" s="9">
        <f t="shared" si="92"/>
        <v>28131.93</v>
      </c>
      <c r="BJ219" s="9">
        <f t="shared" si="93"/>
        <v>1821.49</v>
      </c>
      <c r="BK219" s="9">
        <f t="shared" si="94"/>
        <v>21554.32</v>
      </c>
      <c r="BL219" s="9">
        <f t="shared" si="95"/>
        <v>1922.69</v>
      </c>
      <c r="BM219" s="9">
        <f t="shared" si="96"/>
        <v>0</v>
      </c>
      <c r="BN219" s="9">
        <f t="shared" si="97"/>
        <v>505.97</v>
      </c>
      <c r="BO219" s="9">
        <f t="shared" si="98"/>
        <v>5565.67</v>
      </c>
      <c r="BP219" s="9">
        <f t="shared" si="99"/>
        <v>4047.76</v>
      </c>
      <c r="BQ219" s="9">
        <f t="shared" si="100"/>
        <v>708.36</v>
      </c>
      <c r="BR219" s="9">
        <f t="shared" si="101"/>
        <v>37846.559999999998</v>
      </c>
      <c r="BS219" s="9">
        <f t="shared" si="102"/>
        <v>1720.3</v>
      </c>
      <c r="BT219" s="9">
        <f t="shared" si="103"/>
        <v>20137.61</v>
      </c>
      <c r="BU219" s="9">
        <f t="shared" si="104"/>
        <v>24590.14</v>
      </c>
      <c r="BV219" s="17">
        <f t="shared" si="105"/>
        <v>244788.29</v>
      </c>
      <c r="BW219" s="17">
        <v>5.22</v>
      </c>
      <c r="BX219" s="17">
        <v>0.1</v>
      </c>
      <c r="BY219" s="17">
        <v>0.65</v>
      </c>
      <c r="BZ219" s="17">
        <v>0.11</v>
      </c>
      <c r="CA219" s="29">
        <v>6.33</v>
      </c>
      <c r="CB219" s="325"/>
      <c r="CC219" s="13">
        <v>46076.18</v>
      </c>
      <c r="CD219" s="13">
        <v>8562.84</v>
      </c>
      <c r="CE219" s="13">
        <v>3285.52</v>
      </c>
      <c r="CF219" s="13">
        <v>1217.68</v>
      </c>
      <c r="CG219" s="13">
        <v>1057.1099999999999</v>
      </c>
      <c r="CH219" s="13">
        <v>744</v>
      </c>
      <c r="CI219" s="13">
        <v>6273.29</v>
      </c>
      <c r="CJ219" s="13">
        <v>74388</v>
      </c>
      <c r="CK219" s="13">
        <v>3891.82</v>
      </c>
      <c r="CL219" s="13">
        <v>2892148.41</v>
      </c>
      <c r="CM219" s="13">
        <v>557835.17000000004</v>
      </c>
      <c r="CN219" s="13">
        <v>170580.85</v>
      </c>
      <c r="CO219" s="13">
        <v>128922.32</v>
      </c>
      <c r="CP219" s="13">
        <v>75718.89</v>
      </c>
      <c r="CQ219" s="13">
        <v>0</v>
      </c>
      <c r="CR219" s="13">
        <v>2681311.7200000002</v>
      </c>
      <c r="CS219" s="13">
        <v>486883.75</v>
      </c>
      <c r="CT219" s="13">
        <v>172437.64</v>
      </c>
      <c r="CU219" s="13">
        <v>118085.45</v>
      </c>
      <c r="CV219" s="13">
        <v>71456.240000000005</v>
      </c>
      <c r="CW219" s="13">
        <v>0</v>
      </c>
      <c r="CX219" s="13">
        <v>495563.37</v>
      </c>
      <c r="CY219" s="13">
        <v>86588.51</v>
      </c>
      <c r="CZ219" s="13">
        <v>23266.98</v>
      </c>
      <c r="DA219" s="13">
        <v>30361.5</v>
      </c>
      <c r="DB219" s="13">
        <v>17678.89</v>
      </c>
      <c r="DC219" s="13"/>
      <c r="DD219" s="315">
        <v>3825205.64</v>
      </c>
      <c r="DE219" s="317">
        <v>3530174.8</v>
      </c>
      <c r="DF219" s="317">
        <v>92.29</v>
      </c>
      <c r="DG219" s="318">
        <v>653459.25</v>
      </c>
      <c r="DH219" s="310">
        <v>104685.48</v>
      </c>
      <c r="DI219" s="310">
        <v>59870.76</v>
      </c>
      <c r="DJ219" s="312">
        <v>0</v>
      </c>
      <c r="DK219" s="362">
        <v>0</v>
      </c>
      <c r="DL219" s="362"/>
      <c r="DM219" s="362">
        <v>0</v>
      </c>
      <c r="DN219" s="362">
        <v>0</v>
      </c>
      <c r="DO219" s="362">
        <v>0</v>
      </c>
      <c r="DP219" s="362">
        <v>28381.5</v>
      </c>
      <c r="DQ219" s="362">
        <v>0</v>
      </c>
      <c r="DR219" s="362"/>
      <c r="DS219" s="362">
        <v>0</v>
      </c>
      <c r="DT219" s="362"/>
      <c r="DU219" s="362">
        <v>0</v>
      </c>
      <c r="DV219" s="362">
        <v>0</v>
      </c>
      <c r="DW219" s="362">
        <v>0</v>
      </c>
      <c r="DX219" s="362">
        <v>257574.62</v>
      </c>
      <c r="DY219" s="362">
        <v>22500</v>
      </c>
      <c r="DZ219" s="375">
        <v>0</v>
      </c>
      <c r="EA219" s="362">
        <v>0</v>
      </c>
      <c r="EB219" s="362">
        <v>0</v>
      </c>
      <c r="EC219" s="362"/>
      <c r="ED219" s="362">
        <v>900922.14</v>
      </c>
      <c r="EE219" s="362">
        <v>11900</v>
      </c>
      <c r="EF219" s="362"/>
      <c r="EG219" s="362">
        <v>0</v>
      </c>
      <c r="EH219" s="362">
        <v>0</v>
      </c>
      <c r="EI219" s="362"/>
      <c r="EJ219" s="362">
        <v>0</v>
      </c>
      <c r="EK219" s="362"/>
      <c r="EL219" s="362">
        <v>0</v>
      </c>
      <c r="EM219" s="362">
        <v>5722.29</v>
      </c>
      <c r="EN219" s="362">
        <v>0</v>
      </c>
      <c r="EO219" s="362">
        <v>744</v>
      </c>
      <c r="EP219" s="362">
        <v>638640</v>
      </c>
      <c r="EQ219" s="362">
        <v>0</v>
      </c>
      <c r="ER219" s="362">
        <v>38220</v>
      </c>
      <c r="ES219" s="362">
        <v>6924</v>
      </c>
      <c r="ET219" s="362">
        <v>22205</v>
      </c>
      <c r="EU219" s="362">
        <v>0</v>
      </c>
      <c r="EV219" s="362">
        <v>108400.77</v>
      </c>
      <c r="EW219" s="362"/>
      <c r="EX219" s="202"/>
      <c r="EY219" s="202"/>
      <c r="EZ219" s="229"/>
      <c r="FA219" s="368">
        <v>607201.62</v>
      </c>
      <c r="FB219" s="368">
        <v>150791.56</v>
      </c>
      <c r="FC219" s="368">
        <v>0</v>
      </c>
      <c r="FD219" s="368">
        <v>0</v>
      </c>
      <c r="FE219" s="368">
        <v>114653.04</v>
      </c>
      <c r="FF219" s="368">
        <v>68352.59</v>
      </c>
      <c r="FG219" s="368">
        <v>-5891.23</v>
      </c>
      <c r="FH219" s="368">
        <v>-5673.3</v>
      </c>
      <c r="FI219" s="368">
        <v>0</v>
      </c>
      <c r="FJ219" s="368">
        <v>0</v>
      </c>
      <c r="FK219" s="368">
        <v>0</v>
      </c>
      <c r="FL219" s="368">
        <v>0</v>
      </c>
      <c r="FM219" s="368">
        <v>270551.40999999997</v>
      </c>
      <c r="FN219" s="368">
        <v>172028.97</v>
      </c>
      <c r="FO219" s="323">
        <v>2649270.94</v>
      </c>
      <c r="FP219" s="323">
        <v>929434.28</v>
      </c>
      <c r="FQ219" s="323">
        <v>3578705.22</v>
      </c>
      <c r="FR219" s="362">
        <v>281456</v>
      </c>
      <c r="FS219" s="362">
        <v>103541.43</v>
      </c>
      <c r="FT219" s="377">
        <v>384997.43</v>
      </c>
      <c r="FU219" s="377">
        <v>3018885.88</v>
      </c>
      <c r="FV219" s="377">
        <v>951816.2</v>
      </c>
      <c r="FW219" s="362">
        <v>3970702.08</v>
      </c>
      <c r="FX219" s="362">
        <v>2766100.59</v>
      </c>
      <c r="FY219" s="362">
        <v>885247.67</v>
      </c>
      <c r="FZ219" s="362">
        <v>3651348.26</v>
      </c>
      <c r="GA219" s="362">
        <v>534241.29</v>
      </c>
      <c r="GB219" s="362">
        <v>170109.96</v>
      </c>
      <c r="GC219" s="362">
        <v>704351.25</v>
      </c>
      <c r="GD219" s="362">
        <v>259821.5</v>
      </c>
      <c r="GE219" s="362">
        <v>-63030.23</v>
      </c>
      <c r="GF219" s="362">
        <v>196791.27</v>
      </c>
      <c r="GG219" s="202">
        <v>50892</v>
      </c>
      <c r="GH219" s="416">
        <v>76</v>
      </c>
      <c r="GI219" s="414">
        <v>5478.1</v>
      </c>
      <c r="GJ219" s="419">
        <v>60943.33</v>
      </c>
      <c r="GK219" s="396">
        <v>50892</v>
      </c>
      <c r="GL219" s="202">
        <v>38677.919999999998</v>
      </c>
      <c r="GM219" s="202">
        <v>12214.08</v>
      </c>
      <c r="GN219" s="323">
        <v>369614.94</v>
      </c>
      <c r="GO219" s="323">
        <v>22381.919999999998</v>
      </c>
      <c r="GP219" s="323">
        <v>391996.86</v>
      </c>
      <c r="GQ219" s="323">
        <v>629436.43999999994</v>
      </c>
      <c r="GR219" s="323">
        <v>-40648.31</v>
      </c>
      <c r="GS219" s="323">
        <v>588788.13</v>
      </c>
    </row>
    <row r="220" spans="1:201" ht="12.75" customHeight="1" x14ac:dyDescent="0.2">
      <c r="A220" s="45" t="s">
        <v>311</v>
      </c>
      <c r="B220" s="48" t="s">
        <v>277</v>
      </c>
      <c r="C220" s="49" t="s">
        <v>46</v>
      </c>
      <c r="D220" s="390" t="s">
        <v>660</v>
      </c>
      <c r="E220" s="49"/>
      <c r="F220" s="11">
        <v>10</v>
      </c>
      <c r="G220" s="11">
        <v>2</v>
      </c>
      <c r="H220" s="11">
        <v>72</v>
      </c>
      <c r="I220" s="11">
        <v>72</v>
      </c>
      <c r="J220" s="11">
        <v>201</v>
      </c>
      <c r="K220" s="11">
        <v>224</v>
      </c>
      <c r="L220" s="11">
        <v>2</v>
      </c>
      <c r="M220" s="84">
        <v>740.6</v>
      </c>
      <c r="N220" s="84">
        <v>666.1</v>
      </c>
      <c r="O220" s="84">
        <v>918</v>
      </c>
      <c r="P220" s="135">
        <v>802.6</v>
      </c>
      <c r="Q220" s="135">
        <v>485.9</v>
      </c>
      <c r="R220" s="135">
        <v>485.9</v>
      </c>
      <c r="S220" s="133">
        <f t="shared" si="106"/>
        <v>1774.4</v>
      </c>
      <c r="T220" s="134">
        <v>802.6</v>
      </c>
      <c r="U220" s="130">
        <v>2.74</v>
      </c>
      <c r="V220" s="131">
        <v>1.1299999999999999E-2</v>
      </c>
      <c r="W220" s="131">
        <v>1.1299999999999999E-2</v>
      </c>
      <c r="X220" s="132">
        <v>7.5000000000000002E-4</v>
      </c>
      <c r="Y220" s="131">
        <v>2.2499999999999999E-2</v>
      </c>
      <c r="Z220" s="29">
        <v>3960.99</v>
      </c>
      <c r="AA220" s="29">
        <v>439.2</v>
      </c>
      <c r="AB220" s="9">
        <f t="shared" si="84"/>
        <v>4400.1899999999996</v>
      </c>
      <c r="AC220" s="9">
        <f t="shared" si="82"/>
        <v>27853.200000000001</v>
      </c>
      <c r="AD220" s="9">
        <v>3.02</v>
      </c>
      <c r="AE220" s="9">
        <v>4.2</v>
      </c>
      <c r="AF220" s="21">
        <f>2.45-AJ220</f>
        <v>2.25</v>
      </c>
      <c r="AG220" s="18">
        <f>0.61-AQ220</f>
        <v>0.56000000000000005</v>
      </c>
      <c r="AH220" s="9">
        <v>2.78</v>
      </c>
      <c r="AI220" s="13">
        <v>881</v>
      </c>
      <c r="AJ220" s="21">
        <f t="shared" si="87"/>
        <v>0.2</v>
      </c>
      <c r="AK220" s="9">
        <v>1.96</v>
      </c>
      <c r="AL220" s="9">
        <v>0.17</v>
      </c>
      <c r="AM220" s="9">
        <v>0.13</v>
      </c>
      <c r="AN220" s="13"/>
      <c r="AO220" s="13">
        <v>455</v>
      </c>
      <c r="AP220" s="13">
        <f t="shared" si="107"/>
        <v>5.58</v>
      </c>
      <c r="AQ220" s="18">
        <f t="shared" si="83"/>
        <v>0.05</v>
      </c>
      <c r="AR220" s="9">
        <v>0.51</v>
      </c>
      <c r="AS220" s="9">
        <v>0.31</v>
      </c>
      <c r="AT220" s="9">
        <v>7.0000000000000007E-2</v>
      </c>
      <c r="AU220" s="9">
        <v>4.3</v>
      </c>
      <c r="AV220" s="9">
        <v>0.17</v>
      </c>
      <c r="AW220" s="9">
        <f>0.26+1.45+0.38</f>
        <v>2.09</v>
      </c>
      <c r="AX220" s="9">
        <f>2.03+0.51</f>
        <v>2.54</v>
      </c>
      <c r="AY220" s="46">
        <f t="shared" si="108"/>
        <v>25.31</v>
      </c>
      <c r="AZ220" s="13">
        <v>25.31</v>
      </c>
      <c r="BA220" s="13">
        <f t="shared" si="85"/>
        <v>0</v>
      </c>
      <c r="BB220" s="9">
        <f t="shared" si="86"/>
        <v>111368.81</v>
      </c>
      <c r="BC220" s="9">
        <v>25.31</v>
      </c>
      <c r="BD220" s="10">
        <v>44440</v>
      </c>
      <c r="BE220" s="9">
        <f t="shared" si="88"/>
        <v>13288.57</v>
      </c>
      <c r="BF220" s="9">
        <f t="shared" si="89"/>
        <v>18480.8</v>
      </c>
      <c r="BG220" s="9">
        <f t="shared" si="90"/>
        <v>9900.43</v>
      </c>
      <c r="BH220" s="9">
        <f t="shared" si="91"/>
        <v>2464.11</v>
      </c>
      <c r="BI220" s="9">
        <f t="shared" si="92"/>
        <v>12232.53</v>
      </c>
      <c r="BJ220" s="9">
        <f t="shared" si="93"/>
        <v>880.04</v>
      </c>
      <c r="BK220" s="9">
        <f t="shared" si="94"/>
        <v>8624.3700000000008</v>
      </c>
      <c r="BL220" s="9">
        <f t="shared" si="95"/>
        <v>748.03</v>
      </c>
      <c r="BM220" s="9">
        <f t="shared" si="96"/>
        <v>572.02</v>
      </c>
      <c r="BN220" s="9">
        <f t="shared" si="97"/>
        <v>220.01</v>
      </c>
      <c r="BO220" s="9">
        <f t="shared" si="98"/>
        <v>2244.1</v>
      </c>
      <c r="BP220" s="9">
        <f t="shared" si="99"/>
        <v>1364.06</v>
      </c>
      <c r="BQ220" s="9">
        <f t="shared" si="100"/>
        <v>308.01</v>
      </c>
      <c r="BR220" s="9">
        <f t="shared" si="101"/>
        <v>18920.82</v>
      </c>
      <c r="BS220" s="9">
        <f t="shared" si="102"/>
        <v>748.03</v>
      </c>
      <c r="BT220" s="9">
        <f t="shared" si="103"/>
        <v>9196.4</v>
      </c>
      <c r="BU220" s="9">
        <f t="shared" si="104"/>
        <v>11176.48</v>
      </c>
      <c r="BV220" s="17">
        <f t="shared" si="105"/>
        <v>111368.81</v>
      </c>
      <c r="BW220" s="17">
        <v>4.9000000000000004</v>
      </c>
      <c r="BX220" s="17">
        <v>0.06</v>
      </c>
      <c r="BY220" s="17">
        <v>0.37</v>
      </c>
      <c r="BZ220" s="17">
        <v>0.06</v>
      </c>
      <c r="CA220" s="29">
        <v>6.33</v>
      </c>
      <c r="CB220" s="325"/>
      <c r="CC220" s="13">
        <v>133393.79999999999</v>
      </c>
      <c r="CD220" s="13">
        <v>13074.99</v>
      </c>
      <c r="CE220" s="13">
        <v>0</v>
      </c>
      <c r="CF220" s="13">
        <v>566.57000000000005</v>
      </c>
      <c r="CG220" s="13">
        <v>456.71</v>
      </c>
      <c r="CH220" s="13">
        <v>0</v>
      </c>
      <c r="CI220" s="13">
        <v>2279.2399999999998</v>
      </c>
      <c r="CJ220" s="13">
        <v>40980</v>
      </c>
      <c r="CK220" s="13">
        <v>1690.77</v>
      </c>
      <c r="CL220" s="13">
        <v>1201589.68</v>
      </c>
      <c r="CM220" s="13">
        <v>117828.85</v>
      </c>
      <c r="CN220" s="13">
        <v>1.19</v>
      </c>
      <c r="CO220" s="13">
        <v>5103.93</v>
      </c>
      <c r="CP220" s="13">
        <v>4115.05</v>
      </c>
      <c r="CQ220" s="13">
        <v>0</v>
      </c>
      <c r="CR220" s="13">
        <v>1123016.99</v>
      </c>
      <c r="CS220" s="13">
        <v>109052.9</v>
      </c>
      <c r="CT220" s="13">
        <v>721.27</v>
      </c>
      <c r="CU220" s="13">
        <v>7676.36</v>
      </c>
      <c r="CV220" s="13">
        <v>5252.52</v>
      </c>
      <c r="CW220" s="13">
        <v>0</v>
      </c>
      <c r="CX220" s="13">
        <v>195224.49</v>
      </c>
      <c r="CY220" s="13">
        <v>18427.3</v>
      </c>
      <c r="CZ220" s="13">
        <v>-1164.22</v>
      </c>
      <c r="DA220" s="13">
        <v>612.12</v>
      </c>
      <c r="DB220" s="13">
        <v>472.03</v>
      </c>
      <c r="DC220" s="13"/>
      <c r="DD220" s="315">
        <v>1328638.7</v>
      </c>
      <c r="DE220" s="317">
        <v>1245720.04</v>
      </c>
      <c r="DF220" s="317">
        <v>93.76</v>
      </c>
      <c r="DG220" s="318">
        <v>213571.72</v>
      </c>
      <c r="DH220" s="310">
        <v>41537.879999999997</v>
      </c>
      <c r="DI220" s="310">
        <v>23755.919999999998</v>
      </c>
      <c r="DJ220" s="312">
        <v>0</v>
      </c>
      <c r="DK220" s="362">
        <v>0</v>
      </c>
      <c r="DL220" s="362"/>
      <c r="DM220" s="362">
        <v>0</v>
      </c>
      <c r="DN220" s="362">
        <v>0</v>
      </c>
      <c r="DO220" s="362">
        <v>0</v>
      </c>
      <c r="DP220" s="362">
        <v>14007.9</v>
      </c>
      <c r="DQ220" s="362">
        <v>1176</v>
      </c>
      <c r="DR220" s="362"/>
      <c r="DS220" s="362">
        <v>0</v>
      </c>
      <c r="DT220" s="362"/>
      <c r="DU220" s="362">
        <v>0</v>
      </c>
      <c r="DV220" s="362">
        <v>0</v>
      </c>
      <c r="DW220" s="362">
        <v>0</v>
      </c>
      <c r="DX220" s="362">
        <v>103200</v>
      </c>
      <c r="DY220" s="362">
        <v>28000</v>
      </c>
      <c r="DZ220" s="375">
        <v>0</v>
      </c>
      <c r="EA220" s="362">
        <v>0</v>
      </c>
      <c r="EB220" s="362">
        <v>0</v>
      </c>
      <c r="EC220" s="362"/>
      <c r="ED220" s="362">
        <v>420735.42</v>
      </c>
      <c r="EE220" s="362">
        <v>12750</v>
      </c>
      <c r="EF220" s="362"/>
      <c r="EG220" s="362">
        <v>0</v>
      </c>
      <c r="EH220" s="362">
        <v>0</v>
      </c>
      <c r="EI220" s="362"/>
      <c r="EJ220" s="362">
        <v>0</v>
      </c>
      <c r="EK220" s="362"/>
      <c r="EL220" s="362">
        <v>0</v>
      </c>
      <c r="EM220" s="362">
        <v>2538.9</v>
      </c>
      <c r="EN220" s="362">
        <v>0</v>
      </c>
      <c r="EO220" s="362">
        <v>0</v>
      </c>
      <c r="EP220" s="362">
        <v>276648</v>
      </c>
      <c r="EQ220" s="362">
        <v>0</v>
      </c>
      <c r="ER220" s="362">
        <v>15015</v>
      </c>
      <c r="ES220" s="362">
        <v>6924</v>
      </c>
      <c r="ET220" s="362">
        <v>8882</v>
      </c>
      <c r="EU220" s="362">
        <v>0</v>
      </c>
      <c r="EV220" s="362">
        <v>456620.75</v>
      </c>
      <c r="EW220" s="362"/>
      <c r="EX220" s="202"/>
      <c r="EY220" s="202"/>
      <c r="EZ220" s="229"/>
      <c r="FA220" s="368">
        <v>149722.71</v>
      </c>
      <c r="FB220" s="368">
        <v>0</v>
      </c>
      <c r="FC220" s="368">
        <v>0</v>
      </c>
      <c r="FD220" s="368">
        <v>0</v>
      </c>
      <c r="FE220" s="368">
        <v>2918.59</v>
      </c>
      <c r="FF220" s="368">
        <v>3157.43</v>
      </c>
      <c r="FG220" s="368">
        <v>-567.5</v>
      </c>
      <c r="FH220" s="368">
        <v>-1421.82</v>
      </c>
      <c r="FI220" s="368">
        <v>0</v>
      </c>
      <c r="FJ220" s="368">
        <v>0</v>
      </c>
      <c r="FK220" s="368">
        <v>0</v>
      </c>
      <c r="FL220" s="368">
        <v>0</v>
      </c>
      <c r="FM220" s="368">
        <v>117552.28</v>
      </c>
      <c r="FN220" s="368">
        <v>74750.77</v>
      </c>
      <c r="FO220" s="323">
        <v>1604094.82</v>
      </c>
      <c r="FP220" s="323">
        <v>153809.41</v>
      </c>
      <c r="FQ220" s="323">
        <v>1757904.23</v>
      </c>
      <c r="FR220" s="362">
        <v>140218.96</v>
      </c>
      <c r="FS220" s="362">
        <v>16024.82</v>
      </c>
      <c r="FT220" s="377">
        <v>156243.78</v>
      </c>
      <c r="FU220" s="377">
        <v>1378242.72</v>
      </c>
      <c r="FV220" s="377">
        <v>142838.06</v>
      </c>
      <c r="FW220" s="362">
        <v>1521080.78</v>
      </c>
      <c r="FX220" s="362">
        <v>1312315.6000000001</v>
      </c>
      <c r="FY220" s="362">
        <v>139302.14000000001</v>
      </c>
      <c r="FZ220" s="362">
        <v>1451617.74</v>
      </c>
      <c r="GA220" s="362">
        <v>206146.08</v>
      </c>
      <c r="GB220" s="362">
        <v>19560.740000000002</v>
      </c>
      <c r="GC220" s="362">
        <v>225706.82</v>
      </c>
      <c r="GD220" s="362">
        <v>104598.03</v>
      </c>
      <c r="GE220" s="362">
        <v>13999.17</v>
      </c>
      <c r="GF220" s="362">
        <v>118597.2</v>
      </c>
      <c r="GG220" s="202">
        <v>12135.1</v>
      </c>
      <c r="GH220" s="416">
        <v>90</v>
      </c>
      <c r="GI220" s="414">
        <v>3458.55</v>
      </c>
      <c r="GJ220" s="419">
        <v>147492.07</v>
      </c>
      <c r="GK220" s="396">
        <v>12135.1</v>
      </c>
      <c r="GL220" s="202">
        <v>10921.59</v>
      </c>
      <c r="GM220" s="202">
        <v>1213.51</v>
      </c>
      <c r="GN220" s="323">
        <v>-225852.1</v>
      </c>
      <c r="GO220" s="323">
        <v>-10971.35</v>
      </c>
      <c r="GP220" s="323">
        <v>-236823.45</v>
      </c>
      <c r="GQ220" s="323">
        <v>-121254.07</v>
      </c>
      <c r="GR220" s="323">
        <v>3027.82</v>
      </c>
      <c r="GS220" s="323">
        <v>-118226.25</v>
      </c>
    </row>
    <row r="221" spans="1:201" ht="12.75" customHeight="1" x14ac:dyDescent="0.2">
      <c r="A221" s="45" t="s">
        <v>312</v>
      </c>
      <c r="B221" s="48" t="s">
        <v>277</v>
      </c>
      <c r="C221" s="49" t="s">
        <v>17</v>
      </c>
      <c r="D221" s="388" t="s">
        <v>505</v>
      </c>
      <c r="E221" s="49" t="s">
        <v>12</v>
      </c>
      <c r="F221" s="11">
        <v>10</v>
      </c>
      <c r="G221" s="11">
        <v>2</v>
      </c>
      <c r="H221" s="11">
        <v>72</v>
      </c>
      <c r="I221" s="11">
        <v>74</v>
      </c>
      <c r="J221" s="11">
        <v>181</v>
      </c>
      <c r="K221" s="11">
        <v>199</v>
      </c>
      <c r="L221" s="11">
        <v>2</v>
      </c>
      <c r="M221" s="84">
        <v>611.20000000000005</v>
      </c>
      <c r="N221" s="84">
        <v>723.7</v>
      </c>
      <c r="O221" s="84">
        <v>723.1</v>
      </c>
      <c r="P221" s="135">
        <v>669.8</v>
      </c>
      <c r="Q221" s="135">
        <v>485.9</v>
      </c>
      <c r="R221" s="133">
        <v>485.9</v>
      </c>
      <c r="S221" s="133">
        <f t="shared" si="106"/>
        <v>1641.6</v>
      </c>
      <c r="T221" s="134">
        <v>669.8</v>
      </c>
      <c r="U221" s="130">
        <v>2.74</v>
      </c>
      <c r="V221" s="131">
        <v>1.1299999999999999E-2</v>
      </c>
      <c r="W221" s="131">
        <v>1.1299999999999999E-2</v>
      </c>
      <c r="X221" s="132">
        <v>7.5000000000000002E-4</v>
      </c>
      <c r="Y221" s="131">
        <v>2.2499999999999999E-2</v>
      </c>
      <c r="Z221" s="29">
        <v>3933.45</v>
      </c>
      <c r="AA221" s="29"/>
      <c r="AB221" s="9">
        <f t="shared" si="84"/>
        <v>3933.45</v>
      </c>
      <c r="AC221" s="9">
        <f t="shared" si="82"/>
        <v>24898.74</v>
      </c>
      <c r="AD221" s="9">
        <v>2.16</v>
      </c>
      <c r="AE221" s="9">
        <v>3.88</v>
      </c>
      <c r="AF221" s="21">
        <f>2.45-AJ221</f>
        <v>2.27</v>
      </c>
      <c r="AG221" s="18">
        <f>0.62-AQ221</f>
        <v>0.56999999999999995</v>
      </c>
      <c r="AH221" s="9">
        <v>2.78</v>
      </c>
      <c r="AI221" s="13">
        <v>695</v>
      </c>
      <c r="AJ221" s="21">
        <f t="shared" si="87"/>
        <v>0.18</v>
      </c>
      <c r="AK221" s="9">
        <v>2.1800000000000002</v>
      </c>
      <c r="AL221" s="9">
        <v>0.59</v>
      </c>
      <c r="AM221" s="9">
        <v>0.15</v>
      </c>
      <c r="AN221" s="13"/>
      <c r="AO221" s="13">
        <v>455</v>
      </c>
      <c r="AP221" s="13">
        <f t="shared" si="107"/>
        <v>5.58</v>
      </c>
      <c r="AQ221" s="18">
        <f t="shared" si="83"/>
        <v>0.05</v>
      </c>
      <c r="AR221" s="9">
        <v>0.56000000000000005</v>
      </c>
      <c r="AS221" s="9">
        <v>0.35</v>
      </c>
      <c r="AT221" s="9">
        <v>7.0000000000000007E-2</v>
      </c>
      <c r="AU221" s="9">
        <v>3.95</v>
      </c>
      <c r="AV221" s="9">
        <v>0.17</v>
      </c>
      <c r="AW221" s="9">
        <f>0.26+1.42+0.33</f>
        <v>2.0099999999999998</v>
      </c>
      <c r="AX221" s="9">
        <f>2+0.47</f>
        <v>2.4700000000000002</v>
      </c>
      <c r="AY221" s="46">
        <f t="shared" si="108"/>
        <v>24.39</v>
      </c>
      <c r="AZ221" s="13">
        <v>24.39</v>
      </c>
      <c r="BA221" s="13">
        <f t="shared" si="85"/>
        <v>0</v>
      </c>
      <c r="BB221" s="9">
        <f t="shared" si="86"/>
        <v>95936.85</v>
      </c>
      <c r="BC221" s="9">
        <v>24.39</v>
      </c>
      <c r="BD221" s="10">
        <v>44378</v>
      </c>
      <c r="BE221" s="9">
        <f t="shared" si="88"/>
        <v>8496.25</v>
      </c>
      <c r="BF221" s="9">
        <f t="shared" si="89"/>
        <v>15261.79</v>
      </c>
      <c r="BG221" s="9">
        <f t="shared" si="90"/>
        <v>8928.93</v>
      </c>
      <c r="BH221" s="9">
        <f t="shared" si="91"/>
        <v>2242.0700000000002</v>
      </c>
      <c r="BI221" s="9">
        <f t="shared" si="92"/>
        <v>10934.99</v>
      </c>
      <c r="BJ221" s="9">
        <f t="shared" si="93"/>
        <v>708.02</v>
      </c>
      <c r="BK221" s="9">
        <f t="shared" si="94"/>
        <v>8574.92</v>
      </c>
      <c r="BL221" s="9">
        <f t="shared" si="95"/>
        <v>2320.7399999999998</v>
      </c>
      <c r="BM221" s="9">
        <f t="shared" si="96"/>
        <v>590.02</v>
      </c>
      <c r="BN221" s="9">
        <f t="shared" si="97"/>
        <v>196.67</v>
      </c>
      <c r="BO221" s="9">
        <f t="shared" si="98"/>
        <v>2202.73</v>
      </c>
      <c r="BP221" s="9">
        <f t="shared" si="99"/>
        <v>1376.71</v>
      </c>
      <c r="BQ221" s="9">
        <f t="shared" si="100"/>
        <v>275.33999999999997</v>
      </c>
      <c r="BR221" s="9">
        <f t="shared" si="101"/>
        <v>15537.13</v>
      </c>
      <c r="BS221" s="9">
        <f t="shared" si="102"/>
        <v>668.69</v>
      </c>
      <c r="BT221" s="9">
        <f t="shared" si="103"/>
        <v>7906.23</v>
      </c>
      <c r="BU221" s="9">
        <f t="shared" si="104"/>
        <v>9715.6200000000008</v>
      </c>
      <c r="BV221" s="17">
        <f t="shared" si="105"/>
        <v>95936.85</v>
      </c>
      <c r="BW221" s="17">
        <v>5.26</v>
      </c>
      <c r="BX221" s="17">
        <v>0.05</v>
      </c>
      <c r="BY221" s="17">
        <v>0.32</v>
      </c>
      <c r="BZ221" s="17">
        <v>0.06</v>
      </c>
      <c r="CA221" s="29">
        <v>6.33</v>
      </c>
      <c r="CB221" s="325"/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744</v>
      </c>
      <c r="CI221" s="13">
        <v>3370</v>
      </c>
      <c r="CJ221" s="13">
        <v>34884</v>
      </c>
      <c r="CK221" s="13">
        <v>1512.76</v>
      </c>
      <c r="CL221" s="13">
        <v>1151242.44</v>
      </c>
      <c r="CM221" s="13">
        <v>419699.19</v>
      </c>
      <c r="CN221" s="13">
        <v>23876.02</v>
      </c>
      <c r="CO221" s="13">
        <v>-1180.03</v>
      </c>
      <c r="CP221" s="13">
        <v>786.64</v>
      </c>
      <c r="CQ221" s="13">
        <v>0</v>
      </c>
      <c r="CR221" s="13">
        <v>1121351.01</v>
      </c>
      <c r="CS221" s="13">
        <v>391093.46</v>
      </c>
      <c r="CT221" s="13">
        <v>23601.39</v>
      </c>
      <c r="CU221" s="13">
        <v>5103.29</v>
      </c>
      <c r="CV221" s="13">
        <v>3837.08</v>
      </c>
      <c r="CW221" s="13">
        <v>0</v>
      </c>
      <c r="CX221" s="13">
        <v>164950.23000000001</v>
      </c>
      <c r="CY221" s="13">
        <v>68136.25</v>
      </c>
      <c r="CZ221" s="13">
        <v>8017.13</v>
      </c>
      <c r="DA221" s="13">
        <v>-2874.18</v>
      </c>
      <c r="DB221" s="13">
        <v>-1244.44</v>
      </c>
      <c r="DC221" s="13"/>
      <c r="DD221" s="315">
        <v>1594424.26</v>
      </c>
      <c r="DE221" s="317">
        <v>1544986.23</v>
      </c>
      <c r="DF221" s="317">
        <v>96.9</v>
      </c>
      <c r="DG221" s="318">
        <v>236984.99</v>
      </c>
      <c r="DH221" s="310">
        <v>41330.400000000001</v>
      </c>
      <c r="DI221" s="310">
        <v>23637.360000000001</v>
      </c>
      <c r="DJ221" s="312">
        <v>0</v>
      </c>
      <c r="DK221" s="362">
        <v>0</v>
      </c>
      <c r="DL221" s="362"/>
      <c r="DM221" s="362">
        <v>0</v>
      </c>
      <c r="DN221" s="362">
        <v>0</v>
      </c>
      <c r="DO221" s="362">
        <v>0</v>
      </c>
      <c r="DP221" s="362">
        <v>11050.5</v>
      </c>
      <c r="DQ221" s="362">
        <v>1176</v>
      </c>
      <c r="DR221" s="362"/>
      <c r="DS221" s="362">
        <v>0</v>
      </c>
      <c r="DT221" s="362"/>
      <c r="DU221" s="362">
        <v>0</v>
      </c>
      <c r="DV221" s="362">
        <v>0</v>
      </c>
      <c r="DW221" s="362">
        <v>0</v>
      </c>
      <c r="DX221" s="362">
        <v>103200</v>
      </c>
      <c r="DY221" s="362">
        <v>28000</v>
      </c>
      <c r="DZ221" s="375">
        <v>0</v>
      </c>
      <c r="EA221" s="362">
        <v>0</v>
      </c>
      <c r="EB221" s="362">
        <v>0</v>
      </c>
      <c r="EC221" s="362"/>
      <c r="ED221" s="362">
        <v>316188.3</v>
      </c>
      <c r="EE221" s="362">
        <v>12750</v>
      </c>
      <c r="EF221" s="362"/>
      <c r="EG221" s="362">
        <v>0</v>
      </c>
      <c r="EH221" s="362">
        <v>0</v>
      </c>
      <c r="EI221" s="362"/>
      <c r="EJ221" s="362">
        <v>0</v>
      </c>
      <c r="EK221" s="362"/>
      <c r="EL221" s="362">
        <v>0</v>
      </c>
      <c r="EM221" s="362">
        <v>2538.9</v>
      </c>
      <c r="EN221" s="362">
        <v>0</v>
      </c>
      <c r="EO221" s="362">
        <v>372</v>
      </c>
      <c r="EP221" s="362">
        <v>249750</v>
      </c>
      <c r="EQ221" s="362">
        <v>0</v>
      </c>
      <c r="ER221" s="362">
        <v>13650</v>
      </c>
      <c r="ES221" s="362">
        <v>6924</v>
      </c>
      <c r="ET221" s="362">
        <v>8882</v>
      </c>
      <c r="EU221" s="362">
        <v>0</v>
      </c>
      <c r="EV221" s="362">
        <v>108736.92</v>
      </c>
      <c r="EW221" s="362"/>
      <c r="EX221" s="202"/>
      <c r="EY221" s="202"/>
      <c r="EZ221" s="229"/>
      <c r="FA221" s="368">
        <v>695369.86</v>
      </c>
      <c r="FB221" s="368">
        <v>22337.54</v>
      </c>
      <c r="FC221" s="368">
        <v>0</v>
      </c>
      <c r="FD221" s="368">
        <v>0</v>
      </c>
      <c r="FE221" s="368">
        <v>5.43</v>
      </c>
      <c r="FF221" s="368">
        <v>1357.02</v>
      </c>
      <c r="FG221" s="368">
        <v>-3464.51</v>
      </c>
      <c r="FH221" s="368">
        <v>-2820.11</v>
      </c>
      <c r="FI221" s="368">
        <v>0</v>
      </c>
      <c r="FJ221" s="368">
        <v>0</v>
      </c>
      <c r="FK221" s="368">
        <v>0</v>
      </c>
      <c r="FL221" s="368">
        <v>0</v>
      </c>
      <c r="FM221" s="368">
        <v>105161.01</v>
      </c>
      <c r="FN221" s="368">
        <v>66866.3</v>
      </c>
      <c r="FO221" s="323">
        <v>1100213.69</v>
      </c>
      <c r="FP221" s="323">
        <v>712785.23</v>
      </c>
      <c r="FQ221" s="323">
        <v>1812998.92</v>
      </c>
      <c r="FR221" s="362">
        <v>115907.13</v>
      </c>
      <c r="FS221" s="362">
        <v>54131.58</v>
      </c>
      <c r="FT221" s="377">
        <v>170038.71</v>
      </c>
      <c r="FU221" s="377">
        <v>1189496.44</v>
      </c>
      <c r="FV221" s="377">
        <v>445438.58</v>
      </c>
      <c r="FW221" s="362">
        <v>1634935.02</v>
      </c>
      <c r="FX221" s="362">
        <v>1140453.3400000001</v>
      </c>
      <c r="FY221" s="362">
        <v>427535.4</v>
      </c>
      <c r="FZ221" s="362">
        <v>1567988.74</v>
      </c>
      <c r="GA221" s="362">
        <v>164950.23000000001</v>
      </c>
      <c r="GB221" s="362">
        <v>72034.759999999995</v>
      </c>
      <c r="GC221" s="362">
        <v>236984.99</v>
      </c>
      <c r="GD221" s="362">
        <v>142558.26</v>
      </c>
      <c r="GE221" s="362">
        <v>-93229.93</v>
      </c>
      <c r="GF221" s="362">
        <v>49328.33</v>
      </c>
      <c r="GG221" s="202"/>
      <c r="GH221" s="416">
        <v>0</v>
      </c>
      <c r="GI221" s="414">
        <v>2442.5500000000002</v>
      </c>
      <c r="GJ221" s="419">
        <v>744</v>
      </c>
      <c r="GK221" s="396"/>
      <c r="GL221" s="202">
        <v>0</v>
      </c>
      <c r="GM221" s="202">
        <v>0</v>
      </c>
      <c r="GN221" s="323">
        <v>89282.75</v>
      </c>
      <c r="GO221" s="323">
        <v>-267346.65000000002</v>
      </c>
      <c r="GP221" s="323">
        <v>-178063.9</v>
      </c>
      <c r="GQ221" s="323">
        <v>231841.01</v>
      </c>
      <c r="GR221" s="323">
        <v>-360576.58</v>
      </c>
      <c r="GS221" s="323">
        <v>-128735.57</v>
      </c>
    </row>
    <row r="222" spans="1:201" x14ac:dyDescent="0.2">
      <c r="A222" s="45" t="s">
        <v>313</v>
      </c>
      <c r="B222" s="51" t="s">
        <v>277</v>
      </c>
      <c r="C222" s="52" t="s">
        <v>27</v>
      </c>
      <c r="D222" s="388" t="s">
        <v>498</v>
      </c>
      <c r="E222" s="52" t="s">
        <v>12</v>
      </c>
      <c r="F222" s="11">
        <v>5</v>
      </c>
      <c r="G222" s="11">
        <v>4</v>
      </c>
      <c r="H222" s="11">
        <v>76</v>
      </c>
      <c r="I222" s="11">
        <v>76</v>
      </c>
      <c r="J222" s="11">
        <v>125</v>
      </c>
      <c r="K222" s="11">
        <v>143</v>
      </c>
      <c r="L222" s="11" t="s">
        <v>746</v>
      </c>
      <c r="M222" s="84">
        <v>241.5</v>
      </c>
      <c r="N222" s="84">
        <v>653</v>
      </c>
      <c r="O222" s="84">
        <v>0</v>
      </c>
      <c r="P222" s="135">
        <v>241.5</v>
      </c>
      <c r="Q222" s="135">
        <v>670.7</v>
      </c>
      <c r="R222" s="133">
        <v>0</v>
      </c>
      <c r="S222" s="133">
        <f t="shared" si="106"/>
        <v>912.2</v>
      </c>
      <c r="T222" s="134">
        <v>241.5</v>
      </c>
      <c r="U222" s="130">
        <v>1.83</v>
      </c>
      <c r="V222" s="131">
        <v>1.1299999999999999E-2</v>
      </c>
      <c r="W222" s="171">
        <v>0</v>
      </c>
      <c r="X222" s="172">
        <v>0</v>
      </c>
      <c r="Y222" s="131">
        <v>1.1299999999999999E-2</v>
      </c>
      <c r="Z222" s="29">
        <v>2853.7</v>
      </c>
      <c r="AA222" s="29">
        <v>372.2</v>
      </c>
      <c r="AB222" s="9">
        <f t="shared" si="84"/>
        <v>3225.9</v>
      </c>
      <c r="AC222" s="9">
        <f t="shared" si="82"/>
        <v>20419.95</v>
      </c>
      <c r="AD222" s="9">
        <v>0.38</v>
      </c>
      <c r="AE222" s="9">
        <v>3.68</v>
      </c>
      <c r="AF222" s="21">
        <f>2.44-AJ222</f>
        <v>2.25</v>
      </c>
      <c r="AG222" s="18">
        <f>0.54-AQ222</f>
        <v>0.46</v>
      </c>
      <c r="AH222" s="19">
        <f>2.78+0.08+0.21</f>
        <v>3.07</v>
      </c>
      <c r="AI222" s="13">
        <v>627</v>
      </c>
      <c r="AJ222" s="21">
        <f t="shared" si="87"/>
        <v>0.19</v>
      </c>
      <c r="AK222" s="9">
        <v>0</v>
      </c>
      <c r="AL222" s="9">
        <v>0</v>
      </c>
      <c r="AM222" s="9">
        <v>0.18</v>
      </c>
      <c r="AN222" s="13"/>
      <c r="AO222" s="13">
        <v>566.4</v>
      </c>
      <c r="AP222" s="13">
        <f t="shared" si="107"/>
        <v>5.58</v>
      </c>
      <c r="AQ222" s="18">
        <f t="shared" si="83"/>
        <v>0.08</v>
      </c>
      <c r="AR222" s="9">
        <v>0.79</v>
      </c>
      <c r="AS222" s="9">
        <v>0.42</v>
      </c>
      <c r="AT222" s="9">
        <v>7.0000000000000007E-2</v>
      </c>
      <c r="AU222" s="9">
        <v>5</v>
      </c>
      <c r="AV222" s="9">
        <v>0.12</v>
      </c>
      <c r="AW222" s="9">
        <f>0.35+1.04+0.44</f>
        <v>1.83</v>
      </c>
      <c r="AX222" s="9">
        <f>1.43+0.59</f>
        <v>2.02</v>
      </c>
      <c r="AY222" s="54">
        <f t="shared" si="108"/>
        <v>20.54</v>
      </c>
      <c r="AZ222" s="13">
        <v>20.54</v>
      </c>
      <c r="BA222" s="13">
        <f t="shared" si="85"/>
        <v>0</v>
      </c>
      <c r="BB222" s="9">
        <f t="shared" si="86"/>
        <v>66259.990000000005</v>
      </c>
      <c r="BC222" s="9">
        <v>20.54</v>
      </c>
      <c r="BD222" s="10">
        <v>44409</v>
      </c>
      <c r="BE222" s="9">
        <f t="shared" si="88"/>
        <v>1225.8399999999999</v>
      </c>
      <c r="BF222" s="9">
        <f t="shared" si="89"/>
        <v>11871.31</v>
      </c>
      <c r="BG222" s="9">
        <f t="shared" si="90"/>
        <v>7258.28</v>
      </c>
      <c r="BH222" s="9">
        <f t="shared" si="91"/>
        <v>1483.91</v>
      </c>
      <c r="BI222" s="9">
        <f t="shared" si="92"/>
        <v>9903.51</v>
      </c>
      <c r="BJ222" s="9">
        <f t="shared" si="93"/>
        <v>612.91999999999996</v>
      </c>
      <c r="BK222" s="9">
        <f t="shared" si="94"/>
        <v>0</v>
      </c>
      <c r="BL222" s="9">
        <f t="shared" si="95"/>
        <v>0</v>
      </c>
      <c r="BM222" s="9">
        <f t="shared" si="96"/>
        <v>580.66</v>
      </c>
      <c r="BN222" s="9">
        <f t="shared" si="97"/>
        <v>258.07</v>
      </c>
      <c r="BO222" s="9">
        <f t="shared" si="98"/>
        <v>2548.46</v>
      </c>
      <c r="BP222" s="9">
        <f t="shared" si="99"/>
        <v>1354.88</v>
      </c>
      <c r="BQ222" s="9">
        <f t="shared" si="100"/>
        <v>225.81</v>
      </c>
      <c r="BR222" s="9">
        <f t="shared" si="101"/>
        <v>16129.5</v>
      </c>
      <c r="BS222" s="9">
        <f t="shared" si="102"/>
        <v>387.11</v>
      </c>
      <c r="BT222" s="9">
        <f t="shared" si="103"/>
        <v>5903.4</v>
      </c>
      <c r="BU222" s="9">
        <f t="shared" si="104"/>
        <v>6516.32</v>
      </c>
      <c r="BV222" s="17">
        <f t="shared" si="105"/>
        <v>66259.98</v>
      </c>
      <c r="BW222" s="17">
        <v>2.08</v>
      </c>
      <c r="BX222" s="17">
        <v>0.02</v>
      </c>
      <c r="BY222" s="173">
        <v>0</v>
      </c>
      <c r="BZ222" s="17">
        <v>0.01</v>
      </c>
      <c r="CA222" s="29">
        <v>6.33</v>
      </c>
      <c r="CB222" s="325"/>
      <c r="CC222" s="13">
        <v>91739.64</v>
      </c>
      <c r="CD222" s="13">
        <v>2002.4</v>
      </c>
      <c r="CE222" s="13">
        <v>0</v>
      </c>
      <c r="CF222" s="13">
        <v>44.66</v>
      </c>
      <c r="CG222" s="13">
        <v>22.38</v>
      </c>
      <c r="CH222" s="13">
        <v>0</v>
      </c>
      <c r="CI222" s="13">
        <v>-5076.8500000000004</v>
      </c>
      <c r="CJ222" s="13">
        <v>21588</v>
      </c>
      <c r="CK222" s="13">
        <v>1240.6400000000001</v>
      </c>
      <c r="CL222" s="13">
        <v>703355.22</v>
      </c>
      <c r="CM222" s="13">
        <v>15353.27</v>
      </c>
      <c r="CN222" s="13">
        <v>0</v>
      </c>
      <c r="CO222" s="13">
        <v>342.64</v>
      </c>
      <c r="CP222" s="13">
        <v>171.1</v>
      </c>
      <c r="CQ222" s="13">
        <v>0</v>
      </c>
      <c r="CR222" s="13">
        <v>619891.06000000006</v>
      </c>
      <c r="CS222" s="13">
        <v>14519.69</v>
      </c>
      <c r="CT222" s="13">
        <v>0</v>
      </c>
      <c r="CU222" s="13">
        <v>476.69</v>
      </c>
      <c r="CV222" s="13">
        <v>152.1</v>
      </c>
      <c r="CW222" s="13">
        <v>0</v>
      </c>
      <c r="CX222" s="13">
        <v>136512.29</v>
      </c>
      <c r="CY222" s="13">
        <v>-196.86</v>
      </c>
      <c r="CZ222" s="13">
        <v>0</v>
      </c>
      <c r="DA222" s="13">
        <v>52</v>
      </c>
      <c r="DB222" s="13">
        <v>8.2100000000000009</v>
      </c>
      <c r="DC222" s="13"/>
      <c r="DD222" s="315">
        <v>719222.23</v>
      </c>
      <c r="DE222" s="317">
        <v>635039.54</v>
      </c>
      <c r="DF222" s="317">
        <v>88.3</v>
      </c>
      <c r="DG222" s="318">
        <v>136375.64000000001</v>
      </c>
      <c r="DH222" s="310">
        <v>29978.76</v>
      </c>
      <c r="DI222" s="310">
        <v>17145.12</v>
      </c>
      <c r="DJ222" s="312">
        <v>0</v>
      </c>
      <c r="DK222" s="362">
        <v>0</v>
      </c>
      <c r="DL222" s="362"/>
      <c r="DM222" s="362">
        <v>0</v>
      </c>
      <c r="DN222" s="362">
        <v>0</v>
      </c>
      <c r="DO222" s="362">
        <v>6970.56</v>
      </c>
      <c r="DP222" s="362">
        <v>9969.2999999999993</v>
      </c>
      <c r="DQ222" s="362">
        <v>46655</v>
      </c>
      <c r="DR222" s="362"/>
      <c r="DS222" s="362">
        <v>14960</v>
      </c>
      <c r="DT222" s="362"/>
      <c r="DU222" s="362">
        <v>2025</v>
      </c>
      <c r="DV222" s="362">
        <v>0</v>
      </c>
      <c r="DW222" s="362">
        <v>0</v>
      </c>
      <c r="DX222" s="362">
        <v>0</v>
      </c>
      <c r="DY222" s="362">
        <v>0</v>
      </c>
      <c r="DZ222" s="375">
        <v>0</v>
      </c>
      <c r="EA222" s="362">
        <v>0</v>
      </c>
      <c r="EB222" s="362">
        <v>0</v>
      </c>
      <c r="EC222" s="362"/>
      <c r="ED222" s="362">
        <v>175289.4</v>
      </c>
      <c r="EE222" s="362">
        <v>12750</v>
      </c>
      <c r="EF222" s="362"/>
      <c r="EG222" s="362">
        <v>0</v>
      </c>
      <c r="EH222" s="362">
        <v>0</v>
      </c>
      <c r="EI222" s="362"/>
      <c r="EJ222" s="362">
        <v>0</v>
      </c>
      <c r="EK222" s="362"/>
      <c r="EL222" s="362">
        <v>0</v>
      </c>
      <c r="EM222" s="362">
        <v>3160.5</v>
      </c>
      <c r="EN222" s="362">
        <v>0</v>
      </c>
      <c r="EO222" s="362">
        <v>0</v>
      </c>
      <c r="EP222" s="362">
        <v>202992</v>
      </c>
      <c r="EQ222" s="362">
        <v>0</v>
      </c>
      <c r="ER222" s="362">
        <v>16380</v>
      </c>
      <c r="ES222" s="362">
        <v>2885</v>
      </c>
      <c r="ET222" s="362">
        <v>12455</v>
      </c>
      <c r="EU222" s="362">
        <v>0</v>
      </c>
      <c r="EV222" s="362">
        <v>135329.66</v>
      </c>
      <c r="EW222" s="362"/>
      <c r="EX222" s="202"/>
      <c r="EY222" s="202"/>
      <c r="EZ222" s="229"/>
      <c r="FA222" s="368">
        <v>17536.5</v>
      </c>
      <c r="FB222" s="368">
        <v>0</v>
      </c>
      <c r="FC222" s="368">
        <v>0</v>
      </c>
      <c r="FD222" s="368">
        <v>0</v>
      </c>
      <c r="FE222" s="368">
        <v>668.54</v>
      </c>
      <c r="FF222" s="368">
        <v>235.52</v>
      </c>
      <c r="FG222" s="368">
        <v>0</v>
      </c>
      <c r="FH222" s="368">
        <v>-825.19</v>
      </c>
      <c r="FI222" s="368">
        <v>0</v>
      </c>
      <c r="FJ222" s="368">
        <v>0</v>
      </c>
      <c r="FK222" s="368">
        <v>0</v>
      </c>
      <c r="FL222" s="368">
        <v>0</v>
      </c>
      <c r="FM222" s="368">
        <v>86241.93</v>
      </c>
      <c r="FN222" s="368">
        <v>54836.78</v>
      </c>
      <c r="FO222" s="323">
        <v>830024.01</v>
      </c>
      <c r="FP222" s="323">
        <v>17615.37</v>
      </c>
      <c r="FQ222" s="323">
        <v>847639.38</v>
      </c>
      <c r="FR222" s="362">
        <v>72053.75</v>
      </c>
      <c r="FS222" s="362">
        <v>-358.67</v>
      </c>
      <c r="FT222" s="377">
        <v>71695.08</v>
      </c>
      <c r="FU222" s="377">
        <v>811606.01</v>
      </c>
      <c r="FV222" s="377">
        <v>19177.09</v>
      </c>
      <c r="FW222" s="362">
        <v>830783.1</v>
      </c>
      <c r="FX222" s="362">
        <v>704493.1</v>
      </c>
      <c r="FY222" s="362">
        <v>18084.57</v>
      </c>
      <c r="FZ222" s="362">
        <v>722577.67</v>
      </c>
      <c r="GA222" s="362">
        <v>179166.66</v>
      </c>
      <c r="GB222" s="362">
        <v>733.85</v>
      </c>
      <c r="GC222" s="362">
        <v>179900.51</v>
      </c>
      <c r="GD222" s="362">
        <v>40180.339999999997</v>
      </c>
      <c r="GE222" s="362">
        <v>5115.6499999999996</v>
      </c>
      <c r="GF222" s="362">
        <v>45295.99</v>
      </c>
      <c r="GG222" s="202">
        <v>43524.87</v>
      </c>
      <c r="GH222" s="416">
        <v>98</v>
      </c>
      <c r="GI222" s="414">
        <v>1947</v>
      </c>
      <c r="GJ222" s="419">
        <v>93809.08</v>
      </c>
      <c r="GK222" s="396">
        <v>43524.87</v>
      </c>
      <c r="GL222" s="202">
        <v>42654.372600000002</v>
      </c>
      <c r="GM222" s="202">
        <v>870.49739999999997</v>
      </c>
      <c r="GN222" s="323">
        <v>-18418</v>
      </c>
      <c r="GO222" s="323">
        <v>1561.72</v>
      </c>
      <c r="GP222" s="323">
        <v>-16856.28</v>
      </c>
      <c r="GQ222" s="323">
        <v>21762.34</v>
      </c>
      <c r="GR222" s="323">
        <v>6677.37</v>
      </c>
      <c r="GS222" s="323">
        <v>28439.71</v>
      </c>
    </row>
    <row r="223" spans="1:201" x14ac:dyDescent="0.2">
      <c r="A223" s="45" t="s">
        <v>314</v>
      </c>
      <c r="B223" s="51" t="s">
        <v>277</v>
      </c>
      <c r="C223" s="52" t="s">
        <v>32</v>
      </c>
      <c r="D223" s="388" t="s">
        <v>499</v>
      </c>
      <c r="E223" s="52" t="s">
        <v>12</v>
      </c>
      <c r="F223" s="11">
        <v>5</v>
      </c>
      <c r="G223" s="11">
        <v>6</v>
      </c>
      <c r="H223" s="11">
        <v>90</v>
      </c>
      <c r="I223" s="11">
        <v>91</v>
      </c>
      <c r="J223" s="11">
        <v>195</v>
      </c>
      <c r="K223" s="11">
        <v>194</v>
      </c>
      <c r="L223" s="11" t="s">
        <v>746</v>
      </c>
      <c r="M223" s="84">
        <v>412.5</v>
      </c>
      <c r="N223" s="84">
        <v>1018.3</v>
      </c>
      <c r="O223" s="84">
        <v>0</v>
      </c>
      <c r="P223" s="135">
        <v>412.5</v>
      </c>
      <c r="Q223" s="135">
        <v>1018.3</v>
      </c>
      <c r="R223" s="133">
        <v>0</v>
      </c>
      <c r="S223" s="133">
        <f t="shared" si="106"/>
        <v>1430.8</v>
      </c>
      <c r="T223" s="134">
        <v>412.5</v>
      </c>
      <c r="U223" s="130">
        <v>1.53</v>
      </c>
      <c r="V223" s="131">
        <v>1.1299999999999999E-2</v>
      </c>
      <c r="W223" s="131" t="s">
        <v>823</v>
      </c>
      <c r="X223" s="132" t="s">
        <v>823</v>
      </c>
      <c r="Y223" s="131">
        <v>1.1299999999999999E-2</v>
      </c>
      <c r="Z223" s="29">
        <v>3964.75</v>
      </c>
      <c r="AA223" s="29"/>
      <c r="AB223" s="9">
        <f t="shared" si="84"/>
        <v>3964.75</v>
      </c>
      <c r="AC223" s="9">
        <f t="shared" si="82"/>
        <v>25096.87</v>
      </c>
      <c r="AD223" s="9">
        <v>0.52</v>
      </c>
      <c r="AE223" s="9">
        <v>4.03</v>
      </c>
      <c r="AF223" s="21">
        <f>2.48-AJ223</f>
        <v>2.23</v>
      </c>
      <c r="AG223" s="18">
        <f>0.56-AQ223</f>
        <v>0.41</v>
      </c>
      <c r="AH223" s="9">
        <v>2.16</v>
      </c>
      <c r="AI223" s="13">
        <v>978</v>
      </c>
      <c r="AJ223" s="21">
        <f t="shared" si="87"/>
        <v>0.25</v>
      </c>
      <c r="AK223" s="9">
        <v>0</v>
      </c>
      <c r="AL223" s="9">
        <v>0</v>
      </c>
      <c r="AM223" s="9">
        <v>0.15</v>
      </c>
      <c r="AN223" s="13">
        <v>420</v>
      </c>
      <c r="AO223" s="13">
        <v>840</v>
      </c>
      <c r="AP223" s="13">
        <f t="shared" si="107"/>
        <v>5.58</v>
      </c>
      <c r="AQ223" s="18">
        <f t="shared" si="83"/>
        <v>0.15</v>
      </c>
      <c r="AR223" s="9">
        <v>0.83</v>
      </c>
      <c r="AS223" s="9">
        <v>0.34</v>
      </c>
      <c r="AT223" s="9">
        <v>7.0000000000000007E-2</v>
      </c>
      <c r="AU223" s="9">
        <v>4.1100000000000003</v>
      </c>
      <c r="AV223" s="9">
        <v>0.12</v>
      </c>
      <c r="AW223" s="9">
        <f>1+0.32+0.35</f>
        <v>1.67</v>
      </c>
      <c r="AX223" s="9">
        <f>1.37+0.48</f>
        <v>1.85</v>
      </c>
      <c r="AY223" s="54">
        <f t="shared" si="108"/>
        <v>18.89</v>
      </c>
      <c r="AZ223" s="13">
        <v>18.89</v>
      </c>
      <c r="BA223" s="13">
        <f t="shared" si="85"/>
        <v>0</v>
      </c>
      <c r="BB223" s="9">
        <f t="shared" si="86"/>
        <v>74894.13</v>
      </c>
      <c r="BC223" s="9">
        <v>18.89</v>
      </c>
      <c r="BD223" s="10">
        <v>44409</v>
      </c>
      <c r="BE223" s="9">
        <f t="shared" si="88"/>
        <v>2061.67</v>
      </c>
      <c r="BF223" s="9">
        <f t="shared" si="89"/>
        <v>15977.94</v>
      </c>
      <c r="BG223" s="9">
        <f t="shared" si="90"/>
        <v>8841.39</v>
      </c>
      <c r="BH223" s="9">
        <f t="shared" si="91"/>
        <v>1625.55</v>
      </c>
      <c r="BI223" s="9">
        <f t="shared" si="92"/>
        <v>8563.86</v>
      </c>
      <c r="BJ223" s="9">
        <f t="shared" si="93"/>
        <v>991.19</v>
      </c>
      <c r="BK223" s="9">
        <f t="shared" si="94"/>
        <v>0</v>
      </c>
      <c r="BL223" s="9">
        <f t="shared" si="95"/>
        <v>0</v>
      </c>
      <c r="BM223" s="9">
        <f t="shared" si="96"/>
        <v>594.71</v>
      </c>
      <c r="BN223" s="9">
        <f t="shared" si="97"/>
        <v>594.71</v>
      </c>
      <c r="BO223" s="9">
        <f t="shared" si="98"/>
        <v>3290.74</v>
      </c>
      <c r="BP223" s="9">
        <f t="shared" si="99"/>
        <v>1348.02</v>
      </c>
      <c r="BQ223" s="9">
        <f t="shared" si="100"/>
        <v>277.52999999999997</v>
      </c>
      <c r="BR223" s="9">
        <f t="shared" si="101"/>
        <v>16295.12</v>
      </c>
      <c r="BS223" s="9">
        <f t="shared" si="102"/>
        <v>475.77</v>
      </c>
      <c r="BT223" s="9">
        <f t="shared" si="103"/>
        <v>6621.13</v>
      </c>
      <c r="BU223" s="9">
        <f t="shared" si="104"/>
        <v>7334.79</v>
      </c>
      <c r="BV223" s="17">
        <f t="shared" si="105"/>
        <v>74894.12</v>
      </c>
      <c r="BW223" s="17">
        <v>0.64</v>
      </c>
      <c r="BX223" s="17">
        <v>0.03</v>
      </c>
      <c r="BY223" s="173">
        <v>0</v>
      </c>
      <c r="BZ223" s="17">
        <v>0.02</v>
      </c>
      <c r="CA223" s="29">
        <v>6.33</v>
      </c>
      <c r="CB223" s="325"/>
      <c r="CC223" s="13">
        <v>0</v>
      </c>
      <c r="CD223" s="13">
        <v>0</v>
      </c>
      <c r="CE223" s="13">
        <v>0</v>
      </c>
      <c r="CF223" s="13">
        <v>0</v>
      </c>
      <c r="CG223" s="13">
        <v>0</v>
      </c>
      <c r="CH223" s="13">
        <v>0</v>
      </c>
      <c r="CI223" s="13">
        <v>3881.14</v>
      </c>
      <c r="CJ223" s="13">
        <v>39876</v>
      </c>
      <c r="CK223" s="13">
        <v>1524.81</v>
      </c>
      <c r="CL223" s="13">
        <v>899681.11</v>
      </c>
      <c r="CM223" s="13">
        <v>114605.35</v>
      </c>
      <c r="CN223" s="13">
        <v>0</v>
      </c>
      <c r="CO223" s="13">
        <v>-1067.3699999999999</v>
      </c>
      <c r="CP223" s="13">
        <v>-395.52</v>
      </c>
      <c r="CQ223" s="13">
        <v>0</v>
      </c>
      <c r="CR223" s="13">
        <v>805571.53</v>
      </c>
      <c r="CS223" s="13">
        <v>92122.12</v>
      </c>
      <c r="CT223" s="13">
        <v>0</v>
      </c>
      <c r="CU223" s="13">
        <v>4691.2</v>
      </c>
      <c r="CV223" s="13">
        <v>2238.89</v>
      </c>
      <c r="CW223" s="13">
        <v>0</v>
      </c>
      <c r="CX223" s="13">
        <v>180454.37</v>
      </c>
      <c r="CY223" s="13">
        <v>22288.97</v>
      </c>
      <c r="CZ223" s="13">
        <v>0</v>
      </c>
      <c r="DA223" s="13">
        <v>-60.12</v>
      </c>
      <c r="DB223" s="13">
        <v>-138.16999999999999</v>
      </c>
      <c r="DC223" s="13"/>
      <c r="DD223" s="315">
        <v>1012823.57</v>
      </c>
      <c r="DE223" s="317">
        <v>904623.74</v>
      </c>
      <c r="DF223" s="317">
        <v>89.32</v>
      </c>
      <c r="DG223" s="318">
        <v>202545.05</v>
      </c>
      <c r="DH223" s="310">
        <v>41649.839999999997</v>
      </c>
      <c r="DI223" s="310">
        <v>23820</v>
      </c>
      <c r="DJ223" s="312">
        <v>0</v>
      </c>
      <c r="DK223" s="362">
        <v>0</v>
      </c>
      <c r="DL223" s="362"/>
      <c r="DM223" s="362">
        <v>0</v>
      </c>
      <c r="DN223" s="362">
        <v>0</v>
      </c>
      <c r="DO223" s="362">
        <v>0</v>
      </c>
      <c r="DP223" s="362">
        <v>15550.2</v>
      </c>
      <c r="DQ223" s="362">
        <v>147105</v>
      </c>
      <c r="DR223" s="362"/>
      <c r="DS223" s="362">
        <v>26740</v>
      </c>
      <c r="DT223" s="362"/>
      <c r="DU223" s="362">
        <v>0</v>
      </c>
      <c r="DV223" s="362">
        <v>0</v>
      </c>
      <c r="DW223" s="362">
        <v>0</v>
      </c>
      <c r="DX223" s="362">
        <v>0</v>
      </c>
      <c r="DY223" s="362">
        <v>0</v>
      </c>
      <c r="DZ223" s="375">
        <v>0</v>
      </c>
      <c r="EA223" s="362">
        <v>0</v>
      </c>
      <c r="EB223" s="362">
        <v>0</v>
      </c>
      <c r="EC223" s="362"/>
      <c r="ED223" s="362">
        <v>240379.38</v>
      </c>
      <c r="EE223" s="362">
        <v>12750</v>
      </c>
      <c r="EF223" s="362"/>
      <c r="EG223" s="362">
        <v>0</v>
      </c>
      <c r="EH223" s="362">
        <v>0</v>
      </c>
      <c r="EI223" s="362"/>
      <c r="EJ223" s="362">
        <v>0</v>
      </c>
      <c r="EK223" s="362"/>
      <c r="EL223" s="362">
        <v>0</v>
      </c>
      <c r="EM223" s="362">
        <v>7030.8</v>
      </c>
      <c r="EN223" s="362">
        <v>0</v>
      </c>
      <c r="EO223" s="362">
        <v>0</v>
      </c>
      <c r="EP223" s="362">
        <v>215034</v>
      </c>
      <c r="EQ223" s="362">
        <v>0</v>
      </c>
      <c r="ER223" s="362">
        <v>16380</v>
      </c>
      <c r="ES223" s="362">
        <v>0</v>
      </c>
      <c r="ET223" s="362">
        <v>16248</v>
      </c>
      <c r="EU223" s="362">
        <v>0</v>
      </c>
      <c r="EV223" s="362">
        <v>29634.71</v>
      </c>
      <c r="EW223" s="362"/>
      <c r="EX223" s="202"/>
      <c r="EY223" s="202"/>
      <c r="EZ223" s="229"/>
      <c r="FA223" s="368">
        <v>125221.44</v>
      </c>
      <c r="FB223" s="368">
        <v>0</v>
      </c>
      <c r="FC223" s="368">
        <v>0</v>
      </c>
      <c r="FD223" s="368">
        <v>0</v>
      </c>
      <c r="FE223" s="368">
        <v>2203.65</v>
      </c>
      <c r="FF223" s="368">
        <v>837.49</v>
      </c>
      <c r="FG223" s="368">
        <v>-2540.2600000000002</v>
      </c>
      <c r="FH223" s="368">
        <v>-2344.06</v>
      </c>
      <c r="FI223" s="368">
        <v>0</v>
      </c>
      <c r="FJ223" s="368">
        <v>0</v>
      </c>
      <c r="FK223" s="368">
        <v>0</v>
      </c>
      <c r="FL223" s="368">
        <v>0</v>
      </c>
      <c r="FM223" s="368">
        <v>105993.81</v>
      </c>
      <c r="FN223" s="368">
        <v>67395.990000000005</v>
      </c>
      <c r="FO223" s="323">
        <v>965711.73</v>
      </c>
      <c r="FP223" s="323">
        <v>123378.26</v>
      </c>
      <c r="FQ223" s="323">
        <v>1089089.99</v>
      </c>
      <c r="FR223" s="362">
        <v>97954.42</v>
      </c>
      <c r="FS223" s="362">
        <v>9014.8799999999992</v>
      </c>
      <c r="FT223" s="377">
        <v>106969.3</v>
      </c>
      <c r="FU223" s="377">
        <v>943438.25</v>
      </c>
      <c r="FV223" s="377">
        <v>114667.27</v>
      </c>
      <c r="FW223" s="362">
        <v>1058105.52</v>
      </c>
      <c r="FX223" s="362">
        <v>860938.3</v>
      </c>
      <c r="FY223" s="362">
        <v>101591.47</v>
      </c>
      <c r="FZ223" s="362">
        <v>962529.77</v>
      </c>
      <c r="GA223" s="362">
        <v>180454.37</v>
      </c>
      <c r="GB223" s="362">
        <v>22090.68</v>
      </c>
      <c r="GC223" s="362">
        <v>202545.05</v>
      </c>
      <c r="GD223" s="362">
        <v>3096.6</v>
      </c>
      <c r="GE223" s="362">
        <v>6080.48</v>
      </c>
      <c r="GF223" s="362">
        <v>9177.08</v>
      </c>
      <c r="GG223" s="202"/>
      <c r="GH223" s="416"/>
      <c r="GI223" s="414">
        <v>3446.1</v>
      </c>
      <c r="GJ223" s="419">
        <v>0</v>
      </c>
      <c r="GK223" s="396"/>
      <c r="GL223" s="202">
        <v>0</v>
      </c>
      <c r="GM223" s="202">
        <v>0</v>
      </c>
      <c r="GN223" s="323">
        <v>-22273.48</v>
      </c>
      <c r="GO223" s="323">
        <v>-8710.99</v>
      </c>
      <c r="GP223" s="323">
        <v>-30984.47</v>
      </c>
      <c r="GQ223" s="323">
        <v>-19176.88</v>
      </c>
      <c r="GR223" s="323">
        <v>-2630.51</v>
      </c>
      <c r="GS223" s="323">
        <v>-21807.39</v>
      </c>
    </row>
    <row r="224" spans="1:201" x14ac:dyDescent="0.2">
      <c r="A224" s="45" t="s">
        <v>315</v>
      </c>
      <c r="B224" s="55" t="s">
        <v>277</v>
      </c>
      <c r="C224" s="56" t="s">
        <v>89</v>
      </c>
      <c r="D224" s="388" t="s">
        <v>500</v>
      </c>
      <c r="E224" s="56" t="s">
        <v>12</v>
      </c>
      <c r="F224" s="11">
        <v>3</v>
      </c>
      <c r="G224" s="11">
        <v>4</v>
      </c>
      <c r="H224" s="11">
        <v>32</v>
      </c>
      <c r="I224" s="11">
        <v>0</v>
      </c>
      <c r="J224" s="11">
        <v>93</v>
      </c>
      <c r="K224" s="11">
        <v>108</v>
      </c>
      <c r="L224" s="11" t="s">
        <v>746</v>
      </c>
      <c r="M224" s="84">
        <v>205.8</v>
      </c>
      <c r="N224" s="84">
        <v>240.3</v>
      </c>
      <c r="O224" s="84">
        <v>240</v>
      </c>
      <c r="P224" s="135">
        <v>229.7</v>
      </c>
      <c r="Q224" s="135">
        <v>255.6</v>
      </c>
      <c r="R224" s="133">
        <v>0</v>
      </c>
      <c r="S224" s="133">
        <f t="shared" si="106"/>
        <v>485.3</v>
      </c>
      <c r="T224" s="134">
        <v>229.7</v>
      </c>
      <c r="U224" s="130">
        <v>0.84</v>
      </c>
      <c r="V224" s="91">
        <v>1.1299999999999999E-2</v>
      </c>
      <c r="W224" s="91" t="s">
        <v>823</v>
      </c>
      <c r="X224" s="132" t="s">
        <v>823</v>
      </c>
      <c r="Y224" s="91">
        <v>1.1299999999999999E-2</v>
      </c>
      <c r="Z224" s="29">
        <v>1694.6</v>
      </c>
      <c r="AA224" s="29">
        <v>510.9</v>
      </c>
      <c r="AB224" s="9">
        <f t="shared" si="84"/>
        <v>2205.5</v>
      </c>
      <c r="AC224" s="174">
        <v>0</v>
      </c>
      <c r="AD224" s="9">
        <v>0.4</v>
      </c>
      <c r="AE224" s="9">
        <v>4.79</v>
      </c>
      <c r="AF224" s="21">
        <f>2.48-AJ224</f>
        <v>2.14</v>
      </c>
      <c r="AG224" s="18">
        <f>0.56-AQ224</f>
        <v>0.44</v>
      </c>
      <c r="AH224" s="9">
        <v>2.17</v>
      </c>
      <c r="AI224" s="13">
        <v>739</v>
      </c>
      <c r="AJ224" s="21">
        <f t="shared" si="87"/>
        <v>0.34</v>
      </c>
      <c r="AK224" s="9">
        <v>0</v>
      </c>
      <c r="AL224" s="9">
        <v>0</v>
      </c>
      <c r="AM224" s="9">
        <v>0.26</v>
      </c>
      <c r="AN224" s="13">
        <v>193.6</v>
      </c>
      <c r="AO224" s="13">
        <v>387.2</v>
      </c>
      <c r="AP224" s="13">
        <f t="shared" si="107"/>
        <v>5.58</v>
      </c>
      <c r="AQ224" s="18">
        <f t="shared" si="83"/>
        <v>0.12</v>
      </c>
      <c r="AR224" s="9">
        <v>0.53</v>
      </c>
      <c r="AS224" s="9">
        <v>0.62</v>
      </c>
      <c r="AT224" s="9">
        <v>7.0000000000000007E-2</v>
      </c>
      <c r="AU224" s="9">
        <v>3.66</v>
      </c>
      <c r="AV224" s="9">
        <v>0.12</v>
      </c>
      <c r="AW224" s="9">
        <f>0.28+0.32+1.05</f>
        <v>1.65</v>
      </c>
      <c r="AX224" s="9">
        <f>1.46+0.47</f>
        <v>1.93</v>
      </c>
      <c r="AY224" s="58">
        <f t="shared" si="108"/>
        <v>19.239999999999998</v>
      </c>
      <c r="AZ224" s="13">
        <v>19.239999999999998</v>
      </c>
      <c r="BA224" s="13">
        <f t="shared" si="85"/>
        <v>0</v>
      </c>
      <c r="BB224" s="9">
        <f t="shared" si="86"/>
        <v>42433.82</v>
      </c>
      <c r="BC224" s="9">
        <v>19.239999999999998</v>
      </c>
      <c r="BD224" s="10">
        <v>44378</v>
      </c>
      <c r="BE224" s="9">
        <f t="shared" si="88"/>
        <v>882.2</v>
      </c>
      <c r="BF224" s="9">
        <f t="shared" si="89"/>
        <v>10564.35</v>
      </c>
      <c r="BG224" s="9">
        <f t="shared" si="90"/>
        <v>4719.7700000000004</v>
      </c>
      <c r="BH224" s="9">
        <f t="shared" si="91"/>
        <v>970.42</v>
      </c>
      <c r="BI224" s="9">
        <f t="shared" si="92"/>
        <v>4785.9399999999996</v>
      </c>
      <c r="BJ224" s="9">
        <f t="shared" si="93"/>
        <v>749.87</v>
      </c>
      <c r="BK224" s="9">
        <f t="shared" si="94"/>
        <v>0</v>
      </c>
      <c r="BL224" s="9">
        <f t="shared" si="95"/>
        <v>0</v>
      </c>
      <c r="BM224" s="9">
        <f t="shared" si="96"/>
        <v>573.42999999999995</v>
      </c>
      <c r="BN224" s="9">
        <f t="shared" si="97"/>
        <v>264.66000000000003</v>
      </c>
      <c r="BO224" s="9">
        <f t="shared" si="98"/>
        <v>1168.92</v>
      </c>
      <c r="BP224" s="9">
        <f t="shared" si="99"/>
        <v>1367.41</v>
      </c>
      <c r="BQ224" s="9">
        <f t="shared" si="100"/>
        <v>154.38999999999999</v>
      </c>
      <c r="BR224" s="9">
        <f t="shared" si="101"/>
        <v>8072.13</v>
      </c>
      <c r="BS224" s="9">
        <f t="shared" si="102"/>
        <v>264.66000000000003</v>
      </c>
      <c r="BT224" s="9">
        <f t="shared" si="103"/>
        <v>3639.08</v>
      </c>
      <c r="BU224" s="9">
        <f t="shared" si="104"/>
        <v>4256.62</v>
      </c>
      <c r="BV224" s="17">
        <f t="shared" si="105"/>
        <v>42433.85</v>
      </c>
      <c r="BW224" s="17">
        <v>1.63</v>
      </c>
      <c r="BX224" s="17">
        <v>0.03</v>
      </c>
      <c r="BY224" s="173">
        <v>0</v>
      </c>
      <c r="BZ224" s="17">
        <v>0.02</v>
      </c>
      <c r="CA224" s="29" t="s">
        <v>739</v>
      </c>
      <c r="CB224" s="325"/>
      <c r="CC224" s="13">
        <v>117956.64</v>
      </c>
      <c r="CD224" s="13">
        <v>1890.46</v>
      </c>
      <c r="CE224" s="13">
        <v>25.55</v>
      </c>
      <c r="CF224" s="13">
        <v>475.19</v>
      </c>
      <c r="CG224" s="13">
        <v>265.89999999999998</v>
      </c>
      <c r="CH224" s="13">
        <v>0</v>
      </c>
      <c r="CI224" s="13">
        <v>444.53</v>
      </c>
      <c r="CJ224" s="13">
        <v>5076</v>
      </c>
      <c r="CK224" s="13">
        <v>848.21</v>
      </c>
      <c r="CL224" s="13">
        <v>391249.08</v>
      </c>
      <c r="CM224" s="13">
        <v>6269.96</v>
      </c>
      <c r="CN224" s="13">
        <v>0</v>
      </c>
      <c r="CO224" s="13">
        <v>1661.34</v>
      </c>
      <c r="CP224" s="13">
        <v>881.05</v>
      </c>
      <c r="CQ224" s="13">
        <v>0</v>
      </c>
      <c r="CR224" s="13">
        <v>373313.96</v>
      </c>
      <c r="CS224" s="13">
        <v>7535.58</v>
      </c>
      <c r="CT224" s="13">
        <v>0</v>
      </c>
      <c r="CU224" s="13">
        <v>1613.25</v>
      </c>
      <c r="CV224" s="13">
        <v>741.83</v>
      </c>
      <c r="CW224" s="13">
        <v>0</v>
      </c>
      <c r="CX224" s="13">
        <v>83905.23</v>
      </c>
      <c r="CY224" s="13">
        <v>-907.8</v>
      </c>
      <c r="CZ224" s="13">
        <v>0</v>
      </c>
      <c r="DA224" s="13">
        <v>328.58</v>
      </c>
      <c r="DB224" s="13">
        <v>132.82</v>
      </c>
      <c r="DC224" s="13"/>
      <c r="DD224" s="315">
        <v>400061.43</v>
      </c>
      <c r="DE224" s="317">
        <v>383204.62</v>
      </c>
      <c r="DF224" s="317">
        <v>95.79</v>
      </c>
      <c r="DG224" s="318">
        <v>83458.83</v>
      </c>
      <c r="DH224" s="310">
        <v>17805.84</v>
      </c>
      <c r="DI224" s="310">
        <v>10183.32</v>
      </c>
      <c r="DJ224" s="312">
        <v>0</v>
      </c>
      <c r="DK224" s="362">
        <v>0</v>
      </c>
      <c r="DL224" s="362"/>
      <c r="DM224" s="362">
        <v>0</v>
      </c>
      <c r="DN224" s="362">
        <v>0</v>
      </c>
      <c r="DO224" s="362">
        <v>0</v>
      </c>
      <c r="DP224" s="362">
        <v>11750.1</v>
      </c>
      <c r="DQ224" s="362">
        <v>28980</v>
      </c>
      <c r="DR224" s="362"/>
      <c r="DS224" s="362">
        <v>33200</v>
      </c>
      <c r="DT224" s="362"/>
      <c r="DU224" s="362">
        <v>0</v>
      </c>
      <c r="DV224" s="362">
        <v>0</v>
      </c>
      <c r="DW224" s="362">
        <v>0</v>
      </c>
      <c r="DX224" s="362">
        <v>0</v>
      </c>
      <c r="DY224" s="362">
        <v>0</v>
      </c>
      <c r="DZ224" s="375">
        <v>0</v>
      </c>
      <c r="EA224" s="362">
        <v>0</v>
      </c>
      <c r="EB224" s="362">
        <v>0</v>
      </c>
      <c r="EC224" s="362"/>
      <c r="ED224" s="362">
        <v>152176.26</v>
      </c>
      <c r="EE224" s="362">
        <v>8777.1</v>
      </c>
      <c r="EF224" s="362"/>
      <c r="EG224" s="362">
        <v>0</v>
      </c>
      <c r="EH224" s="362">
        <v>0</v>
      </c>
      <c r="EI224" s="362"/>
      <c r="EJ224" s="362">
        <v>0</v>
      </c>
      <c r="EK224" s="362"/>
      <c r="EL224" s="362">
        <v>0</v>
      </c>
      <c r="EM224" s="362">
        <v>3240.87</v>
      </c>
      <c r="EN224" s="362">
        <v>0</v>
      </c>
      <c r="EO224" s="362">
        <v>0</v>
      </c>
      <c r="EP224" s="362">
        <v>118140</v>
      </c>
      <c r="EQ224" s="362">
        <v>0</v>
      </c>
      <c r="ER224" s="362">
        <v>16380</v>
      </c>
      <c r="ES224" s="362">
        <v>0</v>
      </c>
      <c r="ET224" s="362">
        <v>6603</v>
      </c>
      <c r="EU224" s="362">
        <v>0</v>
      </c>
      <c r="EV224" s="362">
        <v>0</v>
      </c>
      <c r="EW224" s="362"/>
      <c r="EX224" s="202"/>
      <c r="EY224" s="202"/>
      <c r="EZ224" s="229"/>
      <c r="FA224" s="368">
        <v>8204.41</v>
      </c>
      <c r="FB224" s="368">
        <v>0</v>
      </c>
      <c r="FC224" s="368">
        <v>0</v>
      </c>
      <c r="FD224" s="368">
        <v>0</v>
      </c>
      <c r="FE224" s="368">
        <v>2579.89</v>
      </c>
      <c r="FF224" s="368">
        <v>1134.9100000000001</v>
      </c>
      <c r="FG224" s="368">
        <v>-1352.1</v>
      </c>
      <c r="FH224" s="368">
        <v>-1232.8599999999999</v>
      </c>
      <c r="FI224" s="368">
        <v>0</v>
      </c>
      <c r="FJ224" s="368">
        <v>0</v>
      </c>
      <c r="FK224" s="368">
        <v>0</v>
      </c>
      <c r="FL224" s="368">
        <v>0</v>
      </c>
      <c r="FM224" s="368">
        <v>58964.19</v>
      </c>
      <c r="FN224" s="368">
        <v>37492.18</v>
      </c>
      <c r="FO224" s="323">
        <v>503692.86</v>
      </c>
      <c r="FP224" s="323">
        <v>9334.25</v>
      </c>
      <c r="FQ224" s="323">
        <v>513027.11</v>
      </c>
      <c r="FR224" s="362">
        <v>96467.12</v>
      </c>
      <c r="FS224" s="362">
        <v>1175.75</v>
      </c>
      <c r="FT224" s="377">
        <v>97642.87</v>
      </c>
      <c r="FU224" s="377">
        <v>514726.25</v>
      </c>
      <c r="FV224" s="377">
        <v>12317.66</v>
      </c>
      <c r="FW224" s="362">
        <v>527043.91</v>
      </c>
      <c r="FX224" s="362">
        <v>492491.81</v>
      </c>
      <c r="FY224" s="362">
        <v>13229.68</v>
      </c>
      <c r="FZ224" s="362">
        <v>505721.49</v>
      </c>
      <c r="GA224" s="362">
        <v>118701.56</v>
      </c>
      <c r="GB224" s="362">
        <v>263.73</v>
      </c>
      <c r="GC224" s="362">
        <v>118965.29</v>
      </c>
      <c r="GD224" s="362">
        <v>15623.26</v>
      </c>
      <c r="GE224" s="362">
        <v>2555.81</v>
      </c>
      <c r="GF224" s="362">
        <v>18179.07</v>
      </c>
      <c r="GG224" s="202">
        <v>35506.46</v>
      </c>
      <c r="GH224" s="416">
        <v>98</v>
      </c>
      <c r="GI224" s="414">
        <v>423</v>
      </c>
      <c r="GJ224" s="419">
        <v>120613.74</v>
      </c>
      <c r="GK224" s="396">
        <v>35506.46</v>
      </c>
      <c r="GL224" s="202">
        <v>34796.330800000003</v>
      </c>
      <c r="GM224" s="202">
        <v>710.12919999999599</v>
      </c>
      <c r="GN224" s="323">
        <v>11033.39</v>
      </c>
      <c r="GO224" s="323">
        <v>2983.41</v>
      </c>
      <c r="GP224" s="323">
        <v>14016.8</v>
      </c>
      <c r="GQ224" s="323">
        <v>26656.65</v>
      </c>
      <c r="GR224" s="323">
        <v>5539.22</v>
      </c>
      <c r="GS224" s="323">
        <v>32195.87</v>
      </c>
    </row>
    <row r="225" spans="1:201" x14ac:dyDescent="0.2">
      <c r="A225" s="45" t="s">
        <v>316</v>
      </c>
      <c r="B225" s="48" t="s">
        <v>277</v>
      </c>
      <c r="C225" s="49" t="s">
        <v>34</v>
      </c>
      <c r="D225" s="388" t="s">
        <v>501</v>
      </c>
      <c r="E225" s="49" t="s">
        <v>12</v>
      </c>
      <c r="F225" s="11">
        <v>9</v>
      </c>
      <c r="G225" s="11">
        <v>5</v>
      </c>
      <c r="H225" s="11">
        <v>180</v>
      </c>
      <c r="I225" s="11">
        <v>181</v>
      </c>
      <c r="J225" s="11">
        <v>399</v>
      </c>
      <c r="K225" s="11">
        <v>505</v>
      </c>
      <c r="L225" s="11">
        <v>5</v>
      </c>
      <c r="M225" s="84">
        <v>799.5</v>
      </c>
      <c r="N225" s="84">
        <v>1834.8</v>
      </c>
      <c r="O225" s="84">
        <v>1834</v>
      </c>
      <c r="P225" s="135">
        <v>1865.8</v>
      </c>
      <c r="Q225" s="135">
        <v>1247</v>
      </c>
      <c r="R225" s="135">
        <v>1751.7</v>
      </c>
      <c r="S225" s="133">
        <f t="shared" si="106"/>
        <v>4864.5</v>
      </c>
      <c r="T225" s="134">
        <v>1865.8</v>
      </c>
      <c r="U225" s="130">
        <v>2.44</v>
      </c>
      <c r="V225" s="91">
        <v>1.9800000000000002E-2</v>
      </c>
      <c r="W225" s="91">
        <v>1.9800000000000002E-2</v>
      </c>
      <c r="X225" s="132">
        <v>1.32E-3</v>
      </c>
      <c r="Y225" s="91">
        <v>3.9699999999999999E-2</v>
      </c>
      <c r="Z225" s="29">
        <v>9851.65</v>
      </c>
      <c r="AA225" s="29"/>
      <c r="AB225" s="9">
        <f t="shared" si="84"/>
        <v>9851.65</v>
      </c>
      <c r="AC225" s="9">
        <f t="shared" ref="AC225:AC238" si="109">SUM(AB225*6.33)</f>
        <v>62360.94</v>
      </c>
      <c r="AD225" s="9">
        <v>3.19</v>
      </c>
      <c r="AE225" s="9">
        <v>3.88</v>
      </c>
      <c r="AF225" s="21">
        <f>2.41-AJ225</f>
        <v>2.23</v>
      </c>
      <c r="AG225" s="18">
        <f>0.73-AQ225</f>
        <v>0.68</v>
      </c>
      <c r="AH225" s="9">
        <v>2.78</v>
      </c>
      <c r="AI225" s="13">
        <v>1762</v>
      </c>
      <c r="AJ225" s="21">
        <f t="shared" si="87"/>
        <v>0.18</v>
      </c>
      <c r="AK225" s="9">
        <v>2.2000000000000002</v>
      </c>
      <c r="AL225" s="9">
        <v>0.43</v>
      </c>
      <c r="AM225" s="9">
        <v>0.06</v>
      </c>
      <c r="AN225" s="13"/>
      <c r="AO225" s="13">
        <v>1025.5</v>
      </c>
      <c r="AP225" s="13">
        <f t="shared" si="107"/>
        <v>5.58</v>
      </c>
      <c r="AQ225" s="18">
        <f t="shared" si="83"/>
        <v>0.05</v>
      </c>
      <c r="AR225" s="9">
        <v>0.56999999999999995</v>
      </c>
      <c r="AS225" s="9">
        <v>0.14000000000000001</v>
      </c>
      <c r="AT225" s="9">
        <v>7.0000000000000007E-2</v>
      </c>
      <c r="AU225" s="9">
        <v>4.16</v>
      </c>
      <c r="AV225" s="9">
        <v>0.17</v>
      </c>
      <c r="AW225" s="9">
        <f>0.26+1.48+0.37</f>
        <v>2.11</v>
      </c>
      <c r="AX225" s="9">
        <f>2.07+0.49</f>
        <v>2.56</v>
      </c>
      <c r="AY225" s="46">
        <f t="shared" si="108"/>
        <v>25.46</v>
      </c>
      <c r="AZ225" s="13">
        <v>25.46</v>
      </c>
      <c r="BA225" s="13">
        <f t="shared" si="85"/>
        <v>0</v>
      </c>
      <c r="BB225" s="9">
        <f t="shared" si="86"/>
        <v>250823.01</v>
      </c>
      <c r="BC225" s="9">
        <v>25.46</v>
      </c>
      <c r="BD225" s="10">
        <v>44409</v>
      </c>
      <c r="BE225" s="9">
        <f t="shared" si="88"/>
        <v>31426.76</v>
      </c>
      <c r="BF225" s="9">
        <f t="shared" si="89"/>
        <v>38224.400000000001</v>
      </c>
      <c r="BG225" s="9">
        <f t="shared" si="90"/>
        <v>21969.18</v>
      </c>
      <c r="BH225" s="9">
        <f t="shared" si="91"/>
        <v>6699.12</v>
      </c>
      <c r="BI225" s="9">
        <f t="shared" si="92"/>
        <v>27387.59</v>
      </c>
      <c r="BJ225" s="9">
        <f t="shared" si="93"/>
        <v>1773.3</v>
      </c>
      <c r="BK225" s="9">
        <f t="shared" si="94"/>
        <v>21673.63</v>
      </c>
      <c r="BL225" s="9">
        <f t="shared" si="95"/>
        <v>4236.21</v>
      </c>
      <c r="BM225" s="9">
        <f t="shared" si="96"/>
        <v>591.1</v>
      </c>
      <c r="BN225" s="9">
        <f t="shared" si="97"/>
        <v>492.58</v>
      </c>
      <c r="BO225" s="9">
        <f t="shared" si="98"/>
        <v>5615.44</v>
      </c>
      <c r="BP225" s="9">
        <f t="shared" si="99"/>
        <v>1379.23</v>
      </c>
      <c r="BQ225" s="9">
        <f t="shared" si="100"/>
        <v>689.62</v>
      </c>
      <c r="BR225" s="9">
        <f t="shared" si="101"/>
        <v>40982.86</v>
      </c>
      <c r="BS225" s="9">
        <f t="shared" si="102"/>
        <v>1674.78</v>
      </c>
      <c r="BT225" s="9">
        <f t="shared" si="103"/>
        <v>20786.98</v>
      </c>
      <c r="BU225" s="9">
        <f t="shared" si="104"/>
        <v>25220.22</v>
      </c>
      <c r="BV225" s="17">
        <f t="shared" si="105"/>
        <v>250823</v>
      </c>
      <c r="BW225" s="17">
        <v>4.84</v>
      </c>
      <c r="BX225" s="17">
        <v>0.11</v>
      </c>
      <c r="BY225" s="17">
        <v>0.63</v>
      </c>
      <c r="BZ225" s="17">
        <v>0.12</v>
      </c>
      <c r="CA225" s="29">
        <v>6.33</v>
      </c>
      <c r="CB225" s="325"/>
      <c r="CC225" s="13">
        <v>0</v>
      </c>
      <c r="CD225" s="13">
        <v>0</v>
      </c>
      <c r="CE225" s="13">
        <v>0</v>
      </c>
      <c r="CF225" s="13">
        <v>0</v>
      </c>
      <c r="CG225" s="13">
        <v>0</v>
      </c>
      <c r="CH225" s="13">
        <v>0</v>
      </c>
      <c r="CI225" s="13">
        <v>6474.45</v>
      </c>
      <c r="CJ225" s="13">
        <v>69768</v>
      </c>
      <c r="CK225" s="13">
        <v>3788.84</v>
      </c>
      <c r="CL225" s="13">
        <v>3009886.9</v>
      </c>
      <c r="CM225" s="13">
        <v>468053.73</v>
      </c>
      <c r="CN225" s="13">
        <v>131224.65</v>
      </c>
      <c r="CO225" s="13">
        <v>13992.63</v>
      </c>
      <c r="CP225" s="13">
        <v>14383.93</v>
      </c>
      <c r="CQ225" s="13">
        <v>0</v>
      </c>
      <c r="CR225" s="13">
        <v>2852849</v>
      </c>
      <c r="CS225" s="13">
        <v>402307.43</v>
      </c>
      <c r="CT225" s="13">
        <v>129753.15</v>
      </c>
      <c r="CU225" s="13">
        <v>30374.91</v>
      </c>
      <c r="CV225" s="13">
        <v>19731.330000000002</v>
      </c>
      <c r="CW225" s="13">
        <v>0</v>
      </c>
      <c r="CX225" s="13">
        <v>463990.72</v>
      </c>
      <c r="CY225" s="13">
        <v>72234.78</v>
      </c>
      <c r="CZ225" s="13">
        <v>11812.65</v>
      </c>
      <c r="DA225" s="13">
        <v>4036.48</v>
      </c>
      <c r="DB225" s="13">
        <v>2390.8200000000002</v>
      </c>
      <c r="DC225" s="13"/>
      <c r="DD225" s="315">
        <v>3637541.84</v>
      </c>
      <c r="DE225" s="317">
        <v>3435015.82</v>
      </c>
      <c r="DF225" s="317">
        <v>94.43</v>
      </c>
      <c r="DG225" s="318">
        <v>554465.44999999995</v>
      </c>
      <c r="DH225" s="310">
        <v>103517.64</v>
      </c>
      <c r="DI225" s="310">
        <v>59202.84</v>
      </c>
      <c r="DJ225" s="312">
        <v>0</v>
      </c>
      <c r="DK225" s="362">
        <v>0</v>
      </c>
      <c r="DL225" s="362"/>
      <c r="DM225" s="362">
        <v>0</v>
      </c>
      <c r="DN225" s="362">
        <v>0</v>
      </c>
      <c r="DO225" s="362">
        <v>0</v>
      </c>
      <c r="DP225" s="362">
        <v>28015.8</v>
      </c>
      <c r="DQ225" s="362">
        <v>0</v>
      </c>
      <c r="DR225" s="362"/>
      <c r="DS225" s="362">
        <v>0</v>
      </c>
      <c r="DT225" s="362"/>
      <c r="DU225" s="362">
        <v>0</v>
      </c>
      <c r="DV225" s="362">
        <v>0</v>
      </c>
      <c r="DW225" s="362">
        <v>0</v>
      </c>
      <c r="DX225" s="362">
        <v>258000</v>
      </c>
      <c r="DY225" s="362">
        <v>51000</v>
      </c>
      <c r="DZ225" s="375">
        <v>0</v>
      </c>
      <c r="EA225" s="362">
        <v>0</v>
      </c>
      <c r="EB225" s="362">
        <v>0</v>
      </c>
      <c r="EC225" s="362"/>
      <c r="ED225" s="362">
        <v>920235.3</v>
      </c>
      <c r="EE225" s="362">
        <v>15300</v>
      </c>
      <c r="EF225" s="362"/>
      <c r="EG225" s="362">
        <v>0</v>
      </c>
      <c r="EH225" s="362">
        <v>0</v>
      </c>
      <c r="EI225" s="362"/>
      <c r="EJ225" s="362">
        <v>0</v>
      </c>
      <c r="EK225" s="362"/>
      <c r="EL225" s="362">
        <v>0</v>
      </c>
      <c r="EM225" s="362">
        <v>5722.29</v>
      </c>
      <c r="EN225" s="362">
        <v>0</v>
      </c>
      <c r="EO225" s="362">
        <v>0</v>
      </c>
      <c r="EP225" s="362">
        <v>629628</v>
      </c>
      <c r="EQ225" s="362">
        <v>0</v>
      </c>
      <c r="ER225" s="362">
        <v>15015</v>
      </c>
      <c r="ES225" s="362">
        <v>0</v>
      </c>
      <c r="ET225" s="362">
        <v>22205</v>
      </c>
      <c r="EU225" s="362">
        <v>0</v>
      </c>
      <c r="EV225" s="362">
        <v>85909.39</v>
      </c>
      <c r="EW225" s="362"/>
      <c r="EX225" s="202"/>
      <c r="EY225" s="202"/>
      <c r="EZ225" s="229"/>
      <c r="FA225" s="368">
        <v>458938.19</v>
      </c>
      <c r="FB225" s="368">
        <v>108315.04</v>
      </c>
      <c r="FC225" s="368">
        <v>0</v>
      </c>
      <c r="FD225" s="368">
        <v>0</v>
      </c>
      <c r="FE225" s="368">
        <v>17421.099999999999</v>
      </c>
      <c r="FF225" s="368">
        <v>13255.17</v>
      </c>
      <c r="FG225" s="368">
        <v>-5629.92</v>
      </c>
      <c r="FH225" s="368">
        <v>-5438.76</v>
      </c>
      <c r="FI225" s="368">
        <v>0</v>
      </c>
      <c r="FJ225" s="368">
        <v>0</v>
      </c>
      <c r="FK225" s="368">
        <v>0</v>
      </c>
      <c r="FL225" s="368">
        <v>0</v>
      </c>
      <c r="FM225" s="368">
        <v>263385.34999999998</v>
      </c>
      <c r="FN225" s="368">
        <v>167472.67000000001</v>
      </c>
      <c r="FO225" s="323">
        <v>2624609.2799999998</v>
      </c>
      <c r="FP225" s="323">
        <v>586860.81999999995</v>
      </c>
      <c r="FQ225" s="323">
        <v>3211470.1</v>
      </c>
      <c r="FR225" s="362">
        <v>280472.15999999997</v>
      </c>
      <c r="FS225" s="362">
        <v>44227.519999999997</v>
      </c>
      <c r="FT225" s="377">
        <v>324699.68</v>
      </c>
      <c r="FU225" s="377">
        <v>3086129.35</v>
      </c>
      <c r="FV225" s="377">
        <v>631443.78</v>
      </c>
      <c r="FW225" s="362">
        <v>3717573.13</v>
      </c>
      <c r="FX225" s="362">
        <v>2902610.79</v>
      </c>
      <c r="FY225" s="362">
        <v>585196.56999999995</v>
      </c>
      <c r="FZ225" s="362">
        <v>3487807.36</v>
      </c>
      <c r="GA225" s="362">
        <v>463990.72</v>
      </c>
      <c r="GB225" s="362">
        <v>90474.73</v>
      </c>
      <c r="GC225" s="362">
        <v>554465.44999999995</v>
      </c>
      <c r="GD225" s="362">
        <v>276346.56</v>
      </c>
      <c r="GE225" s="362">
        <v>-24541.06</v>
      </c>
      <c r="GF225" s="362">
        <v>251805.5</v>
      </c>
      <c r="GG225" s="202"/>
      <c r="GH225" s="416"/>
      <c r="GI225" s="414">
        <v>5901.1</v>
      </c>
      <c r="GJ225" s="419">
        <v>0</v>
      </c>
      <c r="GK225" s="396"/>
      <c r="GL225" s="202">
        <v>0</v>
      </c>
      <c r="GM225" s="202">
        <v>0</v>
      </c>
      <c r="GN225" s="323">
        <v>461520.07</v>
      </c>
      <c r="GO225" s="323">
        <v>44582.96</v>
      </c>
      <c r="GP225" s="323">
        <v>506103.03</v>
      </c>
      <c r="GQ225" s="323">
        <v>737866.63</v>
      </c>
      <c r="GR225" s="323">
        <v>20041.900000000001</v>
      </c>
      <c r="GS225" s="323">
        <v>757908.53</v>
      </c>
    </row>
    <row r="226" spans="1:201" x14ac:dyDescent="0.2">
      <c r="A226" s="45" t="s">
        <v>317</v>
      </c>
      <c r="B226" s="51" t="s">
        <v>277</v>
      </c>
      <c r="C226" s="52" t="s">
        <v>235</v>
      </c>
      <c r="D226" s="388" t="s">
        <v>502</v>
      </c>
      <c r="E226" s="52" t="s">
        <v>12</v>
      </c>
      <c r="F226" s="11">
        <v>3</v>
      </c>
      <c r="G226" s="11">
        <v>2</v>
      </c>
      <c r="H226" s="11">
        <v>21</v>
      </c>
      <c r="I226" s="11">
        <v>0</v>
      </c>
      <c r="J226" s="11">
        <v>53</v>
      </c>
      <c r="K226" s="11">
        <v>61</v>
      </c>
      <c r="L226" s="11" t="s">
        <v>746</v>
      </c>
      <c r="M226" s="84">
        <v>60</v>
      </c>
      <c r="N226" s="84">
        <v>231.1</v>
      </c>
      <c r="O226" s="84">
        <v>231.1</v>
      </c>
      <c r="P226" s="139">
        <v>105.2</v>
      </c>
      <c r="Q226" s="135">
        <v>174.1</v>
      </c>
      <c r="R226" s="133">
        <v>0</v>
      </c>
      <c r="S226" s="133">
        <f t="shared" si="106"/>
        <v>279.3</v>
      </c>
      <c r="T226" s="139">
        <v>93</v>
      </c>
      <c r="U226" s="130">
        <v>0.84</v>
      </c>
      <c r="V226" s="91">
        <v>1.1299999999999999E-2</v>
      </c>
      <c r="W226" s="171" t="s">
        <v>824</v>
      </c>
      <c r="X226" s="172" t="s">
        <v>824</v>
      </c>
      <c r="Y226" s="91">
        <v>1.1299999999999999E-2</v>
      </c>
      <c r="Z226" s="29">
        <v>1156.3</v>
      </c>
      <c r="AA226" s="29"/>
      <c r="AB226" s="9">
        <f t="shared" si="84"/>
        <v>1156.3</v>
      </c>
      <c r="AC226" s="9">
        <f t="shared" si="109"/>
        <v>7319.38</v>
      </c>
      <c r="AD226" s="9">
        <v>0.43</v>
      </c>
      <c r="AE226" s="9">
        <v>3.82</v>
      </c>
      <c r="AF226" s="21">
        <f>2.43-AJ226</f>
        <v>1.89</v>
      </c>
      <c r="AG226" s="18">
        <f>0.54-AQ226</f>
        <v>0.4</v>
      </c>
      <c r="AH226" s="9">
        <v>2.79</v>
      </c>
      <c r="AI226" s="13">
        <v>621</v>
      </c>
      <c r="AJ226" s="21">
        <f t="shared" si="87"/>
        <v>0.54</v>
      </c>
      <c r="AK226" s="9">
        <v>0</v>
      </c>
      <c r="AL226" s="9">
        <v>0</v>
      </c>
      <c r="AM226" s="9">
        <v>0.5</v>
      </c>
      <c r="AN226" s="13">
        <v>112.8</v>
      </c>
      <c r="AO226" s="13">
        <v>225.6</v>
      </c>
      <c r="AP226" s="13">
        <f t="shared" si="107"/>
        <v>5.58</v>
      </c>
      <c r="AQ226" s="18">
        <f t="shared" si="83"/>
        <v>0.14000000000000001</v>
      </c>
      <c r="AR226" s="9">
        <v>0.57999999999999996</v>
      </c>
      <c r="AS226" s="9">
        <v>1.18</v>
      </c>
      <c r="AT226" s="9">
        <v>7.0000000000000007E-2</v>
      </c>
      <c r="AU226" s="9">
        <v>4.9400000000000004</v>
      </c>
      <c r="AV226" s="9">
        <v>0.13</v>
      </c>
      <c r="AW226" s="9">
        <f>0.31+1.11+0.44</f>
        <v>1.86</v>
      </c>
      <c r="AX226" s="9">
        <f>1.55+0.58</f>
        <v>2.13</v>
      </c>
      <c r="AY226" s="54">
        <f t="shared" si="108"/>
        <v>21.4</v>
      </c>
      <c r="AZ226" s="13">
        <v>21.4</v>
      </c>
      <c r="BA226" s="13">
        <f t="shared" si="85"/>
        <v>0</v>
      </c>
      <c r="BB226" s="9">
        <f t="shared" si="86"/>
        <v>24744.82</v>
      </c>
      <c r="BC226" s="9">
        <v>21.4</v>
      </c>
      <c r="BD226" s="10">
        <v>44378</v>
      </c>
      <c r="BE226" s="9">
        <f t="shared" si="88"/>
        <v>497.21</v>
      </c>
      <c r="BF226" s="9">
        <f t="shared" si="89"/>
        <v>4417.07</v>
      </c>
      <c r="BG226" s="9">
        <f t="shared" si="90"/>
        <v>2185.41</v>
      </c>
      <c r="BH226" s="9">
        <f t="shared" si="91"/>
        <v>462.52</v>
      </c>
      <c r="BI226" s="9">
        <f t="shared" si="92"/>
        <v>3226.08</v>
      </c>
      <c r="BJ226" s="9">
        <f t="shared" si="93"/>
        <v>624.4</v>
      </c>
      <c r="BK226" s="9">
        <f t="shared" si="94"/>
        <v>0</v>
      </c>
      <c r="BL226" s="9">
        <f t="shared" si="95"/>
        <v>0</v>
      </c>
      <c r="BM226" s="9">
        <f t="shared" si="96"/>
        <v>578.15</v>
      </c>
      <c r="BN226" s="9">
        <f t="shared" si="97"/>
        <v>161.88</v>
      </c>
      <c r="BO226" s="9">
        <f t="shared" si="98"/>
        <v>670.65</v>
      </c>
      <c r="BP226" s="9">
        <f t="shared" si="99"/>
        <v>1364.43</v>
      </c>
      <c r="BQ226" s="9">
        <f t="shared" si="100"/>
        <v>80.94</v>
      </c>
      <c r="BR226" s="9">
        <f t="shared" si="101"/>
        <v>5712.12</v>
      </c>
      <c r="BS226" s="9">
        <f t="shared" si="102"/>
        <v>150.32</v>
      </c>
      <c r="BT226" s="9">
        <f t="shared" si="103"/>
        <v>2150.7199999999998</v>
      </c>
      <c r="BU226" s="9">
        <f t="shared" si="104"/>
        <v>2462.92</v>
      </c>
      <c r="BV226" s="17">
        <f t="shared" si="105"/>
        <v>24744.82</v>
      </c>
      <c r="BW226" s="17">
        <v>1.49</v>
      </c>
      <c r="BX226" s="17">
        <v>0.03</v>
      </c>
      <c r="BY226" s="173">
        <v>0</v>
      </c>
      <c r="BZ226" s="17">
        <v>0.02</v>
      </c>
      <c r="CA226" s="29">
        <v>6.33</v>
      </c>
      <c r="CB226" s="325"/>
      <c r="CC226" s="13">
        <v>0</v>
      </c>
      <c r="CD226" s="13">
        <v>0</v>
      </c>
      <c r="CE226" s="13">
        <v>0</v>
      </c>
      <c r="CF226" s="13">
        <v>0</v>
      </c>
      <c r="CG226" s="13">
        <v>0</v>
      </c>
      <c r="CH226" s="13">
        <v>0</v>
      </c>
      <c r="CI226" s="13">
        <v>1855.83</v>
      </c>
      <c r="CJ226" s="13">
        <v>5076</v>
      </c>
      <c r="CK226" s="13">
        <v>444.7</v>
      </c>
      <c r="CL226" s="13">
        <v>296937.96000000002</v>
      </c>
      <c r="CM226" s="13">
        <v>9655.11</v>
      </c>
      <c r="CN226" s="13">
        <v>0</v>
      </c>
      <c r="CO226" s="13">
        <v>381.97</v>
      </c>
      <c r="CP226" s="13">
        <v>138.68</v>
      </c>
      <c r="CQ226" s="13">
        <v>0</v>
      </c>
      <c r="CR226" s="13">
        <v>279376.96000000002</v>
      </c>
      <c r="CS226" s="13">
        <v>9552.23</v>
      </c>
      <c r="CT226" s="13">
        <v>0</v>
      </c>
      <c r="CU226" s="13">
        <v>3829.13</v>
      </c>
      <c r="CV226" s="13">
        <v>1892.78</v>
      </c>
      <c r="CW226" s="13">
        <v>0</v>
      </c>
      <c r="CX226" s="13">
        <v>54727.98</v>
      </c>
      <c r="CY226" s="13">
        <v>893.57</v>
      </c>
      <c r="CZ226" s="13">
        <v>0</v>
      </c>
      <c r="DA226" s="13">
        <v>1152</v>
      </c>
      <c r="DB226" s="13">
        <v>570.16999999999996</v>
      </c>
      <c r="DC226" s="13"/>
      <c r="DD226" s="315">
        <v>307113.71999999997</v>
      </c>
      <c r="DE226" s="317">
        <v>294651.09999999998</v>
      </c>
      <c r="DF226" s="317">
        <v>95.94</v>
      </c>
      <c r="DG226" s="318">
        <v>57343.72</v>
      </c>
      <c r="DH226" s="310">
        <v>12149.76</v>
      </c>
      <c r="DI226" s="310">
        <v>6948.6</v>
      </c>
      <c r="DJ226" s="312">
        <v>0</v>
      </c>
      <c r="DK226" s="362">
        <v>0</v>
      </c>
      <c r="DL226" s="362"/>
      <c r="DM226" s="362">
        <v>0</v>
      </c>
      <c r="DN226" s="362">
        <v>0</v>
      </c>
      <c r="DO226" s="362">
        <v>0</v>
      </c>
      <c r="DP226" s="362">
        <v>9873.9</v>
      </c>
      <c r="DQ226" s="362">
        <v>67410</v>
      </c>
      <c r="DR226" s="362"/>
      <c r="DS226" s="362">
        <v>17850</v>
      </c>
      <c r="DT226" s="362"/>
      <c r="DU226" s="362">
        <v>0</v>
      </c>
      <c r="DV226" s="362">
        <v>0</v>
      </c>
      <c r="DW226" s="362">
        <v>0</v>
      </c>
      <c r="DX226" s="362">
        <v>0</v>
      </c>
      <c r="DY226" s="362">
        <v>0</v>
      </c>
      <c r="DZ226" s="375">
        <v>0</v>
      </c>
      <c r="EA226" s="362">
        <v>0</v>
      </c>
      <c r="EB226" s="362">
        <v>0</v>
      </c>
      <c r="EC226" s="362"/>
      <c r="ED226" s="362">
        <v>65743.740000000005</v>
      </c>
      <c r="EE226" s="362">
        <v>8777.1</v>
      </c>
      <c r="EF226" s="362"/>
      <c r="EG226" s="362">
        <v>0</v>
      </c>
      <c r="EH226" s="362">
        <v>0</v>
      </c>
      <c r="EI226" s="362"/>
      <c r="EJ226" s="362">
        <v>0</v>
      </c>
      <c r="EK226" s="362"/>
      <c r="EL226" s="362">
        <v>0</v>
      </c>
      <c r="EM226" s="362">
        <v>1888.27</v>
      </c>
      <c r="EN226" s="362">
        <v>0</v>
      </c>
      <c r="EO226" s="362">
        <v>0</v>
      </c>
      <c r="EP226" s="362">
        <v>66534</v>
      </c>
      <c r="EQ226" s="362">
        <v>0</v>
      </c>
      <c r="ER226" s="362">
        <v>16380</v>
      </c>
      <c r="ES226" s="362">
        <v>0</v>
      </c>
      <c r="ET226" s="362">
        <v>2512</v>
      </c>
      <c r="EU226" s="362">
        <v>0</v>
      </c>
      <c r="EV226" s="362">
        <v>0</v>
      </c>
      <c r="EW226" s="362"/>
      <c r="EX226" s="202"/>
      <c r="EY226" s="202"/>
      <c r="EZ226" s="229"/>
      <c r="FA226" s="368">
        <v>9780.31</v>
      </c>
      <c r="FB226" s="368">
        <v>0</v>
      </c>
      <c r="FC226" s="368">
        <v>0</v>
      </c>
      <c r="FD226" s="368">
        <v>0</v>
      </c>
      <c r="FE226" s="368">
        <v>498.12</v>
      </c>
      <c r="FF226" s="368">
        <v>188.84</v>
      </c>
      <c r="FG226" s="368">
        <v>0</v>
      </c>
      <c r="FH226" s="368">
        <v>-295.83999999999997</v>
      </c>
      <c r="FI226" s="368">
        <v>0</v>
      </c>
      <c r="FJ226" s="368">
        <v>0</v>
      </c>
      <c r="FK226" s="368">
        <v>0</v>
      </c>
      <c r="FL226" s="368">
        <v>0</v>
      </c>
      <c r="FM226" s="368">
        <v>30913.75</v>
      </c>
      <c r="FN226" s="368">
        <v>19656.400000000001</v>
      </c>
      <c r="FO226" s="323">
        <v>326637.52</v>
      </c>
      <c r="FP226" s="323">
        <v>10171.43</v>
      </c>
      <c r="FQ226" s="323">
        <v>336808.95</v>
      </c>
      <c r="FR226" s="362">
        <v>38765.699999999997</v>
      </c>
      <c r="FS226" s="362">
        <v>7891.12</v>
      </c>
      <c r="FT226" s="377">
        <v>46656.82</v>
      </c>
      <c r="FU226" s="377">
        <v>303869.78999999998</v>
      </c>
      <c r="FV226" s="377">
        <v>10620.46</v>
      </c>
      <c r="FW226" s="362">
        <v>314490.25</v>
      </c>
      <c r="FX226" s="362">
        <v>287907.51</v>
      </c>
      <c r="FY226" s="362">
        <v>15895.84</v>
      </c>
      <c r="FZ226" s="362">
        <v>303803.34999999998</v>
      </c>
      <c r="GA226" s="362">
        <v>54727.98</v>
      </c>
      <c r="GB226" s="362">
        <v>2615.7399999999998</v>
      </c>
      <c r="GC226" s="362">
        <v>57343.72</v>
      </c>
      <c r="GD226" s="362">
        <v>25744.58</v>
      </c>
      <c r="GE226" s="362">
        <v>1004.29</v>
      </c>
      <c r="GF226" s="362">
        <v>26748.87</v>
      </c>
      <c r="GG226" s="202"/>
      <c r="GH226" s="416"/>
      <c r="GI226" s="414">
        <v>423</v>
      </c>
      <c r="GJ226" s="419">
        <v>0</v>
      </c>
      <c r="GK226" s="396"/>
      <c r="GL226" s="202">
        <v>0</v>
      </c>
      <c r="GM226" s="202">
        <v>0</v>
      </c>
      <c r="GN226" s="323">
        <v>-22767.73</v>
      </c>
      <c r="GO226" s="323">
        <v>449.03</v>
      </c>
      <c r="GP226" s="323">
        <v>-22318.7</v>
      </c>
      <c r="GQ226" s="323">
        <v>2976.85</v>
      </c>
      <c r="GR226" s="323">
        <v>1453.32</v>
      </c>
      <c r="GS226" s="323">
        <v>4430.17</v>
      </c>
    </row>
    <row r="227" spans="1:201" ht="12.75" customHeight="1" x14ac:dyDescent="0.2">
      <c r="A227" s="45" t="s">
        <v>318</v>
      </c>
      <c r="B227" s="55" t="s">
        <v>277</v>
      </c>
      <c r="C227" s="56" t="s">
        <v>235</v>
      </c>
      <c r="D227" s="388" t="s">
        <v>584</v>
      </c>
      <c r="E227" s="56" t="s">
        <v>9</v>
      </c>
      <c r="F227" s="11">
        <v>4</v>
      </c>
      <c r="G227" s="11">
        <v>3</v>
      </c>
      <c r="H227" s="11">
        <v>48</v>
      </c>
      <c r="I227" s="11">
        <v>0</v>
      </c>
      <c r="J227" s="11">
        <v>105</v>
      </c>
      <c r="K227" s="11">
        <v>105</v>
      </c>
      <c r="L227" s="11" t="s">
        <v>746</v>
      </c>
      <c r="M227" s="84">
        <v>140</v>
      </c>
      <c r="N227" s="84">
        <v>672.5</v>
      </c>
      <c r="O227" s="84">
        <v>672.5</v>
      </c>
      <c r="P227" s="135">
        <v>140</v>
      </c>
      <c r="Q227" s="135">
        <v>512.29999999999995</v>
      </c>
      <c r="R227" s="133">
        <v>512.29999999999995</v>
      </c>
      <c r="S227" s="133">
        <f t="shared" si="106"/>
        <v>1164.5999999999999</v>
      </c>
      <c r="T227" s="134">
        <v>140</v>
      </c>
      <c r="U227" s="130">
        <v>0.84</v>
      </c>
      <c r="V227" s="131">
        <v>1.1299999999999999E-2</v>
      </c>
      <c r="W227" s="131" t="s">
        <v>823</v>
      </c>
      <c r="X227" s="132" t="s">
        <v>823</v>
      </c>
      <c r="Y227" s="131">
        <v>1.1299999999999999E-2</v>
      </c>
      <c r="Z227" s="29">
        <v>1970.06</v>
      </c>
      <c r="AA227" s="29"/>
      <c r="AB227" s="9">
        <f t="shared" si="84"/>
        <v>1970.06</v>
      </c>
      <c r="AC227" s="9">
        <f t="shared" si="109"/>
        <v>12470.48</v>
      </c>
      <c r="AD227" s="9">
        <v>0.37</v>
      </c>
      <c r="AE227" s="9">
        <v>3.49</v>
      </c>
      <c r="AF227" s="21">
        <f>2.41-AJ227</f>
        <v>1.95</v>
      </c>
      <c r="AG227" s="18">
        <f>0.55-AQ227</f>
        <v>0.4</v>
      </c>
      <c r="AH227" s="9">
        <v>2.16</v>
      </c>
      <c r="AI227" s="13">
        <v>904</v>
      </c>
      <c r="AJ227" s="21">
        <f t="shared" si="87"/>
        <v>0.46</v>
      </c>
      <c r="AK227" s="9">
        <v>0</v>
      </c>
      <c r="AL227" s="9">
        <v>0</v>
      </c>
      <c r="AM227" s="9">
        <v>0.28999999999999998</v>
      </c>
      <c r="AN227" s="13">
        <v>207.6</v>
      </c>
      <c r="AO227" s="13">
        <v>415.2</v>
      </c>
      <c r="AP227" s="13">
        <f t="shared" si="107"/>
        <v>5.58</v>
      </c>
      <c r="AQ227" s="18">
        <f t="shared" si="83"/>
        <v>0.15</v>
      </c>
      <c r="AR227" s="9">
        <v>0.95</v>
      </c>
      <c r="AS227" s="9">
        <v>0.69</v>
      </c>
      <c r="AT227" s="9">
        <v>7.0000000000000007E-2</v>
      </c>
      <c r="AU227" s="9">
        <v>4.5599999999999996</v>
      </c>
      <c r="AV227" s="9">
        <v>0.12</v>
      </c>
      <c r="AW227" s="9">
        <f>0.34+0.4+0.99</f>
        <v>1.73</v>
      </c>
      <c r="AX227" s="9">
        <f>1.37+0.54</f>
        <v>1.91</v>
      </c>
      <c r="AY227" s="58">
        <f t="shared" si="108"/>
        <v>19.3</v>
      </c>
      <c r="AZ227" s="13">
        <v>19.3</v>
      </c>
      <c r="BA227" s="13">
        <f t="shared" si="85"/>
        <v>0</v>
      </c>
      <c r="BB227" s="9">
        <f t="shared" si="86"/>
        <v>38022.160000000003</v>
      </c>
      <c r="BC227" s="9">
        <v>19.3</v>
      </c>
      <c r="BD227" s="10">
        <v>44409</v>
      </c>
      <c r="BE227" s="9">
        <f t="shared" si="88"/>
        <v>728.92</v>
      </c>
      <c r="BF227" s="9">
        <f t="shared" si="89"/>
        <v>6875.51</v>
      </c>
      <c r="BG227" s="9">
        <f t="shared" si="90"/>
        <v>3841.62</v>
      </c>
      <c r="BH227" s="9">
        <f t="shared" si="91"/>
        <v>788.02</v>
      </c>
      <c r="BI227" s="9">
        <f t="shared" si="92"/>
        <v>4255.33</v>
      </c>
      <c r="BJ227" s="9">
        <f t="shared" si="93"/>
        <v>906.23</v>
      </c>
      <c r="BK227" s="9">
        <f t="shared" si="94"/>
        <v>0</v>
      </c>
      <c r="BL227" s="9">
        <f t="shared" si="95"/>
        <v>0</v>
      </c>
      <c r="BM227" s="9">
        <f t="shared" si="96"/>
        <v>571.32000000000005</v>
      </c>
      <c r="BN227" s="9">
        <f t="shared" si="97"/>
        <v>295.51</v>
      </c>
      <c r="BO227" s="9">
        <f t="shared" si="98"/>
        <v>1871.56</v>
      </c>
      <c r="BP227" s="9">
        <f t="shared" si="99"/>
        <v>1359.34</v>
      </c>
      <c r="BQ227" s="9">
        <f t="shared" si="100"/>
        <v>137.9</v>
      </c>
      <c r="BR227" s="9">
        <f t="shared" si="101"/>
        <v>8983.4699999999993</v>
      </c>
      <c r="BS227" s="9">
        <f t="shared" si="102"/>
        <v>236.41</v>
      </c>
      <c r="BT227" s="9">
        <f t="shared" si="103"/>
        <v>3408.2</v>
      </c>
      <c r="BU227" s="9">
        <f t="shared" si="104"/>
        <v>3762.81</v>
      </c>
      <c r="BV227" s="17">
        <f t="shared" si="105"/>
        <v>38022.15</v>
      </c>
      <c r="BW227" s="17">
        <v>2.27</v>
      </c>
      <c r="BX227" s="17">
        <v>0.02</v>
      </c>
      <c r="BY227" s="173">
        <v>0</v>
      </c>
      <c r="BZ227" s="17">
        <v>0.01</v>
      </c>
      <c r="CA227" s="29">
        <v>6.33</v>
      </c>
      <c r="CB227" s="325"/>
      <c r="CC227" s="13">
        <v>0</v>
      </c>
      <c r="CD227" s="13">
        <v>0</v>
      </c>
      <c r="CE227" s="13">
        <v>0</v>
      </c>
      <c r="CF227" s="13">
        <v>0</v>
      </c>
      <c r="CG227" s="13">
        <v>0</v>
      </c>
      <c r="CH227" s="13">
        <v>0</v>
      </c>
      <c r="CI227" s="13">
        <v>2369.38</v>
      </c>
      <c r="CJ227" s="13">
        <v>21588</v>
      </c>
      <c r="CK227" s="13">
        <v>757.66</v>
      </c>
      <c r="CL227" s="13">
        <v>456266.04</v>
      </c>
      <c r="CM227" s="13">
        <v>5535.88</v>
      </c>
      <c r="CN227" s="13">
        <v>0</v>
      </c>
      <c r="CO227" s="13">
        <v>34496.07</v>
      </c>
      <c r="CP227" s="13">
        <v>18577.77</v>
      </c>
      <c r="CQ227" s="13">
        <v>0</v>
      </c>
      <c r="CR227" s="13">
        <v>408323.75</v>
      </c>
      <c r="CS227" s="13">
        <v>6467.91</v>
      </c>
      <c r="CT227" s="13">
        <v>0</v>
      </c>
      <c r="CU227" s="13">
        <v>22543.68</v>
      </c>
      <c r="CV227" s="13">
        <v>13079.72</v>
      </c>
      <c r="CW227" s="13">
        <v>0</v>
      </c>
      <c r="CX227" s="13">
        <v>119059.58</v>
      </c>
      <c r="CY227" s="13">
        <v>-1181.33</v>
      </c>
      <c r="CZ227" s="13">
        <v>0</v>
      </c>
      <c r="DA227" s="13">
        <v>8603.2900000000009</v>
      </c>
      <c r="DB227" s="13">
        <v>4774.1000000000004</v>
      </c>
      <c r="DC227" s="13"/>
      <c r="DD227" s="315">
        <v>514875.76</v>
      </c>
      <c r="DE227" s="317">
        <v>450415.06</v>
      </c>
      <c r="DF227" s="317">
        <v>87.48</v>
      </c>
      <c r="DG227" s="318">
        <v>131255.64000000001</v>
      </c>
      <c r="DH227" s="310">
        <v>20700.240000000002</v>
      </c>
      <c r="DI227" s="310">
        <v>11838.72</v>
      </c>
      <c r="DJ227" s="312">
        <v>0</v>
      </c>
      <c r="DK227" s="362">
        <v>0</v>
      </c>
      <c r="DL227" s="362"/>
      <c r="DM227" s="362">
        <v>0</v>
      </c>
      <c r="DN227" s="362">
        <v>0</v>
      </c>
      <c r="DO227" s="362">
        <v>0</v>
      </c>
      <c r="DP227" s="362">
        <v>14373.6</v>
      </c>
      <c r="DQ227" s="362">
        <v>105930</v>
      </c>
      <c r="DR227" s="362"/>
      <c r="DS227" s="362">
        <v>13300</v>
      </c>
      <c r="DT227" s="362"/>
      <c r="DU227" s="362">
        <v>0</v>
      </c>
      <c r="DV227" s="362">
        <v>0</v>
      </c>
      <c r="DW227" s="362">
        <v>0</v>
      </c>
      <c r="DX227" s="362">
        <v>0</v>
      </c>
      <c r="DY227" s="362">
        <v>0</v>
      </c>
      <c r="DZ227" s="375">
        <v>0</v>
      </c>
      <c r="EA227" s="362">
        <v>0</v>
      </c>
      <c r="EB227" s="362">
        <v>0</v>
      </c>
      <c r="EC227" s="362"/>
      <c r="ED227" s="362">
        <v>101741.4</v>
      </c>
      <c r="EE227" s="362">
        <v>8777.1</v>
      </c>
      <c r="EF227" s="362"/>
      <c r="EG227" s="362">
        <v>0</v>
      </c>
      <c r="EH227" s="362">
        <v>0</v>
      </c>
      <c r="EI227" s="362"/>
      <c r="EJ227" s="362">
        <v>0</v>
      </c>
      <c r="EK227" s="362"/>
      <c r="EL227" s="362">
        <v>0</v>
      </c>
      <c r="EM227" s="362">
        <v>3475.23</v>
      </c>
      <c r="EN227" s="362">
        <v>0</v>
      </c>
      <c r="EO227" s="362">
        <v>0</v>
      </c>
      <c r="EP227" s="362">
        <v>100176</v>
      </c>
      <c r="EQ227" s="362">
        <v>0</v>
      </c>
      <c r="ER227" s="362">
        <v>16380</v>
      </c>
      <c r="ES227" s="362">
        <v>6924</v>
      </c>
      <c r="ET227" s="362">
        <v>10143</v>
      </c>
      <c r="EU227" s="362">
        <v>0</v>
      </c>
      <c r="EV227" s="362">
        <v>0</v>
      </c>
      <c r="EW227" s="362"/>
      <c r="EX227" s="202"/>
      <c r="EY227" s="202"/>
      <c r="EZ227" s="229"/>
      <c r="FA227" s="368">
        <v>5581.3</v>
      </c>
      <c r="FB227" s="368">
        <v>0</v>
      </c>
      <c r="FC227" s="368">
        <v>0</v>
      </c>
      <c r="FD227" s="368">
        <v>0</v>
      </c>
      <c r="FE227" s="368">
        <v>49284.91</v>
      </c>
      <c r="FF227" s="368">
        <v>26507.37</v>
      </c>
      <c r="FG227" s="368">
        <v>-7026.24</v>
      </c>
      <c r="FH227" s="368">
        <v>-4182.5200000000004</v>
      </c>
      <c r="FI227" s="368">
        <v>0</v>
      </c>
      <c r="FJ227" s="368">
        <v>0</v>
      </c>
      <c r="FK227" s="368">
        <v>0</v>
      </c>
      <c r="FL227" s="368">
        <v>0</v>
      </c>
      <c r="FM227" s="368">
        <v>52669.68</v>
      </c>
      <c r="FN227" s="368">
        <v>33489.85</v>
      </c>
      <c r="FO227" s="323">
        <v>499918.82</v>
      </c>
      <c r="FP227" s="323">
        <v>70164.820000000007</v>
      </c>
      <c r="FQ227" s="323">
        <v>570083.64</v>
      </c>
      <c r="FR227" s="362">
        <v>70939.64</v>
      </c>
      <c r="FS227" s="362">
        <v>-692.55</v>
      </c>
      <c r="FT227" s="377">
        <v>70247.09</v>
      </c>
      <c r="FU227" s="377">
        <v>480223.42</v>
      </c>
      <c r="FV227" s="377">
        <v>59367.38</v>
      </c>
      <c r="FW227" s="362">
        <v>539590.80000000005</v>
      </c>
      <c r="FX227" s="362">
        <v>432103.48</v>
      </c>
      <c r="FY227" s="362">
        <v>46478.77</v>
      </c>
      <c r="FZ227" s="362">
        <v>478582.25</v>
      </c>
      <c r="GA227" s="362">
        <v>119059.58</v>
      </c>
      <c r="GB227" s="362">
        <v>12196.06</v>
      </c>
      <c r="GC227" s="362">
        <v>131255.64000000001</v>
      </c>
      <c r="GD227" s="362">
        <v>-17265.87</v>
      </c>
      <c r="GE227" s="362">
        <v>4209.88</v>
      </c>
      <c r="GF227" s="362">
        <v>-13055.99</v>
      </c>
      <c r="GG227" s="202"/>
      <c r="GH227" s="416"/>
      <c r="GI227" s="414">
        <v>1947</v>
      </c>
      <c r="GJ227" s="419">
        <v>0</v>
      </c>
      <c r="GK227" s="396"/>
      <c r="GL227" s="202">
        <v>0</v>
      </c>
      <c r="GM227" s="202">
        <v>0</v>
      </c>
      <c r="GN227" s="323">
        <v>-19695.400000000001</v>
      </c>
      <c r="GO227" s="323">
        <v>-10797.44</v>
      </c>
      <c r="GP227" s="323">
        <v>-30492.84</v>
      </c>
      <c r="GQ227" s="323">
        <v>-36961.269999999997</v>
      </c>
      <c r="GR227" s="323">
        <v>-6587.56</v>
      </c>
      <c r="GS227" s="323">
        <v>-43548.83</v>
      </c>
    </row>
    <row r="228" spans="1:201" ht="12.75" customHeight="1" x14ac:dyDescent="0.2">
      <c r="A228" s="45" t="s">
        <v>319</v>
      </c>
      <c r="B228" s="55" t="s">
        <v>277</v>
      </c>
      <c r="C228" s="56" t="s">
        <v>286</v>
      </c>
      <c r="D228" s="388" t="s">
        <v>503</v>
      </c>
      <c r="E228" s="56" t="s">
        <v>12</v>
      </c>
      <c r="F228" s="11">
        <v>3</v>
      </c>
      <c r="G228" s="11">
        <v>2</v>
      </c>
      <c r="H228" s="11">
        <v>15</v>
      </c>
      <c r="I228" s="11">
        <v>0</v>
      </c>
      <c r="J228" s="11">
        <v>44</v>
      </c>
      <c r="K228" s="11">
        <v>53</v>
      </c>
      <c r="L228" s="11" t="s">
        <v>746</v>
      </c>
      <c r="M228" s="84">
        <v>56.4</v>
      </c>
      <c r="N228" s="84">
        <v>241.2</v>
      </c>
      <c r="O228" s="84">
        <v>241.2</v>
      </c>
      <c r="P228" s="139">
        <v>88.5</v>
      </c>
      <c r="Q228" s="135">
        <v>168.9</v>
      </c>
      <c r="R228" s="133">
        <v>241.5</v>
      </c>
      <c r="S228" s="133">
        <f t="shared" si="106"/>
        <v>498.9</v>
      </c>
      <c r="T228" s="139">
        <v>81</v>
      </c>
      <c r="U228" s="130">
        <v>0.84</v>
      </c>
      <c r="V228" s="131">
        <v>1.1299999999999999E-2</v>
      </c>
      <c r="W228" s="131" t="s">
        <v>823</v>
      </c>
      <c r="X228" s="132" t="s">
        <v>823</v>
      </c>
      <c r="Y228" s="131">
        <v>1.1299999999999999E-2</v>
      </c>
      <c r="Z228" s="29">
        <v>975.72</v>
      </c>
      <c r="AA228" s="29"/>
      <c r="AB228" s="9">
        <f t="shared" si="84"/>
        <v>975.72</v>
      </c>
      <c r="AC228" s="9">
        <f t="shared" si="109"/>
        <v>6176.31</v>
      </c>
      <c r="AD228" s="9">
        <v>0.43</v>
      </c>
      <c r="AE228" s="9">
        <v>3.29</v>
      </c>
      <c r="AF228" s="21">
        <f>2.41-AJ228</f>
        <v>1.78</v>
      </c>
      <c r="AG228" s="18">
        <f>0.55-AQ228</f>
        <v>0.43</v>
      </c>
      <c r="AH228" s="9">
        <v>2.17</v>
      </c>
      <c r="AI228" s="13">
        <v>616</v>
      </c>
      <c r="AJ228" s="21">
        <f t="shared" si="87"/>
        <v>0.63</v>
      </c>
      <c r="AK228" s="9">
        <v>0</v>
      </c>
      <c r="AL228" s="9">
        <v>0</v>
      </c>
      <c r="AM228" s="9">
        <v>0.59</v>
      </c>
      <c r="AN228" s="13">
        <v>84.6</v>
      </c>
      <c r="AO228" s="13">
        <v>169.2</v>
      </c>
      <c r="AP228" s="13">
        <f t="shared" si="107"/>
        <v>5.58</v>
      </c>
      <c r="AQ228" s="18">
        <f t="shared" si="83"/>
        <v>0.12</v>
      </c>
      <c r="AR228" s="9">
        <v>0.84</v>
      </c>
      <c r="AS228" s="9">
        <v>1.39</v>
      </c>
      <c r="AT228" s="9">
        <v>7.0000000000000007E-2</v>
      </c>
      <c r="AU228" s="9">
        <v>4.3</v>
      </c>
      <c r="AV228" s="9">
        <v>0.13</v>
      </c>
      <c r="AW228" s="9">
        <f>0.36+0.38+1.04</f>
        <v>1.78</v>
      </c>
      <c r="AX228" s="9">
        <f>1.49+0.51</f>
        <v>2</v>
      </c>
      <c r="AY228" s="58">
        <f t="shared" si="108"/>
        <v>19.95</v>
      </c>
      <c r="AZ228" s="13">
        <v>19.95</v>
      </c>
      <c r="BA228" s="13">
        <f t="shared" si="85"/>
        <v>0</v>
      </c>
      <c r="BB228" s="9">
        <f t="shared" si="86"/>
        <v>19465.61</v>
      </c>
      <c r="BC228" s="9">
        <v>19.95</v>
      </c>
      <c r="BD228" s="10">
        <v>44378</v>
      </c>
      <c r="BE228" s="9">
        <f t="shared" si="88"/>
        <v>419.56</v>
      </c>
      <c r="BF228" s="9">
        <f t="shared" si="89"/>
        <v>3210.12</v>
      </c>
      <c r="BG228" s="9">
        <f t="shared" si="90"/>
        <v>1736.78</v>
      </c>
      <c r="BH228" s="9">
        <f t="shared" si="91"/>
        <v>419.56</v>
      </c>
      <c r="BI228" s="9">
        <f t="shared" si="92"/>
        <v>2117.31</v>
      </c>
      <c r="BJ228" s="9">
        <f t="shared" si="93"/>
        <v>614.70000000000005</v>
      </c>
      <c r="BK228" s="9">
        <f t="shared" si="94"/>
        <v>0</v>
      </c>
      <c r="BL228" s="9">
        <f t="shared" si="95"/>
        <v>0</v>
      </c>
      <c r="BM228" s="9">
        <f t="shared" si="96"/>
        <v>575.66999999999996</v>
      </c>
      <c r="BN228" s="9">
        <f t="shared" si="97"/>
        <v>117.09</v>
      </c>
      <c r="BO228" s="9">
        <f t="shared" si="98"/>
        <v>819.6</v>
      </c>
      <c r="BP228" s="9">
        <f t="shared" si="99"/>
        <v>1356.25</v>
      </c>
      <c r="BQ228" s="9">
        <f t="shared" si="100"/>
        <v>68.3</v>
      </c>
      <c r="BR228" s="9">
        <f t="shared" si="101"/>
        <v>4195.6000000000004</v>
      </c>
      <c r="BS228" s="9">
        <f t="shared" si="102"/>
        <v>126.84</v>
      </c>
      <c r="BT228" s="9">
        <f t="shared" si="103"/>
        <v>1736.78</v>
      </c>
      <c r="BU228" s="9">
        <f t="shared" si="104"/>
        <v>1951.44</v>
      </c>
      <c r="BV228" s="17">
        <f t="shared" si="105"/>
        <v>19465.599999999999</v>
      </c>
      <c r="BW228" s="17">
        <v>1.73</v>
      </c>
      <c r="BX228" s="17">
        <v>0.03</v>
      </c>
      <c r="BY228" s="173">
        <v>0</v>
      </c>
      <c r="BZ228" s="17">
        <v>0.02</v>
      </c>
      <c r="CA228" s="29">
        <v>6.33</v>
      </c>
      <c r="CB228" s="325"/>
      <c r="CC228" s="13">
        <v>0</v>
      </c>
      <c r="CD228" s="13">
        <v>0</v>
      </c>
      <c r="CE228" s="13">
        <v>0</v>
      </c>
      <c r="CF228" s="13">
        <v>0</v>
      </c>
      <c r="CG228" s="13">
        <v>0</v>
      </c>
      <c r="CH228" s="13">
        <v>0</v>
      </c>
      <c r="CI228" s="13">
        <v>320.74</v>
      </c>
      <c r="CJ228" s="13">
        <v>5076</v>
      </c>
      <c r="CK228" s="13">
        <v>375.25</v>
      </c>
      <c r="CL228" s="13">
        <v>233587.8</v>
      </c>
      <c r="CM228" s="13">
        <v>2273.54</v>
      </c>
      <c r="CN228" s="13">
        <v>0</v>
      </c>
      <c r="CO228" s="13">
        <v>29983.87</v>
      </c>
      <c r="CP228" s="13">
        <v>16070.2</v>
      </c>
      <c r="CQ228" s="13">
        <v>0</v>
      </c>
      <c r="CR228" s="13">
        <v>209321.44</v>
      </c>
      <c r="CS228" s="13">
        <v>2118.2399999999998</v>
      </c>
      <c r="CT228" s="13">
        <v>0</v>
      </c>
      <c r="CU228" s="13">
        <v>29512.19</v>
      </c>
      <c r="CV228" s="13">
        <v>15635.67</v>
      </c>
      <c r="CW228" s="13">
        <v>0</v>
      </c>
      <c r="CX228" s="13">
        <v>43958.03</v>
      </c>
      <c r="CY228" s="13">
        <v>-590.04</v>
      </c>
      <c r="CZ228" s="13">
        <v>0</v>
      </c>
      <c r="DA228" s="13">
        <v>6453.62</v>
      </c>
      <c r="DB228" s="13">
        <v>3454.7</v>
      </c>
      <c r="DC228" s="13"/>
      <c r="DD228" s="315">
        <v>281915.40999999997</v>
      </c>
      <c r="DE228" s="317">
        <v>256587.54</v>
      </c>
      <c r="DF228" s="317">
        <v>91.02</v>
      </c>
      <c r="DG228" s="318">
        <v>53276.31</v>
      </c>
      <c r="DH228" s="310">
        <v>10252.32</v>
      </c>
      <c r="DI228" s="310">
        <v>5863.44</v>
      </c>
      <c r="DJ228" s="312">
        <v>0</v>
      </c>
      <c r="DK228" s="362">
        <v>0</v>
      </c>
      <c r="DL228" s="362"/>
      <c r="DM228" s="362">
        <v>0</v>
      </c>
      <c r="DN228" s="362">
        <v>0</v>
      </c>
      <c r="DO228" s="362">
        <v>0</v>
      </c>
      <c r="DP228" s="362">
        <v>9794.4</v>
      </c>
      <c r="DQ228" s="362">
        <v>27540</v>
      </c>
      <c r="DR228" s="362"/>
      <c r="DS228" s="362">
        <v>22950</v>
      </c>
      <c r="DT228" s="362"/>
      <c r="DU228" s="362">
        <v>0</v>
      </c>
      <c r="DV228" s="362">
        <v>0</v>
      </c>
      <c r="DW228" s="362">
        <v>0</v>
      </c>
      <c r="DX228" s="362">
        <v>0</v>
      </c>
      <c r="DY228" s="362">
        <v>0</v>
      </c>
      <c r="DZ228" s="375">
        <v>0</v>
      </c>
      <c r="EA228" s="362">
        <v>0</v>
      </c>
      <c r="EB228" s="362">
        <v>0</v>
      </c>
      <c r="EC228" s="362"/>
      <c r="ED228" s="362">
        <v>49004.76</v>
      </c>
      <c r="EE228" s="362">
        <v>8777.1</v>
      </c>
      <c r="EF228" s="362"/>
      <c r="EG228" s="362">
        <v>0</v>
      </c>
      <c r="EH228" s="362">
        <v>0</v>
      </c>
      <c r="EI228" s="362"/>
      <c r="EJ228" s="362">
        <v>0</v>
      </c>
      <c r="EK228" s="362"/>
      <c r="EL228" s="362">
        <v>0</v>
      </c>
      <c r="EM228" s="362">
        <v>1416.21</v>
      </c>
      <c r="EN228" s="362">
        <v>0</v>
      </c>
      <c r="EO228" s="362">
        <v>0</v>
      </c>
      <c r="EP228" s="362">
        <v>48648</v>
      </c>
      <c r="EQ228" s="362">
        <v>0</v>
      </c>
      <c r="ER228" s="362">
        <v>16380</v>
      </c>
      <c r="ES228" s="362">
        <v>6924</v>
      </c>
      <c r="ET228" s="362">
        <v>4833</v>
      </c>
      <c r="EU228" s="362">
        <v>0</v>
      </c>
      <c r="EV228" s="362">
        <v>0</v>
      </c>
      <c r="EW228" s="362"/>
      <c r="EX228" s="202"/>
      <c r="EY228" s="202"/>
      <c r="EZ228" s="229"/>
      <c r="FA228" s="368">
        <v>2248.69</v>
      </c>
      <c r="FB228" s="368">
        <v>0</v>
      </c>
      <c r="FC228" s="368">
        <v>0</v>
      </c>
      <c r="FD228" s="368">
        <v>0</v>
      </c>
      <c r="FE228" s="368">
        <v>38046.31</v>
      </c>
      <c r="FF228" s="368">
        <v>20371.830000000002</v>
      </c>
      <c r="FG228" s="368">
        <v>-6566.83</v>
      </c>
      <c r="FH228" s="368">
        <v>-3687.6</v>
      </c>
      <c r="FI228" s="368">
        <v>0</v>
      </c>
      <c r="FJ228" s="368">
        <v>0</v>
      </c>
      <c r="FK228" s="368">
        <v>0</v>
      </c>
      <c r="FL228" s="368">
        <v>0</v>
      </c>
      <c r="FM228" s="368">
        <v>26085.93</v>
      </c>
      <c r="FN228" s="368">
        <v>16586.650000000001</v>
      </c>
      <c r="FO228" s="323">
        <v>255055.81</v>
      </c>
      <c r="FP228" s="323">
        <v>50412.4</v>
      </c>
      <c r="FQ228" s="323">
        <v>305468.21000000002</v>
      </c>
      <c r="FR228" s="362">
        <v>22499.9</v>
      </c>
      <c r="FS228" s="362">
        <v>6796.34</v>
      </c>
      <c r="FT228" s="377">
        <v>29296.240000000002</v>
      </c>
      <c r="FU228" s="377">
        <v>238984.54</v>
      </c>
      <c r="FV228" s="377">
        <v>48702.86</v>
      </c>
      <c r="FW228" s="362">
        <v>287687.40000000002</v>
      </c>
      <c r="FX228" s="362">
        <v>217526.41</v>
      </c>
      <c r="FY228" s="362">
        <v>46180.92</v>
      </c>
      <c r="FZ228" s="362">
        <v>263707.33</v>
      </c>
      <c r="GA228" s="362">
        <v>43958.03</v>
      </c>
      <c r="GB228" s="362">
        <v>9318.2800000000007</v>
      </c>
      <c r="GC228" s="362">
        <v>53276.31</v>
      </c>
      <c r="GD228" s="362">
        <v>18405.23</v>
      </c>
      <c r="GE228" s="362">
        <v>-3282.27</v>
      </c>
      <c r="GF228" s="362">
        <v>15122.96</v>
      </c>
      <c r="GG228" s="202"/>
      <c r="GH228" s="416"/>
      <c r="GI228" s="414">
        <v>423</v>
      </c>
      <c r="GJ228" s="419">
        <v>0</v>
      </c>
      <c r="GK228" s="396"/>
      <c r="GL228" s="202">
        <v>0</v>
      </c>
      <c r="GM228" s="202">
        <v>0</v>
      </c>
      <c r="GN228" s="323">
        <v>-16071.27</v>
      </c>
      <c r="GO228" s="323">
        <v>-1709.54</v>
      </c>
      <c r="GP228" s="323">
        <v>-17780.810000000001</v>
      </c>
      <c r="GQ228" s="323">
        <v>2333.96</v>
      </c>
      <c r="GR228" s="323">
        <v>-4991.8100000000004</v>
      </c>
      <c r="GS228" s="323">
        <v>-2657.85</v>
      </c>
    </row>
    <row r="229" spans="1:201" ht="12.75" customHeight="1" x14ac:dyDescent="0.2">
      <c r="A229" s="45" t="s">
        <v>320</v>
      </c>
      <c r="B229" s="55" t="s">
        <v>277</v>
      </c>
      <c r="C229" s="56" t="s">
        <v>288</v>
      </c>
      <c r="D229" s="388" t="s">
        <v>504</v>
      </c>
      <c r="E229" s="56" t="s">
        <v>12</v>
      </c>
      <c r="F229" s="11">
        <v>3</v>
      </c>
      <c r="G229" s="11">
        <v>4</v>
      </c>
      <c r="H229" s="11">
        <v>36</v>
      </c>
      <c r="I229" s="11">
        <v>0</v>
      </c>
      <c r="J229" s="11">
        <v>79</v>
      </c>
      <c r="K229" s="11">
        <v>87</v>
      </c>
      <c r="L229" s="11" t="s">
        <v>746</v>
      </c>
      <c r="M229" s="84">
        <v>210.6</v>
      </c>
      <c r="N229" s="84">
        <v>873.8</v>
      </c>
      <c r="O229" s="84">
        <v>873.8</v>
      </c>
      <c r="P229" s="135">
        <v>210.6</v>
      </c>
      <c r="Q229" s="135">
        <v>537.6</v>
      </c>
      <c r="R229" s="133">
        <v>873.8</v>
      </c>
      <c r="S229" s="133">
        <f t="shared" si="106"/>
        <v>1622</v>
      </c>
      <c r="T229" s="134">
        <v>210.6</v>
      </c>
      <c r="U229" s="130">
        <v>0.84</v>
      </c>
      <c r="V229" s="131">
        <v>1.1299999999999999E-2</v>
      </c>
      <c r="W229" s="131" t="s">
        <v>823</v>
      </c>
      <c r="X229" s="132" t="s">
        <v>823</v>
      </c>
      <c r="Y229" s="131">
        <v>1.1299999999999999E-2</v>
      </c>
      <c r="Z229" s="29">
        <v>1873.5</v>
      </c>
      <c r="AA229" s="29">
        <v>128.6</v>
      </c>
      <c r="AB229" s="9">
        <f t="shared" si="84"/>
        <v>2002.1</v>
      </c>
      <c r="AC229" s="9">
        <f t="shared" si="109"/>
        <v>12673.29</v>
      </c>
      <c r="AD229" s="9">
        <v>0.48</v>
      </c>
      <c r="AE229" s="9">
        <v>3.64</v>
      </c>
      <c r="AF229" s="21">
        <f>2.45-AJ229</f>
        <v>2.02</v>
      </c>
      <c r="AG229" s="18">
        <f>0.57-AQ229</f>
        <v>0.45</v>
      </c>
      <c r="AH229" s="9">
        <v>2.17</v>
      </c>
      <c r="AI229" s="13">
        <v>868</v>
      </c>
      <c r="AJ229" s="21">
        <f t="shared" si="87"/>
        <v>0.43</v>
      </c>
      <c r="AK229" s="9">
        <v>0</v>
      </c>
      <c r="AL229" s="9">
        <v>0</v>
      </c>
      <c r="AM229" s="9">
        <v>0.28000000000000003</v>
      </c>
      <c r="AN229" s="13">
        <v>169.2</v>
      </c>
      <c r="AO229" s="13">
        <v>338.4</v>
      </c>
      <c r="AP229" s="13">
        <f t="shared" si="107"/>
        <v>5.58</v>
      </c>
      <c r="AQ229" s="18">
        <f t="shared" si="83"/>
        <v>0.12</v>
      </c>
      <c r="AR229" s="9">
        <v>0.71</v>
      </c>
      <c r="AS229" s="9">
        <v>0.66</v>
      </c>
      <c r="AT229" s="9">
        <v>7.0000000000000007E-2</v>
      </c>
      <c r="AU229" s="9">
        <v>4.6100000000000003</v>
      </c>
      <c r="AV229" s="9">
        <v>0.12</v>
      </c>
      <c r="AW229" s="9">
        <f>0.25+0.41+0.99</f>
        <v>1.65</v>
      </c>
      <c r="AX229" s="9">
        <f>1.37+0.55</f>
        <v>1.92</v>
      </c>
      <c r="AY229" s="58">
        <f t="shared" si="108"/>
        <v>19.329999999999998</v>
      </c>
      <c r="AZ229" s="13">
        <v>19.329999999999998</v>
      </c>
      <c r="BA229" s="13">
        <f t="shared" si="85"/>
        <v>0</v>
      </c>
      <c r="BB229" s="9">
        <f t="shared" si="86"/>
        <v>38700.589999999997</v>
      </c>
      <c r="BC229" s="9">
        <v>19.329999999999998</v>
      </c>
      <c r="BD229" s="10">
        <v>44378</v>
      </c>
      <c r="BE229" s="9">
        <f t="shared" si="88"/>
        <v>961.01</v>
      </c>
      <c r="BF229" s="9">
        <f t="shared" si="89"/>
        <v>7287.64</v>
      </c>
      <c r="BG229" s="9">
        <f t="shared" si="90"/>
        <v>4044.24</v>
      </c>
      <c r="BH229" s="9">
        <f t="shared" si="91"/>
        <v>900.95</v>
      </c>
      <c r="BI229" s="9">
        <f t="shared" si="92"/>
        <v>4344.5600000000004</v>
      </c>
      <c r="BJ229" s="9">
        <f t="shared" si="93"/>
        <v>860.9</v>
      </c>
      <c r="BK229" s="9">
        <f t="shared" si="94"/>
        <v>0</v>
      </c>
      <c r="BL229" s="9">
        <f t="shared" si="95"/>
        <v>0</v>
      </c>
      <c r="BM229" s="9">
        <f t="shared" si="96"/>
        <v>560.59</v>
      </c>
      <c r="BN229" s="9">
        <f t="shared" si="97"/>
        <v>240.25</v>
      </c>
      <c r="BO229" s="9">
        <f t="shared" si="98"/>
        <v>1421.49</v>
      </c>
      <c r="BP229" s="9">
        <f t="shared" si="99"/>
        <v>1321.39</v>
      </c>
      <c r="BQ229" s="9">
        <f t="shared" si="100"/>
        <v>140.15</v>
      </c>
      <c r="BR229" s="9">
        <f t="shared" si="101"/>
        <v>9229.68</v>
      </c>
      <c r="BS229" s="9">
        <f t="shared" si="102"/>
        <v>240.25</v>
      </c>
      <c r="BT229" s="9">
        <f t="shared" si="103"/>
        <v>3303.47</v>
      </c>
      <c r="BU229" s="9">
        <f t="shared" si="104"/>
        <v>3844.03</v>
      </c>
      <c r="BV229" s="17">
        <f t="shared" si="105"/>
        <v>38700.6</v>
      </c>
      <c r="BW229" s="17">
        <v>2.74</v>
      </c>
      <c r="BX229" s="17">
        <v>0.03</v>
      </c>
      <c r="BY229" s="173">
        <v>0</v>
      </c>
      <c r="BZ229" s="17">
        <v>0.02</v>
      </c>
      <c r="CA229" s="29">
        <v>6.33</v>
      </c>
      <c r="CB229" s="325"/>
      <c r="CC229" s="13">
        <v>29830.080000000002</v>
      </c>
      <c r="CD229" s="13">
        <v>925.94</v>
      </c>
      <c r="CE229" s="13">
        <v>0</v>
      </c>
      <c r="CF229" s="13">
        <v>502.82</v>
      </c>
      <c r="CG229" s="13">
        <v>263.64</v>
      </c>
      <c r="CH229" s="13">
        <v>0</v>
      </c>
      <c r="CI229" s="13">
        <v>1237.93</v>
      </c>
      <c r="CJ229" s="13">
        <v>17268</v>
      </c>
      <c r="CK229" s="13">
        <v>769.99</v>
      </c>
      <c r="CL229" s="13">
        <v>434577.12</v>
      </c>
      <c r="CM229" s="13">
        <v>7831.2</v>
      </c>
      <c r="CN229" s="13">
        <v>0</v>
      </c>
      <c r="CO229" s="13">
        <v>7325.38</v>
      </c>
      <c r="CP229" s="13">
        <v>3840.72</v>
      </c>
      <c r="CQ229" s="13">
        <v>0</v>
      </c>
      <c r="CR229" s="13">
        <v>334181.8</v>
      </c>
      <c r="CS229" s="13">
        <v>6879.75</v>
      </c>
      <c r="CT229" s="13">
        <v>0</v>
      </c>
      <c r="CU229" s="13">
        <v>21050.93</v>
      </c>
      <c r="CV229" s="13">
        <v>11022.28</v>
      </c>
      <c r="CW229" s="13">
        <v>0</v>
      </c>
      <c r="CX229" s="13">
        <v>140209.01999999999</v>
      </c>
      <c r="CY229" s="13">
        <v>-727.1</v>
      </c>
      <c r="CZ229" s="13">
        <v>0</v>
      </c>
      <c r="DA229" s="13">
        <v>-4389.1099999999997</v>
      </c>
      <c r="DB229" s="13">
        <v>-1581.75</v>
      </c>
      <c r="DC229" s="13"/>
      <c r="DD229" s="315">
        <v>453574.42</v>
      </c>
      <c r="DE229" s="317">
        <v>373134.76</v>
      </c>
      <c r="DF229" s="317">
        <v>82.27</v>
      </c>
      <c r="DG229" s="318">
        <v>133511.06</v>
      </c>
      <c r="DH229" s="310">
        <v>19685.64</v>
      </c>
      <c r="DI229" s="310">
        <v>11258.4</v>
      </c>
      <c r="DJ229" s="312">
        <v>0</v>
      </c>
      <c r="DK229" s="362">
        <v>0</v>
      </c>
      <c r="DL229" s="362"/>
      <c r="DM229" s="362">
        <v>0</v>
      </c>
      <c r="DN229" s="362">
        <v>0</v>
      </c>
      <c r="DO229" s="362">
        <v>0</v>
      </c>
      <c r="DP229" s="362">
        <v>13801.2</v>
      </c>
      <c r="DQ229" s="362">
        <v>108540</v>
      </c>
      <c r="DR229" s="362"/>
      <c r="DS229" s="362">
        <v>45650</v>
      </c>
      <c r="DT229" s="362"/>
      <c r="DU229" s="362">
        <v>0</v>
      </c>
      <c r="DV229" s="362">
        <v>0</v>
      </c>
      <c r="DW229" s="362">
        <v>0</v>
      </c>
      <c r="DX229" s="362">
        <v>0</v>
      </c>
      <c r="DY229" s="362">
        <v>0</v>
      </c>
      <c r="DZ229" s="375">
        <v>0</v>
      </c>
      <c r="EA229" s="362">
        <v>0</v>
      </c>
      <c r="EB229" s="362">
        <v>0</v>
      </c>
      <c r="EC229" s="362"/>
      <c r="ED229" s="362">
        <v>113359.26</v>
      </c>
      <c r="EE229" s="362">
        <v>8777.1</v>
      </c>
      <c r="EF229" s="362"/>
      <c r="EG229" s="362">
        <v>0</v>
      </c>
      <c r="EH229" s="362">
        <v>0</v>
      </c>
      <c r="EI229" s="362"/>
      <c r="EJ229" s="362">
        <v>0</v>
      </c>
      <c r="EK229" s="362"/>
      <c r="EL229" s="362">
        <v>0</v>
      </c>
      <c r="EM229" s="362">
        <v>2832.41</v>
      </c>
      <c r="EN229" s="362">
        <v>0</v>
      </c>
      <c r="EO229" s="362">
        <v>0</v>
      </c>
      <c r="EP229" s="362">
        <v>107928</v>
      </c>
      <c r="EQ229" s="362">
        <v>0</v>
      </c>
      <c r="ER229" s="362">
        <v>16380</v>
      </c>
      <c r="ES229" s="362">
        <v>6924</v>
      </c>
      <c r="ET229" s="362">
        <v>9242</v>
      </c>
      <c r="EU229" s="362">
        <v>0</v>
      </c>
      <c r="EV229" s="362">
        <v>54025.67</v>
      </c>
      <c r="EW229" s="362"/>
      <c r="EX229" s="202"/>
      <c r="EY229" s="202"/>
      <c r="EZ229" s="229"/>
      <c r="FA229" s="368">
        <v>8395.7000000000007</v>
      </c>
      <c r="FB229" s="368">
        <v>0</v>
      </c>
      <c r="FC229" s="368">
        <v>0</v>
      </c>
      <c r="FD229" s="368">
        <v>0</v>
      </c>
      <c r="FE229" s="368">
        <v>27510.43</v>
      </c>
      <c r="FF229" s="368">
        <v>14402.66</v>
      </c>
      <c r="FG229" s="368">
        <v>-19673.47</v>
      </c>
      <c r="FH229" s="368">
        <v>-10811.98</v>
      </c>
      <c r="FI229" s="368">
        <v>0</v>
      </c>
      <c r="FJ229" s="368">
        <v>0</v>
      </c>
      <c r="FK229" s="368">
        <v>0</v>
      </c>
      <c r="FL229" s="368">
        <v>0</v>
      </c>
      <c r="FM229" s="368">
        <v>53526.26</v>
      </c>
      <c r="FN229" s="368">
        <v>34034.51</v>
      </c>
      <c r="FO229" s="323">
        <v>605964.44999999995</v>
      </c>
      <c r="FP229" s="323">
        <v>19823.34</v>
      </c>
      <c r="FQ229" s="323">
        <v>625787.79</v>
      </c>
      <c r="FR229" s="362">
        <v>69435.67</v>
      </c>
      <c r="FS229" s="362">
        <v>-1005.19</v>
      </c>
      <c r="FT229" s="377">
        <v>68430.48</v>
      </c>
      <c r="FU229" s="377">
        <v>482913.13</v>
      </c>
      <c r="FV229" s="377">
        <v>21459.69</v>
      </c>
      <c r="FW229" s="362">
        <v>504372.82</v>
      </c>
      <c r="FX229" s="362">
        <v>410711.61</v>
      </c>
      <c r="FY229" s="362">
        <v>27077.29</v>
      </c>
      <c r="FZ229" s="362">
        <v>437788.9</v>
      </c>
      <c r="GA229" s="362">
        <v>141637.19</v>
      </c>
      <c r="GB229" s="362">
        <v>-6622.79</v>
      </c>
      <c r="GC229" s="362">
        <v>135014.39999999999</v>
      </c>
      <c r="GD229" s="362">
        <v>8002.65</v>
      </c>
      <c r="GE229" s="362">
        <v>5484.8</v>
      </c>
      <c r="GF229" s="362">
        <v>13487.45</v>
      </c>
      <c r="GG229" s="202">
        <v>1503.34</v>
      </c>
      <c r="GH229" s="416">
        <v>95</v>
      </c>
      <c r="GI229" s="414">
        <v>1947</v>
      </c>
      <c r="GJ229" s="419">
        <v>31522.48</v>
      </c>
      <c r="GK229" s="396">
        <v>1503.34</v>
      </c>
      <c r="GL229" s="202">
        <v>1428.173</v>
      </c>
      <c r="GM229" s="202">
        <v>75.166999999999902</v>
      </c>
      <c r="GN229" s="323">
        <v>-123051.32</v>
      </c>
      <c r="GO229" s="323">
        <v>1636.35</v>
      </c>
      <c r="GP229" s="323">
        <v>-121414.97</v>
      </c>
      <c r="GQ229" s="323">
        <v>-115048.67</v>
      </c>
      <c r="GR229" s="323">
        <v>7121.15</v>
      </c>
      <c r="GS229" s="323">
        <v>-107927.52</v>
      </c>
    </row>
    <row r="230" spans="1:201" ht="12.75" customHeight="1" x14ac:dyDescent="0.2">
      <c r="A230" s="45" t="s">
        <v>321</v>
      </c>
      <c r="B230" s="55" t="s">
        <v>277</v>
      </c>
      <c r="C230" s="56" t="s">
        <v>288</v>
      </c>
      <c r="D230" s="388" t="s">
        <v>585</v>
      </c>
      <c r="E230" s="56" t="s">
        <v>9</v>
      </c>
      <c r="F230" s="11">
        <v>4</v>
      </c>
      <c r="G230" s="11">
        <v>3</v>
      </c>
      <c r="H230" s="11">
        <v>52</v>
      </c>
      <c r="I230" s="11">
        <v>0</v>
      </c>
      <c r="J230" s="11">
        <v>106</v>
      </c>
      <c r="K230" s="11">
        <v>118</v>
      </c>
      <c r="L230" s="11" t="s">
        <v>746</v>
      </c>
      <c r="M230" s="84">
        <v>143.6</v>
      </c>
      <c r="N230" s="84">
        <v>367.9</v>
      </c>
      <c r="O230" s="84">
        <v>367.9</v>
      </c>
      <c r="P230" s="135">
        <v>143.6</v>
      </c>
      <c r="Q230" s="135">
        <v>367.9</v>
      </c>
      <c r="R230" s="133">
        <v>689</v>
      </c>
      <c r="S230" s="133">
        <f t="shared" si="106"/>
        <v>1200.5</v>
      </c>
      <c r="T230" s="134">
        <v>143.6</v>
      </c>
      <c r="U230" s="130">
        <v>0.84</v>
      </c>
      <c r="V230" s="131">
        <v>1.1299999999999999E-2</v>
      </c>
      <c r="W230" s="131" t="s">
        <v>823</v>
      </c>
      <c r="X230" s="132" t="s">
        <v>823</v>
      </c>
      <c r="Y230" s="131">
        <v>1.1299999999999999E-2</v>
      </c>
      <c r="Z230" s="29">
        <v>2165.9</v>
      </c>
      <c r="AA230" s="29"/>
      <c r="AB230" s="9">
        <f t="shared" si="84"/>
        <v>2165.9</v>
      </c>
      <c r="AC230" s="9">
        <f t="shared" si="109"/>
        <v>13710.15</v>
      </c>
      <c r="AD230" s="9">
        <v>0.33</v>
      </c>
      <c r="AE230" s="9">
        <v>3.9</v>
      </c>
      <c r="AF230" s="21">
        <f>2.37-AJ230</f>
        <v>2.06</v>
      </c>
      <c r="AG230" s="18">
        <f>0.54-AQ230</f>
        <v>0.41</v>
      </c>
      <c r="AH230" s="9">
        <v>2.16</v>
      </c>
      <c r="AI230" s="13">
        <v>668</v>
      </c>
      <c r="AJ230" s="21">
        <f t="shared" si="87"/>
        <v>0.31</v>
      </c>
      <c r="AK230" s="9">
        <v>0</v>
      </c>
      <c r="AL230" s="9">
        <v>0</v>
      </c>
      <c r="AM230" s="9">
        <v>0.26</v>
      </c>
      <c r="AN230" s="13">
        <v>207.6</v>
      </c>
      <c r="AO230" s="13">
        <v>415.2</v>
      </c>
      <c r="AP230" s="13">
        <f t="shared" si="107"/>
        <v>5.58</v>
      </c>
      <c r="AQ230" s="18">
        <f t="shared" si="83"/>
        <v>0.13</v>
      </c>
      <c r="AR230" s="9">
        <v>0.9</v>
      </c>
      <c r="AS230" s="9">
        <v>0.62</v>
      </c>
      <c r="AT230" s="9">
        <v>7.0000000000000007E-2</v>
      </c>
      <c r="AU230" s="9">
        <v>4.58</v>
      </c>
      <c r="AV230" s="9">
        <v>0.12</v>
      </c>
      <c r="AW230" s="9">
        <f>0.33+1+0.4</f>
        <v>1.73</v>
      </c>
      <c r="AX230" s="9">
        <f>1.39+0.55</f>
        <v>1.94</v>
      </c>
      <c r="AY230" s="58">
        <f t="shared" si="108"/>
        <v>19.52</v>
      </c>
      <c r="AZ230" s="13">
        <v>19.52</v>
      </c>
      <c r="BA230" s="13">
        <f t="shared" si="85"/>
        <v>0</v>
      </c>
      <c r="BB230" s="9">
        <f t="shared" si="86"/>
        <v>42278.37</v>
      </c>
      <c r="BC230" s="9">
        <v>19.52</v>
      </c>
      <c r="BD230" s="10">
        <v>44378</v>
      </c>
      <c r="BE230" s="9">
        <f t="shared" si="88"/>
        <v>714.75</v>
      </c>
      <c r="BF230" s="9">
        <f t="shared" si="89"/>
        <v>8447.01</v>
      </c>
      <c r="BG230" s="9">
        <f t="shared" si="90"/>
        <v>4461.75</v>
      </c>
      <c r="BH230" s="9">
        <f t="shared" si="91"/>
        <v>888.02</v>
      </c>
      <c r="BI230" s="9">
        <f t="shared" si="92"/>
        <v>4678.34</v>
      </c>
      <c r="BJ230" s="9">
        <f t="shared" si="93"/>
        <v>671.43</v>
      </c>
      <c r="BK230" s="9">
        <f t="shared" si="94"/>
        <v>0</v>
      </c>
      <c r="BL230" s="9">
        <f t="shared" si="95"/>
        <v>0</v>
      </c>
      <c r="BM230" s="9">
        <f t="shared" si="96"/>
        <v>563.13</v>
      </c>
      <c r="BN230" s="9">
        <f t="shared" si="97"/>
        <v>281.57</v>
      </c>
      <c r="BO230" s="9">
        <f t="shared" si="98"/>
        <v>1949.31</v>
      </c>
      <c r="BP230" s="9">
        <f t="shared" si="99"/>
        <v>1342.86</v>
      </c>
      <c r="BQ230" s="9">
        <f t="shared" si="100"/>
        <v>151.61000000000001</v>
      </c>
      <c r="BR230" s="9">
        <f t="shared" si="101"/>
        <v>9919.82</v>
      </c>
      <c r="BS230" s="9">
        <f t="shared" si="102"/>
        <v>259.91000000000003</v>
      </c>
      <c r="BT230" s="9">
        <f t="shared" si="103"/>
        <v>3747.01</v>
      </c>
      <c r="BU230" s="9">
        <f t="shared" si="104"/>
        <v>4201.8500000000004</v>
      </c>
      <c r="BV230" s="17">
        <f t="shared" si="105"/>
        <v>42278.37</v>
      </c>
      <c r="BW230" s="17">
        <v>1.88</v>
      </c>
      <c r="BX230" s="17">
        <v>0.02</v>
      </c>
      <c r="BY230" s="173">
        <v>0</v>
      </c>
      <c r="BZ230" s="17">
        <v>0.01</v>
      </c>
      <c r="CA230" s="29">
        <v>6.33</v>
      </c>
      <c r="CB230" s="325"/>
      <c r="CC230" s="13">
        <v>0</v>
      </c>
      <c r="CD230" s="13">
        <v>0</v>
      </c>
      <c r="CE230" s="13">
        <v>0</v>
      </c>
      <c r="CF230" s="13">
        <v>0</v>
      </c>
      <c r="CG230" s="13">
        <v>0</v>
      </c>
      <c r="CH230" s="13">
        <v>0</v>
      </c>
      <c r="CI230" s="13">
        <v>447.94</v>
      </c>
      <c r="CJ230" s="13">
        <v>21588</v>
      </c>
      <c r="CK230" s="13">
        <v>832.69</v>
      </c>
      <c r="CL230" s="13">
        <v>507262.22</v>
      </c>
      <c r="CM230" s="13">
        <v>5565.52</v>
      </c>
      <c r="CN230" s="13">
        <v>0</v>
      </c>
      <c r="CO230" s="13">
        <v>26118.15</v>
      </c>
      <c r="CP230" s="13">
        <v>14012.74</v>
      </c>
      <c r="CQ230" s="13">
        <v>0</v>
      </c>
      <c r="CR230" s="13">
        <v>493577.56</v>
      </c>
      <c r="CS230" s="13">
        <v>7175.86</v>
      </c>
      <c r="CT230" s="13">
        <v>0</v>
      </c>
      <c r="CU230" s="13">
        <v>17421.27</v>
      </c>
      <c r="CV230" s="13">
        <v>10842.06</v>
      </c>
      <c r="CW230" s="13">
        <v>0</v>
      </c>
      <c r="CX230" s="13">
        <v>55215.83</v>
      </c>
      <c r="CY230" s="13">
        <v>-2517.67</v>
      </c>
      <c r="CZ230" s="13">
        <v>0</v>
      </c>
      <c r="DA230" s="13">
        <v>3654.56</v>
      </c>
      <c r="DB230" s="13">
        <v>1983.58</v>
      </c>
      <c r="DC230" s="13"/>
      <c r="DD230" s="315">
        <v>552958.63</v>
      </c>
      <c r="DE230" s="317">
        <v>529016.75</v>
      </c>
      <c r="DF230" s="317">
        <v>95.67</v>
      </c>
      <c r="DG230" s="318">
        <v>58336.3</v>
      </c>
      <c r="DH230" s="310">
        <v>22749.599999999999</v>
      </c>
      <c r="DI230" s="310">
        <v>13010.76</v>
      </c>
      <c r="DJ230" s="312">
        <v>0</v>
      </c>
      <c r="DK230" s="362">
        <v>0</v>
      </c>
      <c r="DL230" s="362"/>
      <c r="DM230" s="362">
        <v>0</v>
      </c>
      <c r="DN230" s="362">
        <v>0</v>
      </c>
      <c r="DO230" s="362">
        <v>0</v>
      </c>
      <c r="DP230" s="362">
        <v>10621.2</v>
      </c>
      <c r="DQ230" s="362">
        <v>74790</v>
      </c>
      <c r="DR230" s="362"/>
      <c r="DS230" s="362">
        <v>33750</v>
      </c>
      <c r="DT230" s="362"/>
      <c r="DU230" s="362">
        <v>0</v>
      </c>
      <c r="DV230" s="362">
        <v>0</v>
      </c>
      <c r="DW230" s="362">
        <v>0</v>
      </c>
      <c r="DX230" s="362">
        <v>0</v>
      </c>
      <c r="DY230" s="362">
        <v>0</v>
      </c>
      <c r="DZ230" s="375">
        <v>0</v>
      </c>
      <c r="EA230" s="362">
        <v>0</v>
      </c>
      <c r="EB230" s="362">
        <v>0</v>
      </c>
      <c r="EC230" s="362"/>
      <c r="ED230" s="362">
        <v>123969.24</v>
      </c>
      <c r="EE230" s="362">
        <v>8777.1</v>
      </c>
      <c r="EF230" s="362"/>
      <c r="EG230" s="362">
        <v>0</v>
      </c>
      <c r="EH230" s="362">
        <v>0</v>
      </c>
      <c r="EI230" s="362"/>
      <c r="EJ230" s="362">
        <v>0</v>
      </c>
      <c r="EK230" s="362"/>
      <c r="EL230" s="362">
        <v>0</v>
      </c>
      <c r="EM230" s="362">
        <v>3475.23</v>
      </c>
      <c r="EN230" s="362">
        <v>0</v>
      </c>
      <c r="EO230" s="362">
        <v>0</v>
      </c>
      <c r="EP230" s="362">
        <v>114516</v>
      </c>
      <c r="EQ230" s="362">
        <v>0</v>
      </c>
      <c r="ER230" s="362">
        <v>16380</v>
      </c>
      <c r="ES230" s="362">
        <v>6924</v>
      </c>
      <c r="ET230" s="362">
        <v>10355</v>
      </c>
      <c r="EU230" s="362">
        <v>0</v>
      </c>
      <c r="EV230" s="362">
        <v>0</v>
      </c>
      <c r="EW230" s="362"/>
      <c r="EX230" s="202"/>
      <c r="EY230" s="202"/>
      <c r="EZ230" s="229"/>
      <c r="FA230" s="368">
        <v>5724.59</v>
      </c>
      <c r="FB230" s="368">
        <v>0</v>
      </c>
      <c r="FC230" s="368">
        <v>0</v>
      </c>
      <c r="FD230" s="368">
        <v>0</v>
      </c>
      <c r="FE230" s="368">
        <v>34082.019999999997</v>
      </c>
      <c r="FF230" s="368">
        <v>18391.689999999999</v>
      </c>
      <c r="FG230" s="368">
        <v>0</v>
      </c>
      <c r="FH230" s="368">
        <v>-553.94000000000005</v>
      </c>
      <c r="FI230" s="368">
        <v>0</v>
      </c>
      <c r="FJ230" s="368">
        <v>0</v>
      </c>
      <c r="FK230" s="368">
        <v>0</v>
      </c>
      <c r="FL230" s="368">
        <v>0</v>
      </c>
      <c r="FM230" s="368">
        <v>57896.47</v>
      </c>
      <c r="FN230" s="368">
        <v>36813.08</v>
      </c>
      <c r="FO230" s="323">
        <v>534027.68000000005</v>
      </c>
      <c r="FP230" s="323">
        <v>57644.36</v>
      </c>
      <c r="FQ230" s="323">
        <v>591672.04</v>
      </c>
      <c r="FR230" s="362">
        <v>41874.83</v>
      </c>
      <c r="FS230" s="362">
        <v>-790.46</v>
      </c>
      <c r="FT230" s="377">
        <v>41084.370000000003</v>
      </c>
      <c r="FU230" s="377">
        <v>529298.16</v>
      </c>
      <c r="FV230" s="377">
        <v>46529.1</v>
      </c>
      <c r="FW230" s="362">
        <v>575827.26</v>
      </c>
      <c r="FX230" s="362">
        <v>515957.16</v>
      </c>
      <c r="FY230" s="362">
        <v>42618.17</v>
      </c>
      <c r="FZ230" s="362">
        <v>558575.32999999996</v>
      </c>
      <c r="GA230" s="362">
        <v>55215.83</v>
      </c>
      <c r="GB230" s="362">
        <v>3120.47</v>
      </c>
      <c r="GC230" s="362">
        <v>58336.3</v>
      </c>
      <c r="GD230" s="362">
        <v>19230.509999999998</v>
      </c>
      <c r="GE230" s="362">
        <v>2292.11</v>
      </c>
      <c r="GF230" s="362">
        <v>21522.62</v>
      </c>
      <c r="GG230" s="202"/>
      <c r="GH230" s="416"/>
      <c r="GI230" s="414">
        <v>1947</v>
      </c>
      <c r="GJ230" s="419">
        <v>0</v>
      </c>
      <c r="GK230" s="396"/>
      <c r="GL230" s="202">
        <v>0</v>
      </c>
      <c r="GM230" s="202">
        <v>0</v>
      </c>
      <c r="GN230" s="323">
        <v>-4729.5200000000004</v>
      </c>
      <c r="GO230" s="323">
        <v>-11115.26</v>
      </c>
      <c r="GP230" s="323">
        <v>-15844.78</v>
      </c>
      <c r="GQ230" s="323">
        <v>14500.99</v>
      </c>
      <c r="GR230" s="323">
        <v>-8823.15</v>
      </c>
      <c r="GS230" s="323">
        <v>5677.84</v>
      </c>
    </row>
    <row r="231" spans="1:201" ht="12.75" customHeight="1" x14ac:dyDescent="0.2">
      <c r="A231" s="45" t="s">
        <v>323</v>
      </c>
      <c r="B231" s="51" t="s">
        <v>291</v>
      </c>
      <c r="C231" s="52" t="s">
        <v>17</v>
      </c>
      <c r="D231" s="388" t="s">
        <v>663</v>
      </c>
      <c r="E231" s="52" t="s">
        <v>12</v>
      </c>
      <c r="F231" s="11">
        <v>5</v>
      </c>
      <c r="G231" s="11">
        <v>4</v>
      </c>
      <c r="H231" s="11">
        <v>70</v>
      </c>
      <c r="I231" s="11">
        <v>72</v>
      </c>
      <c r="J231" s="11">
        <v>153</v>
      </c>
      <c r="K231" s="11">
        <v>184</v>
      </c>
      <c r="L231" s="11" t="s">
        <v>746</v>
      </c>
      <c r="M231" s="84">
        <v>279</v>
      </c>
      <c r="N231" s="84">
        <v>917.1</v>
      </c>
      <c r="O231" s="84">
        <v>917.1</v>
      </c>
      <c r="P231" s="135">
        <v>295.8</v>
      </c>
      <c r="Q231" s="135">
        <v>710.8</v>
      </c>
      <c r="R231" s="133">
        <v>710.8</v>
      </c>
      <c r="S231" s="133">
        <f t="shared" si="106"/>
        <v>1717.4</v>
      </c>
      <c r="T231" s="134">
        <v>295.8</v>
      </c>
      <c r="U231" s="130">
        <v>1.53</v>
      </c>
      <c r="V231" s="131">
        <v>1.1299999999999999E-2</v>
      </c>
      <c r="W231" s="131" t="s">
        <v>823</v>
      </c>
      <c r="X231" s="132" t="s">
        <v>823</v>
      </c>
      <c r="Y231" s="131">
        <v>1.1299999999999999E-2</v>
      </c>
      <c r="Z231" s="29">
        <v>3267.79</v>
      </c>
      <c r="AA231" s="29">
        <v>115.8</v>
      </c>
      <c r="AB231" s="9">
        <f t="shared" si="84"/>
        <v>3383.59</v>
      </c>
      <c r="AC231" s="9">
        <f t="shared" si="109"/>
        <v>21418.12</v>
      </c>
      <c r="AD231" s="9">
        <v>0.41</v>
      </c>
      <c r="AE231" s="9">
        <v>4.01</v>
      </c>
      <c r="AF231" s="21">
        <f>2.4-AJ231</f>
        <v>2.04</v>
      </c>
      <c r="AG231" s="18">
        <f>0.53-AQ231</f>
        <v>0.38</v>
      </c>
      <c r="AH231" s="9">
        <v>2.16</v>
      </c>
      <c r="AI231" s="13">
        <v>1210</v>
      </c>
      <c r="AJ231" s="21">
        <f t="shared" si="87"/>
        <v>0.36</v>
      </c>
      <c r="AK231" s="9">
        <v>0</v>
      </c>
      <c r="AL231" s="9">
        <v>0</v>
      </c>
      <c r="AM231" s="9">
        <v>0.17</v>
      </c>
      <c r="AN231" s="13">
        <v>373.3</v>
      </c>
      <c r="AO231" s="13">
        <v>746.7</v>
      </c>
      <c r="AP231" s="13">
        <f t="shared" si="107"/>
        <v>5.58</v>
      </c>
      <c r="AQ231" s="18">
        <f t="shared" si="83"/>
        <v>0.15</v>
      </c>
      <c r="AR231" s="9">
        <v>0.77</v>
      </c>
      <c r="AS231" s="9">
        <v>0.4</v>
      </c>
      <c r="AT231" s="9">
        <v>7.0000000000000007E-2</v>
      </c>
      <c r="AU231" s="9">
        <v>4.3499999999999996</v>
      </c>
      <c r="AV231" s="9">
        <v>0.11</v>
      </c>
      <c r="AW231" s="9">
        <f>0.98+0.29+0.38</f>
        <v>1.65</v>
      </c>
      <c r="AX231" s="9">
        <f>1.35+0.52</f>
        <v>1.87</v>
      </c>
      <c r="AY231" s="54">
        <f t="shared" si="108"/>
        <v>18.899999999999999</v>
      </c>
      <c r="AZ231" s="13">
        <v>18.899999999999999</v>
      </c>
      <c r="BA231" s="13">
        <f t="shared" si="85"/>
        <v>0</v>
      </c>
      <c r="BB231" s="9">
        <f t="shared" si="86"/>
        <v>63949.85</v>
      </c>
      <c r="BC231" s="9">
        <v>18.899999999999999</v>
      </c>
      <c r="BD231" s="10">
        <v>44409</v>
      </c>
      <c r="BE231" s="9">
        <f t="shared" si="88"/>
        <v>1387.27</v>
      </c>
      <c r="BF231" s="9">
        <f t="shared" si="89"/>
        <v>13568.2</v>
      </c>
      <c r="BG231" s="9">
        <f t="shared" si="90"/>
        <v>6902.52</v>
      </c>
      <c r="BH231" s="9">
        <f t="shared" si="91"/>
        <v>1285.76</v>
      </c>
      <c r="BI231" s="9">
        <f t="shared" si="92"/>
        <v>7308.55</v>
      </c>
      <c r="BJ231" s="9">
        <f t="shared" si="93"/>
        <v>1218.0899999999999</v>
      </c>
      <c r="BK231" s="9">
        <f t="shared" si="94"/>
        <v>0</v>
      </c>
      <c r="BL231" s="9">
        <f t="shared" si="95"/>
        <v>0</v>
      </c>
      <c r="BM231" s="9">
        <f t="shared" si="96"/>
        <v>575.21</v>
      </c>
      <c r="BN231" s="9">
        <f t="shared" si="97"/>
        <v>507.54</v>
      </c>
      <c r="BO231" s="9">
        <f t="shared" si="98"/>
        <v>2605.36</v>
      </c>
      <c r="BP231" s="9">
        <f t="shared" si="99"/>
        <v>1353.44</v>
      </c>
      <c r="BQ231" s="9">
        <f t="shared" si="100"/>
        <v>236.85</v>
      </c>
      <c r="BR231" s="9">
        <f t="shared" si="101"/>
        <v>14718.62</v>
      </c>
      <c r="BS231" s="9">
        <f t="shared" si="102"/>
        <v>372.19</v>
      </c>
      <c r="BT231" s="9">
        <f t="shared" si="103"/>
        <v>5582.92</v>
      </c>
      <c r="BU231" s="9">
        <f t="shared" si="104"/>
        <v>6327.31</v>
      </c>
      <c r="BV231" s="17">
        <f t="shared" si="105"/>
        <v>63949.83</v>
      </c>
      <c r="BW231" s="17">
        <v>3.5</v>
      </c>
      <c r="BX231" s="17">
        <v>0.03</v>
      </c>
      <c r="BY231" s="173">
        <v>0</v>
      </c>
      <c r="BZ231" s="17">
        <v>0.02</v>
      </c>
      <c r="CA231" s="29">
        <v>6.33</v>
      </c>
      <c r="CB231" s="325"/>
      <c r="CC231" s="13">
        <v>26263.439999999999</v>
      </c>
      <c r="CD231" s="13">
        <v>3298.02</v>
      </c>
      <c r="CE231" s="13">
        <v>317.29000000000002</v>
      </c>
      <c r="CF231" s="13">
        <v>3893.22</v>
      </c>
      <c r="CG231" s="13">
        <v>2226.87</v>
      </c>
      <c r="CH231" s="13">
        <v>0</v>
      </c>
      <c r="CI231" s="13">
        <v>4130.78</v>
      </c>
      <c r="CJ231" s="13">
        <v>12192</v>
      </c>
      <c r="CK231" s="13">
        <v>1301.29</v>
      </c>
      <c r="CL231" s="13">
        <v>741134.76</v>
      </c>
      <c r="CM231" s="13">
        <v>93066.77</v>
      </c>
      <c r="CN231" s="13">
        <v>0</v>
      </c>
      <c r="CO231" s="13">
        <v>118817.07</v>
      </c>
      <c r="CP231" s="13">
        <v>62839.68</v>
      </c>
      <c r="CQ231" s="13">
        <v>0</v>
      </c>
      <c r="CR231" s="13">
        <v>663610.89</v>
      </c>
      <c r="CS231" s="13">
        <v>85157.11</v>
      </c>
      <c r="CT231" s="13">
        <v>0</v>
      </c>
      <c r="CU231" s="13">
        <v>112856.51</v>
      </c>
      <c r="CV231" s="13">
        <v>58815.88</v>
      </c>
      <c r="CW231" s="13">
        <v>0</v>
      </c>
      <c r="CX231" s="13">
        <v>159153.29</v>
      </c>
      <c r="CY231" s="13">
        <v>22812.01</v>
      </c>
      <c r="CZ231" s="13">
        <v>0</v>
      </c>
      <c r="DA231" s="13">
        <v>28694.23</v>
      </c>
      <c r="DB231" s="13">
        <v>15919.61</v>
      </c>
      <c r="DC231" s="13"/>
      <c r="DD231" s="315">
        <v>1015858.28</v>
      </c>
      <c r="DE231" s="317">
        <v>920440.39</v>
      </c>
      <c r="DF231" s="317">
        <v>90.61</v>
      </c>
      <c r="DG231" s="318">
        <v>226579.14</v>
      </c>
      <c r="DH231" s="310">
        <v>34336.080000000002</v>
      </c>
      <c r="DI231" s="310">
        <v>19637.16</v>
      </c>
      <c r="DJ231" s="312">
        <v>0</v>
      </c>
      <c r="DK231" s="362">
        <v>0</v>
      </c>
      <c r="DL231" s="362"/>
      <c r="DM231" s="362">
        <v>0</v>
      </c>
      <c r="DN231" s="362">
        <v>0</v>
      </c>
      <c r="DO231" s="362">
        <v>6970.56</v>
      </c>
      <c r="DP231" s="362">
        <v>19239</v>
      </c>
      <c r="DQ231" s="362">
        <v>215730</v>
      </c>
      <c r="DR231" s="362"/>
      <c r="DS231" s="362">
        <v>26250</v>
      </c>
      <c r="DT231" s="362"/>
      <c r="DU231" s="362">
        <v>0</v>
      </c>
      <c r="DV231" s="362">
        <v>0</v>
      </c>
      <c r="DW231" s="362">
        <v>0</v>
      </c>
      <c r="DX231" s="362">
        <v>0</v>
      </c>
      <c r="DY231" s="362">
        <v>0</v>
      </c>
      <c r="DZ231" s="375">
        <v>0</v>
      </c>
      <c r="EA231" s="362">
        <v>0</v>
      </c>
      <c r="EB231" s="362">
        <v>0</v>
      </c>
      <c r="EC231" s="362"/>
      <c r="ED231" s="362">
        <v>200132.28</v>
      </c>
      <c r="EE231" s="362">
        <v>8494.9</v>
      </c>
      <c r="EF231" s="362"/>
      <c r="EG231" s="362">
        <v>0</v>
      </c>
      <c r="EH231" s="362">
        <v>0</v>
      </c>
      <c r="EI231" s="362"/>
      <c r="EJ231" s="362">
        <v>0</v>
      </c>
      <c r="EK231" s="362"/>
      <c r="EL231" s="362">
        <v>0</v>
      </c>
      <c r="EM231" s="362">
        <v>6249.6</v>
      </c>
      <c r="EN231" s="362">
        <v>0</v>
      </c>
      <c r="EO231" s="362">
        <v>0</v>
      </c>
      <c r="EP231" s="362">
        <v>175044</v>
      </c>
      <c r="EQ231" s="362">
        <v>0</v>
      </c>
      <c r="ER231" s="362">
        <v>16380</v>
      </c>
      <c r="ES231" s="362">
        <v>1731</v>
      </c>
      <c r="ET231" s="362">
        <v>13736</v>
      </c>
      <c r="EU231" s="362">
        <v>0</v>
      </c>
      <c r="EV231" s="362">
        <v>77743.69</v>
      </c>
      <c r="EW231" s="362"/>
      <c r="EX231" s="202"/>
      <c r="EY231" s="202"/>
      <c r="EZ231" s="229"/>
      <c r="FA231" s="368">
        <v>97931.39</v>
      </c>
      <c r="FB231" s="368">
        <v>0</v>
      </c>
      <c r="FC231" s="368">
        <v>0</v>
      </c>
      <c r="FD231" s="368">
        <v>0</v>
      </c>
      <c r="FE231" s="368">
        <v>98513.41</v>
      </c>
      <c r="FF231" s="368">
        <v>51466.65</v>
      </c>
      <c r="FG231" s="368">
        <v>-4621.1000000000004</v>
      </c>
      <c r="FH231" s="368">
        <v>-3285</v>
      </c>
      <c r="FI231" s="368">
        <v>0</v>
      </c>
      <c r="FJ231" s="368">
        <v>0</v>
      </c>
      <c r="FK231" s="368">
        <v>0</v>
      </c>
      <c r="FL231" s="368">
        <v>0</v>
      </c>
      <c r="FM231" s="368">
        <v>90460.49</v>
      </c>
      <c r="FN231" s="368">
        <v>57518.99</v>
      </c>
      <c r="FO231" s="323">
        <v>969653.75</v>
      </c>
      <c r="FP231" s="323">
        <v>240005.35</v>
      </c>
      <c r="FQ231" s="323">
        <v>1209659.1000000001</v>
      </c>
      <c r="FR231" s="362">
        <v>76282.09</v>
      </c>
      <c r="FS231" s="362">
        <v>33477.26</v>
      </c>
      <c r="FT231" s="377">
        <v>109759.35</v>
      </c>
      <c r="FU231" s="377">
        <v>783720.98</v>
      </c>
      <c r="FV231" s="377">
        <v>285760.21000000002</v>
      </c>
      <c r="FW231" s="362">
        <v>1069481.19</v>
      </c>
      <c r="FX231" s="362">
        <v>699169.24</v>
      </c>
      <c r="FY231" s="362">
        <v>251190.05</v>
      </c>
      <c r="FZ231" s="362">
        <v>950359.29</v>
      </c>
      <c r="GA231" s="362">
        <v>160833.82999999999</v>
      </c>
      <c r="GB231" s="362">
        <v>68047.42</v>
      </c>
      <c r="GC231" s="362">
        <v>228881.25</v>
      </c>
      <c r="GD231" s="362">
        <v>5194.76</v>
      </c>
      <c r="GE231" s="362">
        <v>-65753.17</v>
      </c>
      <c r="GF231" s="362">
        <v>-60558.41</v>
      </c>
      <c r="GG231" s="202">
        <v>2302.11</v>
      </c>
      <c r="GH231" s="416">
        <v>73</v>
      </c>
      <c r="GI231" s="414">
        <v>991.1</v>
      </c>
      <c r="GJ231" s="419">
        <v>35998.839999999997</v>
      </c>
      <c r="GK231" s="396">
        <v>2302.11</v>
      </c>
      <c r="GL231" s="202">
        <v>1680.5402999999999</v>
      </c>
      <c r="GM231" s="202">
        <v>621.56970000000001</v>
      </c>
      <c r="GN231" s="323">
        <v>-185932.77</v>
      </c>
      <c r="GO231" s="323">
        <v>45754.86</v>
      </c>
      <c r="GP231" s="323">
        <v>-140177.91</v>
      </c>
      <c r="GQ231" s="323">
        <v>-180738.01</v>
      </c>
      <c r="GR231" s="323">
        <v>-19998.310000000001</v>
      </c>
      <c r="GS231" s="323">
        <v>-200736.32</v>
      </c>
    </row>
    <row r="232" spans="1:201" ht="12.75" customHeight="1" x14ac:dyDescent="0.2">
      <c r="A232" s="45" t="s">
        <v>324</v>
      </c>
      <c r="B232" s="48" t="s">
        <v>291</v>
      </c>
      <c r="C232" s="49" t="s">
        <v>64</v>
      </c>
      <c r="D232" s="388" t="s">
        <v>661</v>
      </c>
      <c r="E232" s="49" t="s">
        <v>12</v>
      </c>
      <c r="F232" s="11">
        <v>9</v>
      </c>
      <c r="G232" s="11">
        <v>1</v>
      </c>
      <c r="H232" s="11">
        <v>52</v>
      </c>
      <c r="I232" s="11">
        <v>52</v>
      </c>
      <c r="J232" s="11">
        <v>103</v>
      </c>
      <c r="K232" s="11">
        <v>107</v>
      </c>
      <c r="L232" s="83">
        <v>1</v>
      </c>
      <c r="M232" s="84">
        <v>254.2</v>
      </c>
      <c r="N232" s="84">
        <v>321.7</v>
      </c>
      <c r="O232" s="84">
        <v>321.7</v>
      </c>
      <c r="P232" s="135">
        <v>333.6</v>
      </c>
      <c r="Q232" s="135">
        <v>175.4</v>
      </c>
      <c r="R232" s="133">
        <v>255.8</v>
      </c>
      <c r="S232" s="133">
        <f t="shared" si="106"/>
        <v>764.8</v>
      </c>
      <c r="T232" s="134">
        <v>333.6</v>
      </c>
      <c r="U232" s="130">
        <v>2.44</v>
      </c>
      <c r="V232" s="131">
        <v>1.9800000000000002E-2</v>
      </c>
      <c r="W232" s="131">
        <v>1.9800000000000002E-2</v>
      </c>
      <c r="X232" s="132">
        <v>1.32E-3</v>
      </c>
      <c r="Y232" s="131">
        <v>3.9699999999999999E-2</v>
      </c>
      <c r="Z232" s="29">
        <v>2200.3000000000002</v>
      </c>
      <c r="AA232" s="29">
        <v>376.4</v>
      </c>
      <c r="AB232" s="9">
        <f t="shared" si="84"/>
        <v>2576.6999999999998</v>
      </c>
      <c r="AC232" s="9">
        <f t="shared" si="109"/>
        <v>16310.51</v>
      </c>
      <c r="AD232" s="9">
        <v>1.36</v>
      </c>
      <c r="AE232" s="9">
        <v>5.08</v>
      </c>
      <c r="AF232" s="21">
        <f>2.5-AJ232</f>
        <v>2.38</v>
      </c>
      <c r="AG232" s="18">
        <f>0.59-AQ232</f>
        <v>0.53</v>
      </c>
      <c r="AH232" s="9">
        <v>2.77</v>
      </c>
      <c r="AI232" s="13">
        <v>315</v>
      </c>
      <c r="AJ232" s="21">
        <f t="shared" si="87"/>
        <v>0.12</v>
      </c>
      <c r="AK232" s="9">
        <v>1.67</v>
      </c>
      <c r="AL232" s="9">
        <v>0.15</v>
      </c>
      <c r="AM232" s="9">
        <v>0.37</v>
      </c>
      <c r="AN232" s="13"/>
      <c r="AO232" s="13">
        <v>305.89999999999998</v>
      </c>
      <c r="AP232" s="13">
        <f t="shared" si="107"/>
        <v>5.58</v>
      </c>
      <c r="AQ232" s="18">
        <f t="shared" si="83"/>
        <v>0.06</v>
      </c>
      <c r="AR232" s="9">
        <v>0.62</v>
      </c>
      <c r="AS232" s="9">
        <v>0.53</v>
      </c>
      <c r="AT232" s="9">
        <v>7.0000000000000007E-2</v>
      </c>
      <c r="AU232" s="9">
        <v>3.76</v>
      </c>
      <c r="AV232" s="9">
        <v>0.17</v>
      </c>
      <c r="AW232" s="9">
        <f>0.33+1.41+0.33</f>
        <v>2.0699999999999998</v>
      </c>
      <c r="AX232" s="9">
        <f>1.98+0.44</f>
        <v>2.42</v>
      </c>
      <c r="AY232" s="46">
        <f t="shared" si="108"/>
        <v>24.13</v>
      </c>
      <c r="AZ232" s="13">
        <v>24.13</v>
      </c>
      <c r="BA232" s="13">
        <f t="shared" si="85"/>
        <v>0</v>
      </c>
      <c r="BB232" s="9">
        <f t="shared" si="86"/>
        <v>62175.77</v>
      </c>
      <c r="BC232" s="9">
        <v>24.13</v>
      </c>
      <c r="BD232" s="10">
        <v>44409</v>
      </c>
      <c r="BE232" s="9">
        <f t="shared" si="88"/>
        <v>3504.31</v>
      </c>
      <c r="BF232" s="9">
        <f t="shared" si="89"/>
        <v>13089.64</v>
      </c>
      <c r="BG232" s="9">
        <f t="shared" si="90"/>
        <v>6132.55</v>
      </c>
      <c r="BH232" s="9">
        <f t="shared" si="91"/>
        <v>1365.65</v>
      </c>
      <c r="BI232" s="9">
        <f t="shared" si="92"/>
        <v>7137.46</v>
      </c>
      <c r="BJ232" s="9">
        <f t="shared" si="93"/>
        <v>309.2</v>
      </c>
      <c r="BK232" s="9">
        <f t="shared" si="94"/>
        <v>4303.09</v>
      </c>
      <c r="BL232" s="9">
        <f t="shared" si="95"/>
        <v>386.51</v>
      </c>
      <c r="BM232" s="9">
        <f t="shared" si="96"/>
        <v>953.38</v>
      </c>
      <c r="BN232" s="9">
        <f t="shared" si="97"/>
        <v>154.6</v>
      </c>
      <c r="BO232" s="9">
        <f t="shared" si="98"/>
        <v>1597.55</v>
      </c>
      <c r="BP232" s="9">
        <f t="shared" si="99"/>
        <v>1365.65</v>
      </c>
      <c r="BQ232" s="9">
        <f t="shared" si="100"/>
        <v>180.37</v>
      </c>
      <c r="BR232" s="9">
        <f t="shared" si="101"/>
        <v>9688.39</v>
      </c>
      <c r="BS232" s="9">
        <f t="shared" si="102"/>
        <v>438.04</v>
      </c>
      <c r="BT232" s="9">
        <f t="shared" si="103"/>
        <v>5333.77</v>
      </c>
      <c r="BU232" s="9">
        <f t="shared" si="104"/>
        <v>6235.61</v>
      </c>
      <c r="BV232" s="17">
        <f t="shared" si="105"/>
        <v>62175.77</v>
      </c>
      <c r="BW232" s="17">
        <v>3.45</v>
      </c>
      <c r="BX232" s="17">
        <v>7.0000000000000007E-2</v>
      </c>
      <c r="BY232" s="17">
        <v>0.42</v>
      </c>
      <c r="BZ232" s="17">
        <v>7.0000000000000007E-2</v>
      </c>
      <c r="CA232" s="29">
        <v>6.33</v>
      </c>
      <c r="CB232" s="325"/>
      <c r="CC232" s="13">
        <v>108990.36</v>
      </c>
      <c r="CD232" s="13">
        <v>17062.23</v>
      </c>
      <c r="CE232" s="13">
        <v>0</v>
      </c>
      <c r="CF232" s="13">
        <v>0</v>
      </c>
      <c r="CG232" s="13">
        <v>180.72</v>
      </c>
      <c r="CH232" s="13">
        <v>0</v>
      </c>
      <c r="CI232" s="13">
        <v>1313.89</v>
      </c>
      <c r="CJ232" s="13">
        <v>27684</v>
      </c>
      <c r="CK232" s="13">
        <v>990.97</v>
      </c>
      <c r="CL232" s="13">
        <v>637118.88</v>
      </c>
      <c r="CM232" s="13">
        <v>99739.99</v>
      </c>
      <c r="CN232" s="13">
        <v>0</v>
      </c>
      <c r="CO232" s="13">
        <v>0</v>
      </c>
      <c r="CP232" s="13">
        <v>1055.6400000000001</v>
      </c>
      <c r="CQ232" s="13">
        <v>0</v>
      </c>
      <c r="CR232" s="13">
        <v>587226.4</v>
      </c>
      <c r="CS232" s="13">
        <v>87628.87</v>
      </c>
      <c r="CT232" s="13">
        <v>596.91999999999996</v>
      </c>
      <c r="CU232" s="13">
        <v>92.39</v>
      </c>
      <c r="CV232" s="13">
        <v>1010.91</v>
      </c>
      <c r="CW232" s="13">
        <v>0</v>
      </c>
      <c r="CX232" s="13">
        <v>122964.68</v>
      </c>
      <c r="CY232" s="13">
        <v>17494.07</v>
      </c>
      <c r="CZ232" s="13">
        <v>-877.27</v>
      </c>
      <c r="DA232" s="13">
        <v>-130.44</v>
      </c>
      <c r="DB232" s="13">
        <v>168.81</v>
      </c>
      <c r="DC232" s="13"/>
      <c r="DD232" s="315">
        <v>737914.51</v>
      </c>
      <c r="DE232" s="317">
        <v>676555.49</v>
      </c>
      <c r="DF232" s="317">
        <v>91.68</v>
      </c>
      <c r="DG232" s="318">
        <v>139619.85</v>
      </c>
      <c r="DH232" s="310">
        <v>23119.439999999999</v>
      </c>
      <c r="DI232" s="310">
        <v>13222.32</v>
      </c>
      <c r="DJ232" s="312">
        <v>0</v>
      </c>
      <c r="DK232" s="362">
        <v>0</v>
      </c>
      <c r="DL232" s="362"/>
      <c r="DM232" s="362">
        <v>0</v>
      </c>
      <c r="DN232" s="362">
        <v>0</v>
      </c>
      <c r="DO232" s="362">
        <v>0</v>
      </c>
      <c r="DP232" s="362">
        <v>5008.5</v>
      </c>
      <c r="DQ232" s="362">
        <v>0</v>
      </c>
      <c r="DR232" s="362"/>
      <c r="DS232" s="362">
        <v>0</v>
      </c>
      <c r="DT232" s="362"/>
      <c r="DU232" s="362">
        <v>0</v>
      </c>
      <c r="DV232" s="362">
        <v>0</v>
      </c>
      <c r="DW232" s="362">
        <v>0</v>
      </c>
      <c r="DX232" s="362">
        <v>51600</v>
      </c>
      <c r="DY232" s="362">
        <v>4500</v>
      </c>
      <c r="DZ232" s="375">
        <v>0</v>
      </c>
      <c r="EA232" s="362">
        <v>0</v>
      </c>
      <c r="EB232" s="362">
        <v>0</v>
      </c>
      <c r="EC232" s="362"/>
      <c r="ED232" s="362">
        <v>220167.3</v>
      </c>
      <c r="EE232" s="362">
        <v>0</v>
      </c>
      <c r="EF232" s="362"/>
      <c r="EG232" s="362">
        <v>0</v>
      </c>
      <c r="EH232" s="362">
        <v>0</v>
      </c>
      <c r="EI232" s="362"/>
      <c r="EJ232" s="362">
        <v>0</v>
      </c>
      <c r="EK232" s="362"/>
      <c r="EL232" s="362">
        <v>0</v>
      </c>
      <c r="EM232" s="362">
        <v>1706.91</v>
      </c>
      <c r="EN232" s="362">
        <v>0</v>
      </c>
      <c r="EO232" s="362">
        <v>0</v>
      </c>
      <c r="EP232" s="362">
        <v>165156</v>
      </c>
      <c r="EQ232" s="362">
        <v>0</v>
      </c>
      <c r="ER232" s="362">
        <v>16380</v>
      </c>
      <c r="ES232" s="362">
        <v>11304</v>
      </c>
      <c r="ET232" s="362">
        <v>6529</v>
      </c>
      <c r="EU232" s="362">
        <v>0</v>
      </c>
      <c r="EV232" s="362">
        <v>11315</v>
      </c>
      <c r="EW232" s="362"/>
      <c r="EX232" s="202"/>
      <c r="EY232" s="202"/>
      <c r="EZ232" s="229"/>
      <c r="FA232" s="368">
        <v>130087.47</v>
      </c>
      <c r="FB232" s="368">
        <v>0</v>
      </c>
      <c r="FC232" s="368">
        <v>0</v>
      </c>
      <c r="FD232" s="368">
        <v>0</v>
      </c>
      <c r="FE232" s="368">
        <v>0</v>
      </c>
      <c r="FF232" s="368">
        <v>1186.7</v>
      </c>
      <c r="FG232" s="368">
        <v>0</v>
      </c>
      <c r="FH232" s="368">
        <v>-668.29</v>
      </c>
      <c r="FI232" s="368">
        <v>0</v>
      </c>
      <c r="FJ232" s="368">
        <v>0</v>
      </c>
      <c r="FK232" s="368">
        <v>6575.34</v>
      </c>
      <c r="FL232" s="368">
        <v>0</v>
      </c>
      <c r="FM232" s="368">
        <v>68888.22</v>
      </c>
      <c r="FN232" s="368">
        <v>43802.34</v>
      </c>
      <c r="FO232" s="323">
        <v>642699.03</v>
      </c>
      <c r="FP232" s="323">
        <v>137181.22</v>
      </c>
      <c r="FQ232" s="323">
        <v>779880.25</v>
      </c>
      <c r="FR232" s="362">
        <v>98451.35</v>
      </c>
      <c r="FS232" s="362">
        <v>10818.26</v>
      </c>
      <c r="FT232" s="377">
        <v>109269.61</v>
      </c>
      <c r="FU232" s="377">
        <v>775107.13</v>
      </c>
      <c r="FV232" s="377">
        <v>119029.55</v>
      </c>
      <c r="FW232" s="362">
        <v>894136.68</v>
      </c>
      <c r="FX232" s="362">
        <v>741510.66</v>
      </c>
      <c r="FY232" s="362">
        <v>111713.99</v>
      </c>
      <c r="FZ232" s="362">
        <v>853224.65</v>
      </c>
      <c r="GA232" s="362">
        <v>132047.82</v>
      </c>
      <c r="GB232" s="362">
        <v>18133.82</v>
      </c>
      <c r="GC232" s="362">
        <v>150181.64000000001</v>
      </c>
      <c r="GD232" s="362">
        <v>59556.29</v>
      </c>
      <c r="GE232" s="362">
        <v>-2393.98</v>
      </c>
      <c r="GF232" s="362">
        <v>57162.31</v>
      </c>
      <c r="GG232" s="202">
        <v>10561.79</v>
      </c>
      <c r="GH232" s="416">
        <v>86</v>
      </c>
      <c r="GI232" s="414">
        <v>2442.5500000000002</v>
      </c>
      <c r="GJ232" s="419">
        <v>126233.31</v>
      </c>
      <c r="GK232" s="396">
        <v>10561.79</v>
      </c>
      <c r="GL232" s="202">
        <v>9083.1394</v>
      </c>
      <c r="GM232" s="202">
        <v>1478.6505999999999</v>
      </c>
      <c r="GN232" s="323">
        <v>132408.1</v>
      </c>
      <c r="GO232" s="323">
        <v>-18151.669999999998</v>
      </c>
      <c r="GP232" s="323">
        <v>114256.43</v>
      </c>
      <c r="GQ232" s="323">
        <v>191964.39</v>
      </c>
      <c r="GR232" s="323">
        <v>-20545.650000000001</v>
      </c>
      <c r="GS232" s="323">
        <v>171418.74</v>
      </c>
    </row>
    <row r="233" spans="1:201" ht="12.75" customHeight="1" x14ac:dyDescent="0.2">
      <c r="A233" s="45" t="s">
        <v>325</v>
      </c>
      <c r="B233" s="48" t="s">
        <v>291</v>
      </c>
      <c r="C233" s="49" t="s">
        <v>79</v>
      </c>
      <c r="D233" s="390" t="s">
        <v>662</v>
      </c>
      <c r="E233" s="49"/>
      <c r="F233" s="11">
        <v>9</v>
      </c>
      <c r="G233" s="11">
        <v>1</v>
      </c>
      <c r="H233" s="11">
        <v>54</v>
      </c>
      <c r="I233" s="11">
        <v>54</v>
      </c>
      <c r="J233" s="11">
        <v>79</v>
      </c>
      <c r="K233" s="11">
        <v>122</v>
      </c>
      <c r="L233" s="11">
        <v>1</v>
      </c>
      <c r="M233" s="84">
        <v>255.4</v>
      </c>
      <c r="N233" s="84">
        <v>367.2</v>
      </c>
      <c r="O233" s="84">
        <v>367</v>
      </c>
      <c r="P233" s="135">
        <v>269.39999999999998</v>
      </c>
      <c r="Q233" s="135">
        <v>267.3</v>
      </c>
      <c r="R233" s="133">
        <v>286.5</v>
      </c>
      <c r="S233" s="133">
        <f t="shared" si="106"/>
        <v>823.2</v>
      </c>
      <c r="T233" s="134">
        <v>269.39999999999998</v>
      </c>
      <c r="U233" s="130">
        <v>2.44</v>
      </c>
      <c r="V233" s="131">
        <v>1.9800000000000002E-2</v>
      </c>
      <c r="W233" s="131">
        <v>1.9800000000000002E-2</v>
      </c>
      <c r="X233" s="132">
        <v>1.2199999999999999E-3</v>
      </c>
      <c r="Y233" s="131">
        <v>3.9699999999999999E-2</v>
      </c>
      <c r="Z233" s="29">
        <v>2261.6</v>
      </c>
      <c r="AA233" s="29"/>
      <c r="AB233" s="9">
        <f t="shared" si="84"/>
        <v>2261.6</v>
      </c>
      <c r="AC233" s="9">
        <f t="shared" si="109"/>
        <v>14315.93</v>
      </c>
      <c r="AD233" s="9">
        <v>2.2599999999999998</v>
      </c>
      <c r="AE233" s="9">
        <v>4.62</v>
      </c>
      <c r="AF233" s="21">
        <f>2.5-AJ233</f>
        <v>2.34</v>
      </c>
      <c r="AG233" s="18">
        <f>0.61-AQ233</f>
        <v>0.55000000000000004</v>
      </c>
      <c r="AH233" s="9">
        <v>2.77</v>
      </c>
      <c r="AI233" s="13">
        <v>353</v>
      </c>
      <c r="AJ233" s="21">
        <f t="shared" si="87"/>
        <v>0.16</v>
      </c>
      <c r="AK233" s="9">
        <v>1.91</v>
      </c>
      <c r="AL233" s="9">
        <v>0.17</v>
      </c>
      <c r="AM233" s="9">
        <v>0.26</v>
      </c>
      <c r="AN233" s="13"/>
      <c r="AO233" s="13">
        <v>305.89999999999998</v>
      </c>
      <c r="AP233" s="13">
        <f t="shared" si="107"/>
        <v>5.58</v>
      </c>
      <c r="AQ233" s="18">
        <f t="shared" si="83"/>
        <v>0.06</v>
      </c>
      <c r="AR233" s="9">
        <v>0.73</v>
      </c>
      <c r="AS233" s="9">
        <v>0.61</v>
      </c>
      <c r="AT233" s="9">
        <v>7.0000000000000007E-2</v>
      </c>
      <c r="AU233" s="9">
        <v>3.73</v>
      </c>
      <c r="AV233" s="9">
        <v>0.18</v>
      </c>
      <c r="AW233" s="9">
        <f>0.34+1.48+0.31</f>
        <v>2.13</v>
      </c>
      <c r="AX233" s="9">
        <f>2.09+0.44</f>
        <v>2.5299999999999998</v>
      </c>
      <c r="AY233" s="46">
        <f t="shared" si="108"/>
        <v>25.08</v>
      </c>
      <c r="AZ233" s="13">
        <v>25.08</v>
      </c>
      <c r="BA233" s="13">
        <f t="shared" si="85"/>
        <v>0</v>
      </c>
      <c r="BB233" s="9">
        <f t="shared" si="86"/>
        <v>56720.93</v>
      </c>
      <c r="BC233" s="9">
        <v>25.08</v>
      </c>
      <c r="BD233" s="10">
        <v>44440</v>
      </c>
      <c r="BE233" s="9">
        <f t="shared" si="88"/>
        <v>5111.22</v>
      </c>
      <c r="BF233" s="9">
        <f t="shared" si="89"/>
        <v>10448.59</v>
      </c>
      <c r="BG233" s="9">
        <f t="shared" si="90"/>
        <v>5292.14</v>
      </c>
      <c r="BH233" s="9">
        <f t="shared" si="91"/>
        <v>1243.8800000000001</v>
      </c>
      <c r="BI233" s="9">
        <f t="shared" si="92"/>
        <v>6264.63</v>
      </c>
      <c r="BJ233" s="9">
        <f t="shared" si="93"/>
        <v>361.86</v>
      </c>
      <c r="BK233" s="9">
        <f t="shared" si="94"/>
        <v>4319.66</v>
      </c>
      <c r="BL233" s="9">
        <f t="shared" si="95"/>
        <v>384.47</v>
      </c>
      <c r="BM233" s="9">
        <f t="shared" si="96"/>
        <v>588.02</v>
      </c>
      <c r="BN233" s="9">
        <f t="shared" si="97"/>
        <v>135.69999999999999</v>
      </c>
      <c r="BO233" s="9">
        <f t="shared" si="98"/>
        <v>1650.97</v>
      </c>
      <c r="BP233" s="9">
        <f t="shared" si="99"/>
        <v>1379.58</v>
      </c>
      <c r="BQ233" s="9">
        <f t="shared" si="100"/>
        <v>158.31</v>
      </c>
      <c r="BR233" s="9">
        <f t="shared" si="101"/>
        <v>8435.77</v>
      </c>
      <c r="BS233" s="9">
        <f t="shared" si="102"/>
        <v>407.09</v>
      </c>
      <c r="BT233" s="9">
        <f t="shared" si="103"/>
        <v>4817.21</v>
      </c>
      <c r="BU233" s="9">
        <f t="shared" si="104"/>
        <v>5721.85</v>
      </c>
      <c r="BV233" s="17">
        <f t="shared" si="105"/>
        <v>56720.95</v>
      </c>
      <c r="BW233" s="17">
        <v>3.88</v>
      </c>
      <c r="BX233" s="17">
        <v>0.08</v>
      </c>
      <c r="BY233" s="17">
        <v>0.43</v>
      </c>
      <c r="BZ233" s="17">
        <v>0.08</v>
      </c>
      <c r="CA233" s="29">
        <v>6.33</v>
      </c>
      <c r="CB233" s="325"/>
      <c r="CC233" s="13">
        <v>0</v>
      </c>
      <c r="CD233" s="13">
        <v>0</v>
      </c>
      <c r="CE233" s="13">
        <v>0</v>
      </c>
      <c r="CF233" s="13">
        <v>0</v>
      </c>
      <c r="CG233" s="13">
        <v>0</v>
      </c>
      <c r="CH233" s="13">
        <v>0</v>
      </c>
      <c r="CI233" s="13">
        <v>2695.31</v>
      </c>
      <c r="CJ233" s="13">
        <v>26208</v>
      </c>
      <c r="CK233" s="13">
        <v>856.7</v>
      </c>
      <c r="CL233" s="13">
        <v>682408.73</v>
      </c>
      <c r="CM233" s="13">
        <v>64022.12</v>
      </c>
      <c r="CN233" s="13">
        <v>54641.05</v>
      </c>
      <c r="CO233" s="13">
        <v>2036.18</v>
      </c>
      <c r="CP233" s="13">
        <v>2013.87</v>
      </c>
      <c r="CQ233" s="13">
        <v>0</v>
      </c>
      <c r="CR233" s="13">
        <v>637510.30000000005</v>
      </c>
      <c r="CS233" s="13">
        <v>60450.77</v>
      </c>
      <c r="CT233" s="13">
        <v>42153.68</v>
      </c>
      <c r="CU233" s="13">
        <v>2312.79</v>
      </c>
      <c r="CV233" s="13">
        <v>1848.36</v>
      </c>
      <c r="CW233" s="13">
        <v>0</v>
      </c>
      <c r="CX233" s="13">
        <v>102392.25</v>
      </c>
      <c r="CY233" s="13">
        <v>8820.5300000000007</v>
      </c>
      <c r="CZ233" s="13">
        <v>2831.16</v>
      </c>
      <c r="DA233" s="13">
        <v>413.95</v>
      </c>
      <c r="DB233" s="13">
        <v>274.13</v>
      </c>
      <c r="DC233" s="13"/>
      <c r="DD233" s="315">
        <v>805121.95</v>
      </c>
      <c r="DE233" s="317">
        <v>744275.9</v>
      </c>
      <c r="DF233" s="317">
        <v>92.44</v>
      </c>
      <c r="DG233" s="318">
        <v>114732.02</v>
      </c>
      <c r="DH233" s="310">
        <v>23376.12</v>
      </c>
      <c r="DI233" s="310">
        <v>13369.08</v>
      </c>
      <c r="DJ233" s="312">
        <v>0</v>
      </c>
      <c r="DK233" s="362">
        <v>0</v>
      </c>
      <c r="DL233" s="362"/>
      <c r="DM233" s="362">
        <v>0</v>
      </c>
      <c r="DN233" s="362">
        <v>0</v>
      </c>
      <c r="DO233" s="362">
        <v>0</v>
      </c>
      <c r="DP233" s="362">
        <v>5612.7</v>
      </c>
      <c r="DQ233" s="362">
        <v>0</v>
      </c>
      <c r="DR233" s="362"/>
      <c r="DS233" s="362">
        <v>0</v>
      </c>
      <c r="DT233" s="362"/>
      <c r="DU233" s="362">
        <v>0</v>
      </c>
      <c r="DV233" s="362">
        <v>0</v>
      </c>
      <c r="DW233" s="362">
        <v>0</v>
      </c>
      <c r="DX233" s="362">
        <v>51313.33</v>
      </c>
      <c r="DY233" s="362">
        <v>4500</v>
      </c>
      <c r="DZ233" s="375">
        <v>0</v>
      </c>
      <c r="EA233" s="362">
        <v>0</v>
      </c>
      <c r="EB233" s="362">
        <v>0</v>
      </c>
      <c r="EC233" s="362"/>
      <c r="ED233" s="362">
        <v>205893.54</v>
      </c>
      <c r="EE233" s="362">
        <v>16575</v>
      </c>
      <c r="EF233" s="362"/>
      <c r="EG233" s="362">
        <v>0</v>
      </c>
      <c r="EH233" s="362">
        <v>0</v>
      </c>
      <c r="EI233" s="362"/>
      <c r="EJ233" s="362">
        <v>0</v>
      </c>
      <c r="EK233" s="362"/>
      <c r="EL233" s="362">
        <v>0</v>
      </c>
      <c r="EM233" s="362">
        <v>1706.91</v>
      </c>
      <c r="EN233" s="362">
        <v>0</v>
      </c>
      <c r="EO233" s="362">
        <v>0</v>
      </c>
      <c r="EP233" s="362">
        <v>144114</v>
      </c>
      <c r="EQ233" s="362">
        <v>0</v>
      </c>
      <c r="ER233" s="362">
        <v>16380</v>
      </c>
      <c r="ES233" s="362">
        <v>0</v>
      </c>
      <c r="ET233" s="362">
        <v>6635</v>
      </c>
      <c r="EU233" s="362">
        <v>0</v>
      </c>
      <c r="EV233" s="362">
        <v>131877.93</v>
      </c>
      <c r="EW233" s="362"/>
      <c r="EX233" s="202"/>
      <c r="EY233" s="202"/>
      <c r="EZ233" s="229"/>
      <c r="FA233" s="368">
        <v>72127.34</v>
      </c>
      <c r="FB233" s="368">
        <v>54068.75</v>
      </c>
      <c r="FC233" s="368">
        <v>0</v>
      </c>
      <c r="FD233" s="368">
        <v>0</v>
      </c>
      <c r="FE233" s="368">
        <v>2630.65</v>
      </c>
      <c r="FF233" s="368">
        <v>2052.83</v>
      </c>
      <c r="FG233" s="368">
        <v>0</v>
      </c>
      <c r="FH233" s="368">
        <v>-569.19000000000005</v>
      </c>
      <c r="FI233" s="368">
        <v>0</v>
      </c>
      <c r="FJ233" s="368">
        <v>0</v>
      </c>
      <c r="FK233" s="368">
        <v>7325.78</v>
      </c>
      <c r="FL233" s="368">
        <v>0</v>
      </c>
      <c r="FM233" s="368">
        <v>59962.62</v>
      </c>
      <c r="FN233" s="368">
        <v>38120.89</v>
      </c>
      <c r="FO233" s="323">
        <v>719437.12</v>
      </c>
      <c r="FP233" s="323">
        <v>137636.16</v>
      </c>
      <c r="FQ233" s="323">
        <v>857073.28</v>
      </c>
      <c r="FR233" s="362">
        <v>58791.3</v>
      </c>
      <c r="FS233" s="362">
        <v>9327.34</v>
      </c>
      <c r="FT233" s="377">
        <v>68118.64</v>
      </c>
      <c r="FU233" s="377">
        <v>711312.04</v>
      </c>
      <c r="FV233" s="377">
        <v>123569.92</v>
      </c>
      <c r="FW233" s="362">
        <v>834881.96</v>
      </c>
      <c r="FX233" s="362">
        <v>667711.09</v>
      </c>
      <c r="FY233" s="362">
        <v>120557.49</v>
      </c>
      <c r="FZ233" s="362">
        <v>788268.58</v>
      </c>
      <c r="GA233" s="362">
        <v>102392.25</v>
      </c>
      <c r="GB233" s="362">
        <v>12339.77</v>
      </c>
      <c r="GC233" s="362">
        <v>114732.02</v>
      </c>
      <c r="GD233" s="362">
        <v>47803.22</v>
      </c>
      <c r="GE233" s="362">
        <v>-1756.48</v>
      </c>
      <c r="GF233" s="362">
        <v>46046.74</v>
      </c>
      <c r="GG233" s="202"/>
      <c r="GH233" s="416"/>
      <c r="GI233" s="414">
        <v>2019.55</v>
      </c>
      <c r="GJ233" s="419">
        <v>0</v>
      </c>
      <c r="GK233" s="396"/>
      <c r="GL233" s="202">
        <v>0</v>
      </c>
      <c r="GM233" s="202">
        <v>0</v>
      </c>
      <c r="GN233" s="323">
        <v>-8125.08</v>
      </c>
      <c r="GO233" s="323">
        <v>-14066.24</v>
      </c>
      <c r="GP233" s="323">
        <v>-22191.32</v>
      </c>
      <c r="GQ233" s="323">
        <v>39678.14</v>
      </c>
      <c r="GR233" s="323">
        <v>-15822.72</v>
      </c>
      <c r="GS233" s="323">
        <v>23855.42</v>
      </c>
    </row>
    <row r="234" spans="1:201" ht="12.75" customHeight="1" x14ac:dyDescent="0.2">
      <c r="A234" s="45" t="s">
        <v>326</v>
      </c>
      <c r="B234" s="48" t="s">
        <v>291</v>
      </c>
      <c r="C234" s="49" t="s">
        <v>32</v>
      </c>
      <c r="D234" s="388" t="s">
        <v>506</v>
      </c>
      <c r="E234" s="49" t="s">
        <v>12</v>
      </c>
      <c r="F234" s="11">
        <v>10</v>
      </c>
      <c r="G234" s="11">
        <v>6</v>
      </c>
      <c r="H234" s="11">
        <v>240</v>
      </c>
      <c r="I234" s="11">
        <v>244</v>
      </c>
      <c r="J234" s="11">
        <v>535</v>
      </c>
      <c r="K234" s="11">
        <v>627</v>
      </c>
      <c r="L234" s="11">
        <v>6</v>
      </c>
      <c r="M234" s="84">
        <v>991.7</v>
      </c>
      <c r="N234" s="84">
        <v>1775</v>
      </c>
      <c r="O234" s="84">
        <v>0</v>
      </c>
      <c r="P234" s="135">
        <v>1726.5</v>
      </c>
      <c r="Q234" s="135">
        <v>1409.1</v>
      </c>
      <c r="R234" s="133">
        <v>0</v>
      </c>
      <c r="S234" s="133">
        <f t="shared" si="106"/>
        <v>3135.6</v>
      </c>
      <c r="T234" s="134">
        <v>1726.5</v>
      </c>
      <c r="U234" s="130">
        <v>2.74</v>
      </c>
      <c r="V234" s="131">
        <v>1.1299999999999999E-2</v>
      </c>
      <c r="W234" s="131">
        <v>1.1299999999999999E-2</v>
      </c>
      <c r="X234" s="132">
        <v>7.5000000000000002E-4</v>
      </c>
      <c r="Y234" s="131">
        <v>2.2499999999999999E-2</v>
      </c>
      <c r="Z234" s="29">
        <v>13051.99</v>
      </c>
      <c r="AA234" s="29">
        <v>85.1</v>
      </c>
      <c r="AB234" s="9">
        <f t="shared" si="84"/>
        <v>13137.09</v>
      </c>
      <c r="AC234" s="9">
        <f t="shared" si="109"/>
        <v>83157.78</v>
      </c>
      <c r="AD234" s="9">
        <v>1.54</v>
      </c>
      <c r="AE234" s="9">
        <v>3.84</v>
      </c>
      <c r="AF234" s="21">
        <f>2.42-AJ234</f>
        <v>2.2999999999999998</v>
      </c>
      <c r="AG234" s="18">
        <f>0.63-AQ234</f>
        <v>0.57999999999999996</v>
      </c>
      <c r="AH234" s="9">
        <v>2.4700000000000002</v>
      </c>
      <c r="AI234" s="13">
        <v>1637</v>
      </c>
      <c r="AJ234" s="21">
        <f t="shared" si="87"/>
        <v>0.12</v>
      </c>
      <c r="AK234" s="9">
        <v>1.96</v>
      </c>
      <c r="AL234" s="9">
        <v>0.47</v>
      </c>
      <c r="AM234" s="9">
        <v>0.04</v>
      </c>
      <c r="AN234" s="13"/>
      <c r="AO234" s="13">
        <v>1344</v>
      </c>
      <c r="AP234" s="13">
        <f t="shared" si="107"/>
        <v>5.58</v>
      </c>
      <c r="AQ234" s="18">
        <f t="shared" si="83"/>
        <v>0.05</v>
      </c>
      <c r="AR234" s="9">
        <v>0.55000000000000004</v>
      </c>
      <c r="AS234" s="9">
        <v>0.1</v>
      </c>
      <c r="AT234" s="9">
        <v>7.0000000000000007E-2</v>
      </c>
      <c r="AU234" s="9">
        <v>4.8099999999999996</v>
      </c>
      <c r="AV234" s="9">
        <v>0.15</v>
      </c>
      <c r="AW234" s="9">
        <f>0.26+1.28+0.42</f>
        <v>1.96</v>
      </c>
      <c r="AX234" s="9">
        <f>1.79+0.57</f>
        <v>2.36</v>
      </c>
      <c r="AY234" s="46">
        <f t="shared" si="108"/>
        <v>23.37</v>
      </c>
      <c r="AZ234" s="13">
        <v>23.37</v>
      </c>
      <c r="BA234" s="13">
        <f t="shared" si="85"/>
        <v>0</v>
      </c>
      <c r="BB234" s="9">
        <f t="shared" si="86"/>
        <v>307013.78999999998</v>
      </c>
      <c r="BC234" s="9">
        <v>23.37</v>
      </c>
      <c r="BD234" s="10">
        <v>44409</v>
      </c>
      <c r="BE234" s="9">
        <f t="shared" si="88"/>
        <v>20231.12</v>
      </c>
      <c r="BF234" s="9">
        <f t="shared" si="89"/>
        <v>50446.43</v>
      </c>
      <c r="BG234" s="9">
        <f t="shared" si="90"/>
        <v>30215.31</v>
      </c>
      <c r="BH234" s="9">
        <f t="shared" si="91"/>
        <v>7619.51</v>
      </c>
      <c r="BI234" s="9">
        <f t="shared" si="92"/>
        <v>32448.61</v>
      </c>
      <c r="BJ234" s="9">
        <f t="shared" si="93"/>
        <v>1576.45</v>
      </c>
      <c r="BK234" s="9">
        <f t="shared" si="94"/>
        <v>25748.7</v>
      </c>
      <c r="BL234" s="9">
        <f t="shared" si="95"/>
        <v>6174.43</v>
      </c>
      <c r="BM234" s="9">
        <f t="shared" si="96"/>
        <v>525.48</v>
      </c>
      <c r="BN234" s="9">
        <f t="shared" si="97"/>
        <v>656.85</v>
      </c>
      <c r="BO234" s="9">
        <f t="shared" si="98"/>
        <v>7225.4</v>
      </c>
      <c r="BP234" s="9">
        <f t="shared" si="99"/>
        <v>1313.71</v>
      </c>
      <c r="BQ234" s="9">
        <f t="shared" si="100"/>
        <v>919.6</v>
      </c>
      <c r="BR234" s="9">
        <f t="shared" si="101"/>
        <v>63189.4</v>
      </c>
      <c r="BS234" s="9">
        <f t="shared" si="102"/>
        <v>1970.56</v>
      </c>
      <c r="BT234" s="9">
        <f t="shared" si="103"/>
        <v>25748.7</v>
      </c>
      <c r="BU234" s="9">
        <f t="shared" si="104"/>
        <v>31003.53</v>
      </c>
      <c r="BV234" s="17">
        <f t="shared" si="105"/>
        <v>307013.78999999998</v>
      </c>
      <c r="BW234" s="17">
        <v>4.12</v>
      </c>
      <c r="BX234" s="17">
        <v>0.04</v>
      </c>
      <c r="BY234" s="17">
        <v>0.27</v>
      </c>
      <c r="BZ234" s="17">
        <v>0.05</v>
      </c>
      <c r="CA234" s="29">
        <v>6.33</v>
      </c>
      <c r="CB234" s="325"/>
      <c r="CC234" s="13">
        <v>24808.89</v>
      </c>
      <c r="CD234" s="13">
        <v>1351.79</v>
      </c>
      <c r="CE234" s="13">
        <v>2362.23</v>
      </c>
      <c r="CF234" s="13">
        <v>128.78</v>
      </c>
      <c r="CG234" s="13">
        <v>81.430000000000007</v>
      </c>
      <c r="CH234" s="13">
        <v>0</v>
      </c>
      <c r="CI234" s="13">
        <v>10850.07</v>
      </c>
      <c r="CJ234" s="13">
        <v>73368</v>
      </c>
      <c r="CK234" s="13">
        <v>5052.38</v>
      </c>
      <c r="CL234" s="13">
        <v>3659918.35</v>
      </c>
      <c r="CM234" s="13">
        <v>210529.22</v>
      </c>
      <c r="CN234" s="13">
        <v>375637.2</v>
      </c>
      <c r="CO234" s="13">
        <v>16836.48</v>
      </c>
      <c r="CP234" s="13">
        <v>12532.26</v>
      </c>
      <c r="CQ234" s="13">
        <v>0</v>
      </c>
      <c r="CR234" s="13">
        <v>3535452.53</v>
      </c>
      <c r="CS234" s="13">
        <v>219034.95</v>
      </c>
      <c r="CT234" s="13">
        <v>373753.57</v>
      </c>
      <c r="CU234" s="13">
        <v>44368.37</v>
      </c>
      <c r="CV234" s="13">
        <v>25681.52</v>
      </c>
      <c r="CW234" s="13">
        <v>0</v>
      </c>
      <c r="CX234" s="13">
        <v>447761.15</v>
      </c>
      <c r="CY234" s="13">
        <v>37.049999999999997</v>
      </c>
      <c r="CZ234" s="13">
        <v>22189.74</v>
      </c>
      <c r="DA234" s="13">
        <v>3327.14</v>
      </c>
      <c r="DB234" s="13">
        <v>1809.69</v>
      </c>
      <c r="DC234" s="13"/>
      <c r="DD234" s="315">
        <v>4275453.51</v>
      </c>
      <c r="DE234" s="317">
        <v>4198290.9400000004</v>
      </c>
      <c r="DF234" s="317">
        <v>98.2</v>
      </c>
      <c r="DG234" s="318">
        <v>475124.77</v>
      </c>
      <c r="DH234" s="310">
        <v>137142.84</v>
      </c>
      <c r="DI234" s="310">
        <v>78433.440000000002</v>
      </c>
      <c r="DJ234" s="312">
        <v>0</v>
      </c>
      <c r="DK234" s="362">
        <v>0</v>
      </c>
      <c r="DL234" s="362"/>
      <c r="DM234" s="362">
        <v>0</v>
      </c>
      <c r="DN234" s="362">
        <v>0</v>
      </c>
      <c r="DO234" s="362">
        <v>6970.54</v>
      </c>
      <c r="DP234" s="362">
        <v>26028.3</v>
      </c>
      <c r="DQ234" s="362">
        <v>0</v>
      </c>
      <c r="DR234" s="362"/>
      <c r="DS234" s="362">
        <v>0</v>
      </c>
      <c r="DT234" s="362"/>
      <c r="DU234" s="362">
        <v>3038</v>
      </c>
      <c r="DV234" s="362">
        <v>0</v>
      </c>
      <c r="DW234" s="362">
        <v>0</v>
      </c>
      <c r="DX234" s="362">
        <v>309045.15999999997</v>
      </c>
      <c r="DY234" s="362">
        <v>74500</v>
      </c>
      <c r="DZ234" s="375">
        <v>0</v>
      </c>
      <c r="EA234" s="362">
        <v>0</v>
      </c>
      <c r="EB234" s="362">
        <v>0</v>
      </c>
      <c r="EC234" s="362"/>
      <c r="ED234" s="362">
        <v>942640.2</v>
      </c>
      <c r="EE234" s="362">
        <v>17000</v>
      </c>
      <c r="EF234" s="362"/>
      <c r="EG234" s="362">
        <v>0</v>
      </c>
      <c r="EH234" s="362">
        <v>0</v>
      </c>
      <c r="EI234" s="362"/>
      <c r="EJ234" s="362">
        <v>0</v>
      </c>
      <c r="EK234" s="362"/>
      <c r="EL234" s="362">
        <v>0</v>
      </c>
      <c r="EM234" s="362">
        <v>7499.52</v>
      </c>
      <c r="EN234" s="362">
        <v>0</v>
      </c>
      <c r="EO234" s="362">
        <v>0</v>
      </c>
      <c r="EP234" s="362">
        <v>794754</v>
      </c>
      <c r="EQ234" s="362">
        <v>0</v>
      </c>
      <c r="ER234" s="362">
        <v>16380</v>
      </c>
      <c r="ES234" s="362">
        <v>577</v>
      </c>
      <c r="ET234" s="362">
        <v>27918</v>
      </c>
      <c r="EU234" s="362">
        <v>0</v>
      </c>
      <c r="EV234" s="362">
        <v>2744699.57</v>
      </c>
      <c r="EW234" s="362"/>
      <c r="EX234" s="202"/>
      <c r="EY234" s="202"/>
      <c r="EZ234" s="229"/>
      <c r="FA234" s="368">
        <v>214626.12</v>
      </c>
      <c r="FB234" s="368">
        <v>218572.76</v>
      </c>
      <c r="FC234" s="368">
        <v>0</v>
      </c>
      <c r="FD234" s="368">
        <v>0</v>
      </c>
      <c r="FE234" s="368">
        <v>29307.59</v>
      </c>
      <c r="FF234" s="368">
        <v>17915.52</v>
      </c>
      <c r="FG234" s="368">
        <v>-30807.35</v>
      </c>
      <c r="FH234" s="368">
        <v>-19489.82</v>
      </c>
      <c r="FI234" s="368">
        <v>0</v>
      </c>
      <c r="FJ234" s="368">
        <v>0</v>
      </c>
      <c r="FK234" s="368">
        <v>0</v>
      </c>
      <c r="FL234" s="368">
        <v>0</v>
      </c>
      <c r="FM234" s="368">
        <v>351220.88</v>
      </c>
      <c r="FN234" s="368">
        <v>223322.65</v>
      </c>
      <c r="FO234" s="323">
        <v>5761170.0999999996</v>
      </c>
      <c r="FP234" s="323">
        <v>430124.82</v>
      </c>
      <c r="FQ234" s="323">
        <v>6191294.9199999999</v>
      </c>
      <c r="FR234" s="362">
        <v>300370.67</v>
      </c>
      <c r="FS234" s="362">
        <v>60586.19</v>
      </c>
      <c r="FT234" s="377">
        <v>360956.86</v>
      </c>
      <c r="FU234" s="377">
        <v>3768945.31</v>
      </c>
      <c r="FV234" s="377">
        <v>624511.77</v>
      </c>
      <c r="FW234" s="362">
        <v>4393457.08</v>
      </c>
      <c r="FX234" s="362">
        <v>3608818.65</v>
      </c>
      <c r="FY234" s="362">
        <v>655661.01</v>
      </c>
      <c r="FZ234" s="362">
        <v>4264479.66</v>
      </c>
      <c r="GA234" s="362">
        <v>460497.33</v>
      </c>
      <c r="GB234" s="362">
        <v>29436.95</v>
      </c>
      <c r="GC234" s="362">
        <v>489934.28</v>
      </c>
      <c r="GD234" s="362">
        <v>55512.959999999999</v>
      </c>
      <c r="GE234" s="362">
        <v>-145130.31</v>
      </c>
      <c r="GF234" s="362">
        <v>-89617.35</v>
      </c>
      <c r="GG234" s="202">
        <v>14809.51</v>
      </c>
      <c r="GH234" s="416">
        <v>86</v>
      </c>
      <c r="GI234" s="414">
        <v>4885.1000000000004</v>
      </c>
      <c r="GJ234" s="419">
        <v>28733.119999999999</v>
      </c>
      <c r="GK234" s="396">
        <v>14809.51</v>
      </c>
      <c r="GL234" s="202">
        <v>12736.178599999999</v>
      </c>
      <c r="GM234" s="202">
        <v>2073.3314</v>
      </c>
      <c r="GN234" s="323">
        <v>-1992224.79</v>
      </c>
      <c r="GO234" s="323">
        <v>194386.95</v>
      </c>
      <c r="GP234" s="323">
        <v>-1797837.84</v>
      </c>
      <c r="GQ234" s="323">
        <v>-1936711.83</v>
      </c>
      <c r="GR234" s="323">
        <v>49256.639999999999</v>
      </c>
      <c r="GS234" s="323">
        <v>-1887455.19</v>
      </c>
    </row>
    <row r="235" spans="1:201" x14ac:dyDescent="0.2">
      <c r="A235" s="45" t="s">
        <v>328</v>
      </c>
      <c r="B235" s="48" t="s">
        <v>291</v>
      </c>
      <c r="C235" s="49" t="s">
        <v>89</v>
      </c>
      <c r="D235" s="388" t="s">
        <v>507</v>
      </c>
      <c r="E235" s="49" t="s">
        <v>12</v>
      </c>
      <c r="F235" s="11">
        <v>9</v>
      </c>
      <c r="G235" s="11">
        <v>1</v>
      </c>
      <c r="H235" s="11">
        <v>54</v>
      </c>
      <c r="I235" s="11">
        <v>55</v>
      </c>
      <c r="J235" s="11">
        <v>98</v>
      </c>
      <c r="K235" s="11">
        <v>111</v>
      </c>
      <c r="L235" s="11">
        <v>1</v>
      </c>
      <c r="M235" s="84">
        <v>255.4</v>
      </c>
      <c r="N235" s="84">
        <v>368.7</v>
      </c>
      <c r="O235" s="84">
        <v>368</v>
      </c>
      <c r="P235" s="139">
        <v>255.4</v>
      </c>
      <c r="Q235" s="139">
        <v>368.7</v>
      </c>
      <c r="R235" s="139">
        <v>368</v>
      </c>
      <c r="S235" s="133">
        <f t="shared" si="106"/>
        <v>992.1</v>
      </c>
      <c r="T235" s="139">
        <v>289.8</v>
      </c>
      <c r="U235" s="130">
        <v>2.44</v>
      </c>
      <c r="V235" s="131">
        <v>1.9800000000000002E-2</v>
      </c>
      <c r="W235" s="131">
        <v>1.9800000000000002E-2</v>
      </c>
      <c r="X235" s="132">
        <v>1.32E-3</v>
      </c>
      <c r="Y235" s="131">
        <v>3.9699999999999999E-2</v>
      </c>
      <c r="Z235" s="29">
        <v>2312.6799999999998</v>
      </c>
      <c r="AA235" s="29"/>
      <c r="AB235" s="9">
        <f t="shared" si="84"/>
        <v>2312.6799999999998</v>
      </c>
      <c r="AC235" s="9">
        <f t="shared" si="109"/>
        <v>14639.26</v>
      </c>
      <c r="AD235" s="9">
        <v>2.34</v>
      </c>
      <c r="AE235" s="9">
        <v>4.1900000000000004</v>
      </c>
      <c r="AF235" s="21">
        <f>2.43-AJ235</f>
        <v>2.2799999999999998</v>
      </c>
      <c r="AG235" s="18">
        <f>0.6-AQ235</f>
        <v>0.54</v>
      </c>
      <c r="AH235" s="9">
        <v>2.77</v>
      </c>
      <c r="AI235" s="13">
        <v>353</v>
      </c>
      <c r="AJ235" s="21">
        <f t="shared" si="87"/>
        <v>0.15</v>
      </c>
      <c r="AK235" s="9">
        <v>1.86</v>
      </c>
      <c r="AL235" s="9">
        <v>0.16</v>
      </c>
      <c r="AM235" s="9">
        <v>0.25</v>
      </c>
      <c r="AN235" s="13"/>
      <c r="AO235" s="13">
        <v>305.89999999999998</v>
      </c>
      <c r="AP235" s="13">
        <f t="shared" si="107"/>
        <v>5.58</v>
      </c>
      <c r="AQ235" s="18">
        <f t="shared" si="83"/>
        <v>0.06</v>
      </c>
      <c r="AR235" s="9">
        <v>0.71</v>
      </c>
      <c r="AS235" s="9">
        <v>0.59</v>
      </c>
      <c r="AT235" s="9">
        <v>7.0000000000000007E-2</v>
      </c>
      <c r="AU235" s="9">
        <v>3.98</v>
      </c>
      <c r="AV235" s="9">
        <v>0.17</v>
      </c>
      <c r="AW235" s="9">
        <f>1.44+0.33+0.35</f>
        <v>2.12</v>
      </c>
      <c r="AX235" s="9">
        <f>2.02+0.48</f>
        <v>2.5</v>
      </c>
      <c r="AY235" s="46">
        <f t="shared" si="108"/>
        <v>24.74</v>
      </c>
      <c r="AZ235" s="13">
        <v>24.74</v>
      </c>
      <c r="BA235" s="13">
        <f t="shared" si="85"/>
        <v>0</v>
      </c>
      <c r="BB235" s="9">
        <f t="shared" si="86"/>
        <v>57215.7</v>
      </c>
      <c r="BC235" s="9">
        <v>24.74</v>
      </c>
      <c r="BD235" s="10">
        <v>44409</v>
      </c>
      <c r="BE235" s="9">
        <f t="shared" si="88"/>
        <v>5411.67</v>
      </c>
      <c r="BF235" s="9">
        <f t="shared" si="89"/>
        <v>9690.1299999999992</v>
      </c>
      <c r="BG235" s="9">
        <f t="shared" si="90"/>
        <v>5272.91</v>
      </c>
      <c r="BH235" s="9">
        <f t="shared" si="91"/>
        <v>1248.8499999999999</v>
      </c>
      <c r="BI235" s="9">
        <f t="shared" si="92"/>
        <v>6406.12</v>
      </c>
      <c r="BJ235" s="9">
        <f t="shared" si="93"/>
        <v>346.9</v>
      </c>
      <c r="BK235" s="9">
        <f t="shared" si="94"/>
        <v>4301.58</v>
      </c>
      <c r="BL235" s="9">
        <f t="shared" si="95"/>
        <v>370.03</v>
      </c>
      <c r="BM235" s="9">
        <f t="shared" si="96"/>
        <v>578.16999999999996</v>
      </c>
      <c r="BN235" s="9">
        <f t="shared" si="97"/>
        <v>138.76</v>
      </c>
      <c r="BO235" s="9">
        <f t="shared" si="98"/>
        <v>1642</v>
      </c>
      <c r="BP235" s="9">
        <f t="shared" si="99"/>
        <v>1364.48</v>
      </c>
      <c r="BQ235" s="9">
        <f t="shared" si="100"/>
        <v>161.88999999999999</v>
      </c>
      <c r="BR235" s="9">
        <f t="shared" si="101"/>
        <v>9204.4699999999993</v>
      </c>
      <c r="BS235" s="9">
        <f t="shared" si="102"/>
        <v>393.16</v>
      </c>
      <c r="BT235" s="9">
        <f t="shared" si="103"/>
        <v>4902.88</v>
      </c>
      <c r="BU235" s="9">
        <f t="shared" si="104"/>
        <v>5781.7</v>
      </c>
      <c r="BV235" s="17">
        <f t="shared" si="105"/>
        <v>57215.7</v>
      </c>
      <c r="BW235" s="17">
        <v>3.77</v>
      </c>
      <c r="BX235" s="17">
        <v>7.0000000000000007E-2</v>
      </c>
      <c r="BY235" s="17">
        <v>0.42</v>
      </c>
      <c r="BZ235" s="17">
        <v>0.08</v>
      </c>
      <c r="CA235" s="29">
        <v>6.33</v>
      </c>
      <c r="CB235" s="325"/>
      <c r="CC235" s="13">
        <v>0</v>
      </c>
      <c r="CD235" s="13">
        <v>0</v>
      </c>
      <c r="CE235" s="13">
        <v>0</v>
      </c>
      <c r="CF235" s="13">
        <v>0</v>
      </c>
      <c r="CG235" s="13">
        <v>0</v>
      </c>
      <c r="CH235" s="13">
        <v>0</v>
      </c>
      <c r="CI235" s="13">
        <v>703.71</v>
      </c>
      <c r="CJ235" s="13">
        <v>31284</v>
      </c>
      <c r="CK235" s="13">
        <v>889.44</v>
      </c>
      <c r="CL235" s="13">
        <v>686588.28</v>
      </c>
      <c r="CM235" s="13">
        <v>70166.78</v>
      </c>
      <c r="CN235" s="13">
        <v>0</v>
      </c>
      <c r="CO235" s="13">
        <v>7539.42</v>
      </c>
      <c r="CP235" s="13">
        <v>4972.46</v>
      </c>
      <c r="CQ235" s="13">
        <v>0</v>
      </c>
      <c r="CR235" s="13">
        <v>665937.34</v>
      </c>
      <c r="CS235" s="13">
        <v>66424.31</v>
      </c>
      <c r="CT235" s="13">
        <v>505.64</v>
      </c>
      <c r="CU235" s="13">
        <v>9320.7900000000009</v>
      </c>
      <c r="CV235" s="13">
        <v>5561.63</v>
      </c>
      <c r="CW235" s="13">
        <v>0</v>
      </c>
      <c r="CX235" s="13">
        <v>75176.34</v>
      </c>
      <c r="CY235" s="13">
        <v>4551.88</v>
      </c>
      <c r="CZ235" s="13">
        <v>-1091.29</v>
      </c>
      <c r="DA235" s="13">
        <v>229.21</v>
      </c>
      <c r="DB235" s="13">
        <v>150.59</v>
      </c>
      <c r="DC235" s="13"/>
      <c r="DD235" s="315">
        <v>769266.94</v>
      </c>
      <c r="DE235" s="317">
        <v>747749.71</v>
      </c>
      <c r="DF235" s="317">
        <v>97.2</v>
      </c>
      <c r="DG235" s="318">
        <v>79016.73</v>
      </c>
      <c r="DH235" s="310">
        <v>24300.36</v>
      </c>
      <c r="DI235" s="310">
        <v>13897.56</v>
      </c>
      <c r="DJ235" s="312">
        <v>0</v>
      </c>
      <c r="DK235" s="362">
        <v>0</v>
      </c>
      <c r="DL235" s="362"/>
      <c r="DM235" s="362">
        <v>0</v>
      </c>
      <c r="DN235" s="362">
        <v>0</v>
      </c>
      <c r="DO235" s="362">
        <v>0</v>
      </c>
      <c r="DP235" s="362">
        <v>5612.7</v>
      </c>
      <c r="DQ235" s="362">
        <v>0</v>
      </c>
      <c r="DR235" s="362"/>
      <c r="DS235" s="362">
        <v>0</v>
      </c>
      <c r="DT235" s="362"/>
      <c r="DU235" s="362">
        <v>0</v>
      </c>
      <c r="DV235" s="362">
        <v>0</v>
      </c>
      <c r="DW235" s="362">
        <v>0</v>
      </c>
      <c r="DX235" s="362">
        <v>51600</v>
      </c>
      <c r="DY235" s="362">
        <v>4500</v>
      </c>
      <c r="DZ235" s="375">
        <v>0</v>
      </c>
      <c r="EA235" s="362">
        <v>0</v>
      </c>
      <c r="EB235" s="362">
        <v>0</v>
      </c>
      <c r="EC235" s="362"/>
      <c r="ED235" s="362">
        <v>201112.92</v>
      </c>
      <c r="EE235" s="362">
        <v>15300</v>
      </c>
      <c r="EF235" s="362"/>
      <c r="EG235" s="362">
        <v>0</v>
      </c>
      <c r="EH235" s="362">
        <v>0</v>
      </c>
      <c r="EI235" s="362"/>
      <c r="EJ235" s="362">
        <v>0</v>
      </c>
      <c r="EK235" s="362"/>
      <c r="EL235" s="362">
        <v>0</v>
      </c>
      <c r="EM235" s="362">
        <v>1706.91</v>
      </c>
      <c r="EN235" s="362">
        <v>0</v>
      </c>
      <c r="EO235" s="362">
        <v>0</v>
      </c>
      <c r="EP235" s="362">
        <v>146172</v>
      </c>
      <c r="EQ235" s="362">
        <v>0</v>
      </c>
      <c r="ER235" s="362">
        <v>16380</v>
      </c>
      <c r="ES235" s="362">
        <v>1731</v>
      </c>
      <c r="ET235" s="362">
        <v>6635</v>
      </c>
      <c r="EU235" s="362">
        <v>0</v>
      </c>
      <c r="EV235" s="362">
        <v>12982.57</v>
      </c>
      <c r="EW235" s="362"/>
      <c r="EX235" s="202"/>
      <c r="EY235" s="202"/>
      <c r="EZ235" s="229"/>
      <c r="FA235" s="368">
        <v>78306.27</v>
      </c>
      <c r="FB235" s="368">
        <v>0</v>
      </c>
      <c r="FC235" s="368">
        <v>0</v>
      </c>
      <c r="FD235" s="368">
        <v>0</v>
      </c>
      <c r="FE235" s="368">
        <v>6866.25</v>
      </c>
      <c r="FF235" s="368">
        <v>4386.5200000000004</v>
      </c>
      <c r="FG235" s="368">
        <v>-189.17</v>
      </c>
      <c r="FH235" s="368">
        <v>-690.74</v>
      </c>
      <c r="FI235" s="368">
        <v>0</v>
      </c>
      <c r="FJ235" s="368">
        <v>0</v>
      </c>
      <c r="FK235" s="368">
        <v>0</v>
      </c>
      <c r="FL235" s="368">
        <v>0</v>
      </c>
      <c r="FM235" s="368">
        <v>61829.63</v>
      </c>
      <c r="FN235" s="368">
        <v>39314.17</v>
      </c>
      <c r="FO235" s="323">
        <v>603074.81999999995</v>
      </c>
      <c r="FP235" s="323">
        <v>88679.13</v>
      </c>
      <c r="FQ235" s="323">
        <v>691753.95</v>
      </c>
      <c r="FR235" s="362">
        <v>58921.59</v>
      </c>
      <c r="FS235" s="362">
        <v>3650.45</v>
      </c>
      <c r="FT235" s="377">
        <v>62572.04</v>
      </c>
      <c r="FU235" s="377">
        <v>718575.99</v>
      </c>
      <c r="FV235" s="377">
        <v>83568.100000000006</v>
      </c>
      <c r="FW235" s="362">
        <v>802144.09</v>
      </c>
      <c r="FX235" s="362">
        <v>702321.24</v>
      </c>
      <c r="FY235" s="362">
        <v>83378.16</v>
      </c>
      <c r="FZ235" s="362">
        <v>785699.4</v>
      </c>
      <c r="GA235" s="362">
        <v>75176.34</v>
      </c>
      <c r="GB235" s="362">
        <v>3840.39</v>
      </c>
      <c r="GC235" s="362">
        <v>79016.73</v>
      </c>
      <c r="GD235" s="362">
        <v>68427.56</v>
      </c>
      <c r="GE235" s="362">
        <v>3099.07</v>
      </c>
      <c r="GF235" s="362">
        <v>71526.63</v>
      </c>
      <c r="GG235" s="202"/>
      <c r="GH235" s="416"/>
      <c r="GI235" s="414">
        <v>2442.5500000000002</v>
      </c>
      <c r="GJ235" s="419">
        <v>0</v>
      </c>
      <c r="GK235" s="396"/>
      <c r="GL235" s="202">
        <v>0</v>
      </c>
      <c r="GM235" s="202">
        <v>0</v>
      </c>
      <c r="GN235" s="323">
        <v>115501.17</v>
      </c>
      <c r="GO235" s="323">
        <v>-5111.03</v>
      </c>
      <c r="GP235" s="323">
        <v>110390.14</v>
      </c>
      <c r="GQ235" s="323">
        <v>183928.73</v>
      </c>
      <c r="GR235" s="323">
        <v>-2011.96</v>
      </c>
      <c r="GS235" s="323">
        <v>181916.77</v>
      </c>
    </row>
    <row r="236" spans="1:201" x14ac:dyDescent="0.2">
      <c r="A236" s="45" t="s">
        <v>329</v>
      </c>
      <c r="B236" s="48" t="s">
        <v>291</v>
      </c>
      <c r="C236" s="49" t="s">
        <v>235</v>
      </c>
      <c r="D236" s="390" t="s">
        <v>508</v>
      </c>
      <c r="E236" s="49"/>
      <c r="F236" s="11">
        <v>9</v>
      </c>
      <c r="G236" s="11">
        <v>1</v>
      </c>
      <c r="H236" s="11">
        <v>54</v>
      </c>
      <c r="I236" s="11">
        <v>54</v>
      </c>
      <c r="J236" s="11">
        <v>95</v>
      </c>
      <c r="K236" s="11">
        <v>118</v>
      </c>
      <c r="L236" s="11">
        <v>1</v>
      </c>
      <c r="M236" s="84">
        <v>250.8</v>
      </c>
      <c r="N236" s="84">
        <v>365.9</v>
      </c>
      <c r="O236" s="84">
        <v>365.9</v>
      </c>
      <c r="P236" s="135">
        <v>285.2</v>
      </c>
      <c r="Q236" s="135">
        <v>231.6</v>
      </c>
      <c r="R236" s="133">
        <v>270.10000000000002</v>
      </c>
      <c r="S236" s="133">
        <f t="shared" si="106"/>
        <v>786.9</v>
      </c>
      <c r="T236" s="134">
        <v>285.2</v>
      </c>
      <c r="U236" s="130">
        <v>2.44</v>
      </c>
      <c r="V236" s="131">
        <v>1.9800000000000002E-2</v>
      </c>
      <c r="W236" s="131">
        <v>1.9800000000000002E-2</v>
      </c>
      <c r="X236" s="132">
        <v>1.32E-3</v>
      </c>
      <c r="Y236" s="131">
        <v>3.9699999999999999E-2</v>
      </c>
      <c r="Z236" s="29">
        <v>2293.8200000000002</v>
      </c>
      <c r="AA236" s="29"/>
      <c r="AB236" s="9">
        <f t="shared" si="84"/>
        <v>2293.8200000000002</v>
      </c>
      <c r="AC236" s="9">
        <f t="shared" si="109"/>
        <v>14519.88</v>
      </c>
      <c r="AD236" s="9">
        <v>2.3199999999999998</v>
      </c>
      <c r="AE236" s="9">
        <v>4.12</v>
      </c>
      <c r="AF236" s="21">
        <f>2.5-AJ236</f>
        <v>2.35</v>
      </c>
      <c r="AG236" s="18">
        <f>0.6-AQ236</f>
        <v>0.54</v>
      </c>
      <c r="AH236" s="9">
        <v>2.77</v>
      </c>
      <c r="AI236" s="13">
        <v>351</v>
      </c>
      <c r="AJ236" s="21">
        <f t="shared" si="87"/>
        <v>0.15</v>
      </c>
      <c r="AK236" s="9">
        <v>1.88</v>
      </c>
      <c r="AL236" s="9">
        <v>0.16</v>
      </c>
      <c r="AM236" s="9">
        <v>0.25</v>
      </c>
      <c r="AN236" s="13"/>
      <c r="AO236" s="13">
        <v>305.89999999999998</v>
      </c>
      <c r="AP236" s="13">
        <f t="shared" si="107"/>
        <v>5.58</v>
      </c>
      <c r="AQ236" s="18">
        <f t="shared" si="83"/>
        <v>0.06</v>
      </c>
      <c r="AR236" s="9">
        <v>0.72</v>
      </c>
      <c r="AS236" s="9">
        <v>0.6</v>
      </c>
      <c r="AT236" s="9">
        <v>7.0000000000000007E-2</v>
      </c>
      <c r="AU236" s="9">
        <v>4.49</v>
      </c>
      <c r="AV236" s="9">
        <v>0.17</v>
      </c>
      <c r="AW236" s="9">
        <f>0.33+1.44+0.4</f>
        <v>2.17</v>
      </c>
      <c r="AX236" s="9">
        <f>2.05+0.53</f>
        <v>2.58</v>
      </c>
      <c r="AY236" s="46">
        <f t="shared" si="108"/>
        <v>25.4</v>
      </c>
      <c r="AZ236" s="13">
        <v>25.4</v>
      </c>
      <c r="BA236" s="13">
        <f t="shared" si="85"/>
        <v>0</v>
      </c>
      <c r="BB236" s="9">
        <f t="shared" si="86"/>
        <v>58263.03</v>
      </c>
      <c r="BC236" s="9">
        <v>25.4</v>
      </c>
      <c r="BD236" s="10">
        <v>44440</v>
      </c>
      <c r="BE236" s="9">
        <f t="shared" si="88"/>
        <v>5321.66</v>
      </c>
      <c r="BF236" s="9">
        <f t="shared" si="89"/>
        <v>9450.5400000000009</v>
      </c>
      <c r="BG236" s="9">
        <f t="shared" si="90"/>
        <v>5390.48</v>
      </c>
      <c r="BH236" s="9">
        <f t="shared" si="91"/>
        <v>1238.6600000000001</v>
      </c>
      <c r="BI236" s="9">
        <f t="shared" si="92"/>
        <v>6353.88</v>
      </c>
      <c r="BJ236" s="9">
        <f t="shared" si="93"/>
        <v>344.07</v>
      </c>
      <c r="BK236" s="9">
        <f t="shared" si="94"/>
        <v>4312.38</v>
      </c>
      <c r="BL236" s="9">
        <f t="shared" si="95"/>
        <v>367.01</v>
      </c>
      <c r="BM236" s="9">
        <f t="shared" si="96"/>
        <v>573.46</v>
      </c>
      <c r="BN236" s="9">
        <f t="shared" si="97"/>
        <v>137.63</v>
      </c>
      <c r="BO236" s="9">
        <f t="shared" si="98"/>
        <v>1651.55</v>
      </c>
      <c r="BP236" s="9">
        <f t="shared" si="99"/>
        <v>1376.29</v>
      </c>
      <c r="BQ236" s="9">
        <f t="shared" si="100"/>
        <v>160.57</v>
      </c>
      <c r="BR236" s="9">
        <f t="shared" si="101"/>
        <v>10299.25</v>
      </c>
      <c r="BS236" s="9">
        <f t="shared" si="102"/>
        <v>389.95</v>
      </c>
      <c r="BT236" s="9">
        <f t="shared" si="103"/>
        <v>4977.59</v>
      </c>
      <c r="BU236" s="9">
        <f t="shared" si="104"/>
        <v>5918.06</v>
      </c>
      <c r="BV236" s="17">
        <f t="shared" si="105"/>
        <v>58263.03</v>
      </c>
      <c r="BW236" s="17">
        <v>3.88</v>
      </c>
      <c r="BX236" s="17">
        <v>7.0000000000000007E-2</v>
      </c>
      <c r="BY236" s="17">
        <v>0.41</v>
      </c>
      <c r="BZ236" s="17">
        <v>0.08</v>
      </c>
      <c r="CA236" s="29">
        <v>6.33</v>
      </c>
      <c r="CB236" s="325"/>
      <c r="CC236" s="13">
        <v>0</v>
      </c>
      <c r="CD236" s="13">
        <v>0</v>
      </c>
      <c r="CE236" s="13">
        <v>0</v>
      </c>
      <c r="CF236" s="13">
        <v>0</v>
      </c>
      <c r="CG236" s="13">
        <v>0</v>
      </c>
      <c r="CH236" s="13">
        <v>0</v>
      </c>
      <c r="CI236" s="13">
        <v>3460.15</v>
      </c>
      <c r="CJ236" s="13">
        <v>23388</v>
      </c>
      <c r="CK236" s="13">
        <v>881.9</v>
      </c>
      <c r="CL236" s="13">
        <v>699014.12</v>
      </c>
      <c r="CM236" s="13">
        <v>33919</v>
      </c>
      <c r="CN236" s="13">
        <v>0</v>
      </c>
      <c r="CO236" s="13">
        <v>1605.09</v>
      </c>
      <c r="CP236" s="13">
        <v>2041.26</v>
      </c>
      <c r="CQ236" s="13">
        <v>0</v>
      </c>
      <c r="CR236" s="13">
        <v>675847.4</v>
      </c>
      <c r="CS236" s="13">
        <v>34015.89</v>
      </c>
      <c r="CT236" s="13">
        <v>811.16</v>
      </c>
      <c r="CU236" s="13">
        <v>2533.3000000000002</v>
      </c>
      <c r="CV236" s="13">
        <v>1956.59</v>
      </c>
      <c r="CW236" s="13">
        <v>0</v>
      </c>
      <c r="CX236" s="13">
        <v>83093.31</v>
      </c>
      <c r="CY236" s="13">
        <v>142.21</v>
      </c>
      <c r="CZ236" s="13">
        <v>-1067.25</v>
      </c>
      <c r="DA236" s="13">
        <v>368.84</v>
      </c>
      <c r="DB236" s="13">
        <v>251.36</v>
      </c>
      <c r="DC236" s="13"/>
      <c r="DD236" s="315">
        <v>736579.47</v>
      </c>
      <c r="DE236" s="317">
        <v>715164.34</v>
      </c>
      <c r="DF236" s="317">
        <v>97.09</v>
      </c>
      <c r="DG236" s="318">
        <v>82788.47</v>
      </c>
      <c r="DH236" s="310">
        <v>24093.72</v>
      </c>
      <c r="DI236" s="310">
        <v>13779.48</v>
      </c>
      <c r="DJ236" s="312">
        <v>0</v>
      </c>
      <c r="DK236" s="362">
        <v>0</v>
      </c>
      <c r="DL236" s="362"/>
      <c r="DM236" s="362">
        <v>0</v>
      </c>
      <c r="DN236" s="362">
        <v>0</v>
      </c>
      <c r="DO236" s="362">
        <v>0</v>
      </c>
      <c r="DP236" s="362">
        <v>5580.9</v>
      </c>
      <c r="DQ236" s="362">
        <v>0</v>
      </c>
      <c r="DR236" s="362"/>
      <c r="DS236" s="362">
        <v>0</v>
      </c>
      <c r="DT236" s="362"/>
      <c r="DU236" s="362">
        <v>0</v>
      </c>
      <c r="DV236" s="362">
        <v>0</v>
      </c>
      <c r="DW236" s="362">
        <v>0</v>
      </c>
      <c r="DX236" s="362">
        <v>51600</v>
      </c>
      <c r="DY236" s="362">
        <v>4500</v>
      </c>
      <c r="DZ236" s="375">
        <v>0</v>
      </c>
      <c r="EA236" s="362">
        <v>0</v>
      </c>
      <c r="EB236" s="362">
        <v>0</v>
      </c>
      <c r="EC236" s="362"/>
      <c r="ED236" s="362">
        <v>195910.08</v>
      </c>
      <c r="EE236" s="362">
        <v>13600</v>
      </c>
      <c r="EF236" s="362"/>
      <c r="EG236" s="362">
        <v>0</v>
      </c>
      <c r="EH236" s="362">
        <v>0</v>
      </c>
      <c r="EI236" s="362"/>
      <c r="EJ236" s="362">
        <v>0</v>
      </c>
      <c r="EK236" s="362"/>
      <c r="EL236" s="362">
        <v>0</v>
      </c>
      <c r="EM236" s="362">
        <v>1706.91</v>
      </c>
      <c r="EN236" s="362">
        <v>0</v>
      </c>
      <c r="EO236" s="362">
        <v>0</v>
      </c>
      <c r="EP236" s="362">
        <v>145992</v>
      </c>
      <c r="EQ236" s="362">
        <v>0</v>
      </c>
      <c r="ER236" s="362">
        <v>16380</v>
      </c>
      <c r="ES236" s="362">
        <v>0</v>
      </c>
      <c r="ET236" s="362">
        <v>6635</v>
      </c>
      <c r="EU236" s="362">
        <v>0</v>
      </c>
      <c r="EV236" s="362">
        <v>9736.15</v>
      </c>
      <c r="EW236" s="362"/>
      <c r="EX236" s="202"/>
      <c r="EY236" s="202"/>
      <c r="EZ236" s="229"/>
      <c r="FA236" s="368">
        <v>34608.93</v>
      </c>
      <c r="FB236" s="368">
        <v>0</v>
      </c>
      <c r="FC236" s="368">
        <v>0</v>
      </c>
      <c r="FD236" s="368">
        <v>0</v>
      </c>
      <c r="FE236" s="368">
        <v>2668.91</v>
      </c>
      <c r="FF236" s="368">
        <v>2034.22</v>
      </c>
      <c r="FG236" s="368">
        <v>0</v>
      </c>
      <c r="FH236" s="368">
        <v>-586.66999999999996</v>
      </c>
      <c r="FI236" s="368">
        <v>0</v>
      </c>
      <c r="FJ236" s="368">
        <v>0</v>
      </c>
      <c r="FK236" s="368">
        <v>0</v>
      </c>
      <c r="FL236" s="368">
        <v>0</v>
      </c>
      <c r="FM236" s="368">
        <v>61312.89</v>
      </c>
      <c r="FN236" s="368">
        <v>38985.74</v>
      </c>
      <c r="FO236" s="323">
        <v>589812.87</v>
      </c>
      <c r="FP236" s="323">
        <v>38725.39</v>
      </c>
      <c r="FQ236" s="323">
        <v>628538.26</v>
      </c>
      <c r="FR236" s="362">
        <v>50891.06</v>
      </c>
      <c r="FS236" s="362">
        <v>923.03</v>
      </c>
      <c r="FT236" s="377">
        <v>51814.09</v>
      </c>
      <c r="FU236" s="377">
        <v>725862.27</v>
      </c>
      <c r="FV236" s="377">
        <v>38447.25</v>
      </c>
      <c r="FW236" s="362">
        <v>764309.52</v>
      </c>
      <c r="FX236" s="362">
        <v>693660.02</v>
      </c>
      <c r="FY236" s="362">
        <v>39675.120000000003</v>
      </c>
      <c r="FZ236" s="362">
        <v>733335.14</v>
      </c>
      <c r="GA236" s="362">
        <v>83093.31</v>
      </c>
      <c r="GB236" s="362">
        <v>-304.83999999999997</v>
      </c>
      <c r="GC236" s="362">
        <v>82788.47</v>
      </c>
      <c r="GD236" s="362">
        <v>57968.09</v>
      </c>
      <c r="GE236" s="362">
        <v>6780.09</v>
      </c>
      <c r="GF236" s="362">
        <v>64748.18</v>
      </c>
      <c r="GG236" s="202"/>
      <c r="GH236" s="416"/>
      <c r="GI236" s="414">
        <v>1947</v>
      </c>
      <c r="GJ236" s="419">
        <v>0</v>
      </c>
      <c r="GK236" s="396"/>
      <c r="GL236" s="202">
        <v>0</v>
      </c>
      <c r="GM236" s="202">
        <v>0</v>
      </c>
      <c r="GN236" s="323">
        <v>136049.4</v>
      </c>
      <c r="GO236" s="323">
        <v>-278.14</v>
      </c>
      <c r="GP236" s="323">
        <v>135771.26</v>
      </c>
      <c r="GQ236" s="323">
        <v>194017.49</v>
      </c>
      <c r="GR236" s="323">
        <v>6501.95</v>
      </c>
      <c r="GS236" s="323">
        <v>200519.44</v>
      </c>
    </row>
    <row r="237" spans="1:201" ht="12.75" customHeight="1" x14ac:dyDescent="0.2">
      <c r="A237" s="45" t="s">
        <v>330</v>
      </c>
      <c r="B237" s="60" t="s">
        <v>296</v>
      </c>
      <c r="C237" s="61" t="s">
        <v>44</v>
      </c>
      <c r="D237" s="388" t="s">
        <v>586</v>
      </c>
      <c r="E237" s="61" t="s">
        <v>9</v>
      </c>
      <c r="F237" s="11">
        <v>10</v>
      </c>
      <c r="G237" s="11">
        <v>4</v>
      </c>
      <c r="H237" s="11">
        <v>154</v>
      </c>
      <c r="I237" s="11">
        <v>160</v>
      </c>
      <c r="J237" s="11">
        <v>335</v>
      </c>
      <c r="K237" s="11">
        <v>396</v>
      </c>
      <c r="L237" s="11">
        <v>4</v>
      </c>
      <c r="M237" s="84">
        <v>860</v>
      </c>
      <c r="N237" s="84">
        <v>1197.3</v>
      </c>
      <c r="O237" s="84">
        <v>1197.3</v>
      </c>
      <c r="P237" s="135">
        <f>502.2+136.8+480</f>
        <v>1119</v>
      </c>
      <c r="Q237" s="135">
        <v>1153.4000000000001</v>
      </c>
      <c r="R237" s="133">
        <v>1195.8</v>
      </c>
      <c r="S237" s="133">
        <f t="shared" si="106"/>
        <v>3468.2</v>
      </c>
      <c r="T237" s="134">
        <v>1119</v>
      </c>
      <c r="U237" s="130">
        <v>2.74</v>
      </c>
      <c r="V237" s="91">
        <v>1.1299999999999999E-2</v>
      </c>
      <c r="W237" s="91">
        <v>1.1299999999999999E-2</v>
      </c>
      <c r="X237" s="132">
        <v>7.5000000000000002E-4</v>
      </c>
      <c r="Y237" s="91">
        <v>2.2499999999999999E-2</v>
      </c>
      <c r="Z237" s="29">
        <v>8714.07</v>
      </c>
      <c r="AA237" s="29"/>
      <c r="AB237" s="9">
        <f t="shared" si="84"/>
        <v>8714.07</v>
      </c>
      <c r="AC237" s="9">
        <f t="shared" si="109"/>
        <v>55160.06</v>
      </c>
      <c r="AD237" s="9">
        <v>1.56</v>
      </c>
      <c r="AE237" s="9">
        <v>3.54</v>
      </c>
      <c r="AF237" s="21">
        <f>2.47-AJ237</f>
        <v>2.34</v>
      </c>
      <c r="AG237" s="18">
        <f>0.61-AQ237</f>
        <v>0.56000000000000005</v>
      </c>
      <c r="AH237" s="9">
        <v>2.4700000000000002</v>
      </c>
      <c r="AI237" s="43">
        <v>1150</v>
      </c>
      <c r="AJ237" s="21">
        <f t="shared" si="87"/>
        <v>0.13</v>
      </c>
      <c r="AK237" s="9">
        <v>1.98</v>
      </c>
      <c r="AL237" s="9">
        <v>0.17</v>
      </c>
      <c r="AM237" s="9">
        <v>7.0000000000000007E-2</v>
      </c>
      <c r="AN237" s="13"/>
      <c r="AO237" s="13">
        <v>982.4</v>
      </c>
      <c r="AP237" s="13">
        <f t="shared" si="107"/>
        <v>5.58</v>
      </c>
      <c r="AQ237" s="18">
        <f t="shared" si="83"/>
        <v>0.05</v>
      </c>
      <c r="AR237" s="9">
        <v>0.55000000000000004</v>
      </c>
      <c r="AS237" s="9">
        <v>0.16</v>
      </c>
      <c r="AT237" s="9">
        <v>7.0000000000000007E-2</v>
      </c>
      <c r="AU237" s="9">
        <v>4.78</v>
      </c>
      <c r="AV237" s="9">
        <v>0.14000000000000001</v>
      </c>
      <c r="AW237" s="9">
        <f>1.23+0.26+0.42</f>
        <v>1.91</v>
      </c>
      <c r="AX237" s="9">
        <f>1.72+0.57</f>
        <v>2.29</v>
      </c>
      <c r="AY237" s="63">
        <f t="shared" si="108"/>
        <v>22.77</v>
      </c>
      <c r="AZ237" s="13">
        <v>22.77</v>
      </c>
      <c r="BA237" s="13">
        <f t="shared" si="85"/>
        <v>0</v>
      </c>
      <c r="BB237" s="9">
        <f t="shared" si="86"/>
        <v>198419.37</v>
      </c>
      <c r="BC237" s="9">
        <v>22.77</v>
      </c>
      <c r="BD237" s="10">
        <v>44409</v>
      </c>
      <c r="BE237" s="9">
        <f t="shared" si="88"/>
        <v>13593.95</v>
      </c>
      <c r="BF237" s="9">
        <f t="shared" si="89"/>
        <v>30847.81</v>
      </c>
      <c r="BG237" s="9">
        <f t="shared" si="90"/>
        <v>20390.919999999998</v>
      </c>
      <c r="BH237" s="9">
        <f t="shared" si="91"/>
        <v>4879.88</v>
      </c>
      <c r="BI237" s="9">
        <f t="shared" si="92"/>
        <v>21523.75</v>
      </c>
      <c r="BJ237" s="9">
        <f t="shared" si="93"/>
        <v>1132.83</v>
      </c>
      <c r="BK237" s="9">
        <f t="shared" si="94"/>
        <v>17253.86</v>
      </c>
      <c r="BL237" s="9">
        <f t="shared" si="95"/>
        <v>1481.39</v>
      </c>
      <c r="BM237" s="9">
        <f t="shared" si="96"/>
        <v>609.98</v>
      </c>
      <c r="BN237" s="9">
        <f t="shared" si="97"/>
        <v>435.7</v>
      </c>
      <c r="BO237" s="9">
        <f t="shared" si="98"/>
        <v>4792.74</v>
      </c>
      <c r="BP237" s="9">
        <f t="shared" si="99"/>
        <v>1394.25</v>
      </c>
      <c r="BQ237" s="9">
        <f t="shared" si="100"/>
        <v>609.98</v>
      </c>
      <c r="BR237" s="9">
        <f t="shared" si="101"/>
        <v>41653.25</v>
      </c>
      <c r="BS237" s="9">
        <f t="shared" si="102"/>
        <v>1219.97</v>
      </c>
      <c r="BT237" s="9">
        <f t="shared" si="103"/>
        <v>16643.87</v>
      </c>
      <c r="BU237" s="9">
        <f t="shared" si="104"/>
        <v>19955.22</v>
      </c>
      <c r="BV237" s="17">
        <f t="shared" si="105"/>
        <v>198419.35</v>
      </c>
      <c r="BW237" s="17">
        <v>4.22</v>
      </c>
      <c r="BX237" s="17">
        <v>0.04</v>
      </c>
      <c r="BY237" s="17">
        <v>0.26</v>
      </c>
      <c r="BZ237" s="17">
        <v>0.04</v>
      </c>
      <c r="CA237" s="29">
        <v>6.33</v>
      </c>
      <c r="CB237" s="325"/>
      <c r="CC237" s="13">
        <v>0</v>
      </c>
      <c r="CD237" s="13">
        <v>0</v>
      </c>
      <c r="CE237" s="13">
        <v>0</v>
      </c>
      <c r="CF237" s="13">
        <v>0</v>
      </c>
      <c r="CG237" s="13">
        <v>0</v>
      </c>
      <c r="CH237" s="13">
        <v>0</v>
      </c>
      <c r="CI237" s="13">
        <v>15014.5</v>
      </c>
      <c r="CJ237" s="13">
        <v>57576</v>
      </c>
      <c r="CK237" s="13">
        <v>3351.01</v>
      </c>
      <c r="CL237" s="13">
        <v>2380914.5299999998</v>
      </c>
      <c r="CM237" s="13">
        <v>717890.04</v>
      </c>
      <c r="CN237" s="13">
        <v>79733.070000000007</v>
      </c>
      <c r="CO237" s="13">
        <v>42522.68</v>
      </c>
      <c r="CP237" s="13">
        <v>25269.14</v>
      </c>
      <c r="CQ237" s="13">
        <v>0</v>
      </c>
      <c r="CR237" s="13">
        <v>2343229.1</v>
      </c>
      <c r="CS237" s="13">
        <v>692207.42</v>
      </c>
      <c r="CT237" s="13">
        <v>55670.69</v>
      </c>
      <c r="CU237" s="13">
        <v>48260.76</v>
      </c>
      <c r="CV237" s="13">
        <v>28512.27</v>
      </c>
      <c r="CW237" s="13">
        <v>0</v>
      </c>
      <c r="CX237" s="13">
        <v>297748.49</v>
      </c>
      <c r="CY237" s="13">
        <v>103363.3</v>
      </c>
      <c r="CZ237" s="13">
        <v>18341.8</v>
      </c>
      <c r="DA237" s="13">
        <v>5656.49</v>
      </c>
      <c r="DB237" s="13">
        <v>3483.31</v>
      </c>
      <c r="DC237" s="13"/>
      <c r="DD237" s="315">
        <v>3246329.46</v>
      </c>
      <c r="DE237" s="317">
        <v>3167880.24</v>
      </c>
      <c r="DF237" s="317">
        <v>97.58</v>
      </c>
      <c r="DG237" s="318">
        <v>428593.39</v>
      </c>
      <c r="DH237" s="310">
        <v>91591.92</v>
      </c>
      <c r="DI237" s="310">
        <v>52382.400000000001</v>
      </c>
      <c r="DJ237" s="312">
        <v>0</v>
      </c>
      <c r="DK237" s="362">
        <v>0</v>
      </c>
      <c r="DL237" s="362"/>
      <c r="DM237" s="362">
        <v>0</v>
      </c>
      <c r="DN237" s="362">
        <v>0</v>
      </c>
      <c r="DO237" s="362">
        <v>0</v>
      </c>
      <c r="DP237" s="362">
        <v>0</v>
      </c>
      <c r="DQ237" s="362">
        <v>0</v>
      </c>
      <c r="DR237" s="362"/>
      <c r="DS237" s="362">
        <v>0</v>
      </c>
      <c r="DT237" s="362"/>
      <c r="DU237" s="362">
        <v>0</v>
      </c>
      <c r="DV237" s="362">
        <v>0</v>
      </c>
      <c r="DW237" s="362">
        <v>206400</v>
      </c>
      <c r="DX237" s="362">
        <v>0</v>
      </c>
      <c r="DY237" s="362">
        <v>18000</v>
      </c>
      <c r="DZ237" s="375">
        <v>0</v>
      </c>
      <c r="EA237" s="362">
        <v>0</v>
      </c>
      <c r="EB237" s="362">
        <v>0</v>
      </c>
      <c r="EC237" s="362"/>
      <c r="ED237" s="362">
        <v>592497.24</v>
      </c>
      <c r="EE237" s="362">
        <v>7650</v>
      </c>
      <c r="EF237" s="362"/>
      <c r="EG237" s="362">
        <v>18300</v>
      </c>
      <c r="EH237" s="362">
        <v>0</v>
      </c>
      <c r="EI237" s="362"/>
      <c r="EJ237" s="362">
        <v>0</v>
      </c>
      <c r="EK237" s="362"/>
      <c r="EL237" s="362">
        <v>0</v>
      </c>
      <c r="EM237" s="362">
        <v>5481.78</v>
      </c>
      <c r="EN237" s="362">
        <v>0</v>
      </c>
      <c r="EO237" s="362">
        <v>0</v>
      </c>
      <c r="EP237" s="362">
        <v>528552</v>
      </c>
      <c r="EQ237" s="362">
        <v>0</v>
      </c>
      <c r="ER237" s="362">
        <v>16380</v>
      </c>
      <c r="ES237" s="362">
        <v>6924</v>
      </c>
      <c r="ET237" s="362">
        <v>0</v>
      </c>
      <c r="EU237" s="362">
        <v>0</v>
      </c>
      <c r="EV237" s="362">
        <v>141595.01</v>
      </c>
      <c r="EW237" s="362"/>
      <c r="EX237" s="202"/>
      <c r="EY237" s="202"/>
      <c r="EZ237" s="229"/>
      <c r="FA237" s="368">
        <v>784282.52</v>
      </c>
      <c r="FB237" s="368">
        <v>144805.07</v>
      </c>
      <c r="FC237" s="368">
        <v>0</v>
      </c>
      <c r="FD237" s="368">
        <v>0</v>
      </c>
      <c r="FE237" s="368">
        <v>43586.29</v>
      </c>
      <c r="FF237" s="368">
        <v>25759.57</v>
      </c>
      <c r="FG237" s="368">
        <v>-2914.42</v>
      </c>
      <c r="FH237" s="368">
        <v>-3791.24</v>
      </c>
      <c r="FI237" s="368">
        <v>0</v>
      </c>
      <c r="FJ237" s="368">
        <v>0</v>
      </c>
      <c r="FK237" s="368">
        <v>35233.279999999999</v>
      </c>
      <c r="FL237" s="368">
        <v>0</v>
      </c>
      <c r="FM237" s="368">
        <v>232961.07</v>
      </c>
      <c r="FN237" s="368">
        <v>148127.31</v>
      </c>
      <c r="FO237" s="323">
        <v>2066842.73</v>
      </c>
      <c r="FP237" s="323">
        <v>1026961.07</v>
      </c>
      <c r="FQ237" s="323">
        <v>3093803.8</v>
      </c>
      <c r="FR237" s="362">
        <v>215078.81</v>
      </c>
      <c r="FS237" s="362">
        <v>89177.09</v>
      </c>
      <c r="FT237" s="377">
        <v>304255.90000000002</v>
      </c>
      <c r="FU237" s="377">
        <v>2453505.0299999998</v>
      </c>
      <c r="FV237" s="377">
        <v>868765.94</v>
      </c>
      <c r="FW237" s="362">
        <v>3322270.97</v>
      </c>
      <c r="FX237" s="362">
        <v>2370835.35</v>
      </c>
      <c r="FY237" s="362">
        <v>827098.13</v>
      </c>
      <c r="FZ237" s="362">
        <v>3197933.48</v>
      </c>
      <c r="GA237" s="362">
        <v>297748.49</v>
      </c>
      <c r="GB237" s="362">
        <v>130844.9</v>
      </c>
      <c r="GC237" s="362">
        <v>428593.39</v>
      </c>
      <c r="GD237" s="362">
        <v>200373.72</v>
      </c>
      <c r="GE237" s="362">
        <v>-68911.850000000006</v>
      </c>
      <c r="GF237" s="362">
        <v>131461.87</v>
      </c>
      <c r="GG237" s="202"/>
      <c r="GH237" s="416"/>
      <c r="GI237" s="414">
        <v>3894</v>
      </c>
      <c r="GJ237" s="419">
        <v>0</v>
      </c>
      <c r="GK237" s="396"/>
      <c r="GL237" s="202">
        <v>0</v>
      </c>
      <c r="GM237" s="202">
        <v>0</v>
      </c>
      <c r="GN237" s="323">
        <v>386662.3</v>
      </c>
      <c r="GO237" s="323">
        <v>-158195.13</v>
      </c>
      <c r="GP237" s="323">
        <v>228467.17</v>
      </c>
      <c r="GQ237" s="323">
        <v>587036.02</v>
      </c>
      <c r="GR237" s="323">
        <v>-227106.98</v>
      </c>
      <c r="GS237" s="323">
        <v>359929.04</v>
      </c>
    </row>
    <row r="238" spans="1:201" ht="12.75" customHeight="1" x14ac:dyDescent="0.2">
      <c r="A238" s="45" t="s">
        <v>332</v>
      </c>
      <c r="B238" s="66" t="s">
        <v>296</v>
      </c>
      <c r="C238" s="67" t="s">
        <v>235</v>
      </c>
      <c r="D238" s="388" t="s">
        <v>664</v>
      </c>
      <c r="E238" s="67" t="s">
        <v>12</v>
      </c>
      <c r="F238" s="11">
        <v>5</v>
      </c>
      <c r="G238" s="11">
        <v>2</v>
      </c>
      <c r="H238" s="11">
        <v>48</v>
      </c>
      <c r="I238" s="11">
        <v>48</v>
      </c>
      <c r="J238" s="11">
        <v>117</v>
      </c>
      <c r="K238" s="11">
        <v>121</v>
      </c>
      <c r="L238" s="11" t="s">
        <v>746</v>
      </c>
      <c r="M238" s="84">
        <v>296</v>
      </c>
      <c r="N238" s="84">
        <v>210.7</v>
      </c>
      <c r="O238" s="84">
        <v>731.7</v>
      </c>
      <c r="P238" s="135">
        <v>371.5</v>
      </c>
      <c r="Q238" s="135">
        <v>210.4</v>
      </c>
      <c r="R238" s="133">
        <v>731.7</v>
      </c>
      <c r="S238" s="133">
        <f t="shared" si="106"/>
        <v>1313.6</v>
      </c>
      <c r="T238" s="134">
        <v>371.5</v>
      </c>
      <c r="U238" s="130">
        <v>1.53</v>
      </c>
      <c r="V238" s="91">
        <v>1.9800000000000002E-2</v>
      </c>
      <c r="W238" s="91">
        <v>1.9800000000000002E-2</v>
      </c>
      <c r="X238" s="132">
        <v>1.2199999999999999E-3</v>
      </c>
      <c r="Y238" s="91">
        <v>3.95E-2</v>
      </c>
      <c r="Z238" s="29">
        <v>2253.12</v>
      </c>
      <c r="AA238" s="29">
        <v>1374.1</v>
      </c>
      <c r="AB238" s="9">
        <f t="shared" si="84"/>
        <v>3627.22</v>
      </c>
      <c r="AC238" s="9">
        <f t="shared" si="109"/>
        <v>22960.3</v>
      </c>
      <c r="AD238" s="9">
        <v>0.39</v>
      </c>
      <c r="AE238" s="9">
        <v>4.3499999999999996</v>
      </c>
      <c r="AF238" s="21">
        <f>2.45-AJ238</f>
        <v>2.2599999999999998</v>
      </c>
      <c r="AG238" s="18">
        <f>0.51-AQ238</f>
        <v>0.48</v>
      </c>
      <c r="AH238" s="9">
        <v>2.4700000000000002</v>
      </c>
      <c r="AI238" s="43">
        <v>702</v>
      </c>
      <c r="AJ238" s="21">
        <f t="shared" si="87"/>
        <v>0.19</v>
      </c>
      <c r="AK238" s="9">
        <v>0</v>
      </c>
      <c r="AL238" s="9">
        <v>0</v>
      </c>
      <c r="AM238" s="9">
        <v>0.16</v>
      </c>
      <c r="AN238" s="13"/>
      <c r="AO238" s="13">
        <v>224.4</v>
      </c>
      <c r="AP238" s="13">
        <f t="shared" si="107"/>
        <v>5.58</v>
      </c>
      <c r="AQ238" s="18">
        <f t="shared" si="83"/>
        <v>0.03</v>
      </c>
      <c r="AR238" s="9">
        <v>0.44</v>
      </c>
      <c r="AS238" s="9">
        <v>0.38</v>
      </c>
      <c r="AT238" s="9">
        <v>7.0000000000000007E-2</v>
      </c>
      <c r="AU238" s="9">
        <v>4.96</v>
      </c>
      <c r="AV238" s="9">
        <v>0.11</v>
      </c>
      <c r="AW238" s="9">
        <f>1+0.3+0.44</f>
        <v>1.74</v>
      </c>
      <c r="AX238" s="9">
        <f>1.37+0.59</f>
        <v>1.96</v>
      </c>
      <c r="AY238" s="69">
        <f t="shared" si="108"/>
        <v>19.989999999999998</v>
      </c>
      <c r="AZ238" s="13">
        <v>19.989999999999998</v>
      </c>
      <c r="BA238" s="13">
        <f t="shared" si="85"/>
        <v>0</v>
      </c>
      <c r="BB238" s="9">
        <f t="shared" si="86"/>
        <v>72508.13</v>
      </c>
      <c r="BC238" s="9">
        <v>19.989999999999998</v>
      </c>
      <c r="BD238" s="10">
        <v>44378</v>
      </c>
      <c r="BE238" s="9">
        <f t="shared" si="88"/>
        <v>1414.62</v>
      </c>
      <c r="BF238" s="9">
        <f t="shared" si="89"/>
        <v>15778.41</v>
      </c>
      <c r="BG238" s="9">
        <f t="shared" si="90"/>
        <v>8197.52</v>
      </c>
      <c r="BH238" s="9">
        <f t="shared" si="91"/>
        <v>1741.07</v>
      </c>
      <c r="BI238" s="9">
        <f t="shared" si="92"/>
        <v>8959.23</v>
      </c>
      <c r="BJ238" s="9">
        <f t="shared" si="93"/>
        <v>689.17</v>
      </c>
      <c r="BK238" s="9">
        <f t="shared" si="94"/>
        <v>0</v>
      </c>
      <c r="BL238" s="9">
        <f t="shared" si="95"/>
        <v>0</v>
      </c>
      <c r="BM238" s="9">
        <f t="shared" si="96"/>
        <v>580.36</v>
      </c>
      <c r="BN238" s="9">
        <f t="shared" si="97"/>
        <v>108.82</v>
      </c>
      <c r="BO238" s="9">
        <f t="shared" si="98"/>
        <v>1595.98</v>
      </c>
      <c r="BP238" s="9">
        <f t="shared" si="99"/>
        <v>1378.34</v>
      </c>
      <c r="BQ238" s="9">
        <f t="shared" si="100"/>
        <v>253.91</v>
      </c>
      <c r="BR238" s="9">
        <f t="shared" si="101"/>
        <v>17991.009999999998</v>
      </c>
      <c r="BS238" s="9">
        <f t="shared" si="102"/>
        <v>398.99</v>
      </c>
      <c r="BT238" s="9">
        <f t="shared" si="103"/>
        <v>6311.36</v>
      </c>
      <c r="BU238" s="9">
        <f t="shared" si="104"/>
        <v>7109.35</v>
      </c>
      <c r="BV238" s="17">
        <f t="shared" si="105"/>
        <v>72508.14</v>
      </c>
      <c r="BW238" s="17">
        <v>0.86</v>
      </c>
      <c r="BX238" s="17">
        <v>0.05</v>
      </c>
      <c r="BY238" s="17">
        <v>0.27</v>
      </c>
      <c r="BZ238" s="17">
        <v>0.05</v>
      </c>
      <c r="CA238" s="29">
        <v>6.33</v>
      </c>
      <c r="CB238" s="325"/>
      <c r="CC238" s="13">
        <v>279189.8</v>
      </c>
      <c r="CD238" s="13">
        <v>17176.240000000002</v>
      </c>
      <c r="CE238" s="13">
        <v>33967.760000000002</v>
      </c>
      <c r="CF238" s="13">
        <v>17354.89</v>
      </c>
      <c r="CG238" s="13">
        <v>3943.65</v>
      </c>
      <c r="CH238" s="13">
        <v>0</v>
      </c>
      <c r="CI238" s="13">
        <v>73.39</v>
      </c>
      <c r="CJ238" s="13">
        <v>6096</v>
      </c>
      <c r="CK238" s="13">
        <v>1394.99</v>
      </c>
      <c r="CL238" s="13">
        <v>540478.68000000005</v>
      </c>
      <c r="CM238" s="13">
        <v>30101.96</v>
      </c>
      <c r="CN238" s="13">
        <v>83027.570000000007</v>
      </c>
      <c r="CO238" s="13">
        <v>10905.26</v>
      </c>
      <c r="CP238" s="13">
        <v>6534.18</v>
      </c>
      <c r="CQ238" s="13">
        <v>0</v>
      </c>
      <c r="CR238" s="13">
        <v>496536.87</v>
      </c>
      <c r="CS238" s="13">
        <v>28461.21</v>
      </c>
      <c r="CT238" s="13">
        <v>61135.05</v>
      </c>
      <c r="CU238" s="13">
        <v>13164.5</v>
      </c>
      <c r="CV238" s="13">
        <v>7465.83</v>
      </c>
      <c r="CW238" s="13">
        <v>0</v>
      </c>
      <c r="CX238" s="13">
        <v>90539.31</v>
      </c>
      <c r="CY238" s="13">
        <v>6488.81</v>
      </c>
      <c r="CZ238" s="13">
        <v>21055.51</v>
      </c>
      <c r="DA238" s="13">
        <v>-2369.89</v>
      </c>
      <c r="DB238" s="13">
        <v>-967.66</v>
      </c>
      <c r="DC238" s="13"/>
      <c r="DD238" s="315">
        <v>671047.65</v>
      </c>
      <c r="DE238" s="317">
        <v>606763.46</v>
      </c>
      <c r="DF238" s="317">
        <v>90.42</v>
      </c>
      <c r="DG238" s="318">
        <v>114746.08</v>
      </c>
      <c r="DH238" s="310">
        <v>23674.44</v>
      </c>
      <c r="DI238" s="310">
        <v>13539.72</v>
      </c>
      <c r="DJ238" s="312">
        <v>0</v>
      </c>
      <c r="DK238" s="362">
        <v>0</v>
      </c>
      <c r="DL238" s="362"/>
      <c r="DM238" s="362">
        <v>0</v>
      </c>
      <c r="DN238" s="362">
        <v>0</v>
      </c>
      <c r="DO238" s="362">
        <v>0</v>
      </c>
      <c r="DP238" s="362">
        <v>0</v>
      </c>
      <c r="DQ238" s="362">
        <v>0</v>
      </c>
      <c r="DR238" s="362"/>
      <c r="DS238" s="362">
        <v>0</v>
      </c>
      <c r="DT238" s="362"/>
      <c r="DU238" s="362">
        <v>0</v>
      </c>
      <c r="DV238" s="362">
        <v>0</v>
      </c>
      <c r="DW238" s="362">
        <v>0</v>
      </c>
      <c r="DX238" s="362">
        <v>0</v>
      </c>
      <c r="DY238" s="362">
        <v>0</v>
      </c>
      <c r="DZ238" s="375">
        <v>0</v>
      </c>
      <c r="EA238" s="362">
        <v>0</v>
      </c>
      <c r="EB238" s="362">
        <v>0</v>
      </c>
      <c r="EC238" s="362"/>
      <c r="ED238" s="362">
        <v>229115.64</v>
      </c>
      <c r="EE238" s="362">
        <v>10540</v>
      </c>
      <c r="EF238" s="362"/>
      <c r="EG238" s="362">
        <v>11172</v>
      </c>
      <c r="EH238" s="362">
        <v>38220</v>
      </c>
      <c r="EI238" s="362"/>
      <c r="EJ238" s="362">
        <v>20520</v>
      </c>
      <c r="EK238" s="362"/>
      <c r="EL238" s="362">
        <v>0</v>
      </c>
      <c r="EM238" s="362">
        <v>1252.1400000000001</v>
      </c>
      <c r="EN238" s="362">
        <v>0</v>
      </c>
      <c r="EO238" s="362">
        <v>0</v>
      </c>
      <c r="EP238" s="362">
        <v>213510</v>
      </c>
      <c r="EQ238" s="362">
        <v>0</v>
      </c>
      <c r="ER238" s="362">
        <v>16380</v>
      </c>
      <c r="ES238" s="362">
        <v>6924</v>
      </c>
      <c r="ET238" s="362">
        <v>6943</v>
      </c>
      <c r="EU238" s="362">
        <v>0</v>
      </c>
      <c r="EV238" s="362">
        <v>81488.429999999993</v>
      </c>
      <c r="EW238" s="362"/>
      <c r="EX238" s="202"/>
      <c r="EY238" s="202"/>
      <c r="EZ238" s="229"/>
      <c r="FA238" s="368">
        <v>53367.59</v>
      </c>
      <c r="FB238" s="368">
        <v>297064.34000000003</v>
      </c>
      <c r="FC238" s="368">
        <v>0</v>
      </c>
      <c r="FD238" s="368">
        <v>0</v>
      </c>
      <c r="FE238" s="368">
        <v>20741.46</v>
      </c>
      <c r="FF238" s="368">
        <v>12258.07</v>
      </c>
      <c r="FG238" s="368">
        <v>-5891.22</v>
      </c>
      <c r="FH238" s="368">
        <v>-4049.23</v>
      </c>
      <c r="FI238" s="368">
        <v>0</v>
      </c>
      <c r="FJ238" s="368">
        <v>0</v>
      </c>
      <c r="FK238" s="368">
        <v>5387.75</v>
      </c>
      <c r="FL238" s="368">
        <v>0</v>
      </c>
      <c r="FM238" s="368">
        <v>96973.94</v>
      </c>
      <c r="FN238" s="368">
        <v>61660.54</v>
      </c>
      <c r="FO238" s="323">
        <v>831913.85</v>
      </c>
      <c r="FP238" s="323">
        <v>378878.76</v>
      </c>
      <c r="FQ238" s="323">
        <v>1210792.6100000001</v>
      </c>
      <c r="FR238" s="362">
        <v>142189.07</v>
      </c>
      <c r="FS238" s="362">
        <v>17787.98</v>
      </c>
      <c r="FT238" s="377">
        <v>159977.04999999999</v>
      </c>
      <c r="FU238" s="377">
        <v>825837.87</v>
      </c>
      <c r="FV238" s="377">
        <v>204406.5</v>
      </c>
      <c r="FW238" s="362">
        <v>1030244.37</v>
      </c>
      <c r="FX238" s="362">
        <v>876684.36</v>
      </c>
      <c r="FY238" s="362">
        <v>197774.18</v>
      </c>
      <c r="FZ238" s="362">
        <v>1074458.54</v>
      </c>
      <c r="GA238" s="362">
        <v>91342.58</v>
      </c>
      <c r="GB238" s="362">
        <v>24420.3</v>
      </c>
      <c r="GC238" s="362">
        <v>115762.88</v>
      </c>
      <c r="GD238" s="362">
        <v>67631.100000000006</v>
      </c>
      <c r="GE238" s="362">
        <v>-667.33</v>
      </c>
      <c r="GF238" s="362">
        <v>66963.77</v>
      </c>
      <c r="GG238" s="202">
        <v>1016.8</v>
      </c>
      <c r="GH238" s="416">
        <v>79</v>
      </c>
      <c r="GI238" s="414">
        <v>508</v>
      </c>
      <c r="GJ238" s="419">
        <v>351632.34</v>
      </c>
      <c r="GK238" s="396">
        <v>1016.8</v>
      </c>
      <c r="GL238" s="202">
        <v>803.27200000000005</v>
      </c>
      <c r="GM238" s="202">
        <v>213.52799999999999</v>
      </c>
      <c r="GN238" s="323">
        <v>-6075.98</v>
      </c>
      <c r="GO238" s="323">
        <v>-174472.26</v>
      </c>
      <c r="GP238" s="323">
        <v>-180548.24</v>
      </c>
      <c r="GQ238" s="323">
        <v>61555.12</v>
      </c>
      <c r="GR238" s="323">
        <v>-175139.59</v>
      </c>
      <c r="GS238" s="323">
        <v>-113584.47</v>
      </c>
    </row>
    <row r="239" spans="1:201" ht="12.75" customHeight="1" x14ac:dyDescent="0.2">
      <c r="A239" s="45" t="s">
        <v>334</v>
      </c>
      <c r="B239" s="99" t="s">
        <v>299</v>
      </c>
      <c r="C239" s="100" t="s">
        <v>8</v>
      </c>
      <c r="D239" s="388" t="s">
        <v>697</v>
      </c>
      <c r="E239" s="100"/>
      <c r="F239" s="11">
        <v>18</v>
      </c>
      <c r="G239" s="11">
        <v>1</v>
      </c>
      <c r="H239" s="11">
        <v>79</v>
      </c>
      <c r="I239" s="11">
        <v>82</v>
      </c>
      <c r="J239" s="11">
        <v>166</v>
      </c>
      <c r="K239" s="11">
        <v>250</v>
      </c>
      <c r="L239" s="11">
        <v>2</v>
      </c>
      <c r="M239" s="84">
        <v>950</v>
      </c>
      <c r="N239" s="84">
        <v>524</v>
      </c>
      <c r="O239" s="84">
        <v>524</v>
      </c>
      <c r="P239" s="139">
        <f>189.9+734.8</f>
        <v>924.7</v>
      </c>
      <c r="Q239" s="139">
        <v>173.8</v>
      </c>
      <c r="R239" s="133">
        <v>0</v>
      </c>
      <c r="S239" s="133">
        <f t="shared" si="106"/>
        <v>1098.5</v>
      </c>
      <c r="T239" s="139">
        <v>1131.9000000000001</v>
      </c>
      <c r="U239" s="130">
        <v>3.88</v>
      </c>
      <c r="V239" s="91">
        <v>1.44E-2</v>
      </c>
      <c r="W239" s="91">
        <v>1.44E-2</v>
      </c>
      <c r="X239" s="132">
        <v>9.6000000000000002E-4</v>
      </c>
      <c r="Y239" s="91">
        <v>2.8799999999999999E-2</v>
      </c>
      <c r="Z239" s="29"/>
      <c r="AA239" s="29"/>
      <c r="AB239" s="9">
        <f t="shared" si="84"/>
        <v>0</v>
      </c>
      <c r="AC239" s="174">
        <v>0</v>
      </c>
      <c r="AD239" s="9">
        <v>1.66</v>
      </c>
      <c r="AE239" s="9">
        <v>4.08</v>
      </c>
      <c r="AF239" s="21">
        <v>2.09</v>
      </c>
      <c r="AG239" s="18">
        <v>0.48</v>
      </c>
      <c r="AH239" s="9">
        <v>2.08</v>
      </c>
      <c r="AI239" s="43">
        <v>503</v>
      </c>
      <c r="AJ239" s="21">
        <v>0.08</v>
      </c>
      <c r="AK239" s="9">
        <v>1.1399999999999999</v>
      </c>
      <c r="AL239" s="9">
        <v>0.1</v>
      </c>
      <c r="AM239" s="9">
        <v>0.08</v>
      </c>
      <c r="AN239" s="13"/>
      <c r="AO239" s="13">
        <v>277</v>
      </c>
      <c r="AP239" s="13">
        <v>5.58</v>
      </c>
      <c r="AQ239" s="18">
        <v>0.02</v>
      </c>
      <c r="AR239" s="9">
        <v>0</v>
      </c>
      <c r="AS239" s="9">
        <v>0.18</v>
      </c>
      <c r="AT239" s="9">
        <v>0.06</v>
      </c>
      <c r="AU239" s="9">
        <v>1.02</v>
      </c>
      <c r="AV239" s="9">
        <v>0.12</v>
      </c>
      <c r="AW239" s="9">
        <v>1.54</v>
      </c>
      <c r="AX239" s="9">
        <v>1.86</v>
      </c>
      <c r="AY239" s="102">
        <f t="shared" si="108"/>
        <v>16.59</v>
      </c>
      <c r="AZ239" s="13">
        <v>16.59</v>
      </c>
      <c r="BA239" s="13">
        <f t="shared" si="85"/>
        <v>0</v>
      </c>
      <c r="BB239" s="9">
        <f t="shared" si="86"/>
        <v>0</v>
      </c>
      <c r="BC239" s="9">
        <v>19.7</v>
      </c>
      <c r="BD239" s="10">
        <v>44435</v>
      </c>
      <c r="BE239" s="9">
        <f t="shared" si="88"/>
        <v>0</v>
      </c>
      <c r="BF239" s="9">
        <f t="shared" si="89"/>
        <v>0</v>
      </c>
      <c r="BG239" s="9">
        <f t="shared" si="90"/>
        <v>0</v>
      </c>
      <c r="BH239" s="9">
        <f t="shared" si="91"/>
        <v>0</v>
      </c>
      <c r="BI239" s="9">
        <f t="shared" si="92"/>
        <v>0</v>
      </c>
      <c r="BJ239" s="9">
        <f t="shared" si="93"/>
        <v>0</v>
      </c>
      <c r="BK239" s="9">
        <f t="shared" si="94"/>
        <v>0</v>
      </c>
      <c r="BL239" s="9">
        <f t="shared" si="95"/>
        <v>0</v>
      </c>
      <c r="BM239" s="9">
        <f t="shared" si="96"/>
        <v>0</v>
      </c>
      <c r="BN239" s="9">
        <f t="shared" si="97"/>
        <v>0</v>
      </c>
      <c r="BO239" s="9">
        <f t="shared" si="98"/>
        <v>0</v>
      </c>
      <c r="BP239" s="9">
        <f t="shared" si="99"/>
        <v>0</v>
      </c>
      <c r="BQ239" s="9">
        <f t="shared" si="100"/>
        <v>0</v>
      </c>
      <c r="BR239" s="9">
        <f t="shared" si="101"/>
        <v>0</v>
      </c>
      <c r="BS239" s="9">
        <f t="shared" si="102"/>
        <v>0</v>
      </c>
      <c r="BT239" s="9">
        <f t="shared" si="103"/>
        <v>0</v>
      </c>
      <c r="BU239" s="9">
        <f t="shared" si="104"/>
        <v>0</v>
      </c>
      <c r="BV239" s="17">
        <f t="shared" si="105"/>
        <v>0</v>
      </c>
      <c r="BW239" s="17">
        <v>2.99</v>
      </c>
      <c r="BX239" s="17">
        <v>0.03</v>
      </c>
      <c r="BY239" s="17">
        <v>0.23</v>
      </c>
      <c r="BZ239" s="17">
        <v>0.01</v>
      </c>
      <c r="CA239" s="29" t="s">
        <v>740</v>
      </c>
      <c r="CB239" s="325"/>
      <c r="CC239" s="13">
        <v>91854.6</v>
      </c>
      <c r="CD239" s="13">
        <v>15734.42</v>
      </c>
      <c r="CE239" s="13">
        <v>948.54</v>
      </c>
      <c r="CF239" s="13">
        <v>242.07</v>
      </c>
      <c r="CG239" s="13">
        <v>20.399999999999999</v>
      </c>
      <c r="CH239" s="13">
        <v>0</v>
      </c>
      <c r="CI239" s="13">
        <v>6981.63</v>
      </c>
      <c r="CJ239" s="13">
        <v>30237</v>
      </c>
      <c r="CK239" s="13">
        <v>2270.16</v>
      </c>
      <c r="CL239" s="13">
        <v>973078.3</v>
      </c>
      <c r="CM239" s="13">
        <v>170450.93</v>
      </c>
      <c r="CN239" s="13">
        <v>13138.58</v>
      </c>
      <c r="CO239" s="13">
        <v>1760.04</v>
      </c>
      <c r="CP239" s="13">
        <v>587.16999999999996</v>
      </c>
      <c r="CQ239" s="13">
        <v>0</v>
      </c>
      <c r="CR239" s="13">
        <v>955909.99</v>
      </c>
      <c r="CS239" s="13">
        <v>166998.68</v>
      </c>
      <c r="CT239" s="13">
        <v>12875.02</v>
      </c>
      <c r="CU239" s="13">
        <v>1730</v>
      </c>
      <c r="CV239" s="13">
        <v>577.73</v>
      </c>
      <c r="CW239" s="13">
        <v>0</v>
      </c>
      <c r="CX239" s="13">
        <v>201791.4</v>
      </c>
      <c r="CY239" s="13">
        <v>34982.120000000003</v>
      </c>
      <c r="CZ239" s="13">
        <v>2697.05</v>
      </c>
      <c r="DA239" s="13">
        <v>361.28</v>
      </c>
      <c r="DB239" s="13">
        <v>120.05</v>
      </c>
      <c r="DC239" s="13"/>
      <c r="DD239" s="315">
        <v>1159015.02</v>
      </c>
      <c r="DE239" s="317">
        <v>1138091.42</v>
      </c>
      <c r="DF239" s="317">
        <v>98.19</v>
      </c>
      <c r="DG239" s="318">
        <v>239951.9</v>
      </c>
      <c r="DH239" s="310">
        <v>61630.8</v>
      </c>
      <c r="DI239" s="310">
        <v>35247.360000000001</v>
      </c>
      <c r="DJ239" s="312">
        <v>0</v>
      </c>
      <c r="DK239" s="362">
        <v>0</v>
      </c>
      <c r="DL239" s="362"/>
      <c r="DM239" s="362">
        <v>0</v>
      </c>
      <c r="DN239" s="362">
        <v>0</v>
      </c>
      <c r="DO239" s="362">
        <v>0</v>
      </c>
      <c r="DP239" s="362">
        <v>0</v>
      </c>
      <c r="DQ239" s="362">
        <v>0</v>
      </c>
      <c r="DR239" s="362"/>
      <c r="DS239" s="362">
        <v>0</v>
      </c>
      <c r="DT239" s="362"/>
      <c r="DU239" s="362">
        <v>0</v>
      </c>
      <c r="DV239" s="362">
        <v>0</v>
      </c>
      <c r="DW239" s="362">
        <v>86000</v>
      </c>
      <c r="DX239" s="362">
        <v>0</v>
      </c>
      <c r="DY239" s="362">
        <v>28000</v>
      </c>
      <c r="DZ239" s="375">
        <v>0</v>
      </c>
      <c r="EA239" s="362">
        <v>433272</v>
      </c>
      <c r="EB239" s="362">
        <v>13600</v>
      </c>
      <c r="EC239" s="362"/>
      <c r="ED239" s="362">
        <v>0</v>
      </c>
      <c r="EE239" s="362">
        <v>0</v>
      </c>
      <c r="EF239" s="362"/>
      <c r="EG239" s="362">
        <v>6342</v>
      </c>
      <c r="EH239" s="362">
        <v>1750</v>
      </c>
      <c r="EI239" s="362"/>
      <c r="EJ239" s="362">
        <v>0</v>
      </c>
      <c r="EK239" s="362"/>
      <c r="EL239" s="362">
        <v>0</v>
      </c>
      <c r="EM239" s="362">
        <v>1545.66</v>
      </c>
      <c r="EN239" s="362">
        <v>0</v>
      </c>
      <c r="EO239" s="362">
        <v>0</v>
      </c>
      <c r="EP239" s="362">
        <v>280060</v>
      </c>
      <c r="EQ239" s="362">
        <v>0</v>
      </c>
      <c r="ER239" s="362">
        <v>15015</v>
      </c>
      <c r="ES239" s="362">
        <v>4039</v>
      </c>
      <c r="ET239" s="362">
        <v>0</v>
      </c>
      <c r="EU239" s="362">
        <v>0</v>
      </c>
      <c r="EV239" s="362">
        <v>3040.41</v>
      </c>
      <c r="EW239" s="362"/>
      <c r="EX239" s="202"/>
      <c r="EY239" s="202"/>
      <c r="EZ239" s="229"/>
      <c r="FA239" s="368">
        <v>165595.18</v>
      </c>
      <c r="FB239" s="368">
        <v>57944.34</v>
      </c>
      <c r="FC239" s="368">
        <v>0</v>
      </c>
      <c r="FD239" s="368">
        <v>0</v>
      </c>
      <c r="FE239" s="368">
        <v>692.8</v>
      </c>
      <c r="FF239" s="368">
        <v>2747.96</v>
      </c>
      <c r="FG239" s="368">
        <v>-3124.96</v>
      </c>
      <c r="FH239" s="368">
        <v>-3336.74</v>
      </c>
      <c r="FI239" s="368">
        <v>2328.5100000000002</v>
      </c>
      <c r="FJ239" s="368">
        <v>0</v>
      </c>
      <c r="FK239" s="368">
        <v>2029.77</v>
      </c>
      <c r="FL239" s="368">
        <v>0</v>
      </c>
      <c r="FM239" s="368">
        <v>142713.12</v>
      </c>
      <c r="FN239" s="368">
        <v>80635.16</v>
      </c>
      <c r="FO239" s="323">
        <v>1192890.51</v>
      </c>
      <c r="FP239" s="323">
        <v>224876.86</v>
      </c>
      <c r="FQ239" s="323">
        <v>1417767.37</v>
      </c>
      <c r="FR239" s="362">
        <v>186986.63</v>
      </c>
      <c r="FS239" s="362">
        <v>33881.67</v>
      </c>
      <c r="FT239" s="377">
        <v>220868.3</v>
      </c>
      <c r="FU239" s="377">
        <v>1102151.53</v>
      </c>
      <c r="FV239" s="377">
        <v>205152.31</v>
      </c>
      <c r="FW239" s="362">
        <v>1307303.8400000001</v>
      </c>
      <c r="FX239" s="362">
        <v>1087346.76</v>
      </c>
      <c r="FY239" s="362">
        <v>200873.48</v>
      </c>
      <c r="FZ239" s="362">
        <v>1288220.24</v>
      </c>
      <c r="GA239" s="362">
        <v>201791.4</v>
      </c>
      <c r="GB239" s="362">
        <v>38160.5</v>
      </c>
      <c r="GC239" s="362">
        <v>239951.9</v>
      </c>
      <c r="GD239" s="362">
        <v>-282128.28999999998</v>
      </c>
      <c r="GE239" s="362">
        <v>-34132.050000000003</v>
      </c>
      <c r="GF239" s="362">
        <v>-316260.34000000003</v>
      </c>
      <c r="GG239" s="333"/>
      <c r="GH239" s="416">
        <v>84</v>
      </c>
      <c r="GI239" s="415"/>
      <c r="GJ239" s="419">
        <v>108800.03</v>
      </c>
      <c r="GK239" s="396"/>
      <c r="GL239" s="202">
        <v>0</v>
      </c>
      <c r="GM239" s="202">
        <v>0</v>
      </c>
      <c r="GN239" s="323">
        <v>-90738.98</v>
      </c>
      <c r="GO239" s="323">
        <v>-19724.55</v>
      </c>
      <c r="GP239" s="323">
        <v>-110463.53</v>
      </c>
      <c r="GQ239" s="323">
        <v>-372867.27</v>
      </c>
      <c r="GR239" s="323">
        <v>-53856.6</v>
      </c>
      <c r="GS239" s="323">
        <v>-426723.87</v>
      </c>
    </row>
    <row r="240" spans="1:201" ht="12.75" customHeight="1" x14ac:dyDescent="0.2">
      <c r="A240" s="45" t="s">
        <v>335</v>
      </c>
      <c r="B240" s="99" t="s">
        <v>299</v>
      </c>
      <c r="C240" s="100" t="s">
        <v>8</v>
      </c>
      <c r="D240" s="388" t="s">
        <v>587</v>
      </c>
      <c r="E240" s="100" t="s">
        <v>9</v>
      </c>
      <c r="F240" s="11">
        <v>18</v>
      </c>
      <c r="G240" s="11">
        <v>1</v>
      </c>
      <c r="H240" s="11">
        <v>79</v>
      </c>
      <c r="I240" s="11">
        <v>82</v>
      </c>
      <c r="J240" s="11">
        <v>229</v>
      </c>
      <c r="K240" s="11">
        <v>261</v>
      </c>
      <c r="L240" s="83">
        <v>2</v>
      </c>
      <c r="M240" s="84">
        <v>950</v>
      </c>
      <c r="N240" s="84">
        <v>524</v>
      </c>
      <c r="O240" s="84">
        <v>524</v>
      </c>
      <c r="P240" s="135">
        <v>1136.9000000000001</v>
      </c>
      <c r="Q240" s="135">
        <v>0</v>
      </c>
      <c r="R240" s="133">
        <v>0</v>
      </c>
      <c r="S240" s="133">
        <f t="shared" si="106"/>
        <v>1136.9000000000001</v>
      </c>
      <c r="T240" s="134">
        <v>1136.9000000000001</v>
      </c>
      <c r="U240" s="130">
        <v>3.88</v>
      </c>
      <c r="V240" s="131">
        <v>1.44E-2</v>
      </c>
      <c r="W240" s="131">
        <v>1.44E-2</v>
      </c>
      <c r="X240" s="132">
        <v>9.6000000000000002E-4</v>
      </c>
      <c r="Y240" s="131">
        <v>2.8799999999999999E-2</v>
      </c>
      <c r="Z240" s="29">
        <v>5892.09</v>
      </c>
      <c r="AA240" s="29">
        <v>535.6</v>
      </c>
      <c r="AB240" s="9">
        <f t="shared" si="84"/>
        <v>6427.69</v>
      </c>
      <c r="AC240" s="9">
        <f>SUM(AB240*6.33)</f>
        <v>40687.279999999999</v>
      </c>
      <c r="AD240" s="9">
        <v>1.98</v>
      </c>
      <c r="AE240" s="9">
        <v>4.9400000000000004</v>
      </c>
      <c r="AF240" s="21">
        <f>2.57-AJ240</f>
        <v>2.4900000000000002</v>
      </c>
      <c r="AG240" s="18">
        <f>0.59-AQ240</f>
        <v>0.56999999999999995</v>
      </c>
      <c r="AH240" s="9">
        <v>2.4700000000000002</v>
      </c>
      <c r="AI240" s="43">
        <v>503</v>
      </c>
      <c r="AJ240" s="21">
        <f t="shared" ref="AJ240:AJ304" si="110">SUM(AI240/AB240)</f>
        <v>0.08</v>
      </c>
      <c r="AK240" s="9">
        <v>1.34</v>
      </c>
      <c r="AL240" s="9">
        <v>0.36</v>
      </c>
      <c r="AM240" s="9">
        <v>0.09</v>
      </c>
      <c r="AN240" s="13"/>
      <c r="AO240" s="13">
        <v>277</v>
      </c>
      <c r="AP240" s="13">
        <f t="shared" si="107"/>
        <v>5.58</v>
      </c>
      <c r="AQ240" s="18">
        <f t="shared" ref="AQ240:AQ304" si="111">SUM(AN240:AO240)*AP240/AB240/12</f>
        <v>0.02</v>
      </c>
      <c r="AR240" s="9">
        <v>0</v>
      </c>
      <c r="AS240" s="9">
        <v>0.21</v>
      </c>
      <c r="AT240" s="9">
        <v>7.0000000000000007E-2</v>
      </c>
      <c r="AU240" s="9">
        <v>3.49</v>
      </c>
      <c r="AV240" s="9">
        <v>0.15</v>
      </c>
      <c r="AW240" s="9">
        <f>1.31+0.2+0.31</f>
        <v>1.82</v>
      </c>
      <c r="AX240" s="9">
        <f>1.81+0.43</f>
        <v>2.2400000000000002</v>
      </c>
      <c r="AY240" s="102">
        <f t="shared" si="108"/>
        <v>22.32</v>
      </c>
      <c r="AZ240" s="13">
        <v>22.32</v>
      </c>
      <c r="BA240" s="13">
        <f t="shared" si="85"/>
        <v>0</v>
      </c>
      <c r="BB240" s="9">
        <f t="shared" si="86"/>
        <v>143466.04</v>
      </c>
      <c r="BC240" s="9">
        <v>22.32</v>
      </c>
      <c r="BD240" s="10">
        <v>44378</v>
      </c>
      <c r="BE240" s="9">
        <f t="shared" si="88"/>
        <v>12726.83</v>
      </c>
      <c r="BF240" s="9">
        <f t="shared" si="89"/>
        <v>31752.79</v>
      </c>
      <c r="BG240" s="9">
        <f t="shared" si="90"/>
        <v>16004.95</v>
      </c>
      <c r="BH240" s="9">
        <f t="shared" si="91"/>
        <v>3663.78</v>
      </c>
      <c r="BI240" s="9">
        <f t="shared" si="92"/>
        <v>15876.39</v>
      </c>
      <c r="BJ240" s="9">
        <f t="shared" si="93"/>
        <v>514.22</v>
      </c>
      <c r="BK240" s="9">
        <f t="shared" si="94"/>
        <v>8613.1</v>
      </c>
      <c r="BL240" s="9">
        <f t="shared" si="95"/>
        <v>2313.9699999999998</v>
      </c>
      <c r="BM240" s="9">
        <f t="shared" si="96"/>
        <v>578.49</v>
      </c>
      <c r="BN240" s="9">
        <f t="shared" si="97"/>
        <v>128.55000000000001</v>
      </c>
      <c r="BO240" s="9">
        <f t="shared" si="98"/>
        <v>0</v>
      </c>
      <c r="BP240" s="9">
        <f t="shared" si="99"/>
        <v>1349.81</v>
      </c>
      <c r="BQ240" s="9">
        <f t="shared" si="100"/>
        <v>449.94</v>
      </c>
      <c r="BR240" s="9">
        <f t="shared" si="101"/>
        <v>22432.639999999999</v>
      </c>
      <c r="BS240" s="9">
        <f t="shared" si="102"/>
        <v>964.15</v>
      </c>
      <c r="BT240" s="9">
        <f t="shared" si="103"/>
        <v>11698.4</v>
      </c>
      <c r="BU240" s="9">
        <f t="shared" si="104"/>
        <v>14398.03</v>
      </c>
      <c r="BV240" s="17">
        <f t="shared" si="105"/>
        <v>143466.04</v>
      </c>
      <c r="BW240" s="17">
        <v>1.62</v>
      </c>
      <c r="BX240" s="17">
        <v>0.06</v>
      </c>
      <c r="BY240" s="17">
        <v>0.38</v>
      </c>
      <c r="BZ240" s="17">
        <v>7.0000000000000007E-2</v>
      </c>
      <c r="CA240" s="29">
        <v>6.33</v>
      </c>
      <c r="CB240" s="325"/>
      <c r="CC240" s="13">
        <v>157497.29999999999</v>
      </c>
      <c r="CD240" s="13">
        <v>16272.62</v>
      </c>
      <c r="CE240" s="13">
        <v>145.22</v>
      </c>
      <c r="CF240" s="13">
        <v>1036.77</v>
      </c>
      <c r="CG240" s="13">
        <v>803.28</v>
      </c>
      <c r="CH240" s="13">
        <v>0</v>
      </c>
      <c r="CI240" s="13">
        <v>6341.64</v>
      </c>
      <c r="CJ240" s="13">
        <v>33592</v>
      </c>
      <c r="CK240" s="13">
        <v>2472.31</v>
      </c>
      <c r="CL240" s="13">
        <v>1567317.36</v>
      </c>
      <c r="CM240" s="13">
        <v>163638.13</v>
      </c>
      <c r="CN240" s="13">
        <v>1599.79</v>
      </c>
      <c r="CO240" s="13">
        <v>10670.5</v>
      </c>
      <c r="CP240" s="13">
        <v>8380.42</v>
      </c>
      <c r="CQ240" s="13">
        <v>0</v>
      </c>
      <c r="CR240" s="13">
        <v>1411475.08</v>
      </c>
      <c r="CS240" s="13">
        <v>154010.20000000001</v>
      </c>
      <c r="CT240" s="13">
        <v>2349.94</v>
      </c>
      <c r="CU240" s="13">
        <v>7158.29</v>
      </c>
      <c r="CV240" s="13">
        <v>6578.41</v>
      </c>
      <c r="CW240" s="13">
        <v>0</v>
      </c>
      <c r="CX240" s="13">
        <v>344953.08</v>
      </c>
      <c r="CY240" s="13">
        <v>42227.57</v>
      </c>
      <c r="CZ240" s="13">
        <v>-2028.74</v>
      </c>
      <c r="DA240" s="13">
        <v>1485.87</v>
      </c>
      <c r="DB240" s="13">
        <v>1413.23</v>
      </c>
      <c r="DC240" s="13"/>
      <c r="DD240" s="315">
        <v>1751606.2</v>
      </c>
      <c r="DE240" s="317">
        <v>1581571.92</v>
      </c>
      <c r="DF240" s="317">
        <v>90.29</v>
      </c>
      <c r="DG240" s="318">
        <v>388051.01</v>
      </c>
      <c r="DH240" s="310">
        <v>61061.760000000002</v>
      </c>
      <c r="DI240" s="310">
        <v>34921.800000000003</v>
      </c>
      <c r="DJ240" s="312">
        <v>0</v>
      </c>
      <c r="DK240" s="362">
        <v>0</v>
      </c>
      <c r="DL240" s="362"/>
      <c r="DM240" s="362">
        <v>0</v>
      </c>
      <c r="DN240" s="362">
        <v>0</v>
      </c>
      <c r="DO240" s="362">
        <v>0</v>
      </c>
      <c r="DP240" s="362">
        <v>0</v>
      </c>
      <c r="DQ240" s="362">
        <v>0</v>
      </c>
      <c r="DR240" s="362"/>
      <c r="DS240" s="362">
        <v>0</v>
      </c>
      <c r="DT240" s="362"/>
      <c r="DU240" s="362">
        <v>0</v>
      </c>
      <c r="DV240" s="362">
        <v>0</v>
      </c>
      <c r="DW240" s="362">
        <v>103061.29</v>
      </c>
      <c r="DX240" s="362">
        <v>0</v>
      </c>
      <c r="DY240" s="362">
        <v>28000</v>
      </c>
      <c r="DZ240" s="375">
        <v>0</v>
      </c>
      <c r="EA240" s="362">
        <v>614262</v>
      </c>
      <c r="EB240" s="362">
        <v>13600</v>
      </c>
      <c r="EC240" s="362"/>
      <c r="ED240" s="362">
        <v>0</v>
      </c>
      <c r="EE240" s="362">
        <v>0</v>
      </c>
      <c r="EF240" s="362"/>
      <c r="EG240" s="362">
        <v>8004</v>
      </c>
      <c r="EH240" s="362">
        <v>0</v>
      </c>
      <c r="EI240" s="362"/>
      <c r="EJ240" s="362">
        <v>0</v>
      </c>
      <c r="EK240" s="362"/>
      <c r="EL240" s="362">
        <v>0</v>
      </c>
      <c r="EM240" s="362">
        <v>1545.66</v>
      </c>
      <c r="EN240" s="362">
        <v>0</v>
      </c>
      <c r="EO240" s="362">
        <v>0</v>
      </c>
      <c r="EP240" s="362">
        <v>387108</v>
      </c>
      <c r="EQ240" s="362">
        <v>0</v>
      </c>
      <c r="ER240" s="362">
        <v>16380</v>
      </c>
      <c r="ES240" s="362">
        <v>6924</v>
      </c>
      <c r="ET240" s="362">
        <v>0</v>
      </c>
      <c r="EU240" s="362">
        <v>0</v>
      </c>
      <c r="EV240" s="362">
        <v>2608</v>
      </c>
      <c r="EW240" s="362"/>
      <c r="EX240" s="202"/>
      <c r="EY240" s="202"/>
      <c r="EZ240" s="229"/>
      <c r="FA240" s="368">
        <v>177954.27</v>
      </c>
      <c r="FB240" s="368">
        <v>1729.61</v>
      </c>
      <c r="FC240" s="368">
        <v>0</v>
      </c>
      <c r="FD240" s="368">
        <v>0</v>
      </c>
      <c r="FE240" s="368">
        <v>9850.2000000000007</v>
      </c>
      <c r="FF240" s="368">
        <v>8258.7999999999993</v>
      </c>
      <c r="FG240" s="368">
        <v>309.35000000000002</v>
      </c>
      <c r="FH240" s="368">
        <v>-1538.34</v>
      </c>
      <c r="FI240" s="368">
        <v>0</v>
      </c>
      <c r="FJ240" s="368">
        <v>0</v>
      </c>
      <c r="FK240" s="368">
        <v>26606.39</v>
      </c>
      <c r="FL240" s="368">
        <v>0</v>
      </c>
      <c r="FM240" s="368">
        <v>171855.58</v>
      </c>
      <c r="FN240" s="368">
        <v>109273.93</v>
      </c>
      <c r="FO240" s="323">
        <v>1558606.02</v>
      </c>
      <c r="FP240" s="323">
        <v>223170.28</v>
      </c>
      <c r="FQ240" s="323">
        <v>1781776.3</v>
      </c>
      <c r="FR240" s="362">
        <v>223734.7</v>
      </c>
      <c r="FS240" s="362">
        <v>29487.29</v>
      </c>
      <c r="FT240" s="377">
        <v>253221.99</v>
      </c>
      <c r="FU240" s="377">
        <v>1764748.3</v>
      </c>
      <c r="FV240" s="377">
        <v>205019.04</v>
      </c>
      <c r="FW240" s="362">
        <v>1969767.34</v>
      </c>
      <c r="FX240" s="362">
        <v>1553282.7</v>
      </c>
      <c r="FY240" s="362">
        <v>181380.93</v>
      </c>
      <c r="FZ240" s="362">
        <v>1734663.63</v>
      </c>
      <c r="GA240" s="362">
        <v>435200.3</v>
      </c>
      <c r="GB240" s="362">
        <v>53125.4</v>
      </c>
      <c r="GC240" s="362">
        <v>488325.7</v>
      </c>
      <c r="GD240" s="362">
        <v>-448202.27</v>
      </c>
      <c r="GE240" s="362">
        <v>-10520.45</v>
      </c>
      <c r="GF240" s="362">
        <v>-458722.72</v>
      </c>
      <c r="GG240" s="202">
        <v>100274.69</v>
      </c>
      <c r="GH240" s="416">
        <v>90</v>
      </c>
      <c r="GI240" s="414">
        <v>2963</v>
      </c>
      <c r="GJ240" s="419">
        <v>175755.19</v>
      </c>
      <c r="GK240" s="396">
        <v>100274.69</v>
      </c>
      <c r="GL240" s="202">
        <v>90247.221000000005</v>
      </c>
      <c r="GM240" s="202">
        <v>10027.468999999999</v>
      </c>
      <c r="GN240" s="323">
        <v>206142.28</v>
      </c>
      <c r="GO240" s="323">
        <v>-18151.240000000002</v>
      </c>
      <c r="GP240" s="323">
        <v>187991.04000000001</v>
      </c>
      <c r="GQ240" s="323">
        <v>-242059.99</v>
      </c>
      <c r="GR240" s="323">
        <v>-28671.69</v>
      </c>
      <c r="GS240" s="323">
        <v>-270731.68</v>
      </c>
    </row>
    <row r="241" spans="1:201" ht="12.75" customHeight="1" x14ac:dyDescent="0.2">
      <c r="A241" s="45" t="s">
        <v>336</v>
      </c>
      <c r="B241" s="99" t="s">
        <v>299</v>
      </c>
      <c r="C241" s="100" t="s">
        <v>11</v>
      </c>
      <c r="D241" s="388" t="s">
        <v>668</v>
      </c>
      <c r="E241" s="100" t="s">
        <v>12</v>
      </c>
      <c r="F241" s="11">
        <v>9</v>
      </c>
      <c r="G241" s="11">
        <v>3</v>
      </c>
      <c r="H241" s="11">
        <v>108</v>
      </c>
      <c r="I241" s="11">
        <v>109</v>
      </c>
      <c r="J241" s="11">
        <v>242</v>
      </c>
      <c r="K241" s="11">
        <v>302</v>
      </c>
      <c r="L241" s="83">
        <v>3</v>
      </c>
      <c r="M241" s="84">
        <v>777</v>
      </c>
      <c r="N241" s="84">
        <v>800</v>
      </c>
      <c r="O241" s="84">
        <v>0</v>
      </c>
      <c r="P241" s="135">
        <v>735.1</v>
      </c>
      <c r="Q241" s="135">
        <v>874.3</v>
      </c>
      <c r="R241" s="133">
        <v>0</v>
      </c>
      <c r="S241" s="133">
        <f t="shared" si="106"/>
        <v>1609.4</v>
      </c>
      <c r="T241" s="134">
        <v>735.1</v>
      </c>
      <c r="U241" s="130">
        <v>2.44</v>
      </c>
      <c r="V241" s="131">
        <v>1.9800000000000002E-2</v>
      </c>
      <c r="W241" s="131">
        <v>1.9800000000000002E-2</v>
      </c>
      <c r="X241" s="132">
        <v>1.32E-3</v>
      </c>
      <c r="Y241" s="131">
        <v>3.9699999999999999E-2</v>
      </c>
      <c r="Z241" s="29">
        <v>5769.24</v>
      </c>
      <c r="AA241" s="29">
        <v>15.3</v>
      </c>
      <c r="AB241" s="9">
        <f t="shared" si="84"/>
        <v>5784.54</v>
      </c>
      <c r="AC241" s="9">
        <f>SUM(AB241*6.33)</f>
        <v>36616.14</v>
      </c>
      <c r="AD241" s="9">
        <v>1.64</v>
      </c>
      <c r="AE241" s="9">
        <v>4.13</v>
      </c>
      <c r="AF241" s="21">
        <f>2.45-AJ241</f>
        <v>2.3199999999999998</v>
      </c>
      <c r="AG241" s="18">
        <f>0.62-AQ241</f>
        <v>0.56999999999999995</v>
      </c>
      <c r="AH241" s="9">
        <v>2.78</v>
      </c>
      <c r="AI241" s="43">
        <v>768</v>
      </c>
      <c r="AJ241" s="21">
        <f t="shared" si="110"/>
        <v>0.13</v>
      </c>
      <c r="AK241" s="9">
        <v>2.25</v>
      </c>
      <c r="AL241" s="9">
        <v>0.61</v>
      </c>
      <c r="AM241" s="9">
        <v>0.1</v>
      </c>
      <c r="AN241" s="13"/>
      <c r="AO241" s="13">
        <v>633.6</v>
      </c>
      <c r="AP241" s="13">
        <f t="shared" si="107"/>
        <v>5.58</v>
      </c>
      <c r="AQ241" s="18">
        <f t="shared" si="111"/>
        <v>0.05</v>
      </c>
      <c r="AR241" s="9">
        <v>0.57999999999999996</v>
      </c>
      <c r="AS241" s="9">
        <v>0.24</v>
      </c>
      <c r="AT241" s="9">
        <v>7.0000000000000007E-2</v>
      </c>
      <c r="AU241" s="9">
        <v>4.3899999999999997</v>
      </c>
      <c r="AV241" s="9">
        <v>0.14000000000000001</v>
      </c>
      <c r="AW241" s="9">
        <f>1.39+0.27+0.39</f>
        <v>2.0499999999999998</v>
      </c>
      <c r="AX241" s="9">
        <f>1.96+0.52</f>
        <v>2.48</v>
      </c>
      <c r="AY241" s="102">
        <f t="shared" si="108"/>
        <v>24.53</v>
      </c>
      <c r="AZ241" s="13">
        <v>24.53</v>
      </c>
      <c r="BA241" s="13">
        <f t="shared" si="85"/>
        <v>0</v>
      </c>
      <c r="BB241" s="9">
        <f t="shared" si="86"/>
        <v>141894.76999999999</v>
      </c>
      <c r="BC241" s="9">
        <v>24.53</v>
      </c>
      <c r="BD241" s="10">
        <v>44409</v>
      </c>
      <c r="BE241" s="9">
        <f t="shared" si="88"/>
        <v>9486.65</v>
      </c>
      <c r="BF241" s="9">
        <f t="shared" si="89"/>
        <v>23890.15</v>
      </c>
      <c r="BG241" s="9">
        <f t="shared" si="90"/>
        <v>13420.13</v>
      </c>
      <c r="BH241" s="9">
        <f t="shared" si="91"/>
        <v>3297.19</v>
      </c>
      <c r="BI241" s="9">
        <f t="shared" si="92"/>
        <v>16081.02</v>
      </c>
      <c r="BJ241" s="9">
        <f t="shared" si="93"/>
        <v>751.99</v>
      </c>
      <c r="BK241" s="9">
        <f t="shared" si="94"/>
        <v>13015.22</v>
      </c>
      <c r="BL241" s="9">
        <f t="shared" si="95"/>
        <v>3528.57</v>
      </c>
      <c r="BM241" s="9">
        <f t="shared" si="96"/>
        <v>578.45000000000005</v>
      </c>
      <c r="BN241" s="9">
        <f t="shared" si="97"/>
        <v>289.23</v>
      </c>
      <c r="BO241" s="9">
        <f t="shared" si="98"/>
        <v>3355.03</v>
      </c>
      <c r="BP241" s="9">
        <f t="shared" si="99"/>
        <v>1388.29</v>
      </c>
      <c r="BQ241" s="9">
        <f t="shared" si="100"/>
        <v>404.92</v>
      </c>
      <c r="BR241" s="9">
        <f t="shared" si="101"/>
        <v>25394.13</v>
      </c>
      <c r="BS241" s="9">
        <f t="shared" si="102"/>
        <v>809.84</v>
      </c>
      <c r="BT241" s="9">
        <f t="shared" si="103"/>
        <v>11858.31</v>
      </c>
      <c r="BU241" s="9">
        <f t="shared" si="104"/>
        <v>14345.66</v>
      </c>
      <c r="BV241" s="17">
        <f t="shared" si="105"/>
        <v>141894.78</v>
      </c>
      <c r="BW241" s="17">
        <v>1.25</v>
      </c>
      <c r="BX241" s="17">
        <v>7.0000000000000007E-2</v>
      </c>
      <c r="BY241" s="17">
        <v>0.45</v>
      </c>
      <c r="BZ241" s="17">
        <v>0.08</v>
      </c>
      <c r="CA241" s="29">
        <v>6.33</v>
      </c>
      <c r="CB241" s="325"/>
      <c r="CC241" s="13">
        <v>1452.49</v>
      </c>
      <c r="CD241" s="13">
        <v>303.25</v>
      </c>
      <c r="CE241" s="13">
        <v>278.01</v>
      </c>
      <c r="CF241" s="13">
        <v>31.21</v>
      </c>
      <c r="CG241" s="13">
        <v>19.73</v>
      </c>
      <c r="CH241" s="13">
        <v>0</v>
      </c>
      <c r="CI241" s="13">
        <v>3373.24</v>
      </c>
      <c r="CJ241" s="13">
        <v>38484</v>
      </c>
      <c r="CK241" s="13">
        <v>2223.65</v>
      </c>
      <c r="CL241" s="13">
        <v>1697578.79</v>
      </c>
      <c r="CM241" s="13">
        <v>99202.08</v>
      </c>
      <c r="CN241" s="13">
        <v>107207.28</v>
      </c>
      <c r="CO241" s="13">
        <v>9341.86</v>
      </c>
      <c r="CP241" s="13">
        <v>7439.68</v>
      </c>
      <c r="CQ241" s="13">
        <v>0</v>
      </c>
      <c r="CR241" s="13">
        <v>1586032.31</v>
      </c>
      <c r="CS241" s="13">
        <v>103839.87</v>
      </c>
      <c r="CT241" s="13">
        <v>96986.01</v>
      </c>
      <c r="CU241" s="13">
        <v>8878.15</v>
      </c>
      <c r="CV241" s="13">
        <v>7063.03</v>
      </c>
      <c r="CW241" s="13">
        <v>0</v>
      </c>
      <c r="CX241" s="13">
        <v>272763.12</v>
      </c>
      <c r="CY241" s="13">
        <v>19713.98</v>
      </c>
      <c r="CZ241" s="13">
        <v>10770.08</v>
      </c>
      <c r="DA241" s="13">
        <v>364.53</v>
      </c>
      <c r="DB241" s="13">
        <v>610.46</v>
      </c>
      <c r="DC241" s="13"/>
      <c r="DD241" s="315">
        <v>1920769.69</v>
      </c>
      <c r="DE241" s="317">
        <v>1802799.37</v>
      </c>
      <c r="DF241" s="317">
        <v>93.86</v>
      </c>
      <c r="DG241" s="318">
        <v>304222.17</v>
      </c>
      <c r="DH241" s="310">
        <v>60589.440000000002</v>
      </c>
      <c r="DI241" s="310">
        <v>34651.68</v>
      </c>
      <c r="DJ241" s="312">
        <v>0</v>
      </c>
      <c r="DK241" s="362">
        <v>0</v>
      </c>
      <c r="DL241" s="362"/>
      <c r="DM241" s="362">
        <v>0</v>
      </c>
      <c r="DN241" s="362">
        <v>0</v>
      </c>
      <c r="DO241" s="362">
        <v>0</v>
      </c>
      <c r="DP241" s="362">
        <v>0</v>
      </c>
      <c r="DQ241" s="362">
        <v>0</v>
      </c>
      <c r="DR241" s="362"/>
      <c r="DS241" s="362">
        <v>0</v>
      </c>
      <c r="DT241" s="362"/>
      <c r="DU241" s="362">
        <v>0</v>
      </c>
      <c r="DV241" s="362">
        <v>0</v>
      </c>
      <c r="DW241" s="362">
        <v>154800</v>
      </c>
      <c r="DX241" s="362">
        <v>0</v>
      </c>
      <c r="DY241" s="362">
        <v>13500</v>
      </c>
      <c r="DZ241" s="375">
        <v>0</v>
      </c>
      <c r="EA241" s="362">
        <v>459036</v>
      </c>
      <c r="EB241" s="362">
        <v>11339</v>
      </c>
      <c r="EC241" s="362"/>
      <c r="ED241" s="362">
        <v>0</v>
      </c>
      <c r="EE241" s="362">
        <v>0</v>
      </c>
      <c r="EF241" s="362"/>
      <c r="EG241" s="362">
        <v>12222</v>
      </c>
      <c r="EH241" s="362">
        <v>0</v>
      </c>
      <c r="EI241" s="362"/>
      <c r="EJ241" s="362">
        <v>0</v>
      </c>
      <c r="EK241" s="362"/>
      <c r="EL241" s="362">
        <v>0</v>
      </c>
      <c r="EM241" s="362">
        <v>3535.5</v>
      </c>
      <c r="EN241" s="362">
        <v>0</v>
      </c>
      <c r="EO241" s="362">
        <v>0</v>
      </c>
      <c r="EP241" s="362">
        <v>360876</v>
      </c>
      <c r="EQ241" s="362">
        <v>0</v>
      </c>
      <c r="ER241" s="362">
        <v>16380</v>
      </c>
      <c r="ES241" s="362">
        <v>4616</v>
      </c>
      <c r="ET241" s="362">
        <v>13323</v>
      </c>
      <c r="EU241" s="362">
        <v>0</v>
      </c>
      <c r="EV241" s="362">
        <v>177842.76</v>
      </c>
      <c r="EW241" s="362"/>
      <c r="EX241" s="202"/>
      <c r="EY241" s="202"/>
      <c r="EZ241" s="229"/>
      <c r="FA241" s="368">
        <v>117929.08</v>
      </c>
      <c r="FB241" s="368">
        <v>127540.67</v>
      </c>
      <c r="FC241" s="368">
        <v>0</v>
      </c>
      <c r="FD241" s="368">
        <v>0</v>
      </c>
      <c r="FE241" s="368">
        <v>9777.68</v>
      </c>
      <c r="FF241" s="368">
        <v>7743.06</v>
      </c>
      <c r="FG241" s="368">
        <v>-112.39</v>
      </c>
      <c r="FH241" s="368">
        <v>-1603.44</v>
      </c>
      <c r="FI241" s="368">
        <v>0</v>
      </c>
      <c r="FJ241" s="368">
        <v>0</v>
      </c>
      <c r="FK241" s="368">
        <v>1063.33</v>
      </c>
      <c r="FL241" s="368">
        <v>0</v>
      </c>
      <c r="FM241" s="368">
        <v>154602.64000000001</v>
      </c>
      <c r="FN241" s="368">
        <v>98304.639999999999</v>
      </c>
      <c r="FO241" s="323">
        <v>1575618.66</v>
      </c>
      <c r="FP241" s="323">
        <v>262337.99</v>
      </c>
      <c r="FQ241" s="323">
        <v>1837956.65</v>
      </c>
      <c r="FR241" s="362">
        <v>149022.51999999999</v>
      </c>
      <c r="FS241" s="362">
        <v>16475.669999999998</v>
      </c>
      <c r="FT241" s="377">
        <v>165498.19</v>
      </c>
      <c r="FU241" s="377">
        <v>1740888.52</v>
      </c>
      <c r="FV241" s="377">
        <v>226046.75</v>
      </c>
      <c r="FW241" s="362">
        <v>1966935.27</v>
      </c>
      <c r="FX241" s="362">
        <v>1616593.04</v>
      </c>
      <c r="FY241" s="362">
        <v>210825.56</v>
      </c>
      <c r="FZ241" s="362">
        <v>1827418.6</v>
      </c>
      <c r="GA241" s="362">
        <v>273318</v>
      </c>
      <c r="GB241" s="362">
        <v>31696.86</v>
      </c>
      <c r="GC241" s="362">
        <v>305014.86</v>
      </c>
      <c r="GD241" s="362">
        <v>130516.94</v>
      </c>
      <c r="GE241" s="362">
        <v>25676.2</v>
      </c>
      <c r="GF241" s="362">
        <v>156193.14000000001</v>
      </c>
      <c r="GG241" s="202">
        <v>792.69</v>
      </c>
      <c r="GH241" s="416">
        <v>70</v>
      </c>
      <c r="GI241" s="414">
        <v>2455</v>
      </c>
      <c r="GJ241" s="419">
        <v>2084.69</v>
      </c>
      <c r="GK241" s="396">
        <v>792.69</v>
      </c>
      <c r="GL241" s="202">
        <v>554.88300000000004</v>
      </c>
      <c r="GM241" s="202">
        <v>237.80699999999999</v>
      </c>
      <c r="GN241" s="323">
        <v>165269.85999999999</v>
      </c>
      <c r="GO241" s="323">
        <v>-36291.24</v>
      </c>
      <c r="GP241" s="323">
        <v>128978.62</v>
      </c>
      <c r="GQ241" s="323">
        <v>295786.8</v>
      </c>
      <c r="GR241" s="323">
        <v>-10615.04</v>
      </c>
      <c r="GS241" s="323">
        <v>285171.76</v>
      </c>
    </row>
    <row r="242" spans="1:201" ht="12.75" customHeight="1" x14ac:dyDescent="0.2">
      <c r="A242" s="45" t="s">
        <v>337</v>
      </c>
      <c r="B242" s="117" t="s">
        <v>299</v>
      </c>
      <c r="C242" s="118" t="s">
        <v>46</v>
      </c>
      <c r="D242" s="388" t="s">
        <v>588</v>
      </c>
      <c r="E242" s="118" t="s">
        <v>9</v>
      </c>
      <c r="F242" s="11">
        <v>5</v>
      </c>
      <c r="G242" s="11">
        <v>6</v>
      </c>
      <c r="H242" s="11">
        <v>90</v>
      </c>
      <c r="I242" s="11">
        <v>0</v>
      </c>
      <c r="J242" s="11">
        <v>189</v>
      </c>
      <c r="K242" s="11">
        <v>216</v>
      </c>
      <c r="L242" s="11" t="s">
        <v>746</v>
      </c>
      <c r="M242" s="84">
        <v>322</v>
      </c>
      <c r="N242" s="84">
        <v>1400</v>
      </c>
      <c r="O242" s="84">
        <v>0</v>
      </c>
      <c r="P242" s="135">
        <v>414</v>
      </c>
      <c r="Q242" s="135">
        <v>1020.8</v>
      </c>
      <c r="R242" s="133">
        <v>0</v>
      </c>
      <c r="S242" s="133">
        <f t="shared" si="106"/>
        <v>1434.8</v>
      </c>
      <c r="T242" s="134">
        <v>414</v>
      </c>
      <c r="U242" s="130">
        <v>1.53</v>
      </c>
      <c r="V242" s="131">
        <v>1.9800000000000002E-2</v>
      </c>
      <c r="W242" s="131">
        <v>1.9800000000000002E-2</v>
      </c>
      <c r="X242" s="132">
        <v>1.2199999999999999E-3</v>
      </c>
      <c r="Y242" s="131">
        <v>3.95E-2</v>
      </c>
      <c r="Z242" s="29">
        <v>3996.15</v>
      </c>
      <c r="AA242" s="29"/>
      <c r="AB242" s="9">
        <f t="shared" si="84"/>
        <v>3996.15</v>
      </c>
      <c r="AC242" s="174">
        <v>0</v>
      </c>
      <c r="AD242" s="9">
        <v>0.51</v>
      </c>
      <c r="AE242" s="9">
        <v>4.96</v>
      </c>
      <c r="AF242" s="21">
        <f>2.49-AJ242</f>
        <v>2.15</v>
      </c>
      <c r="AG242" s="18">
        <f>0.56-AQ242</f>
        <v>0.42</v>
      </c>
      <c r="AH242" s="9">
        <v>2.78</v>
      </c>
      <c r="AI242" s="43">
        <v>1344</v>
      </c>
      <c r="AJ242" s="21">
        <f t="shared" si="110"/>
        <v>0.34</v>
      </c>
      <c r="AK242" s="9">
        <v>0</v>
      </c>
      <c r="AL242" s="9">
        <v>0</v>
      </c>
      <c r="AM242" s="9">
        <v>0.24</v>
      </c>
      <c r="AN242" s="13"/>
      <c r="AO242" s="13">
        <v>1202.4000000000001</v>
      </c>
      <c r="AP242" s="13">
        <f t="shared" si="107"/>
        <v>5.58</v>
      </c>
      <c r="AQ242" s="18">
        <f t="shared" si="111"/>
        <v>0.14000000000000001</v>
      </c>
      <c r="AR242" s="9">
        <v>0.79</v>
      </c>
      <c r="AS242" s="9">
        <v>0.34</v>
      </c>
      <c r="AT242" s="9">
        <v>7.0000000000000007E-2</v>
      </c>
      <c r="AU242" s="9">
        <v>3.58</v>
      </c>
      <c r="AV242" s="9">
        <v>0.13</v>
      </c>
      <c r="AW242" s="9">
        <f>1.14+0.32+0.32</f>
        <v>1.78</v>
      </c>
      <c r="AX242" s="9">
        <f>1.56+0.42</f>
        <v>1.98</v>
      </c>
      <c r="AY242" s="120">
        <f t="shared" si="108"/>
        <v>20.21</v>
      </c>
      <c r="AZ242" s="13">
        <v>20.21</v>
      </c>
      <c r="BA242" s="13">
        <f t="shared" si="85"/>
        <v>0</v>
      </c>
      <c r="BB242" s="9">
        <f t="shared" si="86"/>
        <v>80762.19</v>
      </c>
      <c r="BC242" s="9">
        <v>20.21</v>
      </c>
      <c r="BD242" s="10">
        <v>44409</v>
      </c>
      <c r="BE242" s="9">
        <f t="shared" si="88"/>
        <v>2038.04</v>
      </c>
      <c r="BF242" s="9">
        <f t="shared" si="89"/>
        <v>19820.900000000001</v>
      </c>
      <c r="BG242" s="9">
        <f t="shared" si="90"/>
        <v>8591.7199999999993</v>
      </c>
      <c r="BH242" s="9">
        <f t="shared" si="91"/>
        <v>1678.38</v>
      </c>
      <c r="BI242" s="9">
        <f t="shared" si="92"/>
        <v>11109.3</v>
      </c>
      <c r="BJ242" s="9">
        <f t="shared" si="93"/>
        <v>1358.69</v>
      </c>
      <c r="BK242" s="9">
        <f t="shared" si="94"/>
        <v>0</v>
      </c>
      <c r="BL242" s="9">
        <f t="shared" si="95"/>
        <v>0</v>
      </c>
      <c r="BM242" s="9">
        <f t="shared" si="96"/>
        <v>959.08</v>
      </c>
      <c r="BN242" s="9">
        <f t="shared" si="97"/>
        <v>559.46</v>
      </c>
      <c r="BO242" s="9">
        <f t="shared" si="98"/>
        <v>3156.96</v>
      </c>
      <c r="BP242" s="9">
        <f t="shared" si="99"/>
        <v>1358.69</v>
      </c>
      <c r="BQ242" s="9">
        <f t="shared" si="100"/>
        <v>279.73</v>
      </c>
      <c r="BR242" s="9">
        <f t="shared" si="101"/>
        <v>14306.22</v>
      </c>
      <c r="BS242" s="9">
        <f t="shared" si="102"/>
        <v>519.5</v>
      </c>
      <c r="BT242" s="9">
        <f t="shared" si="103"/>
        <v>7113.15</v>
      </c>
      <c r="BU242" s="9">
        <f t="shared" si="104"/>
        <v>7912.38</v>
      </c>
      <c r="BV242" s="17">
        <f t="shared" si="105"/>
        <v>80762.2</v>
      </c>
      <c r="BW242" s="17">
        <v>0.64</v>
      </c>
      <c r="BX242" s="17">
        <v>0.06</v>
      </c>
      <c r="BY242" s="17">
        <v>0.34</v>
      </c>
      <c r="BZ242" s="17">
        <v>0.06</v>
      </c>
      <c r="CA242" s="29" t="s">
        <v>739</v>
      </c>
      <c r="CB242" s="325"/>
      <c r="CC242" s="13">
        <v>0</v>
      </c>
      <c r="CD242" s="13">
        <v>0</v>
      </c>
      <c r="CE242" s="13">
        <v>0</v>
      </c>
      <c r="CF242" s="13">
        <v>0</v>
      </c>
      <c r="CG242" s="13">
        <v>0</v>
      </c>
      <c r="CH242" s="13">
        <v>0</v>
      </c>
      <c r="CI242" s="13">
        <v>218.58</v>
      </c>
      <c r="CJ242" s="13">
        <v>21588</v>
      </c>
      <c r="CK242" s="13">
        <v>1536.23</v>
      </c>
      <c r="CL242" s="13">
        <v>969000.12</v>
      </c>
      <c r="CM242" s="13">
        <v>23133.79</v>
      </c>
      <c r="CN242" s="13">
        <v>0</v>
      </c>
      <c r="CO242" s="13">
        <v>7112.92</v>
      </c>
      <c r="CP242" s="13">
        <v>5354.27</v>
      </c>
      <c r="CQ242" s="13">
        <v>0</v>
      </c>
      <c r="CR242" s="13">
        <v>894939.67</v>
      </c>
      <c r="CS242" s="13">
        <v>19938.53</v>
      </c>
      <c r="CT242" s="13">
        <v>776.05</v>
      </c>
      <c r="CU242" s="13">
        <v>6000.72</v>
      </c>
      <c r="CV242" s="13">
        <v>4590.8500000000004</v>
      </c>
      <c r="CW242" s="13">
        <v>0</v>
      </c>
      <c r="CX242" s="13">
        <v>160106.94</v>
      </c>
      <c r="CY242" s="13">
        <v>3011.19</v>
      </c>
      <c r="CZ242" s="13">
        <v>-1163.07</v>
      </c>
      <c r="DA242" s="13">
        <v>1093.75</v>
      </c>
      <c r="DB242" s="13">
        <v>811.68</v>
      </c>
      <c r="DC242" s="13"/>
      <c r="DD242" s="315">
        <v>1004601.1</v>
      </c>
      <c r="DE242" s="317">
        <v>926245.82</v>
      </c>
      <c r="DF242" s="317">
        <v>92.2</v>
      </c>
      <c r="DG242" s="318">
        <v>163860.49</v>
      </c>
      <c r="DH242" s="310">
        <v>41970.12</v>
      </c>
      <c r="DI242" s="310">
        <v>24003.119999999999</v>
      </c>
      <c r="DJ242" s="312">
        <v>0</v>
      </c>
      <c r="DK242" s="362">
        <v>0</v>
      </c>
      <c r="DL242" s="362"/>
      <c r="DM242" s="362">
        <v>0</v>
      </c>
      <c r="DN242" s="362">
        <v>0</v>
      </c>
      <c r="DO242" s="362">
        <v>0</v>
      </c>
      <c r="DP242" s="362">
        <v>0</v>
      </c>
      <c r="DQ242" s="362">
        <v>0</v>
      </c>
      <c r="DR242" s="362"/>
      <c r="DS242" s="362">
        <v>0</v>
      </c>
      <c r="DT242" s="362"/>
      <c r="DU242" s="362">
        <v>0</v>
      </c>
      <c r="DV242" s="362">
        <v>0</v>
      </c>
      <c r="DW242" s="362">
        <v>0</v>
      </c>
      <c r="DX242" s="362">
        <v>0</v>
      </c>
      <c r="DY242" s="362">
        <v>0</v>
      </c>
      <c r="DZ242" s="375">
        <v>3800</v>
      </c>
      <c r="EA242" s="362">
        <v>303438</v>
      </c>
      <c r="EB242" s="362">
        <v>7939</v>
      </c>
      <c r="EC242" s="362"/>
      <c r="ED242" s="362">
        <v>0</v>
      </c>
      <c r="EE242" s="362">
        <v>0</v>
      </c>
      <c r="EF242" s="362"/>
      <c r="EG242" s="362">
        <v>21390</v>
      </c>
      <c r="EH242" s="362">
        <v>87430</v>
      </c>
      <c r="EI242" s="362"/>
      <c r="EJ242" s="362">
        <v>30800</v>
      </c>
      <c r="EK242" s="362"/>
      <c r="EL242" s="362">
        <v>0</v>
      </c>
      <c r="EM242" s="362">
        <v>6709.38</v>
      </c>
      <c r="EN242" s="362">
        <v>0</v>
      </c>
      <c r="EO242" s="362">
        <v>0</v>
      </c>
      <c r="EP242" s="362">
        <v>251424</v>
      </c>
      <c r="EQ242" s="362">
        <v>0</v>
      </c>
      <c r="ER242" s="362">
        <v>16380</v>
      </c>
      <c r="ES242" s="362">
        <v>11304</v>
      </c>
      <c r="ET242" s="362">
        <v>14628</v>
      </c>
      <c r="EU242" s="362">
        <v>0</v>
      </c>
      <c r="EV242" s="362">
        <v>11148.28</v>
      </c>
      <c r="EW242" s="362"/>
      <c r="EX242" s="202"/>
      <c r="EY242" s="202"/>
      <c r="EZ242" s="229"/>
      <c r="FA242" s="368">
        <v>23381.64</v>
      </c>
      <c r="FB242" s="368">
        <v>0</v>
      </c>
      <c r="FC242" s="368">
        <v>0</v>
      </c>
      <c r="FD242" s="368">
        <v>0</v>
      </c>
      <c r="FE242" s="368">
        <v>7324.17</v>
      </c>
      <c r="FF242" s="368">
        <v>5406.04</v>
      </c>
      <c r="FG242" s="368">
        <v>0</v>
      </c>
      <c r="FH242" s="368">
        <v>-1060.6099999999999</v>
      </c>
      <c r="FI242" s="368">
        <v>0</v>
      </c>
      <c r="FJ242" s="368">
        <v>0</v>
      </c>
      <c r="FK242" s="368">
        <v>9410.75</v>
      </c>
      <c r="FL242" s="368">
        <v>0</v>
      </c>
      <c r="FM242" s="368">
        <v>106816.86</v>
      </c>
      <c r="FN242" s="368">
        <v>67918.710000000006</v>
      </c>
      <c r="FO242" s="323">
        <v>1007099.47</v>
      </c>
      <c r="FP242" s="323">
        <v>44461.99</v>
      </c>
      <c r="FQ242" s="323">
        <v>1051561.46</v>
      </c>
      <c r="FR242" s="362">
        <v>88969.04</v>
      </c>
      <c r="FS242" s="362">
        <v>135.38999999999999</v>
      </c>
      <c r="FT242" s="377">
        <v>89104.43</v>
      </c>
      <c r="FU242" s="377">
        <v>990806.7</v>
      </c>
      <c r="FV242" s="377">
        <v>37137.21</v>
      </c>
      <c r="FW242" s="362">
        <v>1027943.91</v>
      </c>
      <c r="FX242" s="362">
        <v>919668.8</v>
      </c>
      <c r="FY242" s="362">
        <v>33519.050000000003</v>
      </c>
      <c r="FZ242" s="362">
        <v>953187.85</v>
      </c>
      <c r="GA242" s="362">
        <v>160106.94</v>
      </c>
      <c r="GB242" s="362">
        <v>3753.55</v>
      </c>
      <c r="GC242" s="362">
        <v>163860.49</v>
      </c>
      <c r="GD242" s="362">
        <v>60623.18</v>
      </c>
      <c r="GE242" s="362">
        <v>8143.86</v>
      </c>
      <c r="GF242" s="362">
        <v>68767.039999999994</v>
      </c>
      <c r="GG242" s="202"/>
      <c r="GH242" s="416"/>
      <c r="GI242" s="414">
        <v>1947</v>
      </c>
      <c r="GJ242" s="419">
        <v>0</v>
      </c>
      <c r="GK242" s="396"/>
      <c r="GL242" s="202">
        <v>0</v>
      </c>
      <c r="GM242" s="202">
        <v>0</v>
      </c>
      <c r="GN242" s="323">
        <v>-16292.77</v>
      </c>
      <c r="GO242" s="323">
        <v>-7324.78</v>
      </c>
      <c r="GP242" s="323">
        <v>-23617.55</v>
      </c>
      <c r="GQ242" s="323">
        <v>44330.41</v>
      </c>
      <c r="GR242" s="323">
        <v>819.08</v>
      </c>
      <c r="GS242" s="323">
        <v>45149.49</v>
      </c>
    </row>
    <row r="243" spans="1:201" ht="12.75" customHeight="1" x14ac:dyDescent="0.2">
      <c r="A243" s="45" t="s">
        <v>338</v>
      </c>
      <c r="B243" s="117" t="s">
        <v>299</v>
      </c>
      <c r="C243" s="118" t="s">
        <v>46</v>
      </c>
      <c r="D243" s="388" t="s">
        <v>589</v>
      </c>
      <c r="E243" s="118" t="s">
        <v>30</v>
      </c>
      <c r="F243" s="11">
        <v>5</v>
      </c>
      <c r="G243" s="11">
        <v>6</v>
      </c>
      <c r="H243" s="11">
        <v>90</v>
      </c>
      <c r="I243" s="11">
        <v>0</v>
      </c>
      <c r="J243" s="11">
        <v>188</v>
      </c>
      <c r="K243" s="11">
        <v>219</v>
      </c>
      <c r="L243" s="11" t="s">
        <v>746</v>
      </c>
      <c r="M243" s="84">
        <v>322</v>
      </c>
      <c r="N243" s="84">
        <v>1010</v>
      </c>
      <c r="O243" s="84">
        <v>0</v>
      </c>
      <c r="P243" s="139">
        <v>322</v>
      </c>
      <c r="Q243" s="139">
        <v>1010</v>
      </c>
      <c r="R243" s="139">
        <v>0</v>
      </c>
      <c r="S243" s="133">
        <f t="shared" si="106"/>
        <v>1332</v>
      </c>
      <c r="T243" s="139">
        <v>412</v>
      </c>
      <c r="U243" s="130">
        <v>1.53</v>
      </c>
      <c r="V243" s="131">
        <v>1.9800000000000002E-2</v>
      </c>
      <c r="W243" s="131">
        <v>1.9800000000000002E-2</v>
      </c>
      <c r="X243" s="132">
        <v>1.2199999999999999E-3</v>
      </c>
      <c r="Y243" s="131">
        <v>3.95E-2</v>
      </c>
      <c r="Z243" s="29">
        <v>3974.46</v>
      </c>
      <c r="AA243" s="29"/>
      <c r="AB243" s="9">
        <f t="shared" si="84"/>
        <v>3974.46</v>
      </c>
      <c r="AC243" s="9">
        <f>SUM(AB243*6.33)</f>
        <v>25158.33</v>
      </c>
      <c r="AD243" s="9">
        <v>0.52</v>
      </c>
      <c r="AE243" s="9">
        <v>3.59</v>
      </c>
      <c r="AF243" s="21">
        <f>2.48-AJ243</f>
        <v>2.2400000000000002</v>
      </c>
      <c r="AG243" s="18">
        <f>0.56-AQ243</f>
        <v>0.45</v>
      </c>
      <c r="AH243" s="9">
        <v>2.78</v>
      </c>
      <c r="AI243" s="43">
        <v>970</v>
      </c>
      <c r="AJ243" s="21">
        <f t="shared" si="110"/>
        <v>0.24</v>
      </c>
      <c r="AK243" s="9">
        <v>0</v>
      </c>
      <c r="AL243" s="9">
        <v>0</v>
      </c>
      <c r="AM243" s="9">
        <v>0.24</v>
      </c>
      <c r="AN243" s="13"/>
      <c r="AO243" s="13">
        <v>901.8</v>
      </c>
      <c r="AP243" s="13">
        <f t="shared" si="107"/>
        <v>5.58</v>
      </c>
      <c r="AQ243" s="18">
        <f t="shared" si="111"/>
        <v>0.11</v>
      </c>
      <c r="AR243" s="9">
        <v>0.79</v>
      </c>
      <c r="AS243" s="9">
        <v>0.37</v>
      </c>
      <c r="AT243" s="9">
        <v>7.0000000000000007E-2</v>
      </c>
      <c r="AU243" s="9">
        <v>4.95</v>
      </c>
      <c r="AV243" s="9">
        <v>0.12</v>
      </c>
      <c r="AW243" s="9">
        <f>1.02+0.32+0.41</f>
        <v>1.75</v>
      </c>
      <c r="AX243" s="9">
        <f>1.4+0.58</f>
        <v>1.98</v>
      </c>
      <c r="AY243" s="120">
        <f t="shared" si="108"/>
        <v>20.2</v>
      </c>
      <c r="AZ243" s="13">
        <v>20.2</v>
      </c>
      <c r="BA243" s="13">
        <f t="shared" si="85"/>
        <v>0</v>
      </c>
      <c r="BB243" s="9">
        <f t="shared" si="86"/>
        <v>80284.09</v>
      </c>
      <c r="BC243" s="9">
        <v>20.2</v>
      </c>
      <c r="BD243" s="10">
        <v>44409</v>
      </c>
      <c r="BE243" s="9">
        <f t="shared" si="88"/>
        <v>2066.7199999999998</v>
      </c>
      <c r="BF243" s="9">
        <f t="shared" si="89"/>
        <v>14268.31</v>
      </c>
      <c r="BG243" s="9">
        <f t="shared" si="90"/>
        <v>8902.7900000000009</v>
      </c>
      <c r="BH243" s="9">
        <f t="shared" si="91"/>
        <v>1788.51</v>
      </c>
      <c r="BI243" s="9">
        <f t="shared" si="92"/>
        <v>11049</v>
      </c>
      <c r="BJ243" s="9">
        <f t="shared" si="93"/>
        <v>953.87</v>
      </c>
      <c r="BK243" s="9">
        <f t="shared" si="94"/>
        <v>0</v>
      </c>
      <c r="BL243" s="9">
        <f t="shared" si="95"/>
        <v>0</v>
      </c>
      <c r="BM243" s="9">
        <f t="shared" si="96"/>
        <v>953.87</v>
      </c>
      <c r="BN243" s="9">
        <f t="shared" si="97"/>
        <v>437.19</v>
      </c>
      <c r="BO243" s="9">
        <f t="shared" si="98"/>
        <v>3139.82</v>
      </c>
      <c r="BP243" s="9">
        <f t="shared" si="99"/>
        <v>1470.55</v>
      </c>
      <c r="BQ243" s="9">
        <f t="shared" si="100"/>
        <v>278.20999999999998</v>
      </c>
      <c r="BR243" s="9">
        <f t="shared" si="101"/>
        <v>19673.580000000002</v>
      </c>
      <c r="BS243" s="9">
        <f t="shared" si="102"/>
        <v>476.94</v>
      </c>
      <c r="BT243" s="9">
        <f t="shared" si="103"/>
        <v>6955.31</v>
      </c>
      <c r="BU243" s="9">
        <f t="shared" si="104"/>
        <v>7869.43</v>
      </c>
      <c r="BV243" s="17">
        <f t="shared" si="105"/>
        <v>80284.100000000006</v>
      </c>
      <c r="BW243" s="17">
        <v>0.64</v>
      </c>
      <c r="BX243" s="17">
        <v>0.06</v>
      </c>
      <c r="BY243" s="17">
        <v>0.34</v>
      </c>
      <c r="BZ243" s="17">
        <v>0.06</v>
      </c>
      <c r="CA243" s="29">
        <v>6.33</v>
      </c>
      <c r="CB243" s="325"/>
      <c r="CC243" s="13">
        <v>0</v>
      </c>
      <c r="CD243" s="13">
        <v>0</v>
      </c>
      <c r="CE243" s="13">
        <v>0</v>
      </c>
      <c r="CF243" s="13">
        <v>0</v>
      </c>
      <c r="CG243" s="13">
        <v>0</v>
      </c>
      <c r="CH243" s="13">
        <v>0</v>
      </c>
      <c r="CI243" s="13">
        <v>3073.73</v>
      </c>
      <c r="CJ243" s="13">
        <v>33780</v>
      </c>
      <c r="CK243" s="13">
        <v>1528.53</v>
      </c>
      <c r="CL243" s="13">
        <v>963409.2</v>
      </c>
      <c r="CM243" s="13">
        <v>62359.64</v>
      </c>
      <c r="CN243" s="13">
        <v>109616.17</v>
      </c>
      <c r="CO243" s="13">
        <v>62716.98</v>
      </c>
      <c r="CP243" s="13">
        <v>34895.949999999997</v>
      </c>
      <c r="CQ243" s="13">
        <v>0</v>
      </c>
      <c r="CR243" s="13">
        <v>864233.42</v>
      </c>
      <c r="CS243" s="13">
        <v>55583.76</v>
      </c>
      <c r="CT243" s="13">
        <v>78355.03</v>
      </c>
      <c r="CU243" s="13">
        <v>54605.21</v>
      </c>
      <c r="CV243" s="13">
        <v>30215.21</v>
      </c>
      <c r="CW243" s="13">
        <v>0</v>
      </c>
      <c r="CX243" s="13">
        <v>199702.71</v>
      </c>
      <c r="CY243" s="13">
        <v>7936.76</v>
      </c>
      <c r="CZ243" s="13">
        <v>28474.62</v>
      </c>
      <c r="DA243" s="13">
        <v>13103.51</v>
      </c>
      <c r="DB243" s="13">
        <v>7401.26</v>
      </c>
      <c r="DC243" s="13"/>
      <c r="DD243" s="315">
        <v>1232997.94</v>
      </c>
      <c r="DE243" s="317">
        <v>1082992.6299999999</v>
      </c>
      <c r="DF243" s="317">
        <v>87.83</v>
      </c>
      <c r="DG243" s="318">
        <v>256618.86</v>
      </c>
      <c r="DH243" s="310">
        <v>41761.32</v>
      </c>
      <c r="DI243" s="310">
        <v>23883.72</v>
      </c>
      <c r="DJ243" s="312">
        <v>0</v>
      </c>
      <c r="DK243" s="362">
        <v>0</v>
      </c>
      <c r="DL243" s="362"/>
      <c r="DM243" s="362">
        <v>0</v>
      </c>
      <c r="DN243" s="362">
        <v>0</v>
      </c>
      <c r="DO243" s="362">
        <v>0</v>
      </c>
      <c r="DP243" s="362">
        <v>0</v>
      </c>
      <c r="DQ243" s="362">
        <v>0</v>
      </c>
      <c r="DR243" s="362"/>
      <c r="DS243" s="362">
        <v>0</v>
      </c>
      <c r="DT243" s="362"/>
      <c r="DU243" s="362">
        <v>0</v>
      </c>
      <c r="DV243" s="362">
        <v>0</v>
      </c>
      <c r="DW243" s="362">
        <v>0</v>
      </c>
      <c r="DX243" s="362">
        <v>0</v>
      </c>
      <c r="DY243" s="362">
        <v>0</v>
      </c>
      <c r="DZ243" s="375">
        <v>0</v>
      </c>
      <c r="EA243" s="362">
        <v>227562</v>
      </c>
      <c r="EB243" s="362">
        <v>7939</v>
      </c>
      <c r="EC243" s="362"/>
      <c r="ED243" s="362">
        <v>0</v>
      </c>
      <c r="EE243" s="362">
        <v>0</v>
      </c>
      <c r="EF243" s="362"/>
      <c r="EG243" s="362">
        <v>15438</v>
      </c>
      <c r="EH243" s="362">
        <v>34965</v>
      </c>
      <c r="EI243" s="362"/>
      <c r="EJ243" s="362">
        <v>18240</v>
      </c>
      <c r="EK243" s="362"/>
      <c r="EL243" s="362">
        <v>0</v>
      </c>
      <c r="EM243" s="362">
        <v>5032.05</v>
      </c>
      <c r="EN243" s="362">
        <v>0</v>
      </c>
      <c r="EO243" s="362">
        <v>0</v>
      </c>
      <c r="EP243" s="362">
        <v>249516</v>
      </c>
      <c r="EQ243" s="362">
        <v>0</v>
      </c>
      <c r="ER243" s="362">
        <v>16380</v>
      </c>
      <c r="ES243" s="362">
        <v>2826</v>
      </c>
      <c r="ET243" s="362">
        <v>14628</v>
      </c>
      <c r="EU243" s="362">
        <v>0</v>
      </c>
      <c r="EV243" s="362">
        <v>527846.11</v>
      </c>
      <c r="EW243" s="362"/>
      <c r="EX243" s="202"/>
      <c r="EY243" s="202"/>
      <c r="EZ243" s="229"/>
      <c r="FA243" s="368">
        <v>104153.33</v>
      </c>
      <c r="FB243" s="368">
        <v>234405.26</v>
      </c>
      <c r="FC243" s="368">
        <v>0</v>
      </c>
      <c r="FD243" s="368">
        <v>0</v>
      </c>
      <c r="FE243" s="368">
        <v>64240.62</v>
      </c>
      <c r="FF243" s="368">
        <v>35902.089999999997</v>
      </c>
      <c r="FG243" s="368">
        <v>-1297.1500000000001</v>
      </c>
      <c r="FH243" s="368">
        <v>-1734.44</v>
      </c>
      <c r="FI243" s="368">
        <v>0</v>
      </c>
      <c r="FJ243" s="368">
        <v>0</v>
      </c>
      <c r="FK243" s="368">
        <v>0</v>
      </c>
      <c r="FL243" s="368">
        <v>0</v>
      </c>
      <c r="FM243" s="368">
        <v>106257.42</v>
      </c>
      <c r="FN243" s="368">
        <v>67563.42</v>
      </c>
      <c r="FO243" s="323">
        <v>1359838.04</v>
      </c>
      <c r="FP243" s="323">
        <v>435669.71</v>
      </c>
      <c r="FQ243" s="323">
        <v>1795507.75</v>
      </c>
      <c r="FR243" s="362">
        <v>102752.65</v>
      </c>
      <c r="FS243" s="362">
        <v>11919.08</v>
      </c>
      <c r="FT243" s="377">
        <v>114671.73</v>
      </c>
      <c r="FU243" s="377">
        <v>1000262.93</v>
      </c>
      <c r="FV243" s="377">
        <v>271117.27</v>
      </c>
      <c r="FW243" s="362">
        <v>1271380.2</v>
      </c>
      <c r="FX243" s="362">
        <v>903312.87</v>
      </c>
      <c r="FY243" s="362">
        <v>226120.2</v>
      </c>
      <c r="FZ243" s="362">
        <v>1129433.07</v>
      </c>
      <c r="GA243" s="362">
        <v>199702.71</v>
      </c>
      <c r="GB243" s="362">
        <v>56916.15</v>
      </c>
      <c r="GC243" s="362">
        <v>256618.86</v>
      </c>
      <c r="GD243" s="362">
        <v>-231763.75</v>
      </c>
      <c r="GE243" s="362">
        <v>-22136.75</v>
      </c>
      <c r="GF243" s="362">
        <v>-253900.5</v>
      </c>
      <c r="GG243" s="202"/>
      <c r="GH243" s="416"/>
      <c r="GI243" s="414">
        <v>2963</v>
      </c>
      <c r="GJ243" s="419">
        <v>0</v>
      </c>
      <c r="GK243" s="396"/>
      <c r="GL243" s="202">
        <v>0</v>
      </c>
      <c r="GM243" s="202">
        <v>0</v>
      </c>
      <c r="GN243" s="323">
        <v>-359575.11</v>
      </c>
      <c r="GO243" s="323">
        <v>-164552.44</v>
      </c>
      <c r="GP243" s="323">
        <v>-524127.55</v>
      </c>
      <c r="GQ243" s="323">
        <v>-591338.86</v>
      </c>
      <c r="GR243" s="323">
        <v>-186689.19</v>
      </c>
      <c r="GS243" s="323">
        <v>-778028.05</v>
      </c>
    </row>
    <row r="244" spans="1:201" ht="12.75" customHeight="1" x14ac:dyDescent="0.2">
      <c r="A244" s="45" t="s">
        <v>339</v>
      </c>
      <c r="B244" s="99" t="s">
        <v>299</v>
      </c>
      <c r="C244" s="100" t="s">
        <v>67</v>
      </c>
      <c r="D244" s="388" t="s">
        <v>509</v>
      </c>
      <c r="E244" s="100" t="s">
        <v>12</v>
      </c>
      <c r="F244" s="11">
        <v>9</v>
      </c>
      <c r="G244" s="11">
        <v>4</v>
      </c>
      <c r="H244" s="11">
        <v>144</v>
      </c>
      <c r="I244" s="11">
        <v>145</v>
      </c>
      <c r="J244" s="11">
        <v>314</v>
      </c>
      <c r="K244" s="11">
        <v>391</v>
      </c>
      <c r="L244" s="83">
        <v>4</v>
      </c>
      <c r="M244" s="84">
        <v>1170</v>
      </c>
      <c r="N244" s="84">
        <v>1000</v>
      </c>
      <c r="O244" s="84">
        <v>0</v>
      </c>
      <c r="P244" s="135">
        <v>984.4</v>
      </c>
      <c r="Q244" s="135">
        <v>1196</v>
      </c>
      <c r="R244" s="133">
        <v>0</v>
      </c>
      <c r="S244" s="133">
        <f t="shared" si="106"/>
        <v>2180.4</v>
      </c>
      <c r="T244" s="134">
        <v>984.3</v>
      </c>
      <c r="U244" s="130">
        <v>2.44</v>
      </c>
      <c r="V244" s="131">
        <v>1.9800000000000002E-2</v>
      </c>
      <c r="W244" s="131">
        <v>1.9800000000000002E-2</v>
      </c>
      <c r="X244" s="132">
        <v>1.32E-3</v>
      </c>
      <c r="Y244" s="131">
        <v>3.9699999999999999E-2</v>
      </c>
      <c r="Z244" s="29">
        <v>7708.52</v>
      </c>
      <c r="AA244" s="29"/>
      <c r="AB244" s="9">
        <f t="shared" si="84"/>
        <v>7708.52</v>
      </c>
      <c r="AC244" s="9">
        <f>SUM(AB244*6.33)</f>
        <v>48794.93</v>
      </c>
      <c r="AD244" s="9">
        <v>1.05</v>
      </c>
      <c r="AE244" s="9">
        <v>2.59</v>
      </c>
      <c r="AF244" s="21">
        <f>1.52-AJ244</f>
        <v>1.4</v>
      </c>
      <c r="AG244" s="18">
        <f>0.39-AQ244</f>
        <v>0.34</v>
      </c>
      <c r="AH244" s="9">
        <v>1.8</v>
      </c>
      <c r="AI244" s="43">
        <v>960</v>
      </c>
      <c r="AJ244" s="21">
        <f t="shared" si="110"/>
        <v>0.12</v>
      </c>
      <c r="AK244" s="9">
        <v>1.5</v>
      </c>
      <c r="AL244" s="9">
        <v>0.4</v>
      </c>
      <c r="AM244" s="9">
        <v>0.05</v>
      </c>
      <c r="AN244" s="13"/>
      <c r="AO244" s="13">
        <v>844.8</v>
      </c>
      <c r="AP244" s="13">
        <f t="shared" si="107"/>
        <v>5.58</v>
      </c>
      <c r="AQ244" s="18">
        <f t="shared" si="111"/>
        <v>0.05</v>
      </c>
      <c r="AR244" s="9">
        <v>0.37</v>
      </c>
      <c r="AS244" s="9">
        <v>0.11</v>
      </c>
      <c r="AT244" s="9">
        <v>0.04</v>
      </c>
      <c r="AU244" s="9">
        <v>2.95</v>
      </c>
      <c r="AV244" s="9">
        <v>0.09</v>
      </c>
      <c r="AW244" s="9">
        <f>0.87+0.17+0.28</f>
        <v>1.32</v>
      </c>
      <c r="AX244" s="9">
        <f>1.23+0.38</f>
        <v>1.61</v>
      </c>
      <c r="AY244" s="102">
        <f t="shared" si="108"/>
        <v>15.79</v>
      </c>
      <c r="AZ244" s="13">
        <v>15.79</v>
      </c>
      <c r="BA244" s="13">
        <f t="shared" si="85"/>
        <v>0</v>
      </c>
      <c r="BB244" s="9">
        <f t="shared" si="86"/>
        <v>121717.53</v>
      </c>
      <c r="BC244" s="9">
        <v>15.79</v>
      </c>
      <c r="BD244" s="10">
        <v>44409</v>
      </c>
      <c r="BE244" s="9">
        <f t="shared" si="88"/>
        <v>8093.95</v>
      </c>
      <c r="BF244" s="9">
        <f t="shared" si="89"/>
        <v>19965.07</v>
      </c>
      <c r="BG244" s="9">
        <f t="shared" si="90"/>
        <v>10791.93</v>
      </c>
      <c r="BH244" s="9">
        <f t="shared" si="91"/>
        <v>2620.9</v>
      </c>
      <c r="BI244" s="9">
        <f t="shared" si="92"/>
        <v>13875.34</v>
      </c>
      <c r="BJ244" s="9">
        <f t="shared" si="93"/>
        <v>925.02</v>
      </c>
      <c r="BK244" s="9">
        <f t="shared" si="94"/>
        <v>11562.78</v>
      </c>
      <c r="BL244" s="9">
        <f t="shared" si="95"/>
        <v>3083.41</v>
      </c>
      <c r="BM244" s="9">
        <f t="shared" si="96"/>
        <v>385.43</v>
      </c>
      <c r="BN244" s="9">
        <f t="shared" si="97"/>
        <v>385.43</v>
      </c>
      <c r="BO244" s="9">
        <f t="shared" si="98"/>
        <v>2852.15</v>
      </c>
      <c r="BP244" s="9">
        <f t="shared" si="99"/>
        <v>847.94</v>
      </c>
      <c r="BQ244" s="9">
        <f t="shared" si="100"/>
        <v>308.33999999999997</v>
      </c>
      <c r="BR244" s="9">
        <f t="shared" si="101"/>
        <v>22740.13</v>
      </c>
      <c r="BS244" s="9">
        <f t="shared" si="102"/>
        <v>693.77</v>
      </c>
      <c r="BT244" s="9">
        <f t="shared" si="103"/>
        <v>10175.25</v>
      </c>
      <c r="BU244" s="9">
        <f t="shared" si="104"/>
        <v>12410.72</v>
      </c>
      <c r="BV244" s="17">
        <f t="shared" si="105"/>
        <v>121717.56</v>
      </c>
      <c r="BW244" s="17">
        <v>1.25</v>
      </c>
      <c r="BX244" s="17">
        <v>7.0000000000000007E-2</v>
      </c>
      <c r="BY244" s="17">
        <v>0.45</v>
      </c>
      <c r="BZ244" s="17">
        <v>0.08</v>
      </c>
      <c r="CA244" s="29" t="s">
        <v>739</v>
      </c>
      <c r="CB244" s="325"/>
      <c r="CC244" s="13">
        <v>0</v>
      </c>
      <c r="CD244" s="13">
        <v>0</v>
      </c>
      <c r="CE244" s="13">
        <v>0</v>
      </c>
      <c r="CF244" s="13">
        <v>0</v>
      </c>
      <c r="CG244" s="13">
        <v>0</v>
      </c>
      <c r="CH244" s="13">
        <v>0</v>
      </c>
      <c r="CI244" s="13">
        <v>3715.04</v>
      </c>
      <c r="CJ244" s="13">
        <v>48900</v>
      </c>
      <c r="CK244" s="13">
        <v>2963.87</v>
      </c>
      <c r="CL244" s="13">
        <v>1460126.78</v>
      </c>
      <c r="CM244" s="13">
        <v>259799.15</v>
      </c>
      <c r="CN244" s="13">
        <v>847.01</v>
      </c>
      <c r="CO244" s="13">
        <v>46084.67</v>
      </c>
      <c r="CP244" s="13">
        <v>27744.44</v>
      </c>
      <c r="CQ244" s="13">
        <v>0</v>
      </c>
      <c r="CR244" s="13">
        <v>1398618.33</v>
      </c>
      <c r="CS244" s="13">
        <v>224594.47</v>
      </c>
      <c r="CT244" s="13">
        <v>6357.01</v>
      </c>
      <c r="CU244" s="13">
        <v>47223.71</v>
      </c>
      <c r="CV244" s="13">
        <v>28338.19</v>
      </c>
      <c r="CW244" s="13">
        <v>0</v>
      </c>
      <c r="CX244" s="13">
        <v>184379.04</v>
      </c>
      <c r="CY244" s="13">
        <v>36279</v>
      </c>
      <c r="CZ244" s="13">
        <v>-6643.66</v>
      </c>
      <c r="DA244" s="13">
        <v>3543.35</v>
      </c>
      <c r="DB244" s="13">
        <v>2344.48</v>
      </c>
      <c r="DC244" s="13"/>
      <c r="DD244" s="315">
        <v>1794602.05</v>
      </c>
      <c r="DE244" s="317">
        <v>1705131.71</v>
      </c>
      <c r="DF244" s="317">
        <v>95.01</v>
      </c>
      <c r="DG244" s="318">
        <v>219902.21</v>
      </c>
      <c r="DH244" s="310">
        <v>80974.679999999993</v>
      </c>
      <c r="DI244" s="310">
        <v>46310.28</v>
      </c>
      <c r="DJ244" s="312">
        <v>0</v>
      </c>
      <c r="DK244" s="362">
        <v>0</v>
      </c>
      <c r="DL244" s="362"/>
      <c r="DM244" s="362">
        <v>0</v>
      </c>
      <c r="DN244" s="362">
        <v>0</v>
      </c>
      <c r="DO244" s="362">
        <v>0</v>
      </c>
      <c r="DP244" s="362">
        <v>0</v>
      </c>
      <c r="DQ244" s="362">
        <v>0</v>
      </c>
      <c r="DR244" s="362"/>
      <c r="DS244" s="362">
        <v>0</v>
      </c>
      <c r="DT244" s="362"/>
      <c r="DU244" s="362">
        <v>0</v>
      </c>
      <c r="DV244" s="362">
        <v>0</v>
      </c>
      <c r="DW244" s="362">
        <v>206400</v>
      </c>
      <c r="DX244" s="362">
        <v>0</v>
      </c>
      <c r="DY244" s="362">
        <v>18000</v>
      </c>
      <c r="DZ244" s="375">
        <v>0</v>
      </c>
      <c r="EA244" s="362">
        <v>301206</v>
      </c>
      <c r="EB244" s="362">
        <v>11339</v>
      </c>
      <c r="EC244" s="362"/>
      <c r="ED244" s="362">
        <v>0</v>
      </c>
      <c r="EE244" s="362">
        <v>0</v>
      </c>
      <c r="EF244" s="362"/>
      <c r="EG244" s="362">
        <v>15276</v>
      </c>
      <c r="EH244" s="362">
        <v>0</v>
      </c>
      <c r="EI244" s="362"/>
      <c r="EJ244" s="362">
        <v>0</v>
      </c>
      <c r="EK244" s="362"/>
      <c r="EL244" s="362">
        <v>0</v>
      </c>
      <c r="EM244" s="362">
        <v>4713.99</v>
      </c>
      <c r="EN244" s="362">
        <v>0</v>
      </c>
      <c r="EO244" s="362">
        <v>0</v>
      </c>
      <c r="EP244" s="362">
        <v>227238</v>
      </c>
      <c r="EQ244" s="362">
        <v>0</v>
      </c>
      <c r="ER244" s="362">
        <v>5460</v>
      </c>
      <c r="ES244" s="362">
        <v>6347</v>
      </c>
      <c r="ET244" s="362">
        <v>17764</v>
      </c>
      <c r="EU244" s="362">
        <v>0</v>
      </c>
      <c r="EV244" s="362">
        <v>127982.9</v>
      </c>
      <c r="EW244" s="362"/>
      <c r="EX244" s="202"/>
      <c r="EY244" s="202"/>
      <c r="EZ244" s="229"/>
      <c r="FA244" s="368">
        <v>265174.90999999997</v>
      </c>
      <c r="FB244" s="368">
        <v>867.89</v>
      </c>
      <c r="FC244" s="368">
        <v>0</v>
      </c>
      <c r="FD244" s="368">
        <v>0</v>
      </c>
      <c r="FE244" s="368">
        <v>43095.85</v>
      </c>
      <c r="FF244" s="368">
        <v>26205.43</v>
      </c>
      <c r="FG244" s="368">
        <v>-378.34</v>
      </c>
      <c r="FH244" s="368">
        <v>-2261.6799999999998</v>
      </c>
      <c r="FI244" s="368">
        <v>0</v>
      </c>
      <c r="FJ244" s="368">
        <v>0</v>
      </c>
      <c r="FK244" s="368">
        <v>30457.14</v>
      </c>
      <c r="FL244" s="368">
        <v>0</v>
      </c>
      <c r="FM244" s="368">
        <v>206045.57</v>
      </c>
      <c r="FN244" s="368">
        <v>131015.83</v>
      </c>
      <c r="FO244" s="323">
        <v>1406073.25</v>
      </c>
      <c r="FP244" s="323">
        <v>363161.2</v>
      </c>
      <c r="FQ244" s="323">
        <v>1769234.45</v>
      </c>
      <c r="FR244" s="362">
        <v>131244.04999999999</v>
      </c>
      <c r="FS244" s="362">
        <v>9872.4</v>
      </c>
      <c r="FT244" s="377">
        <v>141116.45000000001</v>
      </c>
      <c r="FU244" s="377">
        <v>1512741.82</v>
      </c>
      <c r="FV244" s="377">
        <v>337439.14</v>
      </c>
      <c r="FW244" s="362">
        <v>1850180.96</v>
      </c>
      <c r="FX244" s="362">
        <v>1459606.83</v>
      </c>
      <c r="FY244" s="362">
        <v>311788.37</v>
      </c>
      <c r="FZ244" s="362">
        <v>1771395.2</v>
      </c>
      <c r="GA244" s="362">
        <v>184379.04</v>
      </c>
      <c r="GB244" s="362">
        <v>35523.17</v>
      </c>
      <c r="GC244" s="362">
        <v>219902.21</v>
      </c>
      <c r="GD244" s="362">
        <v>27370.23</v>
      </c>
      <c r="GE244" s="362">
        <v>11082.59</v>
      </c>
      <c r="GF244" s="362">
        <v>38452.82</v>
      </c>
      <c r="GG244" s="202"/>
      <c r="GH244" s="416"/>
      <c r="GI244" s="414">
        <v>2963</v>
      </c>
      <c r="GJ244" s="419">
        <v>0</v>
      </c>
      <c r="GK244" s="396"/>
      <c r="GL244" s="202">
        <v>0</v>
      </c>
      <c r="GM244" s="202">
        <v>0</v>
      </c>
      <c r="GN244" s="323">
        <v>106668.57</v>
      </c>
      <c r="GO244" s="323">
        <v>-25722.06</v>
      </c>
      <c r="GP244" s="323">
        <v>80946.509999999995</v>
      </c>
      <c r="GQ244" s="323">
        <v>134038.79999999999</v>
      </c>
      <c r="GR244" s="323">
        <v>-14639.47</v>
      </c>
      <c r="GS244" s="323">
        <v>119399.33</v>
      </c>
    </row>
    <row r="245" spans="1:201" ht="12.75" customHeight="1" x14ac:dyDescent="0.2">
      <c r="A245" s="45" t="s">
        <v>340</v>
      </c>
      <c r="B245" s="78" t="s">
        <v>299</v>
      </c>
      <c r="C245" s="79" t="s">
        <v>48</v>
      </c>
      <c r="D245" s="390" t="s">
        <v>510</v>
      </c>
      <c r="E245" s="79"/>
      <c r="F245" s="11">
        <v>9</v>
      </c>
      <c r="G245" s="11">
        <v>1</v>
      </c>
      <c r="H245" s="11">
        <v>54</v>
      </c>
      <c r="I245" s="11">
        <v>55</v>
      </c>
      <c r="J245" s="11">
        <v>97</v>
      </c>
      <c r="K245" s="11">
        <v>117</v>
      </c>
      <c r="L245" s="83">
        <v>1</v>
      </c>
      <c r="M245" s="84">
        <v>252</v>
      </c>
      <c r="N245" s="84">
        <v>387</v>
      </c>
      <c r="O245" s="84">
        <v>387</v>
      </c>
      <c r="P245" s="139">
        <v>320.7</v>
      </c>
      <c r="Q245" s="135">
        <v>216.4</v>
      </c>
      <c r="R245" s="133">
        <v>364.5</v>
      </c>
      <c r="S245" s="133">
        <f t="shared" si="106"/>
        <v>901.6</v>
      </c>
      <c r="T245" s="139">
        <v>252</v>
      </c>
      <c r="U245" s="130">
        <v>2.72</v>
      </c>
      <c r="V245" s="131">
        <v>1.21E-2</v>
      </c>
      <c r="W245" s="131">
        <v>1.9800000000000002E-2</v>
      </c>
      <c r="X245" s="132">
        <v>1.2700000000000001E-3</v>
      </c>
      <c r="Y245" s="131">
        <v>1.21E-2</v>
      </c>
      <c r="Z245" s="29">
        <v>2299.4</v>
      </c>
      <c r="AA245" s="29"/>
      <c r="AB245" s="9">
        <f t="shared" si="84"/>
        <v>2299.4</v>
      </c>
      <c r="AC245" s="9">
        <f>SUM(AB245*6.33)</f>
        <v>14555.2</v>
      </c>
      <c r="AD245" s="9">
        <v>1.51</v>
      </c>
      <c r="AE245" s="9">
        <v>4.58</v>
      </c>
      <c r="AF245" s="21">
        <f>2.49-AJ245</f>
        <v>2.33</v>
      </c>
      <c r="AG245" s="18">
        <f>0.6-AQ245</f>
        <v>0.54</v>
      </c>
      <c r="AH245" s="19">
        <f>2.77+0.22+0.32</f>
        <v>3.31</v>
      </c>
      <c r="AI245" s="43">
        <v>372</v>
      </c>
      <c r="AJ245" s="21">
        <f t="shared" si="110"/>
        <v>0.16</v>
      </c>
      <c r="AK245" s="9">
        <v>1.88</v>
      </c>
      <c r="AL245" s="9">
        <v>0.16</v>
      </c>
      <c r="AM245" s="9">
        <v>0.25</v>
      </c>
      <c r="AN245" s="13"/>
      <c r="AO245" s="13">
        <v>305.89999999999998</v>
      </c>
      <c r="AP245" s="13">
        <f t="shared" si="107"/>
        <v>5.58</v>
      </c>
      <c r="AQ245" s="18">
        <f t="shared" si="111"/>
        <v>0.06</v>
      </c>
      <c r="AR245" s="9">
        <v>0.72</v>
      </c>
      <c r="AS245" s="9">
        <v>0.6</v>
      </c>
      <c r="AT245" s="9">
        <v>7.0000000000000007E-2</v>
      </c>
      <c r="AU245" s="9">
        <v>3.69</v>
      </c>
      <c r="AV245" s="9">
        <v>0.17</v>
      </c>
      <c r="AW245" s="9">
        <f>1.45+0.33+0.34</f>
        <v>2.12</v>
      </c>
      <c r="AX245" s="9">
        <f>2.04+0.43</f>
        <v>2.4700000000000002</v>
      </c>
      <c r="AY245" s="81">
        <f t="shared" si="108"/>
        <v>24.62</v>
      </c>
      <c r="AZ245" s="13">
        <v>24.62</v>
      </c>
      <c r="BA245" s="13">
        <f t="shared" si="85"/>
        <v>0</v>
      </c>
      <c r="BB245" s="9">
        <f t="shared" si="86"/>
        <v>56611.23</v>
      </c>
      <c r="BC245" s="9">
        <v>24.62</v>
      </c>
      <c r="BD245" s="10">
        <v>44440</v>
      </c>
      <c r="BE245" s="9">
        <f t="shared" si="88"/>
        <v>3472.09</v>
      </c>
      <c r="BF245" s="9">
        <f t="shared" si="89"/>
        <v>10531.25</v>
      </c>
      <c r="BG245" s="9">
        <f t="shared" si="90"/>
        <v>5357.6</v>
      </c>
      <c r="BH245" s="9">
        <f t="shared" si="91"/>
        <v>1241.68</v>
      </c>
      <c r="BI245" s="9">
        <f t="shared" si="92"/>
        <v>7611.01</v>
      </c>
      <c r="BJ245" s="9">
        <f t="shared" si="93"/>
        <v>367.9</v>
      </c>
      <c r="BK245" s="9">
        <f t="shared" si="94"/>
        <v>4322.87</v>
      </c>
      <c r="BL245" s="9">
        <f t="shared" si="95"/>
        <v>367.9</v>
      </c>
      <c r="BM245" s="9">
        <f t="shared" si="96"/>
        <v>574.85</v>
      </c>
      <c r="BN245" s="9">
        <f t="shared" si="97"/>
        <v>137.96</v>
      </c>
      <c r="BO245" s="9">
        <f t="shared" si="98"/>
        <v>1655.57</v>
      </c>
      <c r="BP245" s="9">
        <f t="shared" si="99"/>
        <v>1379.64</v>
      </c>
      <c r="BQ245" s="9">
        <f t="shared" si="100"/>
        <v>160.96</v>
      </c>
      <c r="BR245" s="9">
        <f t="shared" si="101"/>
        <v>8484.7900000000009</v>
      </c>
      <c r="BS245" s="9">
        <f t="shared" si="102"/>
        <v>390.9</v>
      </c>
      <c r="BT245" s="9">
        <f t="shared" si="103"/>
        <v>4874.7299999999996</v>
      </c>
      <c r="BU245" s="9">
        <f t="shared" si="104"/>
        <v>5679.52</v>
      </c>
      <c r="BV245" s="17">
        <f t="shared" si="105"/>
        <v>56611.22</v>
      </c>
      <c r="BW245" s="17">
        <v>4.3899999999999997</v>
      </c>
      <c r="BX245" s="17">
        <v>0.05</v>
      </c>
      <c r="BY245" s="17">
        <v>0.48</v>
      </c>
      <c r="BZ245" s="17">
        <v>0.03</v>
      </c>
      <c r="CA245" s="29">
        <v>6.33</v>
      </c>
      <c r="CB245" s="325"/>
      <c r="CC245" s="13">
        <v>0</v>
      </c>
      <c r="CD245" s="13">
        <v>0</v>
      </c>
      <c r="CE245" s="13">
        <v>0</v>
      </c>
      <c r="CF245" s="13">
        <v>0</v>
      </c>
      <c r="CG245" s="13">
        <v>0</v>
      </c>
      <c r="CH245" s="13">
        <v>0</v>
      </c>
      <c r="CI245" s="13">
        <v>2802.07</v>
      </c>
      <c r="CJ245" s="13">
        <v>29484</v>
      </c>
      <c r="CK245" s="13">
        <v>884.33</v>
      </c>
      <c r="CL245" s="13">
        <v>679334.52</v>
      </c>
      <c r="CM245" s="13">
        <v>33571.050000000003</v>
      </c>
      <c r="CN245" s="13">
        <v>0</v>
      </c>
      <c r="CO245" s="13">
        <v>15107.06</v>
      </c>
      <c r="CP245" s="13">
        <v>8139.94</v>
      </c>
      <c r="CQ245" s="13">
        <v>0</v>
      </c>
      <c r="CR245" s="13">
        <v>630726.36</v>
      </c>
      <c r="CS245" s="13">
        <v>34918.69</v>
      </c>
      <c r="CT245" s="13">
        <v>858.64</v>
      </c>
      <c r="CU245" s="13">
        <v>9241.51</v>
      </c>
      <c r="CV245" s="13">
        <v>5773.88</v>
      </c>
      <c r="CW245" s="13">
        <v>0</v>
      </c>
      <c r="CX245" s="13">
        <v>128128.91</v>
      </c>
      <c r="CY245" s="13">
        <v>1748.21</v>
      </c>
      <c r="CZ245" s="13">
        <v>-932.22</v>
      </c>
      <c r="DA245" s="13">
        <v>1946.17</v>
      </c>
      <c r="DB245" s="13">
        <v>1085.08</v>
      </c>
      <c r="DC245" s="13"/>
      <c r="DD245" s="315">
        <v>736152.57</v>
      </c>
      <c r="DE245" s="317">
        <v>681519.08</v>
      </c>
      <c r="DF245" s="317">
        <v>92.58</v>
      </c>
      <c r="DG245" s="318">
        <v>131976.15</v>
      </c>
      <c r="DH245" s="310">
        <v>24160.799999999999</v>
      </c>
      <c r="DI245" s="310">
        <v>13817.76</v>
      </c>
      <c r="DJ245" s="312">
        <v>0</v>
      </c>
      <c r="DK245" s="362">
        <v>0</v>
      </c>
      <c r="DL245" s="362"/>
      <c r="DM245" s="362">
        <v>0</v>
      </c>
      <c r="DN245" s="362">
        <v>0</v>
      </c>
      <c r="DO245" s="362">
        <v>0</v>
      </c>
      <c r="DP245" s="362">
        <v>0</v>
      </c>
      <c r="DQ245" s="362">
        <v>0</v>
      </c>
      <c r="DR245" s="362"/>
      <c r="DS245" s="362">
        <v>0</v>
      </c>
      <c r="DT245" s="362"/>
      <c r="DU245" s="362">
        <v>0</v>
      </c>
      <c r="DV245" s="362">
        <v>0</v>
      </c>
      <c r="DW245" s="362">
        <v>51600</v>
      </c>
      <c r="DX245" s="362">
        <v>0</v>
      </c>
      <c r="DY245" s="362">
        <v>4500</v>
      </c>
      <c r="DZ245" s="375">
        <v>0</v>
      </c>
      <c r="EA245" s="362">
        <v>193500</v>
      </c>
      <c r="EB245" s="362">
        <v>7939</v>
      </c>
      <c r="EC245" s="362"/>
      <c r="ED245" s="362">
        <v>0</v>
      </c>
      <c r="EE245" s="362">
        <v>0</v>
      </c>
      <c r="EF245" s="362"/>
      <c r="EG245" s="362">
        <v>5922</v>
      </c>
      <c r="EH245" s="362">
        <v>0</v>
      </c>
      <c r="EI245" s="362"/>
      <c r="EJ245" s="362">
        <v>0</v>
      </c>
      <c r="EK245" s="362"/>
      <c r="EL245" s="362">
        <v>0</v>
      </c>
      <c r="EM245" s="362">
        <v>1706.91</v>
      </c>
      <c r="EN245" s="362">
        <v>0</v>
      </c>
      <c r="EO245" s="362">
        <v>0</v>
      </c>
      <c r="EP245" s="362">
        <v>149820</v>
      </c>
      <c r="EQ245" s="362">
        <v>0</v>
      </c>
      <c r="ER245" s="362">
        <v>1365</v>
      </c>
      <c r="ES245" s="362">
        <v>6924</v>
      </c>
      <c r="ET245" s="362">
        <v>6635</v>
      </c>
      <c r="EU245" s="362">
        <v>0</v>
      </c>
      <c r="EV245" s="362">
        <v>72166.960000000006</v>
      </c>
      <c r="EW245" s="362"/>
      <c r="EX245" s="202"/>
      <c r="EY245" s="202"/>
      <c r="EZ245" s="229"/>
      <c r="FA245" s="368">
        <v>33417.279999999999</v>
      </c>
      <c r="FB245" s="368">
        <v>11885.66</v>
      </c>
      <c r="FC245" s="368">
        <v>0</v>
      </c>
      <c r="FD245" s="368">
        <v>0</v>
      </c>
      <c r="FE245" s="368">
        <v>13669.87</v>
      </c>
      <c r="FF245" s="368">
        <v>7385.54</v>
      </c>
      <c r="FG245" s="368">
        <v>0</v>
      </c>
      <c r="FH245" s="368">
        <v>-588.29999999999995</v>
      </c>
      <c r="FI245" s="368">
        <v>0</v>
      </c>
      <c r="FJ245" s="368">
        <v>0</v>
      </c>
      <c r="FK245" s="368">
        <v>15286.05</v>
      </c>
      <c r="FL245" s="368">
        <v>0</v>
      </c>
      <c r="FM245" s="368">
        <v>61474.59</v>
      </c>
      <c r="FN245" s="368">
        <v>39088.410000000003</v>
      </c>
      <c r="FO245" s="323">
        <v>640620.43000000005</v>
      </c>
      <c r="FP245" s="323">
        <v>81056.100000000006</v>
      </c>
      <c r="FQ245" s="323">
        <v>721676.53</v>
      </c>
      <c r="FR245" s="362">
        <v>73950.41</v>
      </c>
      <c r="FS245" s="362">
        <v>4018.47</v>
      </c>
      <c r="FT245" s="377">
        <v>77968.88</v>
      </c>
      <c r="FU245" s="377">
        <v>711620.59</v>
      </c>
      <c r="FV245" s="377">
        <v>57702.38</v>
      </c>
      <c r="FW245" s="362">
        <v>769322.97</v>
      </c>
      <c r="FX245" s="362">
        <v>657442.09</v>
      </c>
      <c r="FY245" s="362">
        <v>57873.61</v>
      </c>
      <c r="FZ245" s="362">
        <v>715315.7</v>
      </c>
      <c r="GA245" s="362">
        <v>128128.91</v>
      </c>
      <c r="GB245" s="362">
        <v>3847.24</v>
      </c>
      <c r="GC245" s="362">
        <v>131976.15</v>
      </c>
      <c r="GD245" s="362">
        <v>52327.39</v>
      </c>
      <c r="GE245" s="362">
        <v>5811.75</v>
      </c>
      <c r="GF245" s="362">
        <v>58139.14</v>
      </c>
      <c r="GG245" s="202"/>
      <c r="GH245" s="416"/>
      <c r="GI245" s="414">
        <v>2455</v>
      </c>
      <c r="GJ245" s="419">
        <v>0</v>
      </c>
      <c r="GK245" s="396"/>
      <c r="GL245" s="202">
        <v>0</v>
      </c>
      <c r="GM245" s="202">
        <v>0</v>
      </c>
      <c r="GN245" s="323">
        <v>71000.160000000003</v>
      </c>
      <c r="GO245" s="323">
        <v>-23353.72</v>
      </c>
      <c r="GP245" s="323">
        <v>47646.44</v>
      </c>
      <c r="GQ245" s="323">
        <v>123327.55</v>
      </c>
      <c r="GR245" s="323">
        <v>-17541.97</v>
      </c>
      <c r="GS245" s="323">
        <v>105785.58</v>
      </c>
    </row>
    <row r="246" spans="1:201" ht="12.75" customHeight="1" x14ac:dyDescent="0.2">
      <c r="A246" s="45" t="s">
        <v>341</v>
      </c>
      <c r="B246" s="78" t="s">
        <v>299</v>
      </c>
      <c r="C246" s="79" t="s">
        <v>48</v>
      </c>
      <c r="D246" s="390" t="s">
        <v>669</v>
      </c>
      <c r="E246" s="79" t="s">
        <v>9</v>
      </c>
      <c r="F246" s="11">
        <v>9</v>
      </c>
      <c r="G246" s="11">
        <v>1</v>
      </c>
      <c r="H246" s="11">
        <v>54</v>
      </c>
      <c r="I246" s="11">
        <v>54</v>
      </c>
      <c r="J246" s="11">
        <v>88</v>
      </c>
      <c r="K246" s="11">
        <v>124</v>
      </c>
      <c r="L246" s="83">
        <v>1</v>
      </c>
      <c r="M246" s="84">
        <v>263</v>
      </c>
      <c r="N246" s="84">
        <v>387</v>
      </c>
      <c r="O246" s="84">
        <v>387</v>
      </c>
      <c r="P246" s="139">
        <v>263</v>
      </c>
      <c r="Q246" s="139">
        <v>387</v>
      </c>
      <c r="R246" s="139">
        <v>387</v>
      </c>
      <c r="S246" s="133">
        <f t="shared" si="106"/>
        <v>1037</v>
      </c>
      <c r="T246" s="135">
        <v>263</v>
      </c>
      <c r="U246" s="130">
        <v>2.72</v>
      </c>
      <c r="V246" s="131">
        <v>1.21E-2</v>
      </c>
      <c r="W246" s="131">
        <v>1.9800000000000002E-2</v>
      </c>
      <c r="X246" s="132">
        <v>1.2700000000000001E-3</v>
      </c>
      <c r="Y246" s="131">
        <v>1.21E-2</v>
      </c>
      <c r="Z246" s="29">
        <v>2323.9</v>
      </c>
      <c r="AA246" s="29"/>
      <c r="AB246" s="9">
        <f t="shared" si="84"/>
        <v>2323.9</v>
      </c>
      <c r="AC246" s="9">
        <f>SUM(AB246*6.33)</f>
        <v>14710.29</v>
      </c>
      <c r="AD246" s="9">
        <v>1.55</v>
      </c>
      <c r="AE246" s="9">
        <v>4.24</v>
      </c>
      <c r="AF246" s="21">
        <f>2.41-AJ246</f>
        <v>2.25</v>
      </c>
      <c r="AG246" s="18">
        <f>0.6-AQ246</f>
        <v>0.54</v>
      </c>
      <c r="AH246" s="19">
        <f>2.77+0.22+0.29</f>
        <v>3.28</v>
      </c>
      <c r="AI246" s="43">
        <v>372</v>
      </c>
      <c r="AJ246" s="21">
        <f t="shared" si="110"/>
        <v>0.16</v>
      </c>
      <c r="AK246" s="9">
        <v>1.86</v>
      </c>
      <c r="AL246" s="9">
        <v>0.16</v>
      </c>
      <c r="AM246" s="9">
        <v>0.25</v>
      </c>
      <c r="AN246" s="13"/>
      <c r="AO246" s="13">
        <v>305.89999999999998</v>
      </c>
      <c r="AP246" s="13">
        <f t="shared" si="107"/>
        <v>5.58</v>
      </c>
      <c r="AQ246" s="18">
        <f t="shared" si="111"/>
        <v>0.06</v>
      </c>
      <c r="AR246" s="9">
        <v>0.71</v>
      </c>
      <c r="AS246" s="9">
        <v>0.59</v>
      </c>
      <c r="AT246" s="9">
        <v>7.0000000000000007E-2</v>
      </c>
      <c r="AU246" s="9">
        <v>4.07</v>
      </c>
      <c r="AV246" s="9">
        <v>0.17</v>
      </c>
      <c r="AW246" s="9">
        <f>1.41+0.33+0.36</f>
        <v>2.1</v>
      </c>
      <c r="AX246" s="9">
        <f>1.99+0.49</f>
        <v>2.48</v>
      </c>
      <c r="AY246" s="81">
        <f t="shared" si="108"/>
        <v>24.54</v>
      </c>
      <c r="AZ246" s="13">
        <v>24.54</v>
      </c>
      <c r="BA246" s="13">
        <f t="shared" si="85"/>
        <v>0</v>
      </c>
      <c r="BB246" s="9">
        <f t="shared" si="86"/>
        <v>57028.51</v>
      </c>
      <c r="BC246" s="9">
        <v>24.54</v>
      </c>
      <c r="BD246" s="10">
        <v>44440</v>
      </c>
      <c r="BE246" s="9">
        <f t="shared" si="88"/>
        <v>3602.05</v>
      </c>
      <c r="BF246" s="9">
        <f t="shared" si="89"/>
        <v>9853.34</v>
      </c>
      <c r="BG246" s="9">
        <f t="shared" si="90"/>
        <v>5228.78</v>
      </c>
      <c r="BH246" s="9">
        <f t="shared" si="91"/>
        <v>1254.9100000000001</v>
      </c>
      <c r="BI246" s="9">
        <f t="shared" si="92"/>
        <v>7622.39</v>
      </c>
      <c r="BJ246" s="9">
        <f t="shared" si="93"/>
        <v>371.82</v>
      </c>
      <c r="BK246" s="9">
        <f t="shared" si="94"/>
        <v>4322.45</v>
      </c>
      <c r="BL246" s="9">
        <f t="shared" si="95"/>
        <v>371.82</v>
      </c>
      <c r="BM246" s="9">
        <f t="shared" si="96"/>
        <v>580.98</v>
      </c>
      <c r="BN246" s="9">
        <f t="shared" si="97"/>
        <v>139.43</v>
      </c>
      <c r="BO246" s="9">
        <f t="shared" si="98"/>
        <v>1649.97</v>
      </c>
      <c r="BP246" s="9">
        <f t="shared" si="99"/>
        <v>1371.1</v>
      </c>
      <c r="BQ246" s="9">
        <f t="shared" si="100"/>
        <v>162.66999999999999</v>
      </c>
      <c r="BR246" s="9">
        <f t="shared" si="101"/>
        <v>9458.27</v>
      </c>
      <c r="BS246" s="9">
        <f t="shared" si="102"/>
        <v>395.06</v>
      </c>
      <c r="BT246" s="9">
        <f t="shared" si="103"/>
        <v>4880.1899999999996</v>
      </c>
      <c r="BU246" s="9">
        <f t="shared" si="104"/>
        <v>5763.27</v>
      </c>
      <c r="BV246" s="17">
        <f t="shared" si="105"/>
        <v>57028.5</v>
      </c>
      <c r="BW246" s="17">
        <v>4.3099999999999996</v>
      </c>
      <c r="BX246" s="17">
        <v>0.1</v>
      </c>
      <c r="BY246" s="17">
        <v>1.03</v>
      </c>
      <c r="BZ246" s="17">
        <v>0.06</v>
      </c>
      <c r="CA246" s="29">
        <v>6.33</v>
      </c>
      <c r="CB246" s="325"/>
      <c r="CC246" s="13">
        <v>0</v>
      </c>
      <c r="CD246" s="13">
        <v>0</v>
      </c>
      <c r="CE246" s="13">
        <v>0</v>
      </c>
      <c r="CF246" s="13">
        <v>0</v>
      </c>
      <c r="CG246" s="13">
        <v>0</v>
      </c>
      <c r="CH246" s="13">
        <v>0</v>
      </c>
      <c r="CI246" s="13">
        <v>773.19</v>
      </c>
      <c r="CJ246" s="13">
        <v>29484</v>
      </c>
      <c r="CK246" s="13">
        <v>892.9</v>
      </c>
      <c r="CL246" s="13">
        <v>684046.29</v>
      </c>
      <c r="CM246" s="13">
        <v>26476.71</v>
      </c>
      <c r="CN246" s="13">
        <v>0</v>
      </c>
      <c r="CO246" s="13">
        <v>998.42</v>
      </c>
      <c r="CP246" s="13">
        <v>487.85</v>
      </c>
      <c r="CQ246" s="13">
        <v>0</v>
      </c>
      <c r="CR246" s="13">
        <v>654687.03</v>
      </c>
      <c r="CS246" s="13">
        <v>23459.64</v>
      </c>
      <c r="CT246" s="13">
        <v>1547.96</v>
      </c>
      <c r="CU246" s="13">
        <v>1489.32</v>
      </c>
      <c r="CV246" s="13">
        <v>501.02</v>
      </c>
      <c r="CW246" s="13">
        <v>0</v>
      </c>
      <c r="CX246" s="13">
        <v>94790.79</v>
      </c>
      <c r="CY246" s="13">
        <v>-2636.48</v>
      </c>
      <c r="CZ246" s="13">
        <v>-1678.11</v>
      </c>
      <c r="DA246" s="13">
        <v>-7.97</v>
      </c>
      <c r="DB246" s="13">
        <v>-42.09</v>
      </c>
      <c r="DC246" s="13"/>
      <c r="DD246" s="315">
        <v>712009.27</v>
      </c>
      <c r="DE246" s="317">
        <v>681684.97</v>
      </c>
      <c r="DF246" s="317">
        <v>95.74</v>
      </c>
      <c r="DG246" s="318">
        <v>90426.14</v>
      </c>
      <c r="DH246" s="310">
        <v>24393.119999999999</v>
      </c>
      <c r="DI246" s="310">
        <v>13950.72</v>
      </c>
      <c r="DJ246" s="312">
        <v>0</v>
      </c>
      <c r="DK246" s="362">
        <v>0</v>
      </c>
      <c r="DL246" s="362"/>
      <c r="DM246" s="362">
        <v>0</v>
      </c>
      <c r="DN246" s="362">
        <v>0</v>
      </c>
      <c r="DO246" s="362">
        <v>0</v>
      </c>
      <c r="DP246" s="362">
        <v>0</v>
      </c>
      <c r="DQ246" s="362">
        <v>0</v>
      </c>
      <c r="DR246" s="362"/>
      <c r="DS246" s="362">
        <v>0</v>
      </c>
      <c r="DT246" s="362"/>
      <c r="DU246" s="362">
        <v>0</v>
      </c>
      <c r="DV246" s="362">
        <v>0</v>
      </c>
      <c r="DW246" s="362">
        <v>51183.87</v>
      </c>
      <c r="DX246" s="362">
        <v>0</v>
      </c>
      <c r="DY246" s="362">
        <v>4500</v>
      </c>
      <c r="DZ246" s="375">
        <v>0</v>
      </c>
      <c r="EA246" s="362">
        <v>186360</v>
      </c>
      <c r="EB246" s="362">
        <v>7939</v>
      </c>
      <c r="EC246" s="362"/>
      <c r="ED246" s="362">
        <v>0</v>
      </c>
      <c r="EE246" s="362">
        <v>0</v>
      </c>
      <c r="EF246" s="362"/>
      <c r="EG246" s="362">
        <v>5922</v>
      </c>
      <c r="EH246" s="362">
        <v>0</v>
      </c>
      <c r="EI246" s="362"/>
      <c r="EJ246" s="362">
        <v>0</v>
      </c>
      <c r="EK246" s="362"/>
      <c r="EL246" s="362">
        <v>0</v>
      </c>
      <c r="EM246" s="362">
        <v>1706.91</v>
      </c>
      <c r="EN246" s="362">
        <v>0</v>
      </c>
      <c r="EO246" s="362">
        <v>0</v>
      </c>
      <c r="EP246" s="362">
        <v>149496</v>
      </c>
      <c r="EQ246" s="362">
        <v>0</v>
      </c>
      <c r="ER246" s="362">
        <v>16380</v>
      </c>
      <c r="ES246" s="362">
        <v>2308</v>
      </c>
      <c r="ET246" s="362">
        <v>6635</v>
      </c>
      <c r="EU246" s="362">
        <v>0</v>
      </c>
      <c r="EV246" s="362">
        <v>4918.08</v>
      </c>
      <c r="EW246" s="362"/>
      <c r="EX246" s="202"/>
      <c r="EY246" s="202"/>
      <c r="EZ246" s="229"/>
      <c r="FA246" s="368">
        <v>34367.39</v>
      </c>
      <c r="FB246" s="368">
        <v>0</v>
      </c>
      <c r="FC246" s="368">
        <v>0</v>
      </c>
      <c r="FD246" s="368">
        <v>0</v>
      </c>
      <c r="FE246" s="368">
        <v>1487.51</v>
      </c>
      <c r="FF246" s="368">
        <v>523.07000000000005</v>
      </c>
      <c r="FG246" s="368">
        <v>0</v>
      </c>
      <c r="FH246" s="368">
        <v>-593.96</v>
      </c>
      <c r="FI246" s="368">
        <v>0</v>
      </c>
      <c r="FJ246" s="368">
        <v>0</v>
      </c>
      <c r="FK246" s="368">
        <v>0</v>
      </c>
      <c r="FL246" s="368">
        <v>0</v>
      </c>
      <c r="FM246" s="368">
        <v>62098.32</v>
      </c>
      <c r="FN246" s="368">
        <v>39485.129999999997</v>
      </c>
      <c r="FO246" s="323">
        <v>577276.15</v>
      </c>
      <c r="FP246" s="323">
        <v>35784.01</v>
      </c>
      <c r="FQ246" s="323">
        <v>613060.16</v>
      </c>
      <c r="FR246" s="362">
        <v>64327</v>
      </c>
      <c r="FS246" s="362">
        <v>-2758.74</v>
      </c>
      <c r="FT246" s="377">
        <v>61568.26</v>
      </c>
      <c r="FU246" s="377">
        <v>714303.48</v>
      </c>
      <c r="FV246" s="377">
        <v>28855.88</v>
      </c>
      <c r="FW246" s="362">
        <v>743159.36</v>
      </c>
      <c r="FX246" s="362">
        <v>683839.69</v>
      </c>
      <c r="FY246" s="362">
        <v>30461.79</v>
      </c>
      <c r="FZ246" s="362">
        <v>714301.48</v>
      </c>
      <c r="GA246" s="362">
        <v>94790.79</v>
      </c>
      <c r="GB246" s="362">
        <v>-4364.6499999999996</v>
      </c>
      <c r="GC246" s="362">
        <v>90426.14</v>
      </c>
      <c r="GD246" s="362">
        <v>53218.19</v>
      </c>
      <c r="GE246" s="362">
        <v>9274.0300000000007</v>
      </c>
      <c r="GF246" s="362">
        <v>62492.22</v>
      </c>
      <c r="GG246" s="202"/>
      <c r="GH246" s="416"/>
      <c r="GI246" s="414">
        <v>2455</v>
      </c>
      <c r="GJ246" s="419">
        <v>0</v>
      </c>
      <c r="GK246" s="396"/>
      <c r="GL246" s="202">
        <v>0</v>
      </c>
      <c r="GM246" s="202">
        <v>0</v>
      </c>
      <c r="GN246" s="323">
        <v>137027.32999999999</v>
      </c>
      <c r="GO246" s="323">
        <v>-6928.13</v>
      </c>
      <c r="GP246" s="323">
        <v>130099.2</v>
      </c>
      <c r="GQ246" s="323">
        <v>190245.52</v>
      </c>
      <c r="GR246" s="323">
        <v>2345.9</v>
      </c>
      <c r="GS246" s="323">
        <v>192591.42</v>
      </c>
    </row>
    <row r="247" spans="1:201" ht="12.75" customHeight="1" x14ac:dyDescent="0.2">
      <c r="A247" s="45" t="s">
        <v>342</v>
      </c>
      <c r="B247" s="78" t="s">
        <v>299</v>
      </c>
      <c r="C247" s="79" t="s">
        <v>48</v>
      </c>
      <c r="D247" s="388" t="s">
        <v>590</v>
      </c>
      <c r="E247" s="79" t="s">
        <v>30</v>
      </c>
      <c r="F247" s="11">
        <v>9</v>
      </c>
      <c r="G247" s="11">
        <v>1</v>
      </c>
      <c r="H247" s="11">
        <v>54</v>
      </c>
      <c r="I247" s="11">
        <v>54</v>
      </c>
      <c r="J247" s="11">
        <v>99</v>
      </c>
      <c r="K247" s="11">
        <v>109</v>
      </c>
      <c r="L247" s="11">
        <v>1</v>
      </c>
      <c r="M247" s="84">
        <v>260</v>
      </c>
      <c r="N247" s="84">
        <v>387</v>
      </c>
      <c r="O247" s="84">
        <v>387</v>
      </c>
      <c r="P247" s="139">
        <v>326.10000000000002</v>
      </c>
      <c r="Q247" s="135">
        <v>222.5</v>
      </c>
      <c r="R247" s="133">
        <v>370.2</v>
      </c>
      <c r="S247" s="133">
        <f t="shared" si="106"/>
        <v>918.8</v>
      </c>
      <c r="T247" s="139">
        <v>260</v>
      </c>
      <c r="U247" s="130">
        <v>2.72</v>
      </c>
      <c r="V247" s="131">
        <v>1.21E-2</v>
      </c>
      <c r="W247" s="131">
        <v>1.9800000000000002E-2</v>
      </c>
      <c r="X247" s="132">
        <v>1.2700000000000001E-3</v>
      </c>
      <c r="Y247" s="131">
        <v>1.21E-2</v>
      </c>
      <c r="Z247" s="29">
        <v>2303.38</v>
      </c>
      <c r="AA247" s="29"/>
      <c r="AB247" s="9">
        <f t="shared" si="84"/>
        <v>2303.38</v>
      </c>
      <c r="AC247" s="174">
        <v>0</v>
      </c>
      <c r="AD247" s="9">
        <v>1.54</v>
      </c>
      <c r="AE247" s="9">
        <v>4.1900000000000004</v>
      </c>
      <c r="AF247" s="21">
        <f>2.49-AJ247</f>
        <v>2.33</v>
      </c>
      <c r="AG247" s="18">
        <f>0.6-AQ247</f>
        <v>0.54</v>
      </c>
      <c r="AH247" s="19">
        <f>2.77+0.22+0.31</f>
        <v>3.3</v>
      </c>
      <c r="AI247" s="43">
        <v>372</v>
      </c>
      <c r="AJ247" s="21">
        <f t="shared" si="110"/>
        <v>0.16</v>
      </c>
      <c r="AK247" s="9">
        <v>1.86</v>
      </c>
      <c r="AL247" s="9">
        <v>0.16</v>
      </c>
      <c r="AM247" s="9">
        <v>0.25</v>
      </c>
      <c r="AN247" s="13"/>
      <c r="AO247" s="13">
        <v>305.89999999999998</v>
      </c>
      <c r="AP247" s="13">
        <f t="shared" si="107"/>
        <v>5.58</v>
      </c>
      <c r="AQ247" s="18">
        <f t="shared" si="111"/>
        <v>0.06</v>
      </c>
      <c r="AR247" s="9">
        <v>0.72</v>
      </c>
      <c r="AS247" s="9">
        <v>0.59</v>
      </c>
      <c r="AT247" s="9">
        <v>7.0000000000000007E-2</v>
      </c>
      <c r="AU247" s="9">
        <v>4.1100000000000003</v>
      </c>
      <c r="AV247" s="9">
        <v>0.17</v>
      </c>
      <c r="AW247" s="9">
        <f>1.42+0.36+0.33</f>
        <v>2.11</v>
      </c>
      <c r="AX247" s="9">
        <f>2+0.48</f>
        <v>2.48</v>
      </c>
      <c r="AY247" s="81">
        <f t="shared" si="108"/>
        <v>24.64</v>
      </c>
      <c r="AZ247" s="13">
        <v>24.64</v>
      </c>
      <c r="BA247" s="13">
        <f t="shared" si="85"/>
        <v>0</v>
      </c>
      <c r="BB247" s="9">
        <f t="shared" si="86"/>
        <v>56755.28</v>
      </c>
      <c r="BC247" s="9">
        <v>24.64</v>
      </c>
      <c r="BD247" s="10">
        <v>44409</v>
      </c>
      <c r="BE247" s="9">
        <f t="shared" si="88"/>
        <v>3547.21</v>
      </c>
      <c r="BF247" s="9">
        <f t="shared" si="89"/>
        <v>9651.16</v>
      </c>
      <c r="BG247" s="9">
        <f t="shared" si="90"/>
        <v>5366.88</v>
      </c>
      <c r="BH247" s="9">
        <f t="shared" si="91"/>
        <v>1243.83</v>
      </c>
      <c r="BI247" s="9">
        <f t="shared" si="92"/>
        <v>7601.15</v>
      </c>
      <c r="BJ247" s="9">
        <f t="shared" si="93"/>
        <v>368.54</v>
      </c>
      <c r="BK247" s="9">
        <f t="shared" si="94"/>
        <v>4284.29</v>
      </c>
      <c r="BL247" s="9">
        <f t="shared" si="95"/>
        <v>368.54</v>
      </c>
      <c r="BM247" s="9">
        <f t="shared" si="96"/>
        <v>575.85</v>
      </c>
      <c r="BN247" s="9">
        <f t="shared" si="97"/>
        <v>138.19999999999999</v>
      </c>
      <c r="BO247" s="9">
        <f t="shared" si="98"/>
        <v>1658.43</v>
      </c>
      <c r="BP247" s="9">
        <f t="shared" si="99"/>
        <v>1358.99</v>
      </c>
      <c r="BQ247" s="9">
        <f t="shared" si="100"/>
        <v>161.24</v>
      </c>
      <c r="BR247" s="9">
        <f t="shared" si="101"/>
        <v>9466.89</v>
      </c>
      <c r="BS247" s="9">
        <f t="shared" si="102"/>
        <v>391.57</v>
      </c>
      <c r="BT247" s="9">
        <f t="shared" si="103"/>
        <v>4860.13</v>
      </c>
      <c r="BU247" s="9">
        <f t="shared" si="104"/>
        <v>5712.38</v>
      </c>
      <c r="BV247" s="17">
        <f t="shared" si="105"/>
        <v>56755.28</v>
      </c>
      <c r="BW247" s="17">
        <v>4.3600000000000003</v>
      </c>
      <c r="BX247" s="17">
        <v>0.05</v>
      </c>
      <c r="BY247" s="17">
        <v>0.5</v>
      </c>
      <c r="BZ247" s="17">
        <v>0.03</v>
      </c>
      <c r="CA247" s="29">
        <v>6.33</v>
      </c>
      <c r="CB247" s="325"/>
      <c r="CC247" s="13">
        <v>0</v>
      </c>
      <c r="CD247" s="13">
        <v>0</v>
      </c>
      <c r="CE247" s="13">
        <v>0</v>
      </c>
      <c r="CF247" s="13">
        <v>0</v>
      </c>
      <c r="CG247" s="13">
        <v>0</v>
      </c>
      <c r="CH247" s="13">
        <v>0</v>
      </c>
      <c r="CI247" s="13">
        <v>2322.9</v>
      </c>
      <c r="CJ247" s="13">
        <v>29484</v>
      </c>
      <c r="CK247" s="13">
        <v>884.05</v>
      </c>
      <c r="CL247" s="13">
        <v>665768.81000000006</v>
      </c>
      <c r="CM247" s="13">
        <v>87630.48</v>
      </c>
      <c r="CN247" s="13">
        <v>0</v>
      </c>
      <c r="CO247" s="13">
        <v>14207.2</v>
      </c>
      <c r="CP247" s="13">
        <v>7586.46</v>
      </c>
      <c r="CQ247" s="13">
        <v>0</v>
      </c>
      <c r="CR247" s="13">
        <v>615523.94999999995</v>
      </c>
      <c r="CS247" s="13">
        <v>83349.320000000007</v>
      </c>
      <c r="CT247" s="13">
        <v>737.02</v>
      </c>
      <c r="CU247" s="13">
        <v>13453.81</v>
      </c>
      <c r="CV247" s="13">
        <v>7153.15</v>
      </c>
      <c r="CW247" s="13">
        <v>0</v>
      </c>
      <c r="CX247" s="13">
        <v>156251.48000000001</v>
      </c>
      <c r="CY247" s="13">
        <v>15690.22</v>
      </c>
      <c r="CZ247" s="13">
        <v>-894.6</v>
      </c>
      <c r="DA247" s="13">
        <v>3279.07</v>
      </c>
      <c r="DB247" s="13">
        <v>1751.7</v>
      </c>
      <c r="DC247" s="13"/>
      <c r="DD247" s="315">
        <v>775192.95</v>
      </c>
      <c r="DE247" s="317">
        <v>720217.25</v>
      </c>
      <c r="DF247" s="317">
        <v>92.91</v>
      </c>
      <c r="DG247" s="318">
        <v>176077.87</v>
      </c>
      <c r="DH247" s="310">
        <v>24149.040000000001</v>
      </c>
      <c r="DI247" s="310">
        <v>13811.04</v>
      </c>
      <c r="DJ247" s="312">
        <v>0</v>
      </c>
      <c r="DK247" s="362">
        <v>0</v>
      </c>
      <c r="DL247" s="362"/>
      <c r="DM247" s="362">
        <v>0</v>
      </c>
      <c r="DN247" s="362">
        <v>0</v>
      </c>
      <c r="DO247" s="362">
        <v>0</v>
      </c>
      <c r="DP247" s="362">
        <v>0</v>
      </c>
      <c r="DQ247" s="362">
        <v>0</v>
      </c>
      <c r="DR247" s="362"/>
      <c r="DS247" s="362">
        <v>0</v>
      </c>
      <c r="DT247" s="362"/>
      <c r="DU247" s="362">
        <v>0</v>
      </c>
      <c r="DV247" s="362">
        <v>0</v>
      </c>
      <c r="DW247" s="362">
        <v>40161.08</v>
      </c>
      <c r="DX247" s="362">
        <v>0</v>
      </c>
      <c r="DY247" s="362">
        <v>14000</v>
      </c>
      <c r="DZ247" s="375">
        <v>0</v>
      </c>
      <c r="EA247" s="362">
        <v>183504</v>
      </c>
      <c r="EB247" s="362">
        <v>7939</v>
      </c>
      <c r="EC247" s="362"/>
      <c r="ED247" s="362">
        <v>0</v>
      </c>
      <c r="EE247" s="362">
        <v>0</v>
      </c>
      <c r="EF247" s="362"/>
      <c r="EG247" s="362">
        <v>5922</v>
      </c>
      <c r="EH247" s="362">
        <v>1750</v>
      </c>
      <c r="EI247" s="362"/>
      <c r="EJ247" s="362">
        <v>0</v>
      </c>
      <c r="EK247" s="362"/>
      <c r="EL247" s="362">
        <v>0</v>
      </c>
      <c r="EM247" s="362">
        <v>1706.91</v>
      </c>
      <c r="EN247" s="362">
        <v>0</v>
      </c>
      <c r="EO247" s="362">
        <v>0</v>
      </c>
      <c r="EP247" s="362">
        <v>150894</v>
      </c>
      <c r="EQ247" s="362">
        <v>0</v>
      </c>
      <c r="ER247" s="362">
        <v>15015</v>
      </c>
      <c r="ES247" s="362">
        <v>6924</v>
      </c>
      <c r="ET247" s="362">
        <v>6635</v>
      </c>
      <c r="EU247" s="362">
        <v>0</v>
      </c>
      <c r="EV247" s="362">
        <v>48316</v>
      </c>
      <c r="EW247" s="362"/>
      <c r="EX247" s="202"/>
      <c r="EY247" s="202"/>
      <c r="EZ247" s="229"/>
      <c r="FA247" s="368">
        <v>99929.18</v>
      </c>
      <c r="FB247" s="368">
        <v>14125.75</v>
      </c>
      <c r="FC247" s="368">
        <v>0</v>
      </c>
      <c r="FD247" s="368">
        <v>0</v>
      </c>
      <c r="FE247" s="368">
        <v>14790.74</v>
      </c>
      <c r="FF247" s="368">
        <v>7768.63</v>
      </c>
      <c r="FG247" s="368">
        <v>0</v>
      </c>
      <c r="FH247" s="368">
        <v>-588.01</v>
      </c>
      <c r="FI247" s="368">
        <v>0</v>
      </c>
      <c r="FJ247" s="368">
        <v>0</v>
      </c>
      <c r="FK247" s="368">
        <v>25472.13</v>
      </c>
      <c r="FL247" s="368">
        <v>0</v>
      </c>
      <c r="FM247" s="368">
        <v>61484.959999999999</v>
      </c>
      <c r="FN247" s="368">
        <v>39100.160000000003</v>
      </c>
      <c r="FO247" s="323">
        <v>621312.18999999994</v>
      </c>
      <c r="FP247" s="323">
        <v>161498.42000000001</v>
      </c>
      <c r="FQ247" s="323">
        <v>782810.61</v>
      </c>
      <c r="FR247" s="362">
        <v>95432.87</v>
      </c>
      <c r="FS247" s="362">
        <v>12397.28</v>
      </c>
      <c r="FT247" s="377">
        <v>107830.15</v>
      </c>
      <c r="FU247" s="377">
        <v>697575.71</v>
      </c>
      <c r="FV247" s="377">
        <v>110308.19</v>
      </c>
      <c r="FW247" s="362">
        <v>807883.9</v>
      </c>
      <c r="FX247" s="362">
        <v>636757.1</v>
      </c>
      <c r="FY247" s="362">
        <v>102879.08</v>
      </c>
      <c r="FZ247" s="362">
        <v>739636.18</v>
      </c>
      <c r="GA247" s="362">
        <v>156251.48000000001</v>
      </c>
      <c r="GB247" s="362">
        <v>19826.39</v>
      </c>
      <c r="GC247" s="362">
        <v>176077.87</v>
      </c>
      <c r="GD247" s="362">
        <v>67344.44</v>
      </c>
      <c r="GE247" s="362">
        <v>6488.99</v>
      </c>
      <c r="GF247" s="362">
        <v>73833.429999999993</v>
      </c>
      <c r="GG247" s="202"/>
      <c r="GH247" s="416"/>
      <c r="GI247" s="414">
        <v>2455</v>
      </c>
      <c r="GJ247" s="419">
        <v>0</v>
      </c>
      <c r="GK247" s="396"/>
      <c r="GL247" s="202">
        <v>0</v>
      </c>
      <c r="GM247" s="202">
        <v>0</v>
      </c>
      <c r="GN247" s="323">
        <v>76263.520000000004</v>
      </c>
      <c r="GO247" s="323">
        <v>-51190.23</v>
      </c>
      <c r="GP247" s="323">
        <v>25073.29</v>
      </c>
      <c r="GQ247" s="323">
        <v>143607.96</v>
      </c>
      <c r="GR247" s="323">
        <v>-44701.24</v>
      </c>
      <c r="GS247" s="323">
        <v>98906.72</v>
      </c>
    </row>
    <row r="248" spans="1:201" ht="12.75" customHeight="1" x14ac:dyDescent="0.2">
      <c r="A248" s="45" t="s">
        <v>344</v>
      </c>
      <c r="B248" s="99" t="s">
        <v>299</v>
      </c>
      <c r="C248" s="100" t="s">
        <v>15</v>
      </c>
      <c r="D248" s="388" t="s">
        <v>511</v>
      </c>
      <c r="E248" s="100" t="s">
        <v>12</v>
      </c>
      <c r="F248" s="11">
        <v>9</v>
      </c>
      <c r="G248" s="11">
        <v>5</v>
      </c>
      <c r="H248" s="11">
        <v>180</v>
      </c>
      <c r="I248" s="11">
        <v>180</v>
      </c>
      <c r="J248" s="11">
        <v>393</v>
      </c>
      <c r="K248" s="11">
        <v>476</v>
      </c>
      <c r="L248" s="83">
        <v>5</v>
      </c>
      <c r="M248" s="84">
        <v>1462</v>
      </c>
      <c r="N248" s="84">
        <v>1200</v>
      </c>
      <c r="O248" s="84">
        <v>0</v>
      </c>
      <c r="P248" s="135">
        <v>1246.7</v>
      </c>
      <c r="Q248" s="135">
        <v>1461.7</v>
      </c>
      <c r="R248" s="133">
        <v>0</v>
      </c>
      <c r="S248" s="133">
        <f t="shared" si="106"/>
        <v>2708.4</v>
      </c>
      <c r="T248" s="134">
        <v>1462</v>
      </c>
      <c r="U248" s="130">
        <v>2.44</v>
      </c>
      <c r="V248" s="131">
        <v>1.9800000000000002E-2</v>
      </c>
      <c r="W248" s="131">
        <v>1.9800000000000002E-2</v>
      </c>
      <c r="X248" s="132">
        <v>1.32E-3</v>
      </c>
      <c r="Y248" s="131">
        <v>3.9699999999999999E-2</v>
      </c>
      <c r="Z248" s="29">
        <v>9598.61</v>
      </c>
      <c r="AA248" s="29">
        <v>30.5</v>
      </c>
      <c r="AB248" s="9">
        <f t="shared" si="84"/>
        <v>9629.11</v>
      </c>
      <c r="AC248" s="9">
        <f t="shared" ref="AC248:AC312" si="112">SUM(AB248*6.33)</f>
        <v>60952.27</v>
      </c>
      <c r="AD248" s="9">
        <v>1.66</v>
      </c>
      <c r="AE248" s="9">
        <v>4.7300000000000004</v>
      </c>
      <c r="AF248" s="21">
        <f>2.45-AJ248</f>
        <v>2.33</v>
      </c>
      <c r="AG248" s="18">
        <f>0.62-AQ248</f>
        <v>0.56999999999999995</v>
      </c>
      <c r="AH248" s="9">
        <v>2.78</v>
      </c>
      <c r="AI248" s="43">
        <v>1152</v>
      </c>
      <c r="AJ248" s="21">
        <f t="shared" si="110"/>
        <v>0.12</v>
      </c>
      <c r="AK248" s="9">
        <v>2.2400000000000002</v>
      </c>
      <c r="AL248" s="9">
        <v>0.61</v>
      </c>
      <c r="AM248" s="9">
        <v>0.06</v>
      </c>
      <c r="AN248" s="13"/>
      <c r="AO248" s="13">
        <v>1056</v>
      </c>
      <c r="AP248" s="13">
        <f t="shared" si="107"/>
        <v>5.58</v>
      </c>
      <c r="AQ248" s="18">
        <f t="shared" si="111"/>
        <v>0.05</v>
      </c>
      <c r="AR248" s="9">
        <v>0.57999999999999996</v>
      </c>
      <c r="AS248" s="9">
        <v>0.14000000000000001</v>
      </c>
      <c r="AT248" s="9">
        <v>7.0000000000000007E-2</v>
      </c>
      <c r="AU248" s="9">
        <v>3.39</v>
      </c>
      <c r="AV248" s="9">
        <v>0.17</v>
      </c>
      <c r="AW248" s="9">
        <f>1.43+0.3+0.26</f>
        <v>1.99</v>
      </c>
      <c r="AX248" s="9">
        <f>2.02+0.4</f>
        <v>2.42</v>
      </c>
      <c r="AY248" s="102">
        <f t="shared" si="108"/>
        <v>23.91</v>
      </c>
      <c r="AZ248" s="13">
        <v>23.91</v>
      </c>
      <c r="BA248" s="13">
        <f t="shared" si="85"/>
        <v>0</v>
      </c>
      <c r="BB248" s="9">
        <f t="shared" si="86"/>
        <v>230232.02</v>
      </c>
      <c r="BC248" s="9">
        <v>23.91</v>
      </c>
      <c r="BD248" s="10">
        <v>44409</v>
      </c>
      <c r="BE248" s="9">
        <f t="shared" si="88"/>
        <v>15984.32</v>
      </c>
      <c r="BF248" s="9">
        <f t="shared" si="89"/>
        <v>45545.69</v>
      </c>
      <c r="BG248" s="9">
        <f t="shared" si="90"/>
        <v>22435.83</v>
      </c>
      <c r="BH248" s="9">
        <f t="shared" si="91"/>
        <v>5488.59</v>
      </c>
      <c r="BI248" s="9">
        <f t="shared" si="92"/>
        <v>26768.93</v>
      </c>
      <c r="BJ248" s="9">
        <f t="shared" si="93"/>
        <v>1155.49</v>
      </c>
      <c r="BK248" s="9">
        <f t="shared" si="94"/>
        <v>21569.21</v>
      </c>
      <c r="BL248" s="9">
        <f t="shared" si="95"/>
        <v>5873.76</v>
      </c>
      <c r="BM248" s="9">
        <f t="shared" si="96"/>
        <v>577.75</v>
      </c>
      <c r="BN248" s="9">
        <f t="shared" si="97"/>
        <v>481.46</v>
      </c>
      <c r="BO248" s="9">
        <f t="shared" si="98"/>
        <v>5584.88</v>
      </c>
      <c r="BP248" s="9">
        <f t="shared" si="99"/>
        <v>1348.08</v>
      </c>
      <c r="BQ248" s="9">
        <f t="shared" si="100"/>
        <v>674.04</v>
      </c>
      <c r="BR248" s="9">
        <f t="shared" si="101"/>
        <v>32642.68</v>
      </c>
      <c r="BS248" s="9">
        <f t="shared" si="102"/>
        <v>1636.95</v>
      </c>
      <c r="BT248" s="9">
        <f t="shared" si="103"/>
        <v>19161.93</v>
      </c>
      <c r="BU248" s="9">
        <f t="shared" si="104"/>
        <v>23302.45</v>
      </c>
      <c r="BV248" s="17">
        <f t="shared" si="105"/>
        <v>230232.04</v>
      </c>
      <c r="BW248" s="17">
        <v>1.27</v>
      </c>
      <c r="BX248" s="17">
        <v>7.0000000000000007E-2</v>
      </c>
      <c r="BY248" s="17">
        <v>0.46</v>
      </c>
      <c r="BZ248" s="17">
        <v>0.08</v>
      </c>
      <c r="CA248" s="29">
        <v>6.33</v>
      </c>
      <c r="CB248" s="325"/>
      <c r="CC248" s="13">
        <v>24409.84</v>
      </c>
      <c r="CD248" s="13">
        <v>1747.01</v>
      </c>
      <c r="CE248" s="13">
        <v>491</v>
      </c>
      <c r="CF248" s="13">
        <v>157.13999999999999</v>
      </c>
      <c r="CG248" s="13">
        <v>108.42</v>
      </c>
      <c r="CH248" s="13">
        <v>0</v>
      </c>
      <c r="CI248" s="13">
        <v>12509.47</v>
      </c>
      <c r="CJ248" s="13">
        <v>61176</v>
      </c>
      <c r="CK248" s="13">
        <v>3702.47</v>
      </c>
      <c r="CL248" s="13">
        <v>2732802.97</v>
      </c>
      <c r="CM248" s="13">
        <v>185457.87</v>
      </c>
      <c r="CN248" s="13">
        <v>111361.35</v>
      </c>
      <c r="CO248" s="13">
        <v>40780.400000000001</v>
      </c>
      <c r="CP248" s="13">
        <v>26650.23</v>
      </c>
      <c r="CQ248" s="13">
        <v>0</v>
      </c>
      <c r="CR248" s="13">
        <v>2591640.5699999998</v>
      </c>
      <c r="CS248" s="13">
        <v>165526.29999999999</v>
      </c>
      <c r="CT248" s="13">
        <v>101010.96</v>
      </c>
      <c r="CU248" s="13">
        <v>36480.29</v>
      </c>
      <c r="CV248" s="13">
        <v>24244.57</v>
      </c>
      <c r="CW248" s="13">
        <v>0</v>
      </c>
      <c r="CX248" s="13">
        <v>425429.76000000001</v>
      </c>
      <c r="CY248" s="13">
        <v>27356.04</v>
      </c>
      <c r="CZ248" s="13">
        <v>14618.64</v>
      </c>
      <c r="DA248" s="13">
        <v>5715.2</v>
      </c>
      <c r="DB248" s="13">
        <v>3459.63</v>
      </c>
      <c r="DC248" s="13"/>
      <c r="DD248" s="315">
        <v>3097052.82</v>
      </c>
      <c r="DE248" s="317">
        <v>2918902.69</v>
      </c>
      <c r="DF248" s="317">
        <v>94.25</v>
      </c>
      <c r="DG248" s="318">
        <v>476579.27</v>
      </c>
      <c r="DH248" s="310">
        <v>100833.60000000001</v>
      </c>
      <c r="DI248" s="310">
        <v>57667.8</v>
      </c>
      <c r="DJ248" s="312">
        <v>0</v>
      </c>
      <c r="DK248" s="362">
        <v>0</v>
      </c>
      <c r="DL248" s="362"/>
      <c r="DM248" s="362">
        <v>0</v>
      </c>
      <c r="DN248" s="362">
        <v>0</v>
      </c>
      <c r="DO248" s="362">
        <v>0</v>
      </c>
      <c r="DP248" s="362">
        <v>0</v>
      </c>
      <c r="DQ248" s="362">
        <v>0</v>
      </c>
      <c r="DR248" s="362"/>
      <c r="DS248" s="362">
        <v>0</v>
      </c>
      <c r="DT248" s="362"/>
      <c r="DU248" s="362">
        <v>0</v>
      </c>
      <c r="DV248" s="362">
        <v>0</v>
      </c>
      <c r="DW248" s="362">
        <v>246718.28</v>
      </c>
      <c r="DX248" s="362">
        <v>0</v>
      </c>
      <c r="DY248" s="362">
        <v>22500</v>
      </c>
      <c r="DZ248" s="375">
        <v>0</v>
      </c>
      <c r="EA248" s="362">
        <v>848730</v>
      </c>
      <c r="EB248" s="362">
        <v>11339</v>
      </c>
      <c r="EC248" s="362"/>
      <c r="ED248" s="362">
        <v>0</v>
      </c>
      <c r="EE248" s="362">
        <v>0</v>
      </c>
      <c r="EF248" s="362"/>
      <c r="EG248" s="362">
        <v>18330</v>
      </c>
      <c r="EH248" s="362">
        <v>0</v>
      </c>
      <c r="EI248" s="362"/>
      <c r="EJ248" s="362">
        <v>0</v>
      </c>
      <c r="EK248" s="362"/>
      <c r="EL248" s="362">
        <v>0</v>
      </c>
      <c r="EM248" s="362">
        <v>5892.48</v>
      </c>
      <c r="EN248" s="362">
        <v>0</v>
      </c>
      <c r="EO248" s="362">
        <v>0</v>
      </c>
      <c r="EP248" s="362">
        <v>602538</v>
      </c>
      <c r="EQ248" s="362">
        <v>0</v>
      </c>
      <c r="ER248" s="362">
        <v>16380</v>
      </c>
      <c r="ES248" s="362">
        <v>6924</v>
      </c>
      <c r="ET248" s="362">
        <v>22205</v>
      </c>
      <c r="EU248" s="362">
        <v>0</v>
      </c>
      <c r="EV248" s="362">
        <v>8936.26</v>
      </c>
      <c r="EW248" s="362"/>
      <c r="EX248" s="202"/>
      <c r="EY248" s="202"/>
      <c r="EZ248" s="229"/>
      <c r="FA248" s="368">
        <v>200618.29</v>
      </c>
      <c r="FB248" s="368">
        <v>132155.98000000001</v>
      </c>
      <c r="FC248" s="368">
        <v>0</v>
      </c>
      <c r="FD248" s="368">
        <v>0</v>
      </c>
      <c r="FE248" s="368">
        <v>48410.23</v>
      </c>
      <c r="FF248" s="368">
        <v>31131.93</v>
      </c>
      <c r="FG248" s="368">
        <v>-3999.55</v>
      </c>
      <c r="FH248" s="368">
        <v>-4693.46</v>
      </c>
      <c r="FI248" s="368">
        <v>0</v>
      </c>
      <c r="FJ248" s="368">
        <v>0</v>
      </c>
      <c r="FK248" s="368">
        <v>60112.59</v>
      </c>
      <c r="FL248" s="368">
        <v>0</v>
      </c>
      <c r="FM248" s="368">
        <v>257400.39</v>
      </c>
      <c r="FN248" s="368">
        <v>163667.54</v>
      </c>
      <c r="FO248" s="323">
        <v>2390062.35</v>
      </c>
      <c r="FP248" s="323">
        <v>463736.01</v>
      </c>
      <c r="FQ248" s="323">
        <v>2853798.36</v>
      </c>
      <c r="FR248" s="362">
        <v>274921.98</v>
      </c>
      <c r="FS248" s="362">
        <v>16597.939999999999</v>
      </c>
      <c r="FT248" s="377">
        <v>291519.92</v>
      </c>
      <c r="FU248" s="377">
        <v>2830898.28</v>
      </c>
      <c r="FV248" s="377">
        <v>370455.89</v>
      </c>
      <c r="FW248" s="362">
        <v>3201354.17</v>
      </c>
      <c r="FX248" s="362">
        <v>2672267.0299999998</v>
      </c>
      <c r="FY248" s="362">
        <v>335100.90000000002</v>
      </c>
      <c r="FZ248" s="362">
        <v>3007367.93</v>
      </c>
      <c r="GA248" s="362">
        <v>433553.23</v>
      </c>
      <c r="GB248" s="362">
        <v>51952.93</v>
      </c>
      <c r="GC248" s="362">
        <v>485506.16</v>
      </c>
      <c r="GD248" s="362">
        <v>132946.76</v>
      </c>
      <c r="GE248" s="362">
        <v>14083.13</v>
      </c>
      <c r="GF248" s="362">
        <v>147029.89000000001</v>
      </c>
      <c r="GG248" s="202">
        <v>8926.89</v>
      </c>
      <c r="GH248" s="416">
        <v>91</v>
      </c>
      <c r="GI248" s="414">
        <v>3386</v>
      </c>
      <c r="GJ248" s="419">
        <v>26913.41</v>
      </c>
      <c r="GK248" s="396">
        <v>8926.89</v>
      </c>
      <c r="GL248" s="202">
        <v>8123.4699000000001</v>
      </c>
      <c r="GM248" s="202">
        <v>803.42009999999902</v>
      </c>
      <c r="GN248" s="323">
        <v>440835.93</v>
      </c>
      <c r="GO248" s="323">
        <v>-93280.12</v>
      </c>
      <c r="GP248" s="323">
        <v>347555.81</v>
      </c>
      <c r="GQ248" s="323">
        <v>573782.68999999994</v>
      </c>
      <c r="GR248" s="323">
        <v>-79196.990000000005</v>
      </c>
      <c r="GS248" s="323">
        <v>494585.7</v>
      </c>
    </row>
    <row r="249" spans="1:201" ht="12.75" customHeight="1" x14ac:dyDescent="0.2">
      <c r="A249" s="45" t="s">
        <v>346</v>
      </c>
      <c r="B249" s="123" t="s">
        <v>299</v>
      </c>
      <c r="C249" s="124" t="s">
        <v>62</v>
      </c>
      <c r="D249" s="388" t="s">
        <v>512</v>
      </c>
      <c r="E249" s="124" t="s">
        <v>12</v>
      </c>
      <c r="F249" s="11">
        <v>9</v>
      </c>
      <c r="G249" s="11">
        <v>2</v>
      </c>
      <c r="H249" s="11">
        <v>72</v>
      </c>
      <c r="I249" s="11">
        <v>74</v>
      </c>
      <c r="J249" s="11">
        <v>186</v>
      </c>
      <c r="K249" s="11">
        <v>208</v>
      </c>
      <c r="L249" s="83">
        <v>2</v>
      </c>
      <c r="M249" s="84">
        <v>594</v>
      </c>
      <c r="N249" s="84">
        <v>602</v>
      </c>
      <c r="O249" s="84">
        <v>0</v>
      </c>
      <c r="P249" s="135">
        <v>639.6</v>
      </c>
      <c r="Q249" s="135">
        <v>602</v>
      </c>
      <c r="R249" s="133">
        <v>0</v>
      </c>
      <c r="S249" s="133">
        <f t="shared" si="106"/>
        <v>1241.5999999999999</v>
      </c>
      <c r="T249" s="134">
        <v>639.6</v>
      </c>
      <c r="U249" s="130">
        <v>2.44</v>
      </c>
      <c r="V249" s="131">
        <v>1.9800000000000002E-2</v>
      </c>
      <c r="W249" s="131">
        <v>1.9800000000000002E-2</v>
      </c>
      <c r="X249" s="132">
        <v>1.32E-3</v>
      </c>
      <c r="Y249" s="131">
        <v>3.9699999999999999E-2</v>
      </c>
      <c r="Z249" s="29">
        <v>3805.2</v>
      </c>
      <c r="AA249" s="29"/>
      <c r="AB249" s="9">
        <f t="shared" si="84"/>
        <v>3805.2</v>
      </c>
      <c r="AC249" s="9">
        <f t="shared" si="112"/>
        <v>24086.92</v>
      </c>
      <c r="AD249" s="9">
        <v>2.14</v>
      </c>
      <c r="AE249" s="9">
        <v>4.75</v>
      </c>
      <c r="AF249" s="21">
        <f>2.48-AJ249</f>
        <v>2.33</v>
      </c>
      <c r="AG249" s="18">
        <f>0.62-AQ249</f>
        <v>0.56999999999999995</v>
      </c>
      <c r="AH249" s="9">
        <v>2.78</v>
      </c>
      <c r="AI249" s="43">
        <v>578</v>
      </c>
      <c r="AJ249" s="21">
        <f t="shared" si="110"/>
        <v>0.15</v>
      </c>
      <c r="AK249" s="9">
        <v>2.2599999999999998</v>
      </c>
      <c r="AL249" s="9">
        <v>0.2</v>
      </c>
      <c r="AM249" s="9">
        <v>0.15</v>
      </c>
      <c r="AN249" s="13"/>
      <c r="AO249" s="13">
        <v>422.4</v>
      </c>
      <c r="AP249" s="13">
        <f t="shared" si="107"/>
        <v>5.58</v>
      </c>
      <c r="AQ249" s="18">
        <f t="shared" si="111"/>
        <v>0.05</v>
      </c>
      <c r="AR249" s="9">
        <v>0.59</v>
      </c>
      <c r="AS249" s="9">
        <v>0.36</v>
      </c>
      <c r="AT249" s="9">
        <v>7.0000000000000007E-2</v>
      </c>
      <c r="AU249" s="9">
        <v>3.45</v>
      </c>
      <c r="AV249" s="9">
        <v>0.17</v>
      </c>
      <c r="AW249" s="9">
        <f>1.47+0.3+0.27</f>
        <v>2.04</v>
      </c>
      <c r="AX249" s="9">
        <f>2.07+0.41</f>
        <v>2.48</v>
      </c>
      <c r="AY249" s="126">
        <f t="shared" si="108"/>
        <v>24.54</v>
      </c>
      <c r="AZ249" s="13">
        <v>24.54</v>
      </c>
      <c r="BA249" s="13">
        <f t="shared" si="85"/>
        <v>0</v>
      </c>
      <c r="BB249" s="9">
        <f t="shared" si="86"/>
        <v>93379.61</v>
      </c>
      <c r="BC249" s="9">
        <v>24.54</v>
      </c>
      <c r="BD249" s="10">
        <v>44409</v>
      </c>
      <c r="BE249" s="9">
        <f t="shared" si="88"/>
        <v>8143.13</v>
      </c>
      <c r="BF249" s="9">
        <f t="shared" si="89"/>
        <v>18074.7</v>
      </c>
      <c r="BG249" s="9">
        <f t="shared" si="90"/>
        <v>8866.1200000000008</v>
      </c>
      <c r="BH249" s="9">
        <f t="shared" si="91"/>
        <v>2168.96</v>
      </c>
      <c r="BI249" s="9">
        <f t="shared" si="92"/>
        <v>10578.46</v>
      </c>
      <c r="BJ249" s="9">
        <f t="shared" si="93"/>
        <v>570.78</v>
      </c>
      <c r="BK249" s="9">
        <f t="shared" si="94"/>
        <v>8599.75</v>
      </c>
      <c r="BL249" s="9">
        <f t="shared" si="95"/>
        <v>761.04</v>
      </c>
      <c r="BM249" s="9">
        <f t="shared" si="96"/>
        <v>570.78</v>
      </c>
      <c r="BN249" s="9">
        <f t="shared" si="97"/>
        <v>190.26</v>
      </c>
      <c r="BO249" s="9">
        <f t="shared" si="98"/>
        <v>2245.0700000000002</v>
      </c>
      <c r="BP249" s="9">
        <f t="shared" si="99"/>
        <v>1369.87</v>
      </c>
      <c r="BQ249" s="9">
        <f t="shared" si="100"/>
        <v>266.36</v>
      </c>
      <c r="BR249" s="9">
        <f t="shared" si="101"/>
        <v>13127.94</v>
      </c>
      <c r="BS249" s="9">
        <f t="shared" si="102"/>
        <v>646.88</v>
      </c>
      <c r="BT249" s="9">
        <f t="shared" si="103"/>
        <v>7762.61</v>
      </c>
      <c r="BU249" s="9">
        <f t="shared" si="104"/>
        <v>9436.9</v>
      </c>
      <c r="BV249" s="17">
        <f t="shared" si="105"/>
        <v>93379.61</v>
      </c>
      <c r="BW249" s="17">
        <v>1.65</v>
      </c>
      <c r="BX249" s="17">
        <v>0.09</v>
      </c>
      <c r="BY249" s="17">
        <v>0.56000000000000005</v>
      </c>
      <c r="BZ249" s="17">
        <v>0.1</v>
      </c>
      <c r="CA249" s="29">
        <v>6.33</v>
      </c>
      <c r="CB249" s="325"/>
      <c r="CC249" s="13">
        <v>0</v>
      </c>
      <c r="CD249" s="13">
        <v>0</v>
      </c>
      <c r="CE249" s="13">
        <v>0</v>
      </c>
      <c r="CF249" s="13">
        <v>0</v>
      </c>
      <c r="CG249" s="13">
        <v>0</v>
      </c>
      <c r="CH249" s="13">
        <v>1488</v>
      </c>
      <c r="CI249" s="13">
        <v>1838.2</v>
      </c>
      <c r="CJ249" s="13">
        <v>34884</v>
      </c>
      <c r="CK249" s="13">
        <v>1463.47</v>
      </c>
      <c r="CL249" s="13">
        <v>1120638.6399999999</v>
      </c>
      <c r="CM249" s="13">
        <v>53695.74</v>
      </c>
      <c r="CN249" s="13">
        <v>112191.48</v>
      </c>
      <c r="CO249" s="13">
        <v>7496.38</v>
      </c>
      <c r="CP249" s="13">
        <v>6088.59</v>
      </c>
      <c r="CQ249" s="13">
        <v>0</v>
      </c>
      <c r="CR249" s="13">
        <v>1078301.92</v>
      </c>
      <c r="CS249" s="13">
        <v>49621.53</v>
      </c>
      <c r="CT249" s="13">
        <v>93437.759999999995</v>
      </c>
      <c r="CU249" s="13">
        <v>8584.5499999999993</v>
      </c>
      <c r="CV249" s="13">
        <v>6556.4</v>
      </c>
      <c r="CW249" s="13">
        <v>0</v>
      </c>
      <c r="CX249" s="13">
        <v>130358.58</v>
      </c>
      <c r="CY249" s="13">
        <v>4617.93</v>
      </c>
      <c r="CZ249" s="13">
        <v>8530.69</v>
      </c>
      <c r="DA249" s="13">
        <v>230.93</v>
      </c>
      <c r="DB249" s="13">
        <v>387.48</v>
      </c>
      <c r="DC249" s="13"/>
      <c r="DD249" s="315">
        <v>1300110.83</v>
      </c>
      <c r="DE249" s="317">
        <v>1236502.1599999999</v>
      </c>
      <c r="DF249" s="317">
        <v>95.11</v>
      </c>
      <c r="DG249" s="318">
        <v>144125.60999999999</v>
      </c>
      <c r="DH249" s="310">
        <v>39982.92</v>
      </c>
      <c r="DI249" s="310">
        <v>22866.6</v>
      </c>
      <c r="DJ249" s="312">
        <v>0</v>
      </c>
      <c r="DK249" s="362">
        <v>0</v>
      </c>
      <c r="DL249" s="362"/>
      <c r="DM249" s="362">
        <v>0</v>
      </c>
      <c r="DN249" s="362">
        <v>0</v>
      </c>
      <c r="DO249" s="362">
        <v>0</v>
      </c>
      <c r="DP249" s="362">
        <v>0</v>
      </c>
      <c r="DQ249" s="362">
        <v>0</v>
      </c>
      <c r="DR249" s="362"/>
      <c r="DS249" s="362">
        <v>0</v>
      </c>
      <c r="DT249" s="362"/>
      <c r="DU249" s="362">
        <v>0</v>
      </c>
      <c r="DV249" s="362">
        <v>0</v>
      </c>
      <c r="DW249" s="362">
        <v>103056.67</v>
      </c>
      <c r="DX249" s="362">
        <v>0</v>
      </c>
      <c r="DY249" s="362">
        <v>9000</v>
      </c>
      <c r="DZ249" s="375">
        <v>0</v>
      </c>
      <c r="EA249" s="362">
        <v>363666</v>
      </c>
      <c r="EB249" s="362">
        <v>8840</v>
      </c>
      <c r="EC249" s="362"/>
      <c r="ED249" s="362">
        <v>0</v>
      </c>
      <c r="EE249" s="362">
        <v>0</v>
      </c>
      <c r="EF249" s="362"/>
      <c r="EG249" s="362">
        <v>9198</v>
      </c>
      <c r="EH249" s="362">
        <v>1400</v>
      </c>
      <c r="EI249" s="362"/>
      <c r="EJ249" s="362">
        <v>0</v>
      </c>
      <c r="EK249" s="362"/>
      <c r="EL249" s="362">
        <v>0</v>
      </c>
      <c r="EM249" s="362">
        <v>2356.98</v>
      </c>
      <c r="EN249" s="362">
        <v>0</v>
      </c>
      <c r="EO249" s="362">
        <v>744</v>
      </c>
      <c r="EP249" s="362">
        <v>241074</v>
      </c>
      <c r="EQ249" s="362">
        <v>0</v>
      </c>
      <c r="ER249" s="362">
        <v>15015</v>
      </c>
      <c r="ES249" s="362">
        <v>6924</v>
      </c>
      <c r="ET249" s="362">
        <v>8988</v>
      </c>
      <c r="EU249" s="362">
        <v>0</v>
      </c>
      <c r="EV249" s="362">
        <v>71448.240000000005</v>
      </c>
      <c r="EW249" s="362"/>
      <c r="EX249" s="202"/>
      <c r="EY249" s="202"/>
      <c r="EZ249" s="229"/>
      <c r="FA249" s="368">
        <v>53013.34</v>
      </c>
      <c r="FB249" s="368">
        <v>139194.54999999999</v>
      </c>
      <c r="FC249" s="368">
        <v>0</v>
      </c>
      <c r="FD249" s="368">
        <v>0</v>
      </c>
      <c r="FE249" s="368">
        <v>4810.2700000000004</v>
      </c>
      <c r="FF249" s="368">
        <v>4793.6099999999997</v>
      </c>
      <c r="FG249" s="368">
        <v>810.72</v>
      </c>
      <c r="FH249" s="368">
        <v>-608.84</v>
      </c>
      <c r="FI249" s="368">
        <v>0</v>
      </c>
      <c r="FJ249" s="368">
        <v>0</v>
      </c>
      <c r="FK249" s="368">
        <v>3843.63</v>
      </c>
      <c r="FL249" s="368">
        <v>0</v>
      </c>
      <c r="FM249" s="368">
        <v>101732.25</v>
      </c>
      <c r="FN249" s="368">
        <v>64693.11</v>
      </c>
      <c r="FO249" s="323">
        <v>1070985.77</v>
      </c>
      <c r="FP249" s="323">
        <v>205857.28</v>
      </c>
      <c r="FQ249" s="323">
        <v>1276843.05</v>
      </c>
      <c r="FR249" s="362">
        <v>89312.71</v>
      </c>
      <c r="FS249" s="362">
        <v>7335.18</v>
      </c>
      <c r="FT249" s="377">
        <v>96647.89</v>
      </c>
      <c r="FU249" s="377">
        <v>1157360.8400000001</v>
      </c>
      <c r="FV249" s="377">
        <v>182423.66</v>
      </c>
      <c r="FW249" s="362">
        <v>1339784.5</v>
      </c>
      <c r="FX249" s="362">
        <v>1116314.97</v>
      </c>
      <c r="FY249" s="362">
        <v>175991.81</v>
      </c>
      <c r="FZ249" s="362">
        <v>1292306.78</v>
      </c>
      <c r="GA249" s="362">
        <v>130358.58</v>
      </c>
      <c r="GB249" s="362">
        <v>13767.03</v>
      </c>
      <c r="GC249" s="362">
        <v>144125.60999999999</v>
      </c>
      <c r="GD249" s="362">
        <v>85612.7</v>
      </c>
      <c r="GE249" s="362">
        <v>15905.08</v>
      </c>
      <c r="GF249" s="362">
        <v>101517.78</v>
      </c>
      <c r="GG249" s="202"/>
      <c r="GH249" s="416">
        <v>0</v>
      </c>
      <c r="GI249" s="414">
        <v>2455</v>
      </c>
      <c r="GJ249" s="419">
        <v>1488</v>
      </c>
      <c r="GK249" s="396"/>
      <c r="GL249" s="202">
        <v>0</v>
      </c>
      <c r="GM249" s="202">
        <v>0</v>
      </c>
      <c r="GN249" s="323">
        <v>86375.07</v>
      </c>
      <c r="GO249" s="323">
        <v>-23433.62</v>
      </c>
      <c r="GP249" s="323">
        <v>62941.45</v>
      </c>
      <c r="GQ249" s="323">
        <v>171987.77</v>
      </c>
      <c r="GR249" s="323">
        <v>-7528.54</v>
      </c>
      <c r="GS249" s="323">
        <v>164459.23000000001</v>
      </c>
    </row>
    <row r="250" spans="1:201" ht="12.75" customHeight="1" x14ac:dyDescent="0.2">
      <c r="A250" s="45" t="s">
        <v>348</v>
      </c>
      <c r="B250" s="99" t="s">
        <v>299</v>
      </c>
      <c r="C250" s="100" t="s">
        <v>25</v>
      </c>
      <c r="D250" s="388" t="s">
        <v>513</v>
      </c>
      <c r="E250" s="100" t="s">
        <v>12</v>
      </c>
      <c r="F250" s="11">
        <v>9</v>
      </c>
      <c r="G250" s="11">
        <v>2</v>
      </c>
      <c r="H250" s="11">
        <v>72</v>
      </c>
      <c r="I250" s="11">
        <v>73</v>
      </c>
      <c r="J250" s="11">
        <v>173</v>
      </c>
      <c r="K250" s="11">
        <v>215</v>
      </c>
      <c r="L250" s="11">
        <v>2</v>
      </c>
      <c r="M250" s="84">
        <v>614</v>
      </c>
      <c r="N250" s="84">
        <v>629</v>
      </c>
      <c r="O250" s="84">
        <v>0</v>
      </c>
      <c r="P250" s="135">
        <v>656.8</v>
      </c>
      <c r="Q250" s="135">
        <v>473.3</v>
      </c>
      <c r="R250" s="133">
        <v>0</v>
      </c>
      <c r="S250" s="133">
        <f t="shared" si="106"/>
        <v>1130.0999999999999</v>
      </c>
      <c r="T250" s="134">
        <v>656.8</v>
      </c>
      <c r="U250" s="130">
        <v>2.44</v>
      </c>
      <c r="V250" s="131">
        <v>1.9800000000000002E-2</v>
      </c>
      <c r="W250" s="131">
        <v>1.9800000000000002E-2</v>
      </c>
      <c r="X250" s="132">
        <v>1.32E-3</v>
      </c>
      <c r="Y250" s="131">
        <v>3.9699999999999999E-2</v>
      </c>
      <c r="Z250" s="29">
        <v>3841.38</v>
      </c>
      <c r="AA250" s="29"/>
      <c r="AB250" s="9">
        <f t="shared" si="84"/>
        <v>3841.38</v>
      </c>
      <c r="AC250" s="9">
        <f t="shared" si="112"/>
        <v>24315.94</v>
      </c>
      <c r="AD250" s="9">
        <v>2.17</v>
      </c>
      <c r="AE250" s="9">
        <v>4.0999999999999996</v>
      </c>
      <c r="AF250" s="21">
        <f>2.47-AJ250</f>
        <v>2.31</v>
      </c>
      <c r="AG250" s="18">
        <f>0.62-AQ250</f>
        <v>0.56999999999999995</v>
      </c>
      <c r="AH250" s="9">
        <v>2.78</v>
      </c>
      <c r="AI250" s="43">
        <v>604</v>
      </c>
      <c r="AJ250" s="21">
        <f t="shared" si="110"/>
        <v>0.16</v>
      </c>
      <c r="AK250" s="9">
        <v>2.2400000000000002</v>
      </c>
      <c r="AL250" s="9">
        <v>0.61</v>
      </c>
      <c r="AM250" s="9">
        <v>0.15</v>
      </c>
      <c r="AN250" s="13"/>
      <c r="AO250" s="13">
        <v>422.4</v>
      </c>
      <c r="AP250" s="13">
        <f t="shared" si="107"/>
        <v>5.58</v>
      </c>
      <c r="AQ250" s="18">
        <f t="shared" si="111"/>
        <v>0.05</v>
      </c>
      <c r="AR250" s="9">
        <v>0.59</v>
      </c>
      <c r="AS250" s="9">
        <v>0.36</v>
      </c>
      <c r="AT250" s="9">
        <v>7.0000000000000007E-2</v>
      </c>
      <c r="AU250" s="9">
        <v>3.86</v>
      </c>
      <c r="AV250" s="9">
        <v>0.16</v>
      </c>
      <c r="AW250" s="9">
        <f>1.45+0.27+0.34</f>
        <v>2.06</v>
      </c>
      <c r="AX250" s="9">
        <f>2.05+0.46</f>
        <v>2.5099999999999998</v>
      </c>
      <c r="AY250" s="126">
        <f t="shared" si="108"/>
        <v>24.75</v>
      </c>
      <c r="AZ250" s="13">
        <v>24.75</v>
      </c>
      <c r="BA250" s="13">
        <f t="shared" si="85"/>
        <v>0</v>
      </c>
      <c r="BB250" s="9">
        <f t="shared" si="86"/>
        <v>95074.16</v>
      </c>
      <c r="BC250" s="9">
        <v>24.75</v>
      </c>
      <c r="BD250" s="10">
        <v>44378</v>
      </c>
      <c r="BE250" s="9">
        <f t="shared" si="88"/>
        <v>8335.7900000000009</v>
      </c>
      <c r="BF250" s="9">
        <f t="shared" si="89"/>
        <v>15749.66</v>
      </c>
      <c r="BG250" s="9">
        <f t="shared" si="90"/>
        <v>8873.59</v>
      </c>
      <c r="BH250" s="9">
        <f t="shared" si="91"/>
        <v>2189.59</v>
      </c>
      <c r="BI250" s="9">
        <f t="shared" si="92"/>
        <v>10679.04</v>
      </c>
      <c r="BJ250" s="9">
        <f t="shared" si="93"/>
        <v>614.62</v>
      </c>
      <c r="BK250" s="9">
        <f t="shared" si="94"/>
        <v>8604.69</v>
      </c>
      <c r="BL250" s="9">
        <f t="shared" si="95"/>
        <v>2343.2399999999998</v>
      </c>
      <c r="BM250" s="9">
        <f t="shared" si="96"/>
        <v>576.21</v>
      </c>
      <c r="BN250" s="9">
        <f t="shared" si="97"/>
        <v>192.07</v>
      </c>
      <c r="BO250" s="9">
        <f t="shared" si="98"/>
        <v>2266.41</v>
      </c>
      <c r="BP250" s="9">
        <f t="shared" si="99"/>
        <v>1382.9</v>
      </c>
      <c r="BQ250" s="9">
        <f t="shared" si="100"/>
        <v>268.89999999999998</v>
      </c>
      <c r="BR250" s="9">
        <f t="shared" si="101"/>
        <v>14827.73</v>
      </c>
      <c r="BS250" s="9">
        <f t="shared" si="102"/>
        <v>614.62</v>
      </c>
      <c r="BT250" s="9">
        <f t="shared" si="103"/>
        <v>7913.24</v>
      </c>
      <c r="BU250" s="9">
        <f t="shared" si="104"/>
        <v>9641.86</v>
      </c>
      <c r="BV250" s="17">
        <f t="shared" si="105"/>
        <v>95074.16</v>
      </c>
      <c r="BW250" s="17">
        <v>2.89</v>
      </c>
      <c r="BX250" s="17">
        <v>0.1</v>
      </c>
      <c r="BY250" s="17">
        <v>0.61</v>
      </c>
      <c r="BZ250" s="17">
        <v>0.11</v>
      </c>
      <c r="CA250" s="29">
        <v>6.33</v>
      </c>
      <c r="CB250" s="325"/>
      <c r="CC250" s="13">
        <v>0</v>
      </c>
      <c r="CD250" s="13">
        <v>0</v>
      </c>
      <c r="CE250" s="13">
        <v>0</v>
      </c>
      <c r="CF250" s="13">
        <v>0</v>
      </c>
      <c r="CG250" s="13">
        <v>0</v>
      </c>
      <c r="CH250" s="13">
        <v>0</v>
      </c>
      <c r="CI250" s="13">
        <v>6401.38</v>
      </c>
      <c r="CJ250" s="13">
        <v>34884</v>
      </c>
      <c r="CK250" s="13">
        <v>1476.36</v>
      </c>
      <c r="CL250" s="13">
        <v>1140685.26</v>
      </c>
      <c r="CM250" s="13">
        <v>51694.54</v>
      </c>
      <c r="CN250" s="13">
        <v>232922.73</v>
      </c>
      <c r="CO250" s="13">
        <v>5183.7700000000004</v>
      </c>
      <c r="CP250" s="13">
        <v>5107.83</v>
      </c>
      <c r="CQ250" s="13">
        <v>0</v>
      </c>
      <c r="CR250" s="13">
        <v>1089753.8400000001</v>
      </c>
      <c r="CS250" s="13">
        <v>52108.78</v>
      </c>
      <c r="CT250" s="13">
        <v>183194.03</v>
      </c>
      <c r="CU250" s="13">
        <v>6050.02</v>
      </c>
      <c r="CV250" s="13">
        <v>4613.1499999999996</v>
      </c>
      <c r="CW250" s="13">
        <v>0</v>
      </c>
      <c r="CX250" s="13">
        <v>205951.96</v>
      </c>
      <c r="CY250" s="13">
        <v>5854.54</v>
      </c>
      <c r="CZ250" s="13">
        <v>42290.33</v>
      </c>
      <c r="DA250" s="13">
        <v>1192.2</v>
      </c>
      <c r="DB250" s="13">
        <v>855.41</v>
      </c>
      <c r="DC250" s="13"/>
      <c r="DD250" s="315">
        <v>1435594.13</v>
      </c>
      <c r="DE250" s="317">
        <v>1335719.82</v>
      </c>
      <c r="DF250" s="317">
        <v>93.04</v>
      </c>
      <c r="DG250" s="318">
        <v>256144.44</v>
      </c>
      <c r="DH250" s="310">
        <v>40333.56</v>
      </c>
      <c r="DI250" s="310">
        <v>23067.24</v>
      </c>
      <c r="DJ250" s="312">
        <v>0</v>
      </c>
      <c r="DK250" s="362">
        <v>0</v>
      </c>
      <c r="DL250" s="362"/>
      <c r="DM250" s="362">
        <v>0</v>
      </c>
      <c r="DN250" s="362">
        <v>0</v>
      </c>
      <c r="DO250" s="362">
        <v>0</v>
      </c>
      <c r="DP250" s="362">
        <v>0</v>
      </c>
      <c r="DQ250" s="362">
        <v>0</v>
      </c>
      <c r="DR250" s="362"/>
      <c r="DS250" s="362">
        <v>0</v>
      </c>
      <c r="DT250" s="362"/>
      <c r="DU250" s="362">
        <v>0</v>
      </c>
      <c r="DV250" s="362">
        <v>0</v>
      </c>
      <c r="DW250" s="362">
        <v>103200</v>
      </c>
      <c r="DX250" s="362">
        <v>0</v>
      </c>
      <c r="DY250" s="362">
        <v>28000</v>
      </c>
      <c r="DZ250" s="375">
        <v>0</v>
      </c>
      <c r="EA250" s="362">
        <v>333228</v>
      </c>
      <c r="EB250" s="362">
        <v>7820</v>
      </c>
      <c r="EC250" s="362"/>
      <c r="ED250" s="362">
        <v>0</v>
      </c>
      <c r="EE250" s="362">
        <v>0</v>
      </c>
      <c r="EF250" s="362"/>
      <c r="EG250" s="362">
        <v>9612</v>
      </c>
      <c r="EH250" s="362">
        <v>0</v>
      </c>
      <c r="EI250" s="362"/>
      <c r="EJ250" s="362">
        <v>0</v>
      </c>
      <c r="EK250" s="362"/>
      <c r="EL250" s="362">
        <v>0</v>
      </c>
      <c r="EM250" s="362">
        <v>2356.98</v>
      </c>
      <c r="EN250" s="362">
        <v>0</v>
      </c>
      <c r="EO250" s="362">
        <v>0</v>
      </c>
      <c r="EP250" s="362">
        <v>242016</v>
      </c>
      <c r="EQ250" s="362">
        <v>0</v>
      </c>
      <c r="ER250" s="362">
        <v>15015</v>
      </c>
      <c r="ES250" s="362">
        <v>0</v>
      </c>
      <c r="ET250" s="362">
        <v>8988</v>
      </c>
      <c r="EU250" s="362">
        <v>0</v>
      </c>
      <c r="EV250" s="362">
        <v>103909.88</v>
      </c>
      <c r="EW250" s="362"/>
      <c r="EX250" s="202"/>
      <c r="EY250" s="202"/>
      <c r="EZ250" s="229"/>
      <c r="FA250" s="368">
        <v>50878.54</v>
      </c>
      <c r="FB250" s="368">
        <v>311897.71999999997</v>
      </c>
      <c r="FC250" s="368">
        <v>0</v>
      </c>
      <c r="FD250" s="368">
        <v>0</v>
      </c>
      <c r="FE250" s="368">
        <v>7563.46</v>
      </c>
      <c r="FF250" s="368">
        <v>5384.68</v>
      </c>
      <c r="FG250" s="368">
        <v>-1415.53</v>
      </c>
      <c r="FH250" s="368">
        <v>-1682.04</v>
      </c>
      <c r="FI250" s="368">
        <v>0</v>
      </c>
      <c r="FJ250" s="368">
        <v>0</v>
      </c>
      <c r="FK250" s="368">
        <v>22905.3</v>
      </c>
      <c r="FL250" s="368">
        <v>0</v>
      </c>
      <c r="FM250" s="368">
        <v>102668.04</v>
      </c>
      <c r="FN250" s="368">
        <v>65280.49</v>
      </c>
      <c r="FO250" s="323">
        <v>1085495.19</v>
      </c>
      <c r="FP250" s="323">
        <v>395532.13</v>
      </c>
      <c r="FQ250" s="323">
        <v>1481027.32</v>
      </c>
      <c r="FR250" s="362">
        <v>129919.23</v>
      </c>
      <c r="FS250" s="362">
        <v>8713.81</v>
      </c>
      <c r="FT250" s="377">
        <v>138633.04</v>
      </c>
      <c r="FU250" s="377">
        <v>1181970.6399999999</v>
      </c>
      <c r="FV250" s="377">
        <v>296385.23</v>
      </c>
      <c r="FW250" s="362">
        <v>1478355.87</v>
      </c>
      <c r="FX250" s="362">
        <v>1105937.9099999999</v>
      </c>
      <c r="FY250" s="362">
        <v>254906.56</v>
      </c>
      <c r="FZ250" s="362">
        <v>1360844.47</v>
      </c>
      <c r="GA250" s="362">
        <v>205951.96</v>
      </c>
      <c r="GB250" s="362">
        <v>50192.480000000003</v>
      </c>
      <c r="GC250" s="362">
        <v>256144.44</v>
      </c>
      <c r="GD250" s="362">
        <v>131865.35</v>
      </c>
      <c r="GE250" s="362">
        <v>5656.17</v>
      </c>
      <c r="GF250" s="362">
        <v>137521.51999999999</v>
      </c>
      <c r="GG250" s="202"/>
      <c r="GH250" s="416"/>
      <c r="GI250" s="414">
        <v>2455</v>
      </c>
      <c r="GJ250" s="419">
        <v>0</v>
      </c>
      <c r="GK250" s="396"/>
      <c r="GL250" s="202">
        <v>0</v>
      </c>
      <c r="GM250" s="202">
        <v>0</v>
      </c>
      <c r="GN250" s="323">
        <v>96475.45</v>
      </c>
      <c r="GO250" s="323">
        <v>-99146.9</v>
      </c>
      <c r="GP250" s="323">
        <v>-2671.45</v>
      </c>
      <c r="GQ250" s="323">
        <v>228340.8</v>
      </c>
      <c r="GR250" s="323">
        <v>-93490.73</v>
      </c>
      <c r="GS250" s="323">
        <v>134850.07</v>
      </c>
    </row>
    <row r="251" spans="1:201" ht="12.75" customHeight="1" x14ac:dyDescent="0.2">
      <c r="A251" s="45" t="s">
        <v>349</v>
      </c>
      <c r="B251" s="141" t="s">
        <v>299</v>
      </c>
      <c r="C251" s="142" t="s">
        <v>64</v>
      </c>
      <c r="D251" s="388" t="s">
        <v>514</v>
      </c>
      <c r="E251" s="142" t="s">
        <v>12</v>
      </c>
      <c r="F251" s="11">
        <v>5</v>
      </c>
      <c r="G251" s="11">
        <v>4</v>
      </c>
      <c r="H251" s="11">
        <v>56</v>
      </c>
      <c r="I251" s="11">
        <v>56</v>
      </c>
      <c r="J251" s="11">
        <v>116</v>
      </c>
      <c r="K251" s="11">
        <v>139</v>
      </c>
      <c r="L251" s="11" t="s">
        <v>746</v>
      </c>
      <c r="M251" s="84">
        <v>270</v>
      </c>
      <c r="N251" s="84">
        <v>988</v>
      </c>
      <c r="O251" s="84">
        <v>0</v>
      </c>
      <c r="P251" s="139">
        <v>294.3</v>
      </c>
      <c r="Q251" s="135">
        <v>456.3</v>
      </c>
      <c r="R251" s="133">
        <v>0</v>
      </c>
      <c r="S251" s="133">
        <f t="shared" si="106"/>
        <v>750.6</v>
      </c>
      <c r="T251" s="139">
        <v>270</v>
      </c>
      <c r="U251" s="130">
        <v>1.83</v>
      </c>
      <c r="V251" s="131">
        <v>1.1299999999999999E-2</v>
      </c>
      <c r="W251" s="131">
        <v>1.9800000000000002E-2</v>
      </c>
      <c r="X251" s="132">
        <v>1.2700000000000001E-3</v>
      </c>
      <c r="Y251" s="131">
        <v>1.1299999999999999E-2</v>
      </c>
      <c r="Z251" s="29">
        <v>2739.13</v>
      </c>
      <c r="AA251" s="29">
        <v>923.9</v>
      </c>
      <c r="AB251" s="9">
        <f t="shared" si="84"/>
        <v>3663.03</v>
      </c>
      <c r="AC251" s="9">
        <f t="shared" si="112"/>
        <v>23186.98</v>
      </c>
      <c r="AD251" s="9">
        <v>0.38</v>
      </c>
      <c r="AE251" s="9">
        <v>3.77</v>
      </c>
      <c r="AF251" s="21">
        <f>2.41-AJ251</f>
        <v>2.15</v>
      </c>
      <c r="AG251" s="18">
        <f>0.53-AQ251</f>
        <v>0.45</v>
      </c>
      <c r="AH251" s="9">
        <v>2.78</v>
      </c>
      <c r="AI251" s="43">
        <v>948</v>
      </c>
      <c r="AJ251" s="21">
        <f t="shared" si="110"/>
        <v>0.26</v>
      </c>
      <c r="AK251" s="9">
        <v>0</v>
      </c>
      <c r="AL251" s="9">
        <v>0</v>
      </c>
      <c r="AM251" s="9">
        <v>0.16</v>
      </c>
      <c r="AN251" s="13"/>
      <c r="AO251" s="13">
        <v>630</v>
      </c>
      <c r="AP251" s="13">
        <f t="shared" si="107"/>
        <v>5.58</v>
      </c>
      <c r="AQ251" s="18">
        <f t="shared" si="111"/>
        <v>0.08</v>
      </c>
      <c r="AR251" s="9">
        <v>0.6</v>
      </c>
      <c r="AS251" s="9">
        <v>0.37</v>
      </c>
      <c r="AT251" s="9">
        <v>7.0000000000000007E-2</v>
      </c>
      <c r="AU251" s="9">
        <v>4.95</v>
      </c>
      <c r="AV251" s="9">
        <v>0.11</v>
      </c>
      <c r="AW251" s="9">
        <f>0.99+0.44+0.28</f>
        <v>1.71</v>
      </c>
      <c r="AX251" s="9">
        <f>1.35+0.58</f>
        <v>1.93</v>
      </c>
      <c r="AY251" s="144">
        <f t="shared" si="108"/>
        <v>19.77</v>
      </c>
      <c r="AZ251" s="13">
        <v>19.77</v>
      </c>
      <c r="BA251" s="13">
        <f t="shared" si="85"/>
        <v>0</v>
      </c>
      <c r="BB251" s="9">
        <f t="shared" si="86"/>
        <v>72418.100000000006</v>
      </c>
      <c r="BC251" s="9">
        <v>19.77</v>
      </c>
      <c r="BD251" s="10">
        <v>44409</v>
      </c>
      <c r="BE251" s="9">
        <f t="shared" si="88"/>
        <v>1391.95</v>
      </c>
      <c r="BF251" s="9">
        <f t="shared" si="89"/>
        <v>13809.62</v>
      </c>
      <c r="BG251" s="9">
        <f t="shared" si="90"/>
        <v>7875.51</v>
      </c>
      <c r="BH251" s="9">
        <f t="shared" si="91"/>
        <v>1648.36</v>
      </c>
      <c r="BI251" s="9">
        <f t="shared" si="92"/>
        <v>10183.219999999999</v>
      </c>
      <c r="BJ251" s="9">
        <f t="shared" si="93"/>
        <v>952.39</v>
      </c>
      <c r="BK251" s="9">
        <f t="shared" si="94"/>
        <v>0</v>
      </c>
      <c r="BL251" s="9">
        <f t="shared" si="95"/>
        <v>0</v>
      </c>
      <c r="BM251" s="9">
        <f t="shared" si="96"/>
        <v>586.08000000000004</v>
      </c>
      <c r="BN251" s="9">
        <f t="shared" si="97"/>
        <v>293.04000000000002</v>
      </c>
      <c r="BO251" s="9">
        <f t="shared" si="98"/>
        <v>2197.8200000000002</v>
      </c>
      <c r="BP251" s="9">
        <f t="shared" si="99"/>
        <v>1355.32</v>
      </c>
      <c r="BQ251" s="9">
        <f t="shared" si="100"/>
        <v>256.41000000000003</v>
      </c>
      <c r="BR251" s="9">
        <f t="shared" si="101"/>
        <v>18132</v>
      </c>
      <c r="BS251" s="9">
        <f t="shared" si="102"/>
        <v>402.93</v>
      </c>
      <c r="BT251" s="9">
        <f t="shared" si="103"/>
        <v>6263.78</v>
      </c>
      <c r="BU251" s="9">
        <f t="shared" si="104"/>
        <v>7069.65</v>
      </c>
      <c r="BV251" s="17">
        <f t="shared" si="105"/>
        <v>72418.080000000002</v>
      </c>
      <c r="BW251" s="17">
        <v>0.59</v>
      </c>
      <c r="BX251" s="17">
        <v>0.03</v>
      </c>
      <c r="BY251" s="17">
        <v>0.28000000000000003</v>
      </c>
      <c r="BZ251" s="17">
        <v>0.01</v>
      </c>
      <c r="CA251" s="29">
        <v>6.33</v>
      </c>
      <c r="CB251" s="325"/>
      <c r="CC251" s="13">
        <v>219186</v>
      </c>
      <c r="CD251" s="13">
        <v>4877.51</v>
      </c>
      <c r="CE251" s="13">
        <v>9146.92</v>
      </c>
      <c r="CF251" s="13">
        <v>621.91</v>
      </c>
      <c r="CG251" s="13">
        <v>286.42</v>
      </c>
      <c r="CH251" s="13">
        <v>744</v>
      </c>
      <c r="CI251" s="13">
        <v>946.17</v>
      </c>
      <c r="CJ251" s="13">
        <v>27684</v>
      </c>
      <c r="CK251" s="13">
        <v>1408.77</v>
      </c>
      <c r="CL251" s="13">
        <v>649831.80000000005</v>
      </c>
      <c r="CM251" s="13">
        <v>14407.69</v>
      </c>
      <c r="CN251" s="13">
        <v>27665.38</v>
      </c>
      <c r="CO251" s="13">
        <v>1177.8900000000001</v>
      </c>
      <c r="CP251" s="13">
        <v>849.26</v>
      </c>
      <c r="CQ251" s="13">
        <v>0</v>
      </c>
      <c r="CR251" s="13">
        <v>627148.92000000004</v>
      </c>
      <c r="CS251" s="13">
        <v>11726.89</v>
      </c>
      <c r="CT251" s="13">
        <v>38012.54</v>
      </c>
      <c r="CU251" s="13">
        <v>1622.15</v>
      </c>
      <c r="CV251" s="13">
        <v>908.92</v>
      </c>
      <c r="CW251" s="13">
        <v>0</v>
      </c>
      <c r="CX251" s="13">
        <v>82532.28</v>
      </c>
      <c r="CY251" s="13">
        <v>322.61</v>
      </c>
      <c r="CZ251" s="13">
        <v>1488.49</v>
      </c>
      <c r="DA251" s="13">
        <v>12.54</v>
      </c>
      <c r="DB251" s="13">
        <v>-3.26</v>
      </c>
      <c r="DC251" s="13"/>
      <c r="DD251" s="315">
        <v>693932.02</v>
      </c>
      <c r="DE251" s="317">
        <v>679419.42</v>
      </c>
      <c r="DF251" s="317">
        <v>97.91</v>
      </c>
      <c r="DG251" s="318">
        <v>84352.66</v>
      </c>
      <c r="DH251" s="310">
        <v>28781.16</v>
      </c>
      <c r="DI251" s="310">
        <v>16460.28</v>
      </c>
      <c r="DJ251" s="312">
        <v>0</v>
      </c>
      <c r="DK251" s="362">
        <v>0</v>
      </c>
      <c r="DL251" s="362"/>
      <c r="DM251" s="362">
        <v>0</v>
      </c>
      <c r="DN251" s="362">
        <v>0</v>
      </c>
      <c r="DO251" s="362">
        <v>0</v>
      </c>
      <c r="DP251" s="362">
        <v>0</v>
      </c>
      <c r="DQ251" s="362">
        <v>0</v>
      </c>
      <c r="DR251" s="362"/>
      <c r="DS251" s="362">
        <v>0</v>
      </c>
      <c r="DT251" s="362"/>
      <c r="DU251" s="362">
        <v>0</v>
      </c>
      <c r="DV251" s="362">
        <v>0</v>
      </c>
      <c r="DW251" s="362">
        <v>0</v>
      </c>
      <c r="DX251" s="362">
        <v>0</v>
      </c>
      <c r="DY251" s="362">
        <v>0</v>
      </c>
      <c r="DZ251" s="375">
        <v>0</v>
      </c>
      <c r="EA251" s="362">
        <v>211860</v>
      </c>
      <c r="EB251" s="362">
        <v>8840</v>
      </c>
      <c r="EC251" s="362"/>
      <c r="ED251" s="362">
        <v>0</v>
      </c>
      <c r="EE251" s="362">
        <v>0</v>
      </c>
      <c r="EF251" s="362"/>
      <c r="EG251" s="362">
        <v>15084</v>
      </c>
      <c r="EH251" s="362">
        <v>91280</v>
      </c>
      <c r="EI251" s="362"/>
      <c r="EJ251" s="362">
        <v>53760</v>
      </c>
      <c r="EK251" s="362"/>
      <c r="EL251" s="362">
        <v>0</v>
      </c>
      <c r="EM251" s="362">
        <v>3515.4</v>
      </c>
      <c r="EN251" s="362">
        <v>226582.32</v>
      </c>
      <c r="EO251" s="362">
        <v>372</v>
      </c>
      <c r="EP251" s="362">
        <v>0</v>
      </c>
      <c r="EQ251" s="362">
        <v>0</v>
      </c>
      <c r="ER251" s="362">
        <v>16380</v>
      </c>
      <c r="ES251" s="362">
        <v>2308</v>
      </c>
      <c r="ET251" s="362">
        <v>11660</v>
      </c>
      <c r="EU251" s="362">
        <v>0</v>
      </c>
      <c r="EV251" s="362">
        <v>54848.42</v>
      </c>
      <c r="EW251" s="362"/>
      <c r="EX251" s="202"/>
      <c r="EY251" s="202"/>
      <c r="EZ251" s="229"/>
      <c r="FA251" s="368">
        <v>19605.7</v>
      </c>
      <c r="FB251" s="368">
        <v>16208.89</v>
      </c>
      <c r="FC251" s="368">
        <v>0</v>
      </c>
      <c r="FD251" s="368">
        <v>0</v>
      </c>
      <c r="FE251" s="368">
        <v>2122.34</v>
      </c>
      <c r="FF251" s="368">
        <v>1146.43</v>
      </c>
      <c r="FG251" s="368">
        <v>-1514</v>
      </c>
      <c r="FH251" s="368">
        <v>-1685.81</v>
      </c>
      <c r="FI251" s="368">
        <v>0</v>
      </c>
      <c r="FJ251" s="368">
        <v>0</v>
      </c>
      <c r="FK251" s="368">
        <v>853.02</v>
      </c>
      <c r="FL251" s="368">
        <v>0</v>
      </c>
      <c r="FM251" s="368">
        <v>97931.32</v>
      </c>
      <c r="FN251" s="368">
        <v>62269.32</v>
      </c>
      <c r="FO251" s="323">
        <v>901932.22</v>
      </c>
      <c r="FP251" s="323">
        <v>36736.57</v>
      </c>
      <c r="FQ251" s="323">
        <v>938668.79</v>
      </c>
      <c r="FR251" s="362">
        <v>106388.45</v>
      </c>
      <c r="FS251" s="362">
        <v>17378.46</v>
      </c>
      <c r="FT251" s="377">
        <v>123766.91</v>
      </c>
      <c r="FU251" s="377">
        <v>897647.97</v>
      </c>
      <c r="FV251" s="377">
        <v>61185.75</v>
      </c>
      <c r="FW251" s="362">
        <v>958833.72</v>
      </c>
      <c r="FX251" s="362">
        <v>863187.06</v>
      </c>
      <c r="FY251" s="362">
        <v>72354.37</v>
      </c>
      <c r="FZ251" s="362">
        <v>935541.43</v>
      </c>
      <c r="GA251" s="362">
        <v>140849.35999999999</v>
      </c>
      <c r="GB251" s="362">
        <v>6209.84</v>
      </c>
      <c r="GC251" s="362">
        <v>147059.20000000001</v>
      </c>
      <c r="GD251" s="362">
        <v>73166.429999999993</v>
      </c>
      <c r="GE251" s="362">
        <v>-12458.19</v>
      </c>
      <c r="GF251" s="362">
        <v>60708.24</v>
      </c>
      <c r="GG251" s="202">
        <v>62706.54</v>
      </c>
      <c r="GH251" s="416">
        <v>93</v>
      </c>
      <c r="GI251" s="414">
        <v>2455</v>
      </c>
      <c r="GJ251" s="419">
        <v>234862.76</v>
      </c>
      <c r="GK251" s="396">
        <v>62706.54</v>
      </c>
      <c r="GL251" s="202">
        <v>58317.082199999997</v>
      </c>
      <c r="GM251" s="202">
        <v>4389.4578000000001</v>
      </c>
      <c r="GN251" s="323">
        <v>-4284.25</v>
      </c>
      <c r="GO251" s="323">
        <v>24449.18</v>
      </c>
      <c r="GP251" s="323">
        <v>20164.93</v>
      </c>
      <c r="GQ251" s="323">
        <v>68882.179999999993</v>
      </c>
      <c r="GR251" s="323">
        <v>11990.99</v>
      </c>
      <c r="GS251" s="323">
        <v>80873.17</v>
      </c>
    </row>
    <row r="252" spans="1:201" ht="12.75" customHeight="1" x14ac:dyDescent="0.2">
      <c r="A252" s="45" t="s">
        <v>350</v>
      </c>
      <c r="B252" s="141" t="s">
        <v>299</v>
      </c>
      <c r="C252" s="142" t="s">
        <v>64</v>
      </c>
      <c r="D252" s="388" t="s">
        <v>591</v>
      </c>
      <c r="E252" s="142" t="s">
        <v>9</v>
      </c>
      <c r="F252" s="11">
        <v>5</v>
      </c>
      <c r="G252" s="11">
        <v>6</v>
      </c>
      <c r="H252" s="11">
        <v>100</v>
      </c>
      <c r="I252" s="11">
        <v>100</v>
      </c>
      <c r="J252" s="11">
        <v>191</v>
      </c>
      <c r="K252" s="11">
        <v>238</v>
      </c>
      <c r="L252" s="11" t="s">
        <v>746</v>
      </c>
      <c r="M252" s="84">
        <v>416</v>
      </c>
      <c r="N252" s="84">
        <v>1339</v>
      </c>
      <c r="O252" s="84">
        <v>0</v>
      </c>
      <c r="P252" s="135">
        <v>416</v>
      </c>
      <c r="Q252" s="139">
        <v>1339</v>
      </c>
      <c r="R252" s="139">
        <v>0</v>
      </c>
      <c r="S252" s="133">
        <f t="shared" si="106"/>
        <v>1755</v>
      </c>
      <c r="T252" s="139">
        <v>416</v>
      </c>
      <c r="U252" s="130">
        <v>1.53</v>
      </c>
      <c r="V252" s="131">
        <v>1.9800000000000002E-2</v>
      </c>
      <c r="W252" s="131">
        <v>1.9800000000000002E-2</v>
      </c>
      <c r="X252" s="132">
        <v>1.2199999999999999E-3</v>
      </c>
      <c r="Y252" s="131">
        <v>3.95E-2</v>
      </c>
      <c r="Z252" s="29">
        <v>4497.53</v>
      </c>
      <c r="AA252" s="29"/>
      <c r="AB252" s="9">
        <f t="shared" si="84"/>
        <v>4497.53</v>
      </c>
      <c r="AC252" s="9">
        <f t="shared" si="112"/>
        <v>28469.360000000001</v>
      </c>
      <c r="AD252" s="9">
        <v>0.33</v>
      </c>
      <c r="AE252" s="9">
        <v>3.75</v>
      </c>
      <c r="AF252" s="21">
        <f>2.45-AJ252</f>
        <v>2.16</v>
      </c>
      <c r="AG252" s="18">
        <f>0.55-AQ252</f>
        <v>0.45</v>
      </c>
      <c r="AH252" s="9">
        <v>2.78</v>
      </c>
      <c r="AI252" s="43">
        <v>1285</v>
      </c>
      <c r="AJ252" s="21">
        <f t="shared" si="110"/>
        <v>0.28999999999999998</v>
      </c>
      <c r="AK252" s="9">
        <v>0</v>
      </c>
      <c r="AL252" s="9">
        <v>0</v>
      </c>
      <c r="AM252" s="9">
        <v>0.13</v>
      </c>
      <c r="AN252" s="13"/>
      <c r="AO252" s="13">
        <v>945</v>
      </c>
      <c r="AP252" s="13">
        <f t="shared" si="107"/>
        <v>5.58</v>
      </c>
      <c r="AQ252" s="18">
        <f t="shared" si="111"/>
        <v>0.1</v>
      </c>
      <c r="AR252" s="9">
        <v>0.75</v>
      </c>
      <c r="AS252" s="9">
        <v>0.3</v>
      </c>
      <c r="AT252" s="9">
        <v>7.0000000000000007E-2</v>
      </c>
      <c r="AU252" s="9">
        <v>5</v>
      </c>
      <c r="AV252" s="9">
        <v>0.11</v>
      </c>
      <c r="AW252" s="9">
        <f>0.99+0.44+0.31</f>
        <v>1.74</v>
      </c>
      <c r="AX252" s="9">
        <f>1.39+0.59</f>
        <v>1.98</v>
      </c>
      <c r="AY252" s="144">
        <f t="shared" si="108"/>
        <v>19.940000000000001</v>
      </c>
      <c r="AZ252" s="13">
        <v>19.940000000000001</v>
      </c>
      <c r="BA252" s="13">
        <f t="shared" si="85"/>
        <v>0</v>
      </c>
      <c r="BB252" s="9">
        <f t="shared" si="86"/>
        <v>89680.75</v>
      </c>
      <c r="BC252" s="9">
        <v>19.940000000000001</v>
      </c>
      <c r="BD252" s="10">
        <v>44409</v>
      </c>
      <c r="BE252" s="9">
        <f t="shared" si="88"/>
        <v>1484.18</v>
      </c>
      <c r="BF252" s="9">
        <f t="shared" si="89"/>
        <v>16865.740000000002</v>
      </c>
      <c r="BG252" s="9">
        <f t="shared" si="90"/>
        <v>9714.66</v>
      </c>
      <c r="BH252" s="9">
        <f t="shared" si="91"/>
        <v>2023.89</v>
      </c>
      <c r="BI252" s="9">
        <f t="shared" si="92"/>
        <v>12503.13</v>
      </c>
      <c r="BJ252" s="9">
        <f t="shared" si="93"/>
        <v>1304.28</v>
      </c>
      <c r="BK252" s="9">
        <f t="shared" si="94"/>
        <v>0</v>
      </c>
      <c r="BL252" s="9">
        <f t="shared" si="95"/>
        <v>0</v>
      </c>
      <c r="BM252" s="9">
        <f t="shared" si="96"/>
        <v>584.67999999999995</v>
      </c>
      <c r="BN252" s="9">
        <f t="shared" si="97"/>
        <v>449.75</v>
      </c>
      <c r="BO252" s="9">
        <f t="shared" si="98"/>
        <v>3373.15</v>
      </c>
      <c r="BP252" s="9">
        <f t="shared" si="99"/>
        <v>1349.26</v>
      </c>
      <c r="BQ252" s="9">
        <f t="shared" si="100"/>
        <v>314.83</v>
      </c>
      <c r="BR252" s="9">
        <f t="shared" si="101"/>
        <v>22487.65</v>
      </c>
      <c r="BS252" s="9">
        <f t="shared" si="102"/>
        <v>494.73</v>
      </c>
      <c r="BT252" s="9">
        <f t="shared" si="103"/>
        <v>7825.7</v>
      </c>
      <c r="BU252" s="9">
        <f t="shared" si="104"/>
        <v>8905.11</v>
      </c>
      <c r="BV252" s="17">
        <f t="shared" si="105"/>
        <v>89680.74</v>
      </c>
      <c r="BW252" s="17">
        <v>1.85</v>
      </c>
      <c r="BX252" s="17">
        <v>0.05</v>
      </c>
      <c r="BY252" s="17">
        <v>0.28999999999999998</v>
      </c>
      <c r="BZ252" s="17">
        <v>0.06</v>
      </c>
      <c r="CA252" s="29">
        <v>6.33</v>
      </c>
      <c r="CB252" s="325"/>
      <c r="CC252" s="13">
        <v>0</v>
      </c>
      <c r="CD252" s="13">
        <v>0</v>
      </c>
      <c r="CE252" s="13">
        <v>0</v>
      </c>
      <c r="CF252" s="13">
        <v>0</v>
      </c>
      <c r="CG252" s="13">
        <v>0</v>
      </c>
      <c r="CH252" s="13">
        <v>9672</v>
      </c>
      <c r="CI252" s="13">
        <v>5595.95</v>
      </c>
      <c r="CJ252" s="13">
        <v>44952</v>
      </c>
      <c r="CK252" s="13">
        <v>1729.85</v>
      </c>
      <c r="CL252" s="13">
        <v>1076281.19</v>
      </c>
      <c r="CM252" s="13">
        <v>29820.27</v>
      </c>
      <c r="CN252" s="13">
        <v>5891.5</v>
      </c>
      <c r="CO252" s="13">
        <v>23390.32</v>
      </c>
      <c r="CP252" s="13">
        <v>13943.78</v>
      </c>
      <c r="CQ252" s="13">
        <v>0</v>
      </c>
      <c r="CR252" s="13">
        <v>989510.17</v>
      </c>
      <c r="CS252" s="13">
        <v>29068.13</v>
      </c>
      <c r="CT252" s="13">
        <v>4700.99</v>
      </c>
      <c r="CU252" s="13">
        <v>22150.79</v>
      </c>
      <c r="CV252" s="13">
        <v>13225.53</v>
      </c>
      <c r="CW252" s="13">
        <v>0</v>
      </c>
      <c r="CX252" s="13">
        <v>170334.67</v>
      </c>
      <c r="CY252" s="13">
        <v>1094.42</v>
      </c>
      <c r="CZ252" s="13">
        <v>-4179.5</v>
      </c>
      <c r="DA252" s="13">
        <v>3941.85</v>
      </c>
      <c r="DB252" s="13">
        <v>2242.09</v>
      </c>
      <c r="DC252" s="13"/>
      <c r="DD252" s="315">
        <v>1149327.06</v>
      </c>
      <c r="DE252" s="317">
        <v>1058655.6100000001</v>
      </c>
      <c r="DF252" s="317">
        <v>92.11</v>
      </c>
      <c r="DG252" s="318">
        <v>173433.53</v>
      </c>
      <c r="DH252" s="310">
        <v>47253.599999999999</v>
      </c>
      <c r="DI252" s="310">
        <v>27024.84</v>
      </c>
      <c r="DJ252" s="312">
        <v>0</v>
      </c>
      <c r="DK252" s="362">
        <v>0</v>
      </c>
      <c r="DL252" s="362"/>
      <c r="DM252" s="362">
        <v>0</v>
      </c>
      <c r="DN252" s="362">
        <v>0</v>
      </c>
      <c r="DO252" s="362">
        <v>0</v>
      </c>
      <c r="DP252" s="362">
        <v>0</v>
      </c>
      <c r="DQ252" s="362">
        <v>0</v>
      </c>
      <c r="DR252" s="362"/>
      <c r="DS252" s="362">
        <v>0</v>
      </c>
      <c r="DT252" s="362"/>
      <c r="DU252" s="362">
        <v>0</v>
      </c>
      <c r="DV252" s="362">
        <v>0</v>
      </c>
      <c r="DW252" s="362">
        <v>0</v>
      </c>
      <c r="DX252" s="362">
        <v>0</v>
      </c>
      <c r="DY252" s="362">
        <v>0</v>
      </c>
      <c r="DZ252" s="375">
        <v>0</v>
      </c>
      <c r="EA252" s="362">
        <v>256956</v>
      </c>
      <c r="EB252" s="362">
        <v>8840</v>
      </c>
      <c r="EC252" s="362"/>
      <c r="ED252" s="362">
        <v>0</v>
      </c>
      <c r="EE252" s="362">
        <v>0</v>
      </c>
      <c r="EF252" s="362"/>
      <c r="EG252" s="362">
        <v>20448</v>
      </c>
      <c r="EH252" s="362">
        <v>60620</v>
      </c>
      <c r="EI252" s="362"/>
      <c r="EJ252" s="362">
        <v>29500</v>
      </c>
      <c r="EK252" s="362"/>
      <c r="EL252" s="362">
        <v>0</v>
      </c>
      <c r="EM252" s="362">
        <v>5273.1</v>
      </c>
      <c r="EN252" s="362">
        <v>281253</v>
      </c>
      <c r="EO252" s="362">
        <v>4464</v>
      </c>
      <c r="EP252" s="362">
        <v>0</v>
      </c>
      <c r="EQ252" s="362">
        <v>0</v>
      </c>
      <c r="ER252" s="362">
        <v>15015</v>
      </c>
      <c r="ES252" s="362">
        <v>6924</v>
      </c>
      <c r="ET252" s="362">
        <v>15158</v>
      </c>
      <c r="EU252" s="362">
        <v>0</v>
      </c>
      <c r="EV252" s="362">
        <v>16922.650000000001</v>
      </c>
      <c r="EW252" s="362"/>
      <c r="EX252" s="202"/>
      <c r="EY252" s="202"/>
      <c r="EZ252" s="229"/>
      <c r="FA252" s="368">
        <v>30207.35</v>
      </c>
      <c r="FB252" s="368">
        <v>7235.01</v>
      </c>
      <c r="FC252" s="368">
        <v>0</v>
      </c>
      <c r="FD252" s="368">
        <v>0</v>
      </c>
      <c r="FE252" s="368">
        <v>24332.42</v>
      </c>
      <c r="FF252" s="368">
        <v>14518.29</v>
      </c>
      <c r="FG252" s="368">
        <v>-2619.81</v>
      </c>
      <c r="FH252" s="368">
        <v>-2558.11</v>
      </c>
      <c r="FI252" s="368">
        <v>0</v>
      </c>
      <c r="FJ252" s="368">
        <v>0</v>
      </c>
      <c r="FK252" s="368">
        <v>43656.84</v>
      </c>
      <c r="FL252" s="368">
        <v>0</v>
      </c>
      <c r="FM252" s="368">
        <v>120252.96</v>
      </c>
      <c r="FN252" s="368">
        <v>76461.66</v>
      </c>
      <c r="FO252" s="323">
        <v>992366.81</v>
      </c>
      <c r="FP252" s="323">
        <v>114771.99</v>
      </c>
      <c r="FQ252" s="323">
        <v>1107138.8</v>
      </c>
      <c r="FR252" s="362">
        <v>100053.7</v>
      </c>
      <c r="FS252" s="362">
        <v>4881.71</v>
      </c>
      <c r="FT252" s="377">
        <v>104935.41</v>
      </c>
      <c r="FU252" s="377">
        <v>1126829.1399999999</v>
      </c>
      <c r="FV252" s="377">
        <v>84447.72</v>
      </c>
      <c r="FW252" s="362">
        <v>1211276.8600000001</v>
      </c>
      <c r="FX252" s="362">
        <v>1056548.17</v>
      </c>
      <c r="FY252" s="362">
        <v>86230.57</v>
      </c>
      <c r="FZ252" s="362">
        <v>1142778.74</v>
      </c>
      <c r="GA252" s="362">
        <v>170334.67</v>
      </c>
      <c r="GB252" s="362">
        <v>3098.86</v>
      </c>
      <c r="GC252" s="362">
        <v>173433.53</v>
      </c>
      <c r="GD252" s="362">
        <v>32954.870000000003</v>
      </c>
      <c r="GE252" s="362">
        <v>9519.14</v>
      </c>
      <c r="GF252" s="362">
        <v>42474.01</v>
      </c>
      <c r="GG252" s="202"/>
      <c r="GH252" s="416">
        <v>0</v>
      </c>
      <c r="GI252" s="414">
        <v>4402</v>
      </c>
      <c r="GJ252" s="419">
        <v>9672</v>
      </c>
      <c r="GK252" s="396"/>
      <c r="GL252" s="202">
        <v>0</v>
      </c>
      <c r="GM252" s="202">
        <v>0</v>
      </c>
      <c r="GN252" s="323">
        <v>134462.32999999999</v>
      </c>
      <c r="GO252" s="323">
        <v>-30324.27</v>
      </c>
      <c r="GP252" s="323">
        <v>104138.06</v>
      </c>
      <c r="GQ252" s="323">
        <v>167417.20000000001</v>
      </c>
      <c r="GR252" s="323">
        <v>-20805.13</v>
      </c>
      <c r="GS252" s="323">
        <v>146612.07</v>
      </c>
    </row>
    <row r="253" spans="1:201" ht="12.75" customHeight="1" x14ac:dyDescent="0.2">
      <c r="A253" s="45" t="s">
        <v>352</v>
      </c>
      <c r="B253" s="141" t="s">
        <v>299</v>
      </c>
      <c r="C253" s="142" t="s">
        <v>64</v>
      </c>
      <c r="D253" s="388" t="s">
        <v>592</v>
      </c>
      <c r="E253" s="142" t="s">
        <v>30</v>
      </c>
      <c r="F253" s="11">
        <v>5</v>
      </c>
      <c r="G253" s="11">
        <v>6</v>
      </c>
      <c r="H253" s="11">
        <v>90</v>
      </c>
      <c r="I253" s="11">
        <v>90</v>
      </c>
      <c r="J253" s="11">
        <v>176</v>
      </c>
      <c r="K253" s="11">
        <v>220</v>
      </c>
      <c r="L253" s="11" t="s">
        <v>746</v>
      </c>
      <c r="M253" s="84">
        <v>416</v>
      </c>
      <c r="N253" s="84">
        <v>1287</v>
      </c>
      <c r="O253" s="84">
        <v>0</v>
      </c>
      <c r="P253" s="135">
        <v>416</v>
      </c>
      <c r="Q253" s="139">
        <v>1287</v>
      </c>
      <c r="R253" s="139">
        <v>0</v>
      </c>
      <c r="S253" s="133">
        <f t="shared" si="106"/>
        <v>1703</v>
      </c>
      <c r="T253" s="139">
        <v>416</v>
      </c>
      <c r="U253" s="130">
        <v>1.53</v>
      </c>
      <c r="V253" s="131">
        <v>1.9800000000000002E-2</v>
      </c>
      <c r="W253" s="131">
        <v>1.9800000000000002E-2</v>
      </c>
      <c r="X253" s="132">
        <v>1.2199999999999999E-3</v>
      </c>
      <c r="Y253" s="131">
        <v>3.95E-2</v>
      </c>
      <c r="Z253" s="29">
        <v>3975.31</v>
      </c>
      <c r="AA253" s="29"/>
      <c r="AB253" s="9">
        <f t="shared" si="84"/>
        <v>3975.31</v>
      </c>
      <c r="AC253" s="9">
        <f t="shared" si="112"/>
        <v>25163.71</v>
      </c>
      <c r="AD253" s="9">
        <v>0.54</v>
      </c>
      <c r="AE253" s="9">
        <v>3.96</v>
      </c>
      <c r="AF253" s="21">
        <f>2.5-AJ253</f>
        <v>2.19</v>
      </c>
      <c r="AG253" s="18">
        <f>0.56-AQ253</f>
        <v>0.45</v>
      </c>
      <c r="AH253" s="9">
        <v>2.78</v>
      </c>
      <c r="AI253" s="43">
        <v>1236</v>
      </c>
      <c r="AJ253" s="21">
        <f t="shared" si="110"/>
        <v>0.31</v>
      </c>
      <c r="AK253" s="9">
        <v>0</v>
      </c>
      <c r="AL253" s="9">
        <v>0</v>
      </c>
      <c r="AM253" s="9">
        <v>0.15</v>
      </c>
      <c r="AN253" s="13"/>
      <c r="AO253" s="13">
        <v>945</v>
      </c>
      <c r="AP253" s="13">
        <f t="shared" si="107"/>
        <v>5.58</v>
      </c>
      <c r="AQ253" s="18">
        <f t="shared" si="111"/>
        <v>0.11</v>
      </c>
      <c r="AR253" s="9">
        <v>0.79</v>
      </c>
      <c r="AS253" s="9">
        <v>0.34</v>
      </c>
      <c r="AT253" s="9">
        <v>7.0000000000000007E-2</v>
      </c>
      <c r="AU253" s="9">
        <v>4.6100000000000003</v>
      </c>
      <c r="AV253" s="9">
        <v>0.12</v>
      </c>
      <c r="AW253" s="9">
        <f>1.05+0.41+0.31</f>
        <v>1.77</v>
      </c>
      <c r="AX253" s="9">
        <f>1.44+0.54</f>
        <v>1.98</v>
      </c>
      <c r="AY253" s="144">
        <f t="shared" si="108"/>
        <v>20.170000000000002</v>
      </c>
      <c r="AZ253" s="13">
        <v>20.170000000000002</v>
      </c>
      <c r="BA253" s="13">
        <f t="shared" si="85"/>
        <v>0</v>
      </c>
      <c r="BB253" s="9">
        <f t="shared" si="86"/>
        <v>80182</v>
      </c>
      <c r="BC253" s="9">
        <v>20.170000000000002</v>
      </c>
      <c r="BD253" s="10">
        <v>44409</v>
      </c>
      <c r="BE253" s="9">
        <f t="shared" si="88"/>
        <v>2146.67</v>
      </c>
      <c r="BF253" s="9">
        <f t="shared" si="89"/>
        <v>15742.23</v>
      </c>
      <c r="BG253" s="9">
        <f t="shared" si="90"/>
        <v>8705.93</v>
      </c>
      <c r="BH253" s="9">
        <f t="shared" si="91"/>
        <v>1788.89</v>
      </c>
      <c r="BI253" s="9">
        <f t="shared" si="92"/>
        <v>11051.36</v>
      </c>
      <c r="BJ253" s="9">
        <f t="shared" si="93"/>
        <v>1232.3499999999999</v>
      </c>
      <c r="BK253" s="9">
        <f t="shared" si="94"/>
        <v>0</v>
      </c>
      <c r="BL253" s="9">
        <f t="shared" si="95"/>
        <v>0</v>
      </c>
      <c r="BM253" s="9">
        <f t="shared" si="96"/>
        <v>596.29999999999995</v>
      </c>
      <c r="BN253" s="9">
        <f t="shared" si="97"/>
        <v>437.28</v>
      </c>
      <c r="BO253" s="9">
        <f t="shared" si="98"/>
        <v>3140.49</v>
      </c>
      <c r="BP253" s="9">
        <f t="shared" si="99"/>
        <v>1351.61</v>
      </c>
      <c r="BQ253" s="9">
        <f t="shared" si="100"/>
        <v>278.27</v>
      </c>
      <c r="BR253" s="9">
        <f t="shared" si="101"/>
        <v>18326.18</v>
      </c>
      <c r="BS253" s="9">
        <f t="shared" si="102"/>
        <v>477.04</v>
      </c>
      <c r="BT253" s="9">
        <f t="shared" si="103"/>
        <v>7036.3</v>
      </c>
      <c r="BU253" s="9">
        <f t="shared" si="104"/>
        <v>7871.11</v>
      </c>
      <c r="BV253" s="17">
        <f t="shared" si="105"/>
        <v>80182.009999999995</v>
      </c>
      <c r="BW253" s="17">
        <v>0.66</v>
      </c>
      <c r="BX253" s="17">
        <v>0.06</v>
      </c>
      <c r="BY253" s="17">
        <v>0.33</v>
      </c>
      <c r="BZ253" s="17">
        <v>7.0000000000000007E-2</v>
      </c>
      <c r="CA253" s="29">
        <v>6.33</v>
      </c>
      <c r="CB253" s="325"/>
      <c r="CC253" s="13">
        <v>0</v>
      </c>
      <c r="CD253" s="13">
        <v>0</v>
      </c>
      <c r="CE253" s="13">
        <v>0</v>
      </c>
      <c r="CF253" s="13">
        <v>0</v>
      </c>
      <c r="CG253" s="13">
        <v>0</v>
      </c>
      <c r="CH253" s="13">
        <v>0</v>
      </c>
      <c r="CI253" s="13">
        <v>6532.92</v>
      </c>
      <c r="CJ253" s="13">
        <v>38856</v>
      </c>
      <c r="CK253" s="13">
        <v>1528.86</v>
      </c>
      <c r="CL253" s="13">
        <v>962184.84</v>
      </c>
      <c r="CM253" s="13">
        <v>29695.43</v>
      </c>
      <c r="CN253" s="13">
        <v>0</v>
      </c>
      <c r="CO253" s="13">
        <v>35142.35</v>
      </c>
      <c r="CP253" s="13">
        <v>20075.72</v>
      </c>
      <c r="CQ253" s="13">
        <v>0</v>
      </c>
      <c r="CR253" s="13">
        <v>874161.34</v>
      </c>
      <c r="CS253" s="13">
        <v>24618.63</v>
      </c>
      <c r="CT253" s="13">
        <v>703.66</v>
      </c>
      <c r="CU253" s="13">
        <v>33119.279999999999</v>
      </c>
      <c r="CV253" s="13">
        <v>18867.84</v>
      </c>
      <c r="CW253" s="13">
        <v>0</v>
      </c>
      <c r="CX253" s="13">
        <v>167702.19</v>
      </c>
      <c r="CY253" s="13">
        <v>4306.1499999999996</v>
      </c>
      <c r="CZ253" s="13">
        <v>-1227.1600000000001</v>
      </c>
      <c r="DA253" s="13">
        <v>5414.36</v>
      </c>
      <c r="DB253" s="13">
        <v>3034.7</v>
      </c>
      <c r="DC253" s="13"/>
      <c r="DD253" s="315">
        <v>1047098.34</v>
      </c>
      <c r="DE253" s="317">
        <v>951470.75</v>
      </c>
      <c r="DF253" s="317">
        <v>90.87</v>
      </c>
      <c r="DG253" s="318">
        <v>179230.24</v>
      </c>
      <c r="DH253" s="310">
        <v>41770.32</v>
      </c>
      <c r="DI253" s="310">
        <v>23888.880000000001</v>
      </c>
      <c r="DJ253" s="312">
        <v>0</v>
      </c>
      <c r="DK253" s="362">
        <v>0</v>
      </c>
      <c r="DL253" s="362"/>
      <c r="DM253" s="362">
        <v>0</v>
      </c>
      <c r="DN253" s="362">
        <v>0</v>
      </c>
      <c r="DO253" s="362">
        <v>0</v>
      </c>
      <c r="DP253" s="362">
        <v>0</v>
      </c>
      <c r="DQ253" s="362">
        <v>0</v>
      </c>
      <c r="DR253" s="362"/>
      <c r="DS253" s="362">
        <v>0</v>
      </c>
      <c r="DT253" s="362"/>
      <c r="DU253" s="362">
        <v>0</v>
      </c>
      <c r="DV253" s="362">
        <v>0</v>
      </c>
      <c r="DW253" s="362">
        <v>0</v>
      </c>
      <c r="DX253" s="362">
        <v>0</v>
      </c>
      <c r="DY253" s="362">
        <v>0</v>
      </c>
      <c r="DZ253" s="375">
        <v>0</v>
      </c>
      <c r="EA253" s="362">
        <v>249054</v>
      </c>
      <c r="EB253" s="362">
        <v>8840</v>
      </c>
      <c r="EC253" s="362"/>
      <c r="ED253" s="362">
        <v>0</v>
      </c>
      <c r="EE253" s="362">
        <v>0</v>
      </c>
      <c r="EF253" s="362"/>
      <c r="EG253" s="362">
        <v>19668</v>
      </c>
      <c r="EH253" s="362">
        <v>93170</v>
      </c>
      <c r="EI253" s="362"/>
      <c r="EJ253" s="362">
        <v>34200</v>
      </c>
      <c r="EK253" s="362"/>
      <c r="EL253" s="362">
        <v>0</v>
      </c>
      <c r="EM253" s="362">
        <v>5273.1</v>
      </c>
      <c r="EN253" s="362">
        <v>250539.9</v>
      </c>
      <c r="EO253" s="362">
        <v>0</v>
      </c>
      <c r="EP253" s="362">
        <v>0</v>
      </c>
      <c r="EQ253" s="362">
        <v>0</v>
      </c>
      <c r="ER253" s="362">
        <v>16380</v>
      </c>
      <c r="ES253" s="362">
        <v>6924</v>
      </c>
      <c r="ET253" s="362">
        <v>14628</v>
      </c>
      <c r="EU253" s="362">
        <v>0</v>
      </c>
      <c r="EV253" s="362">
        <v>3416.22</v>
      </c>
      <c r="EW253" s="362"/>
      <c r="EX253" s="202"/>
      <c r="EY253" s="202"/>
      <c r="EZ253" s="229"/>
      <c r="FA253" s="368">
        <v>30207.35</v>
      </c>
      <c r="FB253" s="368">
        <v>0</v>
      </c>
      <c r="FC253" s="368">
        <v>0</v>
      </c>
      <c r="FD253" s="368">
        <v>0</v>
      </c>
      <c r="FE253" s="368">
        <v>36092.28</v>
      </c>
      <c r="FF253" s="368">
        <v>20684.88</v>
      </c>
      <c r="FG253" s="368">
        <v>-2270.0100000000002</v>
      </c>
      <c r="FH253" s="368">
        <v>-2244.34</v>
      </c>
      <c r="FI253" s="368">
        <v>0</v>
      </c>
      <c r="FJ253" s="368">
        <v>0</v>
      </c>
      <c r="FK253" s="368">
        <v>0</v>
      </c>
      <c r="FL253" s="368">
        <v>0</v>
      </c>
      <c r="FM253" s="368">
        <v>106280.14</v>
      </c>
      <c r="FN253" s="368">
        <v>67577.899999999994</v>
      </c>
      <c r="FO253" s="323">
        <v>941610.46</v>
      </c>
      <c r="FP253" s="323">
        <v>82470.16</v>
      </c>
      <c r="FQ253" s="323">
        <v>1024080.62</v>
      </c>
      <c r="FR253" s="362">
        <v>93099.02</v>
      </c>
      <c r="FS253" s="362">
        <v>4526.51</v>
      </c>
      <c r="FT253" s="377">
        <v>97625.53</v>
      </c>
      <c r="FU253" s="377">
        <v>1007573.76</v>
      </c>
      <c r="FV253" s="377">
        <v>86442.36</v>
      </c>
      <c r="FW253" s="362">
        <v>1094016.1200000001</v>
      </c>
      <c r="FX253" s="362">
        <v>932970.59</v>
      </c>
      <c r="FY253" s="362">
        <v>79440.820000000007</v>
      </c>
      <c r="FZ253" s="362">
        <v>1012411.41</v>
      </c>
      <c r="GA253" s="362">
        <v>167702.19</v>
      </c>
      <c r="GB253" s="362">
        <v>11528.05</v>
      </c>
      <c r="GC253" s="362">
        <v>179230.24</v>
      </c>
      <c r="GD253" s="362">
        <v>73418.13</v>
      </c>
      <c r="GE253" s="362">
        <v>4263.26</v>
      </c>
      <c r="GF253" s="362">
        <v>77681.39</v>
      </c>
      <c r="GG253" s="202"/>
      <c r="GH253" s="416"/>
      <c r="GI253" s="414">
        <v>3386</v>
      </c>
      <c r="GJ253" s="419">
        <v>0</v>
      </c>
      <c r="GK253" s="396"/>
      <c r="GL253" s="202">
        <v>0</v>
      </c>
      <c r="GM253" s="202">
        <v>0</v>
      </c>
      <c r="GN253" s="323">
        <v>65963.3</v>
      </c>
      <c r="GO253" s="323">
        <v>3972.2</v>
      </c>
      <c r="GP253" s="323">
        <v>69935.5</v>
      </c>
      <c r="GQ253" s="323">
        <v>139381.43</v>
      </c>
      <c r="GR253" s="323">
        <v>8235.4599999999991</v>
      </c>
      <c r="GS253" s="323">
        <v>147616.89000000001</v>
      </c>
    </row>
    <row r="254" spans="1:201" ht="12.75" customHeight="1" x14ac:dyDescent="0.2">
      <c r="A254" s="45" t="s">
        <v>353</v>
      </c>
      <c r="B254" s="99" t="s">
        <v>299</v>
      </c>
      <c r="C254" s="100" t="s">
        <v>27</v>
      </c>
      <c r="D254" s="388" t="s">
        <v>515</v>
      </c>
      <c r="E254" s="100" t="s">
        <v>12</v>
      </c>
      <c r="F254" s="11">
        <v>9</v>
      </c>
      <c r="G254" s="11">
        <v>2</v>
      </c>
      <c r="H254" s="11">
        <v>72</v>
      </c>
      <c r="I254" s="11">
        <v>73</v>
      </c>
      <c r="J254" s="11">
        <v>164</v>
      </c>
      <c r="K254" s="11">
        <v>193</v>
      </c>
      <c r="L254" s="83">
        <v>2</v>
      </c>
      <c r="M254" s="84">
        <v>602</v>
      </c>
      <c r="N254" s="84">
        <v>629</v>
      </c>
      <c r="O254" s="84">
        <v>0</v>
      </c>
      <c r="P254" s="135">
        <v>602</v>
      </c>
      <c r="Q254" s="139">
        <v>629</v>
      </c>
      <c r="R254" s="139">
        <v>0</v>
      </c>
      <c r="S254" s="133">
        <f t="shared" si="106"/>
        <v>1231</v>
      </c>
      <c r="T254" s="139">
        <v>602</v>
      </c>
      <c r="U254" s="130">
        <v>2.44</v>
      </c>
      <c r="V254" s="131">
        <v>1.9800000000000002E-2</v>
      </c>
      <c r="W254" s="131">
        <v>1.9800000000000002E-2</v>
      </c>
      <c r="X254" s="132">
        <v>1.32E-3</v>
      </c>
      <c r="Y254" s="131">
        <v>3.9699999999999999E-2</v>
      </c>
      <c r="Z254" s="29">
        <v>3753.96</v>
      </c>
      <c r="AA254" s="29">
        <v>60.7</v>
      </c>
      <c r="AB254" s="9">
        <f t="shared" si="84"/>
        <v>3814.66</v>
      </c>
      <c r="AC254" s="9">
        <f t="shared" si="112"/>
        <v>24146.799999999999</v>
      </c>
      <c r="AD254" s="9">
        <v>2.16</v>
      </c>
      <c r="AE254" s="9">
        <v>3.68</v>
      </c>
      <c r="AF254" s="21">
        <f>2.4-AJ254</f>
        <v>2.2400000000000002</v>
      </c>
      <c r="AG254" s="18">
        <f>0.62-AQ254</f>
        <v>0.56999999999999995</v>
      </c>
      <c r="AH254" s="9">
        <v>2.78</v>
      </c>
      <c r="AI254" s="43">
        <v>604</v>
      </c>
      <c r="AJ254" s="21">
        <f t="shared" si="110"/>
        <v>0.16</v>
      </c>
      <c r="AK254" s="9">
        <v>2.2599999999999998</v>
      </c>
      <c r="AL254" s="9">
        <v>0.2</v>
      </c>
      <c r="AM254" s="9">
        <v>0.15</v>
      </c>
      <c r="AN254" s="13"/>
      <c r="AO254" s="13">
        <v>422.4</v>
      </c>
      <c r="AP254" s="13">
        <f t="shared" si="107"/>
        <v>5.58</v>
      </c>
      <c r="AQ254" s="18">
        <f t="shared" si="111"/>
        <v>0.05</v>
      </c>
      <c r="AR254" s="9">
        <v>0.57999999999999996</v>
      </c>
      <c r="AS254" s="9">
        <v>0.36</v>
      </c>
      <c r="AT254" s="9">
        <v>7.0000000000000007E-2</v>
      </c>
      <c r="AU254" s="9">
        <v>4.8</v>
      </c>
      <c r="AV254" s="9">
        <v>0.16</v>
      </c>
      <c r="AW254" s="9">
        <f>1.37+0.27+0.41</f>
        <v>2.0499999999999998</v>
      </c>
      <c r="AX254" s="9">
        <f>1.93+0.57</f>
        <v>2.5</v>
      </c>
      <c r="AY254" s="102">
        <f t="shared" si="108"/>
        <v>24.77</v>
      </c>
      <c r="AZ254" s="13">
        <v>24.77</v>
      </c>
      <c r="BA254" s="13">
        <f t="shared" si="85"/>
        <v>0</v>
      </c>
      <c r="BB254" s="9">
        <f t="shared" si="86"/>
        <v>94489.13</v>
      </c>
      <c r="BC254" s="9">
        <v>24.77</v>
      </c>
      <c r="BD254" s="10">
        <v>44409</v>
      </c>
      <c r="BE254" s="9">
        <f t="shared" si="88"/>
        <v>8239.67</v>
      </c>
      <c r="BF254" s="9">
        <f t="shared" si="89"/>
        <v>14037.95</v>
      </c>
      <c r="BG254" s="9">
        <f t="shared" si="90"/>
        <v>8544.84</v>
      </c>
      <c r="BH254" s="9">
        <f t="shared" si="91"/>
        <v>2174.36</v>
      </c>
      <c r="BI254" s="9">
        <f t="shared" si="92"/>
        <v>10604.75</v>
      </c>
      <c r="BJ254" s="9">
        <f t="shared" si="93"/>
        <v>610.35</v>
      </c>
      <c r="BK254" s="9">
        <f t="shared" si="94"/>
        <v>8621.1299999999992</v>
      </c>
      <c r="BL254" s="9">
        <f t="shared" si="95"/>
        <v>762.93</v>
      </c>
      <c r="BM254" s="9">
        <f t="shared" si="96"/>
        <v>572.20000000000005</v>
      </c>
      <c r="BN254" s="9">
        <f t="shared" si="97"/>
        <v>190.73</v>
      </c>
      <c r="BO254" s="9">
        <f t="shared" si="98"/>
        <v>2212.5</v>
      </c>
      <c r="BP254" s="9">
        <f t="shared" si="99"/>
        <v>1373.28</v>
      </c>
      <c r="BQ254" s="9">
        <f t="shared" si="100"/>
        <v>267.02999999999997</v>
      </c>
      <c r="BR254" s="9">
        <f t="shared" si="101"/>
        <v>18310.37</v>
      </c>
      <c r="BS254" s="9">
        <f t="shared" si="102"/>
        <v>610.35</v>
      </c>
      <c r="BT254" s="9">
        <f t="shared" si="103"/>
        <v>7820.05</v>
      </c>
      <c r="BU254" s="9">
        <f t="shared" si="104"/>
        <v>9536.65</v>
      </c>
      <c r="BV254" s="17">
        <f t="shared" si="105"/>
        <v>94489.14</v>
      </c>
      <c r="BW254" s="17">
        <v>2.91</v>
      </c>
      <c r="BX254" s="17">
        <v>0.1</v>
      </c>
      <c r="BY254" s="17">
        <v>0.61</v>
      </c>
      <c r="BZ254" s="17">
        <v>0.11</v>
      </c>
      <c r="CA254" s="29">
        <v>6.33</v>
      </c>
      <c r="CB254" s="325"/>
      <c r="CC254" s="13">
        <v>18300.259999999998</v>
      </c>
      <c r="CD254" s="13">
        <v>525.96</v>
      </c>
      <c r="CE254" s="13">
        <v>1194.02</v>
      </c>
      <c r="CF254" s="13">
        <v>88.25</v>
      </c>
      <c r="CG254" s="13">
        <v>69.510000000000005</v>
      </c>
      <c r="CH254" s="13">
        <v>0</v>
      </c>
      <c r="CI254" s="13">
        <v>3484.47</v>
      </c>
      <c r="CJ254" s="13">
        <v>31284</v>
      </c>
      <c r="CK254" s="13">
        <v>1467.07</v>
      </c>
      <c r="CL254" s="13">
        <v>1115569.5900000001</v>
      </c>
      <c r="CM254" s="13">
        <v>30736.400000000001</v>
      </c>
      <c r="CN254" s="13">
        <v>75082.25</v>
      </c>
      <c r="CO254" s="13">
        <v>3790.56</v>
      </c>
      <c r="CP254" s="13">
        <v>4240.6899999999996</v>
      </c>
      <c r="CQ254" s="13">
        <v>0</v>
      </c>
      <c r="CR254" s="13">
        <v>1050822</v>
      </c>
      <c r="CS254" s="13">
        <v>31172.22</v>
      </c>
      <c r="CT254" s="13">
        <v>74000.42</v>
      </c>
      <c r="CU254" s="13">
        <v>3448.33</v>
      </c>
      <c r="CV254" s="13">
        <v>3987.82</v>
      </c>
      <c r="CW254" s="13">
        <v>0</v>
      </c>
      <c r="CX254" s="13">
        <v>186072</v>
      </c>
      <c r="CY254" s="13">
        <v>34.81</v>
      </c>
      <c r="CZ254" s="13">
        <v>8971.1</v>
      </c>
      <c r="DA254" s="13">
        <v>622.41</v>
      </c>
      <c r="DB254" s="13">
        <v>697.51</v>
      </c>
      <c r="DC254" s="13"/>
      <c r="DD254" s="315">
        <v>1229419.49</v>
      </c>
      <c r="DE254" s="317">
        <v>1163430.79</v>
      </c>
      <c r="DF254" s="317">
        <v>94.63</v>
      </c>
      <c r="DG254" s="318">
        <v>196397.83</v>
      </c>
      <c r="DH254" s="310">
        <v>39444.480000000003</v>
      </c>
      <c r="DI254" s="310">
        <v>22558.68</v>
      </c>
      <c r="DJ254" s="312">
        <v>0</v>
      </c>
      <c r="DK254" s="362">
        <v>0</v>
      </c>
      <c r="DL254" s="362"/>
      <c r="DM254" s="362">
        <v>0</v>
      </c>
      <c r="DN254" s="362">
        <v>0</v>
      </c>
      <c r="DO254" s="362">
        <v>0</v>
      </c>
      <c r="DP254" s="362">
        <v>0</v>
      </c>
      <c r="DQ254" s="362">
        <v>0</v>
      </c>
      <c r="DR254" s="362"/>
      <c r="DS254" s="362">
        <v>0</v>
      </c>
      <c r="DT254" s="362"/>
      <c r="DU254" s="362">
        <v>0</v>
      </c>
      <c r="DV254" s="362">
        <v>0</v>
      </c>
      <c r="DW254" s="362">
        <v>102779.25</v>
      </c>
      <c r="DX254" s="362">
        <v>0</v>
      </c>
      <c r="DY254" s="362">
        <v>9000</v>
      </c>
      <c r="DZ254" s="375">
        <v>0</v>
      </c>
      <c r="EA254" s="362">
        <v>308874</v>
      </c>
      <c r="EB254" s="362">
        <v>7820</v>
      </c>
      <c r="EC254" s="362"/>
      <c r="ED254" s="362">
        <v>0</v>
      </c>
      <c r="EE254" s="362">
        <v>0</v>
      </c>
      <c r="EF254" s="362"/>
      <c r="EG254" s="362">
        <v>9612</v>
      </c>
      <c r="EH254" s="362">
        <v>0</v>
      </c>
      <c r="EI254" s="362"/>
      <c r="EJ254" s="362">
        <v>0</v>
      </c>
      <c r="EK254" s="362"/>
      <c r="EL254" s="362">
        <v>0</v>
      </c>
      <c r="EM254" s="362">
        <v>2356.98</v>
      </c>
      <c r="EN254" s="362">
        <v>0</v>
      </c>
      <c r="EO254" s="362">
        <v>0</v>
      </c>
      <c r="EP254" s="362">
        <v>237738</v>
      </c>
      <c r="EQ254" s="362">
        <v>0</v>
      </c>
      <c r="ER254" s="362">
        <v>16380</v>
      </c>
      <c r="ES254" s="362">
        <v>0</v>
      </c>
      <c r="ET254" s="362">
        <v>8935</v>
      </c>
      <c r="EU254" s="362">
        <v>0</v>
      </c>
      <c r="EV254" s="362">
        <v>22273.1</v>
      </c>
      <c r="EW254" s="362"/>
      <c r="EX254" s="202"/>
      <c r="EY254" s="202"/>
      <c r="EZ254" s="229"/>
      <c r="FA254" s="368">
        <v>31176.06</v>
      </c>
      <c r="FB254" s="368">
        <v>76698.070000000007</v>
      </c>
      <c r="FC254" s="368">
        <v>0</v>
      </c>
      <c r="FD254" s="368">
        <v>0</v>
      </c>
      <c r="FE254" s="368">
        <v>3992.72</v>
      </c>
      <c r="FF254" s="368">
        <v>4293.87</v>
      </c>
      <c r="FG254" s="368">
        <v>0</v>
      </c>
      <c r="FH254" s="368">
        <v>-975.98</v>
      </c>
      <c r="FI254" s="368">
        <v>0</v>
      </c>
      <c r="FJ254" s="368">
        <v>0</v>
      </c>
      <c r="FK254" s="368">
        <v>12053.34</v>
      </c>
      <c r="FL254" s="368">
        <v>0</v>
      </c>
      <c r="FM254" s="368">
        <v>101985.16</v>
      </c>
      <c r="FN254" s="368">
        <v>64846.94</v>
      </c>
      <c r="FO254" s="323">
        <v>954603.59</v>
      </c>
      <c r="FP254" s="323">
        <v>127238.08</v>
      </c>
      <c r="FQ254" s="323">
        <v>1081841.67</v>
      </c>
      <c r="FR254" s="362">
        <v>109330</v>
      </c>
      <c r="FS254" s="362">
        <v>6075.68</v>
      </c>
      <c r="FT254" s="377">
        <v>115405.68</v>
      </c>
      <c r="FU254" s="377">
        <v>1168638.32</v>
      </c>
      <c r="FV254" s="377">
        <v>117194.71</v>
      </c>
      <c r="FW254" s="362">
        <v>1285833.03</v>
      </c>
      <c r="FX254" s="362">
        <v>1091896.3200000001</v>
      </c>
      <c r="FY254" s="362">
        <v>112944.56</v>
      </c>
      <c r="FZ254" s="362">
        <v>1204840.8799999999</v>
      </c>
      <c r="GA254" s="362">
        <v>186072</v>
      </c>
      <c r="GB254" s="362">
        <v>10325.83</v>
      </c>
      <c r="GC254" s="362">
        <v>196397.83</v>
      </c>
      <c r="GD254" s="362">
        <v>67263.789999999994</v>
      </c>
      <c r="GE254" s="362">
        <v>10488.06</v>
      </c>
      <c r="GF254" s="362">
        <v>77751.850000000006</v>
      </c>
      <c r="GG254" s="202">
        <v>0</v>
      </c>
      <c r="GH254" s="416">
        <v>91</v>
      </c>
      <c r="GI254" s="414">
        <v>2455</v>
      </c>
      <c r="GJ254" s="419">
        <v>20178</v>
      </c>
      <c r="GK254" s="396">
        <v>0</v>
      </c>
      <c r="GL254" s="202">
        <v>0</v>
      </c>
      <c r="GM254" s="202">
        <v>0</v>
      </c>
      <c r="GN254" s="323">
        <v>214034.73</v>
      </c>
      <c r="GO254" s="323">
        <v>-10043.370000000001</v>
      </c>
      <c r="GP254" s="323">
        <v>203991.36</v>
      </c>
      <c r="GQ254" s="323">
        <v>281298.52</v>
      </c>
      <c r="GR254" s="323">
        <v>444.69</v>
      </c>
      <c r="GS254" s="323">
        <v>281743.21000000002</v>
      </c>
    </row>
    <row r="255" spans="1:201" ht="12.75" customHeight="1" x14ac:dyDescent="0.2">
      <c r="A255" s="45" t="s">
        <v>355</v>
      </c>
      <c r="B255" s="99" t="s">
        <v>299</v>
      </c>
      <c r="C255" s="100" t="s">
        <v>32</v>
      </c>
      <c r="D255" s="388" t="s">
        <v>593</v>
      </c>
      <c r="E255" s="100" t="s">
        <v>9</v>
      </c>
      <c r="F255" s="11">
        <v>9</v>
      </c>
      <c r="G255" s="11">
        <v>2</v>
      </c>
      <c r="H255" s="11">
        <v>72</v>
      </c>
      <c r="I255" s="11">
        <v>73</v>
      </c>
      <c r="J255" s="11">
        <v>171</v>
      </c>
      <c r="K255" s="11">
        <v>201</v>
      </c>
      <c r="L255" s="11">
        <v>2</v>
      </c>
      <c r="M255" s="84">
        <v>594</v>
      </c>
      <c r="N255" s="84">
        <v>602</v>
      </c>
      <c r="O255" s="84">
        <v>0</v>
      </c>
      <c r="P255" s="135">
        <v>594</v>
      </c>
      <c r="Q255" s="139">
        <v>602</v>
      </c>
      <c r="R255" s="139">
        <v>0</v>
      </c>
      <c r="S255" s="133">
        <f t="shared" si="106"/>
        <v>1196</v>
      </c>
      <c r="T255" s="139">
        <v>594</v>
      </c>
      <c r="U255" s="130">
        <v>2.72</v>
      </c>
      <c r="V255" s="131">
        <v>1.21E-2</v>
      </c>
      <c r="W255" s="131">
        <v>1.9800000000000002E-2</v>
      </c>
      <c r="X255" s="132">
        <v>1.2700000000000001E-3</v>
      </c>
      <c r="Y255" s="131">
        <v>1.21E-2</v>
      </c>
      <c r="Z255" s="29">
        <v>3815.57</v>
      </c>
      <c r="AA255" s="29"/>
      <c r="AB255" s="9">
        <f t="shared" si="84"/>
        <v>3815.57</v>
      </c>
      <c r="AC255" s="9">
        <f t="shared" si="112"/>
        <v>24152.560000000001</v>
      </c>
      <c r="AD255" s="9">
        <f>2.14</f>
        <v>2.14</v>
      </c>
      <c r="AE255" s="9">
        <f>4.09</f>
        <v>4.09</v>
      </c>
      <c r="AF255" s="21">
        <f>2.41-AJ255</f>
        <v>2.2599999999999998</v>
      </c>
      <c r="AG255" s="18">
        <f>0.62-AQ255</f>
        <v>0.56999999999999995</v>
      </c>
      <c r="AH255" s="19">
        <f>2.78+0.13+0.18</f>
        <v>3.09</v>
      </c>
      <c r="AI255" s="43">
        <v>578</v>
      </c>
      <c r="AJ255" s="21">
        <f t="shared" si="110"/>
        <v>0.15</v>
      </c>
      <c r="AK255" s="9">
        <v>2.27</v>
      </c>
      <c r="AL255" s="9">
        <v>0.2</v>
      </c>
      <c r="AM255" s="9">
        <v>0.15</v>
      </c>
      <c r="AN255" s="13"/>
      <c r="AO255" s="13">
        <v>422.4</v>
      </c>
      <c r="AP255" s="13">
        <f t="shared" si="107"/>
        <v>5.58</v>
      </c>
      <c r="AQ255" s="18">
        <f t="shared" si="111"/>
        <v>0.05</v>
      </c>
      <c r="AR255" s="9">
        <v>0.59</v>
      </c>
      <c r="AS255" s="9">
        <v>0.36</v>
      </c>
      <c r="AT255" s="9">
        <v>7.0000000000000007E-2</v>
      </c>
      <c r="AU255" s="9">
        <v>3.84</v>
      </c>
      <c r="AV255" s="9">
        <v>0.17</v>
      </c>
      <c r="AW255" s="9">
        <f>1.44+0.27+0.34</f>
        <v>2.0499999999999998</v>
      </c>
      <c r="AX255" s="9">
        <f>2.02+0.46</f>
        <v>2.48</v>
      </c>
      <c r="AY255" s="102">
        <f t="shared" si="108"/>
        <v>24.53</v>
      </c>
      <c r="AZ255" s="13">
        <v>24.53</v>
      </c>
      <c r="BA255" s="13">
        <f t="shared" si="85"/>
        <v>0</v>
      </c>
      <c r="BB255" s="9">
        <f t="shared" si="86"/>
        <v>93595.93</v>
      </c>
      <c r="BC255" s="9">
        <v>24.53</v>
      </c>
      <c r="BD255" s="10">
        <v>44409</v>
      </c>
      <c r="BE255" s="9">
        <f t="shared" si="88"/>
        <v>8165.32</v>
      </c>
      <c r="BF255" s="9">
        <f t="shared" si="89"/>
        <v>15605.68</v>
      </c>
      <c r="BG255" s="9">
        <f t="shared" si="90"/>
        <v>8623.19</v>
      </c>
      <c r="BH255" s="9">
        <f t="shared" si="91"/>
        <v>2174.87</v>
      </c>
      <c r="BI255" s="9">
        <f t="shared" si="92"/>
        <v>11790.11</v>
      </c>
      <c r="BJ255" s="9">
        <f t="shared" si="93"/>
        <v>572.34</v>
      </c>
      <c r="BK255" s="9">
        <f t="shared" si="94"/>
        <v>8661.34</v>
      </c>
      <c r="BL255" s="9">
        <f t="shared" si="95"/>
        <v>763.11</v>
      </c>
      <c r="BM255" s="9">
        <f t="shared" si="96"/>
        <v>572.34</v>
      </c>
      <c r="BN255" s="9">
        <f t="shared" si="97"/>
        <v>190.78</v>
      </c>
      <c r="BO255" s="9">
        <f t="shared" si="98"/>
        <v>2251.19</v>
      </c>
      <c r="BP255" s="9">
        <f t="shared" si="99"/>
        <v>1373.61</v>
      </c>
      <c r="BQ255" s="9">
        <f t="shared" si="100"/>
        <v>267.08999999999997</v>
      </c>
      <c r="BR255" s="9">
        <f t="shared" si="101"/>
        <v>14651.79</v>
      </c>
      <c r="BS255" s="9">
        <f t="shared" si="102"/>
        <v>648.65</v>
      </c>
      <c r="BT255" s="9">
        <f t="shared" si="103"/>
        <v>7821.92</v>
      </c>
      <c r="BU255" s="9">
        <f t="shared" si="104"/>
        <v>9462.61</v>
      </c>
      <c r="BV255" s="17">
        <f t="shared" si="105"/>
        <v>93595.94</v>
      </c>
      <c r="BW255" s="17">
        <v>1.83</v>
      </c>
      <c r="BX255" s="17">
        <v>0.05</v>
      </c>
      <c r="BY255" s="17">
        <v>0.54</v>
      </c>
      <c r="BZ255" s="17">
        <v>0.03</v>
      </c>
      <c r="CA255" s="29">
        <v>6.33</v>
      </c>
      <c r="CB255" s="325"/>
      <c r="CC255" s="13">
        <v>0</v>
      </c>
      <c r="CD255" s="13">
        <v>0</v>
      </c>
      <c r="CE255" s="13">
        <v>0</v>
      </c>
      <c r="CF255" s="13">
        <v>0</v>
      </c>
      <c r="CG255" s="13">
        <v>0</v>
      </c>
      <c r="CH255" s="13">
        <v>5952</v>
      </c>
      <c r="CI255" s="13">
        <v>2137.0700000000002</v>
      </c>
      <c r="CJ255" s="13">
        <v>31284</v>
      </c>
      <c r="CK255" s="13">
        <v>1467.42</v>
      </c>
      <c r="CL255" s="13">
        <v>1123151.1000000001</v>
      </c>
      <c r="CM255" s="13">
        <v>45023.61</v>
      </c>
      <c r="CN255" s="13">
        <v>0</v>
      </c>
      <c r="CO255" s="13">
        <v>3853.82</v>
      </c>
      <c r="CP255" s="13">
        <v>2023.02</v>
      </c>
      <c r="CQ255" s="13">
        <v>0</v>
      </c>
      <c r="CR255" s="13">
        <v>1059315.5900000001</v>
      </c>
      <c r="CS255" s="13">
        <v>39876.6</v>
      </c>
      <c r="CT255" s="13">
        <v>7356.25</v>
      </c>
      <c r="CU255" s="13">
        <v>3409.8</v>
      </c>
      <c r="CV255" s="13">
        <v>1793.28</v>
      </c>
      <c r="CW255" s="13">
        <v>0</v>
      </c>
      <c r="CX255" s="13">
        <v>199882.8</v>
      </c>
      <c r="CY255" s="13">
        <v>6398.84</v>
      </c>
      <c r="CZ255" s="13">
        <v>-552.86</v>
      </c>
      <c r="DA255" s="13">
        <v>762.6</v>
      </c>
      <c r="DB255" s="13">
        <v>409.17</v>
      </c>
      <c r="DC255" s="13"/>
      <c r="DD255" s="315">
        <v>1174051.55</v>
      </c>
      <c r="DE255" s="317">
        <v>1111751.52</v>
      </c>
      <c r="DF255" s="317">
        <v>94.69</v>
      </c>
      <c r="DG255" s="318">
        <v>206900.55</v>
      </c>
      <c r="DH255" s="310">
        <v>40091.879999999997</v>
      </c>
      <c r="DI255" s="310">
        <v>22929</v>
      </c>
      <c r="DJ255" s="312">
        <v>0</v>
      </c>
      <c r="DK255" s="362">
        <v>0</v>
      </c>
      <c r="DL255" s="362"/>
      <c r="DM255" s="362">
        <v>0</v>
      </c>
      <c r="DN255" s="362">
        <v>0</v>
      </c>
      <c r="DO255" s="362">
        <v>0</v>
      </c>
      <c r="DP255" s="362">
        <v>0</v>
      </c>
      <c r="DQ255" s="362">
        <v>0</v>
      </c>
      <c r="DR255" s="362"/>
      <c r="DS255" s="362">
        <v>0</v>
      </c>
      <c r="DT255" s="362"/>
      <c r="DU255" s="362">
        <v>0</v>
      </c>
      <c r="DV255" s="362">
        <v>0</v>
      </c>
      <c r="DW255" s="362">
        <v>102645.16</v>
      </c>
      <c r="DX255" s="362">
        <v>0</v>
      </c>
      <c r="DY255" s="362">
        <v>9000</v>
      </c>
      <c r="DZ255" s="375">
        <v>0</v>
      </c>
      <c r="EA255" s="362">
        <v>328230</v>
      </c>
      <c r="EB255" s="362">
        <v>8330</v>
      </c>
      <c r="EC255" s="362"/>
      <c r="ED255" s="362">
        <v>0</v>
      </c>
      <c r="EE255" s="362">
        <v>0</v>
      </c>
      <c r="EF255" s="362"/>
      <c r="EG255" s="362">
        <v>9198</v>
      </c>
      <c r="EH255" s="362">
        <v>0</v>
      </c>
      <c r="EI255" s="362"/>
      <c r="EJ255" s="362">
        <v>0</v>
      </c>
      <c r="EK255" s="362"/>
      <c r="EL255" s="362">
        <v>0</v>
      </c>
      <c r="EM255" s="362">
        <v>2356.98</v>
      </c>
      <c r="EN255" s="362">
        <v>242585.82</v>
      </c>
      <c r="EO255" s="362">
        <v>2232</v>
      </c>
      <c r="EP255" s="362">
        <v>0</v>
      </c>
      <c r="EQ255" s="362">
        <v>0</v>
      </c>
      <c r="ER255" s="362">
        <v>15015</v>
      </c>
      <c r="ES255" s="362">
        <v>0</v>
      </c>
      <c r="ET255" s="362">
        <v>8988</v>
      </c>
      <c r="EU255" s="362">
        <v>0</v>
      </c>
      <c r="EV255" s="362">
        <v>63286.65</v>
      </c>
      <c r="EW255" s="362"/>
      <c r="EX255" s="202"/>
      <c r="EY255" s="202"/>
      <c r="EZ255" s="229"/>
      <c r="FA255" s="368">
        <v>45068.7</v>
      </c>
      <c r="FB255" s="368">
        <v>0</v>
      </c>
      <c r="FC255" s="368">
        <v>0</v>
      </c>
      <c r="FD255" s="368">
        <v>0</v>
      </c>
      <c r="FE255" s="368">
        <v>3939.58</v>
      </c>
      <c r="FF255" s="368">
        <v>2113.0700000000002</v>
      </c>
      <c r="FG255" s="368">
        <v>0</v>
      </c>
      <c r="FH255" s="368">
        <v>-976.21</v>
      </c>
      <c r="FI255" s="368">
        <v>0</v>
      </c>
      <c r="FJ255" s="368">
        <v>0</v>
      </c>
      <c r="FK255" s="368">
        <v>2233.04</v>
      </c>
      <c r="FL255" s="368">
        <v>0</v>
      </c>
      <c r="FM255" s="368">
        <v>102009.5</v>
      </c>
      <c r="FN255" s="368">
        <v>64862.39</v>
      </c>
      <c r="FO255" s="323">
        <v>1021760.38</v>
      </c>
      <c r="FP255" s="323">
        <v>52378.18</v>
      </c>
      <c r="FQ255" s="323">
        <v>1074138.56</v>
      </c>
      <c r="FR255" s="362">
        <v>114304.77</v>
      </c>
      <c r="FS255" s="362">
        <v>8495.15</v>
      </c>
      <c r="FT255" s="377">
        <v>122799.92</v>
      </c>
      <c r="FU255" s="377">
        <v>1156572.17</v>
      </c>
      <c r="FV255" s="377">
        <v>58319.87</v>
      </c>
      <c r="FW255" s="362">
        <v>1214892.04</v>
      </c>
      <c r="FX255" s="362">
        <v>1070994.1399999999</v>
      </c>
      <c r="FY255" s="362">
        <v>59797.27</v>
      </c>
      <c r="FZ255" s="362">
        <v>1130791.4099999999</v>
      </c>
      <c r="GA255" s="362">
        <v>199882.8</v>
      </c>
      <c r="GB255" s="362">
        <v>7017.75</v>
      </c>
      <c r="GC255" s="362">
        <v>206900.55</v>
      </c>
      <c r="GD255" s="362">
        <v>83541.87</v>
      </c>
      <c r="GE255" s="362">
        <v>10867.04</v>
      </c>
      <c r="GF255" s="362">
        <v>94408.91</v>
      </c>
      <c r="GG255" s="202"/>
      <c r="GH255" s="416">
        <v>0</v>
      </c>
      <c r="GI255" s="414">
        <v>2455</v>
      </c>
      <c r="GJ255" s="419">
        <v>5952</v>
      </c>
      <c r="GK255" s="396"/>
      <c r="GL255" s="202">
        <v>0</v>
      </c>
      <c r="GM255" s="202">
        <v>0</v>
      </c>
      <c r="GN255" s="323">
        <v>134811.79</v>
      </c>
      <c r="GO255" s="323">
        <v>5941.69</v>
      </c>
      <c r="GP255" s="323">
        <v>140753.48000000001</v>
      </c>
      <c r="GQ255" s="323">
        <v>218353.66</v>
      </c>
      <c r="GR255" s="323">
        <v>16808.73</v>
      </c>
      <c r="GS255" s="323">
        <v>235162.39</v>
      </c>
    </row>
    <row r="256" spans="1:201" ht="12.75" customHeight="1" x14ac:dyDescent="0.2">
      <c r="A256" s="45" t="s">
        <v>356</v>
      </c>
      <c r="B256" s="99" t="s">
        <v>299</v>
      </c>
      <c r="C256" s="100" t="s">
        <v>34</v>
      </c>
      <c r="D256" s="388" t="s">
        <v>516</v>
      </c>
      <c r="E256" s="100" t="s">
        <v>12</v>
      </c>
      <c r="F256" s="11">
        <v>9</v>
      </c>
      <c r="G256" s="11">
        <v>2</v>
      </c>
      <c r="H256" s="11">
        <v>72</v>
      </c>
      <c r="I256" s="11">
        <v>73</v>
      </c>
      <c r="J256" s="11">
        <v>171</v>
      </c>
      <c r="K256" s="11">
        <v>192</v>
      </c>
      <c r="L256" s="83">
        <v>2</v>
      </c>
      <c r="M256" s="84">
        <v>594</v>
      </c>
      <c r="N256" s="84">
        <v>602</v>
      </c>
      <c r="O256" s="84">
        <v>0</v>
      </c>
      <c r="P256" s="139">
        <v>337</v>
      </c>
      <c r="Q256" s="135">
        <v>582.4</v>
      </c>
      <c r="R256" s="133">
        <v>0</v>
      </c>
      <c r="S256" s="133">
        <f t="shared" si="106"/>
        <v>919.4</v>
      </c>
      <c r="T256" s="139">
        <v>594</v>
      </c>
      <c r="U256" s="130">
        <v>2.72</v>
      </c>
      <c r="V256" s="131">
        <v>1.21E-2</v>
      </c>
      <c r="W256" s="131">
        <v>1.9800000000000002E-2</v>
      </c>
      <c r="X256" s="132">
        <v>1.2700000000000001E-3</v>
      </c>
      <c r="Y256" s="131">
        <v>1.21E-2</v>
      </c>
      <c r="Z256" s="29">
        <v>3824.28</v>
      </c>
      <c r="AA256" s="29"/>
      <c r="AB256" s="9">
        <f t="shared" si="84"/>
        <v>3824.28</v>
      </c>
      <c r="AC256" s="9">
        <f t="shared" si="112"/>
        <v>24207.69</v>
      </c>
      <c r="AD256" s="9">
        <v>2.14</v>
      </c>
      <c r="AE256" s="9">
        <v>4.42</v>
      </c>
      <c r="AF256" s="21">
        <f>2.43-AJ256</f>
        <v>2.2799999999999998</v>
      </c>
      <c r="AG256" s="18">
        <f>0.62-AQ256</f>
        <v>0.56999999999999995</v>
      </c>
      <c r="AH256" s="19">
        <f>2.78+0.13+0.18</f>
        <v>3.09</v>
      </c>
      <c r="AI256" s="43">
        <v>578</v>
      </c>
      <c r="AJ256" s="21">
        <f t="shared" si="110"/>
        <v>0.15</v>
      </c>
      <c r="AK256" s="9">
        <v>2.2599999999999998</v>
      </c>
      <c r="AL256" s="9">
        <v>0.2</v>
      </c>
      <c r="AM256" s="9">
        <v>0.25</v>
      </c>
      <c r="AN256" s="13"/>
      <c r="AO256" s="13">
        <v>422.4</v>
      </c>
      <c r="AP256" s="13">
        <f t="shared" si="107"/>
        <v>5.58</v>
      </c>
      <c r="AQ256" s="18">
        <f t="shared" si="111"/>
        <v>0.05</v>
      </c>
      <c r="AR256" s="9">
        <v>0.59</v>
      </c>
      <c r="AS256" s="9">
        <v>0.36</v>
      </c>
      <c r="AT256" s="9">
        <v>7.0000000000000007E-2</v>
      </c>
      <c r="AU256" s="9">
        <v>3.38</v>
      </c>
      <c r="AV256" s="9">
        <v>0.17</v>
      </c>
      <c r="AW256" s="9">
        <f>1.47+0.26+0.3</f>
        <v>2.0299999999999998</v>
      </c>
      <c r="AX256" s="9">
        <f>2.08+0.4</f>
        <v>2.48</v>
      </c>
      <c r="AY256" s="102">
        <f t="shared" si="108"/>
        <v>24.49</v>
      </c>
      <c r="AZ256" s="13">
        <v>24.49</v>
      </c>
      <c r="BA256" s="13">
        <f t="shared" si="85"/>
        <v>0</v>
      </c>
      <c r="BB256" s="9">
        <f t="shared" si="86"/>
        <v>93656.62</v>
      </c>
      <c r="BC256" s="9">
        <v>24.49</v>
      </c>
      <c r="BD256" s="10">
        <v>44409</v>
      </c>
      <c r="BE256" s="9">
        <f t="shared" si="88"/>
        <v>8183.96</v>
      </c>
      <c r="BF256" s="9">
        <f t="shared" si="89"/>
        <v>16903.32</v>
      </c>
      <c r="BG256" s="9">
        <f t="shared" si="90"/>
        <v>8719.36</v>
      </c>
      <c r="BH256" s="9">
        <f t="shared" si="91"/>
        <v>2179.84</v>
      </c>
      <c r="BI256" s="9">
        <f t="shared" si="92"/>
        <v>11817.03</v>
      </c>
      <c r="BJ256" s="9">
        <f t="shared" si="93"/>
        <v>573.64</v>
      </c>
      <c r="BK256" s="9">
        <f t="shared" si="94"/>
        <v>8642.8700000000008</v>
      </c>
      <c r="BL256" s="9">
        <f t="shared" si="95"/>
        <v>764.86</v>
      </c>
      <c r="BM256" s="9">
        <f t="shared" si="96"/>
        <v>956.07</v>
      </c>
      <c r="BN256" s="9">
        <f t="shared" si="97"/>
        <v>191.21</v>
      </c>
      <c r="BO256" s="9">
        <f t="shared" si="98"/>
        <v>2256.33</v>
      </c>
      <c r="BP256" s="9">
        <f t="shared" si="99"/>
        <v>1376.74</v>
      </c>
      <c r="BQ256" s="9">
        <f t="shared" si="100"/>
        <v>267.7</v>
      </c>
      <c r="BR256" s="9">
        <f t="shared" si="101"/>
        <v>12926.07</v>
      </c>
      <c r="BS256" s="9">
        <f t="shared" si="102"/>
        <v>650.13</v>
      </c>
      <c r="BT256" s="9">
        <f t="shared" si="103"/>
        <v>7763.29</v>
      </c>
      <c r="BU256" s="9">
        <f t="shared" si="104"/>
        <v>9484.2099999999991</v>
      </c>
      <c r="BV256" s="17">
        <f t="shared" si="105"/>
        <v>93656.63</v>
      </c>
      <c r="BW256" s="17">
        <v>2.63</v>
      </c>
      <c r="BX256" s="17">
        <v>0.03</v>
      </c>
      <c r="BY256" s="17">
        <v>0.3</v>
      </c>
      <c r="BZ256" s="17">
        <v>0.02</v>
      </c>
      <c r="CA256" s="29">
        <v>6.33</v>
      </c>
      <c r="CB256" s="325"/>
      <c r="CC256" s="13">
        <v>0</v>
      </c>
      <c r="CD256" s="13">
        <v>0</v>
      </c>
      <c r="CE256" s="13">
        <v>0</v>
      </c>
      <c r="CF256" s="13">
        <v>0</v>
      </c>
      <c r="CG256" s="13">
        <v>0</v>
      </c>
      <c r="CH256" s="13">
        <v>1488</v>
      </c>
      <c r="CI256" s="13">
        <v>3375.64</v>
      </c>
      <c r="CJ256" s="13">
        <v>34884</v>
      </c>
      <c r="CK256" s="13">
        <v>1470.78</v>
      </c>
      <c r="CL256" s="13">
        <v>1123751.98</v>
      </c>
      <c r="CM256" s="13">
        <v>48685.58</v>
      </c>
      <c r="CN256" s="13">
        <v>17746.13</v>
      </c>
      <c r="CO256" s="13">
        <v>36283.89</v>
      </c>
      <c r="CP256" s="13">
        <v>19308.54</v>
      </c>
      <c r="CQ256" s="13">
        <v>0</v>
      </c>
      <c r="CR256" s="13">
        <v>1005462.45</v>
      </c>
      <c r="CS256" s="13">
        <v>43536.65</v>
      </c>
      <c r="CT256" s="13">
        <v>14246.19</v>
      </c>
      <c r="CU256" s="13">
        <v>32239.55</v>
      </c>
      <c r="CV256" s="13">
        <v>16740.189999999999</v>
      </c>
      <c r="CW256" s="13">
        <v>0</v>
      </c>
      <c r="CX256" s="13">
        <v>247276.47</v>
      </c>
      <c r="CY256" s="13">
        <v>6111.87</v>
      </c>
      <c r="CZ256" s="13">
        <v>5431.67</v>
      </c>
      <c r="DA256" s="13">
        <v>5415.34</v>
      </c>
      <c r="DB256" s="13">
        <v>3060.65</v>
      </c>
      <c r="DC256" s="13"/>
      <c r="DD256" s="315">
        <v>1245776.1200000001</v>
      </c>
      <c r="DE256" s="317">
        <v>1112225.03</v>
      </c>
      <c r="DF256" s="317">
        <v>89.28</v>
      </c>
      <c r="DG256" s="318">
        <v>267296</v>
      </c>
      <c r="DH256" s="310">
        <v>40156.080000000002</v>
      </c>
      <c r="DI256" s="310">
        <v>22965.599999999999</v>
      </c>
      <c r="DJ256" s="312">
        <v>0</v>
      </c>
      <c r="DK256" s="362">
        <v>0</v>
      </c>
      <c r="DL256" s="362"/>
      <c r="DM256" s="362">
        <v>0</v>
      </c>
      <c r="DN256" s="362">
        <v>0</v>
      </c>
      <c r="DO256" s="362">
        <v>0</v>
      </c>
      <c r="DP256" s="362">
        <v>0</v>
      </c>
      <c r="DQ256" s="362">
        <v>0</v>
      </c>
      <c r="DR256" s="362"/>
      <c r="DS256" s="362">
        <v>0</v>
      </c>
      <c r="DT256" s="362"/>
      <c r="DU256" s="362">
        <v>0</v>
      </c>
      <c r="DV256" s="362">
        <v>0</v>
      </c>
      <c r="DW256" s="362">
        <v>103200</v>
      </c>
      <c r="DX256" s="362">
        <v>0</v>
      </c>
      <c r="DY256" s="362">
        <v>9000</v>
      </c>
      <c r="DZ256" s="375">
        <v>0</v>
      </c>
      <c r="EA256" s="362">
        <v>345564</v>
      </c>
      <c r="EB256" s="362">
        <v>8330</v>
      </c>
      <c r="EC256" s="362"/>
      <c r="ED256" s="362">
        <v>0</v>
      </c>
      <c r="EE256" s="362">
        <v>0</v>
      </c>
      <c r="EF256" s="362"/>
      <c r="EG256" s="362">
        <v>9198</v>
      </c>
      <c r="EH256" s="362">
        <v>0</v>
      </c>
      <c r="EI256" s="362"/>
      <c r="EJ256" s="362">
        <v>0</v>
      </c>
      <c r="EK256" s="362"/>
      <c r="EL256" s="362">
        <v>0</v>
      </c>
      <c r="EM256" s="362">
        <v>2356.98</v>
      </c>
      <c r="EN256" s="362">
        <v>243920.58</v>
      </c>
      <c r="EO256" s="362">
        <v>744</v>
      </c>
      <c r="EP256" s="362">
        <v>0</v>
      </c>
      <c r="EQ256" s="362">
        <v>0</v>
      </c>
      <c r="ER256" s="362">
        <v>13650</v>
      </c>
      <c r="ES256" s="362">
        <v>4710</v>
      </c>
      <c r="ET256" s="362">
        <v>8988</v>
      </c>
      <c r="EU256" s="362">
        <v>0</v>
      </c>
      <c r="EV256" s="362">
        <v>94915.28</v>
      </c>
      <c r="EW256" s="362"/>
      <c r="EX256" s="202"/>
      <c r="EY256" s="202"/>
      <c r="EZ256" s="229"/>
      <c r="FA256" s="368">
        <v>48711.21</v>
      </c>
      <c r="FB256" s="368">
        <v>47607.97</v>
      </c>
      <c r="FC256" s="368">
        <v>0</v>
      </c>
      <c r="FD256" s="368">
        <v>0</v>
      </c>
      <c r="FE256" s="368">
        <v>26700.54</v>
      </c>
      <c r="FF256" s="368">
        <v>14107.57</v>
      </c>
      <c r="FG256" s="368">
        <v>-864.77</v>
      </c>
      <c r="FH256" s="368">
        <v>-1430.51</v>
      </c>
      <c r="FI256" s="368">
        <v>-11365.65</v>
      </c>
      <c r="FJ256" s="368">
        <v>0</v>
      </c>
      <c r="FK256" s="368">
        <v>48022.18</v>
      </c>
      <c r="FL256" s="368">
        <v>0</v>
      </c>
      <c r="FM256" s="368">
        <v>102230.76</v>
      </c>
      <c r="FN256" s="368">
        <v>65003.55</v>
      </c>
      <c r="FO256" s="323">
        <v>1074932.83</v>
      </c>
      <c r="FP256" s="323">
        <v>171488.54</v>
      </c>
      <c r="FQ256" s="323">
        <v>1246421.3700000001</v>
      </c>
      <c r="FR256" s="362">
        <v>132819.4</v>
      </c>
      <c r="FS256" s="362">
        <v>1691.75</v>
      </c>
      <c r="FT256" s="377">
        <v>134511.15</v>
      </c>
      <c r="FU256" s="377">
        <v>1162011.6200000001</v>
      </c>
      <c r="FV256" s="377">
        <v>124982.92</v>
      </c>
      <c r="FW256" s="362">
        <v>1286994.54</v>
      </c>
      <c r="FX256" s="362">
        <v>1047554.55</v>
      </c>
      <c r="FY256" s="362">
        <v>106655.14</v>
      </c>
      <c r="FZ256" s="362">
        <v>1154209.69</v>
      </c>
      <c r="GA256" s="362">
        <v>247276.47</v>
      </c>
      <c r="GB256" s="362">
        <v>20019.53</v>
      </c>
      <c r="GC256" s="362">
        <v>267296</v>
      </c>
      <c r="GD256" s="362">
        <v>79467.710000000006</v>
      </c>
      <c r="GE256" s="362">
        <v>-6300.81</v>
      </c>
      <c r="GF256" s="362">
        <v>73166.899999999994</v>
      </c>
      <c r="GG256" s="202"/>
      <c r="GH256" s="416">
        <v>0</v>
      </c>
      <c r="GI256" s="414">
        <v>2455</v>
      </c>
      <c r="GJ256" s="419">
        <v>1488</v>
      </c>
      <c r="GK256" s="396"/>
      <c r="GL256" s="202">
        <v>0</v>
      </c>
      <c r="GM256" s="202">
        <v>0</v>
      </c>
      <c r="GN256" s="323">
        <v>87078.79</v>
      </c>
      <c r="GO256" s="323">
        <v>-46505.62</v>
      </c>
      <c r="GP256" s="323">
        <v>40573.17</v>
      </c>
      <c r="GQ256" s="323">
        <v>166546.5</v>
      </c>
      <c r="GR256" s="323">
        <v>-52806.43</v>
      </c>
      <c r="GS256" s="323">
        <v>113740.07</v>
      </c>
    </row>
    <row r="257" spans="1:201" ht="12.75" customHeight="1" x14ac:dyDescent="0.2">
      <c r="A257" s="45" t="s">
        <v>357</v>
      </c>
      <c r="B257" s="113" t="s">
        <v>299</v>
      </c>
      <c r="C257" s="114" t="s">
        <v>34</v>
      </c>
      <c r="D257" s="388" t="s">
        <v>594</v>
      </c>
      <c r="E257" s="114" t="s">
        <v>9</v>
      </c>
      <c r="F257" s="11">
        <v>5</v>
      </c>
      <c r="G257" s="11">
        <v>6</v>
      </c>
      <c r="H257" s="11">
        <v>90</v>
      </c>
      <c r="I257" s="11">
        <v>91</v>
      </c>
      <c r="J257" s="11">
        <v>193</v>
      </c>
      <c r="K257" s="11">
        <v>211</v>
      </c>
      <c r="L257" s="11" t="s">
        <v>746</v>
      </c>
      <c r="M257" s="84">
        <v>416</v>
      </c>
      <c r="N257" s="84">
        <v>1287</v>
      </c>
      <c r="O257" s="84">
        <v>0</v>
      </c>
      <c r="P257" s="135">
        <v>395.6</v>
      </c>
      <c r="Q257" s="135">
        <v>1285</v>
      </c>
      <c r="R257" s="133">
        <v>0</v>
      </c>
      <c r="S257" s="133">
        <f t="shared" si="106"/>
        <v>1680.6</v>
      </c>
      <c r="T257" s="134">
        <v>395.5</v>
      </c>
      <c r="U257" s="130">
        <v>1.53</v>
      </c>
      <c r="V257" s="131">
        <v>1.9800000000000002E-2</v>
      </c>
      <c r="W257" s="131">
        <v>1.9800000000000002E-2</v>
      </c>
      <c r="X257" s="132">
        <v>1.2199999999999999E-3</v>
      </c>
      <c r="Y257" s="131">
        <v>3.95E-2</v>
      </c>
      <c r="Z257" s="29">
        <v>3926.81</v>
      </c>
      <c r="AA257" s="29"/>
      <c r="AB257" s="9">
        <f t="shared" si="84"/>
        <v>3926.81</v>
      </c>
      <c r="AC257" s="9">
        <f t="shared" si="112"/>
        <v>24856.71</v>
      </c>
      <c r="AD257" s="9">
        <v>0.51</v>
      </c>
      <c r="AE257" s="9">
        <v>4.88</v>
      </c>
      <c r="AF257" s="21">
        <f>2.51-AJ257</f>
        <v>2.2000000000000002</v>
      </c>
      <c r="AG257" s="18">
        <f>0.57-AQ257</f>
        <v>0.46</v>
      </c>
      <c r="AH257" s="9">
        <v>2.78</v>
      </c>
      <c r="AI257" s="43">
        <v>1235</v>
      </c>
      <c r="AJ257" s="21">
        <f t="shared" si="110"/>
        <v>0.31</v>
      </c>
      <c r="AK257" s="9">
        <v>0</v>
      </c>
      <c r="AL257" s="9">
        <v>0</v>
      </c>
      <c r="AM257" s="9">
        <v>0.15</v>
      </c>
      <c r="AN257" s="13"/>
      <c r="AO257" s="13">
        <v>901.8</v>
      </c>
      <c r="AP257" s="13">
        <f t="shared" si="107"/>
        <v>5.58</v>
      </c>
      <c r="AQ257" s="18">
        <f t="shared" si="111"/>
        <v>0.11</v>
      </c>
      <c r="AR257" s="9">
        <v>0.8</v>
      </c>
      <c r="AS257" s="9">
        <v>0.35</v>
      </c>
      <c r="AT257" s="9">
        <v>7.0000000000000007E-2</v>
      </c>
      <c r="AU257" s="9">
        <v>3.64</v>
      </c>
      <c r="AV257" s="9">
        <v>0.13</v>
      </c>
      <c r="AW257" s="9">
        <f>1.13+0.33+0.31</f>
        <v>1.77</v>
      </c>
      <c r="AX257" s="9">
        <f>1.55+0.43</f>
        <v>1.98</v>
      </c>
      <c r="AY257" s="110">
        <f t="shared" si="108"/>
        <v>20.14</v>
      </c>
      <c r="AZ257" s="13">
        <v>20.14</v>
      </c>
      <c r="BA257" s="13">
        <f t="shared" si="85"/>
        <v>0</v>
      </c>
      <c r="BB257" s="9">
        <f t="shared" si="86"/>
        <v>79085.95</v>
      </c>
      <c r="BC257" s="9">
        <v>20.14</v>
      </c>
      <c r="BD257" s="10">
        <v>44409</v>
      </c>
      <c r="BE257" s="9">
        <f t="shared" si="88"/>
        <v>2002.67</v>
      </c>
      <c r="BF257" s="9">
        <f t="shared" si="89"/>
        <v>19162.830000000002</v>
      </c>
      <c r="BG257" s="9">
        <f t="shared" si="90"/>
        <v>8638.98</v>
      </c>
      <c r="BH257" s="9">
        <f t="shared" si="91"/>
        <v>1806.33</v>
      </c>
      <c r="BI257" s="9">
        <f t="shared" si="92"/>
        <v>10916.53</v>
      </c>
      <c r="BJ257" s="9">
        <f t="shared" si="93"/>
        <v>1217.31</v>
      </c>
      <c r="BK257" s="9">
        <f t="shared" si="94"/>
        <v>0</v>
      </c>
      <c r="BL257" s="9">
        <f t="shared" si="95"/>
        <v>0</v>
      </c>
      <c r="BM257" s="9">
        <f t="shared" si="96"/>
        <v>589.02</v>
      </c>
      <c r="BN257" s="9">
        <f t="shared" si="97"/>
        <v>431.95</v>
      </c>
      <c r="BO257" s="9">
        <f t="shared" si="98"/>
        <v>3141.45</v>
      </c>
      <c r="BP257" s="9">
        <f t="shared" si="99"/>
        <v>1374.38</v>
      </c>
      <c r="BQ257" s="9">
        <f t="shared" si="100"/>
        <v>274.88</v>
      </c>
      <c r="BR257" s="9">
        <f t="shared" si="101"/>
        <v>14293.59</v>
      </c>
      <c r="BS257" s="9">
        <f t="shared" si="102"/>
        <v>510.49</v>
      </c>
      <c r="BT257" s="9">
        <f t="shared" si="103"/>
        <v>6950.45</v>
      </c>
      <c r="BU257" s="9">
        <f t="shared" si="104"/>
        <v>7775.08</v>
      </c>
      <c r="BV257" s="17">
        <f t="shared" si="105"/>
        <v>79085.94</v>
      </c>
      <c r="BW257" s="17">
        <v>0.62</v>
      </c>
      <c r="BX257" s="17">
        <v>0.06</v>
      </c>
      <c r="BY257" s="17">
        <v>0.31</v>
      </c>
      <c r="BZ257" s="17">
        <v>0.06</v>
      </c>
      <c r="CA257" s="29">
        <v>6.33</v>
      </c>
      <c r="CB257" s="325"/>
      <c r="CC257" s="13">
        <v>0</v>
      </c>
      <c r="CD257" s="13">
        <v>0</v>
      </c>
      <c r="CE257" s="13">
        <v>0</v>
      </c>
      <c r="CF257" s="13">
        <v>0</v>
      </c>
      <c r="CG257" s="13">
        <v>0</v>
      </c>
      <c r="CH257" s="13">
        <v>0</v>
      </c>
      <c r="CI257" s="13">
        <v>10641.67</v>
      </c>
      <c r="CJ257" s="13">
        <v>21588</v>
      </c>
      <c r="CK257" s="13">
        <v>1509.89</v>
      </c>
      <c r="CL257" s="13">
        <v>949134.34</v>
      </c>
      <c r="CM257" s="13">
        <v>15162.1</v>
      </c>
      <c r="CN257" s="13">
        <v>4.1100000000000003</v>
      </c>
      <c r="CO257" s="13">
        <v>26735.99</v>
      </c>
      <c r="CP257" s="13">
        <v>15508.26</v>
      </c>
      <c r="CQ257" s="13">
        <v>0</v>
      </c>
      <c r="CR257" s="13">
        <v>876934.51</v>
      </c>
      <c r="CS257" s="13">
        <v>15085.84</v>
      </c>
      <c r="CT257" s="13">
        <v>579.41999999999996</v>
      </c>
      <c r="CU257" s="13">
        <v>40815.730000000003</v>
      </c>
      <c r="CV257" s="13">
        <v>22297.14</v>
      </c>
      <c r="CW257" s="13">
        <v>0</v>
      </c>
      <c r="CX257" s="13">
        <v>208507.03</v>
      </c>
      <c r="CY257" s="13">
        <v>-938.39</v>
      </c>
      <c r="CZ257" s="13">
        <v>-1017.22</v>
      </c>
      <c r="DA257" s="13">
        <v>7174.51</v>
      </c>
      <c r="DB257" s="13">
        <v>3939.8</v>
      </c>
      <c r="DC257" s="13"/>
      <c r="DD257" s="315">
        <v>1006544.8</v>
      </c>
      <c r="DE257" s="317">
        <v>955712.64</v>
      </c>
      <c r="DF257" s="317">
        <v>94.95</v>
      </c>
      <c r="DG257" s="318">
        <v>217665.73</v>
      </c>
      <c r="DH257" s="310">
        <v>41251.199999999997</v>
      </c>
      <c r="DI257" s="310">
        <v>23592</v>
      </c>
      <c r="DJ257" s="312">
        <v>0</v>
      </c>
      <c r="DK257" s="362">
        <v>0</v>
      </c>
      <c r="DL257" s="362"/>
      <c r="DM257" s="362">
        <v>0</v>
      </c>
      <c r="DN257" s="362">
        <v>0</v>
      </c>
      <c r="DO257" s="362">
        <v>0</v>
      </c>
      <c r="DP257" s="362">
        <v>0</v>
      </c>
      <c r="DQ257" s="362">
        <v>0</v>
      </c>
      <c r="DR257" s="362"/>
      <c r="DS257" s="362">
        <v>0</v>
      </c>
      <c r="DT257" s="362"/>
      <c r="DU257" s="362">
        <v>0</v>
      </c>
      <c r="DV257" s="362">
        <v>0</v>
      </c>
      <c r="DW257" s="362">
        <v>0</v>
      </c>
      <c r="DX257" s="362">
        <v>0</v>
      </c>
      <c r="DY257" s="362">
        <v>0</v>
      </c>
      <c r="DZ257" s="375">
        <v>0</v>
      </c>
      <c r="EA257" s="362">
        <v>291810</v>
      </c>
      <c r="EB257" s="362">
        <v>8330</v>
      </c>
      <c r="EC257" s="362"/>
      <c r="ED257" s="362">
        <v>0</v>
      </c>
      <c r="EE257" s="362">
        <v>0</v>
      </c>
      <c r="EF257" s="362"/>
      <c r="EG257" s="362">
        <v>19656</v>
      </c>
      <c r="EH257" s="362">
        <v>2100</v>
      </c>
      <c r="EI257" s="362"/>
      <c r="EJ257" s="362">
        <v>5700</v>
      </c>
      <c r="EK257" s="362"/>
      <c r="EL257" s="362">
        <v>0</v>
      </c>
      <c r="EM257" s="362">
        <v>5032.05</v>
      </c>
      <c r="EN257" s="362">
        <v>246522</v>
      </c>
      <c r="EO257" s="362">
        <v>0</v>
      </c>
      <c r="EP257" s="362">
        <v>0</v>
      </c>
      <c r="EQ257" s="362">
        <v>0</v>
      </c>
      <c r="ER257" s="362">
        <v>16380</v>
      </c>
      <c r="ES257" s="362">
        <v>2885</v>
      </c>
      <c r="ET257" s="362">
        <v>14628</v>
      </c>
      <c r="EU257" s="362">
        <v>0</v>
      </c>
      <c r="EV257" s="362">
        <v>740608.22</v>
      </c>
      <c r="EW257" s="362"/>
      <c r="EX257" s="202"/>
      <c r="EY257" s="202"/>
      <c r="EZ257" s="229"/>
      <c r="FA257" s="368">
        <v>15173.34</v>
      </c>
      <c r="FB257" s="368">
        <v>0</v>
      </c>
      <c r="FC257" s="368">
        <v>0</v>
      </c>
      <c r="FD257" s="368">
        <v>0</v>
      </c>
      <c r="FE257" s="368">
        <v>14695.79</v>
      </c>
      <c r="FF257" s="368">
        <v>8805.36</v>
      </c>
      <c r="FG257" s="368">
        <v>-2242.9899999999998</v>
      </c>
      <c r="FH257" s="368">
        <v>-2178.7199999999998</v>
      </c>
      <c r="FI257" s="368">
        <v>0</v>
      </c>
      <c r="FJ257" s="368">
        <v>0</v>
      </c>
      <c r="FK257" s="368">
        <v>21917.16</v>
      </c>
      <c r="FL257" s="368">
        <v>0</v>
      </c>
      <c r="FM257" s="368">
        <v>104967.43</v>
      </c>
      <c r="FN257" s="368">
        <v>66743.94</v>
      </c>
      <c r="FO257" s="323">
        <v>1590205.84</v>
      </c>
      <c r="FP257" s="323">
        <v>56169.94</v>
      </c>
      <c r="FQ257" s="323">
        <v>1646375.78</v>
      </c>
      <c r="FR257" s="362">
        <v>111982.09</v>
      </c>
      <c r="FS257" s="362">
        <v>25846.15</v>
      </c>
      <c r="FT257" s="377">
        <v>137828.24</v>
      </c>
      <c r="FU257" s="377">
        <v>981364.01</v>
      </c>
      <c r="FV257" s="377">
        <v>58920.35</v>
      </c>
      <c r="FW257" s="362">
        <v>1040284.36</v>
      </c>
      <c r="FX257" s="362">
        <v>884839.07</v>
      </c>
      <c r="FY257" s="362">
        <v>75607.8</v>
      </c>
      <c r="FZ257" s="362">
        <v>960446.87</v>
      </c>
      <c r="GA257" s="362">
        <v>208507.03</v>
      </c>
      <c r="GB257" s="362">
        <v>9158.7000000000007</v>
      </c>
      <c r="GC257" s="362">
        <v>217665.73</v>
      </c>
      <c r="GD257" s="362">
        <v>72480.53</v>
      </c>
      <c r="GE257" s="362">
        <v>-11267.29</v>
      </c>
      <c r="GF257" s="362">
        <v>61213.24</v>
      </c>
      <c r="GG257" s="202"/>
      <c r="GH257" s="416"/>
      <c r="GI257" s="414">
        <v>1439</v>
      </c>
      <c r="GJ257" s="419">
        <v>0</v>
      </c>
      <c r="GK257" s="396"/>
      <c r="GL257" s="202">
        <v>0</v>
      </c>
      <c r="GM257" s="202">
        <v>0</v>
      </c>
      <c r="GN257" s="323">
        <v>-608841.82999999996</v>
      </c>
      <c r="GO257" s="323">
        <v>2750.41</v>
      </c>
      <c r="GP257" s="323">
        <v>-606091.42000000004</v>
      </c>
      <c r="GQ257" s="323">
        <v>-536361.30000000005</v>
      </c>
      <c r="GR257" s="323">
        <v>-8516.8799999999992</v>
      </c>
      <c r="GS257" s="323">
        <v>-544878.18000000005</v>
      </c>
    </row>
    <row r="258" spans="1:201" ht="12.75" customHeight="1" x14ac:dyDescent="0.2">
      <c r="A258" s="45" t="s">
        <v>359</v>
      </c>
      <c r="B258" s="99" t="s">
        <v>299</v>
      </c>
      <c r="C258" s="100" t="s">
        <v>37</v>
      </c>
      <c r="D258" s="388" t="s">
        <v>517</v>
      </c>
      <c r="E258" s="100" t="s">
        <v>12</v>
      </c>
      <c r="F258" s="11">
        <v>9</v>
      </c>
      <c r="G258" s="11">
        <v>4</v>
      </c>
      <c r="H258" s="11">
        <v>216</v>
      </c>
      <c r="I258" s="11">
        <v>214</v>
      </c>
      <c r="J258" s="11">
        <v>458</v>
      </c>
      <c r="K258" s="11">
        <v>517</v>
      </c>
      <c r="L258" s="11">
        <v>4</v>
      </c>
      <c r="M258" s="84">
        <v>1484</v>
      </c>
      <c r="N258" s="84">
        <v>1687</v>
      </c>
      <c r="O258" s="84">
        <v>0</v>
      </c>
      <c r="P258" s="139">
        <v>1487.5</v>
      </c>
      <c r="Q258" s="135">
        <v>1696</v>
      </c>
      <c r="R258" s="133">
        <v>0</v>
      </c>
      <c r="S258" s="133">
        <f t="shared" si="106"/>
        <v>3183.5</v>
      </c>
      <c r="T258" s="139">
        <v>1484</v>
      </c>
      <c r="U258" s="130">
        <v>2.72</v>
      </c>
      <c r="V258" s="131">
        <v>1.21E-2</v>
      </c>
      <c r="W258" s="131">
        <v>1.9800000000000002E-2</v>
      </c>
      <c r="X258" s="132">
        <v>1.2700000000000001E-3</v>
      </c>
      <c r="Y258" s="131">
        <v>1.21E-2</v>
      </c>
      <c r="Z258" s="29">
        <v>10697.25</v>
      </c>
      <c r="AA258" s="29">
        <v>184.2</v>
      </c>
      <c r="AB258" s="9">
        <f t="shared" si="84"/>
        <v>10881.45</v>
      </c>
      <c r="AC258" s="9">
        <f t="shared" si="112"/>
        <v>68879.58</v>
      </c>
      <c r="AD258" s="9">
        <v>1.87</v>
      </c>
      <c r="AE258" s="9">
        <v>4.8099999999999996</v>
      </c>
      <c r="AF258" s="21">
        <f>2.41-AJ258</f>
        <v>2.2599999999999998</v>
      </c>
      <c r="AG258" s="18">
        <f>0.6-AQ258</f>
        <v>0.55000000000000004</v>
      </c>
      <c r="AH258" s="19">
        <f>2.77+0.05+0.11</f>
        <v>2.93</v>
      </c>
      <c r="AI258" s="43">
        <v>1620</v>
      </c>
      <c r="AJ258" s="21">
        <f t="shared" si="110"/>
        <v>0.15</v>
      </c>
      <c r="AK258" s="9">
        <v>1.59</v>
      </c>
      <c r="AL258" s="9">
        <v>0.14000000000000001</v>
      </c>
      <c r="AM258" s="9">
        <v>0.09</v>
      </c>
      <c r="AN258" s="13"/>
      <c r="AO258" s="13">
        <v>1267.2</v>
      </c>
      <c r="AP258" s="13">
        <f t="shared" si="107"/>
        <v>5.58</v>
      </c>
      <c r="AQ258" s="18">
        <f t="shared" si="111"/>
        <v>0.05</v>
      </c>
      <c r="AR258" s="9">
        <v>0.63</v>
      </c>
      <c r="AS258" s="9">
        <v>0.13</v>
      </c>
      <c r="AT258" s="9">
        <v>7.0000000000000007E-2</v>
      </c>
      <c r="AU258" s="9">
        <v>3.44</v>
      </c>
      <c r="AV258" s="9">
        <v>0.16</v>
      </c>
      <c r="AW258" s="9">
        <f>1.37+0.26+0.3</f>
        <v>1.93</v>
      </c>
      <c r="AX258" s="9">
        <f>1.9+0.41</f>
        <v>2.31</v>
      </c>
      <c r="AY258" s="102">
        <f t="shared" si="108"/>
        <v>23.11</v>
      </c>
      <c r="AZ258" s="13">
        <v>23.11</v>
      </c>
      <c r="BA258" s="13">
        <f t="shared" si="85"/>
        <v>0</v>
      </c>
      <c r="BB258" s="9">
        <f t="shared" si="86"/>
        <v>251470.31</v>
      </c>
      <c r="BC258" s="9">
        <v>23.11</v>
      </c>
      <c r="BD258" s="10">
        <v>44378</v>
      </c>
      <c r="BE258" s="9">
        <f t="shared" si="88"/>
        <v>20348.310000000001</v>
      </c>
      <c r="BF258" s="9">
        <f t="shared" si="89"/>
        <v>52339.77</v>
      </c>
      <c r="BG258" s="9">
        <f t="shared" si="90"/>
        <v>24592.080000000002</v>
      </c>
      <c r="BH258" s="9">
        <f t="shared" si="91"/>
        <v>5984.8</v>
      </c>
      <c r="BI258" s="9">
        <f t="shared" si="92"/>
        <v>31882.65</v>
      </c>
      <c r="BJ258" s="9">
        <f t="shared" si="93"/>
        <v>1632.22</v>
      </c>
      <c r="BK258" s="9">
        <f t="shared" si="94"/>
        <v>17301.509999999998</v>
      </c>
      <c r="BL258" s="9">
        <f t="shared" si="95"/>
        <v>1523.4</v>
      </c>
      <c r="BM258" s="9">
        <f t="shared" si="96"/>
        <v>979.33</v>
      </c>
      <c r="BN258" s="9">
        <f t="shared" si="97"/>
        <v>544.07000000000005</v>
      </c>
      <c r="BO258" s="9">
        <f t="shared" si="98"/>
        <v>6855.31</v>
      </c>
      <c r="BP258" s="9">
        <f t="shared" si="99"/>
        <v>1414.59</v>
      </c>
      <c r="BQ258" s="9">
        <f t="shared" si="100"/>
        <v>761.7</v>
      </c>
      <c r="BR258" s="9">
        <f t="shared" si="101"/>
        <v>37432.19</v>
      </c>
      <c r="BS258" s="9">
        <f t="shared" si="102"/>
        <v>1741.03</v>
      </c>
      <c r="BT258" s="9">
        <f t="shared" si="103"/>
        <v>21001.200000000001</v>
      </c>
      <c r="BU258" s="9">
        <f t="shared" si="104"/>
        <v>25136.15</v>
      </c>
      <c r="BV258" s="17">
        <f t="shared" si="105"/>
        <v>251470.31</v>
      </c>
      <c r="BW258" s="17">
        <v>1.58</v>
      </c>
      <c r="BX258" s="17">
        <v>0.05</v>
      </c>
      <c r="BY258" s="17">
        <v>0.47</v>
      </c>
      <c r="BZ258" s="17">
        <v>0.03</v>
      </c>
      <c r="CA258" s="29">
        <v>6.33</v>
      </c>
      <c r="CB258" s="325"/>
      <c r="CC258" s="13">
        <v>16278.72</v>
      </c>
      <c r="CD258" s="13">
        <v>-18705.830000000002</v>
      </c>
      <c r="CE258" s="13">
        <v>495.43</v>
      </c>
      <c r="CF258" s="13">
        <v>565.29</v>
      </c>
      <c r="CG258" s="13">
        <v>306.42</v>
      </c>
      <c r="CH258" s="13">
        <v>0</v>
      </c>
      <c r="CI258" s="13">
        <v>12592.14</v>
      </c>
      <c r="CJ258" s="13">
        <v>50700</v>
      </c>
      <c r="CK258" s="13">
        <v>4183.62</v>
      </c>
      <c r="CL258" s="13">
        <v>2965887.4</v>
      </c>
      <c r="CM258" s="13">
        <v>207371.32</v>
      </c>
      <c r="CN258" s="13">
        <v>88430.95</v>
      </c>
      <c r="CO258" s="13">
        <v>104789.27</v>
      </c>
      <c r="CP258" s="13">
        <v>55817.72</v>
      </c>
      <c r="CQ258" s="13">
        <v>0</v>
      </c>
      <c r="CR258" s="13">
        <v>2774312.47</v>
      </c>
      <c r="CS258" s="13">
        <v>181333.64</v>
      </c>
      <c r="CT258" s="13">
        <v>108906.32</v>
      </c>
      <c r="CU258" s="13">
        <v>94536.29</v>
      </c>
      <c r="CV258" s="13">
        <v>49609.61</v>
      </c>
      <c r="CW258" s="13">
        <v>0</v>
      </c>
      <c r="CX258" s="13">
        <v>562521.36</v>
      </c>
      <c r="CY258" s="13">
        <v>35194.300000000003</v>
      </c>
      <c r="CZ258" s="13">
        <v>12092.93</v>
      </c>
      <c r="DA258" s="13">
        <v>12926.05</v>
      </c>
      <c r="DB258" s="13">
        <v>6821.31</v>
      </c>
      <c r="DC258" s="13"/>
      <c r="DD258" s="315">
        <v>3422296.66</v>
      </c>
      <c r="DE258" s="317">
        <v>3208698.33</v>
      </c>
      <c r="DF258" s="317">
        <v>93.76</v>
      </c>
      <c r="DG258" s="318">
        <v>629555.94999999995</v>
      </c>
      <c r="DH258" s="310">
        <v>112358.28</v>
      </c>
      <c r="DI258" s="310">
        <v>64258.92</v>
      </c>
      <c r="DJ258" s="312">
        <v>0</v>
      </c>
      <c r="DK258" s="362">
        <v>0</v>
      </c>
      <c r="DL258" s="362"/>
      <c r="DM258" s="362">
        <v>0</v>
      </c>
      <c r="DN258" s="362">
        <v>0</v>
      </c>
      <c r="DO258" s="362">
        <v>0</v>
      </c>
      <c r="DP258" s="362">
        <v>0</v>
      </c>
      <c r="DQ258" s="362">
        <v>0</v>
      </c>
      <c r="DR258" s="362"/>
      <c r="DS258" s="362">
        <v>0</v>
      </c>
      <c r="DT258" s="362"/>
      <c r="DU258" s="362">
        <v>0</v>
      </c>
      <c r="DV258" s="362">
        <v>0</v>
      </c>
      <c r="DW258" s="362">
        <v>206400</v>
      </c>
      <c r="DX258" s="362">
        <v>0</v>
      </c>
      <c r="DY258" s="362">
        <v>18000</v>
      </c>
      <c r="DZ258" s="375">
        <v>3800</v>
      </c>
      <c r="EA258" s="362">
        <v>1003452</v>
      </c>
      <c r="EB258" s="362">
        <v>9350</v>
      </c>
      <c r="EC258" s="362"/>
      <c r="ED258" s="362">
        <v>0</v>
      </c>
      <c r="EE258" s="362">
        <v>0</v>
      </c>
      <c r="EF258" s="362"/>
      <c r="EG258" s="362">
        <v>25782</v>
      </c>
      <c r="EH258" s="362">
        <v>0</v>
      </c>
      <c r="EI258" s="362"/>
      <c r="EJ258" s="362">
        <v>0</v>
      </c>
      <c r="EK258" s="362"/>
      <c r="EL258" s="362">
        <v>0</v>
      </c>
      <c r="EM258" s="362">
        <v>7070.97</v>
      </c>
      <c r="EN258" s="362">
        <v>679011.48</v>
      </c>
      <c r="EO258" s="362">
        <v>0</v>
      </c>
      <c r="EP258" s="362">
        <v>0</v>
      </c>
      <c r="EQ258" s="362">
        <v>0</v>
      </c>
      <c r="ER258" s="362">
        <v>15015</v>
      </c>
      <c r="ES258" s="362">
        <v>11304</v>
      </c>
      <c r="ET258" s="362">
        <v>27123</v>
      </c>
      <c r="EU258" s="362">
        <v>0</v>
      </c>
      <c r="EV258" s="362">
        <v>72582.19</v>
      </c>
      <c r="EW258" s="362"/>
      <c r="EX258" s="202"/>
      <c r="EY258" s="202"/>
      <c r="EZ258" s="229"/>
      <c r="FA258" s="368">
        <v>231176.12</v>
      </c>
      <c r="FB258" s="368">
        <v>20424.04</v>
      </c>
      <c r="FC258" s="368">
        <v>0</v>
      </c>
      <c r="FD258" s="368">
        <v>0</v>
      </c>
      <c r="FE258" s="368">
        <v>49401.85</v>
      </c>
      <c r="FF258" s="368">
        <v>26282.36</v>
      </c>
      <c r="FG258" s="368">
        <v>-297.26</v>
      </c>
      <c r="FH258" s="368">
        <v>-2273.2600000000002</v>
      </c>
      <c r="FI258" s="368">
        <v>0</v>
      </c>
      <c r="FJ258" s="368">
        <v>0</v>
      </c>
      <c r="FK258" s="368">
        <v>10905.93</v>
      </c>
      <c r="FL258" s="368">
        <v>0</v>
      </c>
      <c r="FM258" s="368">
        <v>290850.93</v>
      </c>
      <c r="FN258" s="368">
        <v>184937.53</v>
      </c>
      <c r="FO258" s="323">
        <v>2731296.3</v>
      </c>
      <c r="FP258" s="323">
        <v>335619.78</v>
      </c>
      <c r="FQ258" s="323">
        <v>3066916.08</v>
      </c>
      <c r="FR258" s="362">
        <v>346444</v>
      </c>
      <c r="FS258" s="362">
        <v>45505.7</v>
      </c>
      <c r="FT258" s="377">
        <v>391949.7</v>
      </c>
      <c r="FU258" s="377">
        <v>3045458.26</v>
      </c>
      <c r="FV258" s="377">
        <v>443254.19</v>
      </c>
      <c r="FW258" s="362">
        <v>3488712.45</v>
      </c>
      <c r="FX258" s="362">
        <v>2817453.02</v>
      </c>
      <c r="FY258" s="362">
        <v>421725.3</v>
      </c>
      <c r="FZ258" s="362">
        <v>3239178.32</v>
      </c>
      <c r="GA258" s="362">
        <v>574449.24</v>
      </c>
      <c r="GB258" s="362">
        <v>67034.59</v>
      </c>
      <c r="GC258" s="362">
        <v>641483.82999999996</v>
      </c>
      <c r="GD258" s="362">
        <v>273308.36</v>
      </c>
      <c r="GE258" s="362">
        <v>-121958.39</v>
      </c>
      <c r="GF258" s="362">
        <v>151349.97</v>
      </c>
      <c r="GG258" s="202">
        <v>11927.88</v>
      </c>
      <c r="GH258" s="416">
        <v>100</v>
      </c>
      <c r="GI258" s="414">
        <v>2963</v>
      </c>
      <c r="GJ258" s="419">
        <v>-1059.97</v>
      </c>
      <c r="GK258" s="396">
        <v>11927.88</v>
      </c>
      <c r="GL258" s="202">
        <v>11927.88</v>
      </c>
      <c r="GM258" s="202">
        <v>0</v>
      </c>
      <c r="GN258" s="323">
        <v>314161.96000000002</v>
      </c>
      <c r="GO258" s="323">
        <v>107634.41</v>
      </c>
      <c r="GP258" s="323">
        <v>421796.37</v>
      </c>
      <c r="GQ258" s="323">
        <v>587470.31999999995</v>
      </c>
      <c r="GR258" s="323">
        <v>-14323.98</v>
      </c>
      <c r="GS258" s="323">
        <v>573146.34</v>
      </c>
    </row>
    <row r="259" spans="1:201" ht="12.75" customHeight="1" x14ac:dyDescent="0.2">
      <c r="A259" s="45" t="s">
        <v>360</v>
      </c>
      <c r="B259" s="113" t="s">
        <v>299</v>
      </c>
      <c r="C259" s="114" t="s">
        <v>37</v>
      </c>
      <c r="D259" s="388" t="s">
        <v>595</v>
      </c>
      <c r="E259" s="114" t="s">
        <v>9</v>
      </c>
      <c r="F259" s="11">
        <v>5</v>
      </c>
      <c r="G259" s="11">
        <v>6</v>
      </c>
      <c r="H259" s="11">
        <v>90</v>
      </c>
      <c r="I259" s="11">
        <v>93</v>
      </c>
      <c r="J259" s="11">
        <v>182</v>
      </c>
      <c r="K259" s="11">
        <v>200</v>
      </c>
      <c r="L259" s="11" t="s">
        <v>746</v>
      </c>
      <c r="M259" s="84">
        <v>409</v>
      </c>
      <c r="N259" s="84">
        <v>1287</v>
      </c>
      <c r="O259" s="84">
        <v>0</v>
      </c>
      <c r="P259" s="139">
        <v>407</v>
      </c>
      <c r="Q259" s="135" t="s">
        <v>808</v>
      </c>
      <c r="R259" s="133">
        <v>0</v>
      </c>
      <c r="S259" s="133">
        <f t="shared" si="106"/>
        <v>407</v>
      </c>
      <c r="T259" s="139">
        <v>409</v>
      </c>
      <c r="U259" s="130">
        <v>1.83</v>
      </c>
      <c r="V259" s="131">
        <v>1.1299999999999999E-2</v>
      </c>
      <c r="W259" s="131">
        <v>1.9800000000000002E-2</v>
      </c>
      <c r="X259" s="132">
        <v>1.2700000000000001E-3</v>
      </c>
      <c r="Y259" s="131">
        <v>1.1299999999999999E-2</v>
      </c>
      <c r="Z259" s="29">
        <v>3977.79</v>
      </c>
      <c r="AA259" s="29"/>
      <c r="AB259" s="9">
        <f t="shared" si="84"/>
        <v>3977.79</v>
      </c>
      <c r="AC259" s="9">
        <f t="shared" si="112"/>
        <v>25179.41</v>
      </c>
      <c r="AD259" s="9">
        <v>0.51</v>
      </c>
      <c r="AE259" s="9">
        <f>3.78</f>
        <v>3.78</v>
      </c>
      <c r="AF259" s="21">
        <f>2.48-AJ259</f>
        <v>2.17</v>
      </c>
      <c r="AG259" s="18">
        <f>0.56-AQ259</f>
        <v>0.45</v>
      </c>
      <c r="AH259" s="9">
        <v>2.78</v>
      </c>
      <c r="AI259" s="43">
        <v>1235</v>
      </c>
      <c r="AJ259" s="21">
        <f t="shared" si="110"/>
        <v>0.31</v>
      </c>
      <c r="AK259" s="9">
        <v>0</v>
      </c>
      <c r="AL259" s="9">
        <v>0</v>
      </c>
      <c r="AM259" s="9">
        <v>0.15</v>
      </c>
      <c r="AN259" s="13"/>
      <c r="AO259" s="13">
        <v>901.8</v>
      </c>
      <c r="AP259" s="13">
        <f t="shared" si="107"/>
        <v>5.58</v>
      </c>
      <c r="AQ259" s="18">
        <f t="shared" si="111"/>
        <v>0.11</v>
      </c>
      <c r="AR259" s="9">
        <v>0.79</v>
      </c>
      <c r="AS259" s="9">
        <v>0.34</v>
      </c>
      <c r="AT259" s="9">
        <v>7.0000000000000007E-2</v>
      </c>
      <c r="AU259" s="9">
        <v>4.84</v>
      </c>
      <c r="AV259" s="9">
        <v>0.12</v>
      </c>
      <c r="AW259" s="9">
        <f>1.03+0.33+0.43</f>
        <v>1.79</v>
      </c>
      <c r="AX259" s="9">
        <f>1.41+0.57</f>
        <v>1.98</v>
      </c>
      <c r="AY259" s="110">
        <f t="shared" si="108"/>
        <v>20.190000000000001</v>
      </c>
      <c r="AZ259" s="13">
        <v>20.190000000000001</v>
      </c>
      <c r="BA259" s="13">
        <f t="shared" si="85"/>
        <v>0</v>
      </c>
      <c r="BB259" s="9">
        <f t="shared" si="86"/>
        <v>80311.58</v>
      </c>
      <c r="BC259" s="9">
        <v>20.190000000000001</v>
      </c>
      <c r="BD259" s="10">
        <v>44409</v>
      </c>
      <c r="BE259" s="9">
        <f t="shared" si="88"/>
        <v>2028.67</v>
      </c>
      <c r="BF259" s="9">
        <f t="shared" si="89"/>
        <v>15036.05</v>
      </c>
      <c r="BG259" s="9">
        <f t="shared" si="90"/>
        <v>8631.7999999999993</v>
      </c>
      <c r="BH259" s="9">
        <f t="shared" si="91"/>
        <v>1790.01</v>
      </c>
      <c r="BI259" s="9">
        <f t="shared" si="92"/>
        <v>11058.26</v>
      </c>
      <c r="BJ259" s="9">
        <f t="shared" si="93"/>
        <v>1233.1099999999999</v>
      </c>
      <c r="BK259" s="9">
        <f t="shared" si="94"/>
        <v>0</v>
      </c>
      <c r="BL259" s="9">
        <f t="shared" si="95"/>
        <v>0</v>
      </c>
      <c r="BM259" s="9">
        <f t="shared" si="96"/>
        <v>596.66999999999996</v>
      </c>
      <c r="BN259" s="9">
        <f t="shared" si="97"/>
        <v>437.56</v>
      </c>
      <c r="BO259" s="9">
        <f t="shared" si="98"/>
        <v>3142.45</v>
      </c>
      <c r="BP259" s="9">
        <f t="shared" si="99"/>
        <v>1352.45</v>
      </c>
      <c r="BQ259" s="9">
        <f t="shared" si="100"/>
        <v>278.45</v>
      </c>
      <c r="BR259" s="9">
        <f t="shared" si="101"/>
        <v>19252.5</v>
      </c>
      <c r="BS259" s="9">
        <f t="shared" si="102"/>
        <v>477.33</v>
      </c>
      <c r="BT259" s="9">
        <f t="shared" si="103"/>
        <v>7120.24</v>
      </c>
      <c r="BU259" s="9">
        <f t="shared" si="104"/>
        <v>7876.02</v>
      </c>
      <c r="BV259" s="17">
        <f t="shared" si="105"/>
        <v>80311.570000000007</v>
      </c>
      <c r="BW259" s="17">
        <v>0.75</v>
      </c>
      <c r="BX259" s="17">
        <v>0.03</v>
      </c>
      <c r="BY259" s="17">
        <v>0.33</v>
      </c>
      <c r="BZ259" s="17">
        <v>0.02</v>
      </c>
      <c r="CA259" s="29">
        <v>6.33</v>
      </c>
      <c r="CB259" s="325"/>
      <c r="CC259" s="13">
        <v>0</v>
      </c>
      <c r="CD259" s="13">
        <v>0</v>
      </c>
      <c r="CE259" s="13">
        <v>0</v>
      </c>
      <c r="CF259" s="13">
        <v>0</v>
      </c>
      <c r="CG259" s="13">
        <v>0</v>
      </c>
      <c r="CH259" s="13">
        <v>0</v>
      </c>
      <c r="CI259" s="13">
        <v>8960.58</v>
      </c>
      <c r="CJ259" s="13">
        <v>39876</v>
      </c>
      <c r="CK259" s="13">
        <v>1529.81</v>
      </c>
      <c r="CL259" s="13">
        <v>963736.25</v>
      </c>
      <c r="CM259" s="13">
        <v>127671.35</v>
      </c>
      <c r="CN259" s="13">
        <v>22009.93</v>
      </c>
      <c r="CO259" s="13">
        <v>30350.93</v>
      </c>
      <c r="CP259" s="13">
        <v>15951.31</v>
      </c>
      <c r="CQ259" s="13">
        <v>0</v>
      </c>
      <c r="CR259" s="13">
        <v>856875.53</v>
      </c>
      <c r="CS259" s="13">
        <v>116539.01</v>
      </c>
      <c r="CT259" s="13">
        <v>7642.08</v>
      </c>
      <c r="CU259" s="13">
        <v>26819.69</v>
      </c>
      <c r="CV259" s="13">
        <v>14082.95</v>
      </c>
      <c r="CW259" s="13">
        <v>0</v>
      </c>
      <c r="CX259" s="13">
        <v>254758.21</v>
      </c>
      <c r="CY259" s="13">
        <v>42690.81</v>
      </c>
      <c r="CZ259" s="13">
        <v>6446.05</v>
      </c>
      <c r="DA259" s="13">
        <v>4220.1400000000003</v>
      </c>
      <c r="DB259" s="13">
        <v>2188.14</v>
      </c>
      <c r="DC259" s="13"/>
      <c r="DD259" s="315">
        <v>1159719.77</v>
      </c>
      <c r="DE259" s="317">
        <v>1021959.26</v>
      </c>
      <c r="DF259" s="317">
        <v>88.12</v>
      </c>
      <c r="DG259" s="318">
        <v>310303.34999999998</v>
      </c>
      <c r="DH259" s="310">
        <v>41796.36</v>
      </c>
      <c r="DI259" s="310">
        <v>23903.759999999998</v>
      </c>
      <c r="DJ259" s="312">
        <v>0</v>
      </c>
      <c r="DK259" s="362">
        <v>0</v>
      </c>
      <c r="DL259" s="362"/>
      <c r="DM259" s="362">
        <v>0</v>
      </c>
      <c r="DN259" s="362">
        <v>0</v>
      </c>
      <c r="DO259" s="362">
        <v>0</v>
      </c>
      <c r="DP259" s="362">
        <v>0</v>
      </c>
      <c r="DQ259" s="362">
        <v>0</v>
      </c>
      <c r="DR259" s="362"/>
      <c r="DS259" s="362">
        <v>0</v>
      </c>
      <c r="DT259" s="362"/>
      <c r="DU259" s="362">
        <v>0</v>
      </c>
      <c r="DV259" s="362">
        <v>0</v>
      </c>
      <c r="DW259" s="362">
        <v>0</v>
      </c>
      <c r="DX259" s="362">
        <v>0</v>
      </c>
      <c r="DY259" s="362">
        <v>0</v>
      </c>
      <c r="DZ259" s="375">
        <v>0</v>
      </c>
      <c r="EA259" s="362">
        <v>237408</v>
      </c>
      <c r="EB259" s="362">
        <v>8500</v>
      </c>
      <c r="EC259" s="362"/>
      <c r="ED259" s="362">
        <v>0</v>
      </c>
      <c r="EE259" s="362">
        <v>0</v>
      </c>
      <c r="EF259" s="362"/>
      <c r="EG259" s="362">
        <v>19656</v>
      </c>
      <c r="EH259" s="362">
        <v>0</v>
      </c>
      <c r="EI259" s="362"/>
      <c r="EJ259" s="362">
        <v>5700</v>
      </c>
      <c r="EK259" s="362"/>
      <c r="EL259" s="362">
        <v>0</v>
      </c>
      <c r="EM259" s="362">
        <v>5032.05</v>
      </c>
      <c r="EN259" s="362">
        <v>249831.66</v>
      </c>
      <c r="EO259" s="362">
        <v>0</v>
      </c>
      <c r="EP259" s="362">
        <v>0</v>
      </c>
      <c r="EQ259" s="362">
        <v>0</v>
      </c>
      <c r="ER259" s="362">
        <v>16380</v>
      </c>
      <c r="ES259" s="362">
        <v>6924</v>
      </c>
      <c r="ET259" s="362">
        <v>14628</v>
      </c>
      <c r="EU259" s="362">
        <v>0</v>
      </c>
      <c r="EV259" s="362">
        <v>23724.91</v>
      </c>
      <c r="EW259" s="362"/>
      <c r="EX259" s="202"/>
      <c r="EY259" s="202"/>
      <c r="EZ259" s="229"/>
      <c r="FA259" s="368">
        <v>133519.04999999999</v>
      </c>
      <c r="FB259" s="368">
        <v>31861.41</v>
      </c>
      <c r="FC259" s="368">
        <v>0</v>
      </c>
      <c r="FD259" s="368">
        <v>0</v>
      </c>
      <c r="FE259" s="368">
        <v>29050.79</v>
      </c>
      <c r="FF259" s="368">
        <v>15293.99</v>
      </c>
      <c r="FG259" s="368">
        <v>-1648.46</v>
      </c>
      <c r="FH259" s="368">
        <v>-1880.75</v>
      </c>
      <c r="FI259" s="368">
        <v>0</v>
      </c>
      <c r="FJ259" s="368">
        <v>0</v>
      </c>
      <c r="FK259" s="368">
        <v>0</v>
      </c>
      <c r="FL259" s="368">
        <v>0</v>
      </c>
      <c r="FM259" s="368">
        <v>106346.45</v>
      </c>
      <c r="FN259" s="368">
        <v>67619.75</v>
      </c>
      <c r="FO259" s="323">
        <v>827450.94</v>
      </c>
      <c r="FP259" s="323">
        <v>206196.03</v>
      </c>
      <c r="FQ259" s="323">
        <v>1033646.97</v>
      </c>
      <c r="FR259" s="362">
        <v>127496.72</v>
      </c>
      <c r="FS259" s="362">
        <v>29208.53</v>
      </c>
      <c r="FT259" s="377">
        <v>156705.25</v>
      </c>
      <c r="FU259" s="377">
        <v>1012572.83</v>
      </c>
      <c r="FV259" s="377">
        <v>197513.33</v>
      </c>
      <c r="FW259" s="362">
        <v>1210086.1599999999</v>
      </c>
      <c r="FX259" s="362">
        <v>885311.34</v>
      </c>
      <c r="FY259" s="362">
        <v>171176.72</v>
      </c>
      <c r="FZ259" s="362">
        <v>1056488.06</v>
      </c>
      <c r="GA259" s="362">
        <v>254758.21</v>
      </c>
      <c r="GB259" s="362">
        <v>55545.14</v>
      </c>
      <c r="GC259" s="362">
        <v>310303.34999999998</v>
      </c>
      <c r="GD259" s="362">
        <v>82277.31</v>
      </c>
      <c r="GE259" s="362">
        <v>3342.58</v>
      </c>
      <c r="GF259" s="362">
        <v>85619.89</v>
      </c>
      <c r="GG259" s="202"/>
      <c r="GH259" s="416"/>
      <c r="GI259" s="414">
        <v>3979</v>
      </c>
      <c r="GJ259" s="419">
        <v>0</v>
      </c>
      <c r="GK259" s="396"/>
      <c r="GL259" s="202">
        <v>0</v>
      </c>
      <c r="GM259" s="202">
        <v>0</v>
      </c>
      <c r="GN259" s="323">
        <v>185121.89</v>
      </c>
      <c r="GO259" s="323">
        <v>-8682.7000000000007</v>
      </c>
      <c r="GP259" s="323">
        <v>176439.19</v>
      </c>
      <c r="GQ259" s="323">
        <v>267399.2</v>
      </c>
      <c r="GR259" s="323">
        <v>-5340.12</v>
      </c>
      <c r="GS259" s="323">
        <v>262059.08</v>
      </c>
    </row>
    <row r="260" spans="1:201" ht="12.75" customHeight="1" x14ac:dyDescent="0.2">
      <c r="A260" s="45" t="s">
        <v>361</v>
      </c>
      <c r="B260" s="99" t="s">
        <v>299</v>
      </c>
      <c r="C260" s="100" t="s">
        <v>37</v>
      </c>
      <c r="D260" s="388" t="s">
        <v>596</v>
      </c>
      <c r="E260" s="100" t="s">
        <v>30</v>
      </c>
      <c r="F260" s="11">
        <v>9</v>
      </c>
      <c r="G260" s="11">
        <v>2</v>
      </c>
      <c r="H260" s="11">
        <v>108</v>
      </c>
      <c r="I260" s="11">
        <v>108</v>
      </c>
      <c r="J260" s="11">
        <v>204</v>
      </c>
      <c r="K260" s="11">
        <v>238</v>
      </c>
      <c r="L260" s="11">
        <v>2</v>
      </c>
      <c r="M260" s="84">
        <v>556</v>
      </c>
      <c r="N260" s="84">
        <v>827</v>
      </c>
      <c r="O260" s="84">
        <v>827</v>
      </c>
      <c r="P260" s="135">
        <f>280.8+295.1</f>
        <v>575.9</v>
      </c>
      <c r="Q260" s="135">
        <v>566.29999999999995</v>
      </c>
      <c r="R260" s="133">
        <v>836.2</v>
      </c>
      <c r="S260" s="133">
        <f t="shared" si="106"/>
        <v>1978.4</v>
      </c>
      <c r="T260" s="134">
        <v>575.9</v>
      </c>
      <c r="U260" s="130">
        <v>2.72</v>
      </c>
      <c r="V260" s="91">
        <v>1.21E-2</v>
      </c>
      <c r="W260" s="91">
        <v>1.9800000000000002E-2</v>
      </c>
      <c r="X260" s="132">
        <v>1.2700000000000001E-3</v>
      </c>
      <c r="Y260" s="91">
        <v>1.21E-2</v>
      </c>
      <c r="Z260" s="29">
        <v>4659.63</v>
      </c>
      <c r="AA260" s="29"/>
      <c r="AB260" s="9">
        <f t="shared" si="84"/>
        <v>4659.63</v>
      </c>
      <c r="AC260" s="9">
        <f t="shared" si="112"/>
        <v>29495.46</v>
      </c>
      <c r="AD260" s="9">
        <v>1.64</v>
      </c>
      <c r="AE260" s="9">
        <v>4.5999999999999996</v>
      </c>
      <c r="AF260" s="21">
        <f>2.44-AJ260</f>
        <v>2.27</v>
      </c>
      <c r="AG260" s="18">
        <f>0.61-AQ260</f>
        <v>0.55000000000000004</v>
      </c>
      <c r="AH260" s="19">
        <f>2.77+0.11+0.16</f>
        <v>3.04</v>
      </c>
      <c r="AI260" s="43">
        <v>794</v>
      </c>
      <c r="AJ260" s="21">
        <f t="shared" si="110"/>
        <v>0.17</v>
      </c>
      <c r="AK260" s="9">
        <v>1.85</v>
      </c>
      <c r="AL260" s="9">
        <v>0.16</v>
      </c>
      <c r="AM260" s="9">
        <v>0.12</v>
      </c>
      <c r="AN260" s="13"/>
      <c r="AO260" s="13">
        <v>611.79999999999995</v>
      </c>
      <c r="AP260" s="13">
        <f t="shared" si="107"/>
        <v>5.58</v>
      </c>
      <c r="AQ260" s="18">
        <f t="shared" si="111"/>
        <v>0.06</v>
      </c>
      <c r="AR260" s="9">
        <v>0.73</v>
      </c>
      <c r="AS260" s="9">
        <v>0.28999999999999998</v>
      </c>
      <c r="AT260" s="9">
        <v>7.0000000000000007E-2</v>
      </c>
      <c r="AU260" s="9">
        <v>4.0999999999999996</v>
      </c>
      <c r="AV260" s="9">
        <v>0.16</v>
      </c>
      <c r="AW260" s="9">
        <f>1.4+0.33+0.36</f>
        <v>2.09</v>
      </c>
      <c r="AX260" s="9">
        <f>1.96+0.49</f>
        <v>2.4500000000000002</v>
      </c>
      <c r="AY260" s="102">
        <f t="shared" si="108"/>
        <v>24.35</v>
      </c>
      <c r="AZ260" s="13">
        <v>24.35</v>
      </c>
      <c r="BA260" s="13">
        <f t="shared" si="85"/>
        <v>0</v>
      </c>
      <c r="BB260" s="9">
        <f t="shared" si="86"/>
        <v>113461.99</v>
      </c>
      <c r="BC260" s="9">
        <v>24.35</v>
      </c>
      <c r="BD260" s="10">
        <v>44409</v>
      </c>
      <c r="BE260" s="9">
        <f t="shared" si="88"/>
        <v>7641.79</v>
      </c>
      <c r="BF260" s="9">
        <f t="shared" si="89"/>
        <v>21434.3</v>
      </c>
      <c r="BG260" s="9">
        <f t="shared" si="90"/>
        <v>10577.36</v>
      </c>
      <c r="BH260" s="9">
        <f t="shared" si="91"/>
        <v>2562.8000000000002</v>
      </c>
      <c r="BI260" s="9">
        <f t="shared" si="92"/>
        <v>14165.28</v>
      </c>
      <c r="BJ260" s="9">
        <f t="shared" si="93"/>
        <v>792.14</v>
      </c>
      <c r="BK260" s="9">
        <f t="shared" si="94"/>
        <v>8620.32</v>
      </c>
      <c r="BL260" s="9">
        <f t="shared" si="95"/>
        <v>745.54</v>
      </c>
      <c r="BM260" s="9">
        <f t="shared" si="96"/>
        <v>559.16</v>
      </c>
      <c r="BN260" s="9">
        <f t="shared" si="97"/>
        <v>279.58</v>
      </c>
      <c r="BO260" s="9">
        <f t="shared" si="98"/>
        <v>3401.53</v>
      </c>
      <c r="BP260" s="9">
        <f t="shared" si="99"/>
        <v>1351.29</v>
      </c>
      <c r="BQ260" s="9">
        <f t="shared" si="100"/>
        <v>326.17</v>
      </c>
      <c r="BR260" s="9">
        <f t="shared" si="101"/>
        <v>19104.48</v>
      </c>
      <c r="BS260" s="9">
        <f t="shared" si="102"/>
        <v>745.54</v>
      </c>
      <c r="BT260" s="9">
        <f t="shared" si="103"/>
        <v>9738.6299999999992</v>
      </c>
      <c r="BU260" s="9">
        <f t="shared" si="104"/>
        <v>11416.09</v>
      </c>
      <c r="BV260" s="17">
        <f t="shared" si="105"/>
        <v>113462</v>
      </c>
      <c r="BW260" s="17">
        <v>4.5</v>
      </c>
      <c r="BX260" s="17">
        <v>0.05</v>
      </c>
      <c r="BY260" s="17">
        <v>0.46</v>
      </c>
      <c r="BZ260" s="17">
        <v>0.03</v>
      </c>
      <c r="CA260" s="29">
        <v>6.33</v>
      </c>
      <c r="CB260" s="325"/>
      <c r="CC260" s="13">
        <v>0</v>
      </c>
      <c r="CD260" s="13">
        <v>0</v>
      </c>
      <c r="CE260" s="13">
        <v>0</v>
      </c>
      <c r="CF260" s="13">
        <v>0</v>
      </c>
      <c r="CG260" s="13">
        <v>0</v>
      </c>
      <c r="CH260" s="13">
        <v>0</v>
      </c>
      <c r="CI260" s="13">
        <v>7315.07</v>
      </c>
      <c r="CJ260" s="13">
        <v>31284</v>
      </c>
      <c r="CK260" s="13">
        <v>1792.05</v>
      </c>
      <c r="CL260" s="13">
        <v>1361197.35</v>
      </c>
      <c r="CM260" s="13">
        <v>137459.22</v>
      </c>
      <c r="CN260" s="13">
        <v>4613.12</v>
      </c>
      <c r="CO260" s="13">
        <v>15004.2</v>
      </c>
      <c r="CP260" s="13">
        <v>7968.24</v>
      </c>
      <c r="CQ260" s="13">
        <v>0</v>
      </c>
      <c r="CR260" s="13">
        <v>1268681.02</v>
      </c>
      <c r="CS260" s="13">
        <v>122908.75</v>
      </c>
      <c r="CT260" s="13">
        <v>1066.69</v>
      </c>
      <c r="CU260" s="13">
        <v>18317.259999999998</v>
      </c>
      <c r="CV260" s="13">
        <v>9109.39</v>
      </c>
      <c r="CW260" s="13">
        <v>0</v>
      </c>
      <c r="CX260" s="13">
        <v>260358.42</v>
      </c>
      <c r="CY260" s="13">
        <v>13960.08</v>
      </c>
      <c r="CZ260" s="13">
        <v>-1870.23</v>
      </c>
      <c r="DA260" s="13">
        <v>2212.0100000000002</v>
      </c>
      <c r="DB260" s="13">
        <v>1035.75</v>
      </c>
      <c r="DC260" s="13"/>
      <c r="DD260" s="315">
        <v>1526242.13</v>
      </c>
      <c r="DE260" s="317">
        <v>1420083.11</v>
      </c>
      <c r="DF260" s="317">
        <v>93.04</v>
      </c>
      <c r="DG260" s="318">
        <v>275696.03000000003</v>
      </c>
      <c r="DH260" s="310">
        <v>48961.2</v>
      </c>
      <c r="DI260" s="310">
        <v>28001.4</v>
      </c>
      <c r="DJ260" s="312">
        <v>0</v>
      </c>
      <c r="DK260" s="362">
        <v>0</v>
      </c>
      <c r="DL260" s="362"/>
      <c r="DM260" s="362">
        <v>0</v>
      </c>
      <c r="DN260" s="362">
        <v>0</v>
      </c>
      <c r="DO260" s="362">
        <v>0</v>
      </c>
      <c r="DP260" s="362">
        <v>0</v>
      </c>
      <c r="DQ260" s="362">
        <v>0</v>
      </c>
      <c r="DR260" s="362"/>
      <c r="DS260" s="362">
        <v>0</v>
      </c>
      <c r="DT260" s="362"/>
      <c r="DU260" s="362">
        <v>0</v>
      </c>
      <c r="DV260" s="362">
        <v>0</v>
      </c>
      <c r="DW260" s="362">
        <v>102358.51</v>
      </c>
      <c r="DX260" s="362">
        <v>0</v>
      </c>
      <c r="DY260" s="362">
        <v>9000</v>
      </c>
      <c r="DZ260" s="375">
        <v>0</v>
      </c>
      <c r="EA260" s="362">
        <v>402324</v>
      </c>
      <c r="EB260" s="362">
        <v>8500</v>
      </c>
      <c r="EC260" s="362"/>
      <c r="ED260" s="362">
        <v>0</v>
      </c>
      <c r="EE260" s="362">
        <v>0</v>
      </c>
      <c r="EF260" s="362"/>
      <c r="EG260" s="362">
        <v>12636</v>
      </c>
      <c r="EH260" s="362">
        <v>0</v>
      </c>
      <c r="EI260" s="362"/>
      <c r="EJ260" s="362">
        <v>0</v>
      </c>
      <c r="EK260" s="362"/>
      <c r="EL260" s="362">
        <v>0</v>
      </c>
      <c r="EM260" s="362">
        <v>3413.85</v>
      </c>
      <c r="EN260" s="362">
        <v>296235</v>
      </c>
      <c r="EO260" s="362">
        <v>0</v>
      </c>
      <c r="EP260" s="362">
        <v>0</v>
      </c>
      <c r="EQ260" s="362">
        <v>0</v>
      </c>
      <c r="ER260" s="362">
        <v>6825</v>
      </c>
      <c r="ES260" s="362">
        <v>577</v>
      </c>
      <c r="ET260" s="362">
        <v>13482</v>
      </c>
      <c r="EU260" s="362">
        <v>0</v>
      </c>
      <c r="EV260" s="362">
        <v>425413.69</v>
      </c>
      <c r="EW260" s="362"/>
      <c r="EX260" s="202"/>
      <c r="EY260" s="202"/>
      <c r="EZ260" s="229"/>
      <c r="FA260" s="368">
        <v>142892.34</v>
      </c>
      <c r="FB260" s="368">
        <v>42577.3</v>
      </c>
      <c r="FC260" s="368">
        <v>0</v>
      </c>
      <c r="FD260" s="368">
        <v>0</v>
      </c>
      <c r="FE260" s="368">
        <v>12329.93</v>
      </c>
      <c r="FF260" s="368">
        <v>5240.72</v>
      </c>
      <c r="FG260" s="368">
        <v>-1326.39</v>
      </c>
      <c r="FH260" s="368">
        <v>-1203.8699999999999</v>
      </c>
      <c r="FI260" s="368">
        <v>0</v>
      </c>
      <c r="FJ260" s="368">
        <v>0</v>
      </c>
      <c r="FK260" s="368">
        <v>25876.87</v>
      </c>
      <c r="FL260" s="368">
        <v>0</v>
      </c>
      <c r="FM260" s="368">
        <v>124575.48</v>
      </c>
      <c r="FN260" s="368">
        <v>79210.92</v>
      </c>
      <c r="FO260" s="323">
        <v>1561514.05</v>
      </c>
      <c r="FP260" s="323">
        <v>226386.9</v>
      </c>
      <c r="FQ260" s="323">
        <v>1787900.95</v>
      </c>
      <c r="FR260" s="362">
        <v>137254.44</v>
      </c>
      <c r="FS260" s="362">
        <v>9001.93</v>
      </c>
      <c r="FT260" s="377">
        <v>146256.37</v>
      </c>
      <c r="FU260" s="377">
        <v>1399796.42</v>
      </c>
      <c r="FV260" s="377">
        <v>166836.82999999999</v>
      </c>
      <c r="FW260" s="362">
        <v>1566633.25</v>
      </c>
      <c r="FX260" s="362">
        <v>1276692.44</v>
      </c>
      <c r="FY260" s="362">
        <v>160501.15</v>
      </c>
      <c r="FZ260" s="362">
        <v>1437193.59</v>
      </c>
      <c r="GA260" s="362">
        <v>260358.42</v>
      </c>
      <c r="GB260" s="362">
        <v>15337.61</v>
      </c>
      <c r="GC260" s="362">
        <v>275696.03000000003</v>
      </c>
      <c r="GD260" s="362">
        <v>123877.3</v>
      </c>
      <c r="GE260" s="362">
        <v>-28702.42</v>
      </c>
      <c r="GF260" s="362">
        <v>95174.88</v>
      </c>
      <c r="GG260" s="202"/>
      <c r="GH260" s="416"/>
      <c r="GI260" s="414">
        <v>2455</v>
      </c>
      <c r="GJ260" s="419">
        <v>0</v>
      </c>
      <c r="GK260" s="396"/>
      <c r="GL260" s="202">
        <v>0</v>
      </c>
      <c r="GM260" s="202">
        <v>0</v>
      </c>
      <c r="GN260" s="323">
        <v>-161717.63</v>
      </c>
      <c r="GO260" s="323">
        <v>-59550.07</v>
      </c>
      <c r="GP260" s="323">
        <v>-221267.7</v>
      </c>
      <c r="GQ260" s="323">
        <v>-37840.33</v>
      </c>
      <c r="GR260" s="323">
        <v>-88252.49</v>
      </c>
      <c r="GS260" s="323">
        <v>-126092.82</v>
      </c>
    </row>
    <row r="261" spans="1:201" ht="12.75" customHeight="1" x14ac:dyDescent="0.2">
      <c r="A261" s="45" t="s">
        <v>362</v>
      </c>
      <c r="B261" s="99" t="s">
        <v>299</v>
      </c>
      <c r="C261" s="100" t="s">
        <v>106</v>
      </c>
      <c r="D261" s="388" t="s">
        <v>518</v>
      </c>
      <c r="E261" s="100" t="s">
        <v>12</v>
      </c>
      <c r="F261" s="11">
        <v>9</v>
      </c>
      <c r="G261" s="11">
        <v>2</v>
      </c>
      <c r="H261" s="11">
        <v>72</v>
      </c>
      <c r="I261" s="11">
        <v>72</v>
      </c>
      <c r="J261" s="11">
        <v>185</v>
      </c>
      <c r="K261" s="11">
        <v>206</v>
      </c>
      <c r="L261" s="11">
        <v>2</v>
      </c>
      <c r="M261" s="84">
        <v>657</v>
      </c>
      <c r="N261" s="84">
        <v>602</v>
      </c>
      <c r="O261" s="84">
        <v>0</v>
      </c>
      <c r="P261" s="135">
        <v>657.9</v>
      </c>
      <c r="Q261" s="135" t="s">
        <v>808</v>
      </c>
      <c r="R261" s="133">
        <v>0</v>
      </c>
      <c r="S261" s="133">
        <f t="shared" si="106"/>
        <v>657.9</v>
      </c>
      <c r="T261" s="134">
        <v>657</v>
      </c>
      <c r="U261" s="130">
        <v>2.72</v>
      </c>
      <c r="V261" s="131">
        <v>1.21E-2</v>
      </c>
      <c r="W261" s="131">
        <v>1.9800000000000002E-2</v>
      </c>
      <c r="X261" s="132">
        <v>1.2700000000000001E-3</v>
      </c>
      <c r="Y261" s="131">
        <v>1.21E-2</v>
      </c>
      <c r="Z261" s="29">
        <v>3789.51</v>
      </c>
      <c r="AA261" s="29"/>
      <c r="AB261" s="9">
        <f t="shared" si="84"/>
        <v>3789.51</v>
      </c>
      <c r="AC261" s="9">
        <f t="shared" si="112"/>
        <v>23987.599999999999</v>
      </c>
      <c r="AD261" s="9">
        <v>2.38</v>
      </c>
      <c r="AE261" s="9">
        <v>4.2699999999999996</v>
      </c>
      <c r="AF261" s="21">
        <f>2.42-AJ261</f>
        <v>2.27</v>
      </c>
      <c r="AG261" s="18">
        <f>0.62-AQ261</f>
        <v>0.56999999999999995</v>
      </c>
      <c r="AH261" s="19">
        <f>2.78+0.13+0.18</f>
        <v>3.09</v>
      </c>
      <c r="AI261" s="43">
        <v>578</v>
      </c>
      <c r="AJ261" s="21">
        <f t="shared" si="110"/>
        <v>0.15</v>
      </c>
      <c r="AK261" s="9">
        <v>2.2799999999999998</v>
      </c>
      <c r="AL261" s="9">
        <v>0.2</v>
      </c>
      <c r="AM261" s="9">
        <v>0.15</v>
      </c>
      <c r="AN261" s="13"/>
      <c r="AO261" s="13">
        <v>422.4</v>
      </c>
      <c r="AP261" s="13">
        <f t="shared" si="107"/>
        <v>5.58</v>
      </c>
      <c r="AQ261" s="18">
        <f t="shared" si="111"/>
        <v>0.05</v>
      </c>
      <c r="AR261" s="9">
        <v>0.6</v>
      </c>
      <c r="AS261" s="9">
        <v>0.36</v>
      </c>
      <c r="AT261" s="9">
        <v>7.0000000000000007E-2</v>
      </c>
      <c r="AU261" s="9">
        <v>3.39</v>
      </c>
      <c r="AV261" s="9">
        <v>0.17</v>
      </c>
      <c r="AW261" s="9">
        <f>1.47+0.27+0.3</f>
        <v>2.04</v>
      </c>
      <c r="AX261" s="9">
        <f>2.08+0.4</f>
        <v>2.48</v>
      </c>
      <c r="AY261" s="102">
        <f t="shared" si="108"/>
        <v>24.52</v>
      </c>
      <c r="AZ261" s="13">
        <v>24.52</v>
      </c>
      <c r="BA261" s="13">
        <f t="shared" si="85"/>
        <v>0</v>
      </c>
      <c r="BB261" s="9">
        <f t="shared" si="86"/>
        <v>92918.79</v>
      </c>
      <c r="BC261" s="9">
        <v>24.52</v>
      </c>
      <c r="BD261" s="10">
        <v>44409</v>
      </c>
      <c r="BE261" s="9">
        <f t="shared" si="88"/>
        <v>9019.0300000000007</v>
      </c>
      <c r="BF261" s="9">
        <f t="shared" si="89"/>
        <v>16181.21</v>
      </c>
      <c r="BG261" s="9">
        <f t="shared" si="90"/>
        <v>8602.19</v>
      </c>
      <c r="BH261" s="9">
        <f t="shared" si="91"/>
        <v>2160.02</v>
      </c>
      <c r="BI261" s="9">
        <f t="shared" si="92"/>
        <v>11709.59</v>
      </c>
      <c r="BJ261" s="9">
        <f t="shared" si="93"/>
        <v>568.42999999999995</v>
      </c>
      <c r="BK261" s="9">
        <f t="shared" si="94"/>
        <v>8640.08</v>
      </c>
      <c r="BL261" s="9">
        <f t="shared" si="95"/>
        <v>757.9</v>
      </c>
      <c r="BM261" s="9">
        <f t="shared" si="96"/>
        <v>568.42999999999995</v>
      </c>
      <c r="BN261" s="9">
        <f t="shared" si="97"/>
        <v>189.48</v>
      </c>
      <c r="BO261" s="9">
        <f t="shared" si="98"/>
        <v>2273.71</v>
      </c>
      <c r="BP261" s="9">
        <f t="shared" si="99"/>
        <v>1364.22</v>
      </c>
      <c r="BQ261" s="9">
        <f t="shared" si="100"/>
        <v>265.27</v>
      </c>
      <c r="BR261" s="9">
        <f t="shared" si="101"/>
        <v>12846.44</v>
      </c>
      <c r="BS261" s="9">
        <f t="shared" si="102"/>
        <v>644.22</v>
      </c>
      <c r="BT261" s="9">
        <f t="shared" si="103"/>
        <v>7730.6</v>
      </c>
      <c r="BU261" s="9">
        <f t="shared" si="104"/>
        <v>9397.98</v>
      </c>
      <c r="BV261" s="17">
        <f t="shared" si="105"/>
        <v>92918.8</v>
      </c>
      <c r="BW261" s="17">
        <v>2.0299999999999998</v>
      </c>
      <c r="BX261" s="17">
        <v>0.06</v>
      </c>
      <c r="BY261" s="17">
        <v>0.6</v>
      </c>
      <c r="BZ261" s="17">
        <v>0.03</v>
      </c>
      <c r="CA261" s="29">
        <v>6.33</v>
      </c>
      <c r="CB261" s="325"/>
      <c r="CC261" s="13">
        <v>0</v>
      </c>
      <c r="CD261" s="13">
        <v>0</v>
      </c>
      <c r="CE261" s="13">
        <v>0</v>
      </c>
      <c r="CF261" s="13">
        <v>0</v>
      </c>
      <c r="CG261" s="13">
        <v>0</v>
      </c>
      <c r="CH261" s="13">
        <v>0</v>
      </c>
      <c r="CI261" s="13">
        <v>2828.86</v>
      </c>
      <c r="CJ261" s="13">
        <v>34884</v>
      </c>
      <c r="CK261" s="13">
        <v>1454.92</v>
      </c>
      <c r="CL261" s="13">
        <v>1113838.51</v>
      </c>
      <c r="CM261" s="13">
        <v>59989.23</v>
      </c>
      <c r="CN261" s="13">
        <v>113181</v>
      </c>
      <c r="CO261" s="13">
        <v>4203.04</v>
      </c>
      <c r="CP261" s="13">
        <v>2272.66</v>
      </c>
      <c r="CQ261" s="13">
        <v>0</v>
      </c>
      <c r="CR261" s="13">
        <v>1028513.37</v>
      </c>
      <c r="CS261" s="13">
        <v>52485.4</v>
      </c>
      <c r="CT261" s="13">
        <v>105906.4</v>
      </c>
      <c r="CU261" s="13">
        <v>5340.35</v>
      </c>
      <c r="CV261" s="13">
        <v>1891.77</v>
      </c>
      <c r="CW261" s="13">
        <v>0</v>
      </c>
      <c r="CX261" s="13">
        <v>218090.94</v>
      </c>
      <c r="CY261" s="13">
        <v>10622.85</v>
      </c>
      <c r="CZ261" s="13">
        <v>24112.63</v>
      </c>
      <c r="DA261" s="13">
        <v>1335.02</v>
      </c>
      <c r="DB261" s="13">
        <v>437.28</v>
      </c>
      <c r="DC261" s="13"/>
      <c r="DD261" s="315">
        <v>1293484.44</v>
      </c>
      <c r="DE261" s="317">
        <v>1194137.29</v>
      </c>
      <c r="DF261" s="317">
        <v>92.32</v>
      </c>
      <c r="DG261" s="318">
        <v>254598.72</v>
      </c>
      <c r="DH261" s="310">
        <v>39744.480000000003</v>
      </c>
      <c r="DI261" s="310">
        <v>22730.28</v>
      </c>
      <c r="DJ261" s="312">
        <v>0</v>
      </c>
      <c r="DK261" s="362">
        <v>0</v>
      </c>
      <c r="DL261" s="362"/>
      <c r="DM261" s="362">
        <v>0</v>
      </c>
      <c r="DN261" s="362">
        <v>0</v>
      </c>
      <c r="DO261" s="362">
        <v>0</v>
      </c>
      <c r="DP261" s="362">
        <v>0</v>
      </c>
      <c r="DQ261" s="362">
        <v>0</v>
      </c>
      <c r="DR261" s="362"/>
      <c r="DS261" s="362">
        <v>0</v>
      </c>
      <c r="DT261" s="362"/>
      <c r="DU261" s="362">
        <v>0</v>
      </c>
      <c r="DV261" s="362">
        <v>0</v>
      </c>
      <c r="DW261" s="362">
        <v>102783.87</v>
      </c>
      <c r="DX261" s="362">
        <v>0</v>
      </c>
      <c r="DY261" s="362">
        <v>9000</v>
      </c>
      <c r="DZ261" s="375">
        <v>0</v>
      </c>
      <c r="EA261" s="362">
        <v>347106</v>
      </c>
      <c r="EB261" s="362">
        <v>10812</v>
      </c>
      <c r="EC261" s="362"/>
      <c r="ED261" s="362">
        <v>0</v>
      </c>
      <c r="EE261" s="362">
        <v>0</v>
      </c>
      <c r="EF261" s="362"/>
      <c r="EG261" s="362">
        <v>9198</v>
      </c>
      <c r="EH261" s="362">
        <v>0</v>
      </c>
      <c r="EI261" s="362"/>
      <c r="EJ261" s="362">
        <v>0</v>
      </c>
      <c r="EK261" s="362"/>
      <c r="EL261" s="362">
        <v>0</v>
      </c>
      <c r="EM261" s="362">
        <v>2356.98</v>
      </c>
      <c r="EN261" s="362">
        <v>241182.96</v>
      </c>
      <c r="EO261" s="362">
        <v>0</v>
      </c>
      <c r="EP261" s="362">
        <v>0</v>
      </c>
      <c r="EQ261" s="362">
        <v>0</v>
      </c>
      <c r="ER261" s="362">
        <v>15015</v>
      </c>
      <c r="ES261" s="362">
        <v>0</v>
      </c>
      <c r="ET261" s="362">
        <v>8988</v>
      </c>
      <c r="EU261" s="362">
        <v>0</v>
      </c>
      <c r="EV261" s="362">
        <v>58824.52</v>
      </c>
      <c r="EW261" s="362"/>
      <c r="EX261" s="202"/>
      <c r="EY261" s="202"/>
      <c r="EZ261" s="229"/>
      <c r="FA261" s="368">
        <v>60779.89</v>
      </c>
      <c r="FB261" s="368">
        <v>102492.19</v>
      </c>
      <c r="FC261" s="368">
        <v>0</v>
      </c>
      <c r="FD261" s="368">
        <v>0</v>
      </c>
      <c r="FE261" s="368">
        <v>6149.26</v>
      </c>
      <c r="FF261" s="368">
        <v>2337.2199999999998</v>
      </c>
      <c r="FG261" s="368">
        <v>0</v>
      </c>
      <c r="FH261" s="368">
        <v>-967.76</v>
      </c>
      <c r="FI261" s="368">
        <v>0</v>
      </c>
      <c r="FJ261" s="368">
        <v>0</v>
      </c>
      <c r="FK261" s="368">
        <v>71684.67</v>
      </c>
      <c r="FL261" s="368">
        <v>0</v>
      </c>
      <c r="FM261" s="368">
        <v>101234.1</v>
      </c>
      <c r="FN261" s="368">
        <v>64367.72</v>
      </c>
      <c r="FO261" s="323">
        <v>1033343.91</v>
      </c>
      <c r="FP261" s="323">
        <v>242475.47</v>
      </c>
      <c r="FQ261" s="323">
        <v>1275819.3799999999</v>
      </c>
      <c r="FR261" s="362">
        <v>121555.64</v>
      </c>
      <c r="FS261" s="362">
        <v>14149.81</v>
      </c>
      <c r="FT261" s="377">
        <v>135705.45000000001</v>
      </c>
      <c r="FU261" s="377">
        <v>1151551.3700000001</v>
      </c>
      <c r="FV261" s="377">
        <v>181100.85</v>
      </c>
      <c r="FW261" s="362">
        <v>1332652.22</v>
      </c>
      <c r="FX261" s="362">
        <v>1055016.07</v>
      </c>
      <c r="FY261" s="362">
        <v>158742.88</v>
      </c>
      <c r="FZ261" s="362">
        <v>1213758.95</v>
      </c>
      <c r="GA261" s="362">
        <v>218090.94</v>
      </c>
      <c r="GB261" s="362">
        <v>36507.78</v>
      </c>
      <c r="GC261" s="362">
        <v>254598.72</v>
      </c>
      <c r="GD261" s="362">
        <v>104206.42</v>
      </c>
      <c r="GE261" s="362">
        <v>-2414.9499999999998</v>
      </c>
      <c r="GF261" s="362">
        <v>101791.47</v>
      </c>
      <c r="GG261" s="202"/>
      <c r="GH261" s="416"/>
      <c r="GI261" s="414">
        <v>2455</v>
      </c>
      <c r="GJ261" s="419">
        <v>0</v>
      </c>
      <c r="GK261" s="396"/>
      <c r="GL261" s="202">
        <v>0</v>
      </c>
      <c r="GM261" s="202">
        <v>0</v>
      </c>
      <c r="GN261" s="323">
        <v>118207.46</v>
      </c>
      <c r="GO261" s="323">
        <v>-61374.62</v>
      </c>
      <c r="GP261" s="323">
        <v>56832.84</v>
      </c>
      <c r="GQ261" s="323">
        <v>222413.88</v>
      </c>
      <c r="GR261" s="323">
        <v>-63789.57</v>
      </c>
      <c r="GS261" s="323">
        <v>158624.31</v>
      </c>
    </row>
    <row r="262" spans="1:201" ht="12.75" customHeight="1" x14ac:dyDescent="0.2">
      <c r="A262" s="45" t="s">
        <v>364</v>
      </c>
      <c r="B262" s="148" t="s">
        <v>299</v>
      </c>
      <c r="C262" s="149" t="s">
        <v>288</v>
      </c>
      <c r="D262" s="390" t="s">
        <v>665</v>
      </c>
      <c r="E262" s="149"/>
      <c r="F262" s="11">
        <v>9</v>
      </c>
      <c r="G262" s="11">
        <v>9</v>
      </c>
      <c r="H262" s="11">
        <v>284</v>
      </c>
      <c r="I262" s="11">
        <v>286</v>
      </c>
      <c r="J262" s="11">
        <v>705</v>
      </c>
      <c r="K262" s="11">
        <v>831</v>
      </c>
      <c r="L262" s="11">
        <v>9</v>
      </c>
      <c r="M262" s="84">
        <v>1823</v>
      </c>
      <c r="N262" s="84">
        <v>2491</v>
      </c>
      <c r="O262" s="84">
        <v>0</v>
      </c>
      <c r="P262" s="135">
        <v>2211.5</v>
      </c>
      <c r="Q262" s="135">
        <v>1975.8</v>
      </c>
      <c r="R262" s="133">
        <v>0</v>
      </c>
      <c r="S262" s="133">
        <f t="shared" si="106"/>
        <v>4187.3</v>
      </c>
      <c r="T262" s="134">
        <v>2211.5</v>
      </c>
      <c r="U262" s="130">
        <v>2.44</v>
      </c>
      <c r="V262" s="131">
        <v>1.9800000000000002E-2</v>
      </c>
      <c r="W262" s="131">
        <v>1.9800000000000002E-2</v>
      </c>
      <c r="X262" s="132">
        <v>1.32E-3</v>
      </c>
      <c r="Y262" s="131">
        <v>3.9699999999999999E-2</v>
      </c>
      <c r="Z262" s="29">
        <v>16474.830000000002</v>
      </c>
      <c r="AA262" s="29">
        <v>118.8</v>
      </c>
      <c r="AB262" s="9">
        <f t="shared" si="84"/>
        <v>16593.63</v>
      </c>
      <c r="AC262" s="9">
        <f t="shared" si="112"/>
        <v>105037.68</v>
      </c>
      <c r="AD262" s="9">
        <v>2.42</v>
      </c>
      <c r="AE262" s="9">
        <v>4.7300000000000004</v>
      </c>
      <c r="AF262" s="21">
        <f>2.49-AJ262</f>
        <v>2.35</v>
      </c>
      <c r="AG262" s="18">
        <f>0.62-AQ262</f>
        <v>0.56999999999999995</v>
      </c>
      <c r="AH262" s="9">
        <v>2.78</v>
      </c>
      <c r="AI262" s="13">
        <v>2391</v>
      </c>
      <c r="AJ262" s="21">
        <f t="shared" si="110"/>
        <v>0.14000000000000001</v>
      </c>
      <c r="AK262" s="9">
        <v>2.33</v>
      </c>
      <c r="AL262" s="9">
        <v>0.2</v>
      </c>
      <c r="AM262" s="9">
        <v>0.03</v>
      </c>
      <c r="AN262" s="13"/>
      <c r="AO262" s="13">
        <v>1900.8</v>
      </c>
      <c r="AP262" s="13">
        <f t="shared" si="107"/>
        <v>5.58</v>
      </c>
      <c r="AQ262" s="18">
        <f t="shared" si="111"/>
        <v>0.05</v>
      </c>
      <c r="AR262" s="9">
        <v>0.54</v>
      </c>
      <c r="AS262" s="9">
        <v>0.16</v>
      </c>
      <c r="AT262" s="9">
        <v>7.0000000000000007E-2</v>
      </c>
      <c r="AU262" s="9">
        <v>3.89</v>
      </c>
      <c r="AV262" s="9">
        <v>0.17</v>
      </c>
      <c r="AW262" s="9">
        <f>1.47+0.34+0.24</f>
        <v>2.0499999999999998</v>
      </c>
      <c r="AX262" s="9">
        <f>2.06+0.47</f>
        <v>2.5299999999999998</v>
      </c>
      <c r="AY262" s="151">
        <f t="shared" si="108"/>
        <v>25.01</v>
      </c>
      <c r="AZ262" s="13">
        <v>25.01</v>
      </c>
      <c r="BA262" s="13">
        <f t="shared" si="85"/>
        <v>0</v>
      </c>
      <c r="BB262" s="9">
        <f t="shared" si="86"/>
        <v>415006.69</v>
      </c>
      <c r="BC262" s="9">
        <v>25.01</v>
      </c>
      <c r="BD262" s="10">
        <v>44440</v>
      </c>
      <c r="BE262" s="9">
        <f t="shared" si="88"/>
        <v>40156.58</v>
      </c>
      <c r="BF262" s="9">
        <f t="shared" si="89"/>
        <v>78487.87</v>
      </c>
      <c r="BG262" s="9">
        <f t="shared" si="90"/>
        <v>38995.03</v>
      </c>
      <c r="BH262" s="9">
        <f t="shared" si="91"/>
        <v>9458.3700000000008</v>
      </c>
      <c r="BI262" s="9">
        <f t="shared" si="92"/>
        <v>46130.29</v>
      </c>
      <c r="BJ262" s="9">
        <f t="shared" si="93"/>
        <v>2323.11</v>
      </c>
      <c r="BK262" s="9">
        <f t="shared" si="94"/>
        <v>38663.160000000003</v>
      </c>
      <c r="BL262" s="9">
        <f t="shared" si="95"/>
        <v>3318.73</v>
      </c>
      <c r="BM262" s="9">
        <f t="shared" si="96"/>
        <v>497.81</v>
      </c>
      <c r="BN262" s="9">
        <f t="shared" si="97"/>
        <v>829.68</v>
      </c>
      <c r="BO262" s="9">
        <f t="shared" si="98"/>
        <v>8960.56</v>
      </c>
      <c r="BP262" s="9">
        <f t="shared" si="99"/>
        <v>2654.98</v>
      </c>
      <c r="BQ262" s="9">
        <f t="shared" si="100"/>
        <v>1161.55</v>
      </c>
      <c r="BR262" s="9">
        <f t="shared" si="101"/>
        <v>64549.22</v>
      </c>
      <c r="BS262" s="9">
        <f t="shared" si="102"/>
        <v>2820.92</v>
      </c>
      <c r="BT262" s="9">
        <f t="shared" si="103"/>
        <v>34016.94</v>
      </c>
      <c r="BU262" s="9">
        <f t="shared" si="104"/>
        <v>41981.88</v>
      </c>
      <c r="BV262" s="17">
        <f t="shared" si="105"/>
        <v>415006.68</v>
      </c>
      <c r="BW262" s="17">
        <v>2.48</v>
      </c>
      <c r="BX262" s="17">
        <v>7.0000000000000007E-2</v>
      </c>
      <c r="BY262" s="17">
        <v>0.47</v>
      </c>
      <c r="BZ262" s="17">
        <v>0.08</v>
      </c>
      <c r="CA262" s="29">
        <v>6.33</v>
      </c>
      <c r="CB262" s="325"/>
      <c r="CC262" s="13">
        <v>35040.080000000002</v>
      </c>
      <c r="CD262" s="13">
        <v>3770.72</v>
      </c>
      <c r="CE262" s="13">
        <v>475.21</v>
      </c>
      <c r="CF262" s="13">
        <v>608.27</v>
      </c>
      <c r="CG262" s="13">
        <v>106.93</v>
      </c>
      <c r="CH262" s="13">
        <v>0</v>
      </c>
      <c r="CI262" s="13">
        <v>25752.9</v>
      </c>
      <c r="CJ262" s="13">
        <v>119748</v>
      </c>
      <c r="CK262" s="13">
        <v>6380.54</v>
      </c>
      <c r="CL262" s="13">
        <v>4943746.38</v>
      </c>
      <c r="CM262" s="13">
        <v>488129.04</v>
      </c>
      <c r="CN262" s="13">
        <v>233449.71</v>
      </c>
      <c r="CO262" s="13">
        <v>12850.84</v>
      </c>
      <c r="CP262" s="13">
        <v>14662.38</v>
      </c>
      <c r="CQ262" s="13">
        <v>0</v>
      </c>
      <c r="CR262" s="13">
        <v>4791068.8499999996</v>
      </c>
      <c r="CS262" s="13">
        <v>460665.53</v>
      </c>
      <c r="CT262" s="13">
        <v>93388.61</v>
      </c>
      <c r="CU262" s="13">
        <v>20256.849999999999</v>
      </c>
      <c r="CV262" s="13">
        <v>14139.29</v>
      </c>
      <c r="CW262" s="13">
        <v>0</v>
      </c>
      <c r="CX262" s="13">
        <v>651367.48</v>
      </c>
      <c r="CY262" s="13">
        <v>88204.78</v>
      </c>
      <c r="CZ262" s="13">
        <v>57216.02</v>
      </c>
      <c r="DA262" s="13">
        <v>3281.09</v>
      </c>
      <c r="DB262" s="13">
        <v>2019.05</v>
      </c>
      <c r="DC262" s="13"/>
      <c r="DD262" s="315">
        <v>5692838.3499999996</v>
      </c>
      <c r="DE262" s="317">
        <v>5379519.1299999999</v>
      </c>
      <c r="DF262" s="317">
        <v>94.5</v>
      </c>
      <c r="DG262" s="318">
        <v>802088.42</v>
      </c>
      <c r="DH262" s="310">
        <v>173041.2</v>
      </c>
      <c r="DI262" s="310">
        <v>98964.12</v>
      </c>
      <c r="DJ262" s="312">
        <v>1454575.26</v>
      </c>
      <c r="DK262" s="362">
        <v>32400</v>
      </c>
      <c r="DL262" s="362"/>
      <c r="DM262" s="362">
        <v>0</v>
      </c>
      <c r="DN262" s="362">
        <v>0</v>
      </c>
      <c r="DO262" s="362">
        <v>0</v>
      </c>
      <c r="DP262" s="362">
        <v>38016.9</v>
      </c>
      <c r="DQ262" s="362">
        <v>3370.5</v>
      </c>
      <c r="DR262" s="362"/>
      <c r="DS262" s="362">
        <v>0</v>
      </c>
      <c r="DT262" s="362"/>
      <c r="DU262" s="362">
        <v>6076</v>
      </c>
      <c r="DV262" s="362">
        <v>0</v>
      </c>
      <c r="DW262" s="362">
        <v>0</v>
      </c>
      <c r="DX262" s="362">
        <v>463979.25</v>
      </c>
      <c r="DY262" s="362">
        <v>126000</v>
      </c>
      <c r="DZ262" s="375">
        <v>0</v>
      </c>
      <c r="EA262" s="362">
        <v>0</v>
      </c>
      <c r="EB262" s="362">
        <v>0</v>
      </c>
      <c r="EC262" s="362"/>
      <c r="ED262" s="362">
        <v>0</v>
      </c>
      <c r="EE262" s="362">
        <v>0</v>
      </c>
      <c r="EF262" s="362"/>
      <c r="EG262" s="362">
        <v>0</v>
      </c>
      <c r="EH262" s="362">
        <v>0</v>
      </c>
      <c r="EI262" s="362"/>
      <c r="EJ262" s="362">
        <v>0</v>
      </c>
      <c r="EK262" s="362"/>
      <c r="EL262" s="362">
        <v>0</v>
      </c>
      <c r="EM262" s="362">
        <v>10606.47</v>
      </c>
      <c r="EN262" s="362">
        <v>1317843.96</v>
      </c>
      <c r="EO262" s="362">
        <v>0</v>
      </c>
      <c r="EP262" s="362">
        <v>0</v>
      </c>
      <c r="EQ262" s="362">
        <v>0</v>
      </c>
      <c r="ER262" s="362">
        <v>32760</v>
      </c>
      <c r="ES262" s="362">
        <v>0</v>
      </c>
      <c r="ET262" s="362">
        <v>37849</v>
      </c>
      <c r="EU262" s="362">
        <v>0</v>
      </c>
      <c r="EV262" s="362">
        <v>717700.29</v>
      </c>
      <c r="EW262" s="362"/>
      <c r="EX262" s="202"/>
      <c r="EY262" s="202"/>
      <c r="EZ262" s="229"/>
      <c r="FA262" s="368">
        <v>528134.53</v>
      </c>
      <c r="FB262" s="368">
        <v>354314.34</v>
      </c>
      <c r="FC262" s="368">
        <v>0</v>
      </c>
      <c r="FD262" s="368">
        <v>0</v>
      </c>
      <c r="FE262" s="368">
        <v>20701.72</v>
      </c>
      <c r="FF262" s="368">
        <v>15773.93</v>
      </c>
      <c r="FG262" s="368">
        <v>0</v>
      </c>
      <c r="FH262" s="368">
        <v>-4244.3900000000003</v>
      </c>
      <c r="FI262" s="368">
        <v>0</v>
      </c>
      <c r="FJ262" s="368">
        <v>0</v>
      </c>
      <c r="FK262" s="368">
        <v>220200.2</v>
      </c>
      <c r="FL262" s="368">
        <v>0</v>
      </c>
      <c r="FM262" s="368">
        <v>443601.3</v>
      </c>
      <c r="FN262" s="368">
        <v>282059.98</v>
      </c>
      <c r="FO262" s="323">
        <v>5238844.2300000004</v>
      </c>
      <c r="FP262" s="323">
        <v>1134880.33</v>
      </c>
      <c r="FQ262" s="323">
        <v>6373724.5599999996</v>
      </c>
      <c r="FR262" s="362">
        <v>412130.11</v>
      </c>
      <c r="FS262" s="362">
        <v>20637.09</v>
      </c>
      <c r="FT262" s="377">
        <v>432767.2</v>
      </c>
      <c r="FU262" s="377">
        <v>5124287.3600000003</v>
      </c>
      <c r="FV262" s="377">
        <v>760433.64</v>
      </c>
      <c r="FW262" s="362">
        <v>5884721</v>
      </c>
      <c r="FX262" s="362">
        <v>4856223.99</v>
      </c>
      <c r="FY262" s="362">
        <v>626418.97</v>
      </c>
      <c r="FZ262" s="362">
        <v>5482642.96</v>
      </c>
      <c r="GA262" s="362">
        <v>680193.48</v>
      </c>
      <c r="GB262" s="362">
        <v>154651.76</v>
      </c>
      <c r="GC262" s="362">
        <v>834845.24</v>
      </c>
      <c r="GD262" s="362">
        <v>-146441.97</v>
      </c>
      <c r="GE262" s="362">
        <v>24270.84</v>
      </c>
      <c r="GF262" s="362">
        <v>-122171.13</v>
      </c>
      <c r="GG262" s="202">
        <v>32756.82</v>
      </c>
      <c r="GH262" s="416">
        <v>88</v>
      </c>
      <c r="GI262" s="414">
        <v>8343.65</v>
      </c>
      <c r="GJ262" s="419">
        <v>40001.21</v>
      </c>
      <c r="GK262" s="396">
        <v>32756.82</v>
      </c>
      <c r="GL262" s="202">
        <v>28826.0016</v>
      </c>
      <c r="GM262" s="202">
        <v>3930.8184000000001</v>
      </c>
      <c r="GN262" s="323">
        <v>-114556.87</v>
      </c>
      <c r="GO262" s="323">
        <v>-374446.69</v>
      </c>
      <c r="GP262" s="323">
        <v>-489003.56</v>
      </c>
      <c r="GQ262" s="323">
        <v>-260998.84</v>
      </c>
      <c r="GR262" s="323">
        <v>-350175.85</v>
      </c>
      <c r="GS262" s="323">
        <v>-611174.68999999994</v>
      </c>
    </row>
    <row r="263" spans="1:201" ht="12.75" customHeight="1" x14ac:dyDescent="0.2">
      <c r="A263" s="45" t="s">
        <v>365</v>
      </c>
      <c r="B263" s="99" t="s">
        <v>299</v>
      </c>
      <c r="C263" s="100" t="s">
        <v>39</v>
      </c>
      <c r="D263" s="388" t="s">
        <v>667</v>
      </c>
      <c r="E263" s="100" t="s">
        <v>106</v>
      </c>
      <c r="F263" s="11">
        <v>9</v>
      </c>
      <c r="G263" s="11">
        <v>2</v>
      </c>
      <c r="H263" s="11">
        <v>70</v>
      </c>
      <c r="I263" s="11">
        <v>74</v>
      </c>
      <c r="J263" s="11">
        <v>189</v>
      </c>
      <c r="K263" s="11">
        <v>221</v>
      </c>
      <c r="L263" s="11">
        <v>2</v>
      </c>
      <c r="M263" s="84">
        <v>657</v>
      </c>
      <c r="N263" s="84">
        <v>602</v>
      </c>
      <c r="O263" s="84">
        <v>0</v>
      </c>
      <c r="P263" s="139">
        <v>606</v>
      </c>
      <c r="Q263" s="139" t="s">
        <v>808</v>
      </c>
      <c r="R263" s="133">
        <v>0</v>
      </c>
      <c r="S263" s="133">
        <f t="shared" si="106"/>
        <v>606</v>
      </c>
      <c r="T263" s="139">
        <v>657</v>
      </c>
      <c r="U263" s="130">
        <v>2.72</v>
      </c>
      <c r="V263" s="131">
        <v>1.21E-2</v>
      </c>
      <c r="W263" s="131">
        <v>1.9800000000000002E-2</v>
      </c>
      <c r="X263" s="132">
        <v>1.2700000000000001E-3</v>
      </c>
      <c r="Y263" s="131">
        <v>1.21E-2</v>
      </c>
      <c r="Z263" s="29">
        <v>3776.99</v>
      </c>
      <c r="AA263" s="29">
        <v>57.2</v>
      </c>
      <c r="AB263" s="9">
        <f t="shared" ref="AB263:AB317" si="113">Z263+AA263</f>
        <v>3834.19</v>
      </c>
      <c r="AC263" s="9">
        <f t="shared" si="112"/>
        <v>24270.42</v>
      </c>
      <c r="AD263" s="9">
        <v>2.15</v>
      </c>
      <c r="AE263" s="9">
        <v>4.55</v>
      </c>
      <c r="AF263" s="21">
        <f>2.48-AJ263</f>
        <v>2.33</v>
      </c>
      <c r="AG263" s="18">
        <f>0.62-AQ263</f>
        <v>0.56999999999999995</v>
      </c>
      <c r="AH263" s="19">
        <f>2.78+0.13+0.18</f>
        <v>3.09</v>
      </c>
      <c r="AI263" s="43">
        <v>578</v>
      </c>
      <c r="AJ263" s="21">
        <f t="shared" si="110"/>
        <v>0.15</v>
      </c>
      <c r="AK263" s="9">
        <v>2.23</v>
      </c>
      <c r="AL263" s="9">
        <v>0.19</v>
      </c>
      <c r="AM263" s="9">
        <v>0.15</v>
      </c>
      <c r="AN263" s="13"/>
      <c r="AO263" s="13">
        <v>422.4</v>
      </c>
      <c r="AP263" s="13">
        <f t="shared" si="107"/>
        <v>5.58</v>
      </c>
      <c r="AQ263" s="18">
        <f t="shared" si="111"/>
        <v>0.05</v>
      </c>
      <c r="AR263" s="9">
        <v>0.57999999999999996</v>
      </c>
      <c r="AS263" s="9">
        <v>0.35</v>
      </c>
      <c r="AT263" s="9">
        <v>7.0000000000000007E-2</v>
      </c>
      <c r="AU263" s="9">
        <v>3.38</v>
      </c>
      <c r="AV263" s="9">
        <v>0.17</v>
      </c>
      <c r="AW263" s="9">
        <f>1.47+0.27+0.3</f>
        <v>2.04</v>
      </c>
      <c r="AX263" s="9">
        <f>2.08+0.4</f>
        <v>2.48</v>
      </c>
      <c r="AY263" s="102">
        <f t="shared" si="108"/>
        <v>24.53</v>
      </c>
      <c r="AZ263" s="13">
        <v>24.53</v>
      </c>
      <c r="BA263" s="13">
        <f t="shared" ref="BA263:BA317" si="114">SUM(AY263-AZ263)</f>
        <v>0</v>
      </c>
      <c r="BB263" s="9">
        <f t="shared" ref="BB263:BB317" si="115">SUM(AB263*AZ263)</f>
        <v>94052.68</v>
      </c>
      <c r="BC263" s="9">
        <v>24.53</v>
      </c>
      <c r="BD263" s="10">
        <v>44409</v>
      </c>
      <c r="BE263" s="9">
        <f t="shared" si="88"/>
        <v>8243.51</v>
      </c>
      <c r="BF263" s="9">
        <f t="shared" si="89"/>
        <v>17445.560000000001</v>
      </c>
      <c r="BG263" s="9">
        <f t="shared" si="90"/>
        <v>8933.66</v>
      </c>
      <c r="BH263" s="9">
        <f t="shared" si="91"/>
        <v>2185.4899999999998</v>
      </c>
      <c r="BI263" s="9">
        <f t="shared" si="92"/>
        <v>11847.65</v>
      </c>
      <c r="BJ263" s="9">
        <f t="shared" si="93"/>
        <v>575.13</v>
      </c>
      <c r="BK263" s="9">
        <f t="shared" si="94"/>
        <v>8550.24</v>
      </c>
      <c r="BL263" s="9">
        <f t="shared" si="95"/>
        <v>728.5</v>
      </c>
      <c r="BM263" s="9">
        <f t="shared" si="96"/>
        <v>575.13</v>
      </c>
      <c r="BN263" s="9">
        <f t="shared" si="97"/>
        <v>191.71</v>
      </c>
      <c r="BO263" s="9">
        <f t="shared" si="98"/>
        <v>2223.83</v>
      </c>
      <c r="BP263" s="9">
        <f t="shared" si="99"/>
        <v>1341.97</v>
      </c>
      <c r="BQ263" s="9">
        <f t="shared" si="100"/>
        <v>268.39</v>
      </c>
      <c r="BR263" s="9">
        <f t="shared" si="101"/>
        <v>12959.56</v>
      </c>
      <c r="BS263" s="9">
        <f t="shared" si="102"/>
        <v>651.80999999999995</v>
      </c>
      <c r="BT263" s="9">
        <f t="shared" si="103"/>
        <v>7821.75</v>
      </c>
      <c r="BU263" s="9">
        <f t="shared" si="104"/>
        <v>9508.7900000000009</v>
      </c>
      <c r="BV263" s="17">
        <f t="shared" si="105"/>
        <v>94052.68</v>
      </c>
      <c r="BW263" s="17">
        <v>1.85</v>
      </c>
      <c r="BX263" s="17">
        <v>0.06</v>
      </c>
      <c r="BY263" s="17">
        <v>0.54</v>
      </c>
      <c r="BZ263" s="17">
        <v>0.03</v>
      </c>
      <c r="CA263" s="29">
        <v>6.33</v>
      </c>
      <c r="CB263" s="325"/>
      <c r="CC263" s="13">
        <v>16837.439999999999</v>
      </c>
      <c r="CD263" s="13">
        <v>921.48</v>
      </c>
      <c r="CE263" s="13">
        <v>8.58</v>
      </c>
      <c r="CF263" s="13">
        <v>112.12</v>
      </c>
      <c r="CG263" s="13">
        <v>62.92</v>
      </c>
      <c r="CH263" s="13">
        <v>0</v>
      </c>
      <c r="CI263" s="13">
        <v>6766.59</v>
      </c>
      <c r="CJ263" s="13">
        <v>39960</v>
      </c>
      <c r="CK263" s="13">
        <v>1474.59</v>
      </c>
      <c r="CL263" s="13">
        <v>1111794.96</v>
      </c>
      <c r="CM263" s="13">
        <v>60847.33</v>
      </c>
      <c r="CN263" s="13">
        <v>566.73</v>
      </c>
      <c r="CO263" s="13">
        <v>7403.1</v>
      </c>
      <c r="CP263" s="13">
        <v>4154.71</v>
      </c>
      <c r="CQ263" s="13">
        <v>0</v>
      </c>
      <c r="CR263" s="13">
        <v>1048485.04</v>
      </c>
      <c r="CS263" s="13">
        <v>56533.97</v>
      </c>
      <c r="CT263" s="13">
        <v>1390.66</v>
      </c>
      <c r="CU263" s="13">
        <v>2679.65</v>
      </c>
      <c r="CV263" s="13">
        <v>2083.6799999999998</v>
      </c>
      <c r="CW263" s="13">
        <v>0</v>
      </c>
      <c r="CX263" s="13">
        <v>200907.45</v>
      </c>
      <c r="CY263" s="13">
        <v>8399.67</v>
      </c>
      <c r="CZ263" s="13">
        <v>-1614.88</v>
      </c>
      <c r="DA263" s="13">
        <v>23.75</v>
      </c>
      <c r="DB263" s="13">
        <v>-76.84</v>
      </c>
      <c r="DC263" s="13"/>
      <c r="DD263" s="315">
        <v>1184766.83</v>
      </c>
      <c r="DE263" s="317">
        <v>1111173</v>
      </c>
      <c r="DF263" s="317">
        <v>93.79</v>
      </c>
      <c r="DG263" s="318">
        <v>207639.15</v>
      </c>
      <c r="DH263" s="310">
        <v>39686.400000000001</v>
      </c>
      <c r="DI263" s="310">
        <v>22697.16</v>
      </c>
      <c r="DJ263" s="312">
        <v>0</v>
      </c>
      <c r="DK263" s="362">
        <v>0</v>
      </c>
      <c r="DL263" s="362"/>
      <c r="DM263" s="362">
        <v>0</v>
      </c>
      <c r="DN263" s="362">
        <v>0</v>
      </c>
      <c r="DO263" s="362">
        <v>0</v>
      </c>
      <c r="DP263" s="362">
        <v>0</v>
      </c>
      <c r="DQ263" s="362">
        <v>0</v>
      </c>
      <c r="DR263" s="362"/>
      <c r="DS263" s="362">
        <v>0</v>
      </c>
      <c r="DT263" s="362"/>
      <c r="DU263" s="362">
        <v>0</v>
      </c>
      <c r="DV263" s="362">
        <v>0</v>
      </c>
      <c r="DW263" s="362">
        <v>103200</v>
      </c>
      <c r="DX263" s="362">
        <v>0</v>
      </c>
      <c r="DY263" s="362">
        <v>9000</v>
      </c>
      <c r="DZ263" s="375">
        <v>0</v>
      </c>
      <c r="EA263" s="362">
        <v>358572</v>
      </c>
      <c r="EB263" s="362">
        <v>6800</v>
      </c>
      <c r="EC263" s="362"/>
      <c r="ED263" s="362">
        <v>0</v>
      </c>
      <c r="EE263" s="362">
        <v>0</v>
      </c>
      <c r="EF263" s="362"/>
      <c r="EG263" s="362">
        <v>9198</v>
      </c>
      <c r="EH263" s="362">
        <v>0</v>
      </c>
      <c r="EI263" s="362"/>
      <c r="EJ263" s="362">
        <v>0</v>
      </c>
      <c r="EK263" s="362"/>
      <c r="EL263" s="362">
        <v>0</v>
      </c>
      <c r="EM263" s="362">
        <v>2356.98</v>
      </c>
      <c r="EN263" s="362">
        <v>249450.3</v>
      </c>
      <c r="EO263" s="362">
        <v>0</v>
      </c>
      <c r="EP263" s="362">
        <v>0</v>
      </c>
      <c r="EQ263" s="362">
        <v>0</v>
      </c>
      <c r="ER263" s="362">
        <v>16380</v>
      </c>
      <c r="ES263" s="362">
        <v>6924</v>
      </c>
      <c r="ET263" s="362">
        <v>8935</v>
      </c>
      <c r="EU263" s="362">
        <v>0</v>
      </c>
      <c r="EV263" s="362">
        <v>133995.16</v>
      </c>
      <c r="EW263" s="362"/>
      <c r="EX263" s="202"/>
      <c r="EY263" s="202"/>
      <c r="EZ263" s="229"/>
      <c r="FA263" s="368">
        <v>61533.24</v>
      </c>
      <c r="FB263" s="368">
        <v>579.30999999999995</v>
      </c>
      <c r="FC263" s="368">
        <v>0</v>
      </c>
      <c r="FD263" s="368">
        <v>0</v>
      </c>
      <c r="FE263" s="368">
        <v>23434.98</v>
      </c>
      <c r="FF263" s="368">
        <v>13127.12</v>
      </c>
      <c r="FG263" s="368">
        <v>-318.44</v>
      </c>
      <c r="FH263" s="368">
        <v>-1138.44</v>
      </c>
      <c r="FI263" s="368">
        <v>0</v>
      </c>
      <c r="FJ263" s="368">
        <v>0</v>
      </c>
      <c r="FK263" s="368">
        <v>0</v>
      </c>
      <c r="FL263" s="368">
        <v>0</v>
      </c>
      <c r="FM263" s="368">
        <v>102507.29</v>
      </c>
      <c r="FN263" s="368">
        <v>65178.94</v>
      </c>
      <c r="FO263" s="323">
        <v>1134881.23</v>
      </c>
      <c r="FP263" s="323">
        <v>97217.77</v>
      </c>
      <c r="FQ263" s="323">
        <v>1232099</v>
      </c>
      <c r="FR263" s="362">
        <v>133271.88</v>
      </c>
      <c r="FS263" s="362">
        <v>4522.58</v>
      </c>
      <c r="FT263" s="377">
        <v>137794.46</v>
      </c>
      <c r="FU263" s="377">
        <v>1175358.99</v>
      </c>
      <c r="FV263" s="377">
        <v>75551.56</v>
      </c>
      <c r="FW263" s="362">
        <v>1250910.55</v>
      </c>
      <c r="FX263" s="362">
        <v>1105874.94</v>
      </c>
      <c r="FY263" s="362">
        <v>73224.45</v>
      </c>
      <c r="FZ263" s="362">
        <v>1179099.3899999999</v>
      </c>
      <c r="GA263" s="362">
        <v>202755.93</v>
      </c>
      <c r="GB263" s="362">
        <v>6849.69</v>
      </c>
      <c r="GC263" s="362">
        <v>209605.62</v>
      </c>
      <c r="GD263" s="362">
        <v>96206.35</v>
      </c>
      <c r="GE263" s="362">
        <v>10194.43</v>
      </c>
      <c r="GF263" s="362">
        <v>106400.78</v>
      </c>
      <c r="GG263" s="202">
        <v>1966.47</v>
      </c>
      <c r="GH263" s="416">
        <v>94</v>
      </c>
      <c r="GI263" s="414">
        <v>2878</v>
      </c>
      <c r="GJ263" s="419">
        <v>17942.54</v>
      </c>
      <c r="GK263" s="396">
        <v>1966.47</v>
      </c>
      <c r="GL263" s="202">
        <v>1848.4818</v>
      </c>
      <c r="GM263" s="202">
        <v>117.98820000000001</v>
      </c>
      <c r="GN263" s="323">
        <v>40477.760000000002</v>
      </c>
      <c r="GO263" s="323">
        <v>-21666.21</v>
      </c>
      <c r="GP263" s="323">
        <v>18811.55</v>
      </c>
      <c r="GQ263" s="323">
        <v>136684.10999999999</v>
      </c>
      <c r="GR263" s="323">
        <v>-11471.78</v>
      </c>
      <c r="GS263" s="323">
        <v>125212.33</v>
      </c>
    </row>
    <row r="264" spans="1:201" ht="12.75" customHeight="1" x14ac:dyDescent="0.2">
      <c r="A264" s="45" t="s">
        <v>366</v>
      </c>
      <c r="B264" s="148" t="s">
        <v>299</v>
      </c>
      <c r="C264" s="149" t="s">
        <v>41</v>
      </c>
      <c r="D264" s="390" t="s">
        <v>666</v>
      </c>
      <c r="E264" s="149"/>
      <c r="F264" s="11">
        <v>9</v>
      </c>
      <c r="G264" s="11">
        <v>17</v>
      </c>
      <c r="H264" s="11">
        <v>600</v>
      </c>
      <c r="I264" s="11">
        <v>601</v>
      </c>
      <c r="J264" s="11">
        <v>1356</v>
      </c>
      <c r="K264" s="11">
        <v>1622</v>
      </c>
      <c r="L264" s="83">
        <v>17</v>
      </c>
      <c r="M264" s="84">
        <v>3522</v>
      </c>
      <c r="N264" s="84">
        <v>4936</v>
      </c>
      <c r="O264" s="84">
        <v>0</v>
      </c>
      <c r="P264" s="139">
        <f>1686.4+3207.6</f>
        <v>4894</v>
      </c>
      <c r="Q264" s="135">
        <v>3689.4</v>
      </c>
      <c r="R264" s="133">
        <v>0</v>
      </c>
      <c r="S264" s="133">
        <f t="shared" si="106"/>
        <v>8583.4</v>
      </c>
      <c r="T264" s="139">
        <v>4470.8</v>
      </c>
      <c r="U264" s="130">
        <v>2.44</v>
      </c>
      <c r="V264" s="91">
        <v>1.9800000000000002E-2</v>
      </c>
      <c r="W264" s="91">
        <v>1.9800000000000002E-2</v>
      </c>
      <c r="X264" s="132">
        <v>1.32E-3</v>
      </c>
      <c r="Y264" s="91">
        <v>3.9699999999999999E-2</v>
      </c>
      <c r="Z264" s="29">
        <v>31951.78</v>
      </c>
      <c r="AA264" s="29">
        <v>1138.7</v>
      </c>
      <c r="AB264" s="9">
        <f t="shared" si="113"/>
        <v>33090.480000000003</v>
      </c>
      <c r="AC264" s="9">
        <f t="shared" si="112"/>
        <v>209462.74</v>
      </c>
      <c r="AD264" s="9">
        <v>2.34</v>
      </c>
      <c r="AE264" s="9">
        <v>4.17</v>
      </c>
      <c r="AF264" s="21">
        <f>2.49-AJ264</f>
        <v>2.35</v>
      </c>
      <c r="AG264" s="18">
        <f>0.62-AQ264</f>
        <v>0.56999999999999995</v>
      </c>
      <c r="AH264" s="9">
        <v>2.78</v>
      </c>
      <c r="AI264" s="13">
        <v>4737</v>
      </c>
      <c r="AJ264" s="21">
        <f t="shared" si="110"/>
        <v>0.14000000000000001</v>
      </c>
      <c r="AK264" s="9">
        <v>2.2200000000000002</v>
      </c>
      <c r="AL264" s="9">
        <v>0.6</v>
      </c>
      <c r="AM264" s="9">
        <v>0.04</v>
      </c>
      <c r="AN264" s="13"/>
      <c r="AO264" s="13">
        <v>3590.4</v>
      </c>
      <c r="AP264" s="13">
        <f t="shared" si="107"/>
        <v>5.58</v>
      </c>
      <c r="AQ264" s="18">
        <f t="shared" si="111"/>
        <v>0.05</v>
      </c>
      <c r="AR264" s="9">
        <v>0.55000000000000004</v>
      </c>
      <c r="AS264" s="9">
        <v>0.17</v>
      </c>
      <c r="AT264" s="9">
        <v>7.0000000000000007E-2</v>
      </c>
      <c r="AU264" s="9">
        <v>3.85</v>
      </c>
      <c r="AV264" s="9">
        <v>0.17</v>
      </c>
      <c r="AW264" s="9">
        <f>1.44+0.34+0.25</f>
        <v>2.0299999999999998</v>
      </c>
      <c r="AX264" s="9">
        <f>2.03+0.45</f>
        <v>2.48</v>
      </c>
      <c r="AY264" s="151">
        <f t="shared" si="108"/>
        <v>24.58</v>
      </c>
      <c r="AZ264" s="13">
        <v>24.58</v>
      </c>
      <c r="BA264" s="13">
        <f t="shared" si="114"/>
        <v>0</v>
      </c>
      <c r="BB264" s="9">
        <f t="shared" si="115"/>
        <v>813364</v>
      </c>
      <c r="BC264" s="9">
        <v>24.58</v>
      </c>
      <c r="BD264" s="10">
        <v>44440</v>
      </c>
      <c r="BE264" s="9">
        <f t="shared" ref="BE264:BE317" si="116">SUM(AB264*AD264)</f>
        <v>77431.72</v>
      </c>
      <c r="BF264" s="9">
        <f t="shared" ref="BF264:BF317" si="117">SUM(AB264*AE264)</f>
        <v>137987.29999999999</v>
      </c>
      <c r="BG264" s="9">
        <f t="shared" ref="BG264:BG317" si="118">SUM(AB264*AF264)</f>
        <v>77762.63</v>
      </c>
      <c r="BH264" s="9">
        <f t="shared" ref="BH264:BH317" si="119">SUM(AB264*AG264)</f>
        <v>18861.57</v>
      </c>
      <c r="BI264" s="9">
        <f t="shared" ref="BI264:BI317" si="120">SUM(AB264*AH264)</f>
        <v>91991.53</v>
      </c>
      <c r="BJ264" s="9">
        <f t="shared" ref="BJ264:BJ317" si="121">SUM(AB264*AJ264)</f>
        <v>4632.67</v>
      </c>
      <c r="BK264" s="9">
        <f t="shared" ref="BK264:BK317" si="122">SUM(AB264*AK264)</f>
        <v>73460.87</v>
      </c>
      <c r="BL264" s="9">
        <f t="shared" ref="BL264:BL317" si="123">SUM(AB264*AL264)</f>
        <v>19854.29</v>
      </c>
      <c r="BM264" s="9">
        <f t="shared" ref="BM264:BM317" si="124">SUM(AB264*AM264)</f>
        <v>1323.62</v>
      </c>
      <c r="BN264" s="9">
        <f t="shared" ref="BN264:BN317" si="125">SUM(AB264*AQ264)</f>
        <v>1654.52</v>
      </c>
      <c r="BO264" s="9">
        <f t="shared" ref="BO264:BO317" si="126">SUM(AB264*AR264)</f>
        <v>18199.759999999998</v>
      </c>
      <c r="BP264" s="9">
        <f t="shared" ref="BP264:BP317" si="127">SUM(AB264*AS264)</f>
        <v>5625.38</v>
      </c>
      <c r="BQ264" s="9">
        <f t="shared" ref="BQ264:BQ317" si="128">SUM(AB264*AT264)</f>
        <v>2316.33</v>
      </c>
      <c r="BR264" s="9">
        <f t="shared" ref="BR264:BR317" si="129">SUM(AB264*AU264)</f>
        <v>127398.35</v>
      </c>
      <c r="BS264" s="9">
        <f t="shared" ref="BS264:BS317" si="130">SUM(AB264*AV264)</f>
        <v>5625.38</v>
      </c>
      <c r="BT264" s="9">
        <f t="shared" ref="BT264:BT317" si="131">SUM(AB264*AW264)</f>
        <v>67173.67</v>
      </c>
      <c r="BU264" s="9">
        <f t="shared" ref="BU264:BU317" si="132">SUM(AB264*AX264)</f>
        <v>82064.39</v>
      </c>
      <c r="BV264" s="17">
        <f t="shared" ref="BV264:BV317" si="133">SUM(BE264:BU264)</f>
        <v>813363.98</v>
      </c>
      <c r="BW264" s="17">
        <v>2.37</v>
      </c>
      <c r="BX264" s="17">
        <v>7.0000000000000007E-2</v>
      </c>
      <c r="BY264" s="17">
        <v>0.46</v>
      </c>
      <c r="BZ264" s="17">
        <v>0.08</v>
      </c>
      <c r="CA264" s="29">
        <v>6.33</v>
      </c>
      <c r="CB264" s="325"/>
      <c r="CC264" s="13">
        <v>334595.46999999997</v>
      </c>
      <c r="CD264" s="13">
        <v>33375.57</v>
      </c>
      <c r="CE264" s="13">
        <v>8483.1</v>
      </c>
      <c r="CF264" s="13">
        <v>5750.35</v>
      </c>
      <c r="CG264" s="13">
        <v>2060.81</v>
      </c>
      <c r="CH264" s="13">
        <v>0</v>
      </c>
      <c r="CI264" s="13">
        <v>31004.51</v>
      </c>
      <c r="CJ264" s="13">
        <v>281388</v>
      </c>
      <c r="CK264" s="13">
        <v>12726.25</v>
      </c>
      <c r="CL264" s="13">
        <v>9424188.7799999993</v>
      </c>
      <c r="CM264" s="13">
        <v>936510.8</v>
      </c>
      <c r="CN264" s="13">
        <v>317284.65999999997</v>
      </c>
      <c r="CO264" s="13">
        <v>82115.06</v>
      </c>
      <c r="CP264" s="13">
        <v>57834</v>
      </c>
      <c r="CQ264" s="13">
        <v>0</v>
      </c>
      <c r="CR264" s="13">
        <v>8897010.5700000003</v>
      </c>
      <c r="CS264" s="13">
        <v>838331.46</v>
      </c>
      <c r="CT264" s="13">
        <v>379339.16</v>
      </c>
      <c r="CU264" s="13">
        <v>79427.44</v>
      </c>
      <c r="CV264" s="13">
        <v>55343.92</v>
      </c>
      <c r="CW264" s="13">
        <v>0</v>
      </c>
      <c r="CX264" s="13">
        <v>1349136.98</v>
      </c>
      <c r="CY264" s="13">
        <v>202875.92</v>
      </c>
      <c r="CZ264" s="13">
        <v>-68953.440000000002</v>
      </c>
      <c r="DA264" s="13">
        <v>4423.6499999999996</v>
      </c>
      <c r="DB264" s="13">
        <v>3530.86</v>
      </c>
      <c r="DC264" s="13"/>
      <c r="DD264" s="315">
        <v>10817933.300000001</v>
      </c>
      <c r="DE264" s="317">
        <v>10249452.550000001</v>
      </c>
      <c r="DF264" s="317">
        <v>94.75</v>
      </c>
      <c r="DG264" s="318">
        <v>1491013.97</v>
      </c>
      <c r="DH264" s="310">
        <v>335740.32</v>
      </c>
      <c r="DI264" s="310">
        <v>192013.44</v>
      </c>
      <c r="DJ264" s="312">
        <v>2868661.92</v>
      </c>
      <c r="DK264" s="362">
        <v>39200</v>
      </c>
      <c r="DL264" s="362"/>
      <c r="DM264" s="362">
        <v>0</v>
      </c>
      <c r="DN264" s="362">
        <v>0</v>
      </c>
      <c r="DO264" s="362">
        <v>0</v>
      </c>
      <c r="DP264" s="362">
        <v>75318.3</v>
      </c>
      <c r="DQ264" s="362">
        <v>6366.5</v>
      </c>
      <c r="DR264" s="362"/>
      <c r="DS264" s="362">
        <v>0</v>
      </c>
      <c r="DT264" s="362"/>
      <c r="DU264" s="362">
        <v>18228</v>
      </c>
      <c r="DV264" s="362">
        <v>0</v>
      </c>
      <c r="DW264" s="362">
        <v>0</v>
      </c>
      <c r="DX264" s="362">
        <v>876645.16</v>
      </c>
      <c r="DY264" s="362">
        <v>200000</v>
      </c>
      <c r="DZ264" s="375">
        <v>0</v>
      </c>
      <c r="EA264" s="362">
        <v>0</v>
      </c>
      <c r="EB264" s="362">
        <v>0</v>
      </c>
      <c r="EC264" s="362"/>
      <c r="ED264" s="362">
        <v>0</v>
      </c>
      <c r="EE264" s="362">
        <v>0</v>
      </c>
      <c r="EF264" s="362"/>
      <c r="EG264" s="362">
        <v>0</v>
      </c>
      <c r="EH264" s="362">
        <v>0</v>
      </c>
      <c r="EI264" s="362"/>
      <c r="EJ264" s="362">
        <v>0</v>
      </c>
      <c r="EK264" s="362"/>
      <c r="EL264" s="362">
        <v>0</v>
      </c>
      <c r="EM264" s="362">
        <v>20034.419999999998</v>
      </c>
      <c r="EN264" s="362">
        <v>2604198.48</v>
      </c>
      <c r="EO264" s="362">
        <v>0</v>
      </c>
      <c r="EP264" s="362">
        <v>0</v>
      </c>
      <c r="EQ264" s="362">
        <v>0</v>
      </c>
      <c r="ER264" s="362">
        <v>55965</v>
      </c>
      <c r="ES264" s="362">
        <v>13848</v>
      </c>
      <c r="ET264" s="362">
        <v>74119</v>
      </c>
      <c r="EU264" s="362">
        <v>0</v>
      </c>
      <c r="EV264" s="362">
        <v>784703.72</v>
      </c>
      <c r="EW264" s="362"/>
      <c r="EX264" s="202"/>
      <c r="EY264" s="202"/>
      <c r="EZ264" s="229"/>
      <c r="FA264" s="368">
        <v>957526.62</v>
      </c>
      <c r="FB264" s="368">
        <v>262275.01</v>
      </c>
      <c r="FC264" s="368">
        <v>0</v>
      </c>
      <c r="FD264" s="368">
        <v>0</v>
      </c>
      <c r="FE264" s="368">
        <v>86584.9</v>
      </c>
      <c r="FF264" s="368">
        <v>61234.38</v>
      </c>
      <c r="FG264" s="368">
        <v>-1783.58</v>
      </c>
      <c r="FH264" s="368">
        <v>-9844.3700000000008</v>
      </c>
      <c r="FI264" s="368">
        <v>0</v>
      </c>
      <c r="FJ264" s="368">
        <v>0</v>
      </c>
      <c r="FK264" s="368">
        <v>402623.8</v>
      </c>
      <c r="FL264" s="368">
        <v>0</v>
      </c>
      <c r="FM264" s="368">
        <v>884675.99</v>
      </c>
      <c r="FN264" s="368">
        <v>562518.26</v>
      </c>
      <c r="FO264" s="323">
        <v>9612236.5099999998</v>
      </c>
      <c r="FP264" s="323">
        <v>1758616.76</v>
      </c>
      <c r="FQ264" s="323">
        <v>11370853.27</v>
      </c>
      <c r="FR264" s="362">
        <v>904354.48</v>
      </c>
      <c r="FS264" s="362">
        <v>54872.46</v>
      </c>
      <c r="FT264" s="377">
        <v>959226.94</v>
      </c>
      <c r="FU264" s="377">
        <v>10071176.76</v>
      </c>
      <c r="FV264" s="377">
        <v>1456140.6</v>
      </c>
      <c r="FW264" s="362">
        <v>11527317.359999999</v>
      </c>
      <c r="FX264" s="362">
        <v>9565718.2799999993</v>
      </c>
      <c r="FY264" s="362">
        <v>1360069.54</v>
      </c>
      <c r="FZ264" s="362">
        <v>10925787.82</v>
      </c>
      <c r="GA264" s="362">
        <v>1409812.96</v>
      </c>
      <c r="GB264" s="362">
        <v>150943.51999999999</v>
      </c>
      <c r="GC264" s="362">
        <v>1560756.48</v>
      </c>
      <c r="GD264" s="362">
        <v>323827.53999999998</v>
      </c>
      <c r="GE264" s="362">
        <v>-84325.16</v>
      </c>
      <c r="GF264" s="362">
        <v>239502.38</v>
      </c>
      <c r="GG264" s="202">
        <v>69742.509999999995</v>
      </c>
      <c r="GH264" s="416">
        <v>87</v>
      </c>
      <c r="GI264" s="414">
        <v>21344.29</v>
      </c>
      <c r="GJ264" s="419">
        <v>384265.3</v>
      </c>
      <c r="GK264" s="396">
        <v>69742.509999999995</v>
      </c>
      <c r="GL264" s="202">
        <v>60675.983699999997</v>
      </c>
      <c r="GM264" s="202">
        <v>9066.5262999999995</v>
      </c>
      <c r="GN264" s="323">
        <v>458940.25</v>
      </c>
      <c r="GO264" s="323">
        <v>-302476.15999999997</v>
      </c>
      <c r="GP264" s="323">
        <v>156464.09</v>
      </c>
      <c r="GQ264" s="323">
        <v>782767.79</v>
      </c>
      <c r="GR264" s="323">
        <v>-386801.32</v>
      </c>
      <c r="GS264" s="323">
        <v>395966.47</v>
      </c>
    </row>
    <row r="265" spans="1:201" ht="12.75" customHeight="1" x14ac:dyDescent="0.2">
      <c r="A265" s="45" t="s">
        <v>367</v>
      </c>
      <c r="B265" s="148" t="s">
        <v>299</v>
      </c>
      <c r="C265" s="149" t="s">
        <v>203</v>
      </c>
      <c r="D265" s="388" t="s">
        <v>519</v>
      </c>
      <c r="E265" s="149" t="s">
        <v>12</v>
      </c>
      <c r="F265" s="11">
        <v>9</v>
      </c>
      <c r="G265" s="11">
        <v>5</v>
      </c>
      <c r="H265" s="11">
        <v>176</v>
      </c>
      <c r="I265" s="11">
        <v>177</v>
      </c>
      <c r="J265" s="11">
        <v>411</v>
      </c>
      <c r="K265" s="11">
        <v>458</v>
      </c>
      <c r="L265" s="83">
        <v>5</v>
      </c>
      <c r="M265" s="84">
        <v>1098</v>
      </c>
      <c r="N265" s="84">
        <v>1585</v>
      </c>
      <c r="O265" s="84">
        <v>0</v>
      </c>
      <c r="P265" s="135">
        <v>1256</v>
      </c>
      <c r="Q265" s="135">
        <v>1345.6</v>
      </c>
      <c r="R265" s="133">
        <v>0</v>
      </c>
      <c r="S265" s="133">
        <f t="shared" ref="S265:S317" si="134">SUM(P265:R265)</f>
        <v>2601.6</v>
      </c>
      <c r="T265" s="134">
        <v>1256</v>
      </c>
      <c r="U265" s="130">
        <v>2.44</v>
      </c>
      <c r="V265" s="131">
        <v>1.9800000000000002E-2</v>
      </c>
      <c r="W265" s="131">
        <v>1.9800000000000002E-2</v>
      </c>
      <c r="X265" s="132">
        <v>1.32E-3</v>
      </c>
      <c r="Y265" s="131">
        <v>3.9699999999999999E-2</v>
      </c>
      <c r="Z265" s="29">
        <v>9538.09</v>
      </c>
      <c r="AA265" s="29">
        <v>86</v>
      </c>
      <c r="AB265" s="9">
        <f t="shared" si="113"/>
        <v>9624.09</v>
      </c>
      <c r="AC265" s="9">
        <f t="shared" si="112"/>
        <v>60920.49</v>
      </c>
      <c r="AD265" s="9">
        <v>2.44</v>
      </c>
      <c r="AE265" s="9">
        <v>4.4000000000000004</v>
      </c>
      <c r="AF265" s="21">
        <f>2.4-AJ265</f>
        <v>2.2400000000000002</v>
      </c>
      <c r="AG265" s="18">
        <f>0.61-AQ265</f>
        <v>0.56000000000000005</v>
      </c>
      <c r="AH265" s="9">
        <v>2.78</v>
      </c>
      <c r="AI265" s="13">
        <v>1522</v>
      </c>
      <c r="AJ265" s="21">
        <f t="shared" si="110"/>
        <v>0.16</v>
      </c>
      <c r="AK265" s="9">
        <v>2.25</v>
      </c>
      <c r="AL265" s="9">
        <v>0.36</v>
      </c>
      <c r="AM265" s="9">
        <v>0.03</v>
      </c>
      <c r="AN265" s="13"/>
      <c r="AO265" s="13">
        <v>1056</v>
      </c>
      <c r="AP265" s="13">
        <f t="shared" si="107"/>
        <v>5.58</v>
      </c>
      <c r="AQ265" s="18">
        <f t="shared" si="111"/>
        <v>0.05</v>
      </c>
      <c r="AR265" s="9">
        <v>0.56999999999999995</v>
      </c>
      <c r="AS265" s="9">
        <v>0.14000000000000001</v>
      </c>
      <c r="AT265" s="9">
        <v>7.0000000000000007E-2</v>
      </c>
      <c r="AU265" s="9">
        <v>3.82</v>
      </c>
      <c r="AV265" s="9">
        <v>0.17</v>
      </c>
      <c r="AW265" s="9">
        <f>1.44+0.34+0.26</f>
        <v>2.04</v>
      </c>
      <c r="AX265" s="9">
        <f>2.02+0.45</f>
        <v>2.4700000000000002</v>
      </c>
      <c r="AY265" s="151">
        <f t="shared" si="108"/>
        <v>24.55</v>
      </c>
      <c r="AZ265" s="13">
        <v>24.55</v>
      </c>
      <c r="BA265" s="13">
        <f t="shared" si="114"/>
        <v>0</v>
      </c>
      <c r="BB265" s="9">
        <f t="shared" si="115"/>
        <v>236271.41</v>
      </c>
      <c r="BC265" s="9">
        <v>24.55</v>
      </c>
      <c r="BD265" s="10">
        <v>44409</v>
      </c>
      <c r="BE265" s="9">
        <f t="shared" si="116"/>
        <v>23482.78</v>
      </c>
      <c r="BF265" s="9">
        <f t="shared" si="117"/>
        <v>42346</v>
      </c>
      <c r="BG265" s="9">
        <f t="shared" si="118"/>
        <v>21557.96</v>
      </c>
      <c r="BH265" s="9">
        <f t="shared" si="119"/>
        <v>5389.49</v>
      </c>
      <c r="BI265" s="9">
        <f t="shared" si="120"/>
        <v>26754.97</v>
      </c>
      <c r="BJ265" s="9">
        <f t="shared" si="121"/>
        <v>1539.85</v>
      </c>
      <c r="BK265" s="9">
        <f t="shared" si="122"/>
        <v>21654.2</v>
      </c>
      <c r="BL265" s="9">
        <f t="shared" si="123"/>
        <v>3464.67</v>
      </c>
      <c r="BM265" s="9">
        <f t="shared" si="124"/>
        <v>288.72000000000003</v>
      </c>
      <c r="BN265" s="9">
        <f t="shared" si="125"/>
        <v>481.2</v>
      </c>
      <c r="BO265" s="9">
        <f t="shared" si="126"/>
        <v>5485.73</v>
      </c>
      <c r="BP265" s="9">
        <f t="shared" si="127"/>
        <v>1347.37</v>
      </c>
      <c r="BQ265" s="9">
        <f t="shared" si="128"/>
        <v>673.69</v>
      </c>
      <c r="BR265" s="9">
        <f t="shared" si="129"/>
        <v>36764.019999999997</v>
      </c>
      <c r="BS265" s="9">
        <f t="shared" si="130"/>
        <v>1636.1</v>
      </c>
      <c r="BT265" s="9">
        <f t="shared" si="131"/>
        <v>19633.14</v>
      </c>
      <c r="BU265" s="9">
        <f t="shared" si="132"/>
        <v>23771.5</v>
      </c>
      <c r="BV265" s="17">
        <f t="shared" si="133"/>
        <v>236271.39</v>
      </c>
      <c r="BW265" s="17">
        <v>1.28</v>
      </c>
      <c r="BX265" s="17">
        <v>7.0000000000000007E-2</v>
      </c>
      <c r="BY265" s="17">
        <v>0.46</v>
      </c>
      <c r="BZ265" s="17">
        <v>0.08</v>
      </c>
      <c r="CA265" s="29">
        <v>6.33</v>
      </c>
      <c r="CB265" s="325"/>
      <c r="CC265" s="13">
        <v>25335.72</v>
      </c>
      <c r="CD265" s="13">
        <v>2440.69</v>
      </c>
      <c r="CE265" s="13">
        <v>758.52</v>
      </c>
      <c r="CF265" s="13">
        <v>811.85</v>
      </c>
      <c r="CG265" s="13">
        <v>231.35</v>
      </c>
      <c r="CH265" s="13">
        <v>0</v>
      </c>
      <c r="CI265" s="13">
        <v>11048.78</v>
      </c>
      <c r="CJ265" s="13">
        <v>91656</v>
      </c>
      <c r="CK265" s="13">
        <v>3700.61</v>
      </c>
      <c r="CL265" s="13">
        <v>2809434.76</v>
      </c>
      <c r="CM265" s="13">
        <v>270647.55</v>
      </c>
      <c r="CN265" s="13">
        <v>129878.14</v>
      </c>
      <c r="CO265" s="13">
        <v>39002.36</v>
      </c>
      <c r="CP265" s="13">
        <v>24794.31</v>
      </c>
      <c r="CQ265" s="13">
        <v>0</v>
      </c>
      <c r="CR265" s="13">
        <v>2685121.24</v>
      </c>
      <c r="CS265" s="13">
        <v>254243.6</v>
      </c>
      <c r="CT265" s="13">
        <v>121618.72</v>
      </c>
      <c r="CU265" s="13">
        <v>43334.15</v>
      </c>
      <c r="CV265" s="13">
        <v>26484.42</v>
      </c>
      <c r="CW265" s="13">
        <v>0</v>
      </c>
      <c r="CX265" s="13">
        <v>363262.24</v>
      </c>
      <c r="CY265" s="13">
        <v>56182.49</v>
      </c>
      <c r="CZ265" s="13">
        <v>-22744.86</v>
      </c>
      <c r="DA265" s="13">
        <v>3042.94</v>
      </c>
      <c r="DB265" s="13">
        <v>1894.22</v>
      </c>
      <c r="DC265" s="13"/>
      <c r="DD265" s="315">
        <v>3273757.12</v>
      </c>
      <c r="DE265" s="317">
        <v>3130802.13</v>
      </c>
      <c r="DF265" s="317">
        <v>95.63</v>
      </c>
      <c r="DG265" s="318">
        <v>401637.03</v>
      </c>
      <c r="DH265" s="310">
        <v>100199.76</v>
      </c>
      <c r="DI265" s="310">
        <v>57305.279999999999</v>
      </c>
      <c r="DJ265" s="312">
        <v>832897.26</v>
      </c>
      <c r="DK265" s="362">
        <v>37500</v>
      </c>
      <c r="DL265" s="362"/>
      <c r="DM265" s="362">
        <v>0</v>
      </c>
      <c r="DN265" s="362">
        <v>0</v>
      </c>
      <c r="DO265" s="362">
        <v>0</v>
      </c>
      <c r="DP265" s="362">
        <v>24199.8</v>
      </c>
      <c r="DQ265" s="362">
        <v>1837.5</v>
      </c>
      <c r="DR265" s="362"/>
      <c r="DS265" s="362">
        <v>0</v>
      </c>
      <c r="DT265" s="362"/>
      <c r="DU265" s="362">
        <v>0</v>
      </c>
      <c r="DV265" s="362">
        <v>0</v>
      </c>
      <c r="DW265" s="362">
        <v>0</v>
      </c>
      <c r="DX265" s="362">
        <v>258000</v>
      </c>
      <c r="DY265" s="362">
        <v>70000</v>
      </c>
      <c r="DZ265" s="375">
        <v>0</v>
      </c>
      <c r="EA265" s="362">
        <v>0</v>
      </c>
      <c r="EB265" s="362">
        <v>0</v>
      </c>
      <c r="EC265" s="362"/>
      <c r="ED265" s="362">
        <v>0</v>
      </c>
      <c r="EE265" s="362">
        <v>0</v>
      </c>
      <c r="EF265" s="362"/>
      <c r="EG265" s="362">
        <v>0</v>
      </c>
      <c r="EH265" s="362">
        <v>0</v>
      </c>
      <c r="EI265" s="362"/>
      <c r="EJ265" s="362">
        <v>0</v>
      </c>
      <c r="EK265" s="362"/>
      <c r="EL265" s="362">
        <v>0</v>
      </c>
      <c r="EM265" s="362">
        <v>5892.48</v>
      </c>
      <c r="EN265" s="362">
        <v>745231.92</v>
      </c>
      <c r="EO265" s="362">
        <v>0</v>
      </c>
      <c r="EP265" s="362">
        <v>0</v>
      </c>
      <c r="EQ265" s="362">
        <v>0</v>
      </c>
      <c r="ER265" s="362">
        <v>16380</v>
      </c>
      <c r="ES265" s="362">
        <v>2308</v>
      </c>
      <c r="ET265" s="362">
        <v>21993</v>
      </c>
      <c r="EU265" s="362">
        <v>0</v>
      </c>
      <c r="EV265" s="362">
        <v>404743.71</v>
      </c>
      <c r="EW265" s="362"/>
      <c r="EX265" s="202"/>
      <c r="EY265" s="202"/>
      <c r="EZ265" s="229"/>
      <c r="FA265" s="368">
        <v>272795.3</v>
      </c>
      <c r="FB265" s="368">
        <v>163997.82999999999</v>
      </c>
      <c r="FC265" s="368">
        <v>0</v>
      </c>
      <c r="FD265" s="368">
        <v>0</v>
      </c>
      <c r="FE265" s="368">
        <v>35780.9</v>
      </c>
      <c r="FF265" s="368">
        <v>23319.32</v>
      </c>
      <c r="FG265" s="368">
        <v>-2729.42</v>
      </c>
      <c r="FH265" s="368">
        <v>-3890.76</v>
      </c>
      <c r="FI265" s="368">
        <v>0</v>
      </c>
      <c r="FJ265" s="368">
        <v>0</v>
      </c>
      <c r="FK265" s="368">
        <v>66886.679999999993</v>
      </c>
      <c r="FL265" s="368">
        <v>0</v>
      </c>
      <c r="FM265" s="368">
        <v>257256.03</v>
      </c>
      <c r="FN265" s="368">
        <v>163578.54999999999</v>
      </c>
      <c r="FO265" s="323">
        <v>2999323.29</v>
      </c>
      <c r="FP265" s="323">
        <v>556159.85</v>
      </c>
      <c r="FQ265" s="323">
        <v>3555483.14</v>
      </c>
      <c r="FR265" s="362">
        <v>249354.32</v>
      </c>
      <c r="FS265" s="362">
        <v>31436.76</v>
      </c>
      <c r="FT265" s="377">
        <v>280791.08</v>
      </c>
      <c r="FU265" s="377">
        <v>2937475.26</v>
      </c>
      <c r="FV265" s="377">
        <v>472265.38</v>
      </c>
      <c r="FW265" s="362">
        <v>3409740.64</v>
      </c>
      <c r="FX265" s="362">
        <v>2810184.61</v>
      </c>
      <c r="FY265" s="362">
        <v>463148.77</v>
      </c>
      <c r="FZ265" s="362">
        <v>3273333.38</v>
      </c>
      <c r="GA265" s="362">
        <v>376644.97</v>
      </c>
      <c r="GB265" s="362">
        <v>40553.370000000003</v>
      </c>
      <c r="GC265" s="362">
        <v>417198.34</v>
      </c>
      <c r="GD265" s="362">
        <v>137430.71</v>
      </c>
      <c r="GE265" s="362">
        <v>-3518.12</v>
      </c>
      <c r="GF265" s="362">
        <v>133912.59</v>
      </c>
      <c r="GG265" s="202">
        <v>15561.31</v>
      </c>
      <c r="GH265" s="416">
        <v>86</v>
      </c>
      <c r="GI265" s="414">
        <v>6917.1</v>
      </c>
      <c r="GJ265" s="419">
        <v>29578.13</v>
      </c>
      <c r="GK265" s="396">
        <v>15561.31</v>
      </c>
      <c r="GL265" s="202">
        <v>13382.7266</v>
      </c>
      <c r="GM265" s="202">
        <v>2178.5834</v>
      </c>
      <c r="GN265" s="323">
        <v>-61848.03</v>
      </c>
      <c r="GO265" s="323">
        <v>-83894.47</v>
      </c>
      <c r="GP265" s="323">
        <v>-145742.5</v>
      </c>
      <c r="GQ265" s="323">
        <v>75582.679999999993</v>
      </c>
      <c r="GR265" s="323">
        <v>-87412.59</v>
      </c>
      <c r="GS265" s="323">
        <v>-11829.91</v>
      </c>
    </row>
    <row r="266" spans="1:201" ht="12.75" customHeight="1" x14ac:dyDescent="0.2">
      <c r="A266" s="45" t="s">
        <v>368</v>
      </c>
      <c r="B266" s="156" t="s">
        <v>322</v>
      </c>
      <c r="C266" s="157" t="s">
        <v>8</v>
      </c>
      <c r="D266" s="388" t="s">
        <v>671</v>
      </c>
      <c r="E266" s="157"/>
      <c r="F266" s="11">
        <v>9</v>
      </c>
      <c r="G266" s="11">
        <v>15</v>
      </c>
      <c r="H266" s="11">
        <v>528</v>
      </c>
      <c r="I266" s="11">
        <v>531</v>
      </c>
      <c r="J266" s="11">
        <v>1189</v>
      </c>
      <c r="K266" s="11">
        <v>1388</v>
      </c>
      <c r="L266" s="83">
        <v>15</v>
      </c>
      <c r="M266" s="84">
        <v>3510</v>
      </c>
      <c r="N266" s="84">
        <v>5625</v>
      </c>
      <c r="O266" s="84">
        <v>0</v>
      </c>
      <c r="P266" s="135">
        <f>1785.3+1724.3</f>
        <v>3509.6</v>
      </c>
      <c r="Q266" s="135">
        <v>3585.3</v>
      </c>
      <c r="R266" s="133">
        <v>0</v>
      </c>
      <c r="S266" s="133">
        <f t="shared" si="134"/>
        <v>7094.9</v>
      </c>
      <c r="T266" s="134">
        <v>3510</v>
      </c>
      <c r="U266" s="130">
        <v>2.44</v>
      </c>
      <c r="V266" s="131">
        <v>1.9800000000000002E-2</v>
      </c>
      <c r="W266" s="131">
        <v>1.9800000000000002E-2</v>
      </c>
      <c r="X266" s="132">
        <v>1.32E-3</v>
      </c>
      <c r="Y266" s="131">
        <v>3.9699999999999999E-2</v>
      </c>
      <c r="Z266" s="29">
        <v>29129.35</v>
      </c>
      <c r="AA266" s="29">
        <v>52.7</v>
      </c>
      <c r="AB266" s="9">
        <f t="shared" si="113"/>
        <v>29182.05</v>
      </c>
      <c r="AC266" s="9">
        <f t="shared" si="112"/>
        <v>184722.38</v>
      </c>
      <c r="AD266" s="9">
        <v>2.5099999999999998</v>
      </c>
      <c r="AE266" s="9">
        <v>3.6</v>
      </c>
      <c r="AF266" s="21">
        <f>2.38-AJ266</f>
        <v>2.19</v>
      </c>
      <c r="AG266" s="18">
        <f>0.61-AQ266</f>
        <v>0.56000000000000005</v>
      </c>
      <c r="AH266" s="9">
        <v>2.78</v>
      </c>
      <c r="AI266" s="13">
        <v>5400</v>
      </c>
      <c r="AJ266" s="21">
        <f t="shared" si="110"/>
        <v>0.19</v>
      </c>
      <c r="AK266" s="9">
        <v>2.21</v>
      </c>
      <c r="AL266" s="9">
        <v>0.44</v>
      </c>
      <c r="AM266" s="9">
        <v>0.06</v>
      </c>
      <c r="AN266" s="13"/>
      <c r="AO266" s="13">
        <v>3168</v>
      </c>
      <c r="AP266" s="13">
        <f t="shared" ref="AP266:AP317" si="135">5.58</f>
        <v>5.58</v>
      </c>
      <c r="AQ266" s="18">
        <f t="shared" si="111"/>
        <v>0.05</v>
      </c>
      <c r="AR266" s="9">
        <v>0.56000000000000005</v>
      </c>
      <c r="AS266" s="9">
        <v>0.23</v>
      </c>
      <c r="AT266" s="9">
        <v>7.0000000000000007E-2</v>
      </c>
      <c r="AU266" s="9">
        <v>4.78</v>
      </c>
      <c r="AV266" s="9">
        <v>0.16</v>
      </c>
      <c r="AW266" s="9">
        <f>1.39+0.42+0.25</f>
        <v>2.06</v>
      </c>
      <c r="AX266" s="9">
        <f>1.96+0.56</f>
        <v>2.52</v>
      </c>
      <c r="AY266" s="159">
        <f t="shared" ref="AY266:AY317" si="136">SUM(AD266:AH266,AJ266:AM266,AQ266:AX266)</f>
        <v>24.97</v>
      </c>
      <c r="AZ266" s="13">
        <v>24.97</v>
      </c>
      <c r="BA266" s="13">
        <f t="shared" si="114"/>
        <v>0</v>
      </c>
      <c r="BB266" s="9">
        <f t="shared" si="115"/>
        <v>728675.79</v>
      </c>
      <c r="BC266" s="9">
        <v>24.97</v>
      </c>
      <c r="BD266" s="10">
        <v>44440</v>
      </c>
      <c r="BE266" s="9">
        <f t="shared" si="116"/>
        <v>73246.95</v>
      </c>
      <c r="BF266" s="9">
        <f t="shared" si="117"/>
        <v>105055.38</v>
      </c>
      <c r="BG266" s="9">
        <f t="shared" si="118"/>
        <v>63908.69</v>
      </c>
      <c r="BH266" s="9">
        <f t="shared" si="119"/>
        <v>16341.95</v>
      </c>
      <c r="BI266" s="9">
        <f t="shared" si="120"/>
        <v>81126.100000000006</v>
      </c>
      <c r="BJ266" s="9">
        <f t="shared" si="121"/>
        <v>5544.59</v>
      </c>
      <c r="BK266" s="9">
        <f t="shared" si="122"/>
        <v>64492.33</v>
      </c>
      <c r="BL266" s="9">
        <f t="shared" si="123"/>
        <v>12840.1</v>
      </c>
      <c r="BM266" s="9">
        <f t="shared" si="124"/>
        <v>1750.92</v>
      </c>
      <c r="BN266" s="9">
        <f t="shared" si="125"/>
        <v>1459.1</v>
      </c>
      <c r="BO266" s="9">
        <f t="shared" si="126"/>
        <v>16341.95</v>
      </c>
      <c r="BP266" s="9">
        <f t="shared" si="127"/>
        <v>6711.87</v>
      </c>
      <c r="BQ266" s="9">
        <f t="shared" si="128"/>
        <v>2042.74</v>
      </c>
      <c r="BR266" s="9">
        <f t="shared" si="129"/>
        <v>139490.20000000001</v>
      </c>
      <c r="BS266" s="9">
        <f t="shared" si="130"/>
        <v>4669.13</v>
      </c>
      <c r="BT266" s="9">
        <f t="shared" si="131"/>
        <v>60115.02</v>
      </c>
      <c r="BU266" s="9">
        <f t="shared" si="132"/>
        <v>73538.77</v>
      </c>
      <c r="BV266" s="17">
        <f t="shared" si="133"/>
        <v>728675.79</v>
      </c>
      <c r="BW266" s="17">
        <v>2.48</v>
      </c>
      <c r="BX266" s="17">
        <v>7.0000000000000007E-2</v>
      </c>
      <c r="BY266" s="17">
        <v>0.46</v>
      </c>
      <c r="BZ266" s="17">
        <v>0.08</v>
      </c>
      <c r="CA266" s="29">
        <v>6.33</v>
      </c>
      <c r="CB266" s="325"/>
      <c r="CC266" s="13">
        <v>15791.04</v>
      </c>
      <c r="CD266" s="13">
        <v>1670.07</v>
      </c>
      <c r="CE266" s="13">
        <v>1241.0899999999999</v>
      </c>
      <c r="CF266" s="13">
        <v>586.54999999999995</v>
      </c>
      <c r="CG266" s="13">
        <v>222.41</v>
      </c>
      <c r="CH266" s="13">
        <v>0</v>
      </c>
      <c r="CI266" s="13">
        <v>47585.22</v>
      </c>
      <c r="CJ266" s="13">
        <v>217500</v>
      </c>
      <c r="CK266" s="13">
        <v>11222.57</v>
      </c>
      <c r="CL266" s="13">
        <v>8672278.2599999998</v>
      </c>
      <c r="CM266" s="13">
        <v>923113.4</v>
      </c>
      <c r="CN266" s="13">
        <v>799887.15</v>
      </c>
      <c r="CO266" s="13">
        <v>210313.06</v>
      </c>
      <c r="CP266" s="13">
        <v>122925.92</v>
      </c>
      <c r="CQ266" s="13">
        <v>0</v>
      </c>
      <c r="CR266" s="13">
        <v>8099806.3200000003</v>
      </c>
      <c r="CS266" s="13">
        <v>845002.73</v>
      </c>
      <c r="CT266" s="13">
        <v>822267.98</v>
      </c>
      <c r="CU266" s="13">
        <v>226119.22</v>
      </c>
      <c r="CV266" s="13">
        <v>129161.36</v>
      </c>
      <c r="CW266" s="13">
        <v>0</v>
      </c>
      <c r="CX266" s="13">
        <v>1298993.97</v>
      </c>
      <c r="CY266" s="13">
        <v>138395.70000000001</v>
      </c>
      <c r="CZ266" s="13">
        <v>-11340.92</v>
      </c>
      <c r="DA266" s="13">
        <v>25614.67</v>
      </c>
      <c r="DB266" s="13">
        <v>14460.29</v>
      </c>
      <c r="DC266" s="13"/>
      <c r="DD266" s="315">
        <v>10728517.789999999</v>
      </c>
      <c r="DE266" s="317">
        <v>10122357.609999999</v>
      </c>
      <c r="DF266" s="317">
        <v>94.35</v>
      </c>
      <c r="DG266" s="318">
        <v>1466123.71</v>
      </c>
      <c r="DH266" s="310">
        <v>306013.56</v>
      </c>
      <c r="DI266" s="310">
        <v>175012.44</v>
      </c>
      <c r="DJ266" s="312">
        <v>2225043.6</v>
      </c>
      <c r="DK266" s="362">
        <v>37500</v>
      </c>
      <c r="DL266" s="362"/>
      <c r="DM266" s="362">
        <v>0</v>
      </c>
      <c r="DN266" s="362">
        <v>0</v>
      </c>
      <c r="DO266" s="362">
        <v>0</v>
      </c>
      <c r="DP266" s="362">
        <v>85860</v>
      </c>
      <c r="DQ266" s="362">
        <v>5512.5</v>
      </c>
      <c r="DR266" s="362"/>
      <c r="DS266" s="362">
        <v>0</v>
      </c>
      <c r="DT266" s="362"/>
      <c r="DU266" s="362">
        <v>8101</v>
      </c>
      <c r="DV266" s="362">
        <v>0</v>
      </c>
      <c r="DW266" s="362">
        <v>0</v>
      </c>
      <c r="DX266" s="362">
        <v>704150.44</v>
      </c>
      <c r="DY266" s="362">
        <v>139500</v>
      </c>
      <c r="DZ266" s="375">
        <v>0</v>
      </c>
      <c r="EA266" s="362">
        <v>0</v>
      </c>
      <c r="EB266" s="362">
        <v>0</v>
      </c>
      <c r="EC266" s="362"/>
      <c r="ED266" s="362">
        <v>0</v>
      </c>
      <c r="EE266" s="362">
        <v>0</v>
      </c>
      <c r="EF266" s="362"/>
      <c r="EG266" s="362">
        <v>0</v>
      </c>
      <c r="EH266" s="362">
        <v>0</v>
      </c>
      <c r="EI266" s="362"/>
      <c r="EJ266" s="362">
        <v>0</v>
      </c>
      <c r="EK266" s="362"/>
      <c r="EL266" s="362">
        <v>0</v>
      </c>
      <c r="EM266" s="362">
        <v>17677.439999999999</v>
      </c>
      <c r="EN266" s="362">
        <v>2266150.08</v>
      </c>
      <c r="EO266" s="362">
        <v>0</v>
      </c>
      <c r="EP266" s="362">
        <v>0</v>
      </c>
      <c r="EQ266" s="362">
        <v>0</v>
      </c>
      <c r="ER266" s="362">
        <v>77805</v>
      </c>
      <c r="ES266" s="362">
        <v>20772</v>
      </c>
      <c r="ET266" s="362">
        <v>65979</v>
      </c>
      <c r="EU266" s="362">
        <v>0</v>
      </c>
      <c r="EV266" s="362">
        <v>387343.72</v>
      </c>
      <c r="EW266" s="362"/>
      <c r="EX266" s="202"/>
      <c r="EY266" s="202"/>
      <c r="EZ266" s="229"/>
      <c r="FA266" s="368">
        <v>976704.28</v>
      </c>
      <c r="FB266" s="368">
        <v>689143.33</v>
      </c>
      <c r="FC266" s="368">
        <v>0</v>
      </c>
      <c r="FD266" s="368">
        <v>0</v>
      </c>
      <c r="FE266" s="368">
        <v>205247.8</v>
      </c>
      <c r="FF266" s="368">
        <v>121465.95</v>
      </c>
      <c r="FG266" s="368">
        <v>-7690</v>
      </c>
      <c r="FH266" s="368">
        <v>-11813.57</v>
      </c>
      <c r="FI266" s="368">
        <v>0</v>
      </c>
      <c r="FJ266" s="368">
        <v>0</v>
      </c>
      <c r="FK266" s="368">
        <v>397296.55</v>
      </c>
      <c r="FL266" s="368">
        <v>0</v>
      </c>
      <c r="FM266" s="368">
        <v>780169.69</v>
      </c>
      <c r="FN266" s="368">
        <v>496067.61</v>
      </c>
      <c r="FO266" s="323">
        <v>7798658.0800000001</v>
      </c>
      <c r="FP266" s="323">
        <v>2370354.34</v>
      </c>
      <c r="FQ266" s="323">
        <v>10169012.42</v>
      </c>
      <c r="FR266" s="362">
        <v>824761.23</v>
      </c>
      <c r="FS266" s="362">
        <v>137470.16</v>
      </c>
      <c r="FT266" s="377">
        <v>962231.39</v>
      </c>
      <c r="FU266" s="377">
        <v>8953154.5199999996</v>
      </c>
      <c r="FV266" s="377">
        <v>2071182.22</v>
      </c>
      <c r="FW266" s="362">
        <v>11024336.74</v>
      </c>
      <c r="FX266" s="362">
        <v>8477903.5</v>
      </c>
      <c r="FY266" s="362">
        <v>2041283.79</v>
      </c>
      <c r="FZ266" s="362">
        <v>10519187.289999999</v>
      </c>
      <c r="GA266" s="362">
        <v>1300012.25</v>
      </c>
      <c r="GB266" s="362">
        <v>167368.59</v>
      </c>
      <c r="GC266" s="362">
        <v>1467380.84</v>
      </c>
      <c r="GD266" s="362">
        <v>153399.09</v>
      </c>
      <c r="GE266" s="362">
        <v>-155185.44</v>
      </c>
      <c r="GF266" s="362">
        <v>-1786.35</v>
      </c>
      <c r="GG266" s="202">
        <v>1257.1300000000001</v>
      </c>
      <c r="GH266" s="416">
        <v>81</v>
      </c>
      <c r="GI266" s="414">
        <v>14244.74</v>
      </c>
      <c r="GJ266" s="419">
        <v>19511.16</v>
      </c>
      <c r="GK266" s="396">
        <v>1257.1300000000001</v>
      </c>
      <c r="GL266" s="202">
        <v>1018.2753</v>
      </c>
      <c r="GM266" s="202">
        <v>238.85470000000001</v>
      </c>
      <c r="GN266" s="323">
        <v>1154496.44</v>
      </c>
      <c r="GO266" s="323">
        <v>-299172.12</v>
      </c>
      <c r="GP266" s="323">
        <v>855324.32</v>
      </c>
      <c r="GQ266" s="323">
        <v>1307895.53</v>
      </c>
      <c r="GR266" s="323">
        <v>-454357.56</v>
      </c>
      <c r="GS266" s="323">
        <v>853537.97</v>
      </c>
    </row>
    <row r="267" spans="1:201" ht="12.75" customHeight="1" x14ac:dyDescent="0.2">
      <c r="A267" s="45" t="s">
        <v>369</v>
      </c>
      <c r="B267" s="156" t="s">
        <v>322</v>
      </c>
      <c r="C267" s="157" t="s">
        <v>8</v>
      </c>
      <c r="D267" s="388" t="s">
        <v>597</v>
      </c>
      <c r="E267" s="157" t="s">
        <v>9</v>
      </c>
      <c r="F267" s="11">
        <v>9</v>
      </c>
      <c r="G267" s="11">
        <v>4</v>
      </c>
      <c r="H267" s="11">
        <v>216</v>
      </c>
      <c r="I267" s="11">
        <v>225</v>
      </c>
      <c r="J267" s="11">
        <v>551</v>
      </c>
      <c r="K267" s="11">
        <v>611</v>
      </c>
      <c r="L267" s="11">
        <v>4</v>
      </c>
      <c r="M267" s="84">
        <v>1650</v>
      </c>
      <c r="N267" s="84">
        <v>1612</v>
      </c>
      <c r="O267" s="84">
        <v>0</v>
      </c>
      <c r="P267" s="139">
        <v>1650</v>
      </c>
      <c r="Q267" s="139">
        <v>1612</v>
      </c>
      <c r="R267" s="139">
        <v>0</v>
      </c>
      <c r="S267" s="133">
        <f t="shared" si="134"/>
        <v>3262</v>
      </c>
      <c r="T267" s="139">
        <v>1742.3</v>
      </c>
      <c r="U267" s="130">
        <v>2.44</v>
      </c>
      <c r="V267" s="131">
        <v>1.9800000000000002E-2</v>
      </c>
      <c r="W267" s="131">
        <v>1.9800000000000002E-2</v>
      </c>
      <c r="X267" s="132">
        <v>1.32E-3</v>
      </c>
      <c r="Y267" s="131">
        <v>3.9699999999999999E-2</v>
      </c>
      <c r="Z267" s="29">
        <v>10810.13</v>
      </c>
      <c r="AA267" s="29">
        <v>80.900000000000006</v>
      </c>
      <c r="AB267" s="9">
        <f t="shared" si="113"/>
        <v>10891.03</v>
      </c>
      <c r="AC267" s="9">
        <f t="shared" si="112"/>
        <v>68940.22</v>
      </c>
      <c r="AD267" s="9">
        <v>2.98</v>
      </c>
      <c r="AE267" s="9">
        <v>4.5</v>
      </c>
      <c r="AF267" s="21">
        <f>2.4-AJ267</f>
        <v>2.2599999999999998</v>
      </c>
      <c r="AG267" s="18">
        <f>0.6-AQ267</f>
        <v>0.55000000000000004</v>
      </c>
      <c r="AH267" s="9">
        <v>2.77</v>
      </c>
      <c r="AI267" s="13">
        <v>1548</v>
      </c>
      <c r="AJ267" s="21">
        <f t="shared" si="110"/>
        <v>0.14000000000000001</v>
      </c>
      <c r="AK267" s="9">
        <v>1.58</v>
      </c>
      <c r="AL267" s="9">
        <v>0.14000000000000001</v>
      </c>
      <c r="AM267" s="9">
        <v>0.05</v>
      </c>
      <c r="AN267" s="13"/>
      <c r="AO267" s="13">
        <v>1267.2</v>
      </c>
      <c r="AP267" s="13">
        <f t="shared" si="135"/>
        <v>5.58</v>
      </c>
      <c r="AQ267" s="18">
        <f t="shared" si="111"/>
        <v>0.05</v>
      </c>
      <c r="AR267" s="9">
        <v>0.62</v>
      </c>
      <c r="AS267" s="9">
        <v>0.13</v>
      </c>
      <c r="AT267" s="9">
        <v>7.0000000000000007E-2</v>
      </c>
      <c r="AU267" s="9">
        <v>4.1399999999999997</v>
      </c>
      <c r="AV267" s="9">
        <v>0.17</v>
      </c>
      <c r="AW267" s="9">
        <f>1.42+0.37+0.28</f>
        <v>2.0699999999999998</v>
      </c>
      <c r="AX267" s="9">
        <f>1.97+0.49</f>
        <v>2.46</v>
      </c>
      <c r="AY267" s="159">
        <f t="shared" si="136"/>
        <v>24.68</v>
      </c>
      <c r="AZ267" s="13">
        <v>24.68</v>
      </c>
      <c r="BA267" s="13">
        <f t="shared" si="114"/>
        <v>0</v>
      </c>
      <c r="BB267" s="9">
        <f t="shared" si="115"/>
        <v>268790.62</v>
      </c>
      <c r="BC267" s="9">
        <v>24.68</v>
      </c>
      <c r="BD267" s="10">
        <v>44409</v>
      </c>
      <c r="BE267" s="9">
        <f t="shared" si="116"/>
        <v>32455.27</v>
      </c>
      <c r="BF267" s="9">
        <f t="shared" si="117"/>
        <v>49009.64</v>
      </c>
      <c r="BG267" s="9">
        <f t="shared" si="118"/>
        <v>24613.73</v>
      </c>
      <c r="BH267" s="9">
        <f t="shared" si="119"/>
        <v>5990.07</v>
      </c>
      <c r="BI267" s="9">
        <f t="shared" si="120"/>
        <v>30168.15</v>
      </c>
      <c r="BJ267" s="9">
        <f t="shared" si="121"/>
        <v>1524.74</v>
      </c>
      <c r="BK267" s="9">
        <f t="shared" si="122"/>
        <v>17207.830000000002</v>
      </c>
      <c r="BL267" s="9">
        <f t="shared" si="123"/>
        <v>1524.74</v>
      </c>
      <c r="BM267" s="9">
        <f t="shared" si="124"/>
        <v>544.54999999999995</v>
      </c>
      <c r="BN267" s="9">
        <f t="shared" si="125"/>
        <v>544.54999999999995</v>
      </c>
      <c r="BO267" s="9">
        <f t="shared" si="126"/>
        <v>6752.44</v>
      </c>
      <c r="BP267" s="9">
        <f t="shared" si="127"/>
        <v>1415.83</v>
      </c>
      <c r="BQ267" s="9">
        <f t="shared" si="128"/>
        <v>762.37</v>
      </c>
      <c r="BR267" s="9">
        <f t="shared" si="129"/>
        <v>45088.86</v>
      </c>
      <c r="BS267" s="9">
        <f t="shared" si="130"/>
        <v>1851.48</v>
      </c>
      <c r="BT267" s="9">
        <f t="shared" si="131"/>
        <v>22544.43</v>
      </c>
      <c r="BU267" s="9">
        <f t="shared" si="132"/>
        <v>26791.93</v>
      </c>
      <c r="BV267" s="17">
        <f t="shared" si="133"/>
        <v>268790.61</v>
      </c>
      <c r="BW267" s="17">
        <v>2.74</v>
      </c>
      <c r="BX267" s="17">
        <v>0.09</v>
      </c>
      <c r="BY267" s="17">
        <v>0.56999999999999995</v>
      </c>
      <c r="BZ267" s="17">
        <v>0.1</v>
      </c>
      <c r="CA267" s="29">
        <v>6.33</v>
      </c>
      <c r="CB267" s="325"/>
      <c r="CC267" s="13">
        <v>23959.32</v>
      </c>
      <c r="CD267" s="13">
        <v>1308.97</v>
      </c>
      <c r="CE267" s="13">
        <v>-77.66</v>
      </c>
      <c r="CF267" s="13">
        <v>201.44</v>
      </c>
      <c r="CG267" s="13">
        <v>104.38</v>
      </c>
      <c r="CH267" s="13">
        <v>0</v>
      </c>
      <c r="CI267" s="13">
        <v>11669.74</v>
      </c>
      <c r="CJ267" s="13">
        <v>69768</v>
      </c>
      <c r="CK267" s="13">
        <v>4189</v>
      </c>
      <c r="CL267" s="13">
        <v>3201496.72</v>
      </c>
      <c r="CM267" s="13">
        <v>146596.07999999999</v>
      </c>
      <c r="CN267" s="13">
        <v>9.23</v>
      </c>
      <c r="CO267" s="13">
        <v>16543.509999999998</v>
      </c>
      <c r="CP267" s="13">
        <v>13948.54</v>
      </c>
      <c r="CQ267" s="13">
        <v>0</v>
      </c>
      <c r="CR267" s="13">
        <v>3035162.69</v>
      </c>
      <c r="CS267" s="13">
        <v>153705.18</v>
      </c>
      <c r="CT267" s="13">
        <v>9176.2800000000007</v>
      </c>
      <c r="CU267" s="13">
        <v>13407.87</v>
      </c>
      <c r="CV267" s="13">
        <v>12325.88</v>
      </c>
      <c r="CW267" s="13">
        <v>0</v>
      </c>
      <c r="CX267" s="13">
        <v>509442.67</v>
      </c>
      <c r="CY267" s="13">
        <v>32980.949999999997</v>
      </c>
      <c r="CZ267" s="13">
        <v>-11190.92</v>
      </c>
      <c r="DA267" s="13">
        <v>2197.1</v>
      </c>
      <c r="DB267" s="13">
        <v>2044.16</v>
      </c>
      <c r="DC267" s="13"/>
      <c r="DD267" s="315">
        <v>3378594.08</v>
      </c>
      <c r="DE267" s="317">
        <v>3223777.9</v>
      </c>
      <c r="DF267" s="317">
        <v>95.42</v>
      </c>
      <c r="DG267" s="318">
        <v>535473.96</v>
      </c>
      <c r="DH267" s="310">
        <v>113599.32</v>
      </c>
      <c r="DI267" s="310">
        <v>64968.6</v>
      </c>
      <c r="DJ267" s="312">
        <v>1014355.74</v>
      </c>
      <c r="DK267" s="362">
        <v>37500</v>
      </c>
      <c r="DL267" s="362"/>
      <c r="DM267" s="362">
        <v>0</v>
      </c>
      <c r="DN267" s="362">
        <v>0</v>
      </c>
      <c r="DO267" s="362">
        <v>0</v>
      </c>
      <c r="DP267" s="362">
        <v>24613.200000000001</v>
      </c>
      <c r="DQ267" s="362">
        <v>1470</v>
      </c>
      <c r="DR267" s="362"/>
      <c r="DS267" s="362">
        <v>0</v>
      </c>
      <c r="DT267" s="362"/>
      <c r="DU267" s="362">
        <v>2498</v>
      </c>
      <c r="DV267" s="362">
        <v>0</v>
      </c>
      <c r="DW267" s="362">
        <v>0</v>
      </c>
      <c r="DX267" s="362">
        <v>206122.58</v>
      </c>
      <c r="DY267" s="362">
        <v>56000</v>
      </c>
      <c r="DZ267" s="375">
        <v>0</v>
      </c>
      <c r="EA267" s="362">
        <v>0</v>
      </c>
      <c r="EB267" s="362">
        <v>0</v>
      </c>
      <c r="EC267" s="362"/>
      <c r="ED267" s="362">
        <v>0</v>
      </c>
      <c r="EE267" s="362">
        <v>0</v>
      </c>
      <c r="EF267" s="362"/>
      <c r="EG267" s="362">
        <v>0</v>
      </c>
      <c r="EH267" s="362">
        <v>0</v>
      </c>
      <c r="EI267" s="362"/>
      <c r="EJ267" s="362">
        <v>0</v>
      </c>
      <c r="EK267" s="362"/>
      <c r="EL267" s="362">
        <v>0</v>
      </c>
      <c r="EM267" s="362">
        <v>7070.97</v>
      </c>
      <c r="EN267" s="362">
        <v>844412.76</v>
      </c>
      <c r="EO267" s="362">
        <v>0</v>
      </c>
      <c r="EP267" s="362">
        <v>0</v>
      </c>
      <c r="EQ267" s="362">
        <v>0</v>
      </c>
      <c r="ER267" s="362">
        <v>16380</v>
      </c>
      <c r="ES267" s="362">
        <v>6347</v>
      </c>
      <c r="ET267" s="362">
        <v>26964</v>
      </c>
      <c r="EU267" s="362">
        <v>0</v>
      </c>
      <c r="EV267" s="362">
        <v>103989.88</v>
      </c>
      <c r="EW267" s="362"/>
      <c r="EX267" s="202"/>
      <c r="EY267" s="202"/>
      <c r="EZ267" s="229"/>
      <c r="FA267" s="368">
        <v>165239.76999999999</v>
      </c>
      <c r="FB267" s="368">
        <v>0</v>
      </c>
      <c r="FC267" s="368">
        <v>0</v>
      </c>
      <c r="FD267" s="368">
        <v>0</v>
      </c>
      <c r="FE267" s="368">
        <v>16755.2</v>
      </c>
      <c r="FF267" s="368">
        <v>15025.22</v>
      </c>
      <c r="FG267" s="368">
        <v>-2032.84</v>
      </c>
      <c r="FH267" s="368">
        <v>-3958.88</v>
      </c>
      <c r="FI267" s="368">
        <v>0</v>
      </c>
      <c r="FJ267" s="368">
        <v>0</v>
      </c>
      <c r="FK267" s="368">
        <v>39749.949999999997</v>
      </c>
      <c r="FL267" s="368">
        <v>0</v>
      </c>
      <c r="FM267" s="368">
        <v>291213.34000000003</v>
      </c>
      <c r="FN267" s="368">
        <v>185162.46</v>
      </c>
      <c r="FO267" s="323">
        <v>3002667.85</v>
      </c>
      <c r="FP267" s="323">
        <v>230778.42</v>
      </c>
      <c r="FQ267" s="323">
        <v>3233446.27</v>
      </c>
      <c r="FR267" s="362">
        <v>322853.33</v>
      </c>
      <c r="FS267" s="362">
        <v>23268.6</v>
      </c>
      <c r="FT267" s="377">
        <v>346121.93</v>
      </c>
      <c r="FU267" s="377">
        <v>3306893.78</v>
      </c>
      <c r="FV267" s="377">
        <v>182823.49</v>
      </c>
      <c r="FW267" s="362">
        <v>3489717.27</v>
      </c>
      <c r="FX267" s="362">
        <v>3118391.88</v>
      </c>
      <c r="FY267" s="362">
        <v>179938.72</v>
      </c>
      <c r="FZ267" s="362">
        <v>3298330.6</v>
      </c>
      <c r="GA267" s="362">
        <v>511355.23</v>
      </c>
      <c r="GB267" s="362">
        <v>26153.37</v>
      </c>
      <c r="GC267" s="362">
        <v>537508.6</v>
      </c>
      <c r="GD267" s="362">
        <v>245604.42</v>
      </c>
      <c r="GE267" s="362">
        <v>52453.27</v>
      </c>
      <c r="GF267" s="362">
        <v>298057.69</v>
      </c>
      <c r="GG267" s="202">
        <v>2034.64</v>
      </c>
      <c r="GH267" s="416">
        <v>94</v>
      </c>
      <c r="GI267" s="414">
        <v>4377.1000000000004</v>
      </c>
      <c r="GJ267" s="419">
        <v>25496.45</v>
      </c>
      <c r="GK267" s="396">
        <v>2034.64</v>
      </c>
      <c r="GL267" s="202">
        <v>1912.5616</v>
      </c>
      <c r="GM267" s="202">
        <v>122.0784</v>
      </c>
      <c r="GN267" s="323">
        <v>304225.93</v>
      </c>
      <c r="GO267" s="323">
        <v>-47954.93</v>
      </c>
      <c r="GP267" s="323">
        <v>256271</v>
      </c>
      <c r="GQ267" s="323">
        <v>549830.35</v>
      </c>
      <c r="GR267" s="323">
        <v>4498.34</v>
      </c>
      <c r="GS267" s="323">
        <v>554328.68999999994</v>
      </c>
    </row>
    <row r="268" spans="1:201" ht="12.75" customHeight="1" x14ac:dyDescent="0.2">
      <c r="A268" s="45" t="s">
        <v>371</v>
      </c>
      <c r="B268" s="156" t="s">
        <v>322</v>
      </c>
      <c r="C268" s="157" t="s">
        <v>8</v>
      </c>
      <c r="D268" s="388" t="s">
        <v>598</v>
      </c>
      <c r="E268" s="157" t="s">
        <v>30</v>
      </c>
      <c r="F268" s="11">
        <v>9</v>
      </c>
      <c r="G268" s="11">
        <v>4</v>
      </c>
      <c r="H268" s="11">
        <v>216</v>
      </c>
      <c r="I268" s="11">
        <v>222</v>
      </c>
      <c r="J268" s="11">
        <v>512</v>
      </c>
      <c r="K268" s="11">
        <v>590</v>
      </c>
      <c r="L268" s="83">
        <v>4</v>
      </c>
      <c r="M268" s="84">
        <v>1471</v>
      </c>
      <c r="N268" s="84">
        <v>1612</v>
      </c>
      <c r="O268" s="84">
        <v>0</v>
      </c>
      <c r="P268" s="135">
        <v>1563.4</v>
      </c>
      <c r="Q268" s="135">
        <v>1304.9000000000001</v>
      </c>
      <c r="R268" s="133">
        <v>0</v>
      </c>
      <c r="S268" s="133">
        <f t="shared" si="134"/>
        <v>2868.3</v>
      </c>
      <c r="T268" s="134">
        <v>1563.4</v>
      </c>
      <c r="U268" s="130">
        <v>2.44</v>
      </c>
      <c r="V268" s="131">
        <v>1.9800000000000002E-2</v>
      </c>
      <c r="W268" s="131">
        <v>1.9800000000000002E-2</v>
      </c>
      <c r="X268" s="132">
        <v>1.32E-3</v>
      </c>
      <c r="Y268" s="131">
        <v>3.9699999999999999E-2</v>
      </c>
      <c r="Z268" s="29">
        <v>11021.9</v>
      </c>
      <c r="AA268" s="29"/>
      <c r="AB268" s="9">
        <f t="shared" si="113"/>
        <v>11021.9</v>
      </c>
      <c r="AC268" s="9">
        <f t="shared" si="112"/>
        <v>69768.63</v>
      </c>
      <c r="AD268" s="9">
        <v>2.73</v>
      </c>
      <c r="AE268" s="9">
        <v>4.97</v>
      </c>
      <c r="AF268" s="21">
        <f>2.49-AJ268</f>
        <v>2.35</v>
      </c>
      <c r="AG268" s="18">
        <f>0.6-AQ268</f>
        <v>0.56000000000000005</v>
      </c>
      <c r="AH268" s="9">
        <v>2.77</v>
      </c>
      <c r="AI268" s="13">
        <v>1548</v>
      </c>
      <c r="AJ268" s="21">
        <f t="shared" si="110"/>
        <v>0.14000000000000001</v>
      </c>
      <c r="AK268" s="9">
        <v>1.56</v>
      </c>
      <c r="AL268" s="9">
        <v>0.14000000000000001</v>
      </c>
      <c r="AM268" s="9">
        <v>0.05</v>
      </c>
      <c r="AN268" s="13"/>
      <c r="AO268" s="13">
        <v>844.8</v>
      </c>
      <c r="AP268" s="13">
        <f t="shared" si="135"/>
        <v>5.58</v>
      </c>
      <c r="AQ268" s="18">
        <f t="shared" si="111"/>
        <v>0.04</v>
      </c>
      <c r="AR268" s="9">
        <v>0.61</v>
      </c>
      <c r="AS268" s="9">
        <v>0.12</v>
      </c>
      <c r="AT268" s="9">
        <v>7.0000000000000007E-2</v>
      </c>
      <c r="AU268" s="9">
        <v>3.63</v>
      </c>
      <c r="AV268" s="9">
        <v>0.17</v>
      </c>
      <c r="AW268" s="9">
        <f>1.44+0.32+0.28</f>
        <v>2.04</v>
      </c>
      <c r="AX268" s="9">
        <f>2+0.45</f>
        <v>2.4500000000000002</v>
      </c>
      <c r="AY268" s="159">
        <f t="shared" si="136"/>
        <v>24.4</v>
      </c>
      <c r="AZ268" s="13">
        <v>24.4</v>
      </c>
      <c r="BA268" s="13">
        <f t="shared" si="114"/>
        <v>0</v>
      </c>
      <c r="BB268" s="9">
        <f t="shared" si="115"/>
        <v>268934.36</v>
      </c>
      <c r="BC268" s="9">
        <v>24.4</v>
      </c>
      <c r="BD268" s="10">
        <v>44409</v>
      </c>
      <c r="BE268" s="9">
        <f t="shared" si="116"/>
        <v>30089.79</v>
      </c>
      <c r="BF268" s="9">
        <f t="shared" si="117"/>
        <v>54778.84</v>
      </c>
      <c r="BG268" s="9">
        <f t="shared" si="118"/>
        <v>25901.47</v>
      </c>
      <c r="BH268" s="9">
        <f t="shared" si="119"/>
        <v>6172.26</v>
      </c>
      <c r="BI268" s="9">
        <f t="shared" si="120"/>
        <v>30530.66</v>
      </c>
      <c r="BJ268" s="9">
        <f t="shared" si="121"/>
        <v>1543.07</v>
      </c>
      <c r="BK268" s="9">
        <f t="shared" si="122"/>
        <v>17194.16</v>
      </c>
      <c r="BL268" s="9">
        <f t="shared" si="123"/>
        <v>1543.07</v>
      </c>
      <c r="BM268" s="9">
        <f t="shared" si="124"/>
        <v>551.1</v>
      </c>
      <c r="BN268" s="9">
        <f t="shared" si="125"/>
        <v>440.88</v>
      </c>
      <c r="BO268" s="9">
        <f t="shared" si="126"/>
        <v>6723.36</v>
      </c>
      <c r="BP268" s="9">
        <f t="shared" si="127"/>
        <v>1322.63</v>
      </c>
      <c r="BQ268" s="9">
        <f t="shared" si="128"/>
        <v>771.53</v>
      </c>
      <c r="BR268" s="9">
        <f t="shared" si="129"/>
        <v>40009.5</v>
      </c>
      <c r="BS268" s="9">
        <f t="shared" si="130"/>
        <v>1873.72</v>
      </c>
      <c r="BT268" s="9">
        <f t="shared" si="131"/>
        <v>22484.68</v>
      </c>
      <c r="BU268" s="9">
        <f t="shared" si="132"/>
        <v>27003.66</v>
      </c>
      <c r="BV268" s="17">
        <f t="shared" si="133"/>
        <v>268934.38</v>
      </c>
      <c r="BW268" s="17">
        <v>2.5499999999999998</v>
      </c>
      <c r="BX268" s="17">
        <v>0.08</v>
      </c>
      <c r="BY268" s="17">
        <v>0.5</v>
      </c>
      <c r="BZ268" s="17">
        <v>0.09</v>
      </c>
      <c r="CA268" s="29">
        <v>6.33</v>
      </c>
      <c r="CB268" s="325"/>
      <c r="CC268" s="13">
        <v>0</v>
      </c>
      <c r="CD268" s="13">
        <v>0</v>
      </c>
      <c r="CE268" s="13">
        <v>0</v>
      </c>
      <c r="CF268" s="13">
        <v>0</v>
      </c>
      <c r="CG268" s="13">
        <v>0</v>
      </c>
      <c r="CH268" s="13">
        <v>0</v>
      </c>
      <c r="CI268" s="13">
        <v>11969.6</v>
      </c>
      <c r="CJ268" s="13">
        <v>69768</v>
      </c>
      <c r="CK268" s="13">
        <v>4244.4799999999996</v>
      </c>
      <c r="CL268" s="13">
        <v>3189749.84</v>
      </c>
      <c r="CM268" s="13">
        <v>350328.6</v>
      </c>
      <c r="CN268" s="13">
        <v>172888.7</v>
      </c>
      <c r="CO268" s="13">
        <v>27053.74</v>
      </c>
      <c r="CP268" s="13">
        <v>19433.61</v>
      </c>
      <c r="CQ268" s="13">
        <v>0</v>
      </c>
      <c r="CR268" s="13">
        <v>2990511.29</v>
      </c>
      <c r="CS268" s="13">
        <v>301979.68</v>
      </c>
      <c r="CT268" s="13">
        <v>114363.37</v>
      </c>
      <c r="CU268" s="13">
        <v>24816.83</v>
      </c>
      <c r="CV268" s="13">
        <v>17891.060000000001</v>
      </c>
      <c r="CW268" s="13">
        <v>0</v>
      </c>
      <c r="CX268" s="13">
        <v>551749.82999999996</v>
      </c>
      <c r="CY268" s="13">
        <v>75577.11</v>
      </c>
      <c r="CZ268" s="13">
        <v>29773.96</v>
      </c>
      <c r="DA268" s="13">
        <v>2846.18</v>
      </c>
      <c r="DB268" s="13">
        <v>2424.7399999999998</v>
      </c>
      <c r="DC268" s="13"/>
      <c r="DD268" s="315">
        <v>3759454.49</v>
      </c>
      <c r="DE268" s="317">
        <v>3449562.23</v>
      </c>
      <c r="DF268" s="317">
        <v>91.76</v>
      </c>
      <c r="DG268" s="318">
        <v>662371.81999999995</v>
      </c>
      <c r="DH268" s="310">
        <v>115995.72</v>
      </c>
      <c r="DI268" s="310">
        <v>66339.12</v>
      </c>
      <c r="DJ268" s="312">
        <v>1065276.1200000001</v>
      </c>
      <c r="DK268" s="362">
        <v>32400</v>
      </c>
      <c r="DL268" s="362"/>
      <c r="DM268" s="362">
        <v>0</v>
      </c>
      <c r="DN268" s="362">
        <v>0</v>
      </c>
      <c r="DO268" s="362">
        <v>0</v>
      </c>
      <c r="DP268" s="362">
        <v>24613.200000000001</v>
      </c>
      <c r="DQ268" s="362">
        <v>0</v>
      </c>
      <c r="DR268" s="362"/>
      <c r="DS268" s="362">
        <v>0</v>
      </c>
      <c r="DT268" s="362"/>
      <c r="DU268" s="362">
        <v>0</v>
      </c>
      <c r="DV268" s="362">
        <v>0</v>
      </c>
      <c r="DW268" s="362">
        <v>0</v>
      </c>
      <c r="DX268" s="362">
        <v>206400</v>
      </c>
      <c r="DY268" s="362">
        <v>18000</v>
      </c>
      <c r="DZ268" s="375">
        <v>0</v>
      </c>
      <c r="EA268" s="362">
        <v>0</v>
      </c>
      <c r="EB268" s="362">
        <v>0</v>
      </c>
      <c r="EC268" s="362"/>
      <c r="ED268" s="362">
        <v>0</v>
      </c>
      <c r="EE268" s="362">
        <v>0</v>
      </c>
      <c r="EF268" s="362"/>
      <c r="EG268" s="362">
        <v>0</v>
      </c>
      <c r="EH268" s="362">
        <v>0</v>
      </c>
      <c r="EI268" s="362"/>
      <c r="EJ268" s="362">
        <v>0</v>
      </c>
      <c r="EK268" s="362"/>
      <c r="EL268" s="362">
        <v>0</v>
      </c>
      <c r="EM268" s="362">
        <v>4713.99</v>
      </c>
      <c r="EN268" s="362">
        <v>866286.48</v>
      </c>
      <c r="EO268" s="362">
        <v>0</v>
      </c>
      <c r="EP268" s="362">
        <v>0</v>
      </c>
      <c r="EQ268" s="362">
        <v>0</v>
      </c>
      <c r="ER268" s="362">
        <v>16380</v>
      </c>
      <c r="ES268" s="362">
        <v>5770</v>
      </c>
      <c r="ET268" s="362">
        <v>26858</v>
      </c>
      <c r="EU268" s="362">
        <v>0</v>
      </c>
      <c r="EV268" s="362">
        <v>257849.62</v>
      </c>
      <c r="EW268" s="362"/>
      <c r="EX268" s="202"/>
      <c r="EY268" s="202"/>
      <c r="EZ268" s="229"/>
      <c r="FA268" s="368">
        <v>415046.44</v>
      </c>
      <c r="FB268" s="368">
        <v>210664.68</v>
      </c>
      <c r="FC268" s="368">
        <v>0</v>
      </c>
      <c r="FD268" s="368">
        <v>0</v>
      </c>
      <c r="FE268" s="368">
        <v>16134.02</v>
      </c>
      <c r="FF268" s="368">
        <v>14042.31</v>
      </c>
      <c r="FG268" s="368">
        <v>-337.66</v>
      </c>
      <c r="FH268" s="368">
        <v>-3084.29</v>
      </c>
      <c r="FI268" s="368">
        <v>0</v>
      </c>
      <c r="FJ268" s="368">
        <v>0</v>
      </c>
      <c r="FK268" s="368">
        <v>23098.16</v>
      </c>
      <c r="FL268" s="368">
        <v>0</v>
      </c>
      <c r="FM268" s="368">
        <v>295021.34999999998</v>
      </c>
      <c r="FN268" s="368">
        <v>187563.56</v>
      </c>
      <c r="FO268" s="323">
        <v>3189467.16</v>
      </c>
      <c r="FP268" s="323">
        <v>675563.66</v>
      </c>
      <c r="FQ268" s="323">
        <v>3865030.82</v>
      </c>
      <c r="FR268" s="362">
        <v>351498.16</v>
      </c>
      <c r="FS268" s="362">
        <v>38952.870000000003</v>
      </c>
      <c r="FT268" s="377">
        <v>390451.03</v>
      </c>
      <c r="FU268" s="377">
        <v>3271487.44</v>
      </c>
      <c r="FV268" s="377">
        <v>573949.13</v>
      </c>
      <c r="FW268" s="362">
        <v>3845436.57</v>
      </c>
      <c r="FX268" s="362">
        <v>3071235.77</v>
      </c>
      <c r="FY268" s="362">
        <v>502280.01</v>
      </c>
      <c r="FZ268" s="362">
        <v>3573515.78</v>
      </c>
      <c r="GA268" s="362">
        <v>551749.82999999996</v>
      </c>
      <c r="GB268" s="362">
        <v>110621.99</v>
      </c>
      <c r="GC268" s="362">
        <v>662371.81999999995</v>
      </c>
      <c r="GD268" s="362">
        <v>169776.64000000001</v>
      </c>
      <c r="GE268" s="362">
        <v>20059.03</v>
      </c>
      <c r="GF268" s="362">
        <v>189835.67</v>
      </c>
      <c r="GG268" s="202"/>
      <c r="GH268" s="416"/>
      <c r="GI268" s="414">
        <v>4377.1000000000004</v>
      </c>
      <c r="GJ268" s="419">
        <v>0</v>
      </c>
      <c r="GK268" s="396"/>
      <c r="GL268" s="202">
        <v>0</v>
      </c>
      <c r="GM268" s="202">
        <v>0</v>
      </c>
      <c r="GN268" s="323">
        <v>82020.28</v>
      </c>
      <c r="GO268" s="323">
        <v>-101614.53</v>
      </c>
      <c r="GP268" s="323">
        <v>-19594.25</v>
      </c>
      <c r="GQ268" s="323">
        <v>251796.92</v>
      </c>
      <c r="GR268" s="323">
        <v>-81555.5</v>
      </c>
      <c r="GS268" s="323">
        <v>170241.42</v>
      </c>
    </row>
    <row r="269" spans="1:201" ht="12.75" customHeight="1" x14ac:dyDescent="0.2">
      <c r="A269" s="45" t="s">
        <v>372</v>
      </c>
      <c r="B269" s="156" t="s">
        <v>322</v>
      </c>
      <c r="C269" s="157" t="s">
        <v>11</v>
      </c>
      <c r="D269" s="388" t="s">
        <v>520</v>
      </c>
      <c r="E269" s="157" t="s">
        <v>12</v>
      </c>
      <c r="F269" s="11">
        <v>9</v>
      </c>
      <c r="G269" s="11">
        <v>2</v>
      </c>
      <c r="H269" s="11">
        <v>72</v>
      </c>
      <c r="I269" s="11">
        <v>73</v>
      </c>
      <c r="J269" s="11">
        <v>182</v>
      </c>
      <c r="K269" s="11">
        <v>214</v>
      </c>
      <c r="L269" s="11">
        <v>2</v>
      </c>
      <c r="M269" s="84">
        <v>592</v>
      </c>
      <c r="N269" s="84">
        <v>598</v>
      </c>
      <c r="O269" s="84">
        <v>0</v>
      </c>
      <c r="P269" s="135">
        <v>641</v>
      </c>
      <c r="Q269" s="135">
        <v>584.9</v>
      </c>
      <c r="R269" s="133">
        <v>0</v>
      </c>
      <c r="S269" s="133">
        <f t="shared" si="134"/>
        <v>1225.9000000000001</v>
      </c>
      <c r="T269" s="134">
        <v>641</v>
      </c>
      <c r="U269" s="130">
        <v>2.44</v>
      </c>
      <c r="V269" s="131">
        <v>1.9800000000000002E-2</v>
      </c>
      <c r="W269" s="131">
        <v>1.9800000000000002E-2</v>
      </c>
      <c r="X269" s="132">
        <v>1.32E-3</v>
      </c>
      <c r="Y269" s="131">
        <v>3.9699999999999999E-2</v>
      </c>
      <c r="Z269" s="29">
        <v>3895.8</v>
      </c>
      <c r="AA269" s="29"/>
      <c r="AB269" s="9">
        <f t="shared" si="113"/>
        <v>3895.8</v>
      </c>
      <c r="AC269" s="9">
        <f t="shared" si="112"/>
        <v>24660.41</v>
      </c>
      <c r="AD269" s="9">
        <v>3.01</v>
      </c>
      <c r="AE269" s="9">
        <v>3.99</v>
      </c>
      <c r="AF269" s="21">
        <f>2.49-AJ269</f>
        <v>2.34</v>
      </c>
      <c r="AG269" s="18">
        <f>0.62-AQ269</f>
        <v>0.56999999999999995</v>
      </c>
      <c r="AH269" s="9">
        <v>2.78</v>
      </c>
      <c r="AI269" s="13">
        <v>574</v>
      </c>
      <c r="AJ269" s="21">
        <f t="shared" si="110"/>
        <v>0.15</v>
      </c>
      <c r="AK269" s="9">
        <v>2.21</v>
      </c>
      <c r="AL269" s="9">
        <v>0.19</v>
      </c>
      <c r="AM269" s="9">
        <v>0.15</v>
      </c>
      <c r="AN269" s="13"/>
      <c r="AO269" s="13">
        <v>422.4</v>
      </c>
      <c r="AP269" s="13">
        <f t="shared" si="135"/>
        <v>5.58</v>
      </c>
      <c r="AQ269" s="18">
        <f t="shared" si="111"/>
        <v>0.05</v>
      </c>
      <c r="AR269" s="9">
        <v>0.64</v>
      </c>
      <c r="AS269" s="9">
        <v>0.35</v>
      </c>
      <c r="AT269" s="9">
        <v>7.0000000000000007E-2</v>
      </c>
      <c r="AU269" s="9">
        <v>3.86</v>
      </c>
      <c r="AV269" s="9">
        <v>0.17</v>
      </c>
      <c r="AW269" s="9">
        <f>1.48+0.34+0.25</f>
        <v>2.0699999999999998</v>
      </c>
      <c r="AX269" s="9">
        <f>2.08+0.46</f>
        <v>2.54</v>
      </c>
      <c r="AY269" s="159">
        <f t="shared" si="136"/>
        <v>25.14</v>
      </c>
      <c r="AZ269" s="13">
        <v>25.14</v>
      </c>
      <c r="BA269" s="13">
        <f t="shared" si="114"/>
        <v>0</v>
      </c>
      <c r="BB269" s="9">
        <f t="shared" si="115"/>
        <v>97940.41</v>
      </c>
      <c r="BC269" s="9">
        <v>25.14</v>
      </c>
      <c r="BD269" s="10">
        <v>44409</v>
      </c>
      <c r="BE269" s="9">
        <f t="shared" si="116"/>
        <v>11726.36</v>
      </c>
      <c r="BF269" s="9">
        <f t="shared" si="117"/>
        <v>15544.24</v>
      </c>
      <c r="BG269" s="9">
        <f t="shared" si="118"/>
        <v>9116.17</v>
      </c>
      <c r="BH269" s="9">
        <f t="shared" si="119"/>
        <v>2220.61</v>
      </c>
      <c r="BI269" s="9">
        <f t="shared" si="120"/>
        <v>10830.32</v>
      </c>
      <c r="BJ269" s="9">
        <f t="shared" si="121"/>
        <v>584.37</v>
      </c>
      <c r="BK269" s="9">
        <f t="shared" si="122"/>
        <v>8609.7199999999993</v>
      </c>
      <c r="BL269" s="9">
        <f t="shared" si="123"/>
        <v>740.2</v>
      </c>
      <c r="BM269" s="9">
        <f t="shared" si="124"/>
        <v>584.37</v>
      </c>
      <c r="BN269" s="9">
        <f t="shared" si="125"/>
        <v>194.79</v>
      </c>
      <c r="BO269" s="9">
        <f t="shared" si="126"/>
        <v>2493.31</v>
      </c>
      <c r="BP269" s="9">
        <f t="shared" si="127"/>
        <v>1363.53</v>
      </c>
      <c r="BQ269" s="9">
        <f t="shared" si="128"/>
        <v>272.70999999999998</v>
      </c>
      <c r="BR269" s="9">
        <f t="shared" si="129"/>
        <v>15037.79</v>
      </c>
      <c r="BS269" s="9">
        <f t="shared" si="130"/>
        <v>662.29</v>
      </c>
      <c r="BT269" s="9">
        <f t="shared" si="131"/>
        <v>8064.31</v>
      </c>
      <c r="BU269" s="9">
        <f t="shared" si="132"/>
        <v>9895.33</v>
      </c>
      <c r="BV269" s="17">
        <f t="shared" si="133"/>
        <v>97940.42</v>
      </c>
      <c r="BW269" s="17">
        <v>1.61</v>
      </c>
      <c r="BX269" s="17">
        <v>0.09</v>
      </c>
      <c r="BY269" s="17">
        <v>0.55000000000000004</v>
      </c>
      <c r="BZ269" s="17">
        <v>0.1</v>
      </c>
      <c r="CA269" s="29">
        <v>6.33</v>
      </c>
      <c r="CB269" s="325"/>
      <c r="CC269" s="13">
        <v>0</v>
      </c>
      <c r="CD269" s="13">
        <v>0</v>
      </c>
      <c r="CE269" s="13">
        <v>0</v>
      </c>
      <c r="CF269" s="13">
        <v>0</v>
      </c>
      <c r="CG269" s="13">
        <v>0</v>
      </c>
      <c r="CH269" s="13">
        <v>0</v>
      </c>
      <c r="CI269" s="13">
        <v>4896.09</v>
      </c>
      <c r="CJ269" s="13">
        <v>40980</v>
      </c>
      <c r="CK269" s="13">
        <v>1504.4</v>
      </c>
      <c r="CL269" s="13">
        <v>1177005.28</v>
      </c>
      <c r="CM269" s="13">
        <v>116699.1</v>
      </c>
      <c r="CN269" s="13">
        <v>0</v>
      </c>
      <c r="CO269" s="13">
        <v>0</v>
      </c>
      <c r="CP269" s="13">
        <v>2261.9499999999998</v>
      </c>
      <c r="CQ269" s="13">
        <v>0</v>
      </c>
      <c r="CR269" s="13">
        <v>1142223.45</v>
      </c>
      <c r="CS269" s="13">
        <v>87656.78</v>
      </c>
      <c r="CT269" s="13">
        <v>1088.33</v>
      </c>
      <c r="CU269" s="13">
        <v>177.45</v>
      </c>
      <c r="CV269" s="13">
        <v>2268.5300000000002</v>
      </c>
      <c r="CW269" s="13">
        <v>0</v>
      </c>
      <c r="CX269" s="13">
        <v>154093.95000000001</v>
      </c>
      <c r="CY269" s="13">
        <v>23899.58</v>
      </c>
      <c r="CZ269" s="13">
        <v>-2191.9899999999998</v>
      </c>
      <c r="DA269" s="13">
        <v>-354.26</v>
      </c>
      <c r="DB269" s="13">
        <v>145.63999999999999</v>
      </c>
      <c r="DC269" s="13"/>
      <c r="DD269" s="315">
        <v>1295966.33</v>
      </c>
      <c r="DE269" s="317">
        <v>1233414.54</v>
      </c>
      <c r="DF269" s="317">
        <v>95.17</v>
      </c>
      <c r="DG269" s="318">
        <v>175592.92</v>
      </c>
      <c r="DH269" s="310">
        <v>41115.599999999999</v>
      </c>
      <c r="DI269" s="310">
        <v>23514.48</v>
      </c>
      <c r="DJ269" s="312">
        <v>339684.48</v>
      </c>
      <c r="DK269" s="362">
        <v>35800</v>
      </c>
      <c r="DL269" s="362"/>
      <c r="DM269" s="362">
        <v>0</v>
      </c>
      <c r="DN269" s="362">
        <v>0</v>
      </c>
      <c r="DO269" s="362">
        <v>0</v>
      </c>
      <c r="DP269" s="362">
        <v>9126.6</v>
      </c>
      <c r="DQ269" s="362">
        <v>749</v>
      </c>
      <c r="DR269" s="362"/>
      <c r="DS269" s="362">
        <v>0</v>
      </c>
      <c r="DT269" s="362"/>
      <c r="DU269" s="362">
        <v>0</v>
      </c>
      <c r="DV269" s="362">
        <v>0</v>
      </c>
      <c r="DW269" s="362">
        <v>0</v>
      </c>
      <c r="DX269" s="362">
        <v>103200</v>
      </c>
      <c r="DY269" s="362">
        <v>28000</v>
      </c>
      <c r="DZ269" s="375">
        <v>0</v>
      </c>
      <c r="EA269" s="362">
        <v>0</v>
      </c>
      <c r="EB269" s="362">
        <v>0</v>
      </c>
      <c r="EC269" s="362"/>
      <c r="ED269" s="362">
        <v>0</v>
      </c>
      <c r="EE269" s="362">
        <v>0</v>
      </c>
      <c r="EF269" s="362"/>
      <c r="EG269" s="362">
        <v>0</v>
      </c>
      <c r="EH269" s="362">
        <v>0</v>
      </c>
      <c r="EI269" s="362"/>
      <c r="EJ269" s="362">
        <v>0</v>
      </c>
      <c r="EK269" s="362"/>
      <c r="EL269" s="362">
        <v>0</v>
      </c>
      <c r="EM269" s="362">
        <v>2356.98</v>
      </c>
      <c r="EN269" s="362">
        <v>307498.74</v>
      </c>
      <c r="EO269" s="362">
        <v>0</v>
      </c>
      <c r="EP269" s="362">
        <v>0</v>
      </c>
      <c r="EQ269" s="362">
        <v>0</v>
      </c>
      <c r="ER269" s="362">
        <v>16380</v>
      </c>
      <c r="ES269" s="362">
        <v>5193</v>
      </c>
      <c r="ET269" s="362">
        <v>11468</v>
      </c>
      <c r="EU269" s="362">
        <v>0</v>
      </c>
      <c r="EV269" s="362">
        <v>60735.91</v>
      </c>
      <c r="EW269" s="362"/>
      <c r="EX269" s="202"/>
      <c r="EY269" s="202"/>
      <c r="EZ269" s="229"/>
      <c r="FA269" s="368">
        <v>130082.92</v>
      </c>
      <c r="FB269" s="368">
        <v>0</v>
      </c>
      <c r="FC269" s="368">
        <v>0</v>
      </c>
      <c r="FD269" s="368">
        <v>0</v>
      </c>
      <c r="FE269" s="368">
        <v>392.48</v>
      </c>
      <c r="FF269" s="368">
        <v>2496.5500000000002</v>
      </c>
      <c r="FG269" s="368">
        <v>0</v>
      </c>
      <c r="FH269" s="368">
        <v>-1064.8599999999999</v>
      </c>
      <c r="FI269" s="368">
        <v>0</v>
      </c>
      <c r="FJ269" s="368">
        <v>0</v>
      </c>
      <c r="FK269" s="368">
        <v>13186.18</v>
      </c>
      <c r="FL269" s="368">
        <v>0</v>
      </c>
      <c r="FM269" s="368">
        <v>104366.35</v>
      </c>
      <c r="FN269" s="368">
        <v>66363.39</v>
      </c>
      <c r="FO269" s="323">
        <v>1155552.53</v>
      </c>
      <c r="FP269" s="323">
        <v>145093.26999999999</v>
      </c>
      <c r="FQ269" s="323">
        <v>1300645.8</v>
      </c>
      <c r="FR269" s="362">
        <v>105419.55</v>
      </c>
      <c r="FS269" s="362">
        <v>4789.43</v>
      </c>
      <c r="FT269" s="377">
        <v>110208.98</v>
      </c>
      <c r="FU269" s="377">
        <v>1222881.3700000001</v>
      </c>
      <c r="FV269" s="377">
        <v>120465.45</v>
      </c>
      <c r="FW269" s="362">
        <v>1343346.82</v>
      </c>
      <c r="FX269" s="362">
        <v>1174206.97</v>
      </c>
      <c r="FY269" s="362">
        <v>103755.91</v>
      </c>
      <c r="FZ269" s="362">
        <v>1277962.8799999999</v>
      </c>
      <c r="GA269" s="362">
        <v>154093.95000000001</v>
      </c>
      <c r="GB269" s="362">
        <v>21498.97</v>
      </c>
      <c r="GC269" s="362">
        <v>175592.92</v>
      </c>
      <c r="GD269" s="362">
        <v>52053.79</v>
      </c>
      <c r="GE269" s="362">
        <v>5976.22</v>
      </c>
      <c r="GF269" s="362">
        <v>58030.01</v>
      </c>
      <c r="GG269" s="202"/>
      <c r="GH269" s="416"/>
      <c r="GI269" s="414">
        <v>2950.55</v>
      </c>
      <c r="GJ269" s="419">
        <v>0</v>
      </c>
      <c r="GK269" s="396"/>
      <c r="GL269" s="202">
        <v>0</v>
      </c>
      <c r="GM269" s="202">
        <v>0</v>
      </c>
      <c r="GN269" s="323">
        <v>67328.84</v>
      </c>
      <c r="GO269" s="323">
        <v>-24627.82</v>
      </c>
      <c r="GP269" s="323">
        <v>42701.02</v>
      </c>
      <c r="GQ269" s="323">
        <v>119382.63</v>
      </c>
      <c r="GR269" s="323">
        <v>-18651.599999999999</v>
      </c>
      <c r="GS269" s="323">
        <v>100731.03</v>
      </c>
    </row>
    <row r="270" spans="1:201" ht="12.75" customHeight="1" x14ac:dyDescent="0.2">
      <c r="A270" s="45" t="s">
        <v>748</v>
      </c>
      <c r="B270" s="156" t="s">
        <v>322</v>
      </c>
      <c r="C270" s="157" t="s">
        <v>11</v>
      </c>
      <c r="D270" s="388" t="s">
        <v>599</v>
      </c>
      <c r="E270" s="157" t="s">
        <v>9</v>
      </c>
      <c r="F270" s="11">
        <v>9</v>
      </c>
      <c r="G270" s="11">
        <v>4</v>
      </c>
      <c r="H270" s="11">
        <v>216</v>
      </c>
      <c r="I270" s="11">
        <v>220</v>
      </c>
      <c r="J270" s="11">
        <v>533</v>
      </c>
      <c r="K270" s="11">
        <v>579</v>
      </c>
      <c r="L270" s="11">
        <v>4</v>
      </c>
      <c r="M270" s="84">
        <v>1502</v>
      </c>
      <c r="N270" s="84">
        <v>1612</v>
      </c>
      <c r="O270" s="84">
        <v>0</v>
      </c>
      <c r="P270" s="135">
        <v>1593.1</v>
      </c>
      <c r="Q270" s="135">
        <v>1325.8</v>
      </c>
      <c r="R270" s="133">
        <v>0</v>
      </c>
      <c r="S270" s="133">
        <f t="shared" si="134"/>
        <v>2918.9</v>
      </c>
      <c r="T270" s="134">
        <v>1593.1</v>
      </c>
      <c r="U270" s="130">
        <v>2.44</v>
      </c>
      <c r="V270" s="131">
        <v>1.9800000000000002E-2</v>
      </c>
      <c r="W270" s="131">
        <v>1.9800000000000002E-2</v>
      </c>
      <c r="X270" s="132">
        <v>1.32E-3</v>
      </c>
      <c r="Y270" s="131">
        <v>3.9699999999999999E-2</v>
      </c>
      <c r="Z270" s="29">
        <v>10979.2</v>
      </c>
      <c r="AA270" s="29"/>
      <c r="AB270" s="9">
        <f t="shared" si="113"/>
        <v>10979.2</v>
      </c>
      <c r="AC270" s="9">
        <f t="shared" si="112"/>
        <v>69498.34</v>
      </c>
      <c r="AD270" s="9">
        <v>2.78</v>
      </c>
      <c r="AE270" s="9">
        <v>5.01</v>
      </c>
      <c r="AF270" s="21">
        <f>2.49-AJ270</f>
        <v>2.35</v>
      </c>
      <c r="AG270" s="18">
        <f>0.6-AQ270</f>
        <v>0.56000000000000005</v>
      </c>
      <c r="AH270" s="9">
        <v>2.77</v>
      </c>
      <c r="AI270" s="13">
        <v>1548</v>
      </c>
      <c r="AJ270" s="21">
        <f t="shared" si="110"/>
        <v>0.14000000000000001</v>
      </c>
      <c r="AK270" s="9">
        <v>1.57</v>
      </c>
      <c r="AL270" s="9">
        <v>0.14000000000000001</v>
      </c>
      <c r="AM270" s="9">
        <v>0.05</v>
      </c>
      <c r="AN270" s="13"/>
      <c r="AO270" s="13">
        <v>844.8</v>
      </c>
      <c r="AP270" s="13">
        <f t="shared" si="135"/>
        <v>5.58</v>
      </c>
      <c r="AQ270" s="18">
        <f t="shared" si="111"/>
        <v>0.04</v>
      </c>
      <c r="AR270" s="9">
        <v>0.62</v>
      </c>
      <c r="AS270" s="9">
        <v>0.25</v>
      </c>
      <c r="AT270" s="9">
        <v>7.0000000000000007E-2</v>
      </c>
      <c r="AU270" s="9">
        <v>3.63</v>
      </c>
      <c r="AV270" s="9">
        <v>0.17</v>
      </c>
      <c r="AW270" s="9">
        <f>1.47+0.32+0.28</f>
        <v>2.0699999999999998</v>
      </c>
      <c r="AX270" s="9">
        <f>2.03+0.43</f>
        <v>2.46</v>
      </c>
      <c r="AY270" s="159">
        <f t="shared" si="136"/>
        <v>24.68</v>
      </c>
      <c r="AZ270" s="13">
        <v>24.68</v>
      </c>
      <c r="BA270" s="13">
        <f t="shared" si="114"/>
        <v>0</v>
      </c>
      <c r="BB270" s="9">
        <f t="shared" si="115"/>
        <v>270966.65999999997</v>
      </c>
      <c r="BC270" s="9">
        <v>24.68</v>
      </c>
      <c r="BD270" s="10">
        <v>44409</v>
      </c>
      <c r="BE270" s="9">
        <f t="shared" si="116"/>
        <v>30522.18</v>
      </c>
      <c r="BF270" s="9">
        <f t="shared" si="117"/>
        <v>55005.79</v>
      </c>
      <c r="BG270" s="9">
        <f t="shared" si="118"/>
        <v>25801.119999999999</v>
      </c>
      <c r="BH270" s="9">
        <f t="shared" si="119"/>
        <v>6148.35</v>
      </c>
      <c r="BI270" s="9">
        <f t="shared" si="120"/>
        <v>30412.38</v>
      </c>
      <c r="BJ270" s="9">
        <f t="shared" si="121"/>
        <v>1537.09</v>
      </c>
      <c r="BK270" s="9">
        <f t="shared" si="122"/>
        <v>17237.34</v>
      </c>
      <c r="BL270" s="9">
        <f t="shared" si="123"/>
        <v>1537.09</v>
      </c>
      <c r="BM270" s="9">
        <f t="shared" si="124"/>
        <v>548.96</v>
      </c>
      <c r="BN270" s="9">
        <f t="shared" si="125"/>
        <v>439.17</v>
      </c>
      <c r="BO270" s="9">
        <f t="shared" si="126"/>
        <v>6807.1</v>
      </c>
      <c r="BP270" s="9">
        <f t="shared" si="127"/>
        <v>2744.8</v>
      </c>
      <c r="BQ270" s="9">
        <f t="shared" si="128"/>
        <v>768.54</v>
      </c>
      <c r="BR270" s="9">
        <f t="shared" si="129"/>
        <v>39854.5</v>
      </c>
      <c r="BS270" s="9">
        <f t="shared" si="130"/>
        <v>1866.46</v>
      </c>
      <c r="BT270" s="9">
        <f t="shared" si="131"/>
        <v>22726.94</v>
      </c>
      <c r="BU270" s="9">
        <f t="shared" si="132"/>
        <v>27008.83</v>
      </c>
      <c r="BV270" s="17">
        <f t="shared" si="133"/>
        <v>270966.64</v>
      </c>
      <c r="BW270" s="17">
        <v>2.61</v>
      </c>
      <c r="BX270" s="17">
        <v>0.08</v>
      </c>
      <c r="BY270" s="17">
        <v>0.52</v>
      </c>
      <c r="BZ270" s="17">
        <v>0.09</v>
      </c>
      <c r="CA270" s="29">
        <v>6.33</v>
      </c>
      <c r="CB270" s="325"/>
      <c r="CC270" s="13">
        <v>0</v>
      </c>
      <c r="CD270" s="13">
        <v>0</v>
      </c>
      <c r="CE270" s="13">
        <v>0</v>
      </c>
      <c r="CF270" s="13">
        <v>0</v>
      </c>
      <c r="CG270" s="13">
        <v>0</v>
      </c>
      <c r="CH270" s="13">
        <v>0</v>
      </c>
      <c r="CI270" s="13">
        <v>19970.95</v>
      </c>
      <c r="CJ270" s="13">
        <v>69768</v>
      </c>
      <c r="CK270" s="13">
        <v>4222.49</v>
      </c>
      <c r="CL270" s="13">
        <v>3251601.36</v>
      </c>
      <c r="CM270" s="13">
        <v>173031.33</v>
      </c>
      <c r="CN270" s="13">
        <v>647115.21</v>
      </c>
      <c r="CO270" s="13">
        <v>80478.03</v>
      </c>
      <c r="CP270" s="13">
        <v>48089.14</v>
      </c>
      <c r="CQ270" s="13">
        <v>0</v>
      </c>
      <c r="CR270" s="13">
        <v>2987720.6</v>
      </c>
      <c r="CS270" s="13">
        <v>147499.48000000001</v>
      </c>
      <c r="CT270" s="13">
        <v>525843.63</v>
      </c>
      <c r="CU270" s="13">
        <v>76856.09</v>
      </c>
      <c r="CV270" s="13">
        <v>45510.04</v>
      </c>
      <c r="CW270" s="13">
        <v>0</v>
      </c>
      <c r="CX270" s="13">
        <v>638926.18000000005</v>
      </c>
      <c r="CY270" s="13">
        <v>25866.42</v>
      </c>
      <c r="CZ270" s="13">
        <v>155573.23000000001</v>
      </c>
      <c r="DA270" s="13">
        <v>9627.68</v>
      </c>
      <c r="DB270" s="13">
        <v>6387.48</v>
      </c>
      <c r="DC270" s="13"/>
      <c r="DD270" s="315">
        <v>4200315.07</v>
      </c>
      <c r="DE270" s="317">
        <v>3783429.84</v>
      </c>
      <c r="DF270" s="317">
        <v>90.07</v>
      </c>
      <c r="DG270" s="318">
        <v>836380.99</v>
      </c>
      <c r="DH270" s="310">
        <v>115363.2</v>
      </c>
      <c r="DI270" s="310">
        <v>65977.440000000002</v>
      </c>
      <c r="DJ270" s="312">
        <v>1074617.52</v>
      </c>
      <c r="DK270" s="362">
        <v>30700</v>
      </c>
      <c r="DL270" s="362"/>
      <c r="DM270" s="362">
        <v>0</v>
      </c>
      <c r="DN270" s="362">
        <v>0</v>
      </c>
      <c r="DO270" s="362">
        <v>0</v>
      </c>
      <c r="DP270" s="362">
        <v>24613.200000000001</v>
      </c>
      <c r="DQ270" s="362">
        <v>1470</v>
      </c>
      <c r="DR270" s="362"/>
      <c r="DS270" s="362">
        <v>0</v>
      </c>
      <c r="DT270" s="362"/>
      <c r="DU270" s="362">
        <v>0</v>
      </c>
      <c r="DV270" s="362">
        <v>0</v>
      </c>
      <c r="DW270" s="362">
        <v>0</v>
      </c>
      <c r="DX270" s="362">
        <v>206400</v>
      </c>
      <c r="DY270" s="362">
        <v>56000</v>
      </c>
      <c r="DZ270" s="375">
        <v>0</v>
      </c>
      <c r="EA270" s="362">
        <v>0</v>
      </c>
      <c r="EB270" s="362">
        <v>0</v>
      </c>
      <c r="EC270" s="362"/>
      <c r="ED270" s="362">
        <v>0</v>
      </c>
      <c r="EE270" s="362">
        <v>0</v>
      </c>
      <c r="EF270" s="362"/>
      <c r="EG270" s="362">
        <v>0</v>
      </c>
      <c r="EH270" s="362">
        <v>0</v>
      </c>
      <c r="EI270" s="362"/>
      <c r="EJ270" s="362">
        <v>0</v>
      </c>
      <c r="EK270" s="362"/>
      <c r="EL270" s="362">
        <v>0</v>
      </c>
      <c r="EM270" s="362">
        <v>4713.99</v>
      </c>
      <c r="EN270" s="362">
        <v>861996.18</v>
      </c>
      <c r="EO270" s="362">
        <v>0</v>
      </c>
      <c r="EP270" s="362">
        <v>0</v>
      </c>
      <c r="EQ270" s="362">
        <v>0</v>
      </c>
      <c r="ER270" s="362">
        <v>32760</v>
      </c>
      <c r="ES270" s="362">
        <v>5770</v>
      </c>
      <c r="ET270" s="362">
        <v>26964</v>
      </c>
      <c r="EU270" s="362">
        <v>0</v>
      </c>
      <c r="EV270" s="362">
        <v>15563.93</v>
      </c>
      <c r="EW270" s="362"/>
      <c r="EX270" s="202"/>
      <c r="EY270" s="202"/>
      <c r="EZ270" s="229"/>
      <c r="FA270" s="368">
        <v>179252.83</v>
      </c>
      <c r="FB270" s="368">
        <v>780341.58</v>
      </c>
      <c r="FC270" s="368">
        <v>0</v>
      </c>
      <c r="FD270" s="368">
        <v>0</v>
      </c>
      <c r="FE270" s="368">
        <v>78108.58</v>
      </c>
      <c r="FF270" s="368">
        <v>47087.05</v>
      </c>
      <c r="FG270" s="368">
        <v>-5648.01</v>
      </c>
      <c r="FH270" s="368">
        <v>-5765.96</v>
      </c>
      <c r="FI270" s="368">
        <v>0</v>
      </c>
      <c r="FJ270" s="368">
        <v>0</v>
      </c>
      <c r="FK270" s="368">
        <v>0</v>
      </c>
      <c r="FL270" s="368">
        <v>0</v>
      </c>
      <c r="FM270" s="368">
        <v>293529.59000000003</v>
      </c>
      <c r="FN270" s="368">
        <v>186639.81</v>
      </c>
      <c r="FO270" s="323">
        <v>3003078.86</v>
      </c>
      <c r="FP270" s="323">
        <v>1073376.07</v>
      </c>
      <c r="FQ270" s="323">
        <v>4076454.93</v>
      </c>
      <c r="FR270" s="362">
        <v>358842.88</v>
      </c>
      <c r="FS270" s="362">
        <v>56068.67</v>
      </c>
      <c r="FT270" s="377">
        <v>414911.55</v>
      </c>
      <c r="FU270" s="377">
        <v>3341340.31</v>
      </c>
      <c r="FV270" s="377">
        <v>952936.2</v>
      </c>
      <c r="FW270" s="362">
        <v>4294276.51</v>
      </c>
      <c r="FX270" s="362">
        <v>3061257.01</v>
      </c>
      <c r="FY270" s="362">
        <v>811550.06</v>
      </c>
      <c r="FZ270" s="362">
        <v>3872807.07</v>
      </c>
      <c r="GA270" s="362">
        <v>638926.18000000005</v>
      </c>
      <c r="GB270" s="362">
        <v>197454.81</v>
      </c>
      <c r="GC270" s="362">
        <v>836380.99</v>
      </c>
      <c r="GD270" s="362">
        <v>161308.13</v>
      </c>
      <c r="GE270" s="362">
        <v>-36869.199999999997</v>
      </c>
      <c r="GF270" s="362">
        <v>124438.93</v>
      </c>
      <c r="GG270" s="202"/>
      <c r="GH270" s="416"/>
      <c r="GI270" s="414">
        <v>4377.1000000000004</v>
      </c>
      <c r="GJ270" s="419">
        <v>0</v>
      </c>
      <c r="GK270" s="396"/>
      <c r="GL270" s="202">
        <v>0</v>
      </c>
      <c r="GM270" s="202">
        <v>0</v>
      </c>
      <c r="GN270" s="323">
        <v>338261.45</v>
      </c>
      <c r="GO270" s="323">
        <v>-120439.87</v>
      </c>
      <c r="GP270" s="323">
        <v>217821.58</v>
      </c>
      <c r="GQ270" s="323">
        <v>499569.58</v>
      </c>
      <c r="GR270" s="323">
        <v>-157309.07</v>
      </c>
      <c r="GS270" s="323">
        <v>342260.51</v>
      </c>
    </row>
    <row r="271" spans="1:201" ht="12.75" customHeight="1" x14ac:dyDescent="0.2">
      <c r="A271" s="45" t="s">
        <v>749</v>
      </c>
      <c r="B271" s="156" t="s">
        <v>322</v>
      </c>
      <c r="C271" s="157" t="s">
        <v>67</v>
      </c>
      <c r="D271" s="390" t="s">
        <v>670</v>
      </c>
      <c r="E271" s="157"/>
      <c r="F271" s="11">
        <v>9</v>
      </c>
      <c r="G271" s="11">
        <v>4</v>
      </c>
      <c r="H271" s="11">
        <v>216</v>
      </c>
      <c r="I271" s="11">
        <v>218</v>
      </c>
      <c r="J271" s="11">
        <v>486</v>
      </c>
      <c r="K271" s="11">
        <v>583</v>
      </c>
      <c r="L271" s="83">
        <v>4</v>
      </c>
      <c r="M271" s="84">
        <v>1566</v>
      </c>
      <c r="N271" s="84">
        <v>1612</v>
      </c>
      <c r="O271" s="84">
        <v>0</v>
      </c>
      <c r="P271" s="139">
        <v>1565.8</v>
      </c>
      <c r="Q271" s="135">
        <v>1397.6</v>
      </c>
      <c r="R271" s="133">
        <v>0</v>
      </c>
      <c r="S271" s="133">
        <f t="shared" si="134"/>
        <v>2963.4</v>
      </c>
      <c r="T271" s="139">
        <v>1651.4</v>
      </c>
      <c r="U271" s="130">
        <v>2.44</v>
      </c>
      <c r="V271" s="91">
        <v>1.9800000000000002E-2</v>
      </c>
      <c r="W271" s="91">
        <v>1.9800000000000002E-2</v>
      </c>
      <c r="X271" s="132">
        <v>1.32E-3</v>
      </c>
      <c r="Y271" s="91">
        <v>3.9699999999999999E-2</v>
      </c>
      <c r="Z271" s="29">
        <v>10882.5</v>
      </c>
      <c r="AA271" s="29"/>
      <c r="AB271" s="9">
        <f t="shared" si="113"/>
        <v>10882.5</v>
      </c>
      <c r="AC271" s="9">
        <f t="shared" si="112"/>
        <v>68886.23</v>
      </c>
      <c r="AD271" s="9">
        <v>2.84</v>
      </c>
      <c r="AE271" s="9">
        <v>4.97</v>
      </c>
      <c r="AF271" s="21">
        <f>2.49-AJ271</f>
        <v>2.35</v>
      </c>
      <c r="AG271" s="18">
        <f>0.6-AQ271</f>
        <v>0.56000000000000005</v>
      </c>
      <c r="AH271" s="9">
        <v>2.77</v>
      </c>
      <c r="AI271" s="13">
        <v>1548</v>
      </c>
      <c r="AJ271" s="21">
        <f t="shared" si="110"/>
        <v>0.14000000000000001</v>
      </c>
      <c r="AK271" s="9">
        <v>1.59</v>
      </c>
      <c r="AL271" s="9">
        <v>0.14000000000000001</v>
      </c>
      <c r="AM271" s="9">
        <v>0.05</v>
      </c>
      <c r="AN271" s="13"/>
      <c r="AO271" s="13">
        <v>844.8</v>
      </c>
      <c r="AP271" s="13">
        <f t="shared" si="135"/>
        <v>5.58</v>
      </c>
      <c r="AQ271" s="18">
        <f t="shared" si="111"/>
        <v>0.04</v>
      </c>
      <c r="AR271" s="9">
        <v>0.63</v>
      </c>
      <c r="AS271" s="9">
        <v>0.13</v>
      </c>
      <c r="AT271" s="9">
        <v>7.0000000000000007E-2</v>
      </c>
      <c r="AU271" s="9">
        <v>3.63</v>
      </c>
      <c r="AV271" s="9">
        <v>0.17</v>
      </c>
      <c r="AW271" s="9">
        <f>1.46+0.32+0.28</f>
        <v>2.06</v>
      </c>
      <c r="AX271" s="9">
        <f>2.02+0.43</f>
        <v>2.4500000000000002</v>
      </c>
      <c r="AY271" s="159">
        <f t="shared" si="136"/>
        <v>24.59</v>
      </c>
      <c r="AZ271" s="13">
        <v>24.59</v>
      </c>
      <c r="BA271" s="13">
        <f t="shared" si="114"/>
        <v>0</v>
      </c>
      <c r="BB271" s="9">
        <f t="shared" si="115"/>
        <v>267600.68</v>
      </c>
      <c r="BC271" s="9">
        <v>24.59</v>
      </c>
      <c r="BD271" s="10">
        <v>44440</v>
      </c>
      <c r="BE271" s="9">
        <f t="shared" si="116"/>
        <v>30906.3</v>
      </c>
      <c r="BF271" s="9">
        <f t="shared" si="117"/>
        <v>54086.03</v>
      </c>
      <c r="BG271" s="9">
        <f t="shared" si="118"/>
        <v>25573.88</v>
      </c>
      <c r="BH271" s="9">
        <f t="shared" si="119"/>
        <v>6094.2</v>
      </c>
      <c r="BI271" s="9">
        <f t="shared" si="120"/>
        <v>30144.53</v>
      </c>
      <c r="BJ271" s="9">
        <f t="shared" si="121"/>
        <v>1523.55</v>
      </c>
      <c r="BK271" s="9">
        <f t="shared" si="122"/>
        <v>17303.18</v>
      </c>
      <c r="BL271" s="9">
        <f t="shared" si="123"/>
        <v>1523.55</v>
      </c>
      <c r="BM271" s="9">
        <f t="shared" si="124"/>
        <v>544.13</v>
      </c>
      <c r="BN271" s="9">
        <f t="shared" si="125"/>
        <v>435.3</v>
      </c>
      <c r="BO271" s="9">
        <f t="shared" si="126"/>
        <v>6855.98</v>
      </c>
      <c r="BP271" s="9">
        <f t="shared" si="127"/>
        <v>1414.73</v>
      </c>
      <c r="BQ271" s="9">
        <f t="shared" si="128"/>
        <v>761.78</v>
      </c>
      <c r="BR271" s="9">
        <f t="shared" si="129"/>
        <v>39503.480000000003</v>
      </c>
      <c r="BS271" s="9">
        <f t="shared" si="130"/>
        <v>1850.03</v>
      </c>
      <c r="BT271" s="9">
        <f t="shared" si="131"/>
        <v>22417.95</v>
      </c>
      <c r="BU271" s="9">
        <f t="shared" si="132"/>
        <v>26662.13</v>
      </c>
      <c r="BV271" s="17">
        <f t="shared" si="133"/>
        <v>267600.73</v>
      </c>
      <c r="BW271" s="17">
        <v>2.94</v>
      </c>
      <c r="BX271" s="17">
        <v>0.09</v>
      </c>
      <c r="BY271" s="17">
        <v>0.54</v>
      </c>
      <c r="BZ271" s="17">
        <v>0.09</v>
      </c>
      <c r="CA271" s="29">
        <v>6.33</v>
      </c>
      <c r="CB271" s="325"/>
      <c r="CC271" s="13">
        <v>0</v>
      </c>
      <c r="CD271" s="13">
        <v>0</v>
      </c>
      <c r="CE271" s="13">
        <v>0</v>
      </c>
      <c r="CF271" s="13">
        <v>0</v>
      </c>
      <c r="CG271" s="13">
        <v>0</v>
      </c>
      <c r="CH271" s="13">
        <v>0</v>
      </c>
      <c r="CI271" s="13">
        <v>15293.9</v>
      </c>
      <c r="CJ271" s="13">
        <v>57576</v>
      </c>
      <c r="CK271" s="13">
        <v>4185.3</v>
      </c>
      <c r="CL271" s="13">
        <v>3211209.36</v>
      </c>
      <c r="CM271" s="13">
        <v>260962.37</v>
      </c>
      <c r="CN271" s="13">
        <v>171943.69</v>
      </c>
      <c r="CO271" s="13">
        <v>5332.88</v>
      </c>
      <c r="CP271" s="13">
        <v>8487.74</v>
      </c>
      <c r="CQ271" s="13">
        <v>0</v>
      </c>
      <c r="CR271" s="13">
        <v>3015512.85</v>
      </c>
      <c r="CS271" s="13">
        <v>256866.17</v>
      </c>
      <c r="CT271" s="13">
        <v>118937.72</v>
      </c>
      <c r="CU271" s="13">
        <v>11847.56</v>
      </c>
      <c r="CV271" s="13">
        <v>10410.27</v>
      </c>
      <c r="CW271" s="13">
        <v>0</v>
      </c>
      <c r="CX271" s="13">
        <v>538175.84</v>
      </c>
      <c r="CY271" s="13">
        <v>70452.37</v>
      </c>
      <c r="CZ271" s="13">
        <v>33665.54</v>
      </c>
      <c r="DA271" s="13">
        <v>-2187.87</v>
      </c>
      <c r="DB271" s="13">
        <v>-366.4</v>
      </c>
      <c r="DC271" s="13"/>
      <c r="DD271" s="315">
        <v>3657936.04</v>
      </c>
      <c r="DE271" s="317">
        <v>3413574.57</v>
      </c>
      <c r="DF271" s="317">
        <v>93.32</v>
      </c>
      <c r="DG271" s="318">
        <v>639739.48</v>
      </c>
      <c r="DH271" s="310">
        <v>114347.04</v>
      </c>
      <c r="DI271" s="310">
        <v>65396.28</v>
      </c>
      <c r="DJ271" s="312">
        <v>1070714.04</v>
      </c>
      <c r="DK271" s="362">
        <v>34100</v>
      </c>
      <c r="DL271" s="362"/>
      <c r="DM271" s="362">
        <v>0</v>
      </c>
      <c r="DN271" s="362">
        <v>0</v>
      </c>
      <c r="DO271" s="362">
        <v>0</v>
      </c>
      <c r="DP271" s="362">
        <v>24613.200000000001</v>
      </c>
      <c r="DQ271" s="362">
        <v>1498</v>
      </c>
      <c r="DR271" s="362"/>
      <c r="DS271" s="362">
        <v>0</v>
      </c>
      <c r="DT271" s="362"/>
      <c r="DU271" s="362">
        <v>0</v>
      </c>
      <c r="DV271" s="362">
        <v>0</v>
      </c>
      <c r="DW271" s="362">
        <v>0</v>
      </c>
      <c r="DX271" s="362">
        <v>206400</v>
      </c>
      <c r="DY271" s="362">
        <v>18000</v>
      </c>
      <c r="DZ271" s="375">
        <v>0</v>
      </c>
      <c r="EA271" s="362">
        <v>0</v>
      </c>
      <c r="EB271" s="362">
        <v>0</v>
      </c>
      <c r="EC271" s="362"/>
      <c r="ED271" s="362">
        <v>0</v>
      </c>
      <c r="EE271" s="362">
        <v>0</v>
      </c>
      <c r="EF271" s="362"/>
      <c r="EG271" s="362">
        <v>0</v>
      </c>
      <c r="EH271" s="362">
        <v>0</v>
      </c>
      <c r="EI271" s="362"/>
      <c r="EJ271" s="362">
        <v>0</v>
      </c>
      <c r="EK271" s="362"/>
      <c r="EL271" s="362">
        <v>0</v>
      </c>
      <c r="EM271" s="362">
        <v>4713.99</v>
      </c>
      <c r="EN271" s="362">
        <v>851467.92</v>
      </c>
      <c r="EO271" s="362">
        <v>0</v>
      </c>
      <c r="EP271" s="362">
        <v>0</v>
      </c>
      <c r="EQ271" s="362">
        <v>0</v>
      </c>
      <c r="ER271" s="362">
        <v>16380</v>
      </c>
      <c r="ES271" s="362">
        <v>2885</v>
      </c>
      <c r="ET271" s="362">
        <v>0</v>
      </c>
      <c r="EU271" s="362">
        <v>0</v>
      </c>
      <c r="EV271" s="362">
        <v>107264.5</v>
      </c>
      <c r="EW271" s="362"/>
      <c r="EX271" s="202"/>
      <c r="EY271" s="202"/>
      <c r="EZ271" s="229"/>
      <c r="FA271" s="368">
        <v>312138.28999999998</v>
      </c>
      <c r="FB271" s="368">
        <v>209270.27</v>
      </c>
      <c r="FC271" s="368">
        <v>0</v>
      </c>
      <c r="FD271" s="368">
        <v>0</v>
      </c>
      <c r="FE271" s="368">
        <v>7343.09</v>
      </c>
      <c r="FF271" s="368">
        <v>9053.98</v>
      </c>
      <c r="FG271" s="368">
        <v>-4675.1499999999996</v>
      </c>
      <c r="FH271" s="368">
        <v>-5231.8900000000003</v>
      </c>
      <c r="FI271" s="368">
        <v>0</v>
      </c>
      <c r="FJ271" s="368">
        <v>0</v>
      </c>
      <c r="FK271" s="368">
        <v>2244.85</v>
      </c>
      <c r="FL271" s="368">
        <v>0</v>
      </c>
      <c r="FM271" s="368">
        <v>290944.28999999998</v>
      </c>
      <c r="FN271" s="368">
        <v>184995.97</v>
      </c>
      <c r="FO271" s="323">
        <v>2993720.23</v>
      </c>
      <c r="FP271" s="323">
        <v>530143.43999999994</v>
      </c>
      <c r="FQ271" s="323">
        <v>3523863.67</v>
      </c>
      <c r="FR271" s="362">
        <v>320812.96000000002</v>
      </c>
      <c r="FS271" s="362">
        <v>41903.519999999997</v>
      </c>
      <c r="FT271" s="377">
        <v>362716.48</v>
      </c>
      <c r="FU271" s="377">
        <v>3284079.26</v>
      </c>
      <c r="FV271" s="377">
        <v>450911.98</v>
      </c>
      <c r="FW271" s="362">
        <v>3734991.24</v>
      </c>
      <c r="FX271" s="362">
        <v>3066716.38</v>
      </c>
      <c r="FY271" s="362">
        <v>391251.86</v>
      </c>
      <c r="FZ271" s="362">
        <v>3457968.24</v>
      </c>
      <c r="GA271" s="362">
        <v>538175.84</v>
      </c>
      <c r="GB271" s="362">
        <v>101563.64</v>
      </c>
      <c r="GC271" s="362">
        <v>639739.48</v>
      </c>
      <c r="GD271" s="362">
        <v>66497.77</v>
      </c>
      <c r="GE271" s="362">
        <v>38938.81</v>
      </c>
      <c r="GF271" s="362">
        <v>105436.58</v>
      </c>
      <c r="GG271" s="202"/>
      <c r="GH271" s="416"/>
      <c r="GI271" s="414">
        <v>3386</v>
      </c>
      <c r="GJ271" s="419">
        <v>0</v>
      </c>
      <c r="GK271" s="396"/>
      <c r="GL271" s="202">
        <v>0</v>
      </c>
      <c r="GM271" s="202">
        <v>0</v>
      </c>
      <c r="GN271" s="323">
        <v>290359.03000000003</v>
      </c>
      <c r="GO271" s="323">
        <v>-79231.460000000006</v>
      </c>
      <c r="GP271" s="323">
        <v>211127.57</v>
      </c>
      <c r="GQ271" s="323">
        <v>356856.8</v>
      </c>
      <c r="GR271" s="323">
        <v>-40292.65</v>
      </c>
      <c r="GS271" s="323">
        <v>316564.15000000002</v>
      </c>
    </row>
    <row r="272" spans="1:201" ht="12.75" customHeight="1" x14ac:dyDescent="0.2">
      <c r="A272" s="45" t="s">
        <v>750</v>
      </c>
      <c r="B272" s="156" t="s">
        <v>322</v>
      </c>
      <c r="C272" s="157" t="s">
        <v>19</v>
      </c>
      <c r="D272" s="390" t="s">
        <v>892</v>
      </c>
      <c r="E272" s="157"/>
      <c r="F272" s="11">
        <v>9</v>
      </c>
      <c r="G272" s="11">
        <v>3</v>
      </c>
      <c r="H272" s="11">
        <v>108</v>
      </c>
      <c r="I272" s="264"/>
      <c r="J272" s="264"/>
      <c r="K272" s="264"/>
      <c r="L272" s="83">
        <v>3</v>
      </c>
      <c r="M272" s="84">
        <f>316.9+426.8</f>
        <v>743.7</v>
      </c>
      <c r="N272" s="84">
        <f>42.6+111.9+726.3</f>
        <v>880.8</v>
      </c>
      <c r="O272" s="84">
        <v>0</v>
      </c>
      <c r="P272" s="139">
        <v>743.7</v>
      </c>
      <c r="Q272" s="135">
        <v>880.8</v>
      </c>
      <c r="R272" s="133">
        <v>0</v>
      </c>
      <c r="S272" s="133">
        <f t="shared" si="134"/>
        <v>1624.5</v>
      </c>
      <c r="T272" s="139">
        <v>743.7</v>
      </c>
      <c r="U272" s="130">
        <v>2.44</v>
      </c>
      <c r="V272" s="91">
        <v>1.9800000000000002E-2</v>
      </c>
      <c r="W272" s="91">
        <v>1.9800000000000002E-2</v>
      </c>
      <c r="X272" s="132">
        <v>1.32E-3</v>
      </c>
      <c r="Y272" s="91">
        <v>3.9699999999999999E-2</v>
      </c>
      <c r="Z272" s="29">
        <v>5814.2</v>
      </c>
      <c r="AA272" s="29"/>
      <c r="AB272" s="9">
        <f t="shared" si="113"/>
        <v>5814.2</v>
      </c>
      <c r="AC272" s="9">
        <f t="shared" si="112"/>
        <v>36803.89</v>
      </c>
      <c r="AD272" s="9">
        <v>2.69</v>
      </c>
      <c r="AE272" s="9">
        <v>4.3</v>
      </c>
      <c r="AF272" s="21">
        <f>2.42-AJ272</f>
        <v>2.2799999999999998</v>
      </c>
      <c r="AG272" s="18">
        <f>0.62-AQ272</f>
        <v>0.56999999999999995</v>
      </c>
      <c r="AH272" s="9">
        <v>2.78</v>
      </c>
      <c r="AI272" s="13">
        <v>786</v>
      </c>
      <c r="AJ272" s="21">
        <f t="shared" si="110"/>
        <v>0.14000000000000001</v>
      </c>
      <c r="AK272" s="9">
        <v>2.2200000000000002</v>
      </c>
      <c r="AL272" s="9">
        <v>0.19</v>
      </c>
      <c r="AM272" s="9">
        <v>0.1</v>
      </c>
      <c r="AN272" s="13"/>
      <c r="AO272" s="13">
        <v>611.79999999999995</v>
      </c>
      <c r="AP272" s="13">
        <f t="shared" si="135"/>
        <v>5.58</v>
      </c>
      <c r="AQ272" s="18">
        <f t="shared" si="111"/>
        <v>0.05</v>
      </c>
      <c r="AR272" s="9">
        <v>0.56999999999999995</v>
      </c>
      <c r="AS272" s="9">
        <v>0.23</v>
      </c>
      <c r="AT272" s="9">
        <v>7.0000000000000007E-2</v>
      </c>
      <c r="AU272" s="9">
        <v>3.84</v>
      </c>
      <c r="AV272" s="9">
        <v>0.17</v>
      </c>
      <c r="AW272" s="9">
        <v>2.0499999999999998</v>
      </c>
      <c r="AX272" s="9">
        <v>2.4900000000000002</v>
      </c>
      <c r="AY272" s="159">
        <f t="shared" si="136"/>
        <v>24.74</v>
      </c>
      <c r="AZ272" s="13">
        <v>24.74</v>
      </c>
      <c r="BA272" s="13">
        <f t="shared" si="114"/>
        <v>0</v>
      </c>
      <c r="BB272" s="9">
        <f t="shared" si="115"/>
        <v>143843.31</v>
      </c>
      <c r="BC272" s="9">
        <v>24.74</v>
      </c>
      <c r="BD272" s="10">
        <v>44593</v>
      </c>
      <c r="BE272" s="9">
        <f t="shared" si="116"/>
        <v>15640.2</v>
      </c>
      <c r="BF272" s="9">
        <f t="shared" si="117"/>
        <v>25001.06</v>
      </c>
      <c r="BG272" s="9">
        <f t="shared" si="118"/>
        <v>13256.38</v>
      </c>
      <c r="BH272" s="9">
        <f t="shared" si="119"/>
        <v>3314.09</v>
      </c>
      <c r="BI272" s="9">
        <f t="shared" si="120"/>
        <v>16163.48</v>
      </c>
      <c r="BJ272" s="9"/>
      <c r="BK272" s="9">
        <f t="shared" si="122"/>
        <v>12907.52</v>
      </c>
      <c r="BL272" s="9">
        <f t="shared" si="123"/>
        <v>1104.7</v>
      </c>
      <c r="BM272" s="9">
        <f t="shared" si="124"/>
        <v>581.41999999999996</v>
      </c>
      <c r="BN272" s="9"/>
      <c r="BO272" s="9">
        <f t="shared" si="126"/>
        <v>3314.09</v>
      </c>
      <c r="BP272" s="9">
        <f t="shared" si="127"/>
        <v>1337.27</v>
      </c>
      <c r="BQ272" s="9">
        <f t="shared" si="128"/>
        <v>406.99</v>
      </c>
      <c r="BR272" s="9">
        <f t="shared" si="129"/>
        <v>22326.53</v>
      </c>
      <c r="BS272" s="9">
        <f t="shared" si="130"/>
        <v>988.41</v>
      </c>
      <c r="BT272" s="9"/>
      <c r="BU272" s="9"/>
      <c r="BV272" s="17"/>
      <c r="BW272" s="17">
        <v>2.74</v>
      </c>
      <c r="BX272" s="17">
        <v>0.09</v>
      </c>
      <c r="BY272" s="17">
        <v>0.55000000000000004</v>
      </c>
      <c r="BZ272" s="17">
        <v>0.1</v>
      </c>
      <c r="CA272" s="29">
        <v>6.33</v>
      </c>
      <c r="CB272" s="325"/>
      <c r="CC272" s="13">
        <v>0</v>
      </c>
      <c r="CD272" s="13">
        <v>0</v>
      </c>
      <c r="CE272" s="13">
        <v>0</v>
      </c>
      <c r="CF272" s="13">
        <v>0</v>
      </c>
      <c r="CG272" s="13">
        <v>0</v>
      </c>
      <c r="CH272" s="13">
        <v>0</v>
      </c>
      <c r="CI272" s="13">
        <v>1305.3</v>
      </c>
      <c r="CJ272" s="13">
        <v>40745</v>
      </c>
      <c r="CK272" s="13">
        <v>2235.92</v>
      </c>
      <c r="CL272" s="13">
        <v>1582176.51</v>
      </c>
      <c r="CM272" s="13">
        <v>110003.85</v>
      </c>
      <c r="CN272" s="13">
        <v>13372.59</v>
      </c>
      <c r="CO272" s="13">
        <v>4477.2</v>
      </c>
      <c r="CP272" s="13">
        <v>4768.34</v>
      </c>
      <c r="CQ272" s="13">
        <v>0</v>
      </c>
      <c r="CR272" s="13">
        <v>1377762.63</v>
      </c>
      <c r="CS272" s="13">
        <v>102344.63</v>
      </c>
      <c r="CT272" s="13">
        <v>14784.41</v>
      </c>
      <c r="CU272" s="13">
        <v>5352.12</v>
      </c>
      <c r="CV272" s="13">
        <v>4196.8100000000004</v>
      </c>
      <c r="CW272" s="13">
        <v>0</v>
      </c>
      <c r="CX272" s="13">
        <v>231490.5</v>
      </c>
      <c r="CY272" s="13">
        <v>21011.56</v>
      </c>
      <c r="CZ272" s="13">
        <v>-828.69</v>
      </c>
      <c r="DA272" s="13">
        <v>1081.3499999999999</v>
      </c>
      <c r="DB272" s="13">
        <v>659.69</v>
      </c>
      <c r="DC272" s="13"/>
      <c r="DD272" s="315">
        <v>1714798.49</v>
      </c>
      <c r="DE272" s="317">
        <v>1504440.6</v>
      </c>
      <c r="DF272" s="317">
        <v>87.73</v>
      </c>
      <c r="DG272" s="318">
        <v>253414.41</v>
      </c>
      <c r="DH272" s="310">
        <v>56032.13</v>
      </c>
      <c r="DI272" s="310">
        <v>32045.31</v>
      </c>
      <c r="DJ272" s="312">
        <v>478476</v>
      </c>
      <c r="DK272" s="362">
        <v>15400</v>
      </c>
      <c r="DL272" s="362"/>
      <c r="DM272" s="362">
        <v>0</v>
      </c>
      <c r="DN272" s="362">
        <v>0</v>
      </c>
      <c r="DO272" s="362">
        <v>0</v>
      </c>
      <c r="DP272" s="362">
        <v>11711.4</v>
      </c>
      <c r="DQ272" s="362">
        <v>1120</v>
      </c>
      <c r="DR272" s="362"/>
      <c r="DS272" s="362">
        <v>0</v>
      </c>
      <c r="DT272" s="362"/>
      <c r="DU272" s="362">
        <v>0</v>
      </c>
      <c r="DV272" s="362">
        <v>0</v>
      </c>
      <c r="DW272" s="362">
        <v>0</v>
      </c>
      <c r="DX272" s="362">
        <v>141900</v>
      </c>
      <c r="DY272" s="362">
        <v>42000</v>
      </c>
      <c r="DZ272" s="375">
        <v>0</v>
      </c>
      <c r="EA272" s="362">
        <v>0</v>
      </c>
      <c r="EB272" s="362">
        <v>0</v>
      </c>
      <c r="EC272" s="362"/>
      <c r="ED272" s="362">
        <v>0</v>
      </c>
      <c r="EE272" s="362">
        <v>0</v>
      </c>
      <c r="EF272" s="362"/>
      <c r="EG272" s="362">
        <v>0</v>
      </c>
      <c r="EH272" s="362">
        <v>0</v>
      </c>
      <c r="EI272" s="362"/>
      <c r="EJ272" s="362">
        <v>0</v>
      </c>
      <c r="EK272" s="362"/>
      <c r="EL272" s="362">
        <v>0</v>
      </c>
      <c r="EM272" s="362">
        <v>3535.5</v>
      </c>
      <c r="EN272" s="362">
        <v>421407.04</v>
      </c>
      <c r="EO272" s="362">
        <v>0</v>
      </c>
      <c r="EP272" s="362">
        <v>0</v>
      </c>
      <c r="EQ272" s="362">
        <v>0</v>
      </c>
      <c r="ER272" s="362">
        <v>15015</v>
      </c>
      <c r="ES272" s="362">
        <v>0</v>
      </c>
      <c r="ET272" s="362">
        <v>0</v>
      </c>
      <c r="EU272" s="362">
        <v>0</v>
      </c>
      <c r="EV272" s="362">
        <v>382675.72</v>
      </c>
      <c r="EW272" s="362"/>
      <c r="EX272" s="202"/>
      <c r="EY272" s="202"/>
      <c r="EZ272" s="229"/>
      <c r="FA272" s="368">
        <v>112864.51</v>
      </c>
      <c r="FB272" s="368">
        <v>10816.16</v>
      </c>
      <c r="FC272" s="368">
        <v>0</v>
      </c>
      <c r="FD272" s="368">
        <v>0</v>
      </c>
      <c r="FE272" s="368">
        <v>6368.84</v>
      </c>
      <c r="FF272" s="368">
        <v>4888.83</v>
      </c>
      <c r="FG272" s="368">
        <v>0</v>
      </c>
      <c r="FH272" s="368">
        <v>-1488.38</v>
      </c>
      <c r="FI272" s="368">
        <v>0</v>
      </c>
      <c r="FJ272" s="368">
        <v>0</v>
      </c>
      <c r="FK272" s="368">
        <v>710725.8</v>
      </c>
      <c r="FL272" s="368">
        <v>0</v>
      </c>
      <c r="FM272" s="368">
        <v>155449.32999999999</v>
      </c>
      <c r="FN272" s="368">
        <v>98841.97</v>
      </c>
      <c r="FO272" s="323">
        <v>1855609.4</v>
      </c>
      <c r="FP272" s="323">
        <v>844175.76</v>
      </c>
      <c r="FQ272" s="323">
        <v>2699785.16</v>
      </c>
      <c r="FR272" s="362"/>
      <c r="FS272" s="362"/>
      <c r="FT272" s="377">
        <v>0</v>
      </c>
      <c r="FU272" s="377">
        <v>1624226.81</v>
      </c>
      <c r="FV272" s="377">
        <v>134857.9</v>
      </c>
      <c r="FW272" s="362">
        <v>1759084.71</v>
      </c>
      <c r="FX272" s="362">
        <v>1392736.31</v>
      </c>
      <c r="FY272" s="362">
        <v>112933.99</v>
      </c>
      <c r="FZ272" s="362">
        <v>1505670.3</v>
      </c>
      <c r="GA272" s="362">
        <v>231490.5</v>
      </c>
      <c r="GB272" s="362">
        <v>21923.91</v>
      </c>
      <c r="GC272" s="362">
        <v>253414.41</v>
      </c>
      <c r="GD272" s="362"/>
      <c r="GE272" s="362"/>
      <c r="GF272" s="362">
        <v>0</v>
      </c>
      <c r="GG272" s="202"/>
      <c r="GH272" s="416"/>
      <c r="GI272" s="414">
        <v>2950.55</v>
      </c>
      <c r="GJ272" s="419">
        <v>0</v>
      </c>
      <c r="GK272" s="396"/>
      <c r="GL272" s="202">
        <v>0</v>
      </c>
      <c r="GM272" s="202">
        <v>0</v>
      </c>
      <c r="GN272" s="323">
        <v>-231382.59</v>
      </c>
      <c r="GO272" s="323">
        <v>-709317.86</v>
      </c>
      <c r="GP272" s="323">
        <v>-940700.45</v>
      </c>
      <c r="GQ272" s="323">
        <v>-231382.59</v>
      </c>
      <c r="GR272" s="323">
        <v>-709317.86</v>
      </c>
      <c r="GS272" s="323">
        <v>-940700.45</v>
      </c>
    </row>
    <row r="273" spans="1:201" ht="12.75" customHeight="1" x14ac:dyDescent="0.2">
      <c r="A273" s="45" t="s">
        <v>751</v>
      </c>
      <c r="B273" s="148" t="s">
        <v>327</v>
      </c>
      <c r="C273" s="149" t="s">
        <v>44</v>
      </c>
      <c r="D273" s="390" t="s">
        <v>672</v>
      </c>
      <c r="E273" s="149"/>
      <c r="F273" s="11">
        <v>9</v>
      </c>
      <c r="G273" s="11">
        <v>15</v>
      </c>
      <c r="H273" s="11">
        <v>532</v>
      </c>
      <c r="I273" s="11">
        <v>536</v>
      </c>
      <c r="J273" s="11">
        <v>1246</v>
      </c>
      <c r="K273" s="11">
        <v>1412</v>
      </c>
      <c r="L273" s="83">
        <v>15</v>
      </c>
      <c r="M273" s="84">
        <v>3281</v>
      </c>
      <c r="N273" s="84">
        <v>4510</v>
      </c>
      <c r="O273" s="84">
        <v>4510</v>
      </c>
      <c r="P273" s="139">
        <v>3995.7</v>
      </c>
      <c r="Q273" s="135">
        <v>3263.1</v>
      </c>
      <c r="R273" s="133">
        <v>3840.4</v>
      </c>
      <c r="S273" s="133">
        <f t="shared" si="134"/>
        <v>11099.2</v>
      </c>
      <c r="T273" s="139">
        <v>3281</v>
      </c>
      <c r="U273" s="130">
        <v>2.44</v>
      </c>
      <c r="V273" s="131">
        <v>1.9800000000000002E-2</v>
      </c>
      <c r="W273" s="131">
        <v>1.9800000000000002E-2</v>
      </c>
      <c r="X273" s="132">
        <v>1.32E-3</v>
      </c>
      <c r="Y273" s="131">
        <v>3.9699999999999999E-2</v>
      </c>
      <c r="Z273" s="29">
        <v>29094.28</v>
      </c>
      <c r="AA273" s="406">
        <v>168.6</v>
      </c>
      <c r="AB273" s="9">
        <f t="shared" si="113"/>
        <v>29262.880000000001</v>
      </c>
      <c r="AC273" s="9">
        <f t="shared" si="112"/>
        <v>185234.03</v>
      </c>
      <c r="AD273" s="9">
        <v>2.06</v>
      </c>
      <c r="AE273" s="9">
        <v>4.3</v>
      </c>
      <c r="AF273" s="21">
        <f>2.1-AJ273</f>
        <v>1.95</v>
      </c>
      <c r="AG273" s="18">
        <f>0.5-AQ273</f>
        <v>0.45</v>
      </c>
      <c r="AH273" s="9">
        <v>2.1</v>
      </c>
      <c r="AI273" s="13">
        <v>4330</v>
      </c>
      <c r="AJ273" s="21">
        <f t="shared" si="110"/>
        <v>0.15</v>
      </c>
      <c r="AK273" s="9">
        <v>1.88</v>
      </c>
      <c r="AL273" s="9">
        <v>0.16</v>
      </c>
      <c r="AM273" s="9">
        <v>0.05</v>
      </c>
      <c r="AN273" s="13"/>
      <c r="AO273" s="13">
        <v>3348</v>
      </c>
      <c r="AP273" s="13">
        <f t="shared" si="135"/>
        <v>5.58</v>
      </c>
      <c r="AQ273" s="18">
        <f t="shared" si="111"/>
        <v>0.05</v>
      </c>
      <c r="AR273" s="9">
        <v>0.49</v>
      </c>
      <c r="AS273" s="9">
        <v>0.16</v>
      </c>
      <c r="AT273" s="9">
        <v>0.06</v>
      </c>
      <c r="AU273" s="9">
        <v>3.09</v>
      </c>
      <c r="AV273" s="9">
        <v>0.14000000000000001</v>
      </c>
      <c r="AW273" s="9">
        <f>1.24+0.22+0.37</f>
        <v>1.83</v>
      </c>
      <c r="AX273" s="9">
        <f>1.73+0.48</f>
        <v>2.21</v>
      </c>
      <c r="AY273" s="151">
        <f t="shared" si="136"/>
        <v>21.13</v>
      </c>
      <c r="AZ273" s="13">
        <v>21.13</v>
      </c>
      <c r="BA273" s="13">
        <f t="shared" si="114"/>
        <v>0</v>
      </c>
      <c r="BB273" s="9">
        <f t="shared" si="115"/>
        <v>618324.65</v>
      </c>
      <c r="BC273" s="9">
        <v>21.13</v>
      </c>
      <c r="BD273" s="10">
        <v>44440</v>
      </c>
      <c r="BE273" s="9">
        <f t="shared" si="116"/>
        <v>60281.53</v>
      </c>
      <c r="BF273" s="9">
        <f t="shared" si="117"/>
        <v>125830.38</v>
      </c>
      <c r="BG273" s="9">
        <f t="shared" si="118"/>
        <v>57062.62</v>
      </c>
      <c r="BH273" s="9">
        <f t="shared" si="119"/>
        <v>13168.3</v>
      </c>
      <c r="BI273" s="9">
        <f t="shared" si="120"/>
        <v>61452.05</v>
      </c>
      <c r="BJ273" s="9">
        <f t="shared" si="121"/>
        <v>4389.43</v>
      </c>
      <c r="BK273" s="9">
        <f t="shared" si="122"/>
        <v>55014.21</v>
      </c>
      <c r="BL273" s="9">
        <f t="shared" si="123"/>
        <v>4682.0600000000004</v>
      </c>
      <c r="BM273" s="9">
        <f t="shared" si="124"/>
        <v>1463.14</v>
      </c>
      <c r="BN273" s="9">
        <f t="shared" si="125"/>
        <v>1463.14</v>
      </c>
      <c r="BO273" s="9">
        <f t="shared" si="126"/>
        <v>14338.81</v>
      </c>
      <c r="BP273" s="9">
        <f t="shared" si="127"/>
        <v>4682.0600000000004</v>
      </c>
      <c r="BQ273" s="9">
        <f t="shared" si="128"/>
        <v>1755.77</v>
      </c>
      <c r="BR273" s="9">
        <f t="shared" si="129"/>
        <v>90422.3</v>
      </c>
      <c r="BS273" s="9">
        <f t="shared" si="130"/>
        <v>4096.8</v>
      </c>
      <c r="BT273" s="9">
        <f t="shared" si="131"/>
        <v>53551.07</v>
      </c>
      <c r="BU273" s="9">
        <f t="shared" si="132"/>
        <v>64670.96</v>
      </c>
      <c r="BV273" s="17">
        <f t="shared" si="133"/>
        <v>618324.63</v>
      </c>
      <c r="BW273" s="17">
        <v>3.12</v>
      </c>
      <c r="BX273" s="17">
        <v>0.02</v>
      </c>
      <c r="BY273" s="17">
        <v>0.2</v>
      </c>
      <c r="BZ273" s="17">
        <v>0.01</v>
      </c>
      <c r="CA273" s="29">
        <v>6.33</v>
      </c>
      <c r="CB273" s="325"/>
      <c r="CC273" s="13">
        <v>40288.720000000001</v>
      </c>
      <c r="CD273" s="13">
        <v>5769.6</v>
      </c>
      <c r="CE273" s="13">
        <v>236.02</v>
      </c>
      <c r="CF273" s="13">
        <v>43.82</v>
      </c>
      <c r="CG273" s="13">
        <v>-13.52</v>
      </c>
      <c r="CH273" s="13">
        <v>0</v>
      </c>
      <c r="CI273" s="13">
        <v>31064.29</v>
      </c>
      <c r="CJ273" s="13">
        <v>259716</v>
      </c>
      <c r="CK273" s="13">
        <v>11224.61</v>
      </c>
      <c r="CL273" s="13">
        <v>7695234.3300000001</v>
      </c>
      <c r="CM273" s="13">
        <v>1109884.1399999999</v>
      </c>
      <c r="CN273" s="13">
        <v>186486.02</v>
      </c>
      <c r="CO273" s="13">
        <v>10472.719999999999</v>
      </c>
      <c r="CP273" s="13">
        <v>8729.6</v>
      </c>
      <c r="CQ273" s="13">
        <v>0</v>
      </c>
      <c r="CR273" s="13">
        <v>7015016.1100000003</v>
      </c>
      <c r="CS273" s="13">
        <v>984107.3</v>
      </c>
      <c r="CT273" s="13">
        <v>125575.37</v>
      </c>
      <c r="CU273" s="13">
        <v>7865.02</v>
      </c>
      <c r="CV273" s="13">
        <v>6223.71</v>
      </c>
      <c r="CW273" s="13">
        <v>0</v>
      </c>
      <c r="CX273" s="13">
        <v>1478202.74</v>
      </c>
      <c r="CY273" s="13">
        <v>260070.67</v>
      </c>
      <c r="CZ273" s="13">
        <v>35735.379999999997</v>
      </c>
      <c r="DA273" s="13">
        <v>2719.08</v>
      </c>
      <c r="DB273" s="13">
        <v>2769.52</v>
      </c>
      <c r="DC273" s="13"/>
      <c r="DD273" s="315">
        <v>9010806.8100000005</v>
      </c>
      <c r="DE273" s="317">
        <v>8138787.5099999998</v>
      </c>
      <c r="DF273" s="317">
        <v>90.32</v>
      </c>
      <c r="DG273" s="318">
        <v>1779497.39</v>
      </c>
      <c r="DH273" s="310">
        <v>305680.32</v>
      </c>
      <c r="DI273" s="310">
        <v>174821.76000000001</v>
      </c>
      <c r="DJ273" s="312">
        <v>2649083.8199999998</v>
      </c>
      <c r="DK273" s="362">
        <v>34100</v>
      </c>
      <c r="DL273" s="362"/>
      <c r="DM273" s="362">
        <v>0</v>
      </c>
      <c r="DN273" s="362">
        <v>0</v>
      </c>
      <c r="DO273" s="362">
        <v>0</v>
      </c>
      <c r="DP273" s="362">
        <v>68847</v>
      </c>
      <c r="DQ273" s="362">
        <v>5617.5</v>
      </c>
      <c r="DR273" s="362"/>
      <c r="DS273" s="362">
        <v>0</v>
      </c>
      <c r="DT273" s="362"/>
      <c r="DU273" s="362">
        <v>25249</v>
      </c>
      <c r="DV273" s="362">
        <v>0</v>
      </c>
      <c r="DW273" s="362">
        <v>0</v>
      </c>
      <c r="DX273" s="362">
        <v>773445.16</v>
      </c>
      <c r="DY273" s="362">
        <v>181500</v>
      </c>
      <c r="DZ273" s="375">
        <v>0</v>
      </c>
      <c r="EA273" s="362">
        <v>0</v>
      </c>
      <c r="EB273" s="362">
        <v>0</v>
      </c>
      <c r="EC273" s="362"/>
      <c r="ED273" s="362">
        <v>0</v>
      </c>
      <c r="EE273" s="362">
        <v>0</v>
      </c>
      <c r="EF273" s="362"/>
      <c r="EG273" s="362">
        <v>0</v>
      </c>
      <c r="EH273" s="362">
        <v>0</v>
      </c>
      <c r="EI273" s="362"/>
      <c r="EJ273" s="362">
        <v>0</v>
      </c>
      <c r="EK273" s="362"/>
      <c r="EL273" s="362">
        <v>0</v>
      </c>
      <c r="EM273" s="362">
        <v>18681.84</v>
      </c>
      <c r="EN273" s="362">
        <v>2183136.1800000002</v>
      </c>
      <c r="EO273" s="362">
        <v>0</v>
      </c>
      <c r="EP273" s="362">
        <v>0</v>
      </c>
      <c r="EQ273" s="362">
        <v>0</v>
      </c>
      <c r="ER273" s="362">
        <v>64155</v>
      </c>
      <c r="ES273" s="362">
        <v>0</v>
      </c>
      <c r="ET273" s="362">
        <v>66138</v>
      </c>
      <c r="EU273" s="362">
        <v>0</v>
      </c>
      <c r="EV273" s="362">
        <v>923915.64</v>
      </c>
      <c r="EW273" s="362"/>
      <c r="EX273" s="202"/>
      <c r="EY273" s="202"/>
      <c r="EZ273" s="229"/>
      <c r="FA273" s="368">
        <v>1034580.27</v>
      </c>
      <c r="FB273" s="368">
        <v>757369.95</v>
      </c>
      <c r="FC273" s="368">
        <v>0</v>
      </c>
      <c r="FD273" s="368">
        <v>0</v>
      </c>
      <c r="FE273" s="368">
        <v>24138.37</v>
      </c>
      <c r="FF273" s="368">
        <v>24577.919999999998</v>
      </c>
      <c r="FG273" s="368">
        <v>-2377.6</v>
      </c>
      <c r="FH273" s="368">
        <v>-8641.2199999999993</v>
      </c>
      <c r="FI273" s="368">
        <v>0</v>
      </c>
      <c r="FJ273" s="368">
        <v>0</v>
      </c>
      <c r="FK273" s="368">
        <v>307995.53999999998</v>
      </c>
      <c r="FL273" s="368">
        <v>0</v>
      </c>
      <c r="FM273" s="368">
        <v>781386.89</v>
      </c>
      <c r="FN273" s="368">
        <v>496825.34</v>
      </c>
      <c r="FO273" s="323">
        <v>8752583.4499999993</v>
      </c>
      <c r="FP273" s="323">
        <v>2137643.23</v>
      </c>
      <c r="FQ273" s="323">
        <v>10890226.68</v>
      </c>
      <c r="FR273" s="362">
        <v>735555.51</v>
      </c>
      <c r="FS273" s="362">
        <v>108824.61</v>
      </c>
      <c r="FT273" s="377">
        <v>844380.12</v>
      </c>
      <c r="FU273" s="377">
        <v>8026303.3399999999</v>
      </c>
      <c r="FV273" s="377">
        <v>1332833.01</v>
      </c>
      <c r="FW273" s="362">
        <v>9359136.3499999996</v>
      </c>
      <c r="FX273" s="362">
        <v>7255697.3300000001</v>
      </c>
      <c r="FY273" s="362">
        <v>1136185.22</v>
      </c>
      <c r="FZ273" s="362">
        <v>8391882.5500000007</v>
      </c>
      <c r="GA273" s="362">
        <v>1506161.52</v>
      </c>
      <c r="GB273" s="362">
        <v>305472.40000000002</v>
      </c>
      <c r="GC273" s="362">
        <v>1811633.92</v>
      </c>
      <c r="GD273" s="362">
        <v>-1743356.54</v>
      </c>
      <c r="GE273" s="362">
        <v>-63766.720000000001</v>
      </c>
      <c r="GF273" s="362">
        <v>-1807123.26</v>
      </c>
      <c r="GG273" s="202">
        <v>32136.53</v>
      </c>
      <c r="GH273" s="416">
        <v>87</v>
      </c>
      <c r="GI273" s="414">
        <v>20510.740000000002</v>
      </c>
      <c r="GJ273" s="419">
        <v>46324.639999999999</v>
      </c>
      <c r="GK273" s="396">
        <v>32136.53</v>
      </c>
      <c r="GL273" s="202">
        <v>27958.7811</v>
      </c>
      <c r="GM273" s="202">
        <v>4177.7488999999996</v>
      </c>
      <c r="GN273" s="323">
        <v>-726280.11</v>
      </c>
      <c r="GO273" s="323">
        <v>-804810.22</v>
      </c>
      <c r="GP273" s="323">
        <v>-1531090.33</v>
      </c>
      <c r="GQ273" s="323">
        <v>-2469636.65</v>
      </c>
      <c r="GR273" s="323">
        <v>-868576.94</v>
      </c>
      <c r="GS273" s="323">
        <v>-3338213.59</v>
      </c>
    </row>
    <row r="274" spans="1:201" ht="12.75" customHeight="1" x14ac:dyDescent="0.2">
      <c r="A274" s="45" t="s">
        <v>752</v>
      </c>
      <c r="B274" s="148" t="s">
        <v>327</v>
      </c>
      <c r="C274" s="149" t="s">
        <v>11</v>
      </c>
      <c r="D274" s="390" t="s">
        <v>673</v>
      </c>
      <c r="E274" s="149"/>
      <c r="F274" s="11">
        <v>10</v>
      </c>
      <c r="G274" s="11">
        <v>8</v>
      </c>
      <c r="H274" s="11">
        <v>308</v>
      </c>
      <c r="I274" s="11">
        <v>148</v>
      </c>
      <c r="J274" s="11">
        <v>681</v>
      </c>
      <c r="K274" s="11">
        <v>560</v>
      </c>
      <c r="L274" s="83">
        <v>8</v>
      </c>
      <c r="M274" s="84">
        <v>1849</v>
      </c>
      <c r="N274" s="84">
        <v>1183</v>
      </c>
      <c r="O274" s="84">
        <v>1100</v>
      </c>
      <c r="P274" s="135">
        <v>1848.9</v>
      </c>
      <c r="Q274" s="135">
        <v>1883.7</v>
      </c>
      <c r="R274" s="133">
        <v>0</v>
      </c>
      <c r="S274" s="133">
        <f t="shared" si="134"/>
        <v>3732.6</v>
      </c>
      <c r="T274" s="134">
        <v>1849</v>
      </c>
      <c r="U274" s="130">
        <v>2.74</v>
      </c>
      <c r="V274" s="131">
        <v>1.1299999999999999E-2</v>
      </c>
      <c r="W274" s="131">
        <v>1.1299999999999999E-2</v>
      </c>
      <c r="X274" s="132">
        <v>7.5000000000000002E-4</v>
      </c>
      <c r="Y274" s="131">
        <v>2.2499999999999999E-2</v>
      </c>
      <c r="Z274" s="29">
        <v>17149.5</v>
      </c>
      <c r="AA274" s="29">
        <v>81.3</v>
      </c>
      <c r="AB274" s="9">
        <f t="shared" si="113"/>
        <v>17230.8</v>
      </c>
      <c r="AC274" s="9">
        <f t="shared" si="112"/>
        <v>109070.96</v>
      </c>
      <c r="AD274" s="9">
        <v>1.89</v>
      </c>
      <c r="AE274" s="9">
        <v>4.49</v>
      </c>
      <c r="AF274" s="21">
        <f>2.04-AJ274</f>
        <v>1.97</v>
      </c>
      <c r="AG274" s="18">
        <f>0.52-AQ274</f>
        <v>0.47</v>
      </c>
      <c r="AH274" s="9">
        <v>2.11</v>
      </c>
      <c r="AI274" s="13">
        <v>1136</v>
      </c>
      <c r="AJ274" s="21">
        <f t="shared" si="110"/>
        <v>7.0000000000000007E-2</v>
      </c>
      <c r="AK274" s="9">
        <v>1.71</v>
      </c>
      <c r="AL274" s="9">
        <v>0.15</v>
      </c>
      <c r="AM274" s="9">
        <v>0.03</v>
      </c>
      <c r="AN274" s="13"/>
      <c r="AO274" s="13">
        <v>1964.8</v>
      </c>
      <c r="AP274" s="13">
        <f t="shared" si="135"/>
        <v>5.58</v>
      </c>
      <c r="AQ274" s="18">
        <f t="shared" si="111"/>
        <v>0.05</v>
      </c>
      <c r="AR274" s="9">
        <v>0.46</v>
      </c>
      <c r="AS274" s="9">
        <v>0.14000000000000001</v>
      </c>
      <c r="AT274" s="9">
        <v>0.06</v>
      </c>
      <c r="AU274" s="9">
        <v>3.07</v>
      </c>
      <c r="AV274" s="9">
        <v>0.14000000000000001</v>
      </c>
      <c r="AW274" s="9">
        <f>1.22+0.37+0.21</f>
        <v>1.8</v>
      </c>
      <c r="AX274" s="9">
        <f>1.7+0.49</f>
        <v>2.19</v>
      </c>
      <c r="AY274" s="151">
        <f t="shared" si="136"/>
        <v>20.8</v>
      </c>
      <c r="AZ274" s="13">
        <v>20.8</v>
      </c>
      <c r="BA274" s="13">
        <f t="shared" si="114"/>
        <v>0</v>
      </c>
      <c r="BB274" s="9">
        <f t="shared" si="115"/>
        <v>358400.64</v>
      </c>
      <c r="BC274" s="9">
        <v>20.8</v>
      </c>
      <c r="BD274" s="10">
        <v>44440</v>
      </c>
      <c r="BE274" s="9">
        <f t="shared" si="116"/>
        <v>32566.21</v>
      </c>
      <c r="BF274" s="9">
        <f t="shared" si="117"/>
        <v>77366.289999999994</v>
      </c>
      <c r="BG274" s="9">
        <f t="shared" si="118"/>
        <v>33944.68</v>
      </c>
      <c r="BH274" s="9">
        <f t="shared" si="119"/>
        <v>8098.48</v>
      </c>
      <c r="BI274" s="9">
        <f t="shared" si="120"/>
        <v>36356.99</v>
      </c>
      <c r="BJ274" s="9">
        <f t="shared" si="121"/>
        <v>1206.1600000000001</v>
      </c>
      <c r="BK274" s="9">
        <f t="shared" si="122"/>
        <v>29464.67</v>
      </c>
      <c r="BL274" s="9">
        <f t="shared" si="123"/>
        <v>2584.62</v>
      </c>
      <c r="BM274" s="9">
        <f t="shared" si="124"/>
        <v>516.91999999999996</v>
      </c>
      <c r="BN274" s="9">
        <f t="shared" si="125"/>
        <v>861.54</v>
      </c>
      <c r="BO274" s="9">
        <f t="shared" si="126"/>
        <v>7926.17</v>
      </c>
      <c r="BP274" s="9">
        <f t="shared" si="127"/>
        <v>2412.31</v>
      </c>
      <c r="BQ274" s="9">
        <f t="shared" si="128"/>
        <v>1033.8499999999999</v>
      </c>
      <c r="BR274" s="9">
        <f t="shared" si="129"/>
        <v>52898.559999999998</v>
      </c>
      <c r="BS274" s="9">
        <f t="shared" si="130"/>
        <v>2412.31</v>
      </c>
      <c r="BT274" s="9">
        <f t="shared" si="131"/>
        <v>31015.439999999999</v>
      </c>
      <c r="BU274" s="9">
        <f t="shared" si="132"/>
        <v>37735.449999999997</v>
      </c>
      <c r="BV274" s="17">
        <f t="shared" si="133"/>
        <v>358400.65</v>
      </c>
      <c r="BW274" s="17">
        <v>2.09</v>
      </c>
      <c r="BX274" s="17">
        <v>0.02</v>
      </c>
      <c r="BY274" s="17">
        <v>0.2</v>
      </c>
      <c r="BZ274" s="17">
        <v>0.01</v>
      </c>
      <c r="CA274" s="29">
        <v>6.33</v>
      </c>
      <c r="CB274" s="325"/>
      <c r="CC274" s="13">
        <v>19144.53</v>
      </c>
      <c r="CD274" s="13">
        <v>1843.9</v>
      </c>
      <c r="CE274" s="13">
        <v>172.37</v>
      </c>
      <c r="CF274" s="13">
        <v>30.93</v>
      </c>
      <c r="CG274" s="13">
        <v>3.23</v>
      </c>
      <c r="CH274" s="13">
        <v>1488</v>
      </c>
      <c r="CI274" s="13">
        <v>21577.78</v>
      </c>
      <c r="CJ274" s="13">
        <v>131136</v>
      </c>
      <c r="CK274" s="13">
        <v>6624.97</v>
      </c>
      <c r="CL274" s="13">
        <v>4279550.41</v>
      </c>
      <c r="CM274" s="13">
        <v>419756.76</v>
      </c>
      <c r="CN274" s="13">
        <v>40124.32</v>
      </c>
      <c r="CO274" s="13">
        <v>4114.88</v>
      </c>
      <c r="CP274" s="13">
        <v>2058.1</v>
      </c>
      <c r="CQ274" s="13">
        <v>0</v>
      </c>
      <c r="CR274" s="13">
        <v>4147968.2</v>
      </c>
      <c r="CS274" s="13">
        <v>394042.4</v>
      </c>
      <c r="CT274" s="13">
        <v>37659.33</v>
      </c>
      <c r="CU274" s="13">
        <v>3878.76</v>
      </c>
      <c r="CV274" s="13">
        <v>1994.83</v>
      </c>
      <c r="CW274" s="13">
        <v>0</v>
      </c>
      <c r="CX274" s="13">
        <v>544190.77</v>
      </c>
      <c r="CY274" s="13">
        <v>55239.94</v>
      </c>
      <c r="CZ274" s="13">
        <v>5282.6</v>
      </c>
      <c r="DA274" s="13">
        <v>536.03</v>
      </c>
      <c r="DB274" s="13">
        <v>268.39</v>
      </c>
      <c r="DC274" s="13"/>
      <c r="DD274" s="315">
        <v>4745604.47</v>
      </c>
      <c r="DE274" s="317">
        <v>4585543.5199999996</v>
      </c>
      <c r="DF274" s="317">
        <v>96.63</v>
      </c>
      <c r="DG274" s="318">
        <v>605517.73</v>
      </c>
      <c r="DH274" s="310">
        <v>180157.2</v>
      </c>
      <c r="DI274" s="310">
        <v>103033.8</v>
      </c>
      <c r="DJ274" s="312">
        <v>1630811.16</v>
      </c>
      <c r="DK274" s="362">
        <v>34100</v>
      </c>
      <c r="DL274" s="362"/>
      <c r="DM274" s="362">
        <v>0</v>
      </c>
      <c r="DN274" s="362">
        <v>0</v>
      </c>
      <c r="DO274" s="362">
        <v>0</v>
      </c>
      <c r="DP274" s="362">
        <v>18062.400000000001</v>
      </c>
      <c r="DQ274" s="362">
        <v>0</v>
      </c>
      <c r="DR274" s="362"/>
      <c r="DS274" s="362">
        <v>0</v>
      </c>
      <c r="DT274" s="362"/>
      <c r="DU274" s="362">
        <v>26329</v>
      </c>
      <c r="DV274" s="362">
        <v>0</v>
      </c>
      <c r="DW274" s="362">
        <v>0</v>
      </c>
      <c r="DX274" s="362">
        <v>412235.91</v>
      </c>
      <c r="DY274" s="362">
        <v>36000</v>
      </c>
      <c r="DZ274" s="375">
        <v>0</v>
      </c>
      <c r="EA274" s="362">
        <v>0</v>
      </c>
      <c r="EB274" s="362">
        <v>0</v>
      </c>
      <c r="EC274" s="362"/>
      <c r="ED274" s="362">
        <v>0</v>
      </c>
      <c r="EE274" s="362">
        <v>0</v>
      </c>
      <c r="EF274" s="362"/>
      <c r="EG274" s="362">
        <v>0</v>
      </c>
      <c r="EH274" s="362">
        <v>0</v>
      </c>
      <c r="EI274" s="362"/>
      <c r="EJ274" s="362">
        <v>0</v>
      </c>
      <c r="EK274" s="362"/>
      <c r="EL274" s="362">
        <v>0</v>
      </c>
      <c r="EM274" s="362">
        <v>10963.59</v>
      </c>
      <c r="EN274" s="362">
        <v>1261961.1000000001</v>
      </c>
      <c r="EO274" s="362">
        <v>744</v>
      </c>
      <c r="EP274" s="362">
        <v>0</v>
      </c>
      <c r="EQ274" s="362">
        <v>0</v>
      </c>
      <c r="ER274" s="362">
        <v>32760</v>
      </c>
      <c r="ES274" s="362">
        <v>0</v>
      </c>
      <c r="ET274" s="362">
        <v>36535</v>
      </c>
      <c r="EU274" s="362">
        <v>0</v>
      </c>
      <c r="EV274" s="362">
        <v>283484.74</v>
      </c>
      <c r="EW274" s="362"/>
      <c r="EX274" s="202"/>
      <c r="EY274" s="202"/>
      <c r="EZ274" s="229"/>
      <c r="FA274" s="368">
        <v>424017.75</v>
      </c>
      <c r="FB274" s="368">
        <v>301761.90000000002</v>
      </c>
      <c r="FC274" s="368">
        <v>0</v>
      </c>
      <c r="FD274" s="368">
        <v>0</v>
      </c>
      <c r="FE274" s="368">
        <v>41984.67</v>
      </c>
      <c r="FF274" s="368">
        <v>24568.14</v>
      </c>
      <c r="FG274" s="368">
        <v>-3937.82</v>
      </c>
      <c r="FH274" s="368">
        <v>-6453.31</v>
      </c>
      <c r="FI274" s="368">
        <v>0</v>
      </c>
      <c r="FJ274" s="368">
        <v>0</v>
      </c>
      <c r="FK274" s="368">
        <v>111478.67</v>
      </c>
      <c r="FL274" s="368">
        <v>0</v>
      </c>
      <c r="FM274" s="368">
        <v>460599.89</v>
      </c>
      <c r="FN274" s="368">
        <v>292870.53999999998</v>
      </c>
      <c r="FO274" s="323">
        <v>4820648.33</v>
      </c>
      <c r="FP274" s="323">
        <v>893420</v>
      </c>
      <c r="FQ274" s="323">
        <v>5714068.3300000001</v>
      </c>
      <c r="FR274" s="362">
        <v>376073.54</v>
      </c>
      <c r="FS274" s="362">
        <v>38795.879999999997</v>
      </c>
      <c r="FT274" s="377">
        <v>414869.42</v>
      </c>
      <c r="FU274" s="377">
        <v>4451408.72</v>
      </c>
      <c r="FV274" s="377">
        <v>476217.46</v>
      </c>
      <c r="FW274" s="362">
        <v>4927626.18</v>
      </c>
      <c r="FX274" s="362">
        <v>4281712.58</v>
      </c>
      <c r="FY274" s="362">
        <v>453385.63</v>
      </c>
      <c r="FZ274" s="362">
        <v>4735098.21</v>
      </c>
      <c r="GA274" s="362">
        <v>545769.68000000005</v>
      </c>
      <c r="GB274" s="362">
        <v>61627.71</v>
      </c>
      <c r="GC274" s="362">
        <v>607397.39</v>
      </c>
      <c r="GD274" s="362">
        <v>-333217.89</v>
      </c>
      <c r="GE274" s="362">
        <v>-97299.05</v>
      </c>
      <c r="GF274" s="362">
        <v>-430516.94</v>
      </c>
      <c r="GG274" s="202">
        <v>1879.66</v>
      </c>
      <c r="GH274" s="416">
        <v>84</v>
      </c>
      <c r="GI274" s="414">
        <v>9952.65</v>
      </c>
      <c r="GJ274" s="419">
        <v>22682.959999999999</v>
      </c>
      <c r="GK274" s="396">
        <v>1879.66</v>
      </c>
      <c r="GL274" s="202">
        <v>1578.9143999999999</v>
      </c>
      <c r="GM274" s="202">
        <v>300.74560000000002</v>
      </c>
      <c r="GN274" s="323">
        <v>-369239.61</v>
      </c>
      <c r="GO274" s="323">
        <v>-417202.54</v>
      </c>
      <c r="GP274" s="323">
        <v>-786442.15</v>
      </c>
      <c r="GQ274" s="323">
        <v>-702457.5</v>
      </c>
      <c r="GR274" s="323">
        <v>-514501.59</v>
      </c>
      <c r="GS274" s="323">
        <v>-1216959.0900000001</v>
      </c>
    </row>
    <row r="275" spans="1:201" ht="12.75" customHeight="1" x14ac:dyDescent="0.2">
      <c r="A275" s="45" t="s">
        <v>753</v>
      </c>
      <c r="B275" s="148" t="s">
        <v>327</v>
      </c>
      <c r="C275" s="149" t="s">
        <v>46</v>
      </c>
      <c r="D275" s="390" t="s">
        <v>674</v>
      </c>
      <c r="E275" s="149"/>
      <c r="F275" s="11">
        <v>9</v>
      </c>
      <c r="G275" s="11">
        <v>7</v>
      </c>
      <c r="H275" s="11">
        <v>360</v>
      </c>
      <c r="I275" s="11">
        <v>360</v>
      </c>
      <c r="J275" s="11">
        <v>635</v>
      </c>
      <c r="K275" s="11">
        <v>773</v>
      </c>
      <c r="L275" s="83">
        <v>7</v>
      </c>
      <c r="M275" s="84">
        <v>2199</v>
      </c>
      <c r="N275" s="84">
        <v>1886</v>
      </c>
      <c r="O275" s="84">
        <v>0</v>
      </c>
      <c r="P275" s="139">
        <v>2426.5</v>
      </c>
      <c r="Q275" s="135">
        <v>1866.1</v>
      </c>
      <c r="R275" s="133">
        <v>0</v>
      </c>
      <c r="S275" s="133">
        <f t="shared" si="134"/>
        <v>4292.6000000000004</v>
      </c>
      <c r="T275" s="139">
        <v>1849</v>
      </c>
      <c r="U275" s="130">
        <v>2.74</v>
      </c>
      <c r="V275" s="131">
        <v>1.9800000000000002E-2</v>
      </c>
      <c r="W275" s="131">
        <v>1.9800000000000002E-2</v>
      </c>
      <c r="X275" s="132">
        <v>1.32E-3</v>
      </c>
      <c r="Y275" s="131">
        <v>2.2499999999999999E-2</v>
      </c>
      <c r="Z275" s="29">
        <v>14611.81</v>
      </c>
      <c r="AA275" s="29">
        <v>15.1</v>
      </c>
      <c r="AB275" s="9">
        <f t="shared" si="113"/>
        <v>14626.91</v>
      </c>
      <c r="AC275" s="9">
        <f t="shared" si="112"/>
        <v>92588.34</v>
      </c>
      <c r="AD275" s="9">
        <v>2.98</v>
      </c>
      <c r="AE275" s="9">
        <v>4.03</v>
      </c>
      <c r="AF275" s="21">
        <f>2.49-AJ275</f>
        <v>2.37</v>
      </c>
      <c r="AG275" s="18">
        <f>0.62-AQ275</f>
        <v>0.55000000000000004</v>
      </c>
      <c r="AH275" s="9">
        <v>2.77</v>
      </c>
      <c r="AI275" s="13">
        <v>1811</v>
      </c>
      <c r="AJ275" s="21">
        <f t="shared" si="110"/>
        <v>0.12</v>
      </c>
      <c r="AK275" s="9">
        <v>2.08</v>
      </c>
      <c r="AL275" s="9">
        <v>0.46</v>
      </c>
      <c r="AM275" s="9">
        <v>0.04</v>
      </c>
      <c r="AN275" s="13"/>
      <c r="AO275" s="13">
        <v>2217.6</v>
      </c>
      <c r="AP275" s="13">
        <f t="shared" si="135"/>
        <v>5.58</v>
      </c>
      <c r="AQ275" s="18">
        <f t="shared" si="111"/>
        <v>7.0000000000000007E-2</v>
      </c>
      <c r="AR275" s="9">
        <v>0.71</v>
      </c>
      <c r="AS275" s="9">
        <v>0.09</v>
      </c>
      <c r="AT275" s="9">
        <v>7.0000000000000007E-2</v>
      </c>
      <c r="AU275" s="9">
        <v>3.88</v>
      </c>
      <c r="AV275" s="9">
        <v>0.17</v>
      </c>
      <c r="AW275" s="9">
        <f>1.47+0.34+0.35</f>
        <v>2.16</v>
      </c>
      <c r="AX275" s="9">
        <f>2.06+0.48</f>
        <v>2.54</v>
      </c>
      <c r="AY275" s="151">
        <f t="shared" si="136"/>
        <v>25.09</v>
      </c>
      <c r="AZ275" s="13">
        <v>25.09</v>
      </c>
      <c r="BA275" s="13">
        <f t="shared" si="114"/>
        <v>0</v>
      </c>
      <c r="BB275" s="9">
        <f t="shared" si="115"/>
        <v>366989.17</v>
      </c>
      <c r="BC275" s="9">
        <v>25.09</v>
      </c>
      <c r="BD275" s="10">
        <v>44440</v>
      </c>
      <c r="BE275" s="9">
        <f t="shared" si="116"/>
        <v>43588.19</v>
      </c>
      <c r="BF275" s="9">
        <f t="shared" si="117"/>
        <v>58946.45</v>
      </c>
      <c r="BG275" s="9">
        <f t="shared" si="118"/>
        <v>34665.78</v>
      </c>
      <c r="BH275" s="9">
        <f t="shared" si="119"/>
        <v>8044.8</v>
      </c>
      <c r="BI275" s="9">
        <f t="shared" si="120"/>
        <v>40516.54</v>
      </c>
      <c r="BJ275" s="9">
        <f t="shared" si="121"/>
        <v>1755.23</v>
      </c>
      <c r="BK275" s="9">
        <f t="shared" si="122"/>
        <v>30423.97</v>
      </c>
      <c r="BL275" s="9">
        <f t="shared" si="123"/>
        <v>6728.38</v>
      </c>
      <c r="BM275" s="9">
        <f t="shared" si="124"/>
        <v>585.08000000000004</v>
      </c>
      <c r="BN275" s="9">
        <f t="shared" si="125"/>
        <v>1023.88</v>
      </c>
      <c r="BO275" s="9">
        <f t="shared" si="126"/>
        <v>10385.11</v>
      </c>
      <c r="BP275" s="9">
        <f t="shared" si="127"/>
        <v>1316.42</v>
      </c>
      <c r="BQ275" s="9">
        <f t="shared" si="128"/>
        <v>1023.88</v>
      </c>
      <c r="BR275" s="9">
        <f t="shared" si="129"/>
        <v>56752.41</v>
      </c>
      <c r="BS275" s="9">
        <f t="shared" si="130"/>
        <v>2486.5700000000002</v>
      </c>
      <c r="BT275" s="9">
        <f t="shared" si="131"/>
        <v>31594.13</v>
      </c>
      <c r="BU275" s="9">
        <f t="shared" si="132"/>
        <v>37152.35</v>
      </c>
      <c r="BV275" s="17">
        <f t="shared" si="133"/>
        <v>366989.17</v>
      </c>
      <c r="BW275" s="17">
        <v>2.1800000000000002</v>
      </c>
      <c r="BX275" s="17">
        <v>0.09</v>
      </c>
      <c r="BY275" s="17">
        <v>0.59</v>
      </c>
      <c r="BZ275" s="17">
        <v>0.1</v>
      </c>
      <c r="CA275" s="29">
        <v>6.33</v>
      </c>
      <c r="CB275" s="325"/>
      <c r="CC275" s="13">
        <v>4546.32</v>
      </c>
      <c r="CD275" s="13">
        <v>670.6</v>
      </c>
      <c r="CE275" s="13">
        <v>169.27</v>
      </c>
      <c r="CF275" s="13">
        <v>69.03</v>
      </c>
      <c r="CG275" s="13">
        <v>13.19</v>
      </c>
      <c r="CH275" s="13">
        <v>0</v>
      </c>
      <c r="CI275" s="13">
        <v>22284.17</v>
      </c>
      <c r="CJ275" s="13">
        <v>145848</v>
      </c>
      <c r="CK275" s="13">
        <v>5624.29</v>
      </c>
      <c r="CL275" s="13">
        <v>4398779.53</v>
      </c>
      <c r="CM275" s="13">
        <v>648837.18000000005</v>
      </c>
      <c r="CN275" s="13">
        <v>215661.73</v>
      </c>
      <c r="CO275" s="13">
        <v>14899.84</v>
      </c>
      <c r="CP275" s="13">
        <v>12707.45</v>
      </c>
      <c r="CQ275" s="13">
        <v>0</v>
      </c>
      <c r="CR275" s="13">
        <v>4078509.67</v>
      </c>
      <c r="CS275" s="13">
        <v>574984.82999999996</v>
      </c>
      <c r="CT275" s="13">
        <v>121066.36</v>
      </c>
      <c r="CU275" s="13">
        <v>21557.73</v>
      </c>
      <c r="CV275" s="13">
        <v>14431.2</v>
      </c>
      <c r="CW275" s="13">
        <v>0</v>
      </c>
      <c r="CX275" s="13">
        <v>776039.03</v>
      </c>
      <c r="CY275" s="13">
        <v>153203.4</v>
      </c>
      <c r="CZ275" s="13">
        <v>40099.39</v>
      </c>
      <c r="DA275" s="13">
        <v>2440.1999999999998</v>
      </c>
      <c r="DB275" s="13">
        <v>1728.65</v>
      </c>
      <c r="DC275" s="13"/>
      <c r="DD275" s="315">
        <v>5290885.7300000004</v>
      </c>
      <c r="DE275" s="317">
        <v>4810549.79</v>
      </c>
      <c r="DF275" s="317">
        <v>90.92</v>
      </c>
      <c r="DG275" s="318">
        <v>973510.67</v>
      </c>
      <c r="DH275" s="310">
        <v>153482.16</v>
      </c>
      <c r="DI275" s="310">
        <v>87778.08</v>
      </c>
      <c r="DJ275" s="312">
        <v>1355211.24</v>
      </c>
      <c r="DK275" s="362">
        <v>34100</v>
      </c>
      <c r="DL275" s="362"/>
      <c r="DM275" s="362">
        <v>0</v>
      </c>
      <c r="DN275" s="362">
        <v>0</v>
      </c>
      <c r="DO275" s="362">
        <v>0</v>
      </c>
      <c r="DP275" s="362">
        <v>28794.9</v>
      </c>
      <c r="DQ275" s="362">
        <v>2247</v>
      </c>
      <c r="DR275" s="362"/>
      <c r="DS275" s="362">
        <v>0</v>
      </c>
      <c r="DT275" s="362"/>
      <c r="DU275" s="362">
        <v>13164</v>
      </c>
      <c r="DV275" s="362">
        <v>0</v>
      </c>
      <c r="DW275" s="362">
        <v>0</v>
      </c>
      <c r="DX275" s="362">
        <v>360922.57</v>
      </c>
      <c r="DY275" s="362">
        <v>31500</v>
      </c>
      <c r="DZ275" s="375">
        <v>0</v>
      </c>
      <c r="EA275" s="362">
        <v>0</v>
      </c>
      <c r="EB275" s="362">
        <v>0</v>
      </c>
      <c r="EC275" s="362"/>
      <c r="ED275" s="362">
        <v>0</v>
      </c>
      <c r="EE275" s="362">
        <v>0</v>
      </c>
      <c r="EF275" s="362"/>
      <c r="EG275" s="362">
        <v>0</v>
      </c>
      <c r="EH275" s="362">
        <v>0</v>
      </c>
      <c r="EI275" s="362"/>
      <c r="EJ275" s="362">
        <v>0</v>
      </c>
      <c r="EK275" s="362"/>
      <c r="EL275" s="362">
        <v>0</v>
      </c>
      <c r="EM275" s="362">
        <v>12374.22</v>
      </c>
      <c r="EN275" s="362">
        <v>1143576.06</v>
      </c>
      <c r="EO275" s="362">
        <v>0</v>
      </c>
      <c r="EP275" s="362">
        <v>0</v>
      </c>
      <c r="EQ275" s="362">
        <v>0</v>
      </c>
      <c r="ER275" s="362">
        <v>16380</v>
      </c>
      <c r="ES275" s="362">
        <v>0</v>
      </c>
      <c r="ET275" s="362">
        <v>36705</v>
      </c>
      <c r="EU275" s="362">
        <v>0</v>
      </c>
      <c r="EV275" s="362">
        <v>345002.99</v>
      </c>
      <c r="EW275" s="362"/>
      <c r="EX275" s="202"/>
      <c r="EY275" s="202"/>
      <c r="EZ275" s="229"/>
      <c r="FA275" s="368">
        <v>629161.71</v>
      </c>
      <c r="FB275" s="368">
        <v>311387.15000000002</v>
      </c>
      <c r="FC275" s="368">
        <v>0</v>
      </c>
      <c r="FD275" s="368">
        <v>0</v>
      </c>
      <c r="FE275" s="368">
        <v>11747.29</v>
      </c>
      <c r="FF275" s="368">
        <v>8889.35</v>
      </c>
      <c r="FG275" s="368">
        <v>-783.7</v>
      </c>
      <c r="FH275" s="368">
        <v>-4151.3599999999997</v>
      </c>
      <c r="FI275" s="368">
        <v>0</v>
      </c>
      <c r="FJ275" s="368">
        <v>0</v>
      </c>
      <c r="FK275" s="368">
        <v>1132.49</v>
      </c>
      <c r="FL275" s="368">
        <v>0</v>
      </c>
      <c r="FM275" s="368">
        <v>391002.48</v>
      </c>
      <c r="FN275" s="368">
        <v>248618.38</v>
      </c>
      <c r="FO275" s="323">
        <v>4260859.08</v>
      </c>
      <c r="FP275" s="323">
        <v>957382.93</v>
      </c>
      <c r="FQ275" s="323">
        <v>5218242.01</v>
      </c>
      <c r="FR275" s="362">
        <v>425238.38</v>
      </c>
      <c r="FS275" s="362">
        <v>71396.45</v>
      </c>
      <c r="FT275" s="377">
        <v>496634.83</v>
      </c>
      <c r="FU275" s="377">
        <v>4571458.0199999996</v>
      </c>
      <c r="FV275" s="377">
        <v>898652.58</v>
      </c>
      <c r="FW275" s="362">
        <v>5470110.5999999996</v>
      </c>
      <c r="FX275" s="362">
        <v>4221674.24</v>
      </c>
      <c r="FY275" s="362">
        <v>772785.67</v>
      </c>
      <c r="FZ275" s="362">
        <v>4994459.91</v>
      </c>
      <c r="GA275" s="362">
        <v>775022.16</v>
      </c>
      <c r="GB275" s="362">
        <v>197263.35999999999</v>
      </c>
      <c r="GC275" s="362">
        <v>972285.52</v>
      </c>
      <c r="GD275" s="362">
        <v>-122736.14</v>
      </c>
      <c r="GE275" s="362">
        <v>-3631.91</v>
      </c>
      <c r="GF275" s="362">
        <v>-126368.05</v>
      </c>
      <c r="GG275" s="202">
        <v>-1225.1500000000001</v>
      </c>
      <c r="GH275" s="416">
        <v>83</v>
      </c>
      <c r="GI275" s="414">
        <v>11984.65</v>
      </c>
      <c r="GJ275" s="419">
        <v>5468.41</v>
      </c>
      <c r="GK275" s="396">
        <v>-1225.1500000000001</v>
      </c>
      <c r="GL275" s="202">
        <v>-1016.8745</v>
      </c>
      <c r="GM275" s="202">
        <v>-208.27549999999999</v>
      </c>
      <c r="GN275" s="323">
        <v>310598.94</v>
      </c>
      <c r="GO275" s="323">
        <v>-58730.35</v>
      </c>
      <c r="GP275" s="323">
        <v>251868.59</v>
      </c>
      <c r="GQ275" s="323">
        <v>187862.8</v>
      </c>
      <c r="GR275" s="323">
        <v>-62362.26</v>
      </c>
      <c r="GS275" s="323">
        <v>125500.54</v>
      </c>
    </row>
    <row r="276" spans="1:201" ht="12.75" customHeight="1" x14ac:dyDescent="0.2">
      <c r="A276" s="45" t="s">
        <v>754</v>
      </c>
      <c r="B276" s="148" t="s">
        <v>327</v>
      </c>
      <c r="C276" s="149" t="s">
        <v>48</v>
      </c>
      <c r="D276" s="390" t="s">
        <v>522</v>
      </c>
      <c r="E276" s="149"/>
      <c r="F276" s="11">
        <v>9</v>
      </c>
      <c r="G276" s="11">
        <v>23</v>
      </c>
      <c r="H276" s="11">
        <v>776</v>
      </c>
      <c r="I276" s="11">
        <v>790</v>
      </c>
      <c r="J276" s="11">
        <v>3920</v>
      </c>
      <c r="K276" s="11">
        <v>2138</v>
      </c>
      <c r="L276" s="11">
        <v>23</v>
      </c>
      <c r="M276" s="84">
        <v>4856</v>
      </c>
      <c r="N276" s="84">
        <v>5134</v>
      </c>
      <c r="O276" s="84">
        <v>0</v>
      </c>
      <c r="P276" s="139"/>
      <c r="Q276" s="139"/>
      <c r="R276" s="139"/>
      <c r="S276" s="133">
        <f t="shared" si="134"/>
        <v>0</v>
      </c>
      <c r="T276" s="139">
        <v>5083.3</v>
      </c>
      <c r="U276" s="130">
        <v>2.44</v>
      </c>
      <c r="V276" s="131">
        <v>1.9800000000000002E-2</v>
      </c>
      <c r="W276" s="131">
        <v>1.9800000000000002E-2</v>
      </c>
      <c r="X276" s="132">
        <v>1.32E-3</v>
      </c>
      <c r="Y276" s="131">
        <v>3.9699999999999999E-2</v>
      </c>
      <c r="Z276" s="29">
        <v>43390.16</v>
      </c>
      <c r="AA276" s="29">
        <v>52.6</v>
      </c>
      <c r="AB276" s="9">
        <f t="shared" si="113"/>
        <v>43442.76</v>
      </c>
      <c r="AC276" s="9">
        <f t="shared" si="112"/>
        <v>274992.67</v>
      </c>
      <c r="AD276" s="9">
        <v>2.4700000000000002</v>
      </c>
      <c r="AE276" s="9">
        <v>4.46</v>
      </c>
      <c r="AF276" s="21">
        <f>2.47-AJ276</f>
        <v>2.36</v>
      </c>
      <c r="AG276" s="18">
        <f>0.58-AQ276</f>
        <v>0.53</v>
      </c>
      <c r="AH276" s="9">
        <f>2.78</f>
        <v>2.78</v>
      </c>
      <c r="AI276" s="13">
        <v>4927</v>
      </c>
      <c r="AJ276" s="21">
        <f t="shared" si="110"/>
        <v>0.11</v>
      </c>
      <c r="AK276" s="9">
        <v>2.2799999999999998</v>
      </c>
      <c r="AL276" s="9">
        <v>0.62</v>
      </c>
      <c r="AM276" s="9">
        <v>0.04</v>
      </c>
      <c r="AN276" s="13"/>
      <c r="AO276" s="13">
        <v>4857.6000000000004</v>
      </c>
      <c r="AP276" s="13">
        <f t="shared" si="135"/>
        <v>5.58</v>
      </c>
      <c r="AQ276" s="18">
        <f t="shared" si="111"/>
        <v>0.05</v>
      </c>
      <c r="AR276" s="9">
        <v>0.55000000000000004</v>
      </c>
      <c r="AS276" s="9">
        <v>0.16</v>
      </c>
      <c r="AT276" s="9">
        <v>7.0000000000000007E-2</v>
      </c>
      <c r="AU276" s="9">
        <v>3.85</v>
      </c>
      <c r="AV276" s="9">
        <v>0.17</v>
      </c>
      <c r="AW276" s="9">
        <f>1.48+0.34+0.25</f>
        <v>2.0699999999999998</v>
      </c>
      <c r="AX276" s="9">
        <f>2.08+0.45</f>
        <v>2.5299999999999998</v>
      </c>
      <c r="AY276" s="151">
        <f t="shared" si="136"/>
        <v>25.1</v>
      </c>
      <c r="AZ276" s="13">
        <v>25.1</v>
      </c>
      <c r="BA276" s="13">
        <f t="shared" si="114"/>
        <v>0</v>
      </c>
      <c r="BB276" s="9">
        <f t="shared" si="115"/>
        <v>1090413.28</v>
      </c>
      <c r="BC276" s="9">
        <v>25.1</v>
      </c>
      <c r="BD276" s="10">
        <v>44440</v>
      </c>
      <c r="BE276" s="9">
        <f t="shared" si="116"/>
        <v>107303.62</v>
      </c>
      <c r="BF276" s="9">
        <f t="shared" si="117"/>
        <v>193754.71</v>
      </c>
      <c r="BG276" s="9">
        <f t="shared" si="118"/>
        <v>102524.91</v>
      </c>
      <c r="BH276" s="9">
        <f t="shared" si="119"/>
        <v>23024.66</v>
      </c>
      <c r="BI276" s="9">
        <f t="shared" si="120"/>
        <v>120770.87</v>
      </c>
      <c r="BJ276" s="9">
        <f t="shared" si="121"/>
        <v>4778.7</v>
      </c>
      <c r="BK276" s="9">
        <f t="shared" si="122"/>
        <v>99049.49</v>
      </c>
      <c r="BL276" s="9">
        <f t="shared" si="123"/>
        <v>26934.51</v>
      </c>
      <c r="BM276" s="9">
        <f t="shared" si="124"/>
        <v>1737.71</v>
      </c>
      <c r="BN276" s="9">
        <f t="shared" si="125"/>
        <v>2172.14</v>
      </c>
      <c r="BO276" s="9">
        <f t="shared" si="126"/>
        <v>23893.52</v>
      </c>
      <c r="BP276" s="9">
        <f t="shared" si="127"/>
        <v>6950.84</v>
      </c>
      <c r="BQ276" s="9">
        <f t="shared" si="128"/>
        <v>3040.99</v>
      </c>
      <c r="BR276" s="9">
        <f t="shared" si="129"/>
        <v>167254.63</v>
      </c>
      <c r="BS276" s="9">
        <f t="shared" si="130"/>
        <v>7385.27</v>
      </c>
      <c r="BT276" s="9">
        <f t="shared" si="131"/>
        <v>89926.51</v>
      </c>
      <c r="BU276" s="9">
        <f t="shared" si="132"/>
        <v>109910.18</v>
      </c>
      <c r="BV276" s="17">
        <f t="shared" si="133"/>
        <v>1090413.26</v>
      </c>
      <c r="BW276" s="17">
        <v>2.42</v>
      </c>
      <c r="BX276" s="17">
        <v>7.0000000000000007E-2</v>
      </c>
      <c r="BY276" s="17">
        <v>0.45</v>
      </c>
      <c r="BZ276" s="17">
        <v>0.08</v>
      </c>
      <c r="CA276" s="29">
        <v>6.33</v>
      </c>
      <c r="CB276" s="325"/>
      <c r="CC276" s="13">
        <v>3657.76</v>
      </c>
      <c r="CD276" s="13">
        <v>-3836.39</v>
      </c>
      <c r="CE276" s="13">
        <v>-47.21</v>
      </c>
      <c r="CF276" s="13">
        <v>66.44</v>
      </c>
      <c r="CG276" s="13">
        <v>16.62</v>
      </c>
      <c r="CH276" s="13">
        <v>0</v>
      </c>
      <c r="CI276" s="13">
        <v>59774.82</v>
      </c>
      <c r="CJ276" s="13">
        <v>316212</v>
      </c>
      <c r="CK276" s="13">
        <v>16705.689999999999</v>
      </c>
      <c r="CL276" s="13">
        <v>13058476.51</v>
      </c>
      <c r="CM276" s="13">
        <v>1123649.06</v>
      </c>
      <c r="CN276" s="13">
        <v>400.21</v>
      </c>
      <c r="CO276" s="13">
        <v>55968.9</v>
      </c>
      <c r="CP276" s="13">
        <v>48595.94</v>
      </c>
      <c r="CQ276" s="13">
        <v>0</v>
      </c>
      <c r="CR276" s="13">
        <v>12227482.27</v>
      </c>
      <c r="CS276" s="13">
        <v>1051464.08</v>
      </c>
      <c r="CT276" s="13">
        <v>131331.16</v>
      </c>
      <c r="CU276" s="13">
        <v>75189.22</v>
      </c>
      <c r="CV276" s="13">
        <v>52314.12</v>
      </c>
      <c r="CW276" s="13">
        <v>0</v>
      </c>
      <c r="CX276" s="13">
        <v>2038538.8</v>
      </c>
      <c r="CY276" s="13">
        <v>205586.81</v>
      </c>
      <c r="CZ276" s="13">
        <v>-137059.78</v>
      </c>
      <c r="DA276" s="13">
        <v>11622.27</v>
      </c>
      <c r="DB276" s="13">
        <v>7200.23</v>
      </c>
      <c r="DC276" s="13"/>
      <c r="DD276" s="315">
        <v>14287090.619999999</v>
      </c>
      <c r="DE276" s="317">
        <v>13537780.85</v>
      </c>
      <c r="DF276" s="317">
        <v>94.76</v>
      </c>
      <c r="DG276" s="318">
        <v>2125888.33</v>
      </c>
      <c r="DH276" s="310">
        <v>455834.52</v>
      </c>
      <c r="DI276" s="310">
        <v>260696.64</v>
      </c>
      <c r="DJ276" s="312">
        <v>3964264.08</v>
      </c>
      <c r="DK276" s="362">
        <v>40900</v>
      </c>
      <c r="DL276" s="362"/>
      <c r="DM276" s="362">
        <v>0</v>
      </c>
      <c r="DN276" s="362">
        <v>0</v>
      </c>
      <c r="DO276" s="362">
        <v>0</v>
      </c>
      <c r="DP276" s="362">
        <v>78339.3</v>
      </c>
      <c r="DQ276" s="362">
        <v>10185</v>
      </c>
      <c r="DR276" s="362"/>
      <c r="DS276" s="362">
        <v>0</v>
      </c>
      <c r="DT276" s="362"/>
      <c r="DU276" s="362">
        <v>32338</v>
      </c>
      <c r="DV276" s="362">
        <v>0</v>
      </c>
      <c r="DW276" s="362">
        <v>0</v>
      </c>
      <c r="DX276" s="362">
        <v>1180359.25</v>
      </c>
      <c r="DY276" s="362">
        <v>322000</v>
      </c>
      <c r="DZ276" s="375">
        <v>0</v>
      </c>
      <c r="EA276" s="362">
        <v>0</v>
      </c>
      <c r="EB276" s="362">
        <v>0</v>
      </c>
      <c r="EC276" s="362"/>
      <c r="ED276" s="362">
        <v>0</v>
      </c>
      <c r="EE276" s="362">
        <v>0</v>
      </c>
      <c r="EF276" s="362"/>
      <c r="EG276" s="362">
        <v>0</v>
      </c>
      <c r="EH276" s="362">
        <v>0</v>
      </c>
      <c r="EI276" s="362"/>
      <c r="EJ276" s="362">
        <v>0</v>
      </c>
      <c r="EK276" s="362"/>
      <c r="EL276" s="362">
        <v>0</v>
      </c>
      <c r="EM276" s="362">
        <v>27105.42</v>
      </c>
      <c r="EN276" s="362">
        <v>3408037.26</v>
      </c>
      <c r="EO276" s="362">
        <v>0</v>
      </c>
      <c r="EP276" s="362">
        <v>0</v>
      </c>
      <c r="EQ276" s="362">
        <v>0</v>
      </c>
      <c r="ER276" s="362">
        <v>81900</v>
      </c>
      <c r="ES276" s="362">
        <v>0</v>
      </c>
      <c r="ET276" s="362">
        <v>98094</v>
      </c>
      <c r="EU276" s="362">
        <v>0</v>
      </c>
      <c r="EV276" s="362">
        <v>1395434.99</v>
      </c>
      <c r="EW276" s="362"/>
      <c r="EX276" s="202"/>
      <c r="EY276" s="202"/>
      <c r="EZ276" s="229"/>
      <c r="FA276" s="368">
        <v>1212524.75</v>
      </c>
      <c r="FB276" s="368">
        <v>180480.81</v>
      </c>
      <c r="FC276" s="368">
        <v>0</v>
      </c>
      <c r="FD276" s="368">
        <v>0</v>
      </c>
      <c r="FE276" s="368">
        <v>54531.74</v>
      </c>
      <c r="FF276" s="368">
        <v>40598.660000000003</v>
      </c>
      <c r="FG276" s="368">
        <v>0</v>
      </c>
      <c r="FH276" s="368">
        <v>-11112.85</v>
      </c>
      <c r="FI276" s="368">
        <v>0</v>
      </c>
      <c r="FJ276" s="368">
        <v>0</v>
      </c>
      <c r="FK276" s="368">
        <v>1033389.56</v>
      </c>
      <c r="FL276" s="368">
        <v>0</v>
      </c>
      <c r="FM276" s="368">
        <v>1161298.6100000001</v>
      </c>
      <c r="FN276" s="368">
        <v>738418.67</v>
      </c>
      <c r="FO276" s="323">
        <v>13255205.74</v>
      </c>
      <c r="FP276" s="323">
        <v>2510412.67</v>
      </c>
      <c r="FQ276" s="323">
        <v>15765618.41</v>
      </c>
      <c r="FR276" s="362">
        <v>1185229.81</v>
      </c>
      <c r="FS276" s="362">
        <v>137668.32999999999</v>
      </c>
      <c r="FT276" s="377">
        <v>1322898.1399999999</v>
      </c>
      <c r="FU276" s="377">
        <v>13438121.09</v>
      </c>
      <c r="FV276" s="377">
        <v>1241519.26</v>
      </c>
      <c r="FW276" s="362">
        <v>14679640.35</v>
      </c>
      <c r="FX276" s="362">
        <v>12584418.77</v>
      </c>
      <c r="FY276" s="362">
        <v>1291838.06</v>
      </c>
      <c r="FZ276" s="362">
        <v>13876256.83</v>
      </c>
      <c r="GA276" s="362">
        <v>2038932.13</v>
      </c>
      <c r="GB276" s="362">
        <v>87349.53</v>
      </c>
      <c r="GC276" s="362">
        <v>2126281.66</v>
      </c>
      <c r="GD276" s="362">
        <v>361080.08</v>
      </c>
      <c r="GE276" s="362">
        <v>136715.85999999999</v>
      </c>
      <c r="GF276" s="362">
        <v>497795.94</v>
      </c>
      <c r="GG276" s="202">
        <v>393.33</v>
      </c>
      <c r="GH276" s="416">
        <v>100</v>
      </c>
      <c r="GI276" s="414">
        <v>23859.39</v>
      </c>
      <c r="GJ276" s="419">
        <v>-142.78</v>
      </c>
      <c r="GK276" s="396">
        <v>393.33</v>
      </c>
      <c r="GL276" s="202">
        <v>393.33</v>
      </c>
      <c r="GM276" s="202">
        <v>0</v>
      </c>
      <c r="GN276" s="323">
        <v>182915.35</v>
      </c>
      <c r="GO276" s="323">
        <v>-1268893.4099999999</v>
      </c>
      <c r="GP276" s="323">
        <v>-1085978.06</v>
      </c>
      <c r="GQ276" s="323">
        <v>543995.43000000005</v>
      </c>
      <c r="GR276" s="323">
        <v>-1132177.55</v>
      </c>
      <c r="GS276" s="323">
        <v>-588182.12</v>
      </c>
    </row>
    <row r="277" spans="1:201" ht="12.75" customHeight="1" x14ac:dyDescent="0.2">
      <c r="A277" s="45" t="s">
        <v>755</v>
      </c>
      <c r="B277" s="148" t="s">
        <v>327</v>
      </c>
      <c r="C277" s="149" t="s">
        <v>21</v>
      </c>
      <c r="D277" s="388" t="s">
        <v>675</v>
      </c>
      <c r="E277" s="149" t="s">
        <v>12</v>
      </c>
      <c r="F277" s="11">
        <v>9</v>
      </c>
      <c r="G277" s="11">
        <v>4</v>
      </c>
      <c r="H277" s="11">
        <v>144</v>
      </c>
      <c r="I277" s="11">
        <v>144</v>
      </c>
      <c r="J277" s="11">
        <v>366</v>
      </c>
      <c r="K277" s="11">
        <v>409</v>
      </c>
      <c r="L277" s="11">
        <v>4</v>
      </c>
      <c r="M277" s="84">
        <v>925</v>
      </c>
      <c r="N277" s="84">
        <v>1268</v>
      </c>
      <c r="O277" s="84">
        <v>0</v>
      </c>
      <c r="P277" s="135">
        <v>1070.8</v>
      </c>
      <c r="Q277" s="135">
        <v>902.2</v>
      </c>
      <c r="R277" s="133">
        <v>0</v>
      </c>
      <c r="S277" s="133">
        <f t="shared" si="134"/>
        <v>1973</v>
      </c>
      <c r="T277" s="134">
        <v>925</v>
      </c>
      <c r="U277" s="130">
        <v>2.44</v>
      </c>
      <c r="V277" s="131">
        <v>1.9800000000000002E-2</v>
      </c>
      <c r="W277" s="131">
        <v>1.9800000000000002E-2</v>
      </c>
      <c r="X277" s="132">
        <v>1.32E-3</v>
      </c>
      <c r="Y277" s="131">
        <v>3.9699999999999999E-2</v>
      </c>
      <c r="Z277" s="29">
        <v>7841.5</v>
      </c>
      <c r="AA277" s="29"/>
      <c r="AB277" s="9">
        <f t="shared" si="113"/>
        <v>7841.5</v>
      </c>
      <c r="AC277" s="9">
        <f t="shared" si="112"/>
        <v>49636.7</v>
      </c>
      <c r="AD277" s="9">
        <v>2.56</v>
      </c>
      <c r="AE277" s="9">
        <v>5.15</v>
      </c>
      <c r="AF277" s="21">
        <f>2.48-AJ277</f>
        <v>2.3199999999999998</v>
      </c>
      <c r="AG277" s="18">
        <f>0.61-AQ277</f>
        <v>0.56000000000000005</v>
      </c>
      <c r="AH277" s="9">
        <v>2.78</v>
      </c>
      <c r="AI277" s="13">
        <v>1216</v>
      </c>
      <c r="AJ277" s="21">
        <f t="shared" si="110"/>
        <v>0.16</v>
      </c>
      <c r="AK277" s="9">
        <v>2.21</v>
      </c>
      <c r="AL277" s="9">
        <v>0.19</v>
      </c>
      <c r="AM277" s="9">
        <v>7.0000000000000007E-2</v>
      </c>
      <c r="AN277" s="13"/>
      <c r="AO277" s="13">
        <v>844.8</v>
      </c>
      <c r="AP277" s="13">
        <f t="shared" si="135"/>
        <v>5.58</v>
      </c>
      <c r="AQ277" s="18">
        <f t="shared" si="111"/>
        <v>0.05</v>
      </c>
      <c r="AR277" s="9">
        <v>0.56999999999999995</v>
      </c>
      <c r="AS277" s="9">
        <v>0.09</v>
      </c>
      <c r="AT277" s="9">
        <v>7.0000000000000007E-2</v>
      </c>
      <c r="AU277" s="9">
        <v>3.39</v>
      </c>
      <c r="AV277" s="9">
        <v>0.18</v>
      </c>
      <c r="AW277" s="9">
        <f>1.51+0.3+0.25</f>
        <v>2.06</v>
      </c>
      <c r="AX277" s="9">
        <f>2.1+0.4</f>
        <v>2.5</v>
      </c>
      <c r="AY277" s="151">
        <f t="shared" si="136"/>
        <v>24.91</v>
      </c>
      <c r="AZ277" s="13">
        <v>24.91</v>
      </c>
      <c r="BA277" s="13">
        <f t="shared" si="114"/>
        <v>0</v>
      </c>
      <c r="BB277" s="9">
        <f t="shared" si="115"/>
        <v>195331.77</v>
      </c>
      <c r="BC277" s="9">
        <v>24.91</v>
      </c>
      <c r="BD277" s="10">
        <v>44409</v>
      </c>
      <c r="BE277" s="9">
        <f t="shared" si="116"/>
        <v>20074.240000000002</v>
      </c>
      <c r="BF277" s="9">
        <f t="shared" si="117"/>
        <v>40383.730000000003</v>
      </c>
      <c r="BG277" s="9">
        <f t="shared" si="118"/>
        <v>18192.28</v>
      </c>
      <c r="BH277" s="9">
        <f t="shared" si="119"/>
        <v>4391.24</v>
      </c>
      <c r="BI277" s="9">
        <f t="shared" si="120"/>
        <v>21799.37</v>
      </c>
      <c r="BJ277" s="9">
        <f t="shared" si="121"/>
        <v>1254.6400000000001</v>
      </c>
      <c r="BK277" s="9">
        <f t="shared" si="122"/>
        <v>17329.72</v>
      </c>
      <c r="BL277" s="9">
        <f t="shared" si="123"/>
        <v>1489.89</v>
      </c>
      <c r="BM277" s="9">
        <f t="shared" si="124"/>
        <v>548.91</v>
      </c>
      <c r="BN277" s="9">
        <f t="shared" si="125"/>
        <v>392.08</v>
      </c>
      <c r="BO277" s="9">
        <f t="shared" si="126"/>
        <v>4469.66</v>
      </c>
      <c r="BP277" s="9">
        <f t="shared" si="127"/>
        <v>705.74</v>
      </c>
      <c r="BQ277" s="9">
        <f t="shared" si="128"/>
        <v>548.91</v>
      </c>
      <c r="BR277" s="9">
        <f t="shared" si="129"/>
        <v>26582.69</v>
      </c>
      <c r="BS277" s="9">
        <f t="shared" si="130"/>
        <v>1411.47</v>
      </c>
      <c r="BT277" s="9">
        <f t="shared" si="131"/>
        <v>16153.49</v>
      </c>
      <c r="BU277" s="9">
        <f t="shared" si="132"/>
        <v>19603.75</v>
      </c>
      <c r="BV277" s="17">
        <f t="shared" si="133"/>
        <v>195331.81</v>
      </c>
      <c r="BW277" s="17">
        <v>2.4700000000000002</v>
      </c>
      <c r="BX277" s="17">
        <v>0.08</v>
      </c>
      <c r="BY277" s="17">
        <v>0.49</v>
      </c>
      <c r="BZ277" s="17">
        <v>0.08</v>
      </c>
      <c r="CA277" s="29">
        <v>6.33</v>
      </c>
      <c r="CB277" s="325"/>
      <c r="CC277" s="13">
        <v>3756.44</v>
      </c>
      <c r="CD277" s="13">
        <v>297.8</v>
      </c>
      <c r="CE277" s="13">
        <v>58.42</v>
      </c>
      <c r="CF277" s="13">
        <v>12.04</v>
      </c>
      <c r="CG277" s="13">
        <v>102.14</v>
      </c>
      <c r="CH277" s="13">
        <v>0</v>
      </c>
      <c r="CI277" s="13">
        <v>3154.58</v>
      </c>
      <c r="CJ277" s="13">
        <v>52500</v>
      </c>
      <c r="CK277" s="13">
        <v>3015.76</v>
      </c>
      <c r="CL277" s="13">
        <v>2338333.89</v>
      </c>
      <c r="CM277" s="13">
        <v>275514.77</v>
      </c>
      <c r="CN277" s="13">
        <v>334410.21000000002</v>
      </c>
      <c r="CO277" s="13">
        <v>5791.57</v>
      </c>
      <c r="CP277" s="13">
        <v>6573.66</v>
      </c>
      <c r="CQ277" s="13">
        <v>0</v>
      </c>
      <c r="CR277" s="13">
        <v>2128998.79</v>
      </c>
      <c r="CS277" s="13">
        <v>243338.23</v>
      </c>
      <c r="CT277" s="13">
        <v>344778.75</v>
      </c>
      <c r="CU277" s="13">
        <v>6925.84</v>
      </c>
      <c r="CV277" s="13">
        <v>5669.5</v>
      </c>
      <c r="CW277" s="13">
        <v>0</v>
      </c>
      <c r="CX277" s="13">
        <v>438784.98</v>
      </c>
      <c r="CY277" s="13">
        <v>60548.87</v>
      </c>
      <c r="CZ277" s="13">
        <v>76509.75</v>
      </c>
      <c r="DA277" s="13">
        <v>1534.98</v>
      </c>
      <c r="DB277" s="13">
        <v>1106.5</v>
      </c>
      <c r="DC277" s="13"/>
      <c r="DD277" s="315">
        <v>2960624.1</v>
      </c>
      <c r="DE277" s="317">
        <v>2729711.11</v>
      </c>
      <c r="DF277" s="317">
        <v>92.2</v>
      </c>
      <c r="DG277" s="318">
        <v>578485.07999999996</v>
      </c>
      <c r="DH277" s="310">
        <v>82394.039999999994</v>
      </c>
      <c r="DI277" s="310">
        <v>47121.96</v>
      </c>
      <c r="DJ277" s="312">
        <v>753844.8</v>
      </c>
      <c r="DK277" s="362">
        <v>35800</v>
      </c>
      <c r="DL277" s="362"/>
      <c r="DM277" s="362">
        <v>0</v>
      </c>
      <c r="DN277" s="362">
        <v>0</v>
      </c>
      <c r="DO277" s="362">
        <v>0</v>
      </c>
      <c r="DP277" s="362">
        <v>19334.400000000001</v>
      </c>
      <c r="DQ277" s="362">
        <v>1470</v>
      </c>
      <c r="DR277" s="362"/>
      <c r="DS277" s="362">
        <v>0</v>
      </c>
      <c r="DT277" s="362"/>
      <c r="DU277" s="362">
        <v>8574</v>
      </c>
      <c r="DV277" s="362">
        <v>0</v>
      </c>
      <c r="DW277" s="362">
        <v>0</v>
      </c>
      <c r="DX277" s="362">
        <v>205939.29</v>
      </c>
      <c r="DY277" s="362">
        <v>56000</v>
      </c>
      <c r="DZ277" s="375">
        <v>0</v>
      </c>
      <c r="EA277" s="362">
        <v>0</v>
      </c>
      <c r="EB277" s="362">
        <v>0</v>
      </c>
      <c r="EC277" s="362"/>
      <c r="ED277" s="362">
        <v>0</v>
      </c>
      <c r="EE277" s="362">
        <v>0</v>
      </c>
      <c r="EF277" s="362"/>
      <c r="EG277" s="362">
        <v>0</v>
      </c>
      <c r="EH277" s="362">
        <v>0</v>
      </c>
      <c r="EI277" s="362"/>
      <c r="EJ277" s="362">
        <v>0</v>
      </c>
      <c r="EK277" s="362"/>
      <c r="EL277" s="362">
        <v>0</v>
      </c>
      <c r="EM277" s="362">
        <v>4713.99</v>
      </c>
      <c r="EN277" s="362">
        <v>615719.34</v>
      </c>
      <c r="EO277" s="362">
        <v>0</v>
      </c>
      <c r="EP277" s="362">
        <v>0</v>
      </c>
      <c r="EQ277" s="362">
        <v>0</v>
      </c>
      <c r="ER277" s="362">
        <v>0</v>
      </c>
      <c r="ES277" s="362">
        <v>0</v>
      </c>
      <c r="ET277" s="362">
        <v>17764</v>
      </c>
      <c r="EU277" s="362">
        <v>0</v>
      </c>
      <c r="EV277" s="362">
        <v>148078.68</v>
      </c>
      <c r="EW277" s="362"/>
      <c r="EX277" s="202"/>
      <c r="EY277" s="202"/>
      <c r="EZ277" s="229"/>
      <c r="FA277" s="368">
        <v>283977.57</v>
      </c>
      <c r="FB277" s="368">
        <v>258957.1</v>
      </c>
      <c r="FC277" s="368">
        <v>0</v>
      </c>
      <c r="FD277" s="368">
        <v>0</v>
      </c>
      <c r="FE277" s="368">
        <v>8659.99</v>
      </c>
      <c r="FF277" s="368">
        <v>6597.72</v>
      </c>
      <c r="FG277" s="368">
        <v>0</v>
      </c>
      <c r="FH277" s="368">
        <v>-2006.25</v>
      </c>
      <c r="FI277" s="368">
        <v>0</v>
      </c>
      <c r="FJ277" s="368">
        <v>0</v>
      </c>
      <c r="FK277" s="368">
        <v>1205.77</v>
      </c>
      <c r="FL277" s="368">
        <v>0</v>
      </c>
      <c r="FM277" s="368">
        <v>209642.98</v>
      </c>
      <c r="FN277" s="368">
        <v>133300.78</v>
      </c>
      <c r="FO277" s="323">
        <v>2339698.2599999998</v>
      </c>
      <c r="FP277" s="323">
        <v>557391.9</v>
      </c>
      <c r="FQ277" s="323">
        <v>2897090.16</v>
      </c>
      <c r="FR277" s="362">
        <v>206293.06</v>
      </c>
      <c r="FS277" s="362">
        <v>88884.17</v>
      </c>
      <c r="FT277" s="377">
        <v>295177.23</v>
      </c>
      <c r="FU277" s="377">
        <v>2397744.91</v>
      </c>
      <c r="FV277" s="377">
        <v>625776.37</v>
      </c>
      <c r="FW277" s="362">
        <v>3023521.28</v>
      </c>
      <c r="FX277" s="362">
        <v>2165252.9900000002</v>
      </c>
      <c r="FY277" s="362">
        <v>574960.43999999994</v>
      </c>
      <c r="FZ277" s="362">
        <v>2740213.43</v>
      </c>
      <c r="GA277" s="362">
        <v>438784.98</v>
      </c>
      <c r="GB277" s="362">
        <v>139700.1</v>
      </c>
      <c r="GC277" s="362">
        <v>578485.07999999996</v>
      </c>
      <c r="GD277" s="362">
        <v>78242.55</v>
      </c>
      <c r="GE277" s="362">
        <v>-38408.07</v>
      </c>
      <c r="GF277" s="362">
        <v>39834.480000000003</v>
      </c>
      <c r="GG277" s="202"/>
      <c r="GH277" s="416">
        <v>89</v>
      </c>
      <c r="GI277" s="414">
        <v>2938.1</v>
      </c>
      <c r="GJ277" s="419">
        <v>4226.84</v>
      </c>
      <c r="GK277" s="396"/>
      <c r="GL277" s="202">
        <v>0</v>
      </c>
      <c r="GM277" s="202">
        <v>0</v>
      </c>
      <c r="GN277" s="323">
        <v>58046.65</v>
      </c>
      <c r="GO277" s="323">
        <v>68384.47</v>
      </c>
      <c r="GP277" s="323">
        <v>126431.12</v>
      </c>
      <c r="GQ277" s="323">
        <v>136289.20000000001</v>
      </c>
      <c r="GR277" s="323">
        <v>29976.400000000001</v>
      </c>
      <c r="GS277" s="323">
        <v>166265.60000000001</v>
      </c>
    </row>
    <row r="278" spans="1:201" ht="12.75" customHeight="1" x14ac:dyDescent="0.2">
      <c r="A278" s="45" t="s">
        <v>756</v>
      </c>
      <c r="B278" s="156" t="s">
        <v>327</v>
      </c>
      <c r="C278" s="157" t="s">
        <v>62</v>
      </c>
      <c r="D278" s="388" t="s">
        <v>521</v>
      </c>
      <c r="E278" s="157" t="s">
        <v>12</v>
      </c>
      <c r="F278" s="11">
        <v>9</v>
      </c>
      <c r="G278" s="11">
        <v>4</v>
      </c>
      <c r="H278" s="11">
        <v>140</v>
      </c>
      <c r="I278" s="11">
        <v>141</v>
      </c>
      <c r="J278" s="11">
        <v>352</v>
      </c>
      <c r="K278" s="11">
        <v>376</v>
      </c>
      <c r="L278" s="83">
        <v>4</v>
      </c>
      <c r="M278" s="84">
        <v>313</v>
      </c>
      <c r="N278" s="84">
        <v>1157</v>
      </c>
      <c r="O278" s="84">
        <v>0</v>
      </c>
      <c r="P278" s="139">
        <f>430.4+430.1</f>
        <v>860.5</v>
      </c>
      <c r="Q278" s="135">
        <f>9.2+9.6+58.4+62+51.1+969.2</f>
        <v>1159.5</v>
      </c>
      <c r="R278" s="133">
        <v>0</v>
      </c>
      <c r="S278" s="133">
        <f t="shared" si="134"/>
        <v>2020</v>
      </c>
      <c r="T278" s="139">
        <v>856.4</v>
      </c>
      <c r="U278" s="130">
        <v>2.44</v>
      </c>
      <c r="V278" s="131">
        <v>1.9800000000000002E-2</v>
      </c>
      <c r="W278" s="131">
        <v>1.9800000000000002E-2</v>
      </c>
      <c r="X278" s="132">
        <v>1.32E-3</v>
      </c>
      <c r="Y278" s="131">
        <v>3.9699999999999999E-2</v>
      </c>
      <c r="Z278" s="29">
        <v>7748.12</v>
      </c>
      <c r="AA278" s="29"/>
      <c r="AB278" s="9">
        <f t="shared" si="113"/>
        <v>7748.12</v>
      </c>
      <c r="AC278" s="9">
        <f t="shared" si="112"/>
        <v>49045.599999999999</v>
      </c>
      <c r="AD278" s="9">
        <v>2.46</v>
      </c>
      <c r="AE278" s="9">
        <v>4.33</v>
      </c>
      <c r="AF278" s="21">
        <f>2.49-AJ278</f>
        <v>2.35</v>
      </c>
      <c r="AG278" s="18">
        <f>0.61-AQ278</f>
        <v>0.56000000000000005</v>
      </c>
      <c r="AH278" s="9">
        <v>2.78</v>
      </c>
      <c r="AI278" s="13">
        <v>1111</v>
      </c>
      <c r="AJ278" s="21">
        <f t="shared" si="110"/>
        <v>0.14000000000000001</v>
      </c>
      <c r="AK278" s="9">
        <v>2.2400000000000002</v>
      </c>
      <c r="AL278" s="9">
        <v>0.61</v>
      </c>
      <c r="AM278" s="9">
        <v>0.08</v>
      </c>
      <c r="AN278" s="13"/>
      <c r="AO278" s="13">
        <v>844.8</v>
      </c>
      <c r="AP278" s="13">
        <f t="shared" si="135"/>
        <v>5.58</v>
      </c>
      <c r="AQ278" s="18">
        <f t="shared" si="111"/>
        <v>0.05</v>
      </c>
      <c r="AR278" s="9">
        <v>0.56000000000000005</v>
      </c>
      <c r="AS278" s="9">
        <v>0.18</v>
      </c>
      <c r="AT278" s="9">
        <v>7.0000000000000007E-2</v>
      </c>
      <c r="AU278" s="9">
        <v>3.75</v>
      </c>
      <c r="AV278" s="9">
        <v>0.17</v>
      </c>
      <c r="AW278" s="9">
        <f>1.47+0.33+0.26</f>
        <v>2.06</v>
      </c>
      <c r="AX278" s="9">
        <f>2.07+0.44</f>
        <v>2.5099999999999998</v>
      </c>
      <c r="AY278" s="159">
        <f t="shared" si="136"/>
        <v>24.9</v>
      </c>
      <c r="AZ278" s="13">
        <v>24.9</v>
      </c>
      <c r="BA278" s="13">
        <f t="shared" si="114"/>
        <v>0</v>
      </c>
      <c r="BB278" s="9">
        <f t="shared" si="115"/>
        <v>192928.19</v>
      </c>
      <c r="BC278" s="9">
        <v>24.9</v>
      </c>
      <c r="BD278" s="10">
        <v>44409</v>
      </c>
      <c r="BE278" s="9">
        <f t="shared" si="116"/>
        <v>19060.38</v>
      </c>
      <c r="BF278" s="9">
        <f t="shared" si="117"/>
        <v>33549.360000000001</v>
      </c>
      <c r="BG278" s="9">
        <f t="shared" si="118"/>
        <v>18208.080000000002</v>
      </c>
      <c r="BH278" s="9">
        <f t="shared" si="119"/>
        <v>4338.95</v>
      </c>
      <c r="BI278" s="9">
        <f t="shared" si="120"/>
        <v>21539.77</v>
      </c>
      <c r="BJ278" s="9">
        <f t="shared" si="121"/>
        <v>1084.74</v>
      </c>
      <c r="BK278" s="9">
        <f t="shared" si="122"/>
        <v>17355.79</v>
      </c>
      <c r="BL278" s="9">
        <f t="shared" si="123"/>
        <v>4726.3500000000004</v>
      </c>
      <c r="BM278" s="9">
        <f t="shared" si="124"/>
        <v>619.85</v>
      </c>
      <c r="BN278" s="9">
        <f t="shared" si="125"/>
        <v>387.41</v>
      </c>
      <c r="BO278" s="9">
        <f t="shared" si="126"/>
        <v>4338.95</v>
      </c>
      <c r="BP278" s="9">
        <f t="shared" si="127"/>
        <v>1394.66</v>
      </c>
      <c r="BQ278" s="9">
        <f t="shared" si="128"/>
        <v>542.37</v>
      </c>
      <c r="BR278" s="9">
        <f t="shared" si="129"/>
        <v>29055.45</v>
      </c>
      <c r="BS278" s="9">
        <f t="shared" si="130"/>
        <v>1317.18</v>
      </c>
      <c r="BT278" s="9">
        <f t="shared" si="131"/>
        <v>15961.13</v>
      </c>
      <c r="BU278" s="9">
        <f t="shared" si="132"/>
        <v>19447.78</v>
      </c>
      <c r="BV278" s="17">
        <f t="shared" si="133"/>
        <v>192928.2</v>
      </c>
      <c r="BW278" s="17">
        <v>2.56</v>
      </c>
      <c r="BX278" s="17">
        <v>0.08</v>
      </c>
      <c r="BY278" s="17">
        <v>0.48</v>
      </c>
      <c r="BZ278" s="17">
        <v>0.08</v>
      </c>
      <c r="CA278" s="29">
        <v>6.33</v>
      </c>
      <c r="CB278" s="325"/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0</v>
      </c>
      <c r="CI278" s="13">
        <v>13143.27</v>
      </c>
      <c r="CJ278" s="13">
        <v>75084</v>
      </c>
      <c r="CK278" s="13">
        <v>2979.85</v>
      </c>
      <c r="CL278" s="13">
        <v>2315085.86</v>
      </c>
      <c r="CM278" s="13">
        <v>226706.7</v>
      </c>
      <c r="CN278" s="13">
        <v>91811.36</v>
      </c>
      <c r="CO278" s="13">
        <v>20220.75</v>
      </c>
      <c r="CP278" s="13">
        <v>19911.91</v>
      </c>
      <c r="CQ278" s="13">
        <v>0</v>
      </c>
      <c r="CR278" s="13">
        <v>2091909.6</v>
      </c>
      <c r="CS278" s="13">
        <v>182641.78</v>
      </c>
      <c r="CT278" s="13">
        <v>78376.160000000003</v>
      </c>
      <c r="CU278" s="13">
        <v>18576.400000000001</v>
      </c>
      <c r="CV278" s="13">
        <v>16233.71</v>
      </c>
      <c r="CW278" s="13">
        <v>0</v>
      </c>
      <c r="CX278" s="13">
        <v>552234.81999999995</v>
      </c>
      <c r="CY278" s="13">
        <v>67057.929999999993</v>
      </c>
      <c r="CZ278" s="13">
        <v>14530.42</v>
      </c>
      <c r="DA278" s="13">
        <v>2872.5</v>
      </c>
      <c r="DB278" s="13">
        <v>7425.81</v>
      </c>
      <c r="DC278" s="13"/>
      <c r="DD278" s="315">
        <v>2673736.58</v>
      </c>
      <c r="DE278" s="317">
        <v>2387737.65</v>
      </c>
      <c r="DF278" s="317">
        <v>89.3</v>
      </c>
      <c r="DG278" s="318">
        <v>644121.48</v>
      </c>
      <c r="DH278" s="310">
        <v>81401.64</v>
      </c>
      <c r="DI278" s="310">
        <v>46554.48</v>
      </c>
      <c r="DJ278" s="312">
        <v>698092.2</v>
      </c>
      <c r="DK278" s="362">
        <v>35800</v>
      </c>
      <c r="DL278" s="362"/>
      <c r="DM278" s="362">
        <v>0</v>
      </c>
      <c r="DN278" s="362">
        <v>0</v>
      </c>
      <c r="DO278" s="362">
        <v>71176</v>
      </c>
      <c r="DP278" s="362">
        <v>17664.900000000001</v>
      </c>
      <c r="DQ278" s="362">
        <v>1470</v>
      </c>
      <c r="DR278" s="362"/>
      <c r="DS278" s="362">
        <v>0</v>
      </c>
      <c r="DT278" s="362"/>
      <c r="DU278" s="362">
        <v>11139</v>
      </c>
      <c r="DV278" s="362">
        <v>0</v>
      </c>
      <c r="DW278" s="362">
        <v>0</v>
      </c>
      <c r="DX278" s="362">
        <v>206400</v>
      </c>
      <c r="DY278" s="362">
        <v>18000</v>
      </c>
      <c r="DZ278" s="375">
        <v>0</v>
      </c>
      <c r="EA278" s="362">
        <v>0</v>
      </c>
      <c r="EB278" s="362">
        <v>0</v>
      </c>
      <c r="EC278" s="362"/>
      <c r="ED278" s="362">
        <v>0</v>
      </c>
      <c r="EE278" s="362">
        <v>0</v>
      </c>
      <c r="EF278" s="362"/>
      <c r="EG278" s="362">
        <v>0</v>
      </c>
      <c r="EH278" s="362">
        <v>0</v>
      </c>
      <c r="EI278" s="362"/>
      <c r="EJ278" s="362">
        <v>0</v>
      </c>
      <c r="EK278" s="362"/>
      <c r="EL278" s="362">
        <v>0</v>
      </c>
      <c r="EM278" s="362">
        <v>4713.99</v>
      </c>
      <c r="EN278" s="362">
        <v>606593.93999999994</v>
      </c>
      <c r="EO278" s="362">
        <v>0</v>
      </c>
      <c r="EP278" s="362">
        <v>0</v>
      </c>
      <c r="EQ278" s="362">
        <v>0</v>
      </c>
      <c r="ER278" s="362">
        <v>16380</v>
      </c>
      <c r="ES278" s="362">
        <v>6924</v>
      </c>
      <c r="ET278" s="362">
        <v>17552</v>
      </c>
      <c r="EU278" s="362">
        <v>0</v>
      </c>
      <c r="EV278" s="362">
        <v>84784.15</v>
      </c>
      <c r="EW278" s="362"/>
      <c r="EX278" s="202"/>
      <c r="EY278" s="202"/>
      <c r="EZ278" s="229"/>
      <c r="FA278" s="368">
        <v>256160.47</v>
      </c>
      <c r="FB278" s="368">
        <v>95670.02</v>
      </c>
      <c r="FC278" s="368">
        <v>0</v>
      </c>
      <c r="FD278" s="368">
        <v>0</v>
      </c>
      <c r="FE278" s="368">
        <v>38539.660000000003</v>
      </c>
      <c r="FF278" s="368">
        <v>23760.91</v>
      </c>
      <c r="FG278" s="368">
        <v>-11674.37</v>
      </c>
      <c r="FH278" s="368">
        <v>-8306.48</v>
      </c>
      <c r="FI278" s="368">
        <v>0</v>
      </c>
      <c r="FJ278" s="368">
        <v>0</v>
      </c>
      <c r="FK278" s="368">
        <v>17089.400000000001</v>
      </c>
      <c r="FL278" s="368">
        <v>0</v>
      </c>
      <c r="FM278" s="368">
        <v>207141.71</v>
      </c>
      <c r="FN278" s="368">
        <v>131710.54999999999</v>
      </c>
      <c r="FO278" s="323">
        <v>2263498.56</v>
      </c>
      <c r="FP278" s="323">
        <v>411239.61</v>
      </c>
      <c r="FQ278" s="323">
        <v>2674738.17</v>
      </c>
      <c r="FR278" s="362">
        <v>296530.39</v>
      </c>
      <c r="FS278" s="362">
        <v>29238.57</v>
      </c>
      <c r="FT278" s="377">
        <v>325768.96000000002</v>
      </c>
      <c r="FU278" s="377">
        <v>2403313.13</v>
      </c>
      <c r="FV278" s="377">
        <v>361630.57</v>
      </c>
      <c r="FW278" s="362">
        <v>2764943.7</v>
      </c>
      <c r="FX278" s="362">
        <v>2147608.7000000002</v>
      </c>
      <c r="FY278" s="362">
        <v>298982.48</v>
      </c>
      <c r="FZ278" s="362">
        <v>2446591.1800000002</v>
      </c>
      <c r="GA278" s="362">
        <v>552234.81999999995</v>
      </c>
      <c r="GB278" s="362">
        <v>91886.66</v>
      </c>
      <c r="GC278" s="362">
        <v>644121.48</v>
      </c>
      <c r="GD278" s="362">
        <v>-165191.79999999999</v>
      </c>
      <c r="GE278" s="362">
        <v>-2263.5700000000002</v>
      </c>
      <c r="GF278" s="362">
        <v>-167455.37</v>
      </c>
      <c r="GG278" s="202"/>
      <c r="GH278" s="416"/>
      <c r="GI278" s="414">
        <v>5986.1</v>
      </c>
      <c r="GJ278" s="419">
        <v>0</v>
      </c>
      <c r="GK278" s="396"/>
      <c r="GL278" s="202">
        <v>0</v>
      </c>
      <c r="GM278" s="202">
        <v>0</v>
      </c>
      <c r="GN278" s="323">
        <v>139814.57</v>
      </c>
      <c r="GO278" s="323">
        <v>-49609.04</v>
      </c>
      <c r="GP278" s="323">
        <v>90205.53</v>
      </c>
      <c r="GQ278" s="323">
        <v>-25377.23</v>
      </c>
      <c r="GR278" s="323">
        <v>-51872.61</v>
      </c>
      <c r="GS278" s="323">
        <v>-77249.84</v>
      </c>
    </row>
    <row r="279" spans="1:201" ht="12.75" customHeight="1" x14ac:dyDescent="0.2">
      <c r="A279" s="45" t="s">
        <v>757</v>
      </c>
      <c r="B279" s="156" t="s">
        <v>327</v>
      </c>
      <c r="C279" s="157" t="s">
        <v>62</v>
      </c>
      <c r="D279" s="388" t="s">
        <v>600</v>
      </c>
      <c r="E279" s="157" t="s">
        <v>9</v>
      </c>
      <c r="F279" s="11">
        <v>9</v>
      </c>
      <c r="G279" s="11">
        <v>6</v>
      </c>
      <c r="H279" s="11">
        <v>212</v>
      </c>
      <c r="I279" s="11">
        <v>214</v>
      </c>
      <c r="J279" s="11">
        <v>459</v>
      </c>
      <c r="K279" s="11">
        <v>561</v>
      </c>
      <c r="L279" s="83">
        <v>6</v>
      </c>
      <c r="M279" s="84">
        <v>1515</v>
      </c>
      <c r="N279" s="84">
        <v>1612</v>
      </c>
      <c r="O279" s="84">
        <v>0</v>
      </c>
      <c r="P279" s="135">
        <v>1563.7</v>
      </c>
      <c r="Q279" s="135">
        <v>689.9</v>
      </c>
      <c r="R279" s="133">
        <v>0</v>
      </c>
      <c r="S279" s="133">
        <f t="shared" si="134"/>
        <v>2253.6</v>
      </c>
      <c r="T279" s="134">
        <v>1563.7</v>
      </c>
      <c r="U279" s="130">
        <v>2.44</v>
      </c>
      <c r="V279" s="131">
        <v>1.9800000000000002E-2</v>
      </c>
      <c r="W279" s="131">
        <v>1.9800000000000002E-2</v>
      </c>
      <c r="X279" s="132">
        <v>1.32E-3</v>
      </c>
      <c r="Y279" s="131">
        <v>3.9699999999999999E-2</v>
      </c>
      <c r="Z279" s="29">
        <v>11734.6</v>
      </c>
      <c r="AA279" s="29">
        <v>15.3</v>
      </c>
      <c r="AB279" s="9">
        <f t="shared" si="113"/>
        <v>11749.9</v>
      </c>
      <c r="AC279" s="9">
        <f t="shared" si="112"/>
        <v>74376.87</v>
      </c>
      <c r="AD279" s="9">
        <v>2.38</v>
      </c>
      <c r="AE279" s="9">
        <v>4.8</v>
      </c>
      <c r="AF279" s="21">
        <f>2.49-AJ279</f>
        <v>2.36</v>
      </c>
      <c r="AG279" s="18">
        <f>0.61-AQ279</f>
        <v>0.56000000000000005</v>
      </c>
      <c r="AH279" s="9">
        <v>2.78</v>
      </c>
      <c r="AI279" s="13">
        <v>1548</v>
      </c>
      <c r="AJ279" s="21">
        <f t="shared" si="110"/>
        <v>0.13</v>
      </c>
      <c r="AK279" s="9">
        <v>2.21</v>
      </c>
      <c r="AL279" s="9">
        <v>0.19</v>
      </c>
      <c r="AM279" s="9">
        <v>0.05</v>
      </c>
      <c r="AN279" s="13"/>
      <c r="AO279" s="13">
        <v>1267.2</v>
      </c>
      <c r="AP279" s="13">
        <f t="shared" si="135"/>
        <v>5.58</v>
      </c>
      <c r="AQ279" s="18">
        <f t="shared" si="111"/>
        <v>0.05</v>
      </c>
      <c r="AR279" s="9">
        <v>0.52</v>
      </c>
      <c r="AS279" s="9">
        <v>0.06</v>
      </c>
      <c r="AT279" s="9">
        <v>7.0000000000000007E-2</v>
      </c>
      <c r="AU279" s="9">
        <v>3.72</v>
      </c>
      <c r="AV279" s="9">
        <v>0.17</v>
      </c>
      <c r="AW279" s="9">
        <f>1.45+0.33+0.25</f>
        <v>2.0299999999999998</v>
      </c>
      <c r="AX279" s="9">
        <f>2.02+0.44</f>
        <v>2.46</v>
      </c>
      <c r="AY279" s="159">
        <f t="shared" si="136"/>
        <v>24.54</v>
      </c>
      <c r="AZ279" s="13">
        <v>24.54</v>
      </c>
      <c r="BA279" s="13">
        <f t="shared" si="114"/>
        <v>0</v>
      </c>
      <c r="BB279" s="9">
        <f t="shared" si="115"/>
        <v>288342.55</v>
      </c>
      <c r="BC279" s="9">
        <v>24.54</v>
      </c>
      <c r="BD279" s="10">
        <v>44409</v>
      </c>
      <c r="BE279" s="9">
        <f t="shared" si="116"/>
        <v>27964.76</v>
      </c>
      <c r="BF279" s="9">
        <f t="shared" si="117"/>
        <v>56399.519999999997</v>
      </c>
      <c r="BG279" s="9">
        <f t="shared" si="118"/>
        <v>27729.759999999998</v>
      </c>
      <c r="BH279" s="9">
        <f t="shared" si="119"/>
        <v>6579.94</v>
      </c>
      <c r="BI279" s="9">
        <f t="shared" si="120"/>
        <v>32664.720000000001</v>
      </c>
      <c r="BJ279" s="9">
        <f t="shared" si="121"/>
        <v>1527.49</v>
      </c>
      <c r="BK279" s="9">
        <f t="shared" si="122"/>
        <v>25967.279999999999</v>
      </c>
      <c r="BL279" s="9">
        <f t="shared" si="123"/>
        <v>2232.48</v>
      </c>
      <c r="BM279" s="9">
        <f t="shared" si="124"/>
        <v>587.5</v>
      </c>
      <c r="BN279" s="9">
        <f t="shared" si="125"/>
        <v>587.5</v>
      </c>
      <c r="BO279" s="9">
        <f t="shared" si="126"/>
        <v>6109.95</v>
      </c>
      <c r="BP279" s="9">
        <f t="shared" si="127"/>
        <v>704.99</v>
      </c>
      <c r="BQ279" s="9">
        <f t="shared" si="128"/>
        <v>822.49</v>
      </c>
      <c r="BR279" s="9">
        <f t="shared" si="129"/>
        <v>43709.63</v>
      </c>
      <c r="BS279" s="9">
        <f t="shared" si="130"/>
        <v>1997.48</v>
      </c>
      <c r="BT279" s="9">
        <f t="shared" si="131"/>
        <v>23852.3</v>
      </c>
      <c r="BU279" s="9">
        <f t="shared" si="132"/>
        <v>28904.75</v>
      </c>
      <c r="BV279" s="17">
        <f t="shared" si="133"/>
        <v>288342.53999999998</v>
      </c>
      <c r="BW279" s="17">
        <v>1.88</v>
      </c>
      <c r="BX279" s="17">
        <v>7.0000000000000007E-2</v>
      </c>
      <c r="BY279" s="17">
        <v>0.47</v>
      </c>
      <c r="BZ279" s="17">
        <v>0.08</v>
      </c>
      <c r="CA279" s="29">
        <v>6.33</v>
      </c>
      <c r="CB279" s="325"/>
      <c r="CC279" s="13">
        <v>4505.5200000000004</v>
      </c>
      <c r="CD279" s="13">
        <v>338.7</v>
      </c>
      <c r="CE279" s="13">
        <v>78.36</v>
      </c>
      <c r="CF279" s="13">
        <v>18.96</v>
      </c>
      <c r="CG279" s="13">
        <v>14.64</v>
      </c>
      <c r="CH279" s="13">
        <v>0</v>
      </c>
      <c r="CI279" s="13">
        <v>12336.01</v>
      </c>
      <c r="CJ279" s="13">
        <v>80772</v>
      </c>
      <c r="CK279" s="13">
        <v>4515.4799999999996</v>
      </c>
      <c r="CL279" s="13">
        <v>3456444.25</v>
      </c>
      <c r="CM279" s="13">
        <v>258825.42</v>
      </c>
      <c r="CN279" s="13">
        <v>64504</v>
      </c>
      <c r="CO279" s="13">
        <v>9853.33</v>
      </c>
      <c r="CP279" s="13">
        <v>11258.19</v>
      </c>
      <c r="CQ279" s="13">
        <v>0</v>
      </c>
      <c r="CR279" s="13">
        <v>3376163.22</v>
      </c>
      <c r="CS279" s="13">
        <v>245508.48000000001</v>
      </c>
      <c r="CT279" s="13">
        <v>61154.2</v>
      </c>
      <c r="CU279" s="13">
        <v>9379.2900000000009</v>
      </c>
      <c r="CV279" s="13">
        <v>10996.49</v>
      </c>
      <c r="CW279" s="13">
        <v>0</v>
      </c>
      <c r="CX279" s="13">
        <v>425316.21</v>
      </c>
      <c r="CY279" s="13">
        <v>32209.919999999998</v>
      </c>
      <c r="CZ279" s="13">
        <v>8039.09</v>
      </c>
      <c r="DA279" s="13">
        <v>1213.77</v>
      </c>
      <c r="DB279" s="13">
        <v>1387.01</v>
      </c>
      <c r="DC279" s="13"/>
      <c r="DD279" s="315">
        <v>3800885.19</v>
      </c>
      <c r="DE279" s="317">
        <v>3703201.68</v>
      </c>
      <c r="DF279" s="317">
        <v>97.43</v>
      </c>
      <c r="DG279" s="318">
        <v>468166</v>
      </c>
      <c r="DH279" s="310">
        <v>123199.56</v>
      </c>
      <c r="DI279" s="310">
        <v>70459.199999999997</v>
      </c>
      <c r="DJ279" s="312">
        <v>1052973.3600000001</v>
      </c>
      <c r="DK279" s="362">
        <v>35800</v>
      </c>
      <c r="DL279" s="362"/>
      <c r="DM279" s="362">
        <v>0</v>
      </c>
      <c r="DN279" s="362">
        <v>0</v>
      </c>
      <c r="DO279" s="362">
        <v>0</v>
      </c>
      <c r="DP279" s="362">
        <v>24613.200000000001</v>
      </c>
      <c r="DQ279" s="362">
        <v>1498</v>
      </c>
      <c r="DR279" s="362"/>
      <c r="DS279" s="362">
        <v>0</v>
      </c>
      <c r="DT279" s="362"/>
      <c r="DU279" s="362">
        <v>6076</v>
      </c>
      <c r="DV279" s="362">
        <v>0</v>
      </c>
      <c r="DW279" s="362">
        <v>0</v>
      </c>
      <c r="DX279" s="362">
        <v>309045.15999999997</v>
      </c>
      <c r="DY279" s="362">
        <v>84000</v>
      </c>
      <c r="DZ279" s="375">
        <v>0</v>
      </c>
      <c r="EA279" s="362">
        <v>0</v>
      </c>
      <c r="EB279" s="362">
        <v>0</v>
      </c>
      <c r="EC279" s="362"/>
      <c r="ED279" s="362">
        <v>0</v>
      </c>
      <c r="EE279" s="362">
        <v>0</v>
      </c>
      <c r="EF279" s="362"/>
      <c r="EG279" s="362">
        <v>0</v>
      </c>
      <c r="EH279" s="362">
        <v>0</v>
      </c>
      <c r="EI279" s="362"/>
      <c r="EJ279" s="362">
        <v>0</v>
      </c>
      <c r="EK279" s="362"/>
      <c r="EL279" s="362">
        <v>0</v>
      </c>
      <c r="EM279" s="362">
        <v>7070.97</v>
      </c>
      <c r="EN279" s="362">
        <v>921365.76</v>
      </c>
      <c r="EO279" s="362">
        <v>0</v>
      </c>
      <c r="EP279" s="362">
        <v>0</v>
      </c>
      <c r="EQ279" s="362">
        <v>0</v>
      </c>
      <c r="ER279" s="362">
        <v>16380</v>
      </c>
      <c r="ES279" s="362">
        <v>2885</v>
      </c>
      <c r="ET279" s="362">
        <v>21474</v>
      </c>
      <c r="EU279" s="362">
        <v>0</v>
      </c>
      <c r="EV279" s="362">
        <v>1097632.21</v>
      </c>
      <c r="EW279" s="362"/>
      <c r="EX279" s="202"/>
      <c r="EY279" s="202"/>
      <c r="EZ279" s="229"/>
      <c r="FA279" s="368">
        <v>349871.98</v>
      </c>
      <c r="FB279" s="368">
        <v>385692.19</v>
      </c>
      <c r="FC279" s="368">
        <v>0</v>
      </c>
      <c r="FD279" s="368">
        <v>0</v>
      </c>
      <c r="FE279" s="368">
        <v>5790.13</v>
      </c>
      <c r="FF279" s="368">
        <v>8027.53</v>
      </c>
      <c r="FG279" s="368">
        <v>0</v>
      </c>
      <c r="FH279" s="368">
        <v>-3159.19</v>
      </c>
      <c r="FI279" s="368">
        <v>0</v>
      </c>
      <c r="FJ279" s="368">
        <v>0</v>
      </c>
      <c r="FK279" s="368">
        <v>0</v>
      </c>
      <c r="FL279" s="368">
        <v>0</v>
      </c>
      <c r="FM279" s="368">
        <v>313941.5</v>
      </c>
      <c r="FN279" s="368">
        <v>199629.81</v>
      </c>
      <c r="FO279" s="323">
        <v>4288043.7300000004</v>
      </c>
      <c r="FP279" s="323">
        <v>746222.64</v>
      </c>
      <c r="FQ279" s="323">
        <v>5034266.37</v>
      </c>
      <c r="FR279" s="362">
        <v>334716.39</v>
      </c>
      <c r="FS279" s="362">
        <v>31134.01</v>
      </c>
      <c r="FT279" s="377">
        <v>365850.4</v>
      </c>
      <c r="FU279" s="377">
        <v>3554057.78</v>
      </c>
      <c r="FV279" s="377">
        <v>349407.08</v>
      </c>
      <c r="FW279" s="362">
        <v>3903464.86</v>
      </c>
      <c r="FX279" s="362">
        <v>3460820.58</v>
      </c>
      <c r="FY279" s="362">
        <v>337430.46</v>
      </c>
      <c r="FZ279" s="362">
        <v>3798251.04</v>
      </c>
      <c r="GA279" s="362">
        <v>427953.59</v>
      </c>
      <c r="GB279" s="362">
        <v>43110.63</v>
      </c>
      <c r="GC279" s="362">
        <v>471064.22</v>
      </c>
      <c r="GD279" s="362">
        <v>125087.56</v>
      </c>
      <c r="GE279" s="362">
        <v>-206102.97</v>
      </c>
      <c r="GF279" s="362">
        <v>-81015.41</v>
      </c>
      <c r="GG279" s="202">
        <v>2898.22</v>
      </c>
      <c r="GH279" s="416">
        <v>91</v>
      </c>
      <c r="GI279" s="414">
        <v>8018.1</v>
      </c>
      <c r="GJ279" s="419">
        <v>4956.18</v>
      </c>
      <c r="GK279" s="396">
        <v>2898.22</v>
      </c>
      <c r="GL279" s="202">
        <v>2637.3802000000001</v>
      </c>
      <c r="GM279" s="202">
        <v>260.83980000000003</v>
      </c>
      <c r="GN279" s="323">
        <v>-733985.95</v>
      </c>
      <c r="GO279" s="323">
        <v>-396815.56</v>
      </c>
      <c r="GP279" s="323">
        <v>-1130801.51</v>
      </c>
      <c r="GQ279" s="323">
        <v>-608898.39</v>
      </c>
      <c r="GR279" s="323">
        <v>-602918.53</v>
      </c>
      <c r="GS279" s="323">
        <v>-1211816.92</v>
      </c>
    </row>
    <row r="280" spans="1:201" ht="12.75" customHeight="1" x14ac:dyDescent="0.2">
      <c r="A280" s="45" t="s">
        <v>758</v>
      </c>
      <c r="B280" s="60" t="s">
        <v>331</v>
      </c>
      <c r="C280" s="61" t="s">
        <v>48</v>
      </c>
      <c r="D280" s="388" t="s">
        <v>676</v>
      </c>
      <c r="E280" s="61" t="s">
        <v>12</v>
      </c>
      <c r="F280" s="11">
        <v>9</v>
      </c>
      <c r="G280" s="11">
        <v>4</v>
      </c>
      <c r="H280" s="11">
        <v>142</v>
      </c>
      <c r="I280" s="11">
        <v>144</v>
      </c>
      <c r="J280" s="11">
        <v>286</v>
      </c>
      <c r="K280" s="11">
        <v>372</v>
      </c>
      <c r="L280" s="11">
        <v>4</v>
      </c>
      <c r="M280" s="84">
        <v>843.3</v>
      </c>
      <c r="N280" s="84">
        <v>1047.5999999999999</v>
      </c>
      <c r="O280" s="84">
        <v>0</v>
      </c>
      <c r="P280" s="139">
        <v>843.3</v>
      </c>
      <c r="Q280" s="139">
        <v>1047.5999999999999</v>
      </c>
      <c r="R280" s="139">
        <v>0</v>
      </c>
      <c r="S280" s="133">
        <f t="shared" si="134"/>
        <v>1890.9</v>
      </c>
      <c r="T280" s="134">
        <v>843.3</v>
      </c>
      <c r="U280" s="130">
        <v>2.44</v>
      </c>
      <c r="V280" s="131">
        <v>1.9800000000000002E-2</v>
      </c>
      <c r="W280" s="131">
        <v>1.9800000000000002E-2</v>
      </c>
      <c r="X280" s="132">
        <v>1.32E-3</v>
      </c>
      <c r="Y280" s="131">
        <v>3.9699999999999999E-2</v>
      </c>
      <c r="Z280" s="29">
        <v>7703.39</v>
      </c>
      <c r="AA280" s="29"/>
      <c r="AB280" s="9">
        <f t="shared" si="113"/>
        <v>7703.39</v>
      </c>
      <c r="AC280" s="9">
        <f t="shared" si="112"/>
        <v>48762.46</v>
      </c>
      <c r="AD280" s="9">
        <v>1.52</v>
      </c>
      <c r="AE280" s="9">
        <v>4.25</v>
      </c>
      <c r="AF280" s="21">
        <f>2.45-AJ280</f>
        <v>2.2999999999999998</v>
      </c>
      <c r="AG280" s="18">
        <f>0.61-AQ280</f>
        <v>0.56000000000000005</v>
      </c>
      <c r="AH280" s="9">
        <v>2.78</v>
      </c>
      <c r="AI280" s="43">
        <v>1117</v>
      </c>
      <c r="AJ280" s="21">
        <f t="shared" si="110"/>
        <v>0.15</v>
      </c>
      <c r="AK280" s="9">
        <v>2.2400000000000002</v>
      </c>
      <c r="AL280" s="9">
        <v>0.2</v>
      </c>
      <c r="AM280" s="9">
        <v>0.12</v>
      </c>
      <c r="AN280" s="13"/>
      <c r="AO280" s="13">
        <v>844.8</v>
      </c>
      <c r="AP280" s="13">
        <f t="shared" si="135"/>
        <v>5.58</v>
      </c>
      <c r="AQ280" s="18">
        <f t="shared" si="111"/>
        <v>0.05</v>
      </c>
      <c r="AR280" s="9">
        <v>0.57999999999999996</v>
      </c>
      <c r="AS280" s="9">
        <v>0.18</v>
      </c>
      <c r="AT280" s="9">
        <v>7.0000000000000007E-2</v>
      </c>
      <c r="AU280" s="9">
        <v>4.8600000000000003</v>
      </c>
      <c r="AV280" s="9">
        <v>0.16</v>
      </c>
      <c r="AW280" s="9">
        <f>1.35+0.26+0.41</f>
        <v>2.02</v>
      </c>
      <c r="AX280" s="9">
        <f>1.89+0.57</f>
        <v>2.46</v>
      </c>
      <c r="AY280" s="63">
        <f t="shared" si="136"/>
        <v>24.5</v>
      </c>
      <c r="AZ280" s="13">
        <v>24.5</v>
      </c>
      <c r="BA280" s="13">
        <f t="shared" si="114"/>
        <v>0</v>
      </c>
      <c r="BB280" s="9">
        <f t="shared" si="115"/>
        <v>188733.06</v>
      </c>
      <c r="BC280" s="9">
        <v>24.5</v>
      </c>
      <c r="BD280" s="10">
        <v>44409</v>
      </c>
      <c r="BE280" s="9">
        <f t="shared" si="116"/>
        <v>11709.15</v>
      </c>
      <c r="BF280" s="9">
        <f t="shared" si="117"/>
        <v>32739.41</v>
      </c>
      <c r="BG280" s="9">
        <f t="shared" si="118"/>
        <v>17717.8</v>
      </c>
      <c r="BH280" s="9">
        <f t="shared" si="119"/>
        <v>4313.8999999999996</v>
      </c>
      <c r="BI280" s="9">
        <f t="shared" si="120"/>
        <v>21415.42</v>
      </c>
      <c r="BJ280" s="9">
        <f t="shared" si="121"/>
        <v>1155.51</v>
      </c>
      <c r="BK280" s="9">
        <f t="shared" si="122"/>
        <v>17255.59</v>
      </c>
      <c r="BL280" s="9">
        <f t="shared" si="123"/>
        <v>1540.68</v>
      </c>
      <c r="BM280" s="9">
        <f t="shared" si="124"/>
        <v>924.41</v>
      </c>
      <c r="BN280" s="9">
        <f t="shared" si="125"/>
        <v>385.17</v>
      </c>
      <c r="BO280" s="9">
        <f t="shared" si="126"/>
        <v>4467.97</v>
      </c>
      <c r="BP280" s="9">
        <f t="shared" si="127"/>
        <v>1386.61</v>
      </c>
      <c r="BQ280" s="9">
        <f t="shared" si="128"/>
        <v>539.24</v>
      </c>
      <c r="BR280" s="9">
        <f t="shared" si="129"/>
        <v>37438.480000000003</v>
      </c>
      <c r="BS280" s="9">
        <f t="shared" si="130"/>
        <v>1232.54</v>
      </c>
      <c r="BT280" s="9">
        <f t="shared" si="131"/>
        <v>15560.85</v>
      </c>
      <c r="BU280" s="9">
        <f t="shared" si="132"/>
        <v>18950.34</v>
      </c>
      <c r="BV280" s="17">
        <f t="shared" si="133"/>
        <v>188733.07</v>
      </c>
      <c r="BW280" s="17">
        <v>2.4700000000000002</v>
      </c>
      <c r="BX280" s="17">
        <v>0.08</v>
      </c>
      <c r="BY280" s="17">
        <v>0.46</v>
      </c>
      <c r="BZ280" s="17">
        <v>0.09</v>
      </c>
      <c r="CA280" s="29">
        <v>6.33</v>
      </c>
      <c r="CB280" s="325"/>
      <c r="CC280" s="13">
        <v>0</v>
      </c>
      <c r="CD280" s="13">
        <v>0</v>
      </c>
      <c r="CE280" s="13">
        <v>0</v>
      </c>
      <c r="CF280" s="13">
        <v>0</v>
      </c>
      <c r="CG280" s="13">
        <v>0</v>
      </c>
      <c r="CH280" s="13">
        <v>0</v>
      </c>
      <c r="CI280" s="13">
        <v>4678.43</v>
      </c>
      <c r="CJ280" s="13">
        <v>52152</v>
      </c>
      <c r="CK280" s="13">
        <v>2962.64</v>
      </c>
      <c r="CL280" s="13">
        <v>2246993.2000000002</v>
      </c>
      <c r="CM280" s="13">
        <v>156990.95000000001</v>
      </c>
      <c r="CN280" s="13">
        <v>45758.2</v>
      </c>
      <c r="CO280" s="13">
        <v>0</v>
      </c>
      <c r="CP280" s="13">
        <v>2695.94</v>
      </c>
      <c r="CQ280" s="13">
        <v>0</v>
      </c>
      <c r="CR280" s="13">
        <v>2118518.33</v>
      </c>
      <c r="CS280" s="13">
        <v>145249.45000000001</v>
      </c>
      <c r="CT280" s="13">
        <v>39208.94</v>
      </c>
      <c r="CU280" s="13">
        <v>371.07</v>
      </c>
      <c r="CV280" s="13">
        <v>2757.61</v>
      </c>
      <c r="CW280" s="13">
        <v>0</v>
      </c>
      <c r="CX280" s="13">
        <v>324294.67</v>
      </c>
      <c r="CY280" s="13">
        <v>27263.919999999998</v>
      </c>
      <c r="CZ280" s="13">
        <v>5730.41</v>
      </c>
      <c r="DA280" s="13">
        <v>-553.96</v>
      </c>
      <c r="DB280" s="13">
        <v>117.37</v>
      </c>
      <c r="DC280" s="13"/>
      <c r="DD280" s="315">
        <v>2452438.29</v>
      </c>
      <c r="DE280" s="317">
        <v>2306105.4</v>
      </c>
      <c r="DF280" s="317">
        <v>94.03</v>
      </c>
      <c r="DG280" s="318">
        <v>356852.41</v>
      </c>
      <c r="DH280" s="310">
        <v>80927.16</v>
      </c>
      <c r="DI280" s="310">
        <v>46283.16</v>
      </c>
      <c r="DJ280" s="312">
        <v>0</v>
      </c>
      <c r="DK280" s="362">
        <v>0</v>
      </c>
      <c r="DL280" s="362"/>
      <c r="DM280" s="362">
        <v>0</v>
      </c>
      <c r="DN280" s="362">
        <v>0</v>
      </c>
      <c r="DO280" s="362">
        <v>0</v>
      </c>
      <c r="DP280" s="362">
        <v>0</v>
      </c>
      <c r="DQ280" s="362">
        <v>0</v>
      </c>
      <c r="DR280" s="362"/>
      <c r="DS280" s="362">
        <v>0</v>
      </c>
      <c r="DT280" s="362"/>
      <c r="DU280" s="362">
        <v>0</v>
      </c>
      <c r="DV280" s="362">
        <v>0</v>
      </c>
      <c r="DW280" s="362">
        <v>191215.9</v>
      </c>
      <c r="DX280" s="362">
        <v>0</v>
      </c>
      <c r="DY280" s="362">
        <v>56000</v>
      </c>
      <c r="DZ280" s="375">
        <v>0</v>
      </c>
      <c r="EA280" s="362">
        <v>0</v>
      </c>
      <c r="EB280" s="362">
        <v>0</v>
      </c>
      <c r="EC280" s="362"/>
      <c r="ED280" s="362">
        <v>591571.07999999996</v>
      </c>
      <c r="EE280" s="362">
        <v>7317</v>
      </c>
      <c r="EF280" s="362"/>
      <c r="EG280" s="362">
        <v>17778</v>
      </c>
      <c r="EH280" s="362">
        <v>1400</v>
      </c>
      <c r="EI280" s="362"/>
      <c r="EJ280" s="362">
        <v>0</v>
      </c>
      <c r="EK280" s="362"/>
      <c r="EL280" s="362">
        <v>0</v>
      </c>
      <c r="EM280" s="362">
        <v>4713.99</v>
      </c>
      <c r="EN280" s="362">
        <v>0</v>
      </c>
      <c r="EO280" s="362">
        <v>0</v>
      </c>
      <c r="EP280" s="362">
        <v>489624</v>
      </c>
      <c r="EQ280" s="362">
        <v>0</v>
      </c>
      <c r="ER280" s="362">
        <v>15015</v>
      </c>
      <c r="ES280" s="362">
        <v>11304</v>
      </c>
      <c r="ET280" s="362">
        <v>17764</v>
      </c>
      <c r="EU280" s="362">
        <v>0</v>
      </c>
      <c r="EV280" s="362">
        <v>104584.44</v>
      </c>
      <c r="EW280" s="362"/>
      <c r="EX280" s="202"/>
      <c r="EY280" s="202"/>
      <c r="EZ280" s="229"/>
      <c r="FA280" s="368">
        <v>147163.94</v>
      </c>
      <c r="FB280" s="368">
        <v>48808.76</v>
      </c>
      <c r="FC280" s="368">
        <v>0</v>
      </c>
      <c r="FD280" s="368">
        <v>0</v>
      </c>
      <c r="FE280" s="368">
        <v>0</v>
      </c>
      <c r="FF280" s="368">
        <v>2999.9</v>
      </c>
      <c r="FG280" s="368">
        <v>0</v>
      </c>
      <c r="FH280" s="368">
        <v>-2054.73</v>
      </c>
      <c r="FI280" s="368">
        <v>0</v>
      </c>
      <c r="FJ280" s="368">
        <v>0</v>
      </c>
      <c r="FK280" s="368">
        <v>85332.68</v>
      </c>
      <c r="FL280" s="368">
        <v>0</v>
      </c>
      <c r="FM280" s="368">
        <v>205950.6</v>
      </c>
      <c r="FN280" s="368">
        <v>130953.02</v>
      </c>
      <c r="FO280" s="323">
        <v>1972401.35</v>
      </c>
      <c r="FP280" s="323">
        <v>282250.55</v>
      </c>
      <c r="FQ280" s="323">
        <v>2254651.9</v>
      </c>
      <c r="FR280" s="362">
        <v>171696.1</v>
      </c>
      <c r="FS280" s="362">
        <v>11936.57</v>
      </c>
      <c r="FT280" s="377">
        <v>183632.67</v>
      </c>
      <c r="FU280" s="377">
        <v>2303823.63</v>
      </c>
      <c r="FV280" s="377">
        <v>208407.73</v>
      </c>
      <c r="FW280" s="362">
        <v>2512231.36</v>
      </c>
      <c r="FX280" s="362">
        <v>2151225.06</v>
      </c>
      <c r="FY280" s="362">
        <v>187786.56</v>
      </c>
      <c r="FZ280" s="362">
        <v>2339011.62</v>
      </c>
      <c r="GA280" s="362">
        <v>324294.67</v>
      </c>
      <c r="GB280" s="362">
        <v>32557.74</v>
      </c>
      <c r="GC280" s="362">
        <v>356852.41</v>
      </c>
      <c r="GD280" s="362">
        <v>209333.34</v>
      </c>
      <c r="GE280" s="362">
        <v>5284.2</v>
      </c>
      <c r="GF280" s="362">
        <v>214617.54</v>
      </c>
      <c r="GG280" s="202"/>
      <c r="GH280" s="416"/>
      <c r="GI280" s="414">
        <v>3869.1</v>
      </c>
      <c r="GJ280" s="419">
        <v>0</v>
      </c>
      <c r="GK280" s="396"/>
      <c r="GL280" s="202">
        <v>0</v>
      </c>
      <c r="GM280" s="202">
        <v>0</v>
      </c>
      <c r="GN280" s="323">
        <v>331422.28000000003</v>
      </c>
      <c r="GO280" s="323">
        <v>-73842.820000000007</v>
      </c>
      <c r="GP280" s="323">
        <v>257579.46</v>
      </c>
      <c r="GQ280" s="323">
        <v>540755.62</v>
      </c>
      <c r="GR280" s="323">
        <v>-68558.62</v>
      </c>
      <c r="GS280" s="323">
        <v>472197</v>
      </c>
    </row>
    <row r="281" spans="1:201" ht="12.75" customHeight="1" x14ac:dyDescent="0.2">
      <c r="A281" s="45" t="s">
        <v>759</v>
      </c>
      <c r="B281" s="78" t="s">
        <v>333</v>
      </c>
      <c r="C281" s="79" t="s">
        <v>8</v>
      </c>
      <c r="D281" s="388" t="s">
        <v>528</v>
      </c>
      <c r="E281" s="79" t="s">
        <v>12</v>
      </c>
      <c r="F281" s="11">
        <v>9</v>
      </c>
      <c r="G281" s="11">
        <v>1</v>
      </c>
      <c r="H281" s="11">
        <v>54</v>
      </c>
      <c r="I281" s="11">
        <v>0</v>
      </c>
      <c r="J281" s="11">
        <v>110</v>
      </c>
      <c r="K281" s="11">
        <v>134</v>
      </c>
      <c r="L281" s="83">
        <v>1</v>
      </c>
      <c r="M281" s="84">
        <v>269</v>
      </c>
      <c r="N281" s="84">
        <v>384</v>
      </c>
      <c r="O281" s="84">
        <v>0</v>
      </c>
      <c r="P281" s="139">
        <v>269</v>
      </c>
      <c r="Q281" s="139">
        <v>384</v>
      </c>
      <c r="R281" s="139">
        <v>0</v>
      </c>
      <c r="S281" s="133">
        <f t="shared" si="134"/>
        <v>653</v>
      </c>
      <c r="T281" s="134">
        <v>269</v>
      </c>
      <c r="U281" s="130">
        <v>2.44</v>
      </c>
      <c r="V281" s="131">
        <v>1.9800000000000002E-2</v>
      </c>
      <c r="W281" s="131">
        <v>1.9800000000000002E-2</v>
      </c>
      <c r="X281" s="132">
        <v>1.32E-3</v>
      </c>
      <c r="Y281" s="131">
        <v>3.9699999999999999E-2</v>
      </c>
      <c r="Z281" s="29">
        <v>2303.31</v>
      </c>
      <c r="AA281" s="29"/>
      <c r="AB281" s="9">
        <f t="shared" si="113"/>
        <v>2303.31</v>
      </c>
      <c r="AC281" s="9">
        <f t="shared" si="112"/>
        <v>14579.95</v>
      </c>
      <c r="AD281" s="9">
        <v>1.5</v>
      </c>
      <c r="AE281" s="9">
        <v>4.88</v>
      </c>
      <c r="AF281" s="21">
        <f>2.47-AJ281</f>
        <v>2.31</v>
      </c>
      <c r="AG281" s="18">
        <f>0.6-AQ281</f>
        <v>0.54</v>
      </c>
      <c r="AH281" s="9">
        <v>2.77</v>
      </c>
      <c r="AI281" s="43">
        <v>369</v>
      </c>
      <c r="AJ281" s="21">
        <f t="shared" si="110"/>
        <v>0.16</v>
      </c>
      <c r="AK281" s="9">
        <v>1.87</v>
      </c>
      <c r="AL281" s="9">
        <v>0.16</v>
      </c>
      <c r="AM281" s="9">
        <v>0.25</v>
      </c>
      <c r="AN281" s="13"/>
      <c r="AO281" s="13">
        <v>305.89999999999998</v>
      </c>
      <c r="AP281" s="13">
        <f t="shared" si="135"/>
        <v>5.58</v>
      </c>
      <c r="AQ281" s="18">
        <f t="shared" si="111"/>
        <v>0.06</v>
      </c>
      <c r="AR281" s="9">
        <v>0.76</v>
      </c>
      <c r="AS281" s="9">
        <v>0.59</v>
      </c>
      <c r="AT281" s="9">
        <v>7.0000000000000007E-2</v>
      </c>
      <c r="AU281" s="9">
        <v>3.67</v>
      </c>
      <c r="AV281" s="9">
        <v>0.17</v>
      </c>
      <c r="AW281" s="9">
        <f>1.43+0.32+0.33</f>
        <v>2.08</v>
      </c>
      <c r="AX281" s="9">
        <f>2.02+0.44</f>
        <v>2.46</v>
      </c>
      <c r="AY281" s="81">
        <f t="shared" si="136"/>
        <v>24.3</v>
      </c>
      <c r="AZ281" s="13">
        <v>24.3</v>
      </c>
      <c r="BA281" s="13">
        <f t="shared" si="114"/>
        <v>0</v>
      </c>
      <c r="BB281" s="9">
        <f t="shared" si="115"/>
        <v>55970.43</v>
      </c>
      <c r="BC281" s="9">
        <v>24.3</v>
      </c>
      <c r="BD281" s="10">
        <v>44409</v>
      </c>
      <c r="BE281" s="9">
        <f t="shared" si="116"/>
        <v>3454.97</v>
      </c>
      <c r="BF281" s="9">
        <f t="shared" si="117"/>
        <v>11240.15</v>
      </c>
      <c r="BG281" s="9">
        <f t="shared" si="118"/>
        <v>5320.65</v>
      </c>
      <c r="BH281" s="9">
        <f t="shared" si="119"/>
        <v>1243.79</v>
      </c>
      <c r="BI281" s="9">
        <f t="shared" si="120"/>
        <v>6380.17</v>
      </c>
      <c r="BJ281" s="9">
        <f t="shared" si="121"/>
        <v>368.53</v>
      </c>
      <c r="BK281" s="9">
        <f t="shared" si="122"/>
        <v>4307.1899999999996</v>
      </c>
      <c r="BL281" s="9">
        <f t="shared" si="123"/>
        <v>368.53</v>
      </c>
      <c r="BM281" s="9">
        <f t="shared" si="124"/>
        <v>575.83000000000004</v>
      </c>
      <c r="BN281" s="9">
        <f t="shared" si="125"/>
        <v>138.19999999999999</v>
      </c>
      <c r="BO281" s="9">
        <f t="shared" si="126"/>
        <v>1750.52</v>
      </c>
      <c r="BP281" s="9">
        <f t="shared" si="127"/>
        <v>1358.95</v>
      </c>
      <c r="BQ281" s="9">
        <f t="shared" si="128"/>
        <v>161.22999999999999</v>
      </c>
      <c r="BR281" s="9">
        <f t="shared" si="129"/>
        <v>8453.15</v>
      </c>
      <c r="BS281" s="9">
        <f t="shared" si="130"/>
        <v>391.56</v>
      </c>
      <c r="BT281" s="9">
        <f t="shared" si="131"/>
        <v>4790.88</v>
      </c>
      <c r="BU281" s="9">
        <f t="shared" si="132"/>
        <v>5666.14</v>
      </c>
      <c r="BV281" s="17">
        <f t="shared" si="133"/>
        <v>55970.44</v>
      </c>
      <c r="BW281" s="17">
        <v>4.12</v>
      </c>
      <c r="BX281" s="17">
        <v>0.08</v>
      </c>
      <c r="BY281" s="17">
        <v>0.46</v>
      </c>
      <c r="BZ281" s="17">
        <v>0.09</v>
      </c>
      <c r="CA281" s="29">
        <v>6.33</v>
      </c>
      <c r="CB281" s="325"/>
      <c r="CC281" s="13">
        <v>0</v>
      </c>
      <c r="CD281" s="13">
        <v>0</v>
      </c>
      <c r="CE281" s="13">
        <v>0</v>
      </c>
      <c r="CF281" s="13">
        <v>0</v>
      </c>
      <c r="CG281" s="13">
        <v>0</v>
      </c>
      <c r="CH281" s="13">
        <v>0</v>
      </c>
      <c r="CI281" s="13">
        <v>4267.21</v>
      </c>
      <c r="CJ281" s="13">
        <v>35580</v>
      </c>
      <c r="CK281" s="13">
        <v>885.83</v>
      </c>
      <c r="CL281" s="13">
        <v>671645.16</v>
      </c>
      <c r="CM281" s="13">
        <v>51916.57</v>
      </c>
      <c r="CN281" s="13">
        <v>0</v>
      </c>
      <c r="CO281" s="13">
        <v>3293.68</v>
      </c>
      <c r="CP281" s="13">
        <v>2717.95</v>
      </c>
      <c r="CQ281" s="13">
        <v>0</v>
      </c>
      <c r="CR281" s="13">
        <v>613912.18000000005</v>
      </c>
      <c r="CS281" s="13">
        <v>48114.32</v>
      </c>
      <c r="CT281" s="13">
        <v>604.75</v>
      </c>
      <c r="CU281" s="13">
        <v>3500.69</v>
      </c>
      <c r="CV281" s="13">
        <v>2456.94</v>
      </c>
      <c r="CW281" s="13">
        <v>0</v>
      </c>
      <c r="CX281" s="13">
        <v>138108.26</v>
      </c>
      <c r="CY281" s="13">
        <v>10913.84</v>
      </c>
      <c r="CZ281" s="13">
        <v>-783.26</v>
      </c>
      <c r="DA281" s="13">
        <v>645.49</v>
      </c>
      <c r="DB281" s="13">
        <v>430.88</v>
      </c>
      <c r="DC281" s="13"/>
      <c r="DD281" s="315">
        <v>729573.36</v>
      </c>
      <c r="DE281" s="317">
        <v>668588.88</v>
      </c>
      <c r="DF281" s="317">
        <v>91.64</v>
      </c>
      <c r="DG281" s="318">
        <v>149315.21</v>
      </c>
      <c r="DH281" s="310">
        <v>24201.84</v>
      </c>
      <c r="DI281" s="310">
        <v>13841.28</v>
      </c>
      <c r="DJ281" s="312">
        <v>0</v>
      </c>
      <c r="DK281" s="362">
        <v>0</v>
      </c>
      <c r="DL281" s="362"/>
      <c r="DM281" s="362">
        <v>0</v>
      </c>
      <c r="DN281" s="362">
        <v>0</v>
      </c>
      <c r="DO281" s="362">
        <v>0</v>
      </c>
      <c r="DP281" s="362">
        <v>0</v>
      </c>
      <c r="DQ281" s="362">
        <v>0</v>
      </c>
      <c r="DR281" s="362"/>
      <c r="DS281" s="362">
        <v>0</v>
      </c>
      <c r="DT281" s="362"/>
      <c r="DU281" s="362">
        <v>0</v>
      </c>
      <c r="DV281" s="362">
        <v>0</v>
      </c>
      <c r="DW281" s="362">
        <v>51600</v>
      </c>
      <c r="DX281" s="362">
        <v>0</v>
      </c>
      <c r="DY281" s="362">
        <v>4500</v>
      </c>
      <c r="DZ281" s="375">
        <v>0</v>
      </c>
      <c r="EA281" s="362">
        <v>203730</v>
      </c>
      <c r="EB281" s="362">
        <v>6171</v>
      </c>
      <c r="EC281" s="362"/>
      <c r="ED281" s="362">
        <v>0</v>
      </c>
      <c r="EE281" s="362">
        <v>0</v>
      </c>
      <c r="EF281" s="362"/>
      <c r="EG281" s="362">
        <v>5874</v>
      </c>
      <c r="EH281" s="362">
        <v>0</v>
      </c>
      <c r="EI281" s="362"/>
      <c r="EJ281" s="362">
        <v>0</v>
      </c>
      <c r="EK281" s="362"/>
      <c r="EL281" s="362">
        <v>0</v>
      </c>
      <c r="EM281" s="362">
        <v>1706.91</v>
      </c>
      <c r="EN281" s="362">
        <v>0</v>
      </c>
      <c r="EO281" s="362">
        <v>0</v>
      </c>
      <c r="EP281" s="362">
        <v>144672</v>
      </c>
      <c r="EQ281" s="362">
        <v>0</v>
      </c>
      <c r="ER281" s="362">
        <v>15015</v>
      </c>
      <c r="ES281" s="362">
        <v>0</v>
      </c>
      <c r="ET281" s="362">
        <v>6900</v>
      </c>
      <c r="EU281" s="362">
        <v>0</v>
      </c>
      <c r="EV281" s="362">
        <v>57995.05</v>
      </c>
      <c r="EW281" s="362"/>
      <c r="EX281" s="202"/>
      <c r="EY281" s="202"/>
      <c r="EZ281" s="229"/>
      <c r="FA281" s="368">
        <v>54998.42</v>
      </c>
      <c r="FB281" s="368">
        <v>0</v>
      </c>
      <c r="FC281" s="368">
        <v>0</v>
      </c>
      <c r="FD281" s="368">
        <v>0</v>
      </c>
      <c r="FE281" s="368">
        <v>2274.17</v>
      </c>
      <c r="FF281" s="368">
        <v>1791.34</v>
      </c>
      <c r="FG281" s="368">
        <v>243.22</v>
      </c>
      <c r="FH281" s="368">
        <v>-461.97</v>
      </c>
      <c r="FI281" s="368">
        <v>0</v>
      </c>
      <c r="FJ281" s="368">
        <v>0</v>
      </c>
      <c r="FK281" s="368">
        <v>19030.66</v>
      </c>
      <c r="FL281" s="368">
        <v>0</v>
      </c>
      <c r="FM281" s="368">
        <v>61579.15</v>
      </c>
      <c r="FN281" s="368">
        <v>39154.9</v>
      </c>
      <c r="FO281" s="323">
        <v>636941.13</v>
      </c>
      <c r="FP281" s="323">
        <v>77875.839999999997</v>
      </c>
      <c r="FQ281" s="323">
        <v>714816.97</v>
      </c>
      <c r="FR281" s="362">
        <v>81708.479999999996</v>
      </c>
      <c r="FS281" s="362">
        <v>4437.22</v>
      </c>
      <c r="FT281" s="377">
        <v>86145.7</v>
      </c>
      <c r="FU281" s="377">
        <v>711492.37</v>
      </c>
      <c r="FV281" s="377">
        <v>58814.03</v>
      </c>
      <c r="FW281" s="362">
        <v>770306.4</v>
      </c>
      <c r="FX281" s="362">
        <v>655092.59</v>
      </c>
      <c r="FY281" s="362">
        <v>52044.3</v>
      </c>
      <c r="FZ281" s="362">
        <v>707136.89</v>
      </c>
      <c r="GA281" s="362">
        <v>138108.26</v>
      </c>
      <c r="GB281" s="362">
        <v>11206.95</v>
      </c>
      <c r="GC281" s="362">
        <v>149315.21</v>
      </c>
      <c r="GD281" s="362">
        <v>61947.839999999997</v>
      </c>
      <c r="GE281" s="362">
        <v>304.19</v>
      </c>
      <c r="GF281" s="362">
        <v>62252.03</v>
      </c>
      <c r="GG281" s="202"/>
      <c r="GH281" s="416"/>
      <c r="GI281" s="414">
        <v>3471</v>
      </c>
      <c r="GJ281" s="419">
        <v>0</v>
      </c>
      <c r="GK281" s="396"/>
      <c r="GL281" s="202">
        <v>0</v>
      </c>
      <c r="GM281" s="202">
        <v>0</v>
      </c>
      <c r="GN281" s="323">
        <v>74551.240000000005</v>
      </c>
      <c r="GO281" s="323">
        <v>-19061.810000000001</v>
      </c>
      <c r="GP281" s="323">
        <v>55489.43</v>
      </c>
      <c r="GQ281" s="323">
        <v>136499.07999999999</v>
      </c>
      <c r="GR281" s="323">
        <v>-18757.62</v>
      </c>
      <c r="GS281" s="323">
        <v>117741.46</v>
      </c>
    </row>
    <row r="282" spans="1:201" ht="12.75" customHeight="1" x14ac:dyDescent="0.2">
      <c r="A282" s="45" t="s">
        <v>760</v>
      </c>
      <c r="B282" s="113" t="s">
        <v>333</v>
      </c>
      <c r="C282" s="114" t="s">
        <v>11</v>
      </c>
      <c r="D282" s="388" t="s">
        <v>678</v>
      </c>
      <c r="E282" s="114" t="s">
        <v>12</v>
      </c>
      <c r="F282" s="11">
        <v>5</v>
      </c>
      <c r="G282" s="11">
        <v>4</v>
      </c>
      <c r="H282" s="11">
        <v>80</v>
      </c>
      <c r="I282" s="11">
        <v>0</v>
      </c>
      <c r="J282" s="11">
        <v>178</v>
      </c>
      <c r="K282" s="11">
        <v>175</v>
      </c>
      <c r="L282" s="11" t="s">
        <v>746</v>
      </c>
      <c r="M282" s="84">
        <v>272</v>
      </c>
      <c r="N282" s="84">
        <v>886</v>
      </c>
      <c r="O282" s="84">
        <v>0</v>
      </c>
      <c r="P282" s="139">
        <v>272</v>
      </c>
      <c r="Q282" s="139">
        <v>886</v>
      </c>
      <c r="R282" s="139">
        <v>0</v>
      </c>
      <c r="S282" s="133">
        <f t="shared" si="134"/>
        <v>1158</v>
      </c>
      <c r="T282" s="134">
        <v>272</v>
      </c>
      <c r="U282" s="130">
        <v>1.53</v>
      </c>
      <c r="V282" s="131">
        <v>1.9800000000000002E-2</v>
      </c>
      <c r="W282" s="131">
        <v>1.9800000000000002E-2</v>
      </c>
      <c r="X282" s="132">
        <v>1.2199999999999999E-3</v>
      </c>
      <c r="Y282" s="131">
        <v>3.95E-2</v>
      </c>
      <c r="Z282" s="29">
        <v>3548.31</v>
      </c>
      <c r="AA282" s="29"/>
      <c r="AB282" s="9">
        <f t="shared" si="113"/>
        <v>3548.31</v>
      </c>
      <c r="AC282" s="9">
        <f t="shared" si="112"/>
        <v>22460.799999999999</v>
      </c>
      <c r="AD282" s="9">
        <v>0.39</v>
      </c>
      <c r="AE282" s="9">
        <v>3.97</v>
      </c>
      <c r="AF282" s="21">
        <f>2.42-AJ282</f>
        <v>2.1800000000000002</v>
      </c>
      <c r="AG282" s="18">
        <f>0.53-AQ282</f>
        <v>0.42</v>
      </c>
      <c r="AH282" s="9">
        <v>2.78</v>
      </c>
      <c r="AI282" s="43">
        <v>851</v>
      </c>
      <c r="AJ282" s="21">
        <f t="shared" si="110"/>
        <v>0.24</v>
      </c>
      <c r="AK282" s="9">
        <v>0</v>
      </c>
      <c r="AL282" s="9">
        <v>0</v>
      </c>
      <c r="AM282" s="9">
        <v>0.32</v>
      </c>
      <c r="AN282" s="13"/>
      <c r="AO282" s="13">
        <v>801.6</v>
      </c>
      <c r="AP282" s="13">
        <f t="shared" si="135"/>
        <v>5.58</v>
      </c>
      <c r="AQ282" s="18">
        <f t="shared" si="111"/>
        <v>0.11</v>
      </c>
      <c r="AR282" s="9">
        <v>0.78</v>
      </c>
      <c r="AS282" s="9">
        <v>0.38</v>
      </c>
      <c r="AT282" s="9">
        <v>7.0000000000000007E-2</v>
      </c>
      <c r="AU282" s="9">
        <v>4.28</v>
      </c>
      <c r="AV282" s="9">
        <v>0.12</v>
      </c>
      <c r="AW282" s="9">
        <f>1.04+0.32+0.38</f>
        <v>1.74</v>
      </c>
      <c r="AX282" s="9">
        <f>1.44+0.5</f>
        <v>1.94</v>
      </c>
      <c r="AY282" s="110">
        <f t="shared" si="136"/>
        <v>19.72</v>
      </c>
      <c r="AZ282" s="13">
        <v>19.72</v>
      </c>
      <c r="BA282" s="13">
        <f t="shared" si="114"/>
        <v>0</v>
      </c>
      <c r="BB282" s="9">
        <f t="shared" si="115"/>
        <v>69972.67</v>
      </c>
      <c r="BC282" s="9">
        <v>19.72</v>
      </c>
      <c r="BD282" s="10">
        <v>44409</v>
      </c>
      <c r="BE282" s="9">
        <f t="shared" si="116"/>
        <v>1383.84</v>
      </c>
      <c r="BF282" s="9">
        <f t="shared" si="117"/>
        <v>14086.79</v>
      </c>
      <c r="BG282" s="9">
        <f t="shared" si="118"/>
        <v>7735.32</v>
      </c>
      <c r="BH282" s="9">
        <f t="shared" si="119"/>
        <v>1490.29</v>
      </c>
      <c r="BI282" s="9">
        <f t="shared" si="120"/>
        <v>9864.2999999999993</v>
      </c>
      <c r="BJ282" s="9">
        <f t="shared" si="121"/>
        <v>851.59</v>
      </c>
      <c r="BK282" s="9">
        <f t="shared" si="122"/>
        <v>0</v>
      </c>
      <c r="BL282" s="9">
        <f t="shared" si="123"/>
        <v>0</v>
      </c>
      <c r="BM282" s="9">
        <f t="shared" si="124"/>
        <v>1135.46</v>
      </c>
      <c r="BN282" s="9">
        <f t="shared" si="125"/>
        <v>390.31</v>
      </c>
      <c r="BO282" s="9">
        <f t="shared" si="126"/>
        <v>2767.68</v>
      </c>
      <c r="BP282" s="9">
        <f t="shared" si="127"/>
        <v>1348.36</v>
      </c>
      <c r="BQ282" s="9">
        <f t="shared" si="128"/>
        <v>248.38</v>
      </c>
      <c r="BR282" s="9">
        <f t="shared" si="129"/>
        <v>15186.77</v>
      </c>
      <c r="BS282" s="9">
        <f t="shared" si="130"/>
        <v>425.8</v>
      </c>
      <c r="BT282" s="9">
        <f t="shared" si="131"/>
        <v>6174.06</v>
      </c>
      <c r="BU282" s="9">
        <f t="shared" si="132"/>
        <v>6883.72</v>
      </c>
      <c r="BV282" s="17">
        <f t="shared" si="133"/>
        <v>69972.67</v>
      </c>
      <c r="BW282" s="17">
        <v>1.74</v>
      </c>
      <c r="BX282" s="17">
        <v>0.04</v>
      </c>
      <c r="BY282" s="17">
        <v>0.26</v>
      </c>
      <c r="BZ282" s="17">
        <v>0.05</v>
      </c>
      <c r="CA282" s="29">
        <v>6.33</v>
      </c>
      <c r="CB282" s="325"/>
      <c r="CC282" s="13">
        <v>0</v>
      </c>
      <c r="CD282" s="13">
        <v>0</v>
      </c>
      <c r="CE282" s="13">
        <v>0</v>
      </c>
      <c r="CF282" s="13">
        <v>0</v>
      </c>
      <c r="CG282" s="13">
        <v>0</v>
      </c>
      <c r="CH282" s="13">
        <v>0</v>
      </c>
      <c r="CI282" s="13">
        <v>2299.6999999999998</v>
      </c>
      <c r="CJ282" s="13">
        <v>27684</v>
      </c>
      <c r="CK282" s="13">
        <v>1364.64</v>
      </c>
      <c r="CL282" s="13">
        <v>839672.4</v>
      </c>
      <c r="CM282" s="13">
        <v>32112.39</v>
      </c>
      <c r="CN282" s="13">
        <v>0</v>
      </c>
      <c r="CO282" s="13">
        <v>1703.28</v>
      </c>
      <c r="CP282" s="13">
        <v>1881.45</v>
      </c>
      <c r="CQ282" s="13">
        <v>0</v>
      </c>
      <c r="CR282" s="13">
        <v>727737.91</v>
      </c>
      <c r="CS282" s="13">
        <v>38589.910000000003</v>
      </c>
      <c r="CT282" s="13">
        <v>712.7</v>
      </c>
      <c r="CU282" s="13">
        <v>1444.35</v>
      </c>
      <c r="CV282" s="13">
        <v>1605.3</v>
      </c>
      <c r="CW282" s="13">
        <v>0</v>
      </c>
      <c r="CX282" s="13">
        <v>219239.12</v>
      </c>
      <c r="CY282" s="13">
        <v>2964.96</v>
      </c>
      <c r="CZ282" s="13">
        <v>-869.53</v>
      </c>
      <c r="DA282" s="13">
        <v>444.82</v>
      </c>
      <c r="DB282" s="13">
        <v>491.17</v>
      </c>
      <c r="DC282" s="13"/>
      <c r="DD282" s="315">
        <v>875369.52</v>
      </c>
      <c r="DE282" s="317">
        <v>770090.17</v>
      </c>
      <c r="DF282" s="317">
        <v>87.97</v>
      </c>
      <c r="DG282" s="318">
        <v>222270.54</v>
      </c>
      <c r="DH282" s="310">
        <v>37283.64</v>
      </c>
      <c r="DI282" s="310">
        <v>21322.92</v>
      </c>
      <c r="DJ282" s="312">
        <v>0</v>
      </c>
      <c r="DK282" s="362">
        <v>0</v>
      </c>
      <c r="DL282" s="362"/>
      <c r="DM282" s="362">
        <v>0</v>
      </c>
      <c r="DN282" s="362">
        <v>0</v>
      </c>
      <c r="DO282" s="362">
        <v>0</v>
      </c>
      <c r="DP282" s="362">
        <v>0</v>
      </c>
      <c r="DQ282" s="362">
        <v>0</v>
      </c>
      <c r="DR282" s="362"/>
      <c r="DS282" s="362">
        <v>0</v>
      </c>
      <c r="DT282" s="362"/>
      <c r="DU282" s="362">
        <v>0</v>
      </c>
      <c r="DV282" s="362">
        <v>0</v>
      </c>
      <c r="DW282" s="362">
        <v>0</v>
      </c>
      <c r="DX282" s="362">
        <v>0</v>
      </c>
      <c r="DY282" s="362">
        <v>0</v>
      </c>
      <c r="DZ282" s="375">
        <v>0</v>
      </c>
      <c r="EA282" s="362">
        <v>215508</v>
      </c>
      <c r="EB282" s="362">
        <v>7157</v>
      </c>
      <c r="EC282" s="362"/>
      <c r="ED282" s="362">
        <v>0</v>
      </c>
      <c r="EE282" s="362">
        <v>0</v>
      </c>
      <c r="EF282" s="362"/>
      <c r="EG282" s="362">
        <v>13542</v>
      </c>
      <c r="EH282" s="362">
        <v>41300</v>
      </c>
      <c r="EI282" s="362"/>
      <c r="EJ282" s="362">
        <v>16240</v>
      </c>
      <c r="EK282" s="362"/>
      <c r="EL282" s="362">
        <v>0</v>
      </c>
      <c r="EM282" s="362">
        <v>4472.9399999999996</v>
      </c>
      <c r="EN282" s="362">
        <v>0</v>
      </c>
      <c r="EO282" s="362">
        <v>0</v>
      </c>
      <c r="EP282" s="362">
        <v>219774</v>
      </c>
      <c r="EQ282" s="362">
        <v>0</v>
      </c>
      <c r="ER282" s="362">
        <v>16380</v>
      </c>
      <c r="ES282" s="362">
        <v>0</v>
      </c>
      <c r="ET282" s="362">
        <v>12932</v>
      </c>
      <c r="EU282" s="362">
        <v>0</v>
      </c>
      <c r="EV282" s="362">
        <v>56001.13</v>
      </c>
      <c r="EW282" s="362"/>
      <c r="EX282" s="202"/>
      <c r="EY282" s="202"/>
      <c r="EZ282" s="229"/>
      <c r="FA282" s="368">
        <v>36785.08</v>
      </c>
      <c r="FB282" s="368">
        <v>0</v>
      </c>
      <c r="FC282" s="368">
        <v>0</v>
      </c>
      <c r="FD282" s="368">
        <v>0</v>
      </c>
      <c r="FE282" s="368">
        <v>1803.98</v>
      </c>
      <c r="FF282" s="368">
        <v>1930.34</v>
      </c>
      <c r="FG282" s="368">
        <v>0</v>
      </c>
      <c r="FH282" s="368">
        <v>-907.84</v>
      </c>
      <c r="FI282" s="368">
        <v>0</v>
      </c>
      <c r="FJ282" s="368">
        <v>0</v>
      </c>
      <c r="FK282" s="368">
        <v>16749.849999999999</v>
      </c>
      <c r="FL282" s="368">
        <v>0</v>
      </c>
      <c r="FM282" s="368">
        <v>94864.28</v>
      </c>
      <c r="FN282" s="368">
        <v>60319.14</v>
      </c>
      <c r="FO282" s="323">
        <v>817097.05</v>
      </c>
      <c r="FP282" s="323">
        <v>56361.41</v>
      </c>
      <c r="FQ282" s="323">
        <v>873458.46</v>
      </c>
      <c r="FR282" s="362">
        <v>105065.38</v>
      </c>
      <c r="FS282" s="362">
        <v>8568.24</v>
      </c>
      <c r="FT282" s="377">
        <v>113633.62</v>
      </c>
      <c r="FU282" s="377">
        <v>869656.1</v>
      </c>
      <c r="FV282" s="377">
        <v>37061.760000000002</v>
      </c>
      <c r="FW282" s="362">
        <v>906717.86</v>
      </c>
      <c r="FX282" s="362">
        <v>755482.36</v>
      </c>
      <c r="FY282" s="362">
        <v>42598.58</v>
      </c>
      <c r="FZ282" s="362">
        <v>798080.94</v>
      </c>
      <c r="GA282" s="362">
        <v>219239.12</v>
      </c>
      <c r="GB282" s="362">
        <v>3031.42</v>
      </c>
      <c r="GC282" s="362">
        <v>222270.54</v>
      </c>
      <c r="GD282" s="362">
        <v>66344.12</v>
      </c>
      <c r="GE282" s="362">
        <v>-3626.52</v>
      </c>
      <c r="GF282" s="362">
        <v>62717.599999999999</v>
      </c>
      <c r="GG282" s="202"/>
      <c r="GH282" s="416"/>
      <c r="GI282" s="414">
        <v>2455</v>
      </c>
      <c r="GJ282" s="419">
        <v>0</v>
      </c>
      <c r="GK282" s="396"/>
      <c r="GL282" s="202">
        <v>0</v>
      </c>
      <c r="GM282" s="202">
        <v>0</v>
      </c>
      <c r="GN282" s="323">
        <v>52559.05</v>
      </c>
      <c r="GO282" s="323">
        <v>-19299.650000000001</v>
      </c>
      <c r="GP282" s="323">
        <v>33259.4</v>
      </c>
      <c r="GQ282" s="323">
        <v>118903.17</v>
      </c>
      <c r="GR282" s="323">
        <v>-22926.17</v>
      </c>
      <c r="GS282" s="323">
        <v>95977</v>
      </c>
    </row>
    <row r="283" spans="1:201" ht="12.75" customHeight="1" x14ac:dyDescent="0.2">
      <c r="A283" s="45" t="s">
        <v>761</v>
      </c>
      <c r="B283" s="117" t="s">
        <v>333</v>
      </c>
      <c r="C283" s="118" t="s">
        <v>67</v>
      </c>
      <c r="D283" s="388" t="s">
        <v>523</v>
      </c>
      <c r="E283" s="118" t="s">
        <v>12</v>
      </c>
      <c r="F283" s="11">
        <v>5</v>
      </c>
      <c r="G283" s="11">
        <v>4</v>
      </c>
      <c r="H283" s="11">
        <v>80</v>
      </c>
      <c r="I283" s="11">
        <v>0</v>
      </c>
      <c r="J283" s="11">
        <v>159</v>
      </c>
      <c r="K283" s="11">
        <v>178</v>
      </c>
      <c r="L283" s="11" t="s">
        <v>746</v>
      </c>
      <c r="M283" s="84">
        <v>272</v>
      </c>
      <c r="N283" s="84">
        <v>886</v>
      </c>
      <c r="O283" s="84">
        <v>0</v>
      </c>
      <c r="P283" s="139">
        <v>272</v>
      </c>
      <c r="Q283" s="139">
        <v>886</v>
      </c>
      <c r="R283" s="139">
        <v>0</v>
      </c>
      <c r="S283" s="133">
        <f t="shared" si="134"/>
        <v>1158</v>
      </c>
      <c r="T283" s="134">
        <v>272</v>
      </c>
      <c r="U283" s="130">
        <v>1.53</v>
      </c>
      <c r="V283" s="131">
        <v>1.9800000000000002E-2</v>
      </c>
      <c r="W283" s="131">
        <v>1.9800000000000002E-2</v>
      </c>
      <c r="X283" s="132">
        <v>1.2199999999999999E-3</v>
      </c>
      <c r="Y283" s="131">
        <v>3.95E-2</v>
      </c>
      <c r="Z283" s="29">
        <v>3532.43</v>
      </c>
      <c r="AA283" s="29"/>
      <c r="AB283" s="9">
        <f t="shared" si="113"/>
        <v>3532.43</v>
      </c>
      <c r="AC283" s="9">
        <f t="shared" si="112"/>
        <v>22360.28</v>
      </c>
      <c r="AD283" s="9">
        <v>0.38</v>
      </c>
      <c r="AE283" s="9">
        <v>3.71</v>
      </c>
      <c r="AF283" s="21">
        <f>2.36-AJ283</f>
        <v>2.12</v>
      </c>
      <c r="AG283" s="18">
        <f>0.53-AQ283</f>
        <v>0.42</v>
      </c>
      <c r="AH283" s="9">
        <v>2.78</v>
      </c>
      <c r="AI283" s="43">
        <v>851</v>
      </c>
      <c r="AJ283" s="21">
        <f t="shared" si="110"/>
        <v>0.24</v>
      </c>
      <c r="AK283" s="9">
        <v>0</v>
      </c>
      <c r="AL283" s="9">
        <v>0</v>
      </c>
      <c r="AM283" s="9">
        <v>0.27</v>
      </c>
      <c r="AN283" s="13"/>
      <c r="AO283" s="13">
        <v>801.6</v>
      </c>
      <c r="AP283" s="13">
        <f t="shared" si="135"/>
        <v>5.58</v>
      </c>
      <c r="AQ283" s="18">
        <f t="shared" si="111"/>
        <v>0.11</v>
      </c>
      <c r="AR283" s="9">
        <v>0.78</v>
      </c>
      <c r="AS283" s="9">
        <v>0.39</v>
      </c>
      <c r="AT283" s="9">
        <v>7.0000000000000007E-2</v>
      </c>
      <c r="AU283" s="9">
        <v>4.7</v>
      </c>
      <c r="AV283" s="9">
        <v>0.12</v>
      </c>
      <c r="AW283" s="9">
        <f>1.01+0.32+0.42</f>
        <v>1.75</v>
      </c>
      <c r="AX283" s="9">
        <f>1.39+0.55</f>
        <v>1.94</v>
      </c>
      <c r="AY283" s="120">
        <f t="shared" si="136"/>
        <v>19.78</v>
      </c>
      <c r="AZ283" s="13">
        <v>19.78</v>
      </c>
      <c r="BA283" s="13">
        <f t="shared" si="114"/>
        <v>0</v>
      </c>
      <c r="BB283" s="9">
        <f t="shared" si="115"/>
        <v>69871.47</v>
      </c>
      <c r="BC283" s="9">
        <v>19.78</v>
      </c>
      <c r="BD283" s="10">
        <v>44409</v>
      </c>
      <c r="BE283" s="9">
        <f t="shared" si="116"/>
        <v>1342.32</v>
      </c>
      <c r="BF283" s="9">
        <f t="shared" si="117"/>
        <v>13105.32</v>
      </c>
      <c r="BG283" s="9">
        <f t="shared" si="118"/>
        <v>7488.75</v>
      </c>
      <c r="BH283" s="9">
        <f t="shared" si="119"/>
        <v>1483.62</v>
      </c>
      <c r="BI283" s="9">
        <f t="shared" si="120"/>
        <v>9820.16</v>
      </c>
      <c r="BJ283" s="9">
        <f t="shared" si="121"/>
        <v>847.78</v>
      </c>
      <c r="BK283" s="9">
        <f t="shared" si="122"/>
        <v>0</v>
      </c>
      <c r="BL283" s="9">
        <f t="shared" si="123"/>
        <v>0</v>
      </c>
      <c r="BM283" s="9">
        <f t="shared" si="124"/>
        <v>953.76</v>
      </c>
      <c r="BN283" s="9">
        <f t="shared" si="125"/>
        <v>388.57</v>
      </c>
      <c r="BO283" s="9">
        <f t="shared" si="126"/>
        <v>2755.3</v>
      </c>
      <c r="BP283" s="9">
        <f t="shared" si="127"/>
        <v>1377.65</v>
      </c>
      <c r="BQ283" s="9">
        <f t="shared" si="128"/>
        <v>247.27</v>
      </c>
      <c r="BR283" s="9">
        <f t="shared" si="129"/>
        <v>16602.419999999998</v>
      </c>
      <c r="BS283" s="9">
        <f t="shared" si="130"/>
        <v>423.89</v>
      </c>
      <c r="BT283" s="9">
        <f t="shared" si="131"/>
        <v>6181.75</v>
      </c>
      <c r="BU283" s="9">
        <f t="shared" si="132"/>
        <v>6852.91</v>
      </c>
      <c r="BV283" s="17">
        <f t="shared" si="133"/>
        <v>69871.47</v>
      </c>
      <c r="BW283" s="17">
        <v>1.72</v>
      </c>
      <c r="BX283" s="17">
        <v>0.04</v>
      </c>
      <c r="BY283" s="17">
        <v>0.25</v>
      </c>
      <c r="BZ283" s="17">
        <v>0.05</v>
      </c>
      <c r="CA283" s="29">
        <v>6.33</v>
      </c>
      <c r="CB283" s="325"/>
      <c r="CC283" s="13">
        <v>0</v>
      </c>
      <c r="CD283" s="13">
        <v>0</v>
      </c>
      <c r="CE283" s="13">
        <v>0</v>
      </c>
      <c r="CF283" s="13">
        <v>0</v>
      </c>
      <c r="CG283" s="13">
        <v>0</v>
      </c>
      <c r="CH283" s="13">
        <v>0</v>
      </c>
      <c r="CI283" s="13">
        <v>1834.48</v>
      </c>
      <c r="CJ283" s="13">
        <v>27684</v>
      </c>
      <c r="CK283" s="13">
        <v>1358.92</v>
      </c>
      <c r="CL283" s="13">
        <v>838567.68</v>
      </c>
      <c r="CM283" s="13">
        <v>28967.71</v>
      </c>
      <c r="CN283" s="13">
        <v>34871.839999999997</v>
      </c>
      <c r="CO283" s="13">
        <v>-70.680000000000007</v>
      </c>
      <c r="CP283" s="13">
        <v>812.31</v>
      </c>
      <c r="CQ283" s="13">
        <v>0</v>
      </c>
      <c r="CR283" s="13">
        <v>739589.07</v>
      </c>
      <c r="CS283" s="13">
        <v>28760.39</v>
      </c>
      <c r="CT283" s="13">
        <v>29597.4</v>
      </c>
      <c r="CU283" s="13">
        <v>130.09</v>
      </c>
      <c r="CV283" s="13">
        <v>776.78</v>
      </c>
      <c r="CW283" s="13">
        <v>0</v>
      </c>
      <c r="CX283" s="13">
        <v>182310.35</v>
      </c>
      <c r="CY283" s="13">
        <v>5439.54</v>
      </c>
      <c r="CZ283" s="13">
        <v>646.72</v>
      </c>
      <c r="DA283" s="13">
        <v>-110.56</v>
      </c>
      <c r="DB283" s="13">
        <v>114.25</v>
      </c>
      <c r="DC283" s="13"/>
      <c r="DD283" s="315">
        <v>903148.86</v>
      </c>
      <c r="DE283" s="317">
        <v>798853.73</v>
      </c>
      <c r="DF283" s="317">
        <v>88.45</v>
      </c>
      <c r="DG283" s="318">
        <v>188400.3</v>
      </c>
      <c r="DH283" s="310">
        <v>37128.36</v>
      </c>
      <c r="DI283" s="310">
        <v>21234.12</v>
      </c>
      <c r="DJ283" s="312">
        <v>0</v>
      </c>
      <c r="DK283" s="362">
        <v>0</v>
      </c>
      <c r="DL283" s="362"/>
      <c r="DM283" s="362">
        <v>0</v>
      </c>
      <c r="DN283" s="362">
        <v>0</v>
      </c>
      <c r="DO283" s="362">
        <v>0</v>
      </c>
      <c r="DP283" s="362">
        <v>0</v>
      </c>
      <c r="DQ283" s="362">
        <v>0</v>
      </c>
      <c r="DR283" s="362"/>
      <c r="DS283" s="362">
        <v>0</v>
      </c>
      <c r="DT283" s="362"/>
      <c r="DU283" s="362">
        <v>0</v>
      </c>
      <c r="DV283" s="362">
        <v>0</v>
      </c>
      <c r="DW283" s="362">
        <v>0</v>
      </c>
      <c r="DX283" s="362">
        <v>0</v>
      </c>
      <c r="DY283" s="362">
        <v>0</v>
      </c>
      <c r="DZ283" s="375">
        <v>0</v>
      </c>
      <c r="EA283" s="362">
        <v>202338</v>
      </c>
      <c r="EB283" s="362">
        <v>6171</v>
      </c>
      <c r="EC283" s="362"/>
      <c r="ED283" s="362">
        <v>0</v>
      </c>
      <c r="EE283" s="362">
        <v>0</v>
      </c>
      <c r="EF283" s="362"/>
      <c r="EG283" s="362">
        <v>13542</v>
      </c>
      <c r="EH283" s="362">
        <v>30975</v>
      </c>
      <c r="EI283" s="362"/>
      <c r="EJ283" s="362">
        <v>16240</v>
      </c>
      <c r="EK283" s="362"/>
      <c r="EL283" s="362">
        <v>0</v>
      </c>
      <c r="EM283" s="362">
        <v>4472.9399999999996</v>
      </c>
      <c r="EN283" s="362">
        <v>0</v>
      </c>
      <c r="EO283" s="362">
        <v>0</v>
      </c>
      <c r="EP283" s="362">
        <v>216558</v>
      </c>
      <c r="EQ283" s="362">
        <v>0</v>
      </c>
      <c r="ER283" s="362">
        <v>16380</v>
      </c>
      <c r="ES283" s="362">
        <v>11304</v>
      </c>
      <c r="ET283" s="362">
        <v>12932</v>
      </c>
      <c r="EU283" s="362">
        <v>0</v>
      </c>
      <c r="EV283" s="362">
        <v>3187.64</v>
      </c>
      <c r="EW283" s="362"/>
      <c r="EX283" s="202"/>
      <c r="EY283" s="202"/>
      <c r="EZ283" s="229"/>
      <c r="FA283" s="368">
        <v>28924.91</v>
      </c>
      <c r="FB283" s="368">
        <v>42132.05</v>
      </c>
      <c r="FC283" s="368">
        <v>0</v>
      </c>
      <c r="FD283" s="368">
        <v>0</v>
      </c>
      <c r="FE283" s="368">
        <v>0</v>
      </c>
      <c r="FF283" s="368">
        <v>967.62</v>
      </c>
      <c r="FG283" s="368">
        <v>0</v>
      </c>
      <c r="FH283" s="368">
        <v>-956.5</v>
      </c>
      <c r="FI283" s="368">
        <v>0</v>
      </c>
      <c r="FJ283" s="368">
        <v>0</v>
      </c>
      <c r="FK283" s="368">
        <v>7733.09</v>
      </c>
      <c r="FL283" s="368">
        <v>0</v>
      </c>
      <c r="FM283" s="368">
        <v>94452.21</v>
      </c>
      <c r="FN283" s="368">
        <v>60057.4</v>
      </c>
      <c r="FO283" s="323">
        <v>746972.67</v>
      </c>
      <c r="FP283" s="323">
        <v>78801.17</v>
      </c>
      <c r="FQ283" s="323">
        <v>825773.84</v>
      </c>
      <c r="FR283" s="362">
        <v>88363.42</v>
      </c>
      <c r="FS283" s="362">
        <v>2909.91</v>
      </c>
      <c r="FT283" s="377">
        <v>91273.33</v>
      </c>
      <c r="FU283" s="377">
        <v>868086.16</v>
      </c>
      <c r="FV283" s="377">
        <v>65940.100000000006</v>
      </c>
      <c r="FW283" s="362">
        <v>934026.26</v>
      </c>
      <c r="FX283" s="362">
        <v>774139.23</v>
      </c>
      <c r="FY283" s="362">
        <v>62760.06</v>
      </c>
      <c r="FZ283" s="362">
        <v>836899.29</v>
      </c>
      <c r="GA283" s="362">
        <v>182310.35</v>
      </c>
      <c r="GB283" s="362">
        <v>6089.95</v>
      </c>
      <c r="GC283" s="362">
        <v>188400.3</v>
      </c>
      <c r="GD283" s="362">
        <v>53257.41</v>
      </c>
      <c r="GE283" s="362">
        <v>7794.27</v>
      </c>
      <c r="GF283" s="362">
        <v>61051.68</v>
      </c>
      <c r="GG283" s="202"/>
      <c r="GH283" s="416"/>
      <c r="GI283" s="414">
        <v>2455</v>
      </c>
      <c r="GJ283" s="419">
        <v>0</v>
      </c>
      <c r="GK283" s="396"/>
      <c r="GL283" s="202">
        <v>0</v>
      </c>
      <c r="GM283" s="202">
        <v>0</v>
      </c>
      <c r="GN283" s="323">
        <v>121113.49</v>
      </c>
      <c r="GO283" s="323">
        <v>-12861.07</v>
      </c>
      <c r="GP283" s="323">
        <v>108252.42</v>
      </c>
      <c r="GQ283" s="323">
        <v>174370.9</v>
      </c>
      <c r="GR283" s="323">
        <v>-5066.8</v>
      </c>
      <c r="GS283" s="323">
        <v>169304.1</v>
      </c>
    </row>
    <row r="284" spans="1:201" ht="12.75" customHeight="1" x14ac:dyDescent="0.2">
      <c r="A284" s="45" t="s">
        <v>762</v>
      </c>
      <c r="B284" s="117" t="s">
        <v>333</v>
      </c>
      <c r="C284" s="118" t="s">
        <v>67</v>
      </c>
      <c r="D284" s="388" t="s">
        <v>601</v>
      </c>
      <c r="E284" s="118" t="s">
        <v>9</v>
      </c>
      <c r="F284" s="11">
        <v>5</v>
      </c>
      <c r="G284" s="11">
        <v>4</v>
      </c>
      <c r="H284" s="11">
        <v>80</v>
      </c>
      <c r="I284" s="11">
        <v>0</v>
      </c>
      <c r="J284" s="11">
        <v>163</v>
      </c>
      <c r="K284" s="11">
        <v>177</v>
      </c>
      <c r="L284" s="11" t="s">
        <v>746</v>
      </c>
      <c r="M284" s="84">
        <v>278</v>
      </c>
      <c r="N284" s="84">
        <v>876</v>
      </c>
      <c r="O284" s="84">
        <v>0</v>
      </c>
      <c r="P284" s="139">
        <v>278</v>
      </c>
      <c r="Q284" s="139">
        <v>876</v>
      </c>
      <c r="R284" s="139">
        <v>0</v>
      </c>
      <c r="S284" s="133">
        <f t="shared" si="134"/>
        <v>1154</v>
      </c>
      <c r="T284" s="134">
        <v>278</v>
      </c>
      <c r="U284" s="130">
        <v>1.53</v>
      </c>
      <c r="V284" s="131">
        <v>1.9800000000000002E-2</v>
      </c>
      <c r="W284" s="131">
        <v>1.9800000000000002E-2</v>
      </c>
      <c r="X284" s="132">
        <v>1.2199999999999999E-3</v>
      </c>
      <c r="Y284" s="131">
        <v>3.95E-2</v>
      </c>
      <c r="Z284" s="29">
        <v>3535.23</v>
      </c>
      <c r="AA284" s="29"/>
      <c r="AB284" s="9">
        <f t="shared" si="113"/>
        <v>3535.23</v>
      </c>
      <c r="AC284" s="9">
        <f t="shared" si="112"/>
        <v>22378.01</v>
      </c>
      <c r="AD284" s="9">
        <v>0.39</v>
      </c>
      <c r="AE284" s="9">
        <v>3.63</v>
      </c>
      <c r="AF284" s="21">
        <f>2.41-AJ284</f>
        <v>2.17</v>
      </c>
      <c r="AG284" s="18">
        <f>0.53-AQ284</f>
        <v>0.42</v>
      </c>
      <c r="AH284" s="9">
        <v>2.78</v>
      </c>
      <c r="AI284" s="43">
        <v>841</v>
      </c>
      <c r="AJ284" s="21">
        <f t="shared" si="110"/>
        <v>0.24</v>
      </c>
      <c r="AK284" s="9">
        <v>0</v>
      </c>
      <c r="AL284" s="9">
        <v>0</v>
      </c>
      <c r="AM284" s="9">
        <v>0.27</v>
      </c>
      <c r="AN284" s="13"/>
      <c r="AO284" s="13">
        <v>801.6</v>
      </c>
      <c r="AP284" s="13">
        <f t="shared" si="135"/>
        <v>5.58</v>
      </c>
      <c r="AQ284" s="18">
        <f t="shared" si="111"/>
        <v>0.11</v>
      </c>
      <c r="AR284" s="9">
        <v>0.78</v>
      </c>
      <c r="AS284" s="9">
        <v>0.39</v>
      </c>
      <c r="AT284" s="9">
        <v>7.0000000000000007E-2</v>
      </c>
      <c r="AU284" s="9">
        <v>4.72</v>
      </c>
      <c r="AV284" s="9">
        <f>0.12</f>
        <v>0.12</v>
      </c>
      <c r="AW284" s="9">
        <f>1.01+0.42+0.31</f>
        <v>1.74</v>
      </c>
      <c r="AX284" s="9">
        <f>1.39+0.56</f>
        <v>1.95</v>
      </c>
      <c r="AY284" s="120">
        <f t="shared" si="136"/>
        <v>19.78</v>
      </c>
      <c r="AZ284" s="13">
        <v>19.78</v>
      </c>
      <c r="BA284" s="13">
        <f t="shared" si="114"/>
        <v>0</v>
      </c>
      <c r="BB284" s="9">
        <f t="shared" si="115"/>
        <v>69926.850000000006</v>
      </c>
      <c r="BC284" s="9">
        <v>19.78</v>
      </c>
      <c r="BD284" s="10">
        <v>44409</v>
      </c>
      <c r="BE284" s="9">
        <f t="shared" si="116"/>
        <v>1378.74</v>
      </c>
      <c r="BF284" s="9">
        <f t="shared" si="117"/>
        <v>12832.88</v>
      </c>
      <c r="BG284" s="9">
        <f t="shared" si="118"/>
        <v>7671.45</v>
      </c>
      <c r="BH284" s="9">
        <f t="shared" si="119"/>
        <v>1484.8</v>
      </c>
      <c r="BI284" s="9">
        <f t="shared" si="120"/>
        <v>9827.94</v>
      </c>
      <c r="BJ284" s="9">
        <f t="shared" si="121"/>
        <v>848.46</v>
      </c>
      <c r="BK284" s="9">
        <f t="shared" si="122"/>
        <v>0</v>
      </c>
      <c r="BL284" s="9">
        <f t="shared" si="123"/>
        <v>0</v>
      </c>
      <c r="BM284" s="9">
        <f t="shared" si="124"/>
        <v>954.51</v>
      </c>
      <c r="BN284" s="9">
        <f t="shared" si="125"/>
        <v>388.88</v>
      </c>
      <c r="BO284" s="9">
        <f t="shared" si="126"/>
        <v>2757.48</v>
      </c>
      <c r="BP284" s="9">
        <f t="shared" si="127"/>
        <v>1378.74</v>
      </c>
      <c r="BQ284" s="9">
        <f t="shared" si="128"/>
        <v>247.47</v>
      </c>
      <c r="BR284" s="9">
        <f t="shared" si="129"/>
        <v>16686.29</v>
      </c>
      <c r="BS284" s="9">
        <f t="shared" si="130"/>
        <v>424.23</v>
      </c>
      <c r="BT284" s="9">
        <f t="shared" si="131"/>
        <v>6151.3</v>
      </c>
      <c r="BU284" s="9">
        <f t="shared" si="132"/>
        <v>6893.7</v>
      </c>
      <c r="BV284" s="17">
        <f t="shared" si="133"/>
        <v>69926.87</v>
      </c>
      <c r="BW284" s="17">
        <v>1.71</v>
      </c>
      <c r="BX284" s="17">
        <v>0.04</v>
      </c>
      <c r="BY284" s="17">
        <v>0.26</v>
      </c>
      <c r="BZ284" s="17">
        <v>0.05</v>
      </c>
      <c r="CA284" s="29">
        <v>6.33</v>
      </c>
      <c r="CB284" s="325"/>
      <c r="CC284" s="13">
        <v>0</v>
      </c>
      <c r="CD284" s="13">
        <v>0</v>
      </c>
      <c r="CE284" s="13">
        <v>0</v>
      </c>
      <c r="CF284" s="13">
        <v>0</v>
      </c>
      <c r="CG284" s="13">
        <v>0</v>
      </c>
      <c r="CH284" s="13">
        <v>0</v>
      </c>
      <c r="CI284" s="13">
        <v>4322.33</v>
      </c>
      <c r="CJ284" s="13">
        <v>27684</v>
      </c>
      <c r="CK284" s="13">
        <v>1359.61</v>
      </c>
      <c r="CL284" s="13">
        <v>839122.08</v>
      </c>
      <c r="CM284" s="13">
        <v>84456.34</v>
      </c>
      <c r="CN284" s="13">
        <v>78517.97</v>
      </c>
      <c r="CO284" s="13">
        <v>0</v>
      </c>
      <c r="CP284" s="13">
        <v>848.64</v>
      </c>
      <c r="CQ284" s="13">
        <v>0</v>
      </c>
      <c r="CR284" s="13">
        <v>770342.85</v>
      </c>
      <c r="CS284" s="13">
        <v>74201.63</v>
      </c>
      <c r="CT284" s="13">
        <v>53446.559999999998</v>
      </c>
      <c r="CU284" s="13">
        <v>98.47</v>
      </c>
      <c r="CV284" s="13">
        <v>829.54</v>
      </c>
      <c r="CW284" s="13">
        <v>0</v>
      </c>
      <c r="CX284" s="13">
        <v>183051.19</v>
      </c>
      <c r="CY284" s="13">
        <v>21510.34</v>
      </c>
      <c r="CZ284" s="13">
        <v>11493.74</v>
      </c>
      <c r="DA284" s="13">
        <v>-113.18</v>
      </c>
      <c r="DB284" s="13">
        <v>143.22</v>
      </c>
      <c r="DC284" s="13"/>
      <c r="DD284" s="315">
        <v>1002945.03</v>
      </c>
      <c r="DE284" s="317">
        <v>898919.05</v>
      </c>
      <c r="DF284" s="317">
        <v>89.63</v>
      </c>
      <c r="DG284" s="318">
        <v>216085.31</v>
      </c>
      <c r="DH284" s="310">
        <v>37146.120000000003</v>
      </c>
      <c r="DI284" s="310">
        <v>21244.32</v>
      </c>
      <c r="DJ284" s="312">
        <v>0</v>
      </c>
      <c r="DK284" s="362">
        <v>0</v>
      </c>
      <c r="DL284" s="362"/>
      <c r="DM284" s="362">
        <v>0</v>
      </c>
      <c r="DN284" s="362">
        <v>0</v>
      </c>
      <c r="DO284" s="362">
        <v>0</v>
      </c>
      <c r="DP284" s="362">
        <v>0</v>
      </c>
      <c r="DQ284" s="362">
        <v>0</v>
      </c>
      <c r="DR284" s="362"/>
      <c r="DS284" s="362">
        <v>0</v>
      </c>
      <c r="DT284" s="362"/>
      <c r="DU284" s="362">
        <v>0</v>
      </c>
      <c r="DV284" s="362">
        <v>0</v>
      </c>
      <c r="DW284" s="362">
        <v>0</v>
      </c>
      <c r="DX284" s="362">
        <v>0</v>
      </c>
      <c r="DY284" s="362">
        <v>0</v>
      </c>
      <c r="DZ284" s="375">
        <v>0</v>
      </c>
      <c r="EA284" s="362">
        <v>198228</v>
      </c>
      <c r="EB284" s="362">
        <v>7157</v>
      </c>
      <c r="EC284" s="362"/>
      <c r="ED284" s="362">
        <v>0</v>
      </c>
      <c r="EE284" s="362">
        <v>0</v>
      </c>
      <c r="EF284" s="362"/>
      <c r="EG284" s="362">
        <v>13386</v>
      </c>
      <c r="EH284" s="362">
        <v>48125</v>
      </c>
      <c r="EI284" s="362"/>
      <c r="EJ284" s="362">
        <v>16080</v>
      </c>
      <c r="EK284" s="362"/>
      <c r="EL284" s="362">
        <v>0</v>
      </c>
      <c r="EM284" s="362">
        <v>4472.9399999999996</v>
      </c>
      <c r="EN284" s="362">
        <v>0</v>
      </c>
      <c r="EO284" s="362">
        <v>0</v>
      </c>
      <c r="EP284" s="362">
        <v>218178</v>
      </c>
      <c r="EQ284" s="362">
        <v>0</v>
      </c>
      <c r="ER284" s="362">
        <v>16380</v>
      </c>
      <c r="ES284" s="362">
        <v>11304</v>
      </c>
      <c r="ET284" s="362">
        <v>12932</v>
      </c>
      <c r="EU284" s="362">
        <v>0</v>
      </c>
      <c r="EV284" s="362">
        <v>37981.94</v>
      </c>
      <c r="EW284" s="362"/>
      <c r="EX284" s="202"/>
      <c r="EY284" s="202"/>
      <c r="EZ284" s="229"/>
      <c r="FA284" s="368">
        <v>86044.46</v>
      </c>
      <c r="FB284" s="368">
        <v>113669.84</v>
      </c>
      <c r="FC284" s="368">
        <v>0</v>
      </c>
      <c r="FD284" s="368">
        <v>0</v>
      </c>
      <c r="FE284" s="368">
        <v>0</v>
      </c>
      <c r="FF284" s="368">
        <v>988.96</v>
      </c>
      <c r="FG284" s="368">
        <v>0</v>
      </c>
      <c r="FH284" s="368">
        <v>-930.45</v>
      </c>
      <c r="FI284" s="368">
        <v>0</v>
      </c>
      <c r="FJ284" s="368">
        <v>0</v>
      </c>
      <c r="FK284" s="368">
        <v>63695.13</v>
      </c>
      <c r="FL284" s="368">
        <v>0</v>
      </c>
      <c r="FM284" s="368">
        <v>94514.58</v>
      </c>
      <c r="FN284" s="368">
        <v>60096.78</v>
      </c>
      <c r="FO284" s="323">
        <v>797226.68</v>
      </c>
      <c r="FP284" s="323">
        <v>263467.94</v>
      </c>
      <c r="FQ284" s="323">
        <v>1060694.6200000001</v>
      </c>
      <c r="FR284" s="362">
        <v>97835.520000000004</v>
      </c>
      <c r="FS284" s="362">
        <v>7513.46</v>
      </c>
      <c r="FT284" s="377">
        <v>105348.98</v>
      </c>
      <c r="FU284" s="377">
        <v>871128.41</v>
      </c>
      <c r="FV284" s="377">
        <v>165182.56</v>
      </c>
      <c r="FW284" s="362">
        <v>1036310.97</v>
      </c>
      <c r="FX284" s="362">
        <v>785912.74</v>
      </c>
      <c r="FY284" s="362">
        <v>139661.9</v>
      </c>
      <c r="FZ284" s="362">
        <v>925574.64</v>
      </c>
      <c r="GA284" s="362">
        <v>183051.19</v>
      </c>
      <c r="GB284" s="362">
        <v>33034.120000000003</v>
      </c>
      <c r="GC284" s="362">
        <v>216085.31</v>
      </c>
      <c r="GD284" s="362">
        <v>75608.58</v>
      </c>
      <c r="GE284" s="362">
        <v>2398.52</v>
      </c>
      <c r="GF284" s="362">
        <v>78007.100000000006</v>
      </c>
      <c r="GG284" s="202"/>
      <c r="GH284" s="416"/>
      <c r="GI284" s="414">
        <v>2455</v>
      </c>
      <c r="GJ284" s="419">
        <v>0</v>
      </c>
      <c r="GK284" s="396"/>
      <c r="GL284" s="202">
        <v>0</v>
      </c>
      <c r="GM284" s="202">
        <v>0</v>
      </c>
      <c r="GN284" s="323">
        <v>73901.73</v>
      </c>
      <c r="GO284" s="323">
        <v>-98285.38</v>
      </c>
      <c r="GP284" s="323">
        <v>-24383.65</v>
      </c>
      <c r="GQ284" s="323">
        <v>149510.31</v>
      </c>
      <c r="GR284" s="323">
        <v>-95886.86</v>
      </c>
      <c r="GS284" s="323">
        <v>53623.45</v>
      </c>
    </row>
    <row r="285" spans="1:201" ht="12.75" customHeight="1" x14ac:dyDescent="0.2">
      <c r="A285" s="45" t="s">
        <v>763</v>
      </c>
      <c r="B285" s="117" t="s">
        <v>333</v>
      </c>
      <c r="C285" s="118" t="s">
        <v>48</v>
      </c>
      <c r="D285" s="388" t="s">
        <v>524</v>
      </c>
      <c r="E285" s="118" t="s">
        <v>12</v>
      </c>
      <c r="F285" s="11">
        <v>5</v>
      </c>
      <c r="G285" s="11">
        <v>4</v>
      </c>
      <c r="H285" s="11">
        <v>80</v>
      </c>
      <c r="I285" s="11">
        <v>0</v>
      </c>
      <c r="J285" s="11">
        <v>158</v>
      </c>
      <c r="K285" s="11">
        <v>182</v>
      </c>
      <c r="L285" s="11" t="s">
        <v>746</v>
      </c>
      <c r="M285" s="84">
        <v>218</v>
      </c>
      <c r="N285" s="84">
        <v>892</v>
      </c>
      <c r="O285" s="84">
        <v>0</v>
      </c>
      <c r="P285" s="139">
        <v>218</v>
      </c>
      <c r="Q285" s="135">
        <v>881.8</v>
      </c>
      <c r="R285" s="133">
        <v>0</v>
      </c>
      <c r="S285" s="133">
        <f t="shared" si="134"/>
        <v>1099.8</v>
      </c>
      <c r="T285" s="139">
        <v>272</v>
      </c>
      <c r="U285" s="130">
        <v>1.53</v>
      </c>
      <c r="V285" s="131">
        <v>1.9800000000000002E-2</v>
      </c>
      <c r="W285" s="131">
        <v>1.9800000000000002E-2</v>
      </c>
      <c r="X285" s="132">
        <v>1.32E-3</v>
      </c>
      <c r="Y285" s="131">
        <v>3.95E-2</v>
      </c>
      <c r="Z285" s="29">
        <v>3535.59</v>
      </c>
      <c r="AA285" s="29"/>
      <c r="AB285" s="9">
        <f t="shared" si="113"/>
        <v>3535.59</v>
      </c>
      <c r="AC285" s="9">
        <f t="shared" si="112"/>
        <v>22380.28</v>
      </c>
      <c r="AD285" s="9">
        <v>0.32</v>
      </c>
      <c r="AE285" s="9">
        <v>4.46</v>
      </c>
      <c r="AF285" s="21">
        <f>2.42-AJ285</f>
        <v>2.1800000000000002</v>
      </c>
      <c r="AG285" s="18">
        <f>0.53-AQ285</f>
        <v>0.42</v>
      </c>
      <c r="AH285" s="9">
        <v>2.78</v>
      </c>
      <c r="AI285" s="43">
        <v>856</v>
      </c>
      <c r="AJ285" s="21">
        <f t="shared" si="110"/>
        <v>0.24</v>
      </c>
      <c r="AK285" s="9">
        <v>0</v>
      </c>
      <c r="AL285" s="9">
        <v>0</v>
      </c>
      <c r="AM285" s="9">
        <v>0</v>
      </c>
      <c r="AN285" s="13"/>
      <c r="AO285" s="13">
        <v>801.6</v>
      </c>
      <c r="AP285" s="13">
        <f t="shared" si="135"/>
        <v>5.58</v>
      </c>
      <c r="AQ285" s="18">
        <f t="shared" si="111"/>
        <v>0.11</v>
      </c>
      <c r="AR285" s="9">
        <v>0.78</v>
      </c>
      <c r="AS285" s="9">
        <v>0.39</v>
      </c>
      <c r="AT285" s="9">
        <v>7.0000000000000007E-2</v>
      </c>
      <c r="AU285" s="9">
        <v>4.3</v>
      </c>
      <c r="AV285" s="9">
        <v>0.12</v>
      </c>
      <c r="AW285" s="9">
        <f>1.05+0.38+0.3</f>
        <v>1.73</v>
      </c>
      <c r="AX285" s="9">
        <f>1.44+0.51</f>
        <v>1.95</v>
      </c>
      <c r="AY285" s="120">
        <f t="shared" si="136"/>
        <v>19.850000000000001</v>
      </c>
      <c r="AZ285" s="13">
        <v>19.850000000000001</v>
      </c>
      <c r="BA285" s="13">
        <f t="shared" si="114"/>
        <v>0</v>
      </c>
      <c r="BB285" s="9">
        <f t="shared" si="115"/>
        <v>70181.460000000006</v>
      </c>
      <c r="BC285" s="9">
        <v>19.850000000000001</v>
      </c>
      <c r="BD285" s="10">
        <v>44409</v>
      </c>
      <c r="BE285" s="9">
        <f t="shared" si="116"/>
        <v>1131.3900000000001</v>
      </c>
      <c r="BF285" s="9">
        <f t="shared" si="117"/>
        <v>15768.73</v>
      </c>
      <c r="BG285" s="9">
        <f t="shared" si="118"/>
        <v>7707.59</v>
      </c>
      <c r="BH285" s="9">
        <f t="shared" si="119"/>
        <v>1484.95</v>
      </c>
      <c r="BI285" s="9">
        <f t="shared" si="120"/>
        <v>9828.94</v>
      </c>
      <c r="BJ285" s="9">
        <f t="shared" si="121"/>
        <v>848.54</v>
      </c>
      <c r="BK285" s="9">
        <f t="shared" si="122"/>
        <v>0</v>
      </c>
      <c r="BL285" s="9">
        <f t="shared" si="123"/>
        <v>0</v>
      </c>
      <c r="BM285" s="9">
        <f t="shared" si="124"/>
        <v>0</v>
      </c>
      <c r="BN285" s="9">
        <f t="shared" si="125"/>
        <v>388.91</v>
      </c>
      <c r="BO285" s="9">
        <f t="shared" si="126"/>
        <v>2757.76</v>
      </c>
      <c r="BP285" s="9">
        <f t="shared" si="127"/>
        <v>1378.88</v>
      </c>
      <c r="BQ285" s="9">
        <f t="shared" si="128"/>
        <v>247.49</v>
      </c>
      <c r="BR285" s="9">
        <f t="shared" si="129"/>
        <v>15203.04</v>
      </c>
      <c r="BS285" s="9">
        <f t="shared" si="130"/>
        <v>424.27</v>
      </c>
      <c r="BT285" s="9">
        <f t="shared" si="131"/>
        <v>6116.57</v>
      </c>
      <c r="BU285" s="9">
        <f t="shared" si="132"/>
        <v>6894.4</v>
      </c>
      <c r="BV285" s="17">
        <f t="shared" si="133"/>
        <v>70181.460000000006</v>
      </c>
      <c r="BW285" s="17">
        <v>1.62</v>
      </c>
      <c r="BX285" s="17">
        <v>0.03</v>
      </c>
      <c r="BY285" s="17">
        <v>0.22</v>
      </c>
      <c r="BZ285" s="17">
        <v>0.04</v>
      </c>
      <c r="CA285" s="29">
        <v>6.33</v>
      </c>
      <c r="CB285" s="325"/>
      <c r="CC285" s="13">
        <v>0</v>
      </c>
      <c r="CD285" s="13">
        <v>0</v>
      </c>
      <c r="CE285" s="13">
        <v>0</v>
      </c>
      <c r="CF285" s="13">
        <v>0</v>
      </c>
      <c r="CG285" s="13">
        <v>0</v>
      </c>
      <c r="CH285" s="13">
        <v>0</v>
      </c>
      <c r="CI285" s="13">
        <v>3024.57</v>
      </c>
      <c r="CJ285" s="13">
        <v>27684</v>
      </c>
      <c r="CK285" s="13">
        <v>1359.54</v>
      </c>
      <c r="CL285" s="13">
        <v>842108.7</v>
      </c>
      <c r="CM285" s="13">
        <v>28140.79</v>
      </c>
      <c r="CN285" s="13">
        <v>0</v>
      </c>
      <c r="CO285" s="13">
        <v>1696.74</v>
      </c>
      <c r="CP285" s="13">
        <v>1874.69</v>
      </c>
      <c r="CQ285" s="13">
        <v>0</v>
      </c>
      <c r="CR285" s="13">
        <v>779932</v>
      </c>
      <c r="CS285" s="13">
        <v>29182.639999999999</v>
      </c>
      <c r="CT285" s="13">
        <v>358.02</v>
      </c>
      <c r="CU285" s="13">
        <v>1495.97</v>
      </c>
      <c r="CV285" s="13">
        <v>1703.02</v>
      </c>
      <c r="CW285" s="13">
        <v>0</v>
      </c>
      <c r="CX285" s="13">
        <v>130365.45</v>
      </c>
      <c r="CY285" s="13">
        <v>5154.54</v>
      </c>
      <c r="CZ285" s="13">
        <v>-774.25</v>
      </c>
      <c r="DA285" s="13">
        <v>276.68</v>
      </c>
      <c r="DB285" s="13">
        <v>314.23</v>
      </c>
      <c r="DC285" s="13"/>
      <c r="DD285" s="315">
        <v>873820.92</v>
      </c>
      <c r="DE285" s="317">
        <v>812671.65</v>
      </c>
      <c r="DF285" s="317">
        <v>93</v>
      </c>
      <c r="DG285" s="318">
        <v>135336.65</v>
      </c>
      <c r="DH285" s="310">
        <v>37143.599999999999</v>
      </c>
      <c r="DI285" s="310">
        <v>21242.880000000001</v>
      </c>
      <c r="DJ285" s="312">
        <v>0</v>
      </c>
      <c r="DK285" s="362">
        <v>0</v>
      </c>
      <c r="DL285" s="362"/>
      <c r="DM285" s="362">
        <v>0</v>
      </c>
      <c r="DN285" s="362">
        <v>0</v>
      </c>
      <c r="DO285" s="362">
        <v>0</v>
      </c>
      <c r="DP285" s="362">
        <v>0</v>
      </c>
      <c r="DQ285" s="362">
        <v>0</v>
      </c>
      <c r="DR285" s="362"/>
      <c r="DS285" s="362">
        <v>0</v>
      </c>
      <c r="DT285" s="362"/>
      <c r="DU285" s="362">
        <v>0</v>
      </c>
      <c r="DV285" s="362">
        <v>0</v>
      </c>
      <c r="DW285" s="362">
        <v>0</v>
      </c>
      <c r="DX285" s="362">
        <v>0</v>
      </c>
      <c r="DY285" s="362">
        <v>0</v>
      </c>
      <c r="DZ285" s="375">
        <v>0</v>
      </c>
      <c r="EA285" s="362">
        <v>235542</v>
      </c>
      <c r="EB285" s="362">
        <v>6171</v>
      </c>
      <c r="EC285" s="362"/>
      <c r="ED285" s="362">
        <v>0</v>
      </c>
      <c r="EE285" s="362">
        <v>0</v>
      </c>
      <c r="EF285" s="362"/>
      <c r="EG285" s="362">
        <v>13620</v>
      </c>
      <c r="EH285" s="362">
        <v>35630</v>
      </c>
      <c r="EI285" s="362"/>
      <c r="EJ285" s="362">
        <v>16320</v>
      </c>
      <c r="EK285" s="362"/>
      <c r="EL285" s="362">
        <v>0</v>
      </c>
      <c r="EM285" s="362">
        <v>4472.9399999999996</v>
      </c>
      <c r="EN285" s="362">
        <v>0</v>
      </c>
      <c r="EO285" s="362">
        <v>0</v>
      </c>
      <c r="EP285" s="362">
        <v>218994</v>
      </c>
      <c r="EQ285" s="362">
        <v>0</v>
      </c>
      <c r="ER285" s="362">
        <v>16380</v>
      </c>
      <c r="ES285" s="362">
        <v>0</v>
      </c>
      <c r="ET285" s="362">
        <v>12932</v>
      </c>
      <c r="EU285" s="362">
        <v>0</v>
      </c>
      <c r="EV285" s="362">
        <v>34616</v>
      </c>
      <c r="EW285" s="362"/>
      <c r="EX285" s="202"/>
      <c r="EY285" s="202"/>
      <c r="EZ285" s="229"/>
      <c r="FA285" s="368">
        <v>28143.51</v>
      </c>
      <c r="FB285" s="368">
        <v>0</v>
      </c>
      <c r="FC285" s="368">
        <v>0</v>
      </c>
      <c r="FD285" s="368">
        <v>0</v>
      </c>
      <c r="FE285" s="368">
        <v>1803.98</v>
      </c>
      <c r="FF285" s="368">
        <v>1930.34</v>
      </c>
      <c r="FG285" s="368">
        <v>0</v>
      </c>
      <c r="FH285" s="368">
        <v>-904.43</v>
      </c>
      <c r="FI285" s="368">
        <v>0</v>
      </c>
      <c r="FJ285" s="368">
        <v>0</v>
      </c>
      <c r="FK285" s="368">
        <v>266.49</v>
      </c>
      <c r="FL285" s="368">
        <v>0</v>
      </c>
      <c r="FM285" s="368">
        <v>94516.02</v>
      </c>
      <c r="FN285" s="368">
        <v>60097.599999999999</v>
      </c>
      <c r="FO285" s="323">
        <v>807678.04</v>
      </c>
      <c r="FP285" s="323">
        <v>31239.89</v>
      </c>
      <c r="FQ285" s="323">
        <v>838917.93</v>
      </c>
      <c r="FR285" s="362">
        <v>62274.400000000001</v>
      </c>
      <c r="FS285" s="362">
        <v>3369.08</v>
      </c>
      <c r="FT285" s="377">
        <v>65643.48</v>
      </c>
      <c r="FU285" s="377">
        <v>872817.27</v>
      </c>
      <c r="FV285" s="377">
        <v>33071.760000000002</v>
      </c>
      <c r="FW285" s="362">
        <v>905889.03</v>
      </c>
      <c r="FX285" s="362">
        <v>804726.22</v>
      </c>
      <c r="FY285" s="362">
        <v>31469.64</v>
      </c>
      <c r="FZ285" s="362">
        <v>836195.86</v>
      </c>
      <c r="GA285" s="362">
        <v>130365.45</v>
      </c>
      <c r="GB285" s="362">
        <v>4971.2</v>
      </c>
      <c r="GC285" s="362">
        <v>135336.65</v>
      </c>
      <c r="GD285" s="362">
        <v>69259.520000000004</v>
      </c>
      <c r="GE285" s="362">
        <v>7648.16</v>
      </c>
      <c r="GF285" s="362">
        <v>76907.679999999993</v>
      </c>
      <c r="GG285" s="202"/>
      <c r="GH285" s="416"/>
      <c r="GI285" s="414">
        <v>2455</v>
      </c>
      <c r="GJ285" s="419">
        <v>0</v>
      </c>
      <c r="GK285" s="396"/>
      <c r="GL285" s="202">
        <v>0</v>
      </c>
      <c r="GM285" s="202">
        <v>0</v>
      </c>
      <c r="GN285" s="323">
        <v>65139.23</v>
      </c>
      <c r="GO285" s="323">
        <v>1831.87</v>
      </c>
      <c r="GP285" s="323">
        <v>66971.100000000006</v>
      </c>
      <c r="GQ285" s="323">
        <v>134398.75</v>
      </c>
      <c r="GR285" s="323">
        <v>9480.0300000000007</v>
      </c>
      <c r="GS285" s="323">
        <v>143878.78</v>
      </c>
    </row>
    <row r="286" spans="1:201" ht="12.75" customHeight="1" x14ac:dyDescent="0.2">
      <c r="A286" s="45" t="s">
        <v>764</v>
      </c>
      <c r="B286" s="117" t="s">
        <v>333</v>
      </c>
      <c r="C286" s="118" t="s">
        <v>15</v>
      </c>
      <c r="D286" s="388" t="s">
        <v>525</v>
      </c>
      <c r="E286" s="118" t="s">
        <v>12</v>
      </c>
      <c r="F286" s="11">
        <v>5</v>
      </c>
      <c r="G286" s="11">
        <v>4</v>
      </c>
      <c r="H286" s="11">
        <v>80</v>
      </c>
      <c r="I286" s="11">
        <v>0</v>
      </c>
      <c r="J286" s="11">
        <v>177</v>
      </c>
      <c r="K286" s="11">
        <v>193</v>
      </c>
      <c r="L286" s="11" t="s">
        <v>746</v>
      </c>
      <c r="M286" s="84">
        <v>274</v>
      </c>
      <c r="N286" s="84">
        <v>882</v>
      </c>
      <c r="O286" s="84">
        <v>0</v>
      </c>
      <c r="P286" s="139">
        <v>274</v>
      </c>
      <c r="Q286" s="139">
        <v>882</v>
      </c>
      <c r="R286" s="139">
        <v>0</v>
      </c>
      <c r="S286" s="133">
        <f t="shared" si="134"/>
        <v>1156</v>
      </c>
      <c r="T286" s="134">
        <v>274</v>
      </c>
      <c r="U286" s="130">
        <v>1.53</v>
      </c>
      <c r="V286" s="131">
        <v>1.9800000000000002E-2</v>
      </c>
      <c r="W286" s="131">
        <v>1.9800000000000002E-2</v>
      </c>
      <c r="X286" s="132">
        <v>1.2199999999999999E-3</v>
      </c>
      <c r="Y286" s="131">
        <v>3.95E-2</v>
      </c>
      <c r="Z286" s="29">
        <v>3443.86</v>
      </c>
      <c r="AA286" s="29">
        <v>89.9</v>
      </c>
      <c r="AB286" s="9">
        <f t="shared" si="113"/>
        <v>3533.76</v>
      </c>
      <c r="AC286" s="9">
        <f t="shared" si="112"/>
        <v>22368.7</v>
      </c>
      <c r="AD286" s="9">
        <v>0.4</v>
      </c>
      <c r="AE286" s="9">
        <v>4.1100000000000003</v>
      </c>
      <c r="AF286" s="21">
        <f>2.43-AJ286</f>
        <v>2.19</v>
      </c>
      <c r="AG286" s="18">
        <f>0.54-AQ286</f>
        <v>0.43</v>
      </c>
      <c r="AH286" s="9">
        <v>2.78</v>
      </c>
      <c r="AI286" s="43">
        <v>847</v>
      </c>
      <c r="AJ286" s="21">
        <f t="shared" si="110"/>
        <v>0.24</v>
      </c>
      <c r="AK286" s="9">
        <v>0</v>
      </c>
      <c r="AL286" s="9">
        <v>0</v>
      </c>
      <c r="AM286" s="9">
        <v>0.17</v>
      </c>
      <c r="AN286" s="13"/>
      <c r="AO286" s="13">
        <v>801.6</v>
      </c>
      <c r="AP286" s="13">
        <f t="shared" si="135"/>
        <v>5.58</v>
      </c>
      <c r="AQ286" s="18">
        <f t="shared" si="111"/>
        <v>0.11</v>
      </c>
      <c r="AR286" s="9">
        <v>0.79</v>
      </c>
      <c r="AS286" s="9">
        <v>0.4</v>
      </c>
      <c r="AT286" s="9">
        <v>7.0000000000000007E-2</v>
      </c>
      <c r="AU286" s="9">
        <v>4.3099999999999996</v>
      </c>
      <c r="AV286" s="9">
        <v>0.12</v>
      </c>
      <c r="AW286" s="9">
        <f>1.05+0.32+0.37</f>
        <v>1.74</v>
      </c>
      <c r="AX286" s="9">
        <f>1.44+0.51</f>
        <v>1.95</v>
      </c>
      <c r="AY286" s="120">
        <f t="shared" si="136"/>
        <v>19.809999999999999</v>
      </c>
      <c r="AZ286" s="13">
        <v>19.809999999999999</v>
      </c>
      <c r="BA286" s="13">
        <f t="shared" si="114"/>
        <v>0</v>
      </c>
      <c r="BB286" s="9">
        <f t="shared" si="115"/>
        <v>70003.789999999994</v>
      </c>
      <c r="BC286" s="9">
        <v>19.809999999999999</v>
      </c>
      <c r="BD286" s="10">
        <v>44409</v>
      </c>
      <c r="BE286" s="9">
        <f t="shared" si="116"/>
        <v>1413.5</v>
      </c>
      <c r="BF286" s="9">
        <f t="shared" si="117"/>
        <v>14523.75</v>
      </c>
      <c r="BG286" s="9">
        <f t="shared" si="118"/>
        <v>7738.93</v>
      </c>
      <c r="BH286" s="9">
        <f t="shared" si="119"/>
        <v>1519.52</v>
      </c>
      <c r="BI286" s="9">
        <f t="shared" si="120"/>
        <v>9823.85</v>
      </c>
      <c r="BJ286" s="9">
        <f t="shared" si="121"/>
        <v>848.1</v>
      </c>
      <c r="BK286" s="9">
        <f t="shared" si="122"/>
        <v>0</v>
      </c>
      <c r="BL286" s="9">
        <f t="shared" si="123"/>
        <v>0</v>
      </c>
      <c r="BM286" s="9">
        <f t="shared" si="124"/>
        <v>600.74</v>
      </c>
      <c r="BN286" s="9">
        <f t="shared" si="125"/>
        <v>388.71</v>
      </c>
      <c r="BO286" s="9">
        <f t="shared" si="126"/>
        <v>2791.67</v>
      </c>
      <c r="BP286" s="9">
        <f t="shared" si="127"/>
        <v>1413.5</v>
      </c>
      <c r="BQ286" s="9">
        <f t="shared" si="128"/>
        <v>247.36</v>
      </c>
      <c r="BR286" s="9">
        <f t="shared" si="129"/>
        <v>15230.51</v>
      </c>
      <c r="BS286" s="9">
        <f t="shared" si="130"/>
        <v>424.05</v>
      </c>
      <c r="BT286" s="9">
        <f t="shared" si="131"/>
        <v>6148.74</v>
      </c>
      <c r="BU286" s="9">
        <f t="shared" si="132"/>
        <v>6890.83</v>
      </c>
      <c r="BV286" s="17">
        <f t="shared" si="133"/>
        <v>70003.759999999995</v>
      </c>
      <c r="BW286" s="17">
        <v>1.78</v>
      </c>
      <c r="BX286" s="17">
        <v>0.04</v>
      </c>
      <c r="BY286" s="17">
        <v>0.26</v>
      </c>
      <c r="BZ286" s="17">
        <v>0.05</v>
      </c>
      <c r="CA286" s="29">
        <v>6.33</v>
      </c>
      <c r="CB286" s="325"/>
      <c r="CC286" s="13">
        <v>21371.040000000001</v>
      </c>
      <c r="CD286" s="13">
        <v>1846.55</v>
      </c>
      <c r="CE286" s="13">
        <v>413.54</v>
      </c>
      <c r="CF286" s="13">
        <v>341.62</v>
      </c>
      <c r="CG286" s="13">
        <v>211.28</v>
      </c>
      <c r="CH286" s="13">
        <v>0</v>
      </c>
      <c r="CI286" s="13">
        <v>2139.09</v>
      </c>
      <c r="CJ286" s="13">
        <v>27684</v>
      </c>
      <c r="CK286" s="13">
        <v>1359.05</v>
      </c>
      <c r="CL286" s="13">
        <v>818675.64</v>
      </c>
      <c r="CM286" s="13">
        <v>70736.62</v>
      </c>
      <c r="CN286" s="13">
        <v>15290.75</v>
      </c>
      <c r="CO286" s="13">
        <v>13638.02</v>
      </c>
      <c r="CP286" s="13">
        <v>8093.73</v>
      </c>
      <c r="CQ286" s="13">
        <v>0</v>
      </c>
      <c r="CR286" s="13">
        <v>763979.23</v>
      </c>
      <c r="CS286" s="13">
        <v>68519.16</v>
      </c>
      <c r="CT286" s="13">
        <v>14281.85</v>
      </c>
      <c r="CU286" s="13">
        <v>11118.05</v>
      </c>
      <c r="CV286" s="13">
        <v>6914.93</v>
      </c>
      <c r="CW286" s="13">
        <v>0</v>
      </c>
      <c r="CX286" s="13">
        <v>150601.07</v>
      </c>
      <c r="CY286" s="13">
        <v>9955.09</v>
      </c>
      <c r="CZ286" s="13">
        <v>1273.0999999999999</v>
      </c>
      <c r="DA286" s="13">
        <v>1756.23</v>
      </c>
      <c r="DB286" s="13">
        <v>1074.8900000000001</v>
      </c>
      <c r="DC286" s="13"/>
      <c r="DD286" s="315">
        <v>926434.76</v>
      </c>
      <c r="DE286" s="317">
        <v>864813.22</v>
      </c>
      <c r="DF286" s="317">
        <v>93.35</v>
      </c>
      <c r="DG286" s="318">
        <v>164660.38</v>
      </c>
      <c r="DH286" s="310">
        <v>36186.120000000003</v>
      </c>
      <c r="DI286" s="310">
        <v>20695.2</v>
      </c>
      <c r="DJ286" s="312">
        <v>0</v>
      </c>
      <c r="DK286" s="362">
        <v>0</v>
      </c>
      <c r="DL286" s="362"/>
      <c r="DM286" s="362">
        <v>0</v>
      </c>
      <c r="DN286" s="362">
        <v>0</v>
      </c>
      <c r="DO286" s="362">
        <v>0</v>
      </c>
      <c r="DP286" s="362">
        <v>0</v>
      </c>
      <c r="DQ286" s="362">
        <v>0</v>
      </c>
      <c r="DR286" s="362"/>
      <c r="DS286" s="362">
        <v>0</v>
      </c>
      <c r="DT286" s="362"/>
      <c r="DU286" s="362">
        <v>0</v>
      </c>
      <c r="DV286" s="362">
        <v>0</v>
      </c>
      <c r="DW286" s="362">
        <v>0</v>
      </c>
      <c r="DX286" s="362">
        <v>0</v>
      </c>
      <c r="DY286" s="362">
        <v>0</v>
      </c>
      <c r="DZ286" s="375">
        <v>3800</v>
      </c>
      <c r="EA286" s="362">
        <v>216162</v>
      </c>
      <c r="EB286" s="362">
        <v>7157</v>
      </c>
      <c r="EC286" s="362"/>
      <c r="ED286" s="362">
        <v>0</v>
      </c>
      <c r="EE286" s="362">
        <v>0</v>
      </c>
      <c r="EF286" s="362"/>
      <c r="EG286" s="362">
        <v>13476</v>
      </c>
      <c r="EH286" s="362">
        <v>22680</v>
      </c>
      <c r="EI286" s="362"/>
      <c r="EJ286" s="362">
        <v>12120</v>
      </c>
      <c r="EK286" s="362"/>
      <c r="EL286" s="362">
        <v>0</v>
      </c>
      <c r="EM286" s="362">
        <v>4472.9399999999996</v>
      </c>
      <c r="EN286" s="362">
        <v>0</v>
      </c>
      <c r="EO286" s="362">
        <v>0</v>
      </c>
      <c r="EP286" s="362">
        <v>213330</v>
      </c>
      <c r="EQ286" s="362">
        <v>0</v>
      </c>
      <c r="ER286" s="362">
        <v>15015</v>
      </c>
      <c r="ES286" s="362">
        <v>6924</v>
      </c>
      <c r="ET286" s="362">
        <v>12826</v>
      </c>
      <c r="EU286" s="362">
        <v>0</v>
      </c>
      <c r="EV286" s="362">
        <v>57440.71</v>
      </c>
      <c r="EW286" s="362"/>
      <c r="EX286" s="202"/>
      <c r="EY286" s="202"/>
      <c r="EZ286" s="229"/>
      <c r="FA286" s="368">
        <v>71474.17</v>
      </c>
      <c r="FB286" s="368">
        <v>15692.76</v>
      </c>
      <c r="FC286" s="368">
        <v>0</v>
      </c>
      <c r="FD286" s="368">
        <v>0</v>
      </c>
      <c r="FE286" s="368">
        <v>14551.57</v>
      </c>
      <c r="FF286" s="368">
        <v>8766.49</v>
      </c>
      <c r="FG286" s="368">
        <v>0</v>
      </c>
      <c r="FH286" s="368">
        <v>-929.7</v>
      </c>
      <c r="FI286" s="368">
        <v>0</v>
      </c>
      <c r="FJ286" s="368">
        <v>0</v>
      </c>
      <c r="FK286" s="368">
        <v>23369.78</v>
      </c>
      <c r="FL286" s="368">
        <v>0</v>
      </c>
      <c r="FM286" s="368">
        <v>94475.29</v>
      </c>
      <c r="FN286" s="368">
        <v>60071.8</v>
      </c>
      <c r="FO286" s="323">
        <v>796832.06</v>
      </c>
      <c r="FP286" s="323">
        <v>132925.07</v>
      </c>
      <c r="FQ286" s="323">
        <v>929757.13</v>
      </c>
      <c r="FR286" s="362">
        <v>86056.29</v>
      </c>
      <c r="FS286" s="362">
        <v>5325.48</v>
      </c>
      <c r="FT286" s="377">
        <v>91381.77</v>
      </c>
      <c r="FU286" s="377">
        <v>869869.77</v>
      </c>
      <c r="FV286" s="377">
        <v>111931.16</v>
      </c>
      <c r="FW286" s="362">
        <v>981800.93</v>
      </c>
      <c r="FX286" s="362">
        <v>777345.41</v>
      </c>
      <c r="FY286" s="362">
        <v>99381.93</v>
      </c>
      <c r="FZ286" s="362">
        <v>876727.34</v>
      </c>
      <c r="GA286" s="362">
        <v>178580.65</v>
      </c>
      <c r="GB286" s="362">
        <v>17874.71</v>
      </c>
      <c r="GC286" s="362">
        <v>196455.36</v>
      </c>
      <c r="GD286" s="362">
        <v>-59905.26</v>
      </c>
      <c r="GE286" s="362">
        <v>2154.0100000000002</v>
      </c>
      <c r="GF286" s="362">
        <v>-57751.25</v>
      </c>
      <c r="GG286" s="202">
        <v>31794.98</v>
      </c>
      <c r="GH286" s="416">
        <v>88</v>
      </c>
      <c r="GI286" s="414">
        <v>2455</v>
      </c>
      <c r="GJ286" s="419">
        <v>24184.03</v>
      </c>
      <c r="GK286" s="396">
        <v>31794.98</v>
      </c>
      <c r="GL286" s="202">
        <v>27979.582399999999</v>
      </c>
      <c r="GM286" s="202">
        <v>3815.3975999999998</v>
      </c>
      <c r="GN286" s="323">
        <v>73037.710000000006</v>
      </c>
      <c r="GO286" s="323">
        <v>-20993.91</v>
      </c>
      <c r="GP286" s="323">
        <v>52043.8</v>
      </c>
      <c r="GQ286" s="323">
        <v>13132.45</v>
      </c>
      <c r="GR286" s="323">
        <v>-18839.900000000001</v>
      </c>
      <c r="GS286" s="323">
        <v>-5707.45</v>
      </c>
    </row>
    <row r="287" spans="1:201" ht="12.75" customHeight="1" x14ac:dyDescent="0.2">
      <c r="A287" s="45" t="s">
        <v>765</v>
      </c>
      <c r="B287" s="117" t="s">
        <v>333</v>
      </c>
      <c r="C287" s="118" t="s">
        <v>17</v>
      </c>
      <c r="D287" s="388" t="s">
        <v>526</v>
      </c>
      <c r="E287" s="118" t="s">
        <v>12</v>
      </c>
      <c r="F287" s="11">
        <v>5</v>
      </c>
      <c r="G287" s="11">
        <v>4</v>
      </c>
      <c r="H287" s="11">
        <v>80</v>
      </c>
      <c r="I287" s="11">
        <v>0</v>
      </c>
      <c r="J287" s="11">
        <v>168</v>
      </c>
      <c r="K287" s="11">
        <v>199</v>
      </c>
      <c r="L287" s="11" t="s">
        <v>746</v>
      </c>
      <c r="M287" s="84">
        <v>286</v>
      </c>
      <c r="N287" s="84">
        <v>896</v>
      </c>
      <c r="O287" s="84">
        <v>0</v>
      </c>
      <c r="P287" s="139">
        <v>286</v>
      </c>
      <c r="Q287" s="139">
        <v>896</v>
      </c>
      <c r="R287" s="139">
        <v>0</v>
      </c>
      <c r="S287" s="133">
        <f t="shared" si="134"/>
        <v>1182</v>
      </c>
      <c r="T287" s="134">
        <v>286</v>
      </c>
      <c r="U287" s="130">
        <v>1.53</v>
      </c>
      <c r="V287" s="131">
        <v>1.9800000000000002E-2</v>
      </c>
      <c r="W287" s="131">
        <v>1.9800000000000002E-2</v>
      </c>
      <c r="X287" s="132">
        <v>1.32E-3</v>
      </c>
      <c r="Y287" s="131">
        <v>3.95E-2</v>
      </c>
      <c r="Z287" s="29">
        <v>3625.42</v>
      </c>
      <c r="AA287" s="29"/>
      <c r="AB287" s="9">
        <f t="shared" si="113"/>
        <v>3625.42</v>
      </c>
      <c r="AC287" s="9">
        <f t="shared" si="112"/>
        <v>22948.91</v>
      </c>
      <c r="AD287" s="9">
        <v>0.39</v>
      </c>
      <c r="AE287" s="9">
        <v>3.81</v>
      </c>
      <c r="AF287" s="21">
        <f>2.41-AJ287</f>
        <v>2.17</v>
      </c>
      <c r="AG287" s="18">
        <f>0.53-AQ287</f>
        <v>0.43</v>
      </c>
      <c r="AH287" s="9">
        <v>2.78</v>
      </c>
      <c r="AI287" s="43">
        <v>860</v>
      </c>
      <c r="AJ287" s="21">
        <f t="shared" si="110"/>
        <v>0.24</v>
      </c>
      <c r="AK287" s="9">
        <v>0</v>
      </c>
      <c r="AL287" s="9">
        <v>0</v>
      </c>
      <c r="AM287" s="9">
        <v>0.26</v>
      </c>
      <c r="AN287" s="13"/>
      <c r="AO287" s="13">
        <v>801.6</v>
      </c>
      <c r="AP287" s="13">
        <f t="shared" si="135"/>
        <v>5.58</v>
      </c>
      <c r="AQ287" s="18">
        <f t="shared" si="111"/>
        <v>0.1</v>
      </c>
      <c r="AR287" s="9">
        <v>0.75</v>
      </c>
      <c r="AS287" s="9">
        <v>0.37</v>
      </c>
      <c r="AT287" s="9">
        <v>7.0000000000000007E-2</v>
      </c>
      <c r="AU287" s="9">
        <v>4.6900000000000004</v>
      </c>
      <c r="AV287" s="9">
        <v>0.12</v>
      </c>
      <c r="AW287" s="9">
        <f>1.02+0.41+0.31</f>
        <v>1.74</v>
      </c>
      <c r="AX287" s="9">
        <f>1.4+0.56</f>
        <v>1.96</v>
      </c>
      <c r="AY287" s="120">
        <f t="shared" si="136"/>
        <v>19.88</v>
      </c>
      <c r="AZ287" s="13">
        <v>19.88</v>
      </c>
      <c r="BA287" s="13">
        <f t="shared" si="114"/>
        <v>0</v>
      </c>
      <c r="BB287" s="9">
        <f t="shared" si="115"/>
        <v>72073.350000000006</v>
      </c>
      <c r="BC287" s="9">
        <v>19.88</v>
      </c>
      <c r="BD287" s="10">
        <v>44409</v>
      </c>
      <c r="BE287" s="9">
        <f t="shared" si="116"/>
        <v>1413.91</v>
      </c>
      <c r="BF287" s="9">
        <f t="shared" si="117"/>
        <v>13812.85</v>
      </c>
      <c r="BG287" s="9">
        <f t="shared" si="118"/>
        <v>7867.16</v>
      </c>
      <c r="BH287" s="9">
        <f t="shared" si="119"/>
        <v>1558.93</v>
      </c>
      <c r="BI287" s="9">
        <f t="shared" si="120"/>
        <v>10078.67</v>
      </c>
      <c r="BJ287" s="9">
        <f t="shared" si="121"/>
        <v>870.1</v>
      </c>
      <c r="BK287" s="9">
        <f t="shared" si="122"/>
        <v>0</v>
      </c>
      <c r="BL287" s="9">
        <f t="shared" si="123"/>
        <v>0</v>
      </c>
      <c r="BM287" s="9">
        <f t="shared" si="124"/>
        <v>942.61</v>
      </c>
      <c r="BN287" s="9">
        <f t="shared" si="125"/>
        <v>362.54</v>
      </c>
      <c r="BO287" s="9">
        <f t="shared" si="126"/>
        <v>2719.07</v>
      </c>
      <c r="BP287" s="9">
        <f t="shared" si="127"/>
        <v>1341.41</v>
      </c>
      <c r="BQ287" s="9">
        <f t="shared" si="128"/>
        <v>253.78</v>
      </c>
      <c r="BR287" s="9">
        <f t="shared" si="129"/>
        <v>17003.22</v>
      </c>
      <c r="BS287" s="9">
        <f t="shared" si="130"/>
        <v>435.05</v>
      </c>
      <c r="BT287" s="9">
        <f t="shared" si="131"/>
        <v>6308.23</v>
      </c>
      <c r="BU287" s="9">
        <f t="shared" si="132"/>
        <v>7105.82</v>
      </c>
      <c r="BV287" s="17">
        <f t="shared" si="133"/>
        <v>72073.350000000006</v>
      </c>
      <c r="BW287" s="17">
        <v>1.73</v>
      </c>
      <c r="BX287" s="17">
        <v>0.04</v>
      </c>
      <c r="BY287" s="17">
        <v>0.28000000000000003</v>
      </c>
      <c r="BZ287" s="17">
        <v>0.05</v>
      </c>
      <c r="CA287" s="29">
        <v>6.33</v>
      </c>
      <c r="CB287" s="325"/>
      <c r="CC287" s="13">
        <v>0</v>
      </c>
      <c r="CD287" s="13">
        <v>0</v>
      </c>
      <c r="CE287" s="13">
        <v>0</v>
      </c>
      <c r="CF287" s="13">
        <v>0</v>
      </c>
      <c r="CG287" s="13">
        <v>0</v>
      </c>
      <c r="CH287" s="13">
        <v>0</v>
      </c>
      <c r="CI287" s="13">
        <v>1416.43</v>
      </c>
      <c r="CJ287" s="13">
        <v>27684</v>
      </c>
      <c r="CK287" s="13">
        <v>1394.3</v>
      </c>
      <c r="CL287" s="13">
        <v>864879.84</v>
      </c>
      <c r="CM287" s="13">
        <v>36109.26</v>
      </c>
      <c r="CN287" s="13">
        <v>0</v>
      </c>
      <c r="CO287" s="13">
        <v>1704.22</v>
      </c>
      <c r="CP287" s="13">
        <v>1922.32</v>
      </c>
      <c r="CQ287" s="13">
        <v>0</v>
      </c>
      <c r="CR287" s="13">
        <v>759735.32</v>
      </c>
      <c r="CS287" s="13">
        <v>34643.79</v>
      </c>
      <c r="CT287" s="13">
        <v>487.35</v>
      </c>
      <c r="CU287" s="13">
        <v>2253.81</v>
      </c>
      <c r="CV287" s="13">
        <v>1639.93</v>
      </c>
      <c r="CW287" s="13">
        <v>0</v>
      </c>
      <c r="CX287" s="13">
        <v>229322.63</v>
      </c>
      <c r="CY287" s="13">
        <v>6304.83</v>
      </c>
      <c r="CZ287" s="13">
        <v>-693.1</v>
      </c>
      <c r="DA287" s="13">
        <v>744.73</v>
      </c>
      <c r="DB287" s="13">
        <v>499.23</v>
      </c>
      <c r="DC287" s="13"/>
      <c r="DD287" s="315">
        <v>904615.64</v>
      </c>
      <c r="DE287" s="317">
        <v>798760.2</v>
      </c>
      <c r="DF287" s="317">
        <v>88.3</v>
      </c>
      <c r="DG287" s="318">
        <v>236178.32</v>
      </c>
      <c r="DH287" s="310">
        <v>38093.879999999997</v>
      </c>
      <c r="DI287" s="310">
        <v>21786.240000000002</v>
      </c>
      <c r="DJ287" s="312">
        <v>0</v>
      </c>
      <c r="DK287" s="362">
        <v>0</v>
      </c>
      <c r="DL287" s="362"/>
      <c r="DM287" s="362">
        <v>0</v>
      </c>
      <c r="DN287" s="362">
        <v>0</v>
      </c>
      <c r="DO287" s="362">
        <v>0</v>
      </c>
      <c r="DP287" s="362">
        <v>0</v>
      </c>
      <c r="DQ287" s="362">
        <v>0</v>
      </c>
      <c r="DR287" s="362"/>
      <c r="DS287" s="362">
        <v>0</v>
      </c>
      <c r="DT287" s="362"/>
      <c r="DU287" s="362">
        <v>0</v>
      </c>
      <c r="DV287" s="362">
        <v>0</v>
      </c>
      <c r="DW287" s="362">
        <v>0</v>
      </c>
      <c r="DX287" s="362">
        <v>0</v>
      </c>
      <c r="DY287" s="362">
        <v>0</v>
      </c>
      <c r="DZ287" s="375">
        <v>0</v>
      </c>
      <c r="EA287" s="362">
        <v>214650</v>
      </c>
      <c r="EB287" s="362">
        <v>6171</v>
      </c>
      <c r="EC287" s="362"/>
      <c r="ED287" s="362">
        <v>0</v>
      </c>
      <c r="EE287" s="362">
        <v>0</v>
      </c>
      <c r="EF287" s="362"/>
      <c r="EG287" s="362">
        <v>13686</v>
      </c>
      <c r="EH287" s="362">
        <v>36645</v>
      </c>
      <c r="EI287" s="362"/>
      <c r="EJ287" s="362">
        <v>12300</v>
      </c>
      <c r="EK287" s="362"/>
      <c r="EL287" s="362">
        <v>0</v>
      </c>
      <c r="EM287" s="362">
        <v>4472.9399999999996</v>
      </c>
      <c r="EN287" s="362">
        <v>0</v>
      </c>
      <c r="EO287" s="362">
        <v>0</v>
      </c>
      <c r="EP287" s="362">
        <v>226296</v>
      </c>
      <c r="EQ287" s="362">
        <v>0</v>
      </c>
      <c r="ER287" s="362">
        <v>16380</v>
      </c>
      <c r="ES287" s="362">
        <v>0</v>
      </c>
      <c r="ET287" s="362">
        <v>12932</v>
      </c>
      <c r="EU287" s="362">
        <v>0</v>
      </c>
      <c r="EV287" s="362">
        <v>0</v>
      </c>
      <c r="EW287" s="362"/>
      <c r="EX287" s="202"/>
      <c r="EY287" s="202"/>
      <c r="EZ287" s="229"/>
      <c r="FA287" s="368">
        <v>33364.97</v>
      </c>
      <c r="FB287" s="368">
        <v>0</v>
      </c>
      <c r="FC287" s="368">
        <v>0</v>
      </c>
      <c r="FD287" s="368">
        <v>0</v>
      </c>
      <c r="FE287" s="368">
        <v>2677.01</v>
      </c>
      <c r="FF287" s="368">
        <v>2029.68</v>
      </c>
      <c r="FG287" s="368">
        <v>0</v>
      </c>
      <c r="FH287" s="368">
        <v>-927.56</v>
      </c>
      <c r="FI287" s="368">
        <v>0</v>
      </c>
      <c r="FJ287" s="368">
        <v>0</v>
      </c>
      <c r="FK287" s="368">
        <v>0</v>
      </c>
      <c r="FL287" s="368">
        <v>0</v>
      </c>
      <c r="FM287" s="368">
        <v>96925.83</v>
      </c>
      <c r="FN287" s="368">
        <v>61629.95</v>
      </c>
      <c r="FO287" s="323">
        <v>761968.84</v>
      </c>
      <c r="FP287" s="323">
        <v>37144.1</v>
      </c>
      <c r="FQ287" s="323">
        <v>799112.94</v>
      </c>
      <c r="FR287" s="362">
        <v>113555.72</v>
      </c>
      <c r="FS287" s="362">
        <v>2975.83</v>
      </c>
      <c r="FT287" s="377">
        <v>116531.55</v>
      </c>
      <c r="FU287" s="377">
        <v>893980.27</v>
      </c>
      <c r="FV287" s="377">
        <v>41130.1</v>
      </c>
      <c r="FW287" s="362">
        <v>935110.37</v>
      </c>
      <c r="FX287" s="362">
        <v>778213.36</v>
      </c>
      <c r="FY287" s="362">
        <v>37250.239999999998</v>
      </c>
      <c r="FZ287" s="362">
        <v>815463.6</v>
      </c>
      <c r="GA287" s="362">
        <v>229322.63</v>
      </c>
      <c r="GB287" s="362">
        <v>6855.69</v>
      </c>
      <c r="GC287" s="362">
        <v>236178.32</v>
      </c>
      <c r="GD287" s="362">
        <v>79412.97</v>
      </c>
      <c r="GE287" s="362">
        <v>4962.2700000000004</v>
      </c>
      <c r="GF287" s="362">
        <v>84375.24</v>
      </c>
      <c r="GG287" s="202"/>
      <c r="GH287" s="416"/>
      <c r="GI287" s="414">
        <v>2455</v>
      </c>
      <c r="GJ287" s="419">
        <v>0</v>
      </c>
      <c r="GK287" s="396"/>
      <c r="GL287" s="202">
        <v>0</v>
      </c>
      <c r="GM287" s="202">
        <v>0</v>
      </c>
      <c r="GN287" s="323">
        <v>132011.43</v>
      </c>
      <c r="GO287" s="323">
        <v>3986</v>
      </c>
      <c r="GP287" s="323">
        <v>135997.43</v>
      </c>
      <c r="GQ287" s="323">
        <v>211424.4</v>
      </c>
      <c r="GR287" s="323">
        <v>8948.27</v>
      </c>
      <c r="GS287" s="323">
        <v>220372.67</v>
      </c>
    </row>
    <row r="288" spans="1:201" ht="12.75" customHeight="1" x14ac:dyDescent="0.2">
      <c r="A288" s="45" t="s">
        <v>766</v>
      </c>
      <c r="B288" s="78" t="s">
        <v>333</v>
      </c>
      <c r="C288" s="79" t="s">
        <v>17</v>
      </c>
      <c r="D288" s="388" t="s">
        <v>602</v>
      </c>
      <c r="E288" s="79" t="s">
        <v>9</v>
      </c>
      <c r="F288" s="11">
        <v>9</v>
      </c>
      <c r="G288" s="11">
        <v>4</v>
      </c>
      <c r="H288" s="11">
        <v>128</v>
      </c>
      <c r="I288" s="11">
        <v>127</v>
      </c>
      <c r="J288" s="11">
        <v>320</v>
      </c>
      <c r="K288" s="11">
        <v>367</v>
      </c>
      <c r="L288" s="11">
        <v>4</v>
      </c>
      <c r="M288" s="84">
        <v>1187</v>
      </c>
      <c r="N288" s="84">
        <v>1215</v>
      </c>
      <c r="O288" s="84">
        <v>0</v>
      </c>
      <c r="P288" s="135">
        <v>1446.9</v>
      </c>
      <c r="Q288" s="135">
        <v>878.5</v>
      </c>
      <c r="R288" s="133">
        <v>0</v>
      </c>
      <c r="S288" s="133">
        <f t="shared" si="134"/>
        <v>2325.4</v>
      </c>
      <c r="T288" s="134">
        <v>1446.9</v>
      </c>
      <c r="U288" s="130">
        <v>2.44</v>
      </c>
      <c r="V288" s="131">
        <v>1.9800000000000002E-2</v>
      </c>
      <c r="W288" s="131">
        <v>1.9800000000000002E-2</v>
      </c>
      <c r="X288" s="132">
        <v>1.32E-3</v>
      </c>
      <c r="Y288" s="131">
        <v>3.9699999999999999E-2</v>
      </c>
      <c r="Z288" s="29">
        <v>6653.3</v>
      </c>
      <c r="AA288" s="29">
        <v>945.4</v>
      </c>
      <c r="AB288" s="9">
        <f t="shared" si="113"/>
        <v>7598.7</v>
      </c>
      <c r="AC288" s="9">
        <f t="shared" si="112"/>
        <v>48099.77</v>
      </c>
      <c r="AD288" s="9">
        <v>2.1800000000000002</v>
      </c>
      <c r="AE288" s="9">
        <v>4.7699999999999996</v>
      </c>
      <c r="AF288" s="21">
        <f>2.42-AJ288</f>
        <v>2.27</v>
      </c>
      <c r="AG288" s="18">
        <f>0.64-AQ288</f>
        <v>0.59</v>
      </c>
      <c r="AH288" s="9">
        <v>2.78</v>
      </c>
      <c r="AI288" s="43">
        <v>1166</v>
      </c>
      <c r="AJ288" s="21">
        <f t="shared" si="110"/>
        <v>0.15</v>
      </c>
      <c r="AK288" s="9">
        <v>2.2599999999999998</v>
      </c>
      <c r="AL288" s="9">
        <v>0.2</v>
      </c>
      <c r="AM288" s="9">
        <v>0.08</v>
      </c>
      <c r="AN288" s="13"/>
      <c r="AO288" s="13">
        <v>844.8</v>
      </c>
      <c r="AP288" s="13">
        <f t="shared" si="135"/>
        <v>5.58</v>
      </c>
      <c r="AQ288" s="18">
        <f t="shared" si="111"/>
        <v>0.05</v>
      </c>
      <c r="AR288" s="9">
        <v>0.56999999999999995</v>
      </c>
      <c r="AS288" s="9">
        <v>0.18</v>
      </c>
      <c r="AT288" s="9">
        <v>7.0000000000000007E-2</v>
      </c>
      <c r="AU288" s="9">
        <v>3.37</v>
      </c>
      <c r="AV288" s="9">
        <v>0.15</v>
      </c>
      <c r="AW288" s="9">
        <f>1.45+0.3+0.27</f>
        <v>2.02</v>
      </c>
      <c r="AX288" s="9">
        <f>2.03+0.4</f>
        <v>2.4300000000000002</v>
      </c>
      <c r="AY288" s="81">
        <f t="shared" si="136"/>
        <v>24.12</v>
      </c>
      <c r="AZ288" s="13">
        <v>24.12</v>
      </c>
      <c r="BA288" s="13">
        <f t="shared" si="114"/>
        <v>0</v>
      </c>
      <c r="BB288" s="9">
        <f t="shared" si="115"/>
        <v>183280.64000000001</v>
      </c>
      <c r="BC288" s="9">
        <v>24.12</v>
      </c>
      <c r="BD288" s="10">
        <v>44409</v>
      </c>
      <c r="BE288" s="9">
        <f t="shared" si="116"/>
        <v>16565.169999999998</v>
      </c>
      <c r="BF288" s="9">
        <f t="shared" si="117"/>
        <v>36245.800000000003</v>
      </c>
      <c r="BG288" s="9">
        <f t="shared" si="118"/>
        <v>17249.05</v>
      </c>
      <c r="BH288" s="9">
        <f t="shared" si="119"/>
        <v>4483.2299999999996</v>
      </c>
      <c r="BI288" s="9">
        <f t="shared" si="120"/>
        <v>21124.39</v>
      </c>
      <c r="BJ288" s="9">
        <f t="shared" si="121"/>
        <v>1139.81</v>
      </c>
      <c r="BK288" s="9">
        <f t="shared" si="122"/>
        <v>17173.060000000001</v>
      </c>
      <c r="BL288" s="9">
        <f t="shared" si="123"/>
        <v>1519.74</v>
      </c>
      <c r="BM288" s="9">
        <f t="shared" si="124"/>
        <v>607.9</v>
      </c>
      <c r="BN288" s="9">
        <f t="shared" si="125"/>
        <v>379.94</v>
      </c>
      <c r="BO288" s="9">
        <f t="shared" si="126"/>
        <v>4331.26</v>
      </c>
      <c r="BP288" s="9">
        <f t="shared" si="127"/>
        <v>1367.77</v>
      </c>
      <c r="BQ288" s="9">
        <f t="shared" si="128"/>
        <v>531.91</v>
      </c>
      <c r="BR288" s="9">
        <f t="shared" si="129"/>
        <v>25607.62</v>
      </c>
      <c r="BS288" s="9">
        <f t="shared" si="130"/>
        <v>1139.81</v>
      </c>
      <c r="BT288" s="9">
        <f t="shared" si="131"/>
        <v>15349.37</v>
      </c>
      <c r="BU288" s="9">
        <f t="shared" si="132"/>
        <v>18464.84</v>
      </c>
      <c r="BV288" s="17">
        <f t="shared" si="133"/>
        <v>183280.67</v>
      </c>
      <c r="BW288" s="17">
        <v>3</v>
      </c>
      <c r="BX288" s="17">
        <v>0.11</v>
      </c>
      <c r="BY288" s="17">
        <v>0.68</v>
      </c>
      <c r="BZ288" s="17">
        <v>0.12</v>
      </c>
      <c r="CA288" s="29">
        <v>6.33</v>
      </c>
      <c r="CB288" s="325"/>
      <c r="CC288" s="13">
        <v>273636.59999999998</v>
      </c>
      <c r="CD288" s="13">
        <v>25109.81</v>
      </c>
      <c r="CE288" s="13">
        <v>-455.91</v>
      </c>
      <c r="CF288" s="13">
        <v>3129.25</v>
      </c>
      <c r="CG288" s="13">
        <v>2239.14</v>
      </c>
      <c r="CH288" s="13">
        <v>0</v>
      </c>
      <c r="CI288" s="13">
        <v>2905.35</v>
      </c>
      <c r="CJ288" s="13">
        <v>52500</v>
      </c>
      <c r="CK288" s="13">
        <v>2922.41</v>
      </c>
      <c r="CL288" s="13">
        <v>1925781.61</v>
      </c>
      <c r="CM288" s="13">
        <v>176714.6</v>
      </c>
      <c r="CN288" s="13">
        <v>-0.03</v>
      </c>
      <c r="CO288" s="13">
        <v>17831.43</v>
      </c>
      <c r="CP288" s="13">
        <v>15770.34</v>
      </c>
      <c r="CQ288" s="13">
        <v>0</v>
      </c>
      <c r="CR288" s="13">
        <v>1868211.47</v>
      </c>
      <c r="CS288" s="13">
        <v>175101.7</v>
      </c>
      <c r="CT288" s="13">
        <v>6516.14</v>
      </c>
      <c r="CU288" s="13">
        <v>19507.79</v>
      </c>
      <c r="CV288" s="13">
        <v>15072.63</v>
      </c>
      <c r="CW288" s="13">
        <v>0</v>
      </c>
      <c r="CX288" s="13">
        <v>234841.79</v>
      </c>
      <c r="CY288" s="13">
        <v>25885.22</v>
      </c>
      <c r="CZ288" s="13">
        <v>-8972.7900000000009</v>
      </c>
      <c r="DA288" s="13">
        <v>622.32000000000005</v>
      </c>
      <c r="DB288" s="13">
        <v>854.03</v>
      </c>
      <c r="DC288" s="13"/>
      <c r="DD288" s="315">
        <v>2136097.9500000002</v>
      </c>
      <c r="DE288" s="317">
        <v>2084409.73</v>
      </c>
      <c r="DF288" s="317">
        <v>97.58</v>
      </c>
      <c r="DG288" s="318">
        <v>253230.57</v>
      </c>
      <c r="DH288" s="310">
        <v>69909.119999999995</v>
      </c>
      <c r="DI288" s="310">
        <v>39981.72</v>
      </c>
      <c r="DJ288" s="312">
        <v>0</v>
      </c>
      <c r="DK288" s="362">
        <v>0</v>
      </c>
      <c r="DL288" s="362"/>
      <c r="DM288" s="362">
        <v>0</v>
      </c>
      <c r="DN288" s="362">
        <v>0</v>
      </c>
      <c r="DO288" s="362">
        <v>0</v>
      </c>
      <c r="DP288" s="362">
        <v>0</v>
      </c>
      <c r="DQ288" s="362">
        <v>0</v>
      </c>
      <c r="DR288" s="362"/>
      <c r="DS288" s="362">
        <v>0</v>
      </c>
      <c r="DT288" s="362"/>
      <c r="DU288" s="362">
        <v>0</v>
      </c>
      <c r="DV288" s="362">
        <v>0</v>
      </c>
      <c r="DW288" s="362">
        <v>206400</v>
      </c>
      <c r="DX288" s="362">
        <v>0</v>
      </c>
      <c r="DY288" s="362">
        <v>56000</v>
      </c>
      <c r="DZ288" s="375">
        <v>3800</v>
      </c>
      <c r="EA288" s="362">
        <v>733680</v>
      </c>
      <c r="EB288" s="362">
        <v>6171</v>
      </c>
      <c r="EC288" s="362"/>
      <c r="ED288" s="362">
        <v>0</v>
      </c>
      <c r="EE288" s="362">
        <v>0</v>
      </c>
      <c r="EF288" s="362"/>
      <c r="EG288" s="362">
        <v>18558</v>
      </c>
      <c r="EH288" s="362">
        <v>0</v>
      </c>
      <c r="EI288" s="362"/>
      <c r="EJ288" s="362">
        <v>0</v>
      </c>
      <c r="EK288" s="362"/>
      <c r="EL288" s="362">
        <v>0</v>
      </c>
      <c r="EM288" s="362">
        <v>4713.99</v>
      </c>
      <c r="EN288" s="362">
        <v>0</v>
      </c>
      <c r="EO288" s="362">
        <v>0</v>
      </c>
      <c r="EP288" s="362">
        <v>478824</v>
      </c>
      <c r="EQ288" s="362">
        <v>0</v>
      </c>
      <c r="ER288" s="362">
        <v>15015</v>
      </c>
      <c r="ES288" s="362">
        <v>6924</v>
      </c>
      <c r="ET288" s="362">
        <v>17764</v>
      </c>
      <c r="EU288" s="362">
        <v>0</v>
      </c>
      <c r="EV288" s="362">
        <v>67621.039999999994</v>
      </c>
      <c r="EW288" s="362"/>
      <c r="EX288" s="202"/>
      <c r="EY288" s="202"/>
      <c r="EZ288" s="229"/>
      <c r="FA288" s="368">
        <v>207342.45</v>
      </c>
      <c r="FB288" s="368">
        <v>3570.93</v>
      </c>
      <c r="FC288" s="368">
        <v>0</v>
      </c>
      <c r="FD288" s="368">
        <v>0</v>
      </c>
      <c r="FE288" s="368">
        <v>22261.13</v>
      </c>
      <c r="FF288" s="368">
        <v>16918.87</v>
      </c>
      <c r="FG288" s="368">
        <v>-4267.6000000000004</v>
      </c>
      <c r="FH288" s="368">
        <v>-4292.3500000000004</v>
      </c>
      <c r="FI288" s="368">
        <v>0</v>
      </c>
      <c r="FJ288" s="368">
        <v>0</v>
      </c>
      <c r="FK288" s="368">
        <v>87798.38</v>
      </c>
      <c r="FL288" s="368">
        <v>0</v>
      </c>
      <c r="FM288" s="368">
        <v>203151.71</v>
      </c>
      <c r="FN288" s="368">
        <v>129177.66</v>
      </c>
      <c r="FO288" s="323">
        <v>2057691.24</v>
      </c>
      <c r="FP288" s="323">
        <v>329331.81</v>
      </c>
      <c r="FQ288" s="323">
        <v>2387023.0499999998</v>
      </c>
      <c r="FR288" s="362">
        <v>240344.77</v>
      </c>
      <c r="FS288" s="362">
        <v>27315.18</v>
      </c>
      <c r="FT288" s="377">
        <v>267659.95</v>
      </c>
      <c r="FU288" s="377">
        <v>2254823.56</v>
      </c>
      <c r="FV288" s="377">
        <v>243261.04</v>
      </c>
      <c r="FW288" s="362">
        <v>2498084.6</v>
      </c>
      <c r="FX288" s="362">
        <v>2169715.7799999998</v>
      </c>
      <c r="FY288" s="362">
        <v>242119.58</v>
      </c>
      <c r="FZ288" s="362">
        <v>2411835.36</v>
      </c>
      <c r="GA288" s="362">
        <v>325452.55</v>
      </c>
      <c r="GB288" s="362">
        <v>28456.639999999999</v>
      </c>
      <c r="GC288" s="362">
        <v>353909.19</v>
      </c>
      <c r="GD288" s="362">
        <v>165652.49</v>
      </c>
      <c r="GE288" s="362">
        <v>17002.009999999998</v>
      </c>
      <c r="GF288" s="362">
        <v>182654.5</v>
      </c>
      <c r="GG288" s="202">
        <v>100678.62</v>
      </c>
      <c r="GH288" s="416">
        <v>90</v>
      </c>
      <c r="GI288" s="414">
        <v>2963</v>
      </c>
      <c r="GJ288" s="419">
        <v>303658.89</v>
      </c>
      <c r="GK288" s="396">
        <v>100678.62</v>
      </c>
      <c r="GL288" s="202">
        <v>90610.758000000002</v>
      </c>
      <c r="GM288" s="202">
        <v>10067.861999999999</v>
      </c>
      <c r="GN288" s="323">
        <v>197132.32</v>
      </c>
      <c r="GO288" s="323">
        <v>-86070.77</v>
      </c>
      <c r="GP288" s="323">
        <v>111061.55</v>
      </c>
      <c r="GQ288" s="323">
        <v>362784.81</v>
      </c>
      <c r="GR288" s="323">
        <v>-69068.759999999995</v>
      </c>
      <c r="GS288" s="323">
        <v>293716.05</v>
      </c>
    </row>
    <row r="289" spans="1:201" ht="12.75" customHeight="1" x14ac:dyDescent="0.2">
      <c r="A289" s="45" t="s">
        <v>767</v>
      </c>
      <c r="B289" s="78" t="s">
        <v>333</v>
      </c>
      <c r="C289" s="79" t="s">
        <v>19</v>
      </c>
      <c r="D289" s="390" t="s">
        <v>679</v>
      </c>
      <c r="E289" s="79"/>
      <c r="F289" s="11">
        <v>9</v>
      </c>
      <c r="G289" s="11">
        <v>1</v>
      </c>
      <c r="H289" s="11">
        <v>52</v>
      </c>
      <c r="I289" s="11">
        <v>52</v>
      </c>
      <c r="J289" s="11">
        <v>88</v>
      </c>
      <c r="K289" s="11">
        <v>114</v>
      </c>
      <c r="L289" s="11">
        <v>1</v>
      </c>
      <c r="M289" s="84">
        <v>272</v>
      </c>
      <c r="N289" s="84">
        <v>384</v>
      </c>
      <c r="O289" s="84">
        <v>384</v>
      </c>
      <c r="P289" s="139">
        <v>306.7</v>
      </c>
      <c r="Q289" s="135">
        <v>255</v>
      </c>
      <c r="R289" s="133">
        <v>357.8</v>
      </c>
      <c r="S289" s="133">
        <f t="shared" si="134"/>
        <v>919.5</v>
      </c>
      <c r="T289" s="139">
        <v>272</v>
      </c>
      <c r="U289" s="130">
        <v>2.44</v>
      </c>
      <c r="V289" s="131">
        <v>1.9800000000000002E-2</v>
      </c>
      <c r="W289" s="131">
        <v>1.9800000000000002E-2</v>
      </c>
      <c r="X289" s="132">
        <v>1.32E-3</v>
      </c>
      <c r="Y289" s="131">
        <v>3.9699999999999999E-2</v>
      </c>
      <c r="Z289" s="29">
        <v>2127.81</v>
      </c>
      <c r="AA289" s="29">
        <v>380</v>
      </c>
      <c r="AB289" s="9">
        <f t="shared" si="113"/>
        <v>2507.81</v>
      </c>
      <c r="AC289" s="9">
        <f t="shared" si="112"/>
        <v>15874.44</v>
      </c>
      <c r="AD289" s="9">
        <v>1.46</v>
      </c>
      <c r="AE289" s="9">
        <v>4.91</v>
      </c>
      <c r="AF289" s="21">
        <f>2.41-AJ289</f>
        <v>2.2599999999999998</v>
      </c>
      <c r="AG289" s="18">
        <f>0.59-AQ289</f>
        <v>0.53</v>
      </c>
      <c r="AH289" s="9">
        <v>2.77</v>
      </c>
      <c r="AI289" s="43">
        <v>369</v>
      </c>
      <c r="AJ289" s="21">
        <f t="shared" si="110"/>
        <v>0.15</v>
      </c>
      <c r="AK289" s="9">
        <v>1.71</v>
      </c>
      <c r="AL289" s="9">
        <v>0.15</v>
      </c>
      <c r="AM289" s="9">
        <v>0.23</v>
      </c>
      <c r="AN289" s="13"/>
      <c r="AO289" s="13">
        <v>305.89999999999998</v>
      </c>
      <c r="AP289" s="13">
        <f t="shared" si="135"/>
        <v>5.58</v>
      </c>
      <c r="AQ289" s="18">
        <f t="shared" si="111"/>
        <v>0.06</v>
      </c>
      <c r="AR289" s="9">
        <v>0.65</v>
      </c>
      <c r="AS289" s="9">
        <v>0.54</v>
      </c>
      <c r="AT289" s="9">
        <v>7.0000000000000007E-2</v>
      </c>
      <c r="AU289" s="9">
        <v>4.05</v>
      </c>
      <c r="AV289" s="9">
        <v>0.16</v>
      </c>
      <c r="AW289" s="9">
        <f>1.39+0.33+0.36</f>
        <v>2.08</v>
      </c>
      <c r="AX289" s="9">
        <f>1.95+0.48</f>
        <v>2.4300000000000002</v>
      </c>
      <c r="AY289" s="81">
        <f t="shared" si="136"/>
        <v>24.21</v>
      </c>
      <c r="AZ289" s="13">
        <v>24.21</v>
      </c>
      <c r="BA289" s="13">
        <f t="shared" si="114"/>
        <v>0</v>
      </c>
      <c r="BB289" s="9">
        <f t="shared" si="115"/>
        <v>60714.080000000002</v>
      </c>
      <c r="BC289" s="9">
        <v>24.21</v>
      </c>
      <c r="BD289" s="10">
        <v>44440</v>
      </c>
      <c r="BE289" s="9">
        <f t="shared" si="116"/>
        <v>3661.4</v>
      </c>
      <c r="BF289" s="9">
        <f t="shared" si="117"/>
        <v>12313.35</v>
      </c>
      <c r="BG289" s="9">
        <f t="shared" si="118"/>
        <v>5667.65</v>
      </c>
      <c r="BH289" s="9">
        <f t="shared" si="119"/>
        <v>1329.14</v>
      </c>
      <c r="BI289" s="9">
        <f t="shared" si="120"/>
        <v>6946.63</v>
      </c>
      <c r="BJ289" s="9">
        <f t="shared" si="121"/>
        <v>376.17</v>
      </c>
      <c r="BK289" s="9">
        <f t="shared" si="122"/>
        <v>4288.3599999999997</v>
      </c>
      <c r="BL289" s="9">
        <f t="shared" si="123"/>
        <v>376.17</v>
      </c>
      <c r="BM289" s="9">
        <f t="shared" si="124"/>
        <v>576.79999999999995</v>
      </c>
      <c r="BN289" s="9">
        <f t="shared" si="125"/>
        <v>150.47</v>
      </c>
      <c r="BO289" s="9">
        <f t="shared" si="126"/>
        <v>1630.08</v>
      </c>
      <c r="BP289" s="9">
        <f t="shared" si="127"/>
        <v>1354.22</v>
      </c>
      <c r="BQ289" s="9">
        <f t="shared" si="128"/>
        <v>175.55</v>
      </c>
      <c r="BR289" s="9">
        <f t="shared" si="129"/>
        <v>10156.629999999999</v>
      </c>
      <c r="BS289" s="9">
        <f t="shared" si="130"/>
        <v>401.25</v>
      </c>
      <c r="BT289" s="9">
        <f t="shared" si="131"/>
        <v>5216.24</v>
      </c>
      <c r="BU289" s="9">
        <f t="shared" si="132"/>
        <v>6093.98</v>
      </c>
      <c r="BV289" s="17">
        <f t="shared" si="133"/>
        <v>60714.09</v>
      </c>
      <c r="BW289" s="17">
        <v>4.0199999999999996</v>
      </c>
      <c r="BX289" s="17">
        <v>7.0000000000000007E-2</v>
      </c>
      <c r="BY289" s="17">
        <v>0.44</v>
      </c>
      <c r="BZ289" s="17">
        <v>0.08</v>
      </c>
      <c r="CA289" s="29">
        <v>6.33</v>
      </c>
      <c r="CB289" s="325"/>
      <c r="CC289" s="13">
        <v>110397.6</v>
      </c>
      <c r="CD289" s="13">
        <v>23259.79</v>
      </c>
      <c r="CE289" s="13">
        <v>7341.61</v>
      </c>
      <c r="CF289" s="13">
        <v>1235.01</v>
      </c>
      <c r="CG289" s="13">
        <v>292.64999999999998</v>
      </c>
      <c r="CH289" s="13">
        <v>0</v>
      </c>
      <c r="CI289" s="13">
        <v>4349.0600000000004</v>
      </c>
      <c r="CJ289" s="13">
        <v>31284</v>
      </c>
      <c r="CK289" s="13">
        <v>964.48</v>
      </c>
      <c r="CL289" s="13">
        <v>617083.31999999995</v>
      </c>
      <c r="CM289" s="13">
        <v>130243.3</v>
      </c>
      <c r="CN289" s="13">
        <v>46492.82</v>
      </c>
      <c r="CO289" s="13">
        <v>1532.04</v>
      </c>
      <c r="CP289" s="13">
        <v>1638.6</v>
      </c>
      <c r="CQ289" s="13">
        <v>0</v>
      </c>
      <c r="CR289" s="13">
        <v>581732.36</v>
      </c>
      <c r="CS289" s="13">
        <v>99923.15</v>
      </c>
      <c r="CT289" s="13">
        <v>37950.39</v>
      </c>
      <c r="CU289" s="13">
        <v>1246.1500000000001</v>
      </c>
      <c r="CV289" s="13">
        <v>1454.17</v>
      </c>
      <c r="CW289" s="13">
        <v>0</v>
      </c>
      <c r="CX289" s="13">
        <v>102437.34</v>
      </c>
      <c r="CY289" s="13">
        <v>31316.16</v>
      </c>
      <c r="CZ289" s="13">
        <v>2418.4899999999998</v>
      </c>
      <c r="DA289" s="13">
        <v>219.31</v>
      </c>
      <c r="DB289" s="13">
        <v>256.18</v>
      </c>
      <c r="DC289" s="13"/>
      <c r="DD289" s="315">
        <v>796990.08</v>
      </c>
      <c r="DE289" s="317">
        <v>722306.22</v>
      </c>
      <c r="DF289" s="317">
        <v>90.63</v>
      </c>
      <c r="DG289" s="318">
        <v>136647.48000000001</v>
      </c>
      <c r="DH289" s="310">
        <v>22357.8</v>
      </c>
      <c r="DI289" s="310">
        <v>12786.72</v>
      </c>
      <c r="DJ289" s="312">
        <v>0</v>
      </c>
      <c r="DK289" s="362">
        <v>0</v>
      </c>
      <c r="DL289" s="362"/>
      <c r="DM289" s="362">
        <v>0</v>
      </c>
      <c r="DN289" s="362">
        <v>0</v>
      </c>
      <c r="DO289" s="362">
        <v>0</v>
      </c>
      <c r="DP289" s="362">
        <v>0</v>
      </c>
      <c r="DQ289" s="362">
        <v>0</v>
      </c>
      <c r="DR289" s="362"/>
      <c r="DS289" s="362">
        <v>0</v>
      </c>
      <c r="DT289" s="362"/>
      <c r="DU289" s="362">
        <v>0</v>
      </c>
      <c r="DV289" s="362">
        <v>0</v>
      </c>
      <c r="DW289" s="362">
        <v>51322.58</v>
      </c>
      <c r="DX289" s="362">
        <v>0</v>
      </c>
      <c r="DY289" s="362">
        <v>4500</v>
      </c>
      <c r="DZ289" s="375">
        <v>0</v>
      </c>
      <c r="EA289" s="362">
        <v>222360</v>
      </c>
      <c r="EB289" s="362">
        <v>6171</v>
      </c>
      <c r="EC289" s="362"/>
      <c r="ED289" s="362">
        <v>0</v>
      </c>
      <c r="EE289" s="362">
        <v>0</v>
      </c>
      <c r="EF289" s="362"/>
      <c r="EG289" s="362">
        <v>5874</v>
      </c>
      <c r="EH289" s="362">
        <v>8890</v>
      </c>
      <c r="EI289" s="362"/>
      <c r="EJ289" s="362">
        <v>3640</v>
      </c>
      <c r="EK289" s="362"/>
      <c r="EL289" s="362">
        <v>0</v>
      </c>
      <c r="EM289" s="362">
        <v>1706.91</v>
      </c>
      <c r="EN289" s="362">
        <v>0</v>
      </c>
      <c r="EO289" s="362">
        <v>0</v>
      </c>
      <c r="EP289" s="362">
        <v>156582</v>
      </c>
      <c r="EQ289" s="362">
        <v>0</v>
      </c>
      <c r="ER289" s="362">
        <v>15015</v>
      </c>
      <c r="ES289" s="362">
        <v>0</v>
      </c>
      <c r="ET289" s="362">
        <v>6635</v>
      </c>
      <c r="EU289" s="362">
        <v>0</v>
      </c>
      <c r="EV289" s="362">
        <v>53857.96</v>
      </c>
      <c r="EW289" s="362"/>
      <c r="EX289" s="202"/>
      <c r="EY289" s="202"/>
      <c r="EZ289" s="229"/>
      <c r="FA289" s="368">
        <v>207343.35999999999</v>
      </c>
      <c r="FB289" s="368">
        <v>54038.23</v>
      </c>
      <c r="FC289" s="368">
        <v>0</v>
      </c>
      <c r="FD289" s="368">
        <v>0</v>
      </c>
      <c r="FE289" s="368">
        <v>1803.98</v>
      </c>
      <c r="FF289" s="368">
        <v>1940.13</v>
      </c>
      <c r="FG289" s="368">
        <v>0</v>
      </c>
      <c r="FH289" s="368">
        <v>-641.62</v>
      </c>
      <c r="FI289" s="368">
        <v>0</v>
      </c>
      <c r="FJ289" s="368">
        <v>0</v>
      </c>
      <c r="FK289" s="368">
        <v>14919.5</v>
      </c>
      <c r="FL289" s="368">
        <v>0</v>
      </c>
      <c r="FM289" s="368">
        <v>67046.44</v>
      </c>
      <c r="FN289" s="368">
        <v>42631.26</v>
      </c>
      <c r="FO289" s="323">
        <v>681376.67</v>
      </c>
      <c r="FP289" s="323">
        <v>279403.58</v>
      </c>
      <c r="FQ289" s="323">
        <v>960780.25</v>
      </c>
      <c r="FR289" s="362">
        <v>88568.02</v>
      </c>
      <c r="FS289" s="362">
        <v>-1120.46</v>
      </c>
      <c r="FT289" s="377">
        <v>87447.56</v>
      </c>
      <c r="FU289" s="377">
        <v>763113.98</v>
      </c>
      <c r="FV289" s="377">
        <v>213000.3</v>
      </c>
      <c r="FW289" s="362">
        <v>976114.28</v>
      </c>
      <c r="FX289" s="362">
        <v>709019.56</v>
      </c>
      <c r="FY289" s="362">
        <v>165654.41</v>
      </c>
      <c r="FZ289" s="362">
        <v>874673.97</v>
      </c>
      <c r="GA289" s="362">
        <v>142662.44</v>
      </c>
      <c r="GB289" s="362">
        <v>46225.43</v>
      </c>
      <c r="GC289" s="362">
        <v>188887.87</v>
      </c>
      <c r="GD289" s="362">
        <v>-46524.03</v>
      </c>
      <c r="GE289" s="362">
        <v>5968.63</v>
      </c>
      <c r="GF289" s="362">
        <v>-40555.4</v>
      </c>
      <c r="GG289" s="202">
        <v>52240.39</v>
      </c>
      <c r="GH289" s="416">
        <v>77</v>
      </c>
      <c r="GI289" s="414">
        <v>2455</v>
      </c>
      <c r="GJ289" s="419">
        <v>142526.66</v>
      </c>
      <c r="GK289" s="396">
        <v>52240.39</v>
      </c>
      <c r="GL289" s="202">
        <v>40225.100299999998</v>
      </c>
      <c r="GM289" s="202">
        <v>12015.289699999999</v>
      </c>
      <c r="GN289" s="323">
        <v>81737.31</v>
      </c>
      <c r="GO289" s="323">
        <v>-66403.28</v>
      </c>
      <c r="GP289" s="323">
        <v>15334.03</v>
      </c>
      <c r="GQ289" s="323">
        <v>35213.279999999999</v>
      </c>
      <c r="GR289" s="323">
        <v>-60434.65</v>
      </c>
      <c r="GS289" s="323">
        <v>-25221.37</v>
      </c>
    </row>
    <row r="290" spans="1:201" ht="12.75" customHeight="1" x14ac:dyDescent="0.2">
      <c r="A290" s="45" t="s">
        <v>768</v>
      </c>
      <c r="B290" s="117" t="s">
        <v>333</v>
      </c>
      <c r="C290" s="118" t="s">
        <v>62</v>
      </c>
      <c r="D290" s="388" t="s">
        <v>527</v>
      </c>
      <c r="E290" s="118" t="s">
        <v>12</v>
      </c>
      <c r="F290" s="11">
        <v>5</v>
      </c>
      <c r="G290" s="11">
        <v>4</v>
      </c>
      <c r="H290" s="11">
        <v>80</v>
      </c>
      <c r="I290" s="11">
        <v>80</v>
      </c>
      <c r="J290" s="11">
        <v>158</v>
      </c>
      <c r="K290" s="11">
        <v>183</v>
      </c>
      <c r="L290" s="11" t="s">
        <v>746</v>
      </c>
      <c r="M290" s="84">
        <v>274</v>
      </c>
      <c r="N290" s="84">
        <v>877</v>
      </c>
      <c r="O290" s="84">
        <v>0</v>
      </c>
      <c r="P290" s="135">
        <v>274</v>
      </c>
      <c r="Q290" s="135">
        <v>707.2</v>
      </c>
      <c r="R290" s="133">
        <v>0</v>
      </c>
      <c r="S290" s="133">
        <f t="shared" si="134"/>
        <v>981.2</v>
      </c>
      <c r="T290" s="134">
        <v>274</v>
      </c>
      <c r="U290" s="130">
        <v>1.53</v>
      </c>
      <c r="V290" s="131">
        <v>1.9800000000000002E-2</v>
      </c>
      <c r="W290" s="131">
        <v>1.9800000000000002E-2</v>
      </c>
      <c r="X290" s="132">
        <v>1.32E-3</v>
      </c>
      <c r="Y290" s="131">
        <v>3.95E-2</v>
      </c>
      <c r="Z290" s="29">
        <v>3497.02</v>
      </c>
      <c r="AA290" s="29"/>
      <c r="AB290" s="9">
        <f t="shared" si="113"/>
        <v>3497.02</v>
      </c>
      <c r="AC290" s="9">
        <f t="shared" si="112"/>
        <v>22136.14</v>
      </c>
      <c r="AD290" s="9">
        <v>0.39</v>
      </c>
      <c r="AE290" s="9">
        <v>3.88</v>
      </c>
      <c r="AF290" s="21">
        <f>2.43-AJ290</f>
        <v>2.19</v>
      </c>
      <c r="AG290" s="18">
        <f>0.54-AQ290</f>
        <v>0.43</v>
      </c>
      <c r="AH290" s="9">
        <v>2.78</v>
      </c>
      <c r="AI290" s="43">
        <v>842</v>
      </c>
      <c r="AJ290" s="21">
        <f t="shared" si="110"/>
        <v>0.24</v>
      </c>
      <c r="AK290" s="9">
        <v>0</v>
      </c>
      <c r="AL290" s="9">
        <v>0</v>
      </c>
      <c r="AM290" s="9">
        <v>0</v>
      </c>
      <c r="AN290" s="13"/>
      <c r="AO290" s="13">
        <v>801.6</v>
      </c>
      <c r="AP290" s="13">
        <f t="shared" si="135"/>
        <v>5.58</v>
      </c>
      <c r="AQ290" s="18">
        <f t="shared" si="111"/>
        <v>0.11</v>
      </c>
      <c r="AR290" s="9">
        <v>0.79</v>
      </c>
      <c r="AS290" s="9">
        <v>0.39</v>
      </c>
      <c r="AT290" s="9">
        <v>7.0000000000000007E-2</v>
      </c>
      <c r="AU290" s="9">
        <v>4.74</v>
      </c>
      <c r="AV290" s="9">
        <v>0.12</v>
      </c>
      <c r="AW290" s="9">
        <f>1.01+0.32+0.41</f>
        <v>1.74</v>
      </c>
      <c r="AX290" s="9">
        <f>1.38+0.56</f>
        <v>1.94</v>
      </c>
      <c r="AY290" s="120">
        <f t="shared" si="136"/>
        <v>19.809999999999999</v>
      </c>
      <c r="AZ290" s="13">
        <v>19.809999999999999</v>
      </c>
      <c r="BA290" s="13">
        <f t="shared" si="114"/>
        <v>0</v>
      </c>
      <c r="BB290" s="9">
        <f t="shared" si="115"/>
        <v>69275.97</v>
      </c>
      <c r="BC290" s="9">
        <v>19.809999999999999</v>
      </c>
      <c r="BD290" s="10">
        <v>44409</v>
      </c>
      <c r="BE290" s="9">
        <f t="shared" si="116"/>
        <v>1363.84</v>
      </c>
      <c r="BF290" s="9">
        <f t="shared" si="117"/>
        <v>13568.44</v>
      </c>
      <c r="BG290" s="9">
        <f t="shared" si="118"/>
        <v>7658.47</v>
      </c>
      <c r="BH290" s="9">
        <f t="shared" si="119"/>
        <v>1503.72</v>
      </c>
      <c r="BI290" s="9">
        <f t="shared" si="120"/>
        <v>9721.7199999999993</v>
      </c>
      <c r="BJ290" s="9">
        <f t="shared" si="121"/>
        <v>839.28</v>
      </c>
      <c r="BK290" s="9">
        <f t="shared" si="122"/>
        <v>0</v>
      </c>
      <c r="BL290" s="9">
        <f t="shared" si="123"/>
        <v>0</v>
      </c>
      <c r="BM290" s="9">
        <f t="shared" si="124"/>
        <v>0</v>
      </c>
      <c r="BN290" s="9">
        <f t="shared" si="125"/>
        <v>384.67</v>
      </c>
      <c r="BO290" s="9">
        <f t="shared" si="126"/>
        <v>2762.65</v>
      </c>
      <c r="BP290" s="9">
        <f t="shared" si="127"/>
        <v>1363.84</v>
      </c>
      <c r="BQ290" s="9">
        <f t="shared" si="128"/>
        <v>244.79</v>
      </c>
      <c r="BR290" s="9">
        <f t="shared" si="129"/>
        <v>16575.87</v>
      </c>
      <c r="BS290" s="9">
        <f t="shared" si="130"/>
        <v>419.64</v>
      </c>
      <c r="BT290" s="9">
        <f t="shared" si="131"/>
        <v>6084.81</v>
      </c>
      <c r="BU290" s="9">
        <f t="shared" si="132"/>
        <v>6784.22</v>
      </c>
      <c r="BV290" s="17">
        <f t="shared" si="133"/>
        <v>69275.960000000006</v>
      </c>
      <c r="BW290" s="17">
        <v>1.73</v>
      </c>
      <c r="BX290" s="17">
        <v>0.04</v>
      </c>
      <c r="BY290" s="17">
        <v>0.28000000000000003</v>
      </c>
      <c r="BZ290" s="17">
        <v>0.05</v>
      </c>
      <c r="CA290" s="29">
        <v>6.33</v>
      </c>
      <c r="CB290" s="325"/>
      <c r="CC290" s="13">
        <v>0</v>
      </c>
      <c r="CD290" s="13">
        <v>0</v>
      </c>
      <c r="CE290" s="13">
        <v>0</v>
      </c>
      <c r="CF290" s="13">
        <v>0</v>
      </c>
      <c r="CG290" s="13">
        <v>0</v>
      </c>
      <c r="CH290" s="13">
        <v>0</v>
      </c>
      <c r="CI290" s="13">
        <v>5439.67</v>
      </c>
      <c r="CJ290" s="13">
        <v>27684</v>
      </c>
      <c r="CK290" s="13">
        <v>1344.92</v>
      </c>
      <c r="CL290" s="13">
        <v>831311.88</v>
      </c>
      <c r="CM290" s="13">
        <v>71548.95</v>
      </c>
      <c r="CN290" s="13">
        <v>0</v>
      </c>
      <c r="CO290" s="13">
        <v>1678.92</v>
      </c>
      <c r="CP290" s="13">
        <v>1854.46</v>
      </c>
      <c r="CQ290" s="13">
        <v>0</v>
      </c>
      <c r="CR290" s="13">
        <v>754325.8</v>
      </c>
      <c r="CS290" s="13">
        <v>64623.43</v>
      </c>
      <c r="CT290" s="13">
        <v>549.91999999999996</v>
      </c>
      <c r="CU290" s="13">
        <v>1489.46</v>
      </c>
      <c r="CV290" s="13">
        <v>1662.27</v>
      </c>
      <c r="CW290" s="13">
        <v>0</v>
      </c>
      <c r="CX290" s="13">
        <v>156269.64000000001</v>
      </c>
      <c r="CY290" s="13">
        <v>16489.63</v>
      </c>
      <c r="CZ290" s="13">
        <v>-805.76</v>
      </c>
      <c r="DA290" s="13">
        <v>343</v>
      </c>
      <c r="DB290" s="13">
        <v>385.31</v>
      </c>
      <c r="DC290" s="13"/>
      <c r="DD290" s="315">
        <v>906394.21</v>
      </c>
      <c r="DE290" s="317">
        <v>822650.88</v>
      </c>
      <c r="DF290" s="317">
        <v>90.76</v>
      </c>
      <c r="DG290" s="318">
        <v>172681.82</v>
      </c>
      <c r="DH290" s="310">
        <v>36744.720000000001</v>
      </c>
      <c r="DI290" s="310">
        <v>21014.639999999999</v>
      </c>
      <c r="DJ290" s="312">
        <v>0</v>
      </c>
      <c r="DK290" s="362">
        <v>0</v>
      </c>
      <c r="DL290" s="362"/>
      <c r="DM290" s="362">
        <v>0</v>
      </c>
      <c r="DN290" s="362">
        <v>0</v>
      </c>
      <c r="DO290" s="362">
        <v>0</v>
      </c>
      <c r="DP290" s="362">
        <v>0</v>
      </c>
      <c r="DQ290" s="362">
        <v>0</v>
      </c>
      <c r="DR290" s="362"/>
      <c r="DS290" s="362">
        <v>0</v>
      </c>
      <c r="DT290" s="362"/>
      <c r="DU290" s="362">
        <v>0</v>
      </c>
      <c r="DV290" s="362">
        <v>0</v>
      </c>
      <c r="DW290" s="362">
        <v>0</v>
      </c>
      <c r="DX290" s="362">
        <v>0</v>
      </c>
      <c r="DY290" s="362">
        <v>0</v>
      </c>
      <c r="DZ290" s="375">
        <v>0</v>
      </c>
      <c r="EA290" s="362">
        <v>208656</v>
      </c>
      <c r="EB290" s="362">
        <v>10761</v>
      </c>
      <c r="EC290" s="362"/>
      <c r="ED290" s="362">
        <v>0</v>
      </c>
      <c r="EE290" s="362">
        <v>0</v>
      </c>
      <c r="EF290" s="362"/>
      <c r="EG290" s="362">
        <v>13398</v>
      </c>
      <c r="EH290" s="362">
        <v>20440</v>
      </c>
      <c r="EI290" s="362"/>
      <c r="EJ290" s="362">
        <v>12060</v>
      </c>
      <c r="EK290" s="362"/>
      <c r="EL290" s="362">
        <v>0</v>
      </c>
      <c r="EM290" s="362">
        <v>4472.9399999999996</v>
      </c>
      <c r="EN290" s="362">
        <v>0</v>
      </c>
      <c r="EO290" s="362">
        <v>0</v>
      </c>
      <c r="EP290" s="362">
        <v>217044</v>
      </c>
      <c r="EQ290" s="362">
        <v>0</v>
      </c>
      <c r="ER290" s="362">
        <v>15015</v>
      </c>
      <c r="ES290" s="362">
        <v>0</v>
      </c>
      <c r="ET290" s="362">
        <v>12932</v>
      </c>
      <c r="EU290" s="362">
        <v>0</v>
      </c>
      <c r="EV290" s="362">
        <v>51449</v>
      </c>
      <c r="EW290" s="362"/>
      <c r="EX290" s="202"/>
      <c r="EY290" s="202"/>
      <c r="EZ290" s="229"/>
      <c r="FA290" s="368">
        <v>76387.89</v>
      </c>
      <c r="FB290" s="368">
        <v>0</v>
      </c>
      <c r="FC290" s="368">
        <v>0</v>
      </c>
      <c r="FD290" s="368">
        <v>0</v>
      </c>
      <c r="FE290" s="368">
        <v>1817.28</v>
      </c>
      <c r="FF290" s="368">
        <v>1944.48</v>
      </c>
      <c r="FG290" s="368">
        <v>0</v>
      </c>
      <c r="FH290" s="368">
        <v>-894.71</v>
      </c>
      <c r="FI290" s="368">
        <v>0</v>
      </c>
      <c r="FJ290" s="368">
        <v>0</v>
      </c>
      <c r="FK290" s="368">
        <v>214.76</v>
      </c>
      <c r="FL290" s="368">
        <v>0</v>
      </c>
      <c r="FM290" s="368">
        <v>93493.03</v>
      </c>
      <c r="FN290" s="368">
        <v>59447.25</v>
      </c>
      <c r="FO290" s="323">
        <v>776927.58</v>
      </c>
      <c r="FP290" s="323">
        <v>79469.7</v>
      </c>
      <c r="FQ290" s="323">
        <v>856397.28</v>
      </c>
      <c r="FR290" s="362">
        <v>84152.78</v>
      </c>
      <c r="FS290" s="362">
        <v>7718.17</v>
      </c>
      <c r="FT290" s="377">
        <v>91870.95</v>
      </c>
      <c r="FU290" s="377">
        <v>864435.55</v>
      </c>
      <c r="FV290" s="377">
        <v>76427.25</v>
      </c>
      <c r="FW290" s="362">
        <v>940862.8</v>
      </c>
      <c r="FX290" s="362">
        <v>792318.69</v>
      </c>
      <c r="FY290" s="362">
        <v>67733.240000000005</v>
      </c>
      <c r="FZ290" s="362">
        <v>860051.93</v>
      </c>
      <c r="GA290" s="362">
        <v>156269.64000000001</v>
      </c>
      <c r="GB290" s="362">
        <v>16412.18</v>
      </c>
      <c r="GC290" s="362">
        <v>172681.82</v>
      </c>
      <c r="GD290" s="362">
        <v>44670.77</v>
      </c>
      <c r="GE290" s="362">
        <v>7551.48</v>
      </c>
      <c r="GF290" s="362">
        <v>52222.25</v>
      </c>
      <c r="GG290" s="202"/>
      <c r="GH290" s="416"/>
      <c r="GI290" s="414">
        <v>2455</v>
      </c>
      <c r="GJ290" s="419">
        <v>0</v>
      </c>
      <c r="GK290" s="396"/>
      <c r="GL290" s="202">
        <v>0</v>
      </c>
      <c r="GM290" s="202">
        <v>0</v>
      </c>
      <c r="GN290" s="323">
        <v>87507.97</v>
      </c>
      <c r="GO290" s="323">
        <v>-3042.45</v>
      </c>
      <c r="GP290" s="323">
        <v>84465.52</v>
      </c>
      <c r="GQ290" s="323">
        <v>132178.74</v>
      </c>
      <c r="GR290" s="323">
        <v>4509.03</v>
      </c>
      <c r="GS290" s="323">
        <v>136687.76999999999</v>
      </c>
    </row>
    <row r="291" spans="1:201" ht="12.75" customHeight="1" x14ac:dyDescent="0.2">
      <c r="A291" s="45" t="s">
        <v>769</v>
      </c>
      <c r="B291" s="78" t="s">
        <v>333</v>
      </c>
      <c r="C291" s="79" t="s">
        <v>25</v>
      </c>
      <c r="D291" s="388" t="s">
        <v>677</v>
      </c>
      <c r="E291" s="79"/>
      <c r="F291" s="11">
        <v>9</v>
      </c>
      <c r="G291" s="11">
        <v>1</v>
      </c>
      <c r="H291" s="11">
        <v>52</v>
      </c>
      <c r="I291" s="11">
        <v>52</v>
      </c>
      <c r="J291" s="11">
        <v>95</v>
      </c>
      <c r="K291" s="11">
        <v>119</v>
      </c>
      <c r="L291" s="11">
        <v>1</v>
      </c>
      <c r="M291" s="84">
        <v>254</v>
      </c>
      <c r="N291" s="84">
        <v>380</v>
      </c>
      <c r="O291" s="84">
        <v>380</v>
      </c>
      <c r="P291" s="139">
        <v>243.2</v>
      </c>
      <c r="Q291" s="135">
        <f>14.3+46.7+11.1+242.6</f>
        <v>314.7</v>
      </c>
      <c r="R291" s="133">
        <v>0</v>
      </c>
      <c r="S291" s="133">
        <f t="shared" si="134"/>
        <v>557.9</v>
      </c>
      <c r="T291" s="139">
        <v>254</v>
      </c>
      <c r="U291" s="130">
        <v>2.44</v>
      </c>
      <c r="V291" s="131">
        <v>1.9800000000000002E-2</v>
      </c>
      <c r="W291" s="131">
        <v>1.9800000000000002E-2</v>
      </c>
      <c r="X291" s="132">
        <v>1.32E-3</v>
      </c>
      <c r="Y291" s="131">
        <v>3.9699999999999999E-2</v>
      </c>
      <c r="Z291" s="29">
        <v>2215.1799999999998</v>
      </c>
      <c r="AA291" s="29">
        <v>337.8</v>
      </c>
      <c r="AB291" s="9">
        <f t="shared" si="113"/>
        <v>2552.98</v>
      </c>
      <c r="AC291" s="9">
        <f t="shared" si="112"/>
        <v>16160.36</v>
      </c>
      <c r="AD291" s="9">
        <v>1.32</v>
      </c>
      <c r="AE291" s="9">
        <v>4.34</v>
      </c>
      <c r="AF291" s="21">
        <f>2.39-AJ291</f>
        <v>2.25</v>
      </c>
      <c r="AG291" s="18">
        <f>0.59-AQ291</f>
        <v>0.53</v>
      </c>
      <c r="AH291" s="9">
        <v>2.77</v>
      </c>
      <c r="AI291" s="43">
        <v>365</v>
      </c>
      <c r="AJ291" s="21">
        <f t="shared" si="110"/>
        <v>0.14000000000000001</v>
      </c>
      <c r="AK291" s="9">
        <v>1.68</v>
      </c>
      <c r="AL291" s="9">
        <v>0.15</v>
      </c>
      <c r="AM291" s="9">
        <v>0.23</v>
      </c>
      <c r="AN291" s="13"/>
      <c r="AO291" s="13">
        <v>305.89999999999998</v>
      </c>
      <c r="AP291" s="13">
        <f t="shared" si="135"/>
        <v>5.58</v>
      </c>
      <c r="AQ291" s="18">
        <f t="shared" si="111"/>
        <v>0.06</v>
      </c>
      <c r="AR291" s="9">
        <v>0.64</v>
      </c>
      <c r="AS291" s="9">
        <v>0.53</v>
      </c>
      <c r="AT291" s="9">
        <v>7.0000000000000007E-2</v>
      </c>
      <c r="AU291" s="9">
        <v>5.03</v>
      </c>
      <c r="AV291" s="9">
        <v>0.16</v>
      </c>
      <c r="AW291" s="9">
        <f>1.32+0.33+0.44</f>
        <v>2.09</v>
      </c>
      <c r="AX291" s="9">
        <f>1.87+0.59</f>
        <v>2.46</v>
      </c>
      <c r="AY291" s="81">
        <f t="shared" si="136"/>
        <v>24.45</v>
      </c>
      <c r="AZ291" s="13">
        <v>24.45</v>
      </c>
      <c r="BA291" s="13">
        <f t="shared" si="114"/>
        <v>0</v>
      </c>
      <c r="BB291" s="9">
        <f t="shared" si="115"/>
        <v>62420.36</v>
      </c>
      <c r="BC291" s="9">
        <v>24.45</v>
      </c>
      <c r="BD291" s="10">
        <v>44440</v>
      </c>
      <c r="BE291" s="9">
        <f t="shared" si="116"/>
        <v>3369.93</v>
      </c>
      <c r="BF291" s="9">
        <f t="shared" si="117"/>
        <v>11079.93</v>
      </c>
      <c r="BG291" s="9">
        <f t="shared" si="118"/>
        <v>5744.21</v>
      </c>
      <c r="BH291" s="9">
        <f t="shared" si="119"/>
        <v>1353.08</v>
      </c>
      <c r="BI291" s="9">
        <f t="shared" si="120"/>
        <v>7071.75</v>
      </c>
      <c r="BJ291" s="9">
        <f t="shared" si="121"/>
        <v>357.42</v>
      </c>
      <c r="BK291" s="9">
        <f t="shared" si="122"/>
        <v>4289.01</v>
      </c>
      <c r="BL291" s="9">
        <f t="shared" si="123"/>
        <v>382.95</v>
      </c>
      <c r="BM291" s="9">
        <f t="shared" si="124"/>
        <v>587.19000000000005</v>
      </c>
      <c r="BN291" s="9">
        <f t="shared" si="125"/>
        <v>153.18</v>
      </c>
      <c r="BO291" s="9">
        <f t="shared" si="126"/>
        <v>1633.91</v>
      </c>
      <c r="BP291" s="9">
        <f t="shared" si="127"/>
        <v>1353.08</v>
      </c>
      <c r="BQ291" s="9">
        <f t="shared" si="128"/>
        <v>178.71</v>
      </c>
      <c r="BR291" s="9">
        <f t="shared" si="129"/>
        <v>12841.49</v>
      </c>
      <c r="BS291" s="9">
        <f t="shared" si="130"/>
        <v>408.48</v>
      </c>
      <c r="BT291" s="9">
        <f t="shared" si="131"/>
        <v>5335.73</v>
      </c>
      <c r="BU291" s="9">
        <f t="shared" si="132"/>
        <v>6280.33</v>
      </c>
      <c r="BV291" s="17">
        <f t="shared" si="133"/>
        <v>62420.38</v>
      </c>
      <c r="BW291" s="17">
        <v>2.21</v>
      </c>
      <c r="BX291" s="17">
        <v>7.0000000000000007E-2</v>
      </c>
      <c r="BY291" s="17">
        <v>0.43</v>
      </c>
      <c r="BZ291" s="17">
        <v>0.08</v>
      </c>
      <c r="CA291" s="29">
        <v>6.33</v>
      </c>
      <c r="CB291" s="325"/>
      <c r="CC291" s="13">
        <v>99110.64</v>
      </c>
      <c r="CD291" s="13">
        <v>7359.74</v>
      </c>
      <c r="CE291" s="13">
        <v>11100.13</v>
      </c>
      <c r="CF291" s="13">
        <v>111.47</v>
      </c>
      <c r="CG291" s="13">
        <v>118.19</v>
      </c>
      <c r="CH291" s="13">
        <v>0</v>
      </c>
      <c r="CI291" s="13">
        <v>2388.1999999999998</v>
      </c>
      <c r="CJ291" s="13">
        <v>36360</v>
      </c>
      <c r="CK291" s="13">
        <v>981.84</v>
      </c>
      <c r="CL291" s="13">
        <v>649935.72</v>
      </c>
      <c r="CM291" s="13">
        <v>62689.42</v>
      </c>
      <c r="CN291" s="13">
        <v>73522.06</v>
      </c>
      <c r="CO291" s="13">
        <v>0</v>
      </c>
      <c r="CP291" s="13">
        <v>775.2</v>
      </c>
      <c r="CQ291" s="13">
        <v>0</v>
      </c>
      <c r="CR291" s="13">
        <v>556560.29</v>
      </c>
      <c r="CS291" s="13">
        <v>51750.94</v>
      </c>
      <c r="CT291" s="13">
        <v>59998.03</v>
      </c>
      <c r="CU291" s="13">
        <v>88.14</v>
      </c>
      <c r="CV291" s="13">
        <v>714.36</v>
      </c>
      <c r="CW291" s="13">
        <v>0</v>
      </c>
      <c r="CX291" s="13">
        <v>168320.38</v>
      </c>
      <c r="CY291" s="13">
        <v>18686.59</v>
      </c>
      <c r="CZ291" s="13">
        <v>15124.47</v>
      </c>
      <c r="DA291" s="13">
        <v>-112.35</v>
      </c>
      <c r="DB291" s="13">
        <v>130.86000000000001</v>
      </c>
      <c r="DC291" s="13"/>
      <c r="DD291" s="315">
        <v>786922.4</v>
      </c>
      <c r="DE291" s="317">
        <v>669111.76</v>
      </c>
      <c r="DF291" s="317">
        <v>85.03</v>
      </c>
      <c r="DG291" s="318">
        <v>202149.95</v>
      </c>
      <c r="DH291" s="310">
        <v>23275.8</v>
      </c>
      <c r="DI291" s="310">
        <v>13311.72</v>
      </c>
      <c r="DJ291" s="312">
        <v>0</v>
      </c>
      <c r="DK291" s="362">
        <v>0</v>
      </c>
      <c r="DL291" s="362"/>
      <c r="DM291" s="362">
        <v>0</v>
      </c>
      <c r="DN291" s="362">
        <v>0</v>
      </c>
      <c r="DO291" s="362">
        <v>0</v>
      </c>
      <c r="DP291" s="362">
        <v>0</v>
      </c>
      <c r="DQ291" s="362">
        <v>0</v>
      </c>
      <c r="DR291" s="362"/>
      <c r="DS291" s="362">
        <v>0</v>
      </c>
      <c r="DT291" s="362"/>
      <c r="DU291" s="362">
        <v>0</v>
      </c>
      <c r="DV291" s="362">
        <v>0</v>
      </c>
      <c r="DW291" s="362">
        <v>51322.58</v>
      </c>
      <c r="DX291" s="362">
        <v>0</v>
      </c>
      <c r="DY291" s="362">
        <v>4500</v>
      </c>
      <c r="DZ291" s="375">
        <v>0</v>
      </c>
      <c r="EA291" s="362">
        <v>200448</v>
      </c>
      <c r="EB291" s="362">
        <v>7157</v>
      </c>
      <c r="EC291" s="362"/>
      <c r="ED291" s="362">
        <v>0</v>
      </c>
      <c r="EE291" s="362">
        <v>0</v>
      </c>
      <c r="EF291" s="362"/>
      <c r="EG291" s="362">
        <v>5808</v>
      </c>
      <c r="EH291" s="362">
        <v>0</v>
      </c>
      <c r="EI291" s="362"/>
      <c r="EJ291" s="362">
        <v>0</v>
      </c>
      <c r="EK291" s="362"/>
      <c r="EL291" s="362">
        <v>0</v>
      </c>
      <c r="EM291" s="362">
        <v>1706.91</v>
      </c>
      <c r="EN291" s="362">
        <v>0</v>
      </c>
      <c r="EO291" s="362">
        <v>0</v>
      </c>
      <c r="EP291" s="362">
        <v>158040</v>
      </c>
      <c r="EQ291" s="362">
        <v>0</v>
      </c>
      <c r="ER291" s="362">
        <v>16380</v>
      </c>
      <c r="ES291" s="362">
        <v>6924</v>
      </c>
      <c r="ET291" s="362">
        <v>6635</v>
      </c>
      <c r="EU291" s="362">
        <v>0</v>
      </c>
      <c r="EV291" s="362">
        <v>3673.79</v>
      </c>
      <c r="EW291" s="362"/>
      <c r="EX291" s="202"/>
      <c r="EY291" s="202"/>
      <c r="EZ291" s="229"/>
      <c r="FA291" s="368">
        <v>80954.97</v>
      </c>
      <c r="FB291" s="368">
        <v>85700.58</v>
      </c>
      <c r="FC291" s="368">
        <v>0</v>
      </c>
      <c r="FD291" s="368">
        <v>0</v>
      </c>
      <c r="FE291" s="368">
        <v>0</v>
      </c>
      <c r="FF291" s="368">
        <v>903.53</v>
      </c>
      <c r="FG291" s="368">
        <v>0</v>
      </c>
      <c r="FH291" s="368">
        <v>-676.9</v>
      </c>
      <c r="FI291" s="368">
        <v>0</v>
      </c>
      <c r="FJ291" s="368">
        <v>0</v>
      </c>
      <c r="FK291" s="368">
        <v>29564.9</v>
      </c>
      <c r="FL291" s="368">
        <v>0</v>
      </c>
      <c r="FM291" s="368">
        <v>68254.09</v>
      </c>
      <c r="FN291" s="368">
        <v>43399.13</v>
      </c>
      <c r="FO291" s="323">
        <v>610836.02</v>
      </c>
      <c r="FP291" s="323">
        <v>196447.08</v>
      </c>
      <c r="FQ291" s="323">
        <v>807283.1</v>
      </c>
      <c r="FR291" s="362">
        <v>88722.8</v>
      </c>
      <c r="FS291" s="362">
        <v>7675.05</v>
      </c>
      <c r="FT291" s="377">
        <v>96397.85</v>
      </c>
      <c r="FU291" s="377">
        <v>787794.56</v>
      </c>
      <c r="FV291" s="377">
        <v>156658.04999999999</v>
      </c>
      <c r="FW291" s="362">
        <v>944452.61</v>
      </c>
      <c r="FX291" s="362">
        <v>707313.47</v>
      </c>
      <c r="FY291" s="362">
        <v>130335.24</v>
      </c>
      <c r="FZ291" s="362">
        <v>837648.71</v>
      </c>
      <c r="GA291" s="362">
        <v>169203.89</v>
      </c>
      <c r="GB291" s="362">
        <v>33997.86</v>
      </c>
      <c r="GC291" s="362">
        <v>203201.75</v>
      </c>
      <c r="GD291" s="362">
        <v>13155.45</v>
      </c>
      <c r="GE291" s="362">
        <v>726.35</v>
      </c>
      <c r="GF291" s="362">
        <v>13881.8</v>
      </c>
      <c r="GG291" s="202">
        <v>1051.8</v>
      </c>
      <c r="GH291" s="416">
        <v>84</v>
      </c>
      <c r="GI291" s="414">
        <v>2878</v>
      </c>
      <c r="GJ291" s="419">
        <v>117800.17</v>
      </c>
      <c r="GK291" s="396">
        <v>1051.8</v>
      </c>
      <c r="GL291" s="202">
        <v>883.51199999999994</v>
      </c>
      <c r="GM291" s="202">
        <v>168.28800000000001</v>
      </c>
      <c r="GN291" s="323">
        <v>176958.54</v>
      </c>
      <c r="GO291" s="323">
        <v>-39789.03</v>
      </c>
      <c r="GP291" s="323">
        <v>137169.51</v>
      </c>
      <c r="GQ291" s="323">
        <v>190113.99</v>
      </c>
      <c r="GR291" s="323">
        <v>-39062.68</v>
      </c>
      <c r="GS291" s="323">
        <v>151051.31</v>
      </c>
    </row>
    <row r="292" spans="1:201" ht="12.75" customHeight="1" x14ac:dyDescent="0.2">
      <c r="A292" s="45" t="s">
        <v>770</v>
      </c>
      <c r="B292" s="60" t="s">
        <v>343</v>
      </c>
      <c r="C292" s="61" t="s">
        <v>203</v>
      </c>
      <c r="D292" s="388" t="s">
        <v>680</v>
      </c>
      <c r="E292" s="61" t="s">
        <v>12</v>
      </c>
      <c r="F292" s="11">
        <v>10</v>
      </c>
      <c r="G292" s="11">
        <v>4</v>
      </c>
      <c r="H292" s="11">
        <v>160</v>
      </c>
      <c r="I292" s="11">
        <v>161</v>
      </c>
      <c r="J292" s="11">
        <v>363</v>
      </c>
      <c r="K292" s="11">
        <v>425</v>
      </c>
      <c r="L292" s="83">
        <v>4</v>
      </c>
      <c r="M292" s="84">
        <v>860</v>
      </c>
      <c r="N292" s="84">
        <v>1164</v>
      </c>
      <c r="O292" s="84">
        <v>1164</v>
      </c>
      <c r="P292" s="139">
        <f>489.7+486.8</f>
        <v>976.5</v>
      </c>
      <c r="Q292" s="135">
        <v>877.1</v>
      </c>
      <c r="R292" s="133">
        <v>0</v>
      </c>
      <c r="S292" s="133">
        <f t="shared" si="134"/>
        <v>1853.6</v>
      </c>
      <c r="T292" s="139">
        <v>860</v>
      </c>
      <c r="U292" s="130">
        <v>2.74</v>
      </c>
      <c r="V292" s="91">
        <v>1.1299999999999999E-2</v>
      </c>
      <c r="W292" s="91">
        <v>1.1299999999999999E-2</v>
      </c>
      <c r="X292" s="132">
        <v>7.5000000000000002E-4</v>
      </c>
      <c r="Y292" s="91">
        <v>2.2499999999999999E-2</v>
      </c>
      <c r="Z292" s="29">
        <v>8680.6200000000008</v>
      </c>
      <c r="AA292" s="29">
        <v>306</v>
      </c>
      <c r="AB292" s="9">
        <f t="shared" si="113"/>
        <v>8986.6200000000008</v>
      </c>
      <c r="AC292" s="9">
        <f t="shared" si="112"/>
        <v>56885.3</v>
      </c>
      <c r="AD292" s="9">
        <v>1.5</v>
      </c>
      <c r="AE292" s="9">
        <v>5.1100000000000003</v>
      </c>
      <c r="AF292" s="21">
        <f>2.46-AJ292</f>
        <v>2.34</v>
      </c>
      <c r="AG292" s="18">
        <f>0.6-AQ292</f>
        <v>0.55000000000000004</v>
      </c>
      <c r="AH292" s="9">
        <v>2.4700000000000002</v>
      </c>
      <c r="AI292" s="43">
        <v>1117</v>
      </c>
      <c r="AJ292" s="21">
        <f t="shared" si="110"/>
        <v>0.12</v>
      </c>
      <c r="AK292" s="9">
        <v>1.92</v>
      </c>
      <c r="AL292" s="9">
        <v>0.17</v>
      </c>
      <c r="AM292" s="9">
        <v>0.11</v>
      </c>
      <c r="AN292" s="13"/>
      <c r="AO292" s="13">
        <v>982.4</v>
      </c>
      <c r="AP292" s="13">
        <f t="shared" si="135"/>
        <v>5.58</v>
      </c>
      <c r="AQ292" s="18">
        <f t="shared" si="111"/>
        <v>0.05</v>
      </c>
      <c r="AR292" s="9">
        <v>0.54</v>
      </c>
      <c r="AS292" s="9">
        <v>0.15</v>
      </c>
      <c r="AT292" s="9">
        <v>7.0000000000000007E-2</v>
      </c>
      <c r="AU292" s="9">
        <v>3.82</v>
      </c>
      <c r="AV292" s="9">
        <v>0.14000000000000001</v>
      </c>
      <c r="AW292" s="9">
        <f>1.35+0.34+0.26</f>
        <v>1.95</v>
      </c>
      <c r="AX292" s="9">
        <f>1.89+0.45</f>
        <v>2.34</v>
      </c>
      <c r="AY292" s="63">
        <f t="shared" si="136"/>
        <v>23.35</v>
      </c>
      <c r="AZ292" s="13">
        <v>23.35</v>
      </c>
      <c r="BA292" s="13">
        <f t="shared" si="114"/>
        <v>0</v>
      </c>
      <c r="BB292" s="9">
        <f t="shared" si="115"/>
        <v>209837.58</v>
      </c>
      <c r="BC292" s="9">
        <v>23.35</v>
      </c>
      <c r="BD292" s="10">
        <v>44409</v>
      </c>
      <c r="BE292" s="9">
        <f t="shared" si="116"/>
        <v>13479.93</v>
      </c>
      <c r="BF292" s="9">
        <f t="shared" si="117"/>
        <v>45921.63</v>
      </c>
      <c r="BG292" s="9">
        <f t="shared" si="118"/>
        <v>21028.69</v>
      </c>
      <c r="BH292" s="9">
        <f t="shared" si="119"/>
        <v>4942.6400000000003</v>
      </c>
      <c r="BI292" s="9">
        <f t="shared" si="120"/>
        <v>22196.95</v>
      </c>
      <c r="BJ292" s="9">
        <f t="shared" si="121"/>
        <v>1078.3900000000001</v>
      </c>
      <c r="BK292" s="9">
        <f t="shared" si="122"/>
        <v>17254.310000000001</v>
      </c>
      <c r="BL292" s="9">
        <f t="shared" si="123"/>
        <v>1527.73</v>
      </c>
      <c r="BM292" s="9">
        <f t="shared" si="124"/>
        <v>988.53</v>
      </c>
      <c r="BN292" s="9">
        <f t="shared" si="125"/>
        <v>449.33</v>
      </c>
      <c r="BO292" s="9">
        <f t="shared" si="126"/>
        <v>4852.7700000000004</v>
      </c>
      <c r="BP292" s="9">
        <f t="shared" si="127"/>
        <v>1347.99</v>
      </c>
      <c r="BQ292" s="9">
        <f t="shared" si="128"/>
        <v>629.05999999999995</v>
      </c>
      <c r="BR292" s="9">
        <f t="shared" si="129"/>
        <v>34328.89</v>
      </c>
      <c r="BS292" s="9">
        <f t="shared" si="130"/>
        <v>1258.1300000000001</v>
      </c>
      <c r="BT292" s="9">
        <f t="shared" si="131"/>
        <v>17523.91</v>
      </c>
      <c r="BU292" s="9">
        <f t="shared" si="132"/>
        <v>21028.69</v>
      </c>
      <c r="BV292" s="17">
        <f t="shared" si="133"/>
        <v>209837.57</v>
      </c>
      <c r="BW292" s="17">
        <v>2.48</v>
      </c>
      <c r="BX292" s="17">
        <v>0.04</v>
      </c>
      <c r="BY292" s="17">
        <v>0.26</v>
      </c>
      <c r="BZ292" s="17">
        <v>0.04</v>
      </c>
      <c r="CA292" s="29">
        <v>6.33</v>
      </c>
      <c r="CB292" s="325"/>
      <c r="CC292" s="13">
        <v>99313.56</v>
      </c>
      <c r="CD292" s="13">
        <v>8280.3700000000008</v>
      </c>
      <c r="CE292" s="13">
        <v>124.55</v>
      </c>
      <c r="CF292" s="13">
        <v>168.64</v>
      </c>
      <c r="CG292" s="13">
        <v>138.08000000000001</v>
      </c>
      <c r="CH292" s="13">
        <v>0</v>
      </c>
      <c r="CI292" s="13">
        <v>10201.24</v>
      </c>
      <c r="CJ292" s="13">
        <v>51480</v>
      </c>
      <c r="CK292" s="13">
        <v>3455.45</v>
      </c>
      <c r="CL292" s="13">
        <v>2416334.0699999998</v>
      </c>
      <c r="CM292" s="13">
        <v>233530.11</v>
      </c>
      <c r="CN292" s="13">
        <v>-8.52</v>
      </c>
      <c r="CO292" s="13">
        <v>3103.63</v>
      </c>
      <c r="CP292" s="13">
        <v>3103.63</v>
      </c>
      <c r="CQ292" s="13">
        <v>0</v>
      </c>
      <c r="CR292" s="13">
        <v>2328684.23</v>
      </c>
      <c r="CS292" s="13">
        <v>203181.13</v>
      </c>
      <c r="CT292" s="13">
        <v>2609.4</v>
      </c>
      <c r="CU292" s="13">
        <v>2973.94</v>
      </c>
      <c r="CV292" s="13">
        <v>3044.76</v>
      </c>
      <c r="CW292" s="13">
        <v>0</v>
      </c>
      <c r="CX292" s="13">
        <v>348304.14</v>
      </c>
      <c r="CY292" s="13">
        <v>45259.53</v>
      </c>
      <c r="CZ292" s="13">
        <v>-3262.65</v>
      </c>
      <c r="DA292" s="13">
        <v>396.43</v>
      </c>
      <c r="DB292" s="13">
        <v>396.43</v>
      </c>
      <c r="DC292" s="13"/>
      <c r="DD292" s="315">
        <v>2656062.92</v>
      </c>
      <c r="DE292" s="317">
        <v>2540493.46</v>
      </c>
      <c r="DF292" s="317">
        <v>95.65</v>
      </c>
      <c r="DG292" s="318">
        <v>391093.88</v>
      </c>
      <c r="DH292" s="310">
        <v>91144.8</v>
      </c>
      <c r="DI292" s="310">
        <v>52126.68</v>
      </c>
      <c r="DJ292" s="312">
        <v>0</v>
      </c>
      <c r="DK292" s="362">
        <v>0</v>
      </c>
      <c r="DL292" s="362"/>
      <c r="DM292" s="362">
        <v>0</v>
      </c>
      <c r="DN292" s="362">
        <v>0</v>
      </c>
      <c r="DO292" s="362">
        <v>0</v>
      </c>
      <c r="DP292" s="362">
        <v>0</v>
      </c>
      <c r="DQ292" s="362">
        <v>0</v>
      </c>
      <c r="DR292" s="362"/>
      <c r="DS292" s="362">
        <v>0</v>
      </c>
      <c r="DT292" s="362"/>
      <c r="DU292" s="362">
        <v>0</v>
      </c>
      <c r="DV292" s="362">
        <v>0</v>
      </c>
      <c r="DW292" s="362">
        <v>206400</v>
      </c>
      <c r="DX292" s="362">
        <v>0</v>
      </c>
      <c r="DY292" s="362">
        <v>56000</v>
      </c>
      <c r="DZ292" s="375">
        <v>3800</v>
      </c>
      <c r="EA292" s="362">
        <v>0</v>
      </c>
      <c r="EB292" s="362">
        <v>0</v>
      </c>
      <c r="EC292" s="362"/>
      <c r="ED292" s="362">
        <v>789251.76</v>
      </c>
      <c r="EE292" s="362">
        <v>11900</v>
      </c>
      <c r="EF292" s="362"/>
      <c r="EG292" s="362">
        <v>17778</v>
      </c>
      <c r="EH292" s="362">
        <v>0</v>
      </c>
      <c r="EI292" s="362"/>
      <c r="EJ292" s="362">
        <v>0</v>
      </c>
      <c r="EK292" s="362"/>
      <c r="EL292" s="362">
        <v>0</v>
      </c>
      <c r="EM292" s="362">
        <v>5481.78</v>
      </c>
      <c r="EN292" s="362">
        <v>0</v>
      </c>
      <c r="EO292" s="362">
        <v>0</v>
      </c>
      <c r="EP292" s="362">
        <v>542424</v>
      </c>
      <c r="EQ292" s="362">
        <v>0</v>
      </c>
      <c r="ER292" s="362">
        <v>15015</v>
      </c>
      <c r="ES292" s="362">
        <v>0</v>
      </c>
      <c r="ET292" s="362">
        <v>0</v>
      </c>
      <c r="EU292" s="362">
        <v>0</v>
      </c>
      <c r="EV292" s="362">
        <v>66817.179999999993</v>
      </c>
      <c r="EW292" s="362"/>
      <c r="EX292" s="202"/>
      <c r="EY292" s="202"/>
      <c r="EZ292" s="229"/>
      <c r="FA292" s="368">
        <v>223934.37</v>
      </c>
      <c r="FB292" s="368">
        <v>0</v>
      </c>
      <c r="FC292" s="368">
        <v>0</v>
      </c>
      <c r="FD292" s="368">
        <v>0</v>
      </c>
      <c r="FE292" s="368">
        <v>3255.24</v>
      </c>
      <c r="FF292" s="368">
        <v>3476.46</v>
      </c>
      <c r="FG292" s="368">
        <v>0</v>
      </c>
      <c r="FH292" s="368">
        <v>-2298.7199999999998</v>
      </c>
      <c r="FI292" s="368">
        <v>0</v>
      </c>
      <c r="FJ292" s="368">
        <v>0</v>
      </c>
      <c r="FK292" s="368">
        <v>44530.17</v>
      </c>
      <c r="FL292" s="368">
        <v>0</v>
      </c>
      <c r="FM292" s="368">
        <v>240235.35</v>
      </c>
      <c r="FN292" s="368">
        <v>152752.4</v>
      </c>
      <c r="FO292" s="323">
        <v>2251126.9500000002</v>
      </c>
      <c r="FP292" s="323">
        <v>272897.52</v>
      </c>
      <c r="FQ292" s="323">
        <v>2524024.4700000002</v>
      </c>
      <c r="FR292" s="362">
        <v>242426.28</v>
      </c>
      <c r="FS292" s="362">
        <v>15417.4</v>
      </c>
      <c r="FT292" s="377">
        <v>257843.68</v>
      </c>
      <c r="FU292" s="377">
        <v>2577328.87</v>
      </c>
      <c r="FV292" s="377">
        <v>251895.94</v>
      </c>
      <c r="FW292" s="362">
        <v>2829224.81</v>
      </c>
      <c r="FX292" s="362">
        <v>2464725.6800000002</v>
      </c>
      <c r="FY292" s="362">
        <v>223938.79</v>
      </c>
      <c r="FZ292" s="362">
        <v>2688664.47</v>
      </c>
      <c r="GA292" s="362">
        <v>355029.47</v>
      </c>
      <c r="GB292" s="362">
        <v>43374.55</v>
      </c>
      <c r="GC292" s="362">
        <v>398404.02</v>
      </c>
      <c r="GD292" s="362">
        <v>114771.14</v>
      </c>
      <c r="GE292" s="362">
        <v>-3134.83</v>
      </c>
      <c r="GF292" s="362">
        <v>111636.31</v>
      </c>
      <c r="GG292" s="202">
        <v>7310.14</v>
      </c>
      <c r="GH292" s="416">
        <v>92</v>
      </c>
      <c r="GI292" s="414">
        <v>2878</v>
      </c>
      <c r="GJ292" s="419">
        <v>108025.2</v>
      </c>
      <c r="GK292" s="396">
        <v>7310.14</v>
      </c>
      <c r="GL292" s="202">
        <v>6725.3288000000002</v>
      </c>
      <c r="GM292" s="202">
        <v>584.81119999999999</v>
      </c>
      <c r="GN292" s="323">
        <v>326201.92</v>
      </c>
      <c r="GO292" s="323">
        <v>-21001.58</v>
      </c>
      <c r="GP292" s="323">
        <v>305200.34000000003</v>
      </c>
      <c r="GQ292" s="323">
        <v>440973.06</v>
      </c>
      <c r="GR292" s="323">
        <v>-24136.41</v>
      </c>
      <c r="GS292" s="323">
        <v>416836.65</v>
      </c>
    </row>
    <row r="293" spans="1:201" ht="12.75" customHeight="1" x14ac:dyDescent="0.2">
      <c r="A293" s="45" t="s">
        <v>771</v>
      </c>
      <c r="B293" s="148" t="s">
        <v>345</v>
      </c>
      <c r="C293" s="149" t="s">
        <v>8</v>
      </c>
      <c r="D293" s="388" t="s">
        <v>681</v>
      </c>
      <c r="E293" s="149" t="s">
        <v>12</v>
      </c>
      <c r="F293" s="11">
        <v>9</v>
      </c>
      <c r="G293" s="11">
        <v>4</v>
      </c>
      <c r="H293" s="11">
        <v>144</v>
      </c>
      <c r="I293" s="11">
        <v>145</v>
      </c>
      <c r="J293" s="11">
        <v>320</v>
      </c>
      <c r="K293" s="11">
        <v>404</v>
      </c>
      <c r="L293" s="83">
        <v>4</v>
      </c>
      <c r="M293" s="84">
        <v>932</v>
      </c>
      <c r="N293" s="84">
        <v>1087</v>
      </c>
      <c r="O293" s="84">
        <v>0</v>
      </c>
      <c r="P293" s="139">
        <v>870</v>
      </c>
      <c r="Q293" s="135">
        <f>11.2+10+58+62.4+989.9</f>
        <v>1131.5</v>
      </c>
      <c r="R293" s="133">
        <v>0</v>
      </c>
      <c r="S293" s="133">
        <f t="shared" si="134"/>
        <v>2001.5</v>
      </c>
      <c r="T293" s="139">
        <v>932</v>
      </c>
      <c r="U293" s="130">
        <v>2.44</v>
      </c>
      <c r="V293" s="131">
        <v>1.9800000000000002E-2</v>
      </c>
      <c r="W293" s="131">
        <v>1.9800000000000002E-2</v>
      </c>
      <c r="X293" s="132">
        <v>1.32E-3</v>
      </c>
      <c r="Y293" s="131">
        <v>3.9699999999999999E-2</v>
      </c>
      <c r="Z293" s="29">
        <v>7826.52</v>
      </c>
      <c r="AA293" s="29">
        <v>29.3</v>
      </c>
      <c r="AB293" s="9">
        <f t="shared" si="113"/>
        <v>7855.82</v>
      </c>
      <c r="AC293" s="9">
        <f t="shared" si="112"/>
        <v>49727.34</v>
      </c>
      <c r="AD293" s="9">
        <v>2.4500000000000002</v>
      </c>
      <c r="AE293" s="9">
        <v>4.83</v>
      </c>
      <c r="AF293" s="21">
        <f>2.49-AJ293</f>
        <v>2.36</v>
      </c>
      <c r="AG293" s="18">
        <f>0.61-AQ293</f>
        <v>0.56000000000000005</v>
      </c>
      <c r="AH293" s="9">
        <v>2.78</v>
      </c>
      <c r="AI293" s="43">
        <v>1044</v>
      </c>
      <c r="AJ293" s="21">
        <f t="shared" si="110"/>
        <v>0.13</v>
      </c>
      <c r="AK293" s="9">
        <v>2.19</v>
      </c>
      <c r="AL293" s="9">
        <v>0.19</v>
      </c>
      <c r="AM293" s="9">
        <v>7.0000000000000007E-2</v>
      </c>
      <c r="AN293" s="13"/>
      <c r="AO293" s="13">
        <v>844.8</v>
      </c>
      <c r="AP293" s="13">
        <f t="shared" si="135"/>
        <v>5.58</v>
      </c>
      <c r="AQ293" s="18">
        <f t="shared" si="111"/>
        <v>0.05</v>
      </c>
      <c r="AR293" s="9">
        <v>0.56000000000000005</v>
      </c>
      <c r="AS293" s="9">
        <v>0.17</v>
      </c>
      <c r="AT293" s="9">
        <v>7.0000000000000007E-2</v>
      </c>
      <c r="AU293" s="9">
        <v>3.39</v>
      </c>
      <c r="AV293" s="9">
        <v>0.17</v>
      </c>
      <c r="AW293" s="9">
        <f>1.47+0.3+0.26</f>
        <v>2.0299999999999998</v>
      </c>
      <c r="AX293" s="9">
        <f>2.06+0.42</f>
        <v>2.48</v>
      </c>
      <c r="AY293" s="151">
        <f t="shared" si="136"/>
        <v>24.48</v>
      </c>
      <c r="AZ293" s="13">
        <v>24.48</v>
      </c>
      <c r="BA293" s="13">
        <f t="shared" si="114"/>
        <v>0</v>
      </c>
      <c r="BB293" s="9">
        <f t="shared" si="115"/>
        <v>192310.47</v>
      </c>
      <c r="BC293" s="9">
        <v>24.48</v>
      </c>
      <c r="BD293" s="10">
        <v>44409</v>
      </c>
      <c r="BE293" s="9">
        <f t="shared" si="116"/>
        <v>19246.759999999998</v>
      </c>
      <c r="BF293" s="9">
        <f t="shared" si="117"/>
        <v>37943.61</v>
      </c>
      <c r="BG293" s="9">
        <f t="shared" si="118"/>
        <v>18539.740000000002</v>
      </c>
      <c r="BH293" s="9">
        <f t="shared" si="119"/>
        <v>4399.26</v>
      </c>
      <c r="BI293" s="9">
        <f t="shared" si="120"/>
        <v>21839.18</v>
      </c>
      <c r="BJ293" s="9">
        <f t="shared" si="121"/>
        <v>1021.26</v>
      </c>
      <c r="BK293" s="9">
        <f t="shared" si="122"/>
        <v>17204.25</v>
      </c>
      <c r="BL293" s="9">
        <f t="shared" si="123"/>
        <v>1492.61</v>
      </c>
      <c r="BM293" s="9">
        <f t="shared" si="124"/>
        <v>549.91</v>
      </c>
      <c r="BN293" s="9">
        <f t="shared" si="125"/>
        <v>392.79</v>
      </c>
      <c r="BO293" s="9">
        <f t="shared" si="126"/>
        <v>4399.26</v>
      </c>
      <c r="BP293" s="9">
        <f t="shared" si="127"/>
        <v>1335.49</v>
      </c>
      <c r="BQ293" s="9">
        <f t="shared" si="128"/>
        <v>549.91</v>
      </c>
      <c r="BR293" s="9">
        <f t="shared" si="129"/>
        <v>26631.23</v>
      </c>
      <c r="BS293" s="9">
        <f t="shared" si="130"/>
        <v>1335.49</v>
      </c>
      <c r="BT293" s="9">
        <f t="shared" si="131"/>
        <v>15947.31</v>
      </c>
      <c r="BU293" s="9">
        <f t="shared" si="132"/>
        <v>19482.43</v>
      </c>
      <c r="BV293" s="17">
        <f t="shared" si="133"/>
        <v>192310.49</v>
      </c>
      <c r="BW293" s="17">
        <v>2.5</v>
      </c>
      <c r="BX293" s="17">
        <v>7.0000000000000007E-2</v>
      </c>
      <c r="BY293" s="17">
        <v>0.46</v>
      </c>
      <c r="BZ293" s="17">
        <v>0.08</v>
      </c>
      <c r="CA293" s="29">
        <v>6.33</v>
      </c>
      <c r="CB293" s="325"/>
      <c r="CC293" s="13">
        <v>9385.24</v>
      </c>
      <c r="CD293" s="13">
        <v>647.09</v>
      </c>
      <c r="CE293" s="13">
        <v>-53.33</v>
      </c>
      <c r="CF293" s="13">
        <v>124.69</v>
      </c>
      <c r="CG293" s="13">
        <v>51.76</v>
      </c>
      <c r="CH293" s="13">
        <v>0</v>
      </c>
      <c r="CI293" s="13">
        <v>6014.26</v>
      </c>
      <c r="CJ293" s="13">
        <v>69888</v>
      </c>
      <c r="CK293" s="13">
        <v>3021.33</v>
      </c>
      <c r="CL293" s="13">
        <v>2299160.73</v>
      </c>
      <c r="CM293" s="13">
        <v>176178.35</v>
      </c>
      <c r="CN293" s="13">
        <v>0</v>
      </c>
      <c r="CO293" s="13">
        <v>17609.55</v>
      </c>
      <c r="CP293" s="13">
        <v>14088.15</v>
      </c>
      <c r="CQ293" s="13">
        <v>0</v>
      </c>
      <c r="CR293" s="13">
        <v>2116103.84</v>
      </c>
      <c r="CS293" s="13">
        <v>176409.51</v>
      </c>
      <c r="CT293" s="13">
        <v>9283.16</v>
      </c>
      <c r="CU293" s="13">
        <v>19794.55</v>
      </c>
      <c r="CV293" s="13">
        <v>13327.31</v>
      </c>
      <c r="CW293" s="13">
        <v>0</v>
      </c>
      <c r="CX293" s="13">
        <v>369095.64</v>
      </c>
      <c r="CY293" s="13">
        <v>36466.26</v>
      </c>
      <c r="CZ293" s="13">
        <v>-10553.58</v>
      </c>
      <c r="DA293" s="13">
        <v>3131.01</v>
      </c>
      <c r="DB293" s="13">
        <v>2214.1999999999998</v>
      </c>
      <c r="DC293" s="13"/>
      <c r="DD293" s="315">
        <v>2507036.7799999998</v>
      </c>
      <c r="DE293" s="317">
        <v>2334918.37</v>
      </c>
      <c r="DF293" s="317">
        <v>93.13</v>
      </c>
      <c r="DG293" s="318">
        <v>400353.53</v>
      </c>
      <c r="DH293" s="310">
        <v>82238.64</v>
      </c>
      <c r="DI293" s="310">
        <v>47033.16</v>
      </c>
      <c r="DJ293" s="312">
        <v>0</v>
      </c>
      <c r="DK293" s="362">
        <v>34100</v>
      </c>
      <c r="DL293" s="362"/>
      <c r="DM293" s="362">
        <v>0</v>
      </c>
      <c r="DN293" s="362">
        <v>0</v>
      </c>
      <c r="DO293" s="362">
        <v>0</v>
      </c>
      <c r="DP293" s="362">
        <v>0</v>
      </c>
      <c r="DQ293" s="362">
        <v>0</v>
      </c>
      <c r="DR293" s="362"/>
      <c r="DS293" s="362">
        <v>0</v>
      </c>
      <c r="DT293" s="362"/>
      <c r="DU293" s="362">
        <v>0</v>
      </c>
      <c r="DV293" s="362">
        <v>0</v>
      </c>
      <c r="DW293" s="362">
        <v>206400</v>
      </c>
      <c r="DX293" s="362">
        <v>0</v>
      </c>
      <c r="DY293" s="362">
        <v>18000</v>
      </c>
      <c r="DZ293" s="375">
        <v>0</v>
      </c>
      <c r="EA293" s="362">
        <v>687522</v>
      </c>
      <c r="EB293" s="362">
        <v>0</v>
      </c>
      <c r="EC293" s="362"/>
      <c r="ED293" s="362">
        <v>0</v>
      </c>
      <c r="EE293" s="362">
        <v>0</v>
      </c>
      <c r="EF293" s="362"/>
      <c r="EG293" s="362">
        <v>16614</v>
      </c>
      <c r="EH293" s="362">
        <v>0</v>
      </c>
      <c r="EI293" s="362"/>
      <c r="EJ293" s="362">
        <v>0</v>
      </c>
      <c r="EK293" s="362"/>
      <c r="EL293" s="362">
        <v>0</v>
      </c>
      <c r="EM293" s="362">
        <v>4713.99</v>
      </c>
      <c r="EN293" s="362">
        <v>619696.38</v>
      </c>
      <c r="EO293" s="362">
        <v>0</v>
      </c>
      <c r="EP293" s="362">
        <v>0</v>
      </c>
      <c r="EQ293" s="362">
        <v>0</v>
      </c>
      <c r="ER293" s="362">
        <v>16380</v>
      </c>
      <c r="ES293" s="362">
        <v>3462</v>
      </c>
      <c r="ET293" s="362">
        <v>17764</v>
      </c>
      <c r="EU293" s="362">
        <v>0</v>
      </c>
      <c r="EV293" s="362">
        <v>87056.53</v>
      </c>
      <c r="EW293" s="362"/>
      <c r="EX293" s="202"/>
      <c r="EY293" s="202"/>
      <c r="EZ293" s="229"/>
      <c r="FA293" s="368">
        <v>189290.27</v>
      </c>
      <c r="FB293" s="368">
        <v>0</v>
      </c>
      <c r="FC293" s="368">
        <v>0</v>
      </c>
      <c r="FD293" s="368">
        <v>0</v>
      </c>
      <c r="FE293" s="368">
        <v>21673.65</v>
      </c>
      <c r="FF293" s="368">
        <v>14349.72</v>
      </c>
      <c r="FG293" s="368">
        <v>-3235.6</v>
      </c>
      <c r="FH293" s="368">
        <v>-3757.47</v>
      </c>
      <c r="FI293" s="368">
        <v>0</v>
      </c>
      <c r="FJ293" s="368">
        <v>0</v>
      </c>
      <c r="FK293" s="368">
        <v>60601.29</v>
      </c>
      <c r="FL293" s="368">
        <v>0</v>
      </c>
      <c r="FM293" s="368">
        <v>210029.83</v>
      </c>
      <c r="FN293" s="368">
        <v>133546.54999999999</v>
      </c>
      <c r="FO293" s="323">
        <v>2184557.08</v>
      </c>
      <c r="FP293" s="323">
        <v>278921.86</v>
      </c>
      <c r="FQ293" s="323">
        <v>2463478.94</v>
      </c>
      <c r="FR293" s="362">
        <v>186593.39</v>
      </c>
      <c r="FS293" s="362">
        <v>21536.1</v>
      </c>
      <c r="FT293" s="377">
        <v>208129.49</v>
      </c>
      <c r="FU293" s="377">
        <v>2384448.23</v>
      </c>
      <c r="FV293" s="377">
        <v>211667.59</v>
      </c>
      <c r="FW293" s="362">
        <v>2596115.8199999998</v>
      </c>
      <c r="FX293" s="362">
        <v>2193742.38</v>
      </c>
      <c r="FY293" s="362">
        <v>201232.44</v>
      </c>
      <c r="FZ293" s="362">
        <v>2394974.8199999998</v>
      </c>
      <c r="GA293" s="362">
        <v>377299.24</v>
      </c>
      <c r="GB293" s="362">
        <v>31971.25</v>
      </c>
      <c r="GC293" s="362">
        <v>409270.49</v>
      </c>
      <c r="GD293" s="362">
        <v>52802.17</v>
      </c>
      <c r="GE293" s="362">
        <v>13353.62</v>
      </c>
      <c r="GF293" s="362">
        <v>66155.789999999994</v>
      </c>
      <c r="GG293" s="202">
        <v>8916.9599999999991</v>
      </c>
      <c r="GH293" s="416">
        <v>92</v>
      </c>
      <c r="GI293" s="414">
        <v>4970.1000000000004</v>
      </c>
      <c r="GJ293" s="419">
        <v>10155.450000000001</v>
      </c>
      <c r="GK293" s="396">
        <v>8916.9599999999991</v>
      </c>
      <c r="GL293" s="202">
        <v>8203.6031999999996</v>
      </c>
      <c r="GM293" s="202">
        <v>713.35680000000002</v>
      </c>
      <c r="GN293" s="323">
        <v>199891.15</v>
      </c>
      <c r="GO293" s="323">
        <v>-67254.27</v>
      </c>
      <c r="GP293" s="323">
        <v>132636.88</v>
      </c>
      <c r="GQ293" s="323">
        <v>252693.32</v>
      </c>
      <c r="GR293" s="323">
        <v>-53900.65</v>
      </c>
      <c r="GS293" s="323">
        <v>198792.67</v>
      </c>
    </row>
    <row r="294" spans="1:201" ht="12.75" customHeight="1" x14ac:dyDescent="0.2">
      <c r="A294" s="45" t="s">
        <v>772</v>
      </c>
      <c r="B294" s="60" t="s">
        <v>347</v>
      </c>
      <c r="C294" s="61" t="s">
        <v>57</v>
      </c>
      <c r="D294" s="388" t="s">
        <v>682</v>
      </c>
      <c r="E294" s="61" t="s">
        <v>12</v>
      </c>
      <c r="F294" s="11">
        <v>9</v>
      </c>
      <c r="G294" s="11">
        <v>2</v>
      </c>
      <c r="H294" s="11">
        <v>108</v>
      </c>
      <c r="I294" s="11">
        <v>108</v>
      </c>
      <c r="J294" s="11">
        <v>189</v>
      </c>
      <c r="K294" s="11">
        <v>216</v>
      </c>
      <c r="L294" s="83">
        <v>2</v>
      </c>
      <c r="M294" s="84">
        <v>221.4</v>
      </c>
      <c r="N294" s="84">
        <v>771.3</v>
      </c>
      <c r="O294" s="84">
        <v>771.3</v>
      </c>
      <c r="P294" s="135">
        <v>539.9</v>
      </c>
      <c r="Q294" s="135">
        <v>524.20000000000005</v>
      </c>
      <c r="R294" s="135">
        <v>524.20000000000005</v>
      </c>
      <c r="S294" s="133">
        <f t="shared" si="134"/>
        <v>1588.3</v>
      </c>
      <c r="T294" s="134">
        <v>539.9</v>
      </c>
      <c r="U294" s="130">
        <v>2.44</v>
      </c>
      <c r="V294" s="131">
        <v>1.9800000000000002E-2</v>
      </c>
      <c r="W294" s="131">
        <v>1.9800000000000002E-2</v>
      </c>
      <c r="X294" s="132">
        <v>1.2199999999999999E-3</v>
      </c>
      <c r="Y294" s="131">
        <v>3.9699999999999999E-2</v>
      </c>
      <c r="Z294" s="29">
        <v>4787.7</v>
      </c>
      <c r="AA294" s="29"/>
      <c r="AB294" s="9">
        <f t="shared" si="113"/>
        <v>4787.7</v>
      </c>
      <c r="AC294" s="9">
        <f t="shared" si="112"/>
        <v>30306.14</v>
      </c>
      <c r="AD294" s="9">
        <v>1.55</v>
      </c>
      <c r="AE294" s="9">
        <v>4.3899999999999997</v>
      </c>
      <c r="AF294" s="21">
        <f>2.4-AJ294</f>
        <v>2.25</v>
      </c>
      <c r="AG294" s="18">
        <f>0.58-AQ294</f>
        <v>0.52</v>
      </c>
      <c r="AH294" s="9">
        <v>2.77</v>
      </c>
      <c r="AI294" s="43">
        <v>706</v>
      </c>
      <c r="AJ294" s="21">
        <f t="shared" si="110"/>
        <v>0.15</v>
      </c>
      <c r="AK294" s="9">
        <v>1.8</v>
      </c>
      <c r="AL294" s="9">
        <v>0.16</v>
      </c>
      <c r="AM294" s="9">
        <v>0.2</v>
      </c>
      <c r="AN294" s="13"/>
      <c r="AO294" s="13">
        <v>611.79999999999995</v>
      </c>
      <c r="AP294" s="13">
        <f t="shared" si="135"/>
        <v>5.58</v>
      </c>
      <c r="AQ294" s="18">
        <f t="shared" si="111"/>
        <v>0.06</v>
      </c>
      <c r="AR294" s="9">
        <v>0.7</v>
      </c>
      <c r="AS294" s="9">
        <v>0.28999999999999998</v>
      </c>
      <c r="AT294" s="9">
        <v>7.0000000000000007E-2</v>
      </c>
      <c r="AU294" s="9">
        <v>4.07</v>
      </c>
      <c r="AV294" s="9">
        <v>0.16</v>
      </c>
      <c r="AW294" s="9">
        <f>0.32+1.34+0.35</f>
        <v>2.0099999999999998</v>
      </c>
      <c r="AX294" s="9">
        <f>1.88+0.48</f>
        <v>2.36</v>
      </c>
      <c r="AY294" s="63">
        <f t="shared" si="136"/>
        <v>23.51</v>
      </c>
      <c r="AZ294" s="13">
        <v>23.51</v>
      </c>
      <c r="BA294" s="13">
        <f t="shared" si="114"/>
        <v>0</v>
      </c>
      <c r="BB294" s="9">
        <f t="shared" si="115"/>
        <v>112558.83</v>
      </c>
      <c r="BC294" s="9">
        <v>23.51</v>
      </c>
      <c r="BD294" s="10">
        <v>44378</v>
      </c>
      <c r="BE294" s="9">
        <f t="shared" si="116"/>
        <v>7420.94</v>
      </c>
      <c r="BF294" s="9">
        <f t="shared" si="117"/>
        <v>21018</v>
      </c>
      <c r="BG294" s="9">
        <f t="shared" si="118"/>
        <v>10772.33</v>
      </c>
      <c r="BH294" s="9">
        <f t="shared" si="119"/>
        <v>2489.6</v>
      </c>
      <c r="BI294" s="9">
        <f t="shared" si="120"/>
        <v>13261.93</v>
      </c>
      <c r="BJ294" s="9">
        <f t="shared" si="121"/>
        <v>718.16</v>
      </c>
      <c r="BK294" s="9">
        <f t="shared" si="122"/>
        <v>8617.86</v>
      </c>
      <c r="BL294" s="9">
        <f t="shared" si="123"/>
        <v>766.03</v>
      </c>
      <c r="BM294" s="9">
        <f t="shared" si="124"/>
        <v>957.54</v>
      </c>
      <c r="BN294" s="9">
        <f t="shared" si="125"/>
        <v>287.26</v>
      </c>
      <c r="BO294" s="9">
        <f t="shared" si="126"/>
        <v>3351.39</v>
      </c>
      <c r="BP294" s="9">
        <f t="shared" si="127"/>
        <v>1388.43</v>
      </c>
      <c r="BQ294" s="9">
        <f t="shared" si="128"/>
        <v>335.14</v>
      </c>
      <c r="BR294" s="9">
        <f t="shared" si="129"/>
        <v>19485.939999999999</v>
      </c>
      <c r="BS294" s="9">
        <f t="shared" si="130"/>
        <v>766.03</v>
      </c>
      <c r="BT294" s="9">
        <f t="shared" si="131"/>
        <v>9623.2800000000007</v>
      </c>
      <c r="BU294" s="9">
        <f t="shared" si="132"/>
        <v>11298.97</v>
      </c>
      <c r="BV294" s="17">
        <f t="shared" si="133"/>
        <v>112558.83</v>
      </c>
      <c r="BW294" s="17">
        <v>3.79</v>
      </c>
      <c r="BX294" s="17">
        <v>0.08</v>
      </c>
      <c r="BY294" s="17">
        <v>0.42</v>
      </c>
      <c r="BZ294" s="17">
        <v>0.08</v>
      </c>
      <c r="CA294" s="29">
        <v>6.33</v>
      </c>
      <c r="CB294" s="325"/>
      <c r="CC294" s="13">
        <v>0</v>
      </c>
      <c r="CD294" s="13">
        <v>0</v>
      </c>
      <c r="CE294" s="13">
        <v>0</v>
      </c>
      <c r="CF294" s="13">
        <v>0</v>
      </c>
      <c r="CG294" s="13">
        <v>0</v>
      </c>
      <c r="CH294" s="13">
        <v>0</v>
      </c>
      <c r="CI294" s="13">
        <v>6352.47</v>
      </c>
      <c r="CJ294" s="13">
        <v>19392</v>
      </c>
      <c r="CK294" s="13">
        <v>1840.12</v>
      </c>
      <c r="CL294" s="13">
        <v>1350241.32</v>
      </c>
      <c r="CM294" s="13">
        <v>178088.88</v>
      </c>
      <c r="CN294" s="13">
        <v>160976.67000000001</v>
      </c>
      <c r="CO294" s="13">
        <v>20286.009999999998</v>
      </c>
      <c r="CP294" s="13">
        <v>13828.35</v>
      </c>
      <c r="CQ294" s="13">
        <v>0</v>
      </c>
      <c r="CR294" s="13">
        <v>1221049.99</v>
      </c>
      <c r="CS294" s="13">
        <v>152323.32</v>
      </c>
      <c r="CT294" s="13">
        <v>141564.94</v>
      </c>
      <c r="CU294" s="13">
        <v>19501.05</v>
      </c>
      <c r="CV294" s="13">
        <v>12016.83</v>
      </c>
      <c r="CW294" s="13">
        <v>0</v>
      </c>
      <c r="CX294" s="13">
        <v>255184.4</v>
      </c>
      <c r="CY294" s="13">
        <v>38108.67</v>
      </c>
      <c r="CZ294" s="13">
        <v>23441.73</v>
      </c>
      <c r="DA294" s="13">
        <v>1469.03</v>
      </c>
      <c r="DB294" s="13">
        <v>2224.38</v>
      </c>
      <c r="DC294" s="13"/>
      <c r="DD294" s="315">
        <v>1723421.23</v>
      </c>
      <c r="DE294" s="317">
        <v>1546456.13</v>
      </c>
      <c r="DF294" s="317">
        <v>89.73</v>
      </c>
      <c r="DG294" s="318">
        <v>320428.21000000002</v>
      </c>
      <c r="DH294" s="310">
        <v>50271.72</v>
      </c>
      <c r="DI294" s="310">
        <v>28750.92</v>
      </c>
      <c r="DJ294" s="312">
        <v>0</v>
      </c>
      <c r="DK294" s="362">
        <v>0</v>
      </c>
      <c r="DL294" s="362"/>
      <c r="DM294" s="362">
        <v>0</v>
      </c>
      <c r="DN294" s="362">
        <v>0</v>
      </c>
      <c r="DO294" s="362">
        <v>0</v>
      </c>
      <c r="DP294" s="362">
        <v>0</v>
      </c>
      <c r="DQ294" s="362">
        <v>0</v>
      </c>
      <c r="DR294" s="362"/>
      <c r="DS294" s="362">
        <v>0</v>
      </c>
      <c r="DT294" s="362"/>
      <c r="DU294" s="362">
        <v>0</v>
      </c>
      <c r="DV294" s="362">
        <v>0</v>
      </c>
      <c r="DW294" s="362">
        <v>102759.76</v>
      </c>
      <c r="DX294" s="362">
        <v>0</v>
      </c>
      <c r="DY294" s="362">
        <v>9000</v>
      </c>
      <c r="DZ294" s="375">
        <v>0</v>
      </c>
      <c r="EA294" s="362">
        <v>0</v>
      </c>
      <c r="EB294" s="362">
        <v>0</v>
      </c>
      <c r="EC294" s="362"/>
      <c r="ED294" s="362">
        <v>378513.42</v>
      </c>
      <c r="EE294" s="362">
        <v>12800</v>
      </c>
      <c r="EF294" s="362"/>
      <c r="EG294" s="362">
        <v>11232</v>
      </c>
      <c r="EH294" s="362">
        <v>0</v>
      </c>
      <c r="EI294" s="362"/>
      <c r="EJ294" s="362">
        <v>0</v>
      </c>
      <c r="EK294" s="362"/>
      <c r="EL294" s="362">
        <v>0</v>
      </c>
      <c r="EM294" s="362">
        <v>3413.85</v>
      </c>
      <c r="EN294" s="362">
        <v>0</v>
      </c>
      <c r="EO294" s="362">
        <v>0</v>
      </c>
      <c r="EP294" s="362">
        <v>299754</v>
      </c>
      <c r="EQ294" s="362">
        <v>0</v>
      </c>
      <c r="ER294" s="362">
        <v>12285</v>
      </c>
      <c r="ES294" s="362">
        <v>1884</v>
      </c>
      <c r="ET294" s="362">
        <v>13376</v>
      </c>
      <c r="EU294" s="362">
        <v>0</v>
      </c>
      <c r="EV294" s="362">
        <v>121370.32</v>
      </c>
      <c r="EW294" s="362"/>
      <c r="EX294" s="202"/>
      <c r="EY294" s="202"/>
      <c r="EZ294" s="229"/>
      <c r="FA294" s="368">
        <v>173588.9</v>
      </c>
      <c r="FB294" s="368">
        <v>104829.05</v>
      </c>
      <c r="FC294" s="368">
        <v>0</v>
      </c>
      <c r="FD294" s="368">
        <v>0</v>
      </c>
      <c r="FE294" s="368">
        <v>23885.97</v>
      </c>
      <c r="FF294" s="368">
        <v>14083.89</v>
      </c>
      <c r="FG294" s="368">
        <v>-2567.2800000000002</v>
      </c>
      <c r="FH294" s="368">
        <v>-2616.94</v>
      </c>
      <c r="FI294" s="368">
        <v>0</v>
      </c>
      <c r="FJ294" s="368">
        <v>0</v>
      </c>
      <c r="FK294" s="368">
        <v>0.08</v>
      </c>
      <c r="FL294" s="368">
        <v>0</v>
      </c>
      <c r="FM294" s="368">
        <v>127954.44</v>
      </c>
      <c r="FN294" s="368">
        <v>81358.850000000006</v>
      </c>
      <c r="FO294" s="323">
        <v>1254724.28</v>
      </c>
      <c r="FP294" s="323">
        <v>311203.67</v>
      </c>
      <c r="FQ294" s="323">
        <v>1565927.95</v>
      </c>
      <c r="FR294" s="362">
        <v>112331.61</v>
      </c>
      <c r="FS294" s="362">
        <v>20713.400000000001</v>
      </c>
      <c r="FT294" s="377">
        <v>133045.01</v>
      </c>
      <c r="FU294" s="377">
        <v>1375985.79</v>
      </c>
      <c r="FV294" s="377">
        <v>375020.03</v>
      </c>
      <c r="FW294" s="362">
        <v>1751005.82</v>
      </c>
      <c r="FX294" s="362">
        <v>1233133</v>
      </c>
      <c r="FY294" s="362">
        <v>330489.62</v>
      </c>
      <c r="FZ294" s="362">
        <v>1563622.62</v>
      </c>
      <c r="GA294" s="362">
        <v>255184.4</v>
      </c>
      <c r="GB294" s="362">
        <v>65243.81</v>
      </c>
      <c r="GC294" s="362">
        <v>320428.21000000002</v>
      </c>
      <c r="GD294" s="362">
        <v>68949.149999999994</v>
      </c>
      <c r="GE294" s="362">
        <v>-50590.18</v>
      </c>
      <c r="GF294" s="362">
        <v>18358.97</v>
      </c>
      <c r="GG294" s="202"/>
      <c r="GH294" s="416"/>
      <c r="GI294" s="414">
        <v>1524</v>
      </c>
      <c r="GJ294" s="419">
        <v>0</v>
      </c>
      <c r="GK294" s="396"/>
      <c r="GL294" s="202">
        <v>0</v>
      </c>
      <c r="GM294" s="202">
        <v>0</v>
      </c>
      <c r="GN294" s="323">
        <v>121261.51</v>
      </c>
      <c r="GO294" s="323">
        <v>63816.36</v>
      </c>
      <c r="GP294" s="323">
        <v>185077.87</v>
      </c>
      <c r="GQ294" s="323">
        <v>190210.66</v>
      </c>
      <c r="GR294" s="323">
        <v>13226.18</v>
      </c>
      <c r="GS294" s="323">
        <v>203436.84</v>
      </c>
    </row>
    <row r="295" spans="1:201" ht="12.75" customHeight="1" x14ac:dyDescent="0.2">
      <c r="A295" s="45" t="s">
        <v>773</v>
      </c>
      <c r="B295" s="66" t="s">
        <v>347</v>
      </c>
      <c r="C295" s="67" t="s">
        <v>240</v>
      </c>
      <c r="D295" s="388" t="s">
        <v>529</v>
      </c>
      <c r="E295" s="67" t="s">
        <v>12</v>
      </c>
      <c r="F295" s="11">
        <v>5</v>
      </c>
      <c r="G295" s="11">
        <v>4</v>
      </c>
      <c r="H295" s="11">
        <v>80</v>
      </c>
      <c r="I295" s="11">
        <v>80</v>
      </c>
      <c r="J295" s="11">
        <v>132</v>
      </c>
      <c r="K295" s="11">
        <v>181</v>
      </c>
      <c r="L295" s="11" t="s">
        <v>746</v>
      </c>
      <c r="M295" s="84">
        <v>267</v>
      </c>
      <c r="N295" s="84">
        <v>594.4</v>
      </c>
      <c r="O295" s="84">
        <v>0</v>
      </c>
      <c r="P295" s="135">
        <v>282.5</v>
      </c>
      <c r="Q295" s="135">
        <v>725.2</v>
      </c>
      <c r="R295" s="133">
        <v>0</v>
      </c>
      <c r="S295" s="133">
        <f t="shared" si="134"/>
        <v>1007.7</v>
      </c>
      <c r="T295" s="134">
        <v>282.5</v>
      </c>
      <c r="U295" s="130">
        <v>1.53</v>
      </c>
      <c r="V295" s="131">
        <v>1.9800000000000002E-2</v>
      </c>
      <c r="W295" s="131">
        <v>1.9800000000000002E-2</v>
      </c>
      <c r="X295" s="132">
        <v>1.2199999999999999E-3</v>
      </c>
      <c r="Y295" s="131">
        <v>3.95E-2</v>
      </c>
      <c r="Z295" s="29">
        <v>3570</v>
      </c>
      <c r="AA295" s="29"/>
      <c r="AB295" s="9">
        <f t="shared" si="113"/>
        <v>3570</v>
      </c>
      <c r="AC295" s="9">
        <f t="shared" si="112"/>
        <v>22598.1</v>
      </c>
      <c r="AD295" s="9">
        <v>0.4</v>
      </c>
      <c r="AE295" s="9">
        <v>4.58</v>
      </c>
      <c r="AF295" s="21">
        <f>2.46-AJ295</f>
        <v>2.2200000000000002</v>
      </c>
      <c r="AG295" s="18">
        <f>0.53-AQ295</f>
        <v>0.43</v>
      </c>
      <c r="AH295" s="9">
        <v>2.78</v>
      </c>
      <c r="AI295" s="43">
        <v>847</v>
      </c>
      <c r="AJ295" s="21">
        <f t="shared" si="110"/>
        <v>0.24</v>
      </c>
      <c r="AK295" s="9">
        <v>0</v>
      </c>
      <c r="AL295" s="9">
        <v>0</v>
      </c>
      <c r="AM295" s="9">
        <v>0.26</v>
      </c>
      <c r="AN295" s="13"/>
      <c r="AO295" s="13">
        <v>753.6</v>
      </c>
      <c r="AP295" s="13">
        <f t="shared" si="135"/>
        <v>5.58</v>
      </c>
      <c r="AQ295" s="18">
        <f t="shared" si="111"/>
        <v>0.1</v>
      </c>
      <c r="AR295" s="9">
        <v>0.77</v>
      </c>
      <c r="AS295" s="9">
        <v>0.38</v>
      </c>
      <c r="AT295" s="9">
        <v>7.0000000000000007E-2</v>
      </c>
      <c r="AU295" s="9">
        <v>3.79</v>
      </c>
      <c r="AV295" s="9">
        <v>0.12</v>
      </c>
      <c r="AW295" s="9">
        <f>1.1+0.31+0.33</f>
        <v>1.74</v>
      </c>
      <c r="AX295" s="9">
        <f>1.51+0.46</f>
        <v>1.97</v>
      </c>
      <c r="AY295" s="69">
        <f t="shared" si="136"/>
        <v>19.850000000000001</v>
      </c>
      <c r="AZ295" s="13">
        <v>19.850000000000001</v>
      </c>
      <c r="BA295" s="13">
        <f t="shared" si="114"/>
        <v>0</v>
      </c>
      <c r="BB295" s="9">
        <f t="shared" si="115"/>
        <v>70864.5</v>
      </c>
      <c r="BC295" s="9">
        <v>19.850000000000001</v>
      </c>
      <c r="BD295" s="10">
        <v>44409</v>
      </c>
      <c r="BE295" s="9">
        <f t="shared" si="116"/>
        <v>1428</v>
      </c>
      <c r="BF295" s="9">
        <f t="shared" si="117"/>
        <v>16350.6</v>
      </c>
      <c r="BG295" s="9">
        <f t="shared" si="118"/>
        <v>7925.4</v>
      </c>
      <c r="BH295" s="9">
        <f t="shared" si="119"/>
        <v>1535.1</v>
      </c>
      <c r="BI295" s="9">
        <f t="shared" si="120"/>
        <v>9924.6</v>
      </c>
      <c r="BJ295" s="9">
        <f t="shared" si="121"/>
        <v>856.8</v>
      </c>
      <c r="BK295" s="9">
        <f t="shared" si="122"/>
        <v>0</v>
      </c>
      <c r="BL295" s="9">
        <f t="shared" si="123"/>
        <v>0</v>
      </c>
      <c r="BM295" s="9">
        <f t="shared" si="124"/>
        <v>928.2</v>
      </c>
      <c r="BN295" s="9">
        <f t="shared" si="125"/>
        <v>357</v>
      </c>
      <c r="BO295" s="9">
        <f t="shared" si="126"/>
        <v>2748.9</v>
      </c>
      <c r="BP295" s="9">
        <f t="shared" si="127"/>
        <v>1356.6</v>
      </c>
      <c r="BQ295" s="9">
        <f t="shared" si="128"/>
        <v>249.9</v>
      </c>
      <c r="BR295" s="9">
        <f t="shared" si="129"/>
        <v>13530.3</v>
      </c>
      <c r="BS295" s="9">
        <f t="shared" si="130"/>
        <v>428.4</v>
      </c>
      <c r="BT295" s="9">
        <f t="shared" si="131"/>
        <v>6211.8</v>
      </c>
      <c r="BU295" s="9">
        <f t="shared" si="132"/>
        <v>7032.9</v>
      </c>
      <c r="BV295" s="17">
        <f t="shared" si="133"/>
        <v>70864.5</v>
      </c>
      <c r="BW295" s="17">
        <v>1.74</v>
      </c>
      <c r="BX295" s="17">
        <v>0.04</v>
      </c>
      <c r="BY295" s="17">
        <v>0.26</v>
      </c>
      <c r="BZ295" s="17">
        <v>0.05</v>
      </c>
      <c r="CA295" s="29">
        <v>6.33</v>
      </c>
      <c r="CB295" s="325"/>
      <c r="CC295" s="13">
        <v>0</v>
      </c>
      <c r="CD295" s="13">
        <v>0</v>
      </c>
      <c r="CE295" s="13">
        <v>0</v>
      </c>
      <c r="CF295" s="13">
        <v>0</v>
      </c>
      <c r="CG295" s="13">
        <v>0</v>
      </c>
      <c r="CH295" s="13">
        <v>0</v>
      </c>
      <c r="CI295" s="13">
        <v>3862.16</v>
      </c>
      <c r="CJ295" s="13">
        <v>22608</v>
      </c>
      <c r="CK295" s="13">
        <v>1372.98</v>
      </c>
      <c r="CL295" s="13">
        <v>850376.52</v>
      </c>
      <c r="CM295" s="13">
        <v>23883.31</v>
      </c>
      <c r="CN295" s="13">
        <v>0</v>
      </c>
      <c r="CO295" s="13">
        <v>-5319.29</v>
      </c>
      <c r="CP295" s="13">
        <v>856.56</v>
      </c>
      <c r="CQ295" s="13">
        <v>0</v>
      </c>
      <c r="CR295" s="13">
        <v>804873.1</v>
      </c>
      <c r="CS295" s="13">
        <v>24533.94</v>
      </c>
      <c r="CT295" s="13">
        <v>482.24</v>
      </c>
      <c r="CU295" s="13">
        <v>1351.09</v>
      </c>
      <c r="CV295" s="13">
        <v>1502.65</v>
      </c>
      <c r="CW295" s="13">
        <v>0</v>
      </c>
      <c r="CX295" s="13">
        <v>147252.91</v>
      </c>
      <c r="CY295" s="13">
        <v>-2505.46</v>
      </c>
      <c r="CZ295" s="13">
        <v>-904.85</v>
      </c>
      <c r="DA295" s="13">
        <v>170.87</v>
      </c>
      <c r="DB295" s="13">
        <v>250.7</v>
      </c>
      <c r="DC295" s="13"/>
      <c r="DD295" s="315">
        <v>869797.1</v>
      </c>
      <c r="DE295" s="317">
        <v>832743.02</v>
      </c>
      <c r="DF295" s="317">
        <v>95.74</v>
      </c>
      <c r="DG295" s="318">
        <v>144264.17000000001</v>
      </c>
      <c r="DH295" s="310">
        <v>37511.519999999997</v>
      </c>
      <c r="DI295" s="310">
        <v>21453.24</v>
      </c>
      <c r="DJ295" s="312">
        <v>0</v>
      </c>
      <c r="DK295" s="362">
        <v>0</v>
      </c>
      <c r="DL295" s="362"/>
      <c r="DM295" s="362">
        <v>0</v>
      </c>
      <c r="DN295" s="362">
        <v>0</v>
      </c>
      <c r="DO295" s="362">
        <v>0</v>
      </c>
      <c r="DP295" s="362">
        <v>0</v>
      </c>
      <c r="DQ295" s="362">
        <v>0</v>
      </c>
      <c r="DR295" s="362"/>
      <c r="DS295" s="362">
        <v>0</v>
      </c>
      <c r="DT295" s="362"/>
      <c r="DU295" s="362">
        <v>0</v>
      </c>
      <c r="DV295" s="362">
        <v>0</v>
      </c>
      <c r="DW295" s="362">
        <v>0</v>
      </c>
      <c r="DX295" s="362">
        <v>0</v>
      </c>
      <c r="DY295" s="362">
        <v>0</v>
      </c>
      <c r="DZ295" s="375">
        <v>0</v>
      </c>
      <c r="EA295" s="362">
        <v>0</v>
      </c>
      <c r="EB295" s="362">
        <v>0</v>
      </c>
      <c r="EC295" s="362"/>
      <c r="ED295" s="362">
        <v>238663.26</v>
      </c>
      <c r="EE295" s="362">
        <v>14500</v>
      </c>
      <c r="EF295" s="362"/>
      <c r="EG295" s="362">
        <v>13476</v>
      </c>
      <c r="EH295" s="362">
        <v>49315</v>
      </c>
      <c r="EI295" s="362"/>
      <c r="EJ295" s="362">
        <v>28280</v>
      </c>
      <c r="EK295" s="362"/>
      <c r="EL295" s="362">
        <v>0</v>
      </c>
      <c r="EM295" s="362">
        <v>4205.1000000000004</v>
      </c>
      <c r="EN295" s="362">
        <v>0</v>
      </c>
      <c r="EO295" s="362">
        <v>0</v>
      </c>
      <c r="EP295" s="362">
        <v>220230</v>
      </c>
      <c r="EQ295" s="362">
        <v>0</v>
      </c>
      <c r="ER295" s="362">
        <v>15015</v>
      </c>
      <c r="ES295" s="362">
        <v>7536</v>
      </c>
      <c r="ET295" s="362">
        <v>12932</v>
      </c>
      <c r="EU295" s="362">
        <v>0</v>
      </c>
      <c r="EV295" s="362">
        <v>37815.25</v>
      </c>
      <c r="EW295" s="362"/>
      <c r="EX295" s="202"/>
      <c r="EY295" s="202"/>
      <c r="EZ295" s="229"/>
      <c r="FA295" s="368">
        <v>23865.3</v>
      </c>
      <c r="FB295" s="368">
        <v>0</v>
      </c>
      <c r="FC295" s="368">
        <v>0</v>
      </c>
      <c r="FD295" s="368">
        <v>0</v>
      </c>
      <c r="FE295" s="368">
        <v>172.97</v>
      </c>
      <c r="FF295" s="368">
        <v>1099.3499999999999</v>
      </c>
      <c r="FG295" s="368">
        <v>-5323.73</v>
      </c>
      <c r="FH295" s="368">
        <v>-3728.61</v>
      </c>
      <c r="FI295" s="368">
        <v>0</v>
      </c>
      <c r="FJ295" s="368">
        <v>0</v>
      </c>
      <c r="FK295" s="368">
        <v>0</v>
      </c>
      <c r="FL295" s="368">
        <v>0</v>
      </c>
      <c r="FM295" s="368">
        <v>95444.15</v>
      </c>
      <c r="FN295" s="368">
        <v>60687.86</v>
      </c>
      <c r="FO295" s="323">
        <v>857064.38</v>
      </c>
      <c r="FP295" s="323">
        <v>16085.28</v>
      </c>
      <c r="FQ295" s="323">
        <v>873149.66</v>
      </c>
      <c r="FR295" s="362">
        <v>80593.679999999993</v>
      </c>
      <c r="FS295" s="362">
        <v>-59.59</v>
      </c>
      <c r="FT295" s="377">
        <v>80534.09</v>
      </c>
      <c r="FU295" s="377">
        <v>876846.68</v>
      </c>
      <c r="FV295" s="377">
        <v>20793.560000000001</v>
      </c>
      <c r="FW295" s="362">
        <v>897640.24</v>
      </c>
      <c r="FX295" s="362">
        <v>810187.45</v>
      </c>
      <c r="FY295" s="362">
        <v>23722.71</v>
      </c>
      <c r="FZ295" s="362">
        <v>833910.16</v>
      </c>
      <c r="GA295" s="362">
        <v>147252.91</v>
      </c>
      <c r="GB295" s="362">
        <v>-2988.74</v>
      </c>
      <c r="GC295" s="362">
        <v>144264.17000000001</v>
      </c>
      <c r="GD295" s="362">
        <v>40625.79</v>
      </c>
      <c r="GE295" s="362">
        <v>129541.7</v>
      </c>
      <c r="GF295" s="362">
        <v>170167.49</v>
      </c>
      <c r="GG295" s="202"/>
      <c r="GH295" s="416"/>
      <c r="GI295" s="414">
        <v>1499.1</v>
      </c>
      <c r="GJ295" s="419">
        <v>0</v>
      </c>
      <c r="GK295" s="396"/>
      <c r="GL295" s="202">
        <v>0</v>
      </c>
      <c r="GM295" s="202">
        <v>0</v>
      </c>
      <c r="GN295" s="323">
        <v>19782.3</v>
      </c>
      <c r="GO295" s="323">
        <v>4708.28</v>
      </c>
      <c r="GP295" s="323">
        <v>24490.58</v>
      </c>
      <c r="GQ295" s="323">
        <v>60408.09</v>
      </c>
      <c r="GR295" s="323">
        <v>134249.98000000001</v>
      </c>
      <c r="GS295" s="323">
        <v>194658.07</v>
      </c>
    </row>
    <row r="296" spans="1:201" ht="12.75" customHeight="1" x14ac:dyDescent="0.2">
      <c r="A296" s="45" t="s">
        <v>774</v>
      </c>
      <c r="B296" s="66" t="s">
        <v>347</v>
      </c>
      <c r="C296" s="67" t="s">
        <v>240</v>
      </c>
      <c r="D296" s="388" t="s">
        <v>603</v>
      </c>
      <c r="E296" s="67" t="s">
        <v>9</v>
      </c>
      <c r="F296" s="11">
        <v>5</v>
      </c>
      <c r="G296" s="11">
        <v>4</v>
      </c>
      <c r="H296" s="11">
        <v>66</v>
      </c>
      <c r="I296" s="11">
        <v>66</v>
      </c>
      <c r="J296" s="11">
        <v>122</v>
      </c>
      <c r="K296" s="11">
        <v>168</v>
      </c>
      <c r="L296" s="11" t="s">
        <v>746</v>
      </c>
      <c r="M296" s="84">
        <v>265</v>
      </c>
      <c r="N296" s="84">
        <v>688</v>
      </c>
      <c r="O296" s="84">
        <v>0</v>
      </c>
      <c r="P296" s="135">
        <v>296.39999999999998</v>
      </c>
      <c r="Q296" s="135">
        <v>648.9</v>
      </c>
      <c r="R296" s="133">
        <v>0</v>
      </c>
      <c r="S296" s="133">
        <f t="shared" si="134"/>
        <v>945.3</v>
      </c>
      <c r="T296" s="134">
        <v>296.39999999999998</v>
      </c>
      <c r="U296" s="130">
        <v>1.53</v>
      </c>
      <c r="V296" s="131">
        <v>1.9800000000000002E-2</v>
      </c>
      <c r="W296" s="131">
        <v>1.9800000000000002E-2</v>
      </c>
      <c r="X296" s="132">
        <v>1.2199999999999999E-3</v>
      </c>
      <c r="Y296" s="131">
        <v>3.95E-2</v>
      </c>
      <c r="Z296" s="29">
        <v>3182.5</v>
      </c>
      <c r="AA296" s="29">
        <v>221.7</v>
      </c>
      <c r="AB296" s="9">
        <f t="shared" si="113"/>
        <v>3404.2</v>
      </c>
      <c r="AC296" s="9">
        <f t="shared" si="112"/>
        <v>21548.59</v>
      </c>
      <c r="AD296" s="9">
        <v>0.4</v>
      </c>
      <c r="AE296" s="9">
        <v>4.62</v>
      </c>
      <c r="AF296" s="21">
        <f>2.42-AJ296</f>
        <v>2.16</v>
      </c>
      <c r="AG296" s="18">
        <f>0.53-AQ296</f>
        <v>0.47</v>
      </c>
      <c r="AH296" s="9">
        <v>2.78</v>
      </c>
      <c r="AI296" s="43">
        <v>881</v>
      </c>
      <c r="AJ296" s="21">
        <f t="shared" si="110"/>
        <v>0.26</v>
      </c>
      <c r="AK296" s="9">
        <v>0</v>
      </c>
      <c r="AL296" s="9">
        <v>0</v>
      </c>
      <c r="AM296" s="9">
        <v>0.28000000000000003</v>
      </c>
      <c r="AN296" s="13"/>
      <c r="AO296" s="13">
        <v>424.8</v>
      </c>
      <c r="AP296" s="13">
        <f t="shared" si="135"/>
        <v>5.58</v>
      </c>
      <c r="AQ296" s="18">
        <f t="shared" si="111"/>
        <v>0.06</v>
      </c>
      <c r="AR296" s="9">
        <v>0.71</v>
      </c>
      <c r="AS296" s="9">
        <v>0.4</v>
      </c>
      <c r="AT296" s="9">
        <v>7.0000000000000007E-2</v>
      </c>
      <c r="AU296" s="9">
        <v>3.9</v>
      </c>
      <c r="AV296" s="9">
        <v>0.13</v>
      </c>
      <c r="AW296" s="9">
        <f>1.09+0.29+0.34</f>
        <v>1.72</v>
      </c>
      <c r="AX296" s="9">
        <f>1.5+0.46</f>
        <v>1.96</v>
      </c>
      <c r="AY296" s="69">
        <f t="shared" si="136"/>
        <v>19.920000000000002</v>
      </c>
      <c r="AZ296" s="13">
        <v>19.920000000000002</v>
      </c>
      <c r="BA296" s="13">
        <f t="shared" si="114"/>
        <v>0</v>
      </c>
      <c r="BB296" s="9">
        <f t="shared" si="115"/>
        <v>67811.66</v>
      </c>
      <c r="BC296" s="9">
        <v>19.920000000000002</v>
      </c>
      <c r="BD296" s="10">
        <v>44409</v>
      </c>
      <c r="BE296" s="9">
        <f t="shared" si="116"/>
        <v>1361.68</v>
      </c>
      <c r="BF296" s="9">
        <f t="shared" si="117"/>
        <v>15727.4</v>
      </c>
      <c r="BG296" s="9">
        <f t="shared" si="118"/>
        <v>7353.07</v>
      </c>
      <c r="BH296" s="9">
        <f t="shared" si="119"/>
        <v>1599.97</v>
      </c>
      <c r="BI296" s="9">
        <f t="shared" si="120"/>
        <v>9463.68</v>
      </c>
      <c r="BJ296" s="9">
        <f t="shared" si="121"/>
        <v>885.09</v>
      </c>
      <c r="BK296" s="9">
        <f t="shared" si="122"/>
        <v>0</v>
      </c>
      <c r="BL296" s="9">
        <f t="shared" si="123"/>
        <v>0</v>
      </c>
      <c r="BM296" s="9">
        <f t="shared" si="124"/>
        <v>953.18</v>
      </c>
      <c r="BN296" s="9">
        <f t="shared" si="125"/>
        <v>204.25</v>
      </c>
      <c r="BO296" s="9">
        <f t="shared" si="126"/>
        <v>2416.98</v>
      </c>
      <c r="BP296" s="9">
        <f t="shared" si="127"/>
        <v>1361.68</v>
      </c>
      <c r="BQ296" s="9">
        <f t="shared" si="128"/>
        <v>238.29</v>
      </c>
      <c r="BR296" s="9">
        <f t="shared" si="129"/>
        <v>13276.38</v>
      </c>
      <c r="BS296" s="9">
        <f t="shared" si="130"/>
        <v>442.55</v>
      </c>
      <c r="BT296" s="9">
        <f t="shared" si="131"/>
        <v>5855.22</v>
      </c>
      <c r="BU296" s="9">
        <f t="shared" si="132"/>
        <v>6672.23</v>
      </c>
      <c r="BV296" s="17">
        <f t="shared" si="133"/>
        <v>67811.649999999994</v>
      </c>
      <c r="BW296" s="17">
        <v>0.53</v>
      </c>
      <c r="BX296" s="17">
        <v>0.05</v>
      </c>
      <c r="BY296" s="17">
        <v>0.26</v>
      </c>
      <c r="BZ296" s="17">
        <v>0.05</v>
      </c>
      <c r="CA296" s="29">
        <v>6.33</v>
      </c>
      <c r="CB296" s="325"/>
      <c r="CC296" s="13">
        <v>52995.12</v>
      </c>
      <c r="CD296" s="13">
        <v>2695.88</v>
      </c>
      <c r="CE296" s="13">
        <v>108.64</v>
      </c>
      <c r="CF296" s="13">
        <v>275.01</v>
      </c>
      <c r="CG296" s="13">
        <v>62.04</v>
      </c>
      <c r="CH296" s="13">
        <v>0</v>
      </c>
      <c r="CI296" s="13">
        <v>1547.44</v>
      </c>
      <c r="CJ296" s="13">
        <v>22608</v>
      </c>
      <c r="CK296" s="13">
        <v>1309.22</v>
      </c>
      <c r="CL296" s="13">
        <v>760744.8</v>
      </c>
      <c r="CM296" s="13">
        <v>38699.47</v>
      </c>
      <c r="CN296" s="13">
        <v>5537.51</v>
      </c>
      <c r="CO296" s="13">
        <v>0</v>
      </c>
      <c r="CP296" s="13">
        <v>891.22</v>
      </c>
      <c r="CQ296" s="13">
        <v>0</v>
      </c>
      <c r="CR296" s="13">
        <v>704496.42</v>
      </c>
      <c r="CS296" s="13">
        <v>31728.79</v>
      </c>
      <c r="CT296" s="13">
        <v>5967.2</v>
      </c>
      <c r="CU296" s="13">
        <v>75.760000000000005</v>
      </c>
      <c r="CV296" s="13">
        <v>802.85</v>
      </c>
      <c r="CW296" s="13">
        <v>0</v>
      </c>
      <c r="CX296" s="13">
        <v>133362.53</v>
      </c>
      <c r="CY296" s="13">
        <v>14051.76</v>
      </c>
      <c r="CZ296" s="13">
        <v>-61.04</v>
      </c>
      <c r="DA296" s="13">
        <v>-141.02000000000001</v>
      </c>
      <c r="DB296" s="13">
        <v>126.23</v>
      </c>
      <c r="DC296" s="13"/>
      <c r="DD296" s="315">
        <v>805873</v>
      </c>
      <c r="DE296" s="317">
        <v>743071.02</v>
      </c>
      <c r="DF296" s="317">
        <v>92.21</v>
      </c>
      <c r="DG296" s="318">
        <v>147338.46</v>
      </c>
      <c r="DH296" s="310">
        <v>33439.919999999998</v>
      </c>
      <c r="DI296" s="310">
        <v>19124.64</v>
      </c>
      <c r="DJ296" s="312">
        <v>0</v>
      </c>
      <c r="DK296" s="362">
        <v>0</v>
      </c>
      <c r="DL296" s="362"/>
      <c r="DM296" s="362">
        <v>0</v>
      </c>
      <c r="DN296" s="362">
        <v>0</v>
      </c>
      <c r="DO296" s="362">
        <v>0</v>
      </c>
      <c r="DP296" s="362">
        <v>0</v>
      </c>
      <c r="DQ296" s="362">
        <v>0</v>
      </c>
      <c r="DR296" s="362"/>
      <c r="DS296" s="362">
        <v>0</v>
      </c>
      <c r="DT296" s="362"/>
      <c r="DU296" s="362">
        <v>0</v>
      </c>
      <c r="DV296" s="362">
        <v>0</v>
      </c>
      <c r="DW296" s="362">
        <v>0</v>
      </c>
      <c r="DX296" s="362">
        <v>0</v>
      </c>
      <c r="DY296" s="362">
        <v>0</v>
      </c>
      <c r="DZ296" s="375">
        <v>0</v>
      </c>
      <c r="EA296" s="362">
        <v>0</v>
      </c>
      <c r="EB296" s="362">
        <v>0</v>
      </c>
      <c r="EC296" s="362"/>
      <c r="ED296" s="362">
        <v>228189.48</v>
      </c>
      <c r="EE296" s="362">
        <v>14500</v>
      </c>
      <c r="EF296" s="362"/>
      <c r="EG296" s="362">
        <v>14022</v>
      </c>
      <c r="EH296" s="362">
        <v>47320</v>
      </c>
      <c r="EI296" s="362"/>
      <c r="EJ296" s="362">
        <v>42000</v>
      </c>
      <c r="EK296" s="362"/>
      <c r="EL296" s="362">
        <v>0</v>
      </c>
      <c r="EM296" s="362">
        <v>2370.39</v>
      </c>
      <c r="EN296" s="362">
        <v>0</v>
      </c>
      <c r="EO296" s="362">
        <v>0</v>
      </c>
      <c r="EP296" s="362">
        <v>208710</v>
      </c>
      <c r="EQ296" s="362">
        <v>0</v>
      </c>
      <c r="ER296" s="362">
        <v>9555</v>
      </c>
      <c r="ES296" s="362">
        <v>11304</v>
      </c>
      <c r="ET296" s="362">
        <v>12190</v>
      </c>
      <c r="EU296" s="362">
        <v>0</v>
      </c>
      <c r="EV296" s="362">
        <v>51449</v>
      </c>
      <c r="EW296" s="362"/>
      <c r="EX296" s="202"/>
      <c r="EY296" s="202"/>
      <c r="EZ296" s="229"/>
      <c r="FA296" s="368">
        <v>38560.379999999997</v>
      </c>
      <c r="FB296" s="368">
        <v>6108.52</v>
      </c>
      <c r="FC296" s="368">
        <v>0</v>
      </c>
      <c r="FD296" s="368">
        <v>0</v>
      </c>
      <c r="FE296" s="368">
        <v>0</v>
      </c>
      <c r="FF296" s="368">
        <v>1054.3900000000001</v>
      </c>
      <c r="FG296" s="368">
        <v>0</v>
      </c>
      <c r="FH296" s="368">
        <v>-900.42</v>
      </c>
      <c r="FI296" s="368">
        <v>0</v>
      </c>
      <c r="FJ296" s="368">
        <v>0</v>
      </c>
      <c r="FK296" s="368">
        <v>16683.34</v>
      </c>
      <c r="FL296" s="368">
        <v>0</v>
      </c>
      <c r="FM296" s="368">
        <v>91011.51</v>
      </c>
      <c r="FN296" s="368">
        <v>57869.34</v>
      </c>
      <c r="FO296" s="323">
        <v>843055.28</v>
      </c>
      <c r="FP296" s="323">
        <v>61506.21</v>
      </c>
      <c r="FQ296" s="323">
        <v>904561.49</v>
      </c>
      <c r="FR296" s="362">
        <v>87971.61</v>
      </c>
      <c r="FS296" s="362">
        <v>4748.7</v>
      </c>
      <c r="FT296" s="377">
        <v>92720.31</v>
      </c>
      <c r="FU296" s="377">
        <v>837895.36</v>
      </c>
      <c r="FV296" s="377">
        <v>49578.99</v>
      </c>
      <c r="FW296" s="362">
        <v>887474.35</v>
      </c>
      <c r="FX296" s="362">
        <v>735649.09</v>
      </c>
      <c r="FY296" s="362">
        <v>36722.69</v>
      </c>
      <c r="FZ296" s="362">
        <v>772371.78</v>
      </c>
      <c r="GA296" s="362">
        <v>190217.88</v>
      </c>
      <c r="GB296" s="362">
        <v>17605</v>
      </c>
      <c r="GC296" s="362">
        <v>207822.88</v>
      </c>
      <c r="GD296" s="362">
        <v>58548.77</v>
      </c>
      <c r="GE296" s="362">
        <v>5005.67</v>
      </c>
      <c r="GF296" s="362">
        <v>63554.44</v>
      </c>
      <c r="GG296" s="202">
        <v>60484.42</v>
      </c>
      <c r="GH296" s="416">
        <v>94</v>
      </c>
      <c r="GI296" s="414">
        <v>2019.55</v>
      </c>
      <c r="GJ296" s="419">
        <v>56136.69</v>
      </c>
      <c r="GK296" s="396">
        <v>60484.42</v>
      </c>
      <c r="GL296" s="202">
        <v>56855.354800000001</v>
      </c>
      <c r="GM296" s="202">
        <v>3629.0652</v>
      </c>
      <c r="GN296" s="323">
        <v>-5159.92</v>
      </c>
      <c r="GO296" s="323">
        <v>-11927.22</v>
      </c>
      <c r="GP296" s="323">
        <v>-17087.14</v>
      </c>
      <c r="GQ296" s="323">
        <v>53388.85</v>
      </c>
      <c r="GR296" s="323">
        <v>-6921.55</v>
      </c>
      <c r="GS296" s="323">
        <v>46467.3</v>
      </c>
    </row>
    <row r="297" spans="1:201" ht="12.75" customHeight="1" x14ac:dyDescent="0.2">
      <c r="A297" s="45" t="s">
        <v>775</v>
      </c>
      <c r="B297" s="66" t="s">
        <v>347</v>
      </c>
      <c r="C297" s="67" t="s">
        <v>351</v>
      </c>
      <c r="D297" s="388" t="s">
        <v>530</v>
      </c>
      <c r="E297" s="67" t="s">
        <v>12</v>
      </c>
      <c r="F297" s="11">
        <v>5</v>
      </c>
      <c r="G297" s="11">
        <v>4</v>
      </c>
      <c r="H297" s="11">
        <v>66</v>
      </c>
      <c r="I297" s="11">
        <v>67</v>
      </c>
      <c r="J297" s="11">
        <v>140</v>
      </c>
      <c r="K297" s="11">
        <v>180</v>
      </c>
      <c r="L297" s="11" t="s">
        <v>746</v>
      </c>
      <c r="M297" s="84">
        <v>275</v>
      </c>
      <c r="N297" s="84">
        <v>688</v>
      </c>
      <c r="O297" s="84">
        <v>0</v>
      </c>
      <c r="P297" s="139">
        <v>285.7</v>
      </c>
      <c r="Q297" s="135">
        <v>738</v>
      </c>
      <c r="R297" s="133">
        <v>0</v>
      </c>
      <c r="S297" s="133">
        <f t="shared" si="134"/>
        <v>1023.7</v>
      </c>
      <c r="T297" s="139">
        <v>275</v>
      </c>
      <c r="U297" s="130">
        <v>1.53</v>
      </c>
      <c r="V297" s="131">
        <v>1.9800000000000002E-2</v>
      </c>
      <c r="W297" s="131">
        <v>1.9800000000000002E-2</v>
      </c>
      <c r="X297" s="132">
        <v>1.2199999999999999E-3</v>
      </c>
      <c r="Y297" s="131">
        <v>3.95E-2</v>
      </c>
      <c r="Z297" s="29">
        <v>3116.6</v>
      </c>
      <c r="AA297" s="29">
        <v>208.7</v>
      </c>
      <c r="AB297" s="9">
        <f t="shared" si="113"/>
        <v>3325.3</v>
      </c>
      <c r="AC297" s="9">
        <f t="shared" si="112"/>
        <v>21049.15</v>
      </c>
      <c r="AD297" s="9">
        <v>0.42</v>
      </c>
      <c r="AE297" s="9">
        <v>4.58</v>
      </c>
      <c r="AF297" s="21">
        <f>2.42-AJ297</f>
        <v>2.16</v>
      </c>
      <c r="AG297" s="18">
        <f>0.53-AQ297</f>
        <v>0.47</v>
      </c>
      <c r="AH297" s="9">
        <v>2.78</v>
      </c>
      <c r="AI297" s="43">
        <v>881</v>
      </c>
      <c r="AJ297" s="21">
        <f t="shared" si="110"/>
        <v>0.26</v>
      </c>
      <c r="AK297" s="9">
        <v>0</v>
      </c>
      <c r="AL297" s="9">
        <v>0</v>
      </c>
      <c r="AM297" s="9">
        <v>0.17</v>
      </c>
      <c r="AN297" s="13"/>
      <c r="AO297" s="13">
        <v>424.8</v>
      </c>
      <c r="AP297" s="13">
        <f t="shared" si="135"/>
        <v>5.58</v>
      </c>
      <c r="AQ297" s="18">
        <f t="shared" si="111"/>
        <v>0.06</v>
      </c>
      <c r="AR297" s="9">
        <v>0.74</v>
      </c>
      <c r="AS297" s="9">
        <v>0.41</v>
      </c>
      <c r="AT297" s="9">
        <v>7.0000000000000007E-2</v>
      </c>
      <c r="AU297" s="9">
        <v>4.0199999999999996</v>
      </c>
      <c r="AV297" s="9">
        <v>0.12</v>
      </c>
      <c r="AW297" s="9">
        <f>1.08+0.3+0.36</f>
        <v>1.74</v>
      </c>
      <c r="AX297" s="9">
        <f>1.49+0.47</f>
        <v>1.96</v>
      </c>
      <c r="AY297" s="69">
        <f t="shared" si="136"/>
        <v>19.96</v>
      </c>
      <c r="AZ297" s="13">
        <v>19.96</v>
      </c>
      <c r="BA297" s="13">
        <f t="shared" si="114"/>
        <v>0</v>
      </c>
      <c r="BB297" s="9">
        <f t="shared" si="115"/>
        <v>66372.990000000005</v>
      </c>
      <c r="BC297" s="9">
        <v>19.96</v>
      </c>
      <c r="BD297" s="10">
        <v>44409</v>
      </c>
      <c r="BE297" s="9">
        <f t="shared" si="116"/>
        <v>1396.63</v>
      </c>
      <c r="BF297" s="9">
        <f t="shared" si="117"/>
        <v>15229.87</v>
      </c>
      <c r="BG297" s="9">
        <f t="shared" si="118"/>
        <v>7182.65</v>
      </c>
      <c r="BH297" s="9">
        <f t="shared" si="119"/>
        <v>1562.89</v>
      </c>
      <c r="BI297" s="9">
        <f t="shared" si="120"/>
        <v>9244.33</v>
      </c>
      <c r="BJ297" s="9">
        <f t="shared" si="121"/>
        <v>864.58</v>
      </c>
      <c r="BK297" s="9">
        <f t="shared" si="122"/>
        <v>0</v>
      </c>
      <c r="BL297" s="9">
        <f t="shared" si="123"/>
        <v>0</v>
      </c>
      <c r="BM297" s="9">
        <f t="shared" si="124"/>
        <v>565.29999999999995</v>
      </c>
      <c r="BN297" s="9">
        <f t="shared" si="125"/>
        <v>199.52</v>
      </c>
      <c r="BO297" s="9">
        <f t="shared" si="126"/>
        <v>2460.7199999999998</v>
      </c>
      <c r="BP297" s="9">
        <f t="shared" si="127"/>
        <v>1363.37</v>
      </c>
      <c r="BQ297" s="9">
        <f t="shared" si="128"/>
        <v>232.77</v>
      </c>
      <c r="BR297" s="9">
        <f t="shared" si="129"/>
        <v>13367.71</v>
      </c>
      <c r="BS297" s="9">
        <f t="shared" si="130"/>
        <v>399.04</v>
      </c>
      <c r="BT297" s="9">
        <f t="shared" si="131"/>
        <v>5786.02</v>
      </c>
      <c r="BU297" s="9">
        <f t="shared" si="132"/>
        <v>6517.59</v>
      </c>
      <c r="BV297" s="17">
        <f t="shared" si="133"/>
        <v>66372.990000000005</v>
      </c>
      <c r="BW297" s="17">
        <v>1.89</v>
      </c>
      <c r="BX297" s="17">
        <v>0.05</v>
      </c>
      <c r="BY297" s="17">
        <v>0.26</v>
      </c>
      <c r="BZ297" s="17">
        <v>0.05</v>
      </c>
      <c r="CA297" s="29">
        <v>6.33</v>
      </c>
      <c r="CB297" s="325"/>
      <c r="CC297" s="13">
        <v>49987.8</v>
      </c>
      <c r="CD297" s="13">
        <v>4088.43</v>
      </c>
      <c r="CE297" s="13">
        <v>83.48</v>
      </c>
      <c r="CF297" s="13">
        <v>847.31</v>
      </c>
      <c r="CG297" s="13">
        <v>567.69000000000005</v>
      </c>
      <c r="CH297" s="13">
        <v>0</v>
      </c>
      <c r="CI297" s="13">
        <v>1530.71</v>
      </c>
      <c r="CJ297" s="13">
        <v>22608</v>
      </c>
      <c r="CK297" s="13">
        <v>1278.8800000000001</v>
      </c>
      <c r="CL297" s="13">
        <v>746488.2</v>
      </c>
      <c r="CM297" s="13">
        <v>61054.35</v>
      </c>
      <c r="CN297" s="13">
        <v>0</v>
      </c>
      <c r="CO297" s="13">
        <v>13900.11</v>
      </c>
      <c r="CP297" s="13">
        <v>8477.0300000000007</v>
      </c>
      <c r="CQ297" s="13">
        <v>0</v>
      </c>
      <c r="CR297" s="13">
        <v>695329.01</v>
      </c>
      <c r="CS297" s="13">
        <v>50074.36</v>
      </c>
      <c r="CT297" s="13">
        <v>531.64</v>
      </c>
      <c r="CU297" s="13">
        <v>14624.66</v>
      </c>
      <c r="CV297" s="13">
        <v>8664.08</v>
      </c>
      <c r="CW297" s="13">
        <v>0</v>
      </c>
      <c r="CX297" s="13">
        <v>121651.62</v>
      </c>
      <c r="CY297" s="13">
        <v>14217.54</v>
      </c>
      <c r="CZ297" s="13">
        <v>-786.81</v>
      </c>
      <c r="DA297" s="13">
        <v>1981.55</v>
      </c>
      <c r="DB297" s="13">
        <v>1383.74</v>
      </c>
      <c r="DC297" s="13"/>
      <c r="DD297" s="315">
        <v>829919.69</v>
      </c>
      <c r="DE297" s="317">
        <v>769223.75</v>
      </c>
      <c r="DF297" s="317">
        <v>92.69</v>
      </c>
      <c r="DG297" s="318">
        <v>138447.64000000001</v>
      </c>
      <c r="DH297" s="310">
        <v>32747.4</v>
      </c>
      <c r="DI297" s="310">
        <v>18728.64</v>
      </c>
      <c r="DJ297" s="312">
        <v>0</v>
      </c>
      <c r="DK297" s="362">
        <v>0</v>
      </c>
      <c r="DL297" s="362"/>
      <c r="DM297" s="362">
        <v>0</v>
      </c>
      <c r="DN297" s="362">
        <v>0</v>
      </c>
      <c r="DO297" s="362">
        <v>0</v>
      </c>
      <c r="DP297" s="362">
        <v>0</v>
      </c>
      <c r="DQ297" s="362">
        <v>0</v>
      </c>
      <c r="DR297" s="362"/>
      <c r="DS297" s="362">
        <v>0</v>
      </c>
      <c r="DT297" s="362"/>
      <c r="DU297" s="362">
        <v>0</v>
      </c>
      <c r="DV297" s="362">
        <v>0</v>
      </c>
      <c r="DW297" s="362">
        <v>0</v>
      </c>
      <c r="DX297" s="362">
        <v>0</v>
      </c>
      <c r="DY297" s="362">
        <v>0</v>
      </c>
      <c r="DZ297" s="375">
        <v>0</v>
      </c>
      <c r="EA297" s="362">
        <v>0</v>
      </c>
      <c r="EB297" s="362">
        <v>0</v>
      </c>
      <c r="EC297" s="362"/>
      <c r="ED297" s="362">
        <v>221311.38</v>
      </c>
      <c r="EE297" s="362">
        <v>9800</v>
      </c>
      <c r="EF297" s="362"/>
      <c r="EG297" s="362">
        <v>14022</v>
      </c>
      <c r="EH297" s="362">
        <v>59150</v>
      </c>
      <c r="EI297" s="362"/>
      <c r="EJ297" s="362">
        <v>56280</v>
      </c>
      <c r="EK297" s="362"/>
      <c r="EL297" s="362">
        <v>0</v>
      </c>
      <c r="EM297" s="362">
        <v>2370.39</v>
      </c>
      <c r="EN297" s="362">
        <v>0</v>
      </c>
      <c r="EO297" s="362">
        <v>0</v>
      </c>
      <c r="EP297" s="362">
        <v>202908</v>
      </c>
      <c r="EQ297" s="362">
        <v>0</v>
      </c>
      <c r="ER297" s="362">
        <v>16380</v>
      </c>
      <c r="ES297" s="362">
        <v>6924</v>
      </c>
      <c r="ET297" s="362">
        <v>12243</v>
      </c>
      <c r="EU297" s="362">
        <v>0</v>
      </c>
      <c r="EV297" s="362">
        <v>31587.58</v>
      </c>
      <c r="EW297" s="362"/>
      <c r="EX297" s="202"/>
      <c r="EY297" s="202"/>
      <c r="EZ297" s="229"/>
      <c r="FA297" s="368">
        <v>66557.09</v>
      </c>
      <c r="FB297" s="368">
        <v>0</v>
      </c>
      <c r="FC297" s="368">
        <v>0</v>
      </c>
      <c r="FD297" s="368">
        <v>0</v>
      </c>
      <c r="FE297" s="368">
        <v>11259.84</v>
      </c>
      <c r="FF297" s="368">
        <v>6968.15</v>
      </c>
      <c r="FG297" s="368">
        <v>-397.1</v>
      </c>
      <c r="FH297" s="368">
        <v>-1035.18</v>
      </c>
      <c r="FI297" s="368">
        <v>0</v>
      </c>
      <c r="FJ297" s="368">
        <v>0</v>
      </c>
      <c r="FK297" s="368">
        <v>2824.71</v>
      </c>
      <c r="FL297" s="368">
        <v>0</v>
      </c>
      <c r="FM297" s="368">
        <v>88902.09</v>
      </c>
      <c r="FN297" s="368">
        <v>56528.11</v>
      </c>
      <c r="FO297" s="323">
        <v>829882.59</v>
      </c>
      <c r="FP297" s="323">
        <v>86177.51</v>
      </c>
      <c r="FQ297" s="323">
        <v>916060.1</v>
      </c>
      <c r="FR297" s="362">
        <v>85520.25</v>
      </c>
      <c r="FS297" s="362">
        <v>10225.94</v>
      </c>
      <c r="FT297" s="377">
        <v>95746.19</v>
      </c>
      <c r="FU297" s="377">
        <v>820614.71</v>
      </c>
      <c r="FV297" s="377">
        <v>90297.279999999999</v>
      </c>
      <c r="FW297" s="362">
        <v>910911.99</v>
      </c>
      <c r="FX297" s="362">
        <v>694169.47</v>
      </c>
      <c r="FY297" s="362">
        <v>73692.33</v>
      </c>
      <c r="FZ297" s="362">
        <v>767861.8</v>
      </c>
      <c r="GA297" s="362">
        <v>211965.49</v>
      </c>
      <c r="GB297" s="362">
        <v>26830.89</v>
      </c>
      <c r="GC297" s="362">
        <v>238796.38</v>
      </c>
      <c r="GD297" s="362">
        <v>2788.49</v>
      </c>
      <c r="GE297" s="362">
        <v>-4669.34</v>
      </c>
      <c r="GF297" s="362">
        <v>-1880.85</v>
      </c>
      <c r="GG297" s="202">
        <v>100348.74</v>
      </c>
      <c r="GH297" s="416">
        <v>90</v>
      </c>
      <c r="GI297" s="414">
        <v>2019.55</v>
      </c>
      <c r="GJ297" s="419">
        <v>55574.71</v>
      </c>
      <c r="GK297" s="396">
        <v>100348.74</v>
      </c>
      <c r="GL297" s="202">
        <v>90313.865999999995</v>
      </c>
      <c r="GM297" s="202">
        <v>10034.874</v>
      </c>
      <c r="GN297" s="323">
        <v>-9267.8799999999992</v>
      </c>
      <c r="GO297" s="323">
        <v>4119.7700000000004</v>
      </c>
      <c r="GP297" s="323">
        <v>-5148.1099999999997</v>
      </c>
      <c r="GQ297" s="323">
        <v>-6479.39</v>
      </c>
      <c r="GR297" s="323">
        <v>-549.57000000000005</v>
      </c>
      <c r="GS297" s="323">
        <v>-7028.96</v>
      </c>
    </row>
    <row r="298" spans="1:201" ht="12.75" customHeight="1" x14ac:dyDescent="0.2">
      <c r="A298" s="45" t="s">
        <v>776</v>
      </c>
      <c r="B298" s="66" t="s">
        <v>347</v>
      </c>
      <c r="C298" s="67" t="s">
        <v>351</v>
      </c>
      <c r="D298" s="388" t="s">
        <v>604</v>
      </c>
      <c r="E298" s="67" t="s">
        <v>9</v>
      </c>
      <c r="F298" s="11">
        <v>5</v>
      </c>
      <c r="G298" s="11">
        <v>4</v>
      </c>
      <c r="H298" s="11">
        <v>66</v>
      </c>
      <c r="I298" s="11">
        <v>66</v>
      </c>
      <c r="J298" s="11">
        <v>138</v>
      </c>
      <c r="K298" s="11">
        <v>164</v>
      </c>
      <c r="L298" s="11" t="s">
        <v>746</v>
      </c>
      <c r="M298" s="84">
        <v>276</v>
      </c>
      <c r="N298" s="84">
        <v>688</v>
      </c>
      <c r="O298" s="84">
        <v>0</v>
      </c>
      <c r="P298" s="135">
        <v>276</v>
      </c>
      <c r="Q298" s="135">
        <v>594.4</v>
      </c>
      <c r="R298" s="133">
        <v>0</v>
      </c>
      <c r="S298" s="133">
        <f t="shared" si="134"/>
        <v>870.4</v>
      </c>
      <c r="T298" s="134">
        <v>276</v>
      </c>
      <c r="U298" s="130">
        <v>1.53</v>
      </c>
      <c r="V298" s="131">
        <v>1.9800000000000002E-2</v>
      </c>
      <c r="W298" s="131">
        <v>1.9800000000000002E-2</v>
      </c>
      <c r="X298" s="132">
        <v>1.2199999999999999E-3</v>
      </c>
      <c r="Y298" s="131">
        <v>3.95E-2</v>
      </c>
      <c r="Z298" s="29">
        <v>3175.78</v>
      </c>
      <c r="AA298" s="29">
        <v>228.1</v>
      </c>
      <c r="AB298" s="9">
        <f t="shared" si="113"/>
        <v>3403.88</v>
      </c>
      <c r="AC298" s="9">
        <f t="shared" si="112"/>
        <v>21546.560000000001</v>
      </c>
      <c r="AD298" s="9">
        <v>0.4</v>
      </c>
      <c r="AE298" s="9">
        <v>3.72</v>
      </c>
      <c r="AF298" s="21">
        <f>2.42-AJ298</f>
        <v>2.16</v>
      </c>
      <c r="AG298" s="18">
        <f>0.53-AQ298</f>
        <v>0.47</v>
      </c>
      <c r="AH298" s="9">
        <v>2.78</v>
      </c>
      <c r="AI298" s="43">
        <v>881</v>
      </c>
      <c r="AJ298" s="21">
        <f t="shared" si="110"/>
        <v>0.26</v>
      </c>
      <c r="AK298" s="9">
        <v>0</v>
      </c>
      <c r="AL298" s="9">
        <v>0</v>
      </c>
      <c r="AM298" s="9">
        <v>0.28000000000000003</v>
      </c>
      <c r="AN298" s="13"/>
      <c r="AO298" s="13">
        <v>424.8</v>
      </c>
      <c r="AP298" s="13">
        <f t="shared" si="135"/>
        <v>5.58</v>
      </c>
      <c r="AQ298" s="18">
        <f t="shared" si="111"/>
        <v>0.06</v>
      </c>
      <c r="AR298" s="9">
        <v>0.71</v>
      </c>
      <c r="AS298" s="9">
        <v>0.4</v>
      </c>
      <c r="AT298" s="9">
        <v>7.0000000000000007E-2</v>
      </c>
      <c r="AU298" s="9">
        <v>4.99</v>
      </c>
      <c r="AV298" s="9">
        <v>0.12</v>
      </c>
      <c r="AW298" s="9">
        <f>1.01+0.29+0.44</f>
        <v>1.74</v>
      </c>
      <c r="AX298" s="9">
        <f>1.39+0.6</f>
        <v>1.99</v>
      </c>
      <c r="AY298" s="69">
        <f t="shared" si="136"/>
        <v>20.149999999999999</v>
      </c>
      <c r="AZ298" s="13">
        <v>20.149999999999999</v>
      </c>
      <c r="BA298" s="13">
        <f t="shared" si="114"/>
        <v>0</v>
      </c>
      <c r="BB298" s="9">
        <f t="shared" si="115"/>
        <v>68588.179999999993</v>
      </c>
      <c r="BC298" s="9">
        <v>20.149999999999999</v>
      </c>
      <c r="BD298" s="10">
        <v>44409</v>
      </c>
      <c r="BE298" s="9">
        <f t="shared" si="116"/>
        <v>1361.55</v>
      </c>
      <c r="BF298" s="9">
        <f t="shared" si="117"/>
        <v>12662.43</v>
      </c>
      <c r="BG298" s="9">
        <f t="shared" si="118"/>
        <v>7352.38</v>
      </c>
      <c r="BH298" s="9">
        <f t="shared" si="119"/>
        <v>1599.82</v>
      </c>
      <c r="BI298" s="9">
        <f t="shared" si="120"/>
        <v>9462.7900000000009</v>
      </c>
      <c r="BJ298" s="9">
        <f t="shared" si="121"/>
        <v>885.01</v>
      </c>
      <c r="BK298" s="9">
        <f t="shared" si="122"/>
        <v>0</v>
      </c>
      <c r="BL298" s="9">
        <f t="shared" si="123"/>
        <v>0</v>
      </c>
      <c r="BM298" s="9">
        <f t="shared" si="124"/>
        <v>953.09</v>
      </c>
      <c r="BN298" s="9">
        <f t="shared" si="125"/>
        <v>204.23</v>
      </c>
      <c r="BO298" s="9">
        <f t="shared" si="126"/>
        <v>2416.75</v>
      </c>
      <c r="BP298" s="9">
        <f t="shared" si="127"/>
        <v>1361.55</v>
      </c>
      <c r="BQ298" s="9">
        <f t="shared" si="128"/>
        <v>238.27</v>
      </c>
      <c r="BR298" s="9">
        <f t="shared" si="129"/>
        <v>16985.36</v>
      </c>
      <c r="BS298" s="9">
        <f t="shared" si="130"/>
        <v>408.47</v>
      </c>
      <c r="BT298" s="9">
        <f t="shared" si="131"/>
        <v>5922.75</v>
      </c>
      <c r="BU298" s="9">
        <f t="shared" si="132"/>
        <v>6773.72</v>
      </c>
      <c r="BV298" s="17">
        <f t="shared" si="133"/>
        <v>68588.17</v>
      </c>
      <c r="BW298" s="17">
        <v>1.57</v>
      </c>
      <c r="BX298" s="17">
        <v>0.05</v>
      </c>
      <c r="BY298" s="17">
        <v>0.25</v>
      </c>
      <c r="BZ298" s="17">
        <v>0.05</v>
      </c>
      <c r="CA298" s="29">
        <v>6.33</v>
      </c>
      <c r="CB298" s="325"/>
      <c r="CC298" s="13">
        <v>55154.64</v>
      </c>
      <c r="CD298" s="13">
        <v>1336.68</v>
      </c>
      <c r="CE298" s="13">
        <v>702.55</v>
      </c>
      <c r="CF298" s="13">
        <v>93.54</v>
      </c>
      <c r="CG298" s="13">
        <v>123.24</v>
      </c>
      <c r="CH298" s="13">
        <v>1488</v>
      </c>
      <c r="CI298" s="13">
        <v>2451.0300000000002</v>
      </c>
      <c r="CJ298" s="13">
        <v>22608</v>
      </c>
      <c r="CK298" s="13">
        <v>1308.81</v>
      </c>
      <c r="CL298" s="13">
        <v>767824.84</v>
      </c>
      <c r="CM298" s="13">
        <v>18608.810000000001</v>
      </c>
      <c r="CN298" s="13">
        <v>8159.72</v>
      </c>
      <c r="CO298" s="13">
        <v>1524.26</v>
      </c>
      <c r="CP298" s="13">
        <v>1716.12</v>
      </c>
      <c r="CQ298" s="13">
        <v>0</v>
      </c>
      <c r="CR298" s="13">
        <v>720281.28</v>
      </c>
      <c r="CS298" s="13">
        <v>17992.95</v>
      </c>
      <c r="CT298" s="13">
        <v>16117.65</v>
      </c>
      <c r="CU298" s="13">
        <v>1729.34</v>
      </c>
      <c r="CV298" s="13">
        <v>1489.7</v>
      </c>
      <c r="CW298" s="13">
        <v>0</v>
      </c>
      <c r="CX298" s="13">
        <v>149902.1</v>
      </c>
      <c r="CY298" s="13">
        <v>1848.22</v>
      </c>
      <c r="CZ298" s="13">
        <v>1528.99</v>
      </c>
      <c r="DA298" s="13">
        <v>440.48</v>
      </c>
      <c r="DB298" s="13">
        <v>325.14</v>
      </c>
      <c r="DC298" s="13"/>
      <c r="DD298" s="315">
        <v>797833.75</v>
      </c>
      <c r="DE298" s="317">
        <v>757610.92</v>
      </c>
      <c r="DF298" s="317">
        <v>94.96</v>
      </c>
      <c r="DG298" s="318">
        <v>154044.93</v>
      </c>
      <c r="DH298" s="310">
        <v>33360.839999999997</v>
      </c>
      <c r="DI298" s="310">
        <v>19079.400000000001</v>
      </c>
      <c r="DJ298" s="312">
        <v>0</v>
      </c>
      <c r="DK298" s="362">
        <v>0</v>
      </c>
      <c r="DL298" s="362"/>
      <c r="DM298" s="362">
        <v>0</v>
      </c>
      <c r="DN298" s="362">
        <v>0</v>
      </c>
      <c r="DO298" s="362">
        <v>0</v>
      </c>
      <c r="DP298" s="362">
        <v>0</v>
      </c>
      <c r="DQ298" s="362">
        <v>0</v>
      </c>
      <c r="DR298" s="362"/>
      <c r="DS298" s="362">
        <v>0</v>
      </c>
      <c r="DT298" s="362"/>
      <c r="DU298" s="362">
        <v>0</v>
      </c>
      <c r="DV298" s="362">
        <v>0</v>
      </c>
      <c r="DW298" s="362">
        <v>0</v>
      </c>
      <c r="DX298" s="362">
        <v>0</v>
      </c>
      <c r="DY298" s="362">
        <v>0</v>
      </c>
      <c r="DZ298" s="375">
        <v>0</v>
      </c>
      <c r="EA298" s="362">
        <v>0</v>
      </c>
      <c r="EB298" s="362">
        <v>0</v>
      </c>
      <c r="EC298" s="362"/>
      <c r="ED298" s="362">
        <v>188350.98</v>
      </c>
      <c r="EE298" s="362">
        <v>9800</v>
      </c>
      <c r="EF298" s="362"/>
      <c r="EG298" s="362">
        <v>14022</v>
      </c>
      <c r="EH298" s="362">
        <v>92715</v>
      </c>
      <c r="EI298" s="362"/>
      <c r="EJ298" s="362">
        <v>56280</v>
      </c>
      <c r="EK298" s="362"/>
      <c r="EL298" s="362">
        <v>0</v>
      </c>
      <c r="EM298" s="362">
        <v>2370.39</v>
      </c>
      <c r="EN298" s="362">
        <v>0</v>
      </c>
      <c r="EO298" s="362">
        <v>744</v>
      </c>
      <c r="EP298" s="362">
        <v>208818</v>
      </c>
      <c r="EQ298" s="362">
        <v>0</v>
      </c>
      <c r="ER298" s="362">
        <v>16380</v>
      </c>
      <c r="ES298" s="362">
        <v>0</v>
      </c>
      <c r="ET298" s="362">
        <v>12190</v>
      </c>
      <c r="EU298" s="362">
        <v>0</v>
      </c>
      <c r="EV298" s="362">
        <v>49519.43</v>
      </c>
      <c r="EW298" s="362"/>
      <c r="EX298" s="202"/>
      <c r="EY298" s="202"/>
      <c r="EZ298" s="229"/>
      <c r="FA298" s="368">
        <v>20041.419999999998</v>
      </c>
      <c r="FB298" s="368">
        <v>7248.42</v>
      </c>
      <c r="FC298" s="368">
        <v>0</v>
      </c>
      <c r="FD298" s="368">
        <v>0</v>
      </c>
      <c r="FE298" s="368">
        <v>2361.66</v>
      </c>
      <c r="FF298" s="368">
        <v>1881.77</v>
      </c>
      <c r="FG298" s="368">
        <v>0</v>
      </c>
      <c r="FH298" s="368">
        <v>-870.68</v>
      </c>
      <c r="FI298" s="368">
        <v>0</v>
      </c>
      <c r="FJ298" s="368">
        <v>0</v>
      </c>
      <c r="FK298" s="368">
        <v>7467.26</v>
      </c>
      <c r="FL298" s="368">
        <v>0</v>
      </c>
      <c r="FM298" s="368">
        <v>90993.93</v>
      </c>
      <c r="FN298" s="368">
        <v>57858.03</v>
      </c>
      <c r="FO298" s="323">
        <v>852482</v>
      </c>
      <c r="FP298" s="323">
        <v>38129.85</v>
      </c>
      <c r="FQ298" s="323">
        <v>890611.85</v>
      </c>
      <c r="FR298" s="362">
        <v>97017.72</v>
      </c>
      <c r="FS298" s="362">
        <v>10877.28</v>
      </c>
      <c r="FT298" s="377">
        <v>107895</v>
      </c>
      <c r="FU298" s="377">
        <v>848038.51</v>
      </c>
      <c r="FV298" s="377">
        <v>35061.730000000003</v>
      </c>
      <c r="FW298" s="362">
        <v>883100.24</v>
      </c>
      <c r="FX298" s="362">
        <v>785742.05</v>
      </c>
      <c r="FY298" s="362">
        <v>41195.410000000003</v>
      </c>
      <c r="FZ298" s="362">
        <v>826937.46</v>
      </c>
      <c r="GA298" s="362">
        <v>159314.18</v>
      </c>
      <c r="GB298" s="362">
        <v>4743.6000000000004</v>
      </c>
      <c r="GC298" s="362">
        <v>164057.78</v>
      </c>
      <c r="GD298" s="362">
        <v>8384.08</v>
      </c>
      <c r="GE298" s="362">
        <v>6460.87</v>
      </c>
      <c r="GF298" s="362">
        <v>14844.95</v>
      </c>
      <c r="GG298" s="202">
        <v>10012.85</v>
      </c>
      <c r="GH298" s="416">
        <v>94</v>
      </c>
      <c r="GI298" s="414">
        <v>2019.55</v>
      </c>
      <c r="GJ298" s="419">
        <v>58898.65</v>
      </c>
      <c r="GK298" s="396">
        <v>10012.85</v>
      </c>
      <c r="GL298" s="202">
        <v>9412.0789999999997</v>
      </c>
      <c r="GM298" s="202">
        <v>600.77100000000098</v>
      </c>
      <c r="GN298" s="323">
        <v>-4443.49</v>
      </c>
      <c r="GO298" s="323">
        <v>-3068.12</v>
      </c>
      <c r="GP298" s="323">
        <v>-7511.61</v>
      </c>
      <c r="GQ298" s="323">
        <v>3940.59</v>
      </c>
      <c r="GR298" s="323">
        <v>3392.75</v>
      </c>
      <c r="GS298" s="323">
        <v>7333.34</v>
      </c>
    </row>
    <row r="299" spans="1:201" ht="12.75" customHeight="1" x14ac:dyDescent="0.2">
      <c r="A299" s="45" t="s">
        <v>777</v>
      </c>
      <c r="B299" s="60" t="s">
        <v>347</v>
      </c>
      <c r="C299" s="61" t="s">
        <v>354</v>
      </c>
      <c r="D299" s="388" t="s">
        <v>531</v>
      </c>
      <c r="E299" s="61" t="s">
        <v>12</v>
      </c>
      <c r="F299" s="11">
        <v>9</v>
      </c>
      <c r="G299" s="11">
        <v>1</v>
      </c>
      <c r="H299" s="11">
        <v>54</v>
      </c>
      <c r="I299" s="11">
        <v>0</v>
      </c>
      <c r="J299" s="11">
        <v>94</v>
      </c>
      <c r="K299" s="11">
        <v>117</v>
      </c>
      <c r="L299" s="11">
        <v>1</v>
      </c>
      <c r="M299" s="84">
        <v>285</v>
      </c>
      <c r="N299" s="84">
        <v>87</v>
      </c>
      <c r="O299" s="84">
        <v>0</v>
      </c>
      <c r="P299" s="139">
        <v>285</v>
      </c>
      <c r="Q299" s="139">
        <v>87</v>
      </c>
      <c r="R299" s="139">
        <v>0</v>
      </c>
      <c r="S299" s="133">
        <f t="shared" si="134"/>
        <v>372</v>
      </c>
      <c r="T299" s="134">
        <v>285</v>
      </c>
      <c r="U299" s="130">
        <v>2.44</v>
      </c>
      <c r="V299" s="131">
        <v>1.9800000000000002E-2</v>
      </c>
      <c r="W299" s="131">
        <v>1.9800000000000002E-2</v>
      </c>
      <c r="X299" s="132">
        <v>1.32E-3</v>
      </c>
      <c r="Y299" s="131">
        <v>3.9699999999999999E-2</v>
      </c>
      <c r="Z299" s="29">
        <v>2325.83</v>
      </c>
      <c r="AA299" s="29"/>
      <c r="AB299" s="9">
        <f t="shared" si="113"/>
        <v>2325.83</v>
      </c>
      <c r="AC299" s="9">
        <f t="shared" si="112"/>
        <v>14722.5</v>
      </c>
      <c r="AD299" s="9">
        <v>1.67</v>
      </c>
      <c r="AE299" s="9">
        <v>4.24</v>
      </c>
      <c r="AF299" s="21">
        <f>2.47-AJ299</f>
        <v>2.31</v>
      </c>
      <c r="AG299" s="18">
        <f>0.6-AQ299</f>
        <v>0.54</v>
      </c>
      <c r="AH299" s="9">
        <v>2.77</v>
      </c>
      <c r="AI299" s="43">
        <v>375</v>
      </c>
      <c r="AJ299" s="21">
        <f t="shared" si="110"/>
        <v>0.16</v>
      </c>
      <c r="AK299" s="9">
        <v>1.85</v>
      </c>
      <c r="AL299" s="9">
        <v>0.16</v>
      </c>
      <c r="AM299" s="9">
        <v>0.4</v>
      </c>
      <c r="AN299" s="13"/>
      <c r="AO299" s="13">
        <v>305.89999999999998</v>
      </c>
      <c r="AP299" s="13">
        <f t="shared" si="135"/>
        <v>5.58</v>
      </c>
      <c r="AQ299" s="18">
        <f t="shared" si="111"/>
        <v>0.06</v>
      </c>
      <c r="AR299" s="9">
        <v>0.73</v>
      </c>
      <c r="AS299" s="9">
        <v>0.59</v>
      </c>
      <c r="AT299" s="9">
        <v>7.0000000000000007E-2</v>
      </c>
      <c r="AU299" s="9">
        <v>4.0999999999999996</v>
      </c>
      <c r="AV299" s="9">
        <v>0.17</v>
      </c>
      <c r="AW299" s="9">
        <f>1.4+0.32+0.36</f>
        <v>2.08</v>
      </c>
      <c r="AX299" s="9">
        <f>1.97+0.49</f>
        <v>2.46</v>
      </c>
      <c r="AY299" s="63">
        <f t="shared" si="136"/>
        <v>24.36</v>
      </c>
      <c r="AZ299" s="13">
        <v>24.36</v>
      </c>
      <c r="BA299" s="13">
        <f t="shared" si="114"/>
        <v>0</v>
      </c>
      <c r="BB299" s="9">
        <f t="shared" si="115"/>
        <v>56657.22</v>
      </c>
      <c r="BC299" s="9">
        <v>24.36</v>
      </c>
      <c r="BD299" s="10">
        <v>44409</v>
      </c>
      <c r="BE299" s="9">
        <f t="shared" si="116"/>
        <v>3884.14</v>
      </c>
      <c r="BF299" s="9">
        <f t="shared" si="117"/>
        <v>9861.52</v>
      </c>
      <c r="BG299" s="9">
        <f t="shared" si="118"/>
        <v>5372.67</v>
      </c>
      <c r="BH299" s="9">
        <f t="shared" si="119"/>
        <v>1255.95</v>
      </c>
      <c r="BI299" s="9">
        <f t="shared" si="120"/>
        <v>6442.55</v>
      </c>
      <c r="BJ299" s="9">
        <f t="shared" si="121"/>
        <v>372.13</v>
      </c>
      <c r="BK299" s="9">
        <f t="shared" si="122"/>
        <v>4302.79</v>
      </c>
      <c r="BL299" s="9">
        <f t="shared" si="123"/>
        <v>372.13</v>
      </c>
      <c r="BM299" s="9">
        <f t="shared" si="124"/>
        <v>930.33</v>
      </c>
      <c r="BN299" s="9">
        <f t="shared" si="125"/>
        <v>139.55000000000001</v>
      </c>
      <c r="BO299" s="9">
        <f t="shared" si="126"/>
        <v>1697.86</v>
      </c>
      <c r="BP299" s="9">
        <f t="shared" si="127"/>
        <v>1372.24</v>
      </c>
      <c r="BQ299" s="9">
        <f t="shared" si="128"/>
        <v>162.81</v>
      </c>
      <c r="BR299" s="9">
        <f t="shared" si="129"/>
        <v>9535.9</v>
      </c>
      <c r="BS299" s="9">
        <f t="shared" si="130"/>
        <v>395.39</v>
      </c>
      <c r="BT299" s="9">
        <f t="shared" si="131"/>
        <v>4837.7299999999996</v>
      </c>
      <c r="BU299" s="9">
        <f t="shared" si="132"/>
        <v>5721.54</v>
      </c>
      <c r="BV299" s="17">
        <f t="shared" si="133"/>
        <v>56657.23</v>
      </c>
      <c r="BW299" s="17">
        <v>1.73</v>
      </c>
      <c r="BX299" s="17">
        <v>0.08</v>
      </c>
      <c r="BY299" s="17">
        <v>0.5</v>
      </c>
      <c r="BZ299" s="17">
        <v>0.09</v>
      </c>
      <c r="CA299" s="29">
        <v>6.33</v>
      </c>
      <c r="CB299" s="325"/>
      <c r="CC299" s="13">
        <v>0</v>
      </c>
      <c r="CD299" s="13">
        <v>0</v>
      </c>
      <c r="CE299" s="13">
        <v>0</v>
      </c>
      <c r="CF299" s="13">
        <v>0</v>
      </c>
      <c r="CG299" s="13">
        <v>0</v>
      </c>
      <c r="CH299" s="13">
        <v>0</v>
      </c>
      <c r="CI299" s="13">
        <v>2619.19</v>
      </c>
      <c r="CJ299" s="13">
        <v>26208</v>
      </c>
      <c r="CK299" s="13">
        <v>894.5</v>
      </c>
      <c r="CL299" s="13">
        <v>675696.24</v>
      </c>
      <c r="CM299" s="13">
        <v>38306.54</v>
      </c>
      <c r="CN299" s="13">
        <v>0</v>
      </c>
      <c r="CO299" s="13">
        <v>0</v>
      </c>
      <c r="CP299" s="13">
        <v>930.16</v>
      </c>
      <c r="CQ299" s="13">
        <v>0</v>
      </c>
      <c r="CR299" s="13">
        <v>647787.51</v>
      </c>
      <c r="CS299" s="13">
        <v>32944.97</v>
      </c>
      <c r="CT299" s="13">
        <v>732.68</v>
      </c>
      <c r="CU299" s="13">
        <v>115.97</v>
      </c>
      <c r="CV299" s="13">
        <v>925.24</v>
      </c>
      <c r="CW299" s="13">
        <v>0</v>
      </c>
      <c r="CX299" s="13">
        <v>96421.36</v>
      </c>
      <c r="CY299" s="13">
        <v>6432.77</v>
      </c>
      <c r="CZ299" s="13">
        <v>-1152.23</v>
      </c>
      <c r="DA299" s="13">
        <v>-186.7</v>
      </c>
      <c r="DB299" s="13">
        <v>64.23</v>
      </c>
      <c r="DC299" s="13"/>
      <c r="DD299" s="315">
        <v>714932.94</v>
      </c>
      <c r="DE299" s="317">
        <v>682506.37</v>
      </c>
      <c r="DF299" s="317">
        <v>95.46</v>
      </c>
      <c r="DG299" s="318">
        <v>101579.43</v>
      </c>
      <c r="DH299" s="310">
        <v>24438.48</v>
      </c>
      <c r="DI299" s="310">
        <v>13976.64</v>
      </c>
      <c r="DJ299" s="312">
        <v>0</v>
      </c>
      <c r="DK299" s="362">
        <v>0</v>
      </c>
      <c r="DL299" s="362"/>
      <c r="DM299" s="362">
        <v>0</v>
      </c>
      <c r="DN299" s="362">
        <v>0</v>
      </c>
      <c r="DO299" s="362">
        <v>0</v>
      </c>
      <c r="DP299" s="362">
        <v>0</v>
      </c>
      <c r="DQ299" s="362">
        <v>0</v>
      </c>
      <c r="DR299" s="362"/>
      <c r="DS299" s="362">
        <v>0</v>
      </c>
      <c r="DT299" s="362"/>
      <c r="DU299" s="362">
        <v>0</v>
      </c>
      <c r="DV299" s="362">
        <v>0</v>
      </c>
      <c r="DW299" s="362">
        <v>51600</v>
      </c>
      <c r="DX299" s="362">
        <v>0</v>
      </c>
      <c r="DY299" s="362">
        <v>4500</v>
      </c>
      <c r="DZ299" s="375">
        <v>0</v>
      </c>
      <c r="EA299" s="362">
        <v>0</v>
      </c>
      <c r="EB299" s="362">
        <v>0</v>
      </c>
      <c r="EC299" s="362"/>
      <c r="ED299" s="362">
        <v>183420.54</v>
      </c>
      <c r="EE299" s="362">
        <v>9800</v>
      </c>
      <c r="EF299" s="362"/>
      <c r="EG299" s="362">
        <v>5970</v>
      </c>
      <c r="EH299" s="362">
        <v>0</v>
      </c>
      <c r="EI299" s="362"/>
      <c r="EJ299" s="362">
        <v>0</v>
      </c>
      <c r="EK299" s="362"/>
      <c r="EL299" s="362">
        <v>0</v>
      </c>
      <c r="EM299" s="362">
        <v>1706.91</v>
      </c>
      <c r="EN299" s="362">
        <v>0</v>
      </c>
      <c r="EO299" s="362">
        <v>0</v>
      </c>
      <c r="EP299" s="362">
        <v>147744</v>
      </c>
      <c r="EQ299" s="362">
        <v>0</v>
      </c>
      <c r="ER299" s="362">
        <v>16380</v>
      </c>
      <c r="ES299" s="362">
        <v>11304</v>
      </c>
      <c r="ET299" s="362">
        <v>6741</v>
      </c>
      <c r="EU299" s="362">
        <v>0</v>
      </c>
      <c r="EV299" s="362">
        <v>14997.18</v>
      </c>
      <c r="EW299" s="362"/>
      <c r="EX299" s="202"/>
      <c r="EY299" s="202"/>
      <c r="EZ299" s="229"/>
      <c r="FA299" s="368">
        <v>37635.050000000003</v>
      </c>
      <c r="FB299" s="368">
        <v>0</v>
      </c>
      <c r="FC299" s="368">
        <v>0</v>
      </c>
      <c r="FD299" s="368">
        <v>0</v>
      </c>
      <c r="FE299" s="368">
        <v>0</v>
      </c>
      <c r="FF299" s="368">
        <v>1013.87</v>
      </c>
      <c r="FG299" s="368">
        <v>0</v>
      </c>
      <c r="FH299" s="368">
        <v>-623.39</v>
      </c>
      <c r="FI299" s="368">
        <v>0</v>
      </c>
      <c r="FJ299" s="368">
        <v>0</v>
      </c>
      <c r="FK299" s="368">
        <v>6790.13</v>
      </c>
      <c r="FL299" s="368">
        <v>0</v>
      </c>
      <c r="FM299" s="368">
        <v>62181.21</v>
      </c>
      <c r="FN299" s="368">
        <v>39537.71</v>
      </c>
      <c r="FO299" s="323">
        <v>594297.67000000004</v>
      </c>
      <c r="FP299" s="323">
        <v>44815.66</v>
      </c>
      <c r="FQ299" s="323">
        <v>639113.32999999996</v>
      </c>
      <c r="FR299" s="362">
        <v>65276.22</v>
      </c>
      <c r="FS299" s="362">
        <v>4301.24</v>
      </c>
      <c r="FT299" s="377">
        <v>69577.460000000006</v>
      </c>
      <c r="FU299" s="377">
        <v>704523.43</v>
      </c>
      <c r="FV299" s="377">
        <v>40131.199999999997</v>
      </c>
      <c r="FW299" s="362">
        <v>744654.63</v>
      </c>
      <c r="FX299" s="362">
        <v>673378.29</v>
      </c>
      <c r="FY299" s="362">
        <v>39274.370000000003</v>
      </c>
      <c r="FZ299" s="362">
        <v>712652.66</v>
      </c>
      <c r="GA299" s="362">
        <v>96421.36</v>
      </c>
      <c r="GB299" s="362">
        <v>5158.07</v>
      </c>
      <c r="GC299" s="362">
        <v>101579.43</v>
      </c>
      <c r="GD299" s="362">
        <v>48013.03</v>
      </c>
      <c r="GE299" s="362">
        <v>5664.88</v>
      </c>
      <c r="GF299" s="362">
        <v>53677.91</v>
      </c>
      <c r="GG299" s="202"/>
      <c r="GH299" s="416"/>
      <c r="GI299" s="414">
        <v>2019.55</v>
      </c>
      <c r="GJ299" s="419">
        <v>0</v>
      </c>
      <c r="GK299" s="396"/>
      <c r="GL299" s="202">
        <v>0</v>
      </c>
      <c r="GM299" s="202">
        <v>0</v>
      </c>
      <c r="GN299" s="323">
        <v>110225.76</v>
      </c>
      <c r="GO299" s="323">
        <v>-4684.46</v>
      </c>
      <c r="GP299" s="323">
        <v>105541.3</v>
      </c>
      <c r="GQ299" s="323">
        <v>158238.79</v>
      </c>
      <c r="GR299" s="323">
        <v>980.42</v>
      </c>
      <c r="GS299" s="323">
        <v>159219.21</v>
      </c>
    </row>
    <row r="300" spans="1:201" ht="12.75" customHeight="1" x14ac:dyDescent="0.2">
      <c r="A300" s="45" t="s">
        <v>778</v>
      </c>
      <c r="B300" s="60" t="s">
        <v>347</v>
      </c>
      <c r="C300" s="61" t="s">
        <v>52</v>
      </c>
      <c r="D300" s="388" t="s">
        <v>605</v>
      </c>
      <c r="E300" s="61" t="s">
        <v>9</v>
      </c>
      <c r="F300" s="11">
        <v>9</v>
      </c>
      <c r="G300" s="11">
        <v>8</v>
      </c>
      <c r="H300" s="11">
        <v>288</v>
      </c>
      <c r="I300" s="11">
        <v>287</v>
      </c>
      <c r="J300" s="11">
        <v>563</v>
      </c>
      <c r="K300" s="11">
        <v>735</v>
      </c>
      <c r="L300" s="11">
        <v>8</v>
      </c>
      <c r="M300" s="84">
        <v>1690.5</v>
      </c>
      <c r="N300" s="84">
        <v>2271.4</v>
      </c>
      <c r="O300" s="84">
        <v>0</v>
      </c>
      <c r="P300" s="139">
        <v>2064.5</v>
      </c>
      <c r="Q300" s="135">
        <v>1690.5</v>
      </c>
      <c r="R300" s="133">
        <v>0</v>
      </c>
      <c r="S300" s="133">
        <f t="shared" si="134"/>
        <v>3755</v>
      </c>
      <c r="T300" s="139">
        <v>1690.5</v>
      </c>
      <c r="U300" s="130">
        <v>2.44</v>
      </c>
      <c r="V300" s="131">
        <v>1.9800000000000002E-2</v>
      </c>
      <c r="W300" s="131">
        <v>1.9800000000000002E-2</v>
      </c>
      <c r="X300" s="132">
        <v>1.32E-3</v>
      </c>
      <c r="Y300" s="131">
        <v>3.9699999999999999E-2</v>
      </c>
      <c r="Z300" s="29">
        <v>15463.25</v>
      </c>
      <c r="AA300" s="29">
        <v>483.8</v>
      </c>
      <c r="AB300" s="9">
        <f t="shared" si="113"/>
        <v>15947.05</v>
      </c>
      <c r="AC300" s="9">
        <f t="shared" si="112"/>
        <v>100944.83</v>
      </c>
      <c r="AD300" s="9">
        <v>1.52</v>
      </c>
      <c r="AE300" s="9">
        <v>4.8099999999999996</v>
      </c>
      <c r="AF300" s="21">
        <f>2.44-AJ300</f>
        <v>2.2999999999999998</v>
      </c>
      <c r="AG300" s="18">
        <f>0.61-AQ300</f>
        <v>0.56000000000000005</v>
      </c>
      <c r="AH300" s="9">
        <v>2.78</v>
      </c>
      <c r="AI300" s="43">
        <v>2227</v>
      </c>
      <c r="AJ300" s="21">
        <f t="shared" si="110"/>
        <v>0.14000000000000001</v>
      </c>
      <c r="AK300" s="9">
        <v>2.16</v>
      </c>
      <c r="AL300" s="9">
        <v>0.19</v>
      </c>
      <c r="AM300" s="9">
        <v>0.06</v>
      </c>
      <c r="AN300" s="13"/>
      <c r="AO300" s="13">
        <v>1689.6</v>
      </c>
      <c r="AP300" s="13">
        <f t="shared" si="135"/>
        <v>5.58</v>
      </c>
      <c r="AQ300" s="18">
        <f t="shared" si="111"/>
        <v>0.05</v>
      </c>
      <c r="AR300" s="9">
        <v>0.55000000000000004</v>
      </c>
      <c r="AS300" s="9">
        <v>0.17</v>
      </c>
      <c r="AT300" s="9">
        <v>7.0000000000000007E-2</v>
      </c>
      <c r="AU300" s="9">
        <v>3.84</v>
      </c>
      <c r="AV300" s="9">
        <v>0.16</v>
      </c>
      <c r="AW300" s="9">
        <f>1.38+0.26+0.34</f>
        <v>1.98</v>
      </c>
      <c r="AX300" s="9">
        <f>1.93+0.47</f>
        <v>2.4</v>
      </c>
      <c r="AY300" s="63">
        <f t="shared" si="136"/>
        <v>23.74</v>
      </c>
      <c r="AZ300" s="13">
        <v>23.74</v>
      </c>
      <c r="BA300" s="13">
        <f t="shared" si="114"/>
        <v>0</v>
      </c>
      <c r="BB300" s="9">
        <f t="shared" si="115"/>
        <v>378582.97</v>
      </c>
      <c r="BC300" s="9">
        <v>23.74</v>
      </c>
      <c r="BD300" s="10">
        <v>44409</v>
      </c>
      <c r="BE300" s="9">
        <f t="shared" si="116"/>
        <v>24239.52</v>
      </c>
      <c r="BF300" s="9">
        <f t="shared" si="117"/>
        <v>76705.31</v>
      </c>
      <c r="BG300" s="9">
        <f t="shared" si="118"/>
        <v>36678.22</v>
      </c>
      <c r="BH300" s="9">
        <f t="shared" si="119"/>
        <v>8930.35</v>
      </c>
      <c r="BI300" s="9">
        <f t="shared" si="120"/>
        <v>44332.800000000003</v>
      </c>
      <c r="BJ300" s="9">
        <f t="shared" si="121"/>
        <v>2232.59</v>
      </c>
      <c r="BK300" s="9">
        <f t="shared" si="122"/>
        <v>34445.629999999997</v>
      </c>
      <c r="BL300" s="9">
        <f t="shared" si="123"/>
        <v>3029.94</v>
      </c>
      <c r="BM300" s="9">
        <f t="shared" si="124"/>
        <v>956.82</v>
      </c>
      <c r="BN300" s="9">
        <f t="shared" si="125"/>
        <v>797.35</v>
      </c>
      <c r="BO300" s="9">
        <f t="shared" si="126"/>
        <v>8770.8799999999992</v>
      </c>
      <c r="BP300" s="9">
        <f t="shared" si="127"/>
        <v>2711</v>
      </c>
      <c r="BQ300" s="9">
        <f t="shared" si="128"/>
        <v>1116.29</v>
      </c>
      <c r="BR300" s="9">
        <f t="shared" si="129"/>
        <v>61236.67</v>
      </c>
      <c r="BS300" s="9">
        <f t="shared" si="130"/>
        <v>2551.5300000000002</v>
      </c>
      <c r="BT300" s="9">
        <f t="shared" si="131"/>
        <v>31575.16</v>
      </c>
      <c r="BU300" s="9">
        <f t="shared" si="132"/>
        <v>38272.92</v>
      </c>
      <c r="BV300" s="17">
        <f t="shared" si="133"/>
        <v>378582.98</v>
      </c>
      <c r="BW300" s="17">
        <v>2.31</v>
      </c>
      <c r="BX300" s="17">
        <v>7.0000000000000007E-2</v>
      </c>
      <c r="BY300" s="17">
        <v>0.46</v>
      </c>
      <c r="BZ300" s="17">
        <v>0.08</v>
      </c>
      <c r="CA300" s="29">
        <v>6.33</v>
      </c>
      <c r="CB300" s="325"/>
      <c r="CC300" s="13">
        <v>137824.92000000001</v>
      </c>
      <c r="CD300" s="13">
        <v>12922.3</v>
      </c>
      <c r="CE300" s="13">
        <v>-628.94000000000005</v>
      </c>
      <c r="CF300" s="13">
        <v>1828.72</v>
      </c>
      <c r="CG300" s="13">
        <v>861.23</v>
      </c>
      <c r="CH300" s="13">
        <v>0</v>
      </c>
      <c r="CI300" s="13">
        <v>6359.17</v>
      </c>
      <c r="CJ300" s="13">
        <v>111852</v>
      </c>
      <c r="CK300" s="13">
        <v>6129.67</v>
      </c>
      <c r="CL300" s="13">
        <v>4395916.78</v>
      </c>
      <c r="CM300" s="13">
        <v>412909.01</v>
      </c>
      <c r="CN300" s="13">
        <v>-0.51</v>
      </c>
      <c r="CO300" s="13">
        <v>38346</v>
      </c>
      <c r="CP300" s="13">
        <v>27521.77</v>
      </c>
      <c r="CQ300" s="13">
        <v>0</v>
      </c>
      <c r="CR300" s="13">
        <v>4202883.57</v>
      </c>
      <c r="CS300" s="13">
        <v>402931.25</v>
      </c>
      <c r="CT300" s="13">
        <v>33818.660000000003</v>
      </c>
      <c r="CU300" s="13">
        <v>36692.53</v>
      </c>
      <c r="CV300" s="13">
        <v>24526.74</v>
      </c>
      <c r="CW300" s="13">
        <v>0</v>
      </c>
      <c r="CX300" s="13">
        <v>514623.15</v>
      </c>
      <c r="CY300" s="13">
        <v>55399.43</v>
      </c>
      <c r="CZ300" s="13">
        <v>-36511.24</v>
      </c>
      <c r="DA300" s="13">
        <v>9201.39</v>
      </c>
      <c r="DB300" s="13">
        <v>5598.06</v>
      </c>
      <c r="DC300" s="13"/>
      <c r="DD300" s="315">
        <v>4874693.05</v>
      </c>
      <c r="DE300" s="317">
        <v>4700852.75</v>
      </c>
      <c r="DF300" s="317">
        <v>96.43</v>
      </c>
      <c r="DG300" s="318">
        <v>548310.79</v>
      </c>
      <c r="DH300" s="310">
        <v>162378.6</v>
      </c>
      <c r="DI300" s="310">
        <v>92866.08</v>
      </c>
      <c r="DJ300" s="312">
        <v>0</v>
      </c>
      <c r="DK300" s="362">
        <v>0</v>
      </c>
      <c r="DL300" s="362"/>
      <c r="DM300" s="362">
        <v>0</v>
      </c>
      <c r="DN300" s="362">
        <v>0</v>
      </c>
      <c r="DO300" s="362">
        <v>0</v>
      </c>
      <c r="DP300" s="362">
        <v>0</v>
      </c>
      <c r="DQ300" s="362">
        <v>0</v>
      </c>
      <c r="DR300" s="362"/>
      <c r="DS300" s="362">
        <v>0</v>
      </c>
      <c r="DT300" s="362"/>
      <c r="DU300" s="362">
        <v>0</v>
      </c>
      <c r="DV300" s="362">
        <v>0</v>
      </c>
      <c r="DW300" s="362">
        <v>400787.75</v>
      </c>
      <c r="DX300" s="362">
        <v>0</v>
      </c>
      <c r="DY300" s="362">
        <v>112000</v>
      </c>
      <c r="DZ300" s="375">
        <v>0</v>
      </c>
      <c r="EA300" s="362">
        <v>0</v>
      </c>
      <c r="EB300" s="362">
        <v>0</v>
      </c>
      <c r="EC300" s="362"/>
      <c r="ED300" s="362">
        <v>1343531.28</v>
      </c>
      <c r="EE300" s="362">
        <v>9800</v>
      </c>
      <c r="EF300" s="362"/>
      <c r="EG300" s="362">
        <v>35442</v>
      </c>
      <c r="EH300" s="362">
        <v>2975</v>
      </c>
      <c r="EI300" s="362"/>
      <c r="EJ300" s="362">
        <v>0</v>
      </c>
      <c r="EK300" s="362"/>
      <c r="EL300" s="362">
        <v>0</v>
      </c>
      <c r="EM300" s="362">
        <v>9427.98</v>
      </c>
      <c r="EN300" s="362">
        <v>0</v>
      </c>
      <c r="EO300" s="362">
        <v>0</v>
      </c>
      <c r="EP300" s="362">
        <v>1015776</v>
      </c>
      <c r="EQ300" s="362">
        <v>0</v>
      </c>
      <c r="ER300" s="362">
        <v>19110</v>
      </c>
      <c r="ES300" s="362">
        <v>5287</v>
      </c>
      <c r="ET300" s="362">
        <v>35475</v>
      </c>
      <c r="EU300" s="362">
        <v>0</v>
      </c>
      <c r="EV300" s="362">
        <v>344039.66</v>
      </c>
      <c r="EW300" s="362"/>
      <c r="EX300" s="202"/>
      <c r="EY300" s="202"/>
      <c r="EZ300" s="229"/>
      <c r="FA300" s="368">
        <v>438779.87</v>
      </c>
      <c r="FB300" s="368">
        <v>39772.17</v>
      </c>
      <c r="FC300" s="368">
        <v>0</v>
      </c>
      <c r="FD300" s="368">
        <v>0</v>
      </c>
      <c r="FE300" s="368">
        <v>42186.15</v>
      </c>
      <c r="FF300" s="368">
        <v>28602.67</v>
      </c>
      <c r="FG300" s="368">
        <v>0</v>
      </c>
      <c r="FH300" s="368">
        <v>-4245.6499999999996</v>
      </c>
      <c r="FI300" s="368">
        <v>0</v>
      </c>
      <c r="FJ300" s="368">
        <v>0</v>
      </c>
      <c r="FK300" s="368">
        <v>85756.13</v>
      </c>
      <c r="FL300" s="368">
        <v>0</v>
      </c>
      <c r="FM300" s="368">
        <v>426230.92</v>
      </c>
      <c r="FN300" s="368">
        <v>271016.40000000002</v>
      </c>
      <c r="FO300" s="323">
        <v>4286143.67</v>
      </c>
      <c r="FP300" s="323">
        <v>630851.34</v>
      </c>
      <c r="FQ300" s="323">
        <v>4916995.01</v>
      </c>
      <c r="FR300" s="362">
        <v>371094.99</v>
      </c>
      <c r="FS300" s="362">
        <v>35953.730000000003</v>
      </c>
      <c r="FT300" s="377">
        <v>407048.72</v>
      </c>
      <c r="FU300" s="377">
        <v>4651952.87</v>
      </c>
      <c r="FV300" s="377">
        <v>499889.25</v>
      </c>
      <c r="FW300" s="362">
        <v>5151842.12</v>
      </c>
      <c r="FX300" s="362">
        <v>4445443.97</v>
      </c>
      <c r="FY300" s="362">
        <v>495157.48</v>
      </c>
      <c r="FZ300" s="362">
        <v>4940601.45</v>
      </c>
      <c r="GA300" s="362">
        <v>577603.89</v>
      </c>
      <c r="GB300" s="362">
        <v>40685.5</v>
      </c>
      <c r="GC300" s="362">
        <v>618289.39</v>
      </c>
      <c r="GD300" s="362">
        <v>311846.57</v>
      </c>
      <c r="GE300" s="362">
        <v>8480.74</v>
      </c>
      <c r="GF300" s="362">
        <v>320327.31</v>
      </c>
      <c r="GG300" s="202">
        <v>69978.600000000006</v>
      </c>
      <c r="GH300" s="416">
        <v>90</v>
      </c>
      <c r="GI300" s="414">
        <v>6819.65</v>
      </c>
      <c r="GJ300" s="419">
        <v>152808.23000000001</v>
      </c>
      <c r="GK300" s="396">
        <v>69978.600000000006</v>
      </c>
      <c r="GL300" s="202">
        <v>62980.74</v>
      </c>
      <c r="GM300" s="202">
        <v>6997.8600000000097</v>
      </c>
      <c r="GN300" s="323">
        <v>365809.2</v>
      </c>
      <c r="GO300" s="323">
        <v>-130962.09</v>
      </c>
      <c r="GP300" s="323">
        <v>234847.11</v>
      </c>
      <c r="GQ300" s="323">
        <v>677655.77</v>
      </c>
      <c r="GR300" s="323">
        <v>-122481.35</v>
      </c>
      <c r="GS300" s="323">
        <v>555174.42000000004</v>
      </c>
    </row>
    <row r="301" spans="1:201" ht="12.75" customHeight="1" x14ac:dyDescent="0.2">
      <c r="A301" s="45" t="s">
        <v>779</v>
      </c>
      <c r="B301" s="60" t="s">
        <v>347</v>
      </c>
      <c r="C301" s="61" t="s">
        <v>243</v>
      </c>
      <c r="D301" s="388" t="s">
        <v>532</v>
      </c>
      <c r="E301" s="61" t="s">
        <v>12</v>
      </c>
      <c r="F301" s="11">
        <v>9</v>
      </c>
      <c r="G301" s="11">
        <v>2</v>
      </c>
      <c r="H301" s="11">
        <v>72</v>
      </c>
      <c r="I301" s="11">
        <v>73</v>
      </c>
      <c r="J301" s="11">
        <v>167</v>
      </c>
      <c r="K301" s="11">
        <v>195</v>
      </c>
      <c r="L301" s="83">
        <v>2</v>
      </c>
      <c r="M301" s="84">
        <v>589.4</v>
      </c>
      <c r="N301" s="84">
        <v>500.3</v>
      </c>
      <c r="O301" s="84">
        <v>0</v>
      </c>
      <c r="P301" s="139">
        <v>639.70000000000005</v>
      </c>
      <c r="Q301" s="135">
        <v>443.7</v>
      </c>
      <c r="R301" s="133">
        <v>0</v>
      </c>
      <c r="S301" s="133">
        <f t="shared" si="134"/>
        <v>1083.4000000000001</v>
      </c>
      <c r="T301" s="139">
        <v>589.4</v>
      </c>
      <c r="U301" s="130">
        <v>2.44</v>
      </c>
      <c r="V301" s="131">
        <v>1.9800000000000002E-2</v>
      </c>
      <c r="W301" s="131">
        <v>1.9800000000000002E-2</v>
      </c>
      <c r="X301" s="132">
        <v>1.2199999999999999E-3</v>
      </c>
      <c r="Y301" s="131">
        <v>3.9699999999999999E-2</v>
      </c>
      <c r="Z301" s="29">
        <v>3731.1</v>
      </c>
      <c r="AA301" s="29">
        <v>65.900000000000006</v>
      </c>
      <c r="AB301" s="9">
        <f t="shared" si="113"/>
        <v>3797</v>
      </c>
      <c r="AC301" s="9">
        <f t="shared" si="112"/>
        <v>24035.01</v>
      </c>
      <c r="AD301" s="9">
        <v>1.83</v>
      </c>
      <c r="AE301" s="9">
        <v>4.58</v>
      </c>
      <c r="AF301" s="21">
        <f>2.48-AJ301</f>
        <v>2.33</v>
      </c>
      <c r="AG301" s="18">
        <f>0.62-AQ301</f>
        <v>0.56999999999999995</v>
      </c>
      <c r="AH301" s="9">
        <v>2.78</v>
      </c>
      <c r="AI301" s="43">
        <v>559</v>
      </c>
      <c r="AJ301" s="21">
        <f t="shared" si="110"/>
        <v>0.15</v>
      </c>
      <c r="AK301" s="9">
        <v>2.27</v>
      </c>
      <c r="AL301" s="9">
        <v>0.2</v>
      </c>
      <c r="AM301" s="9">
        <v>0.15</v>
      </c>
      <c r="AN301" s="13"/>
      <c r="AO301" s="13">
        <v>422.4</v>
      </c>
      <c r="AP301" s="13">
        <f t="shared" si="135"/>
        <v>5.58</v>
      </c>
      <c r="AQ301" s="18">
        <f t="shared" si="111"/>
        <v>0.05</v>
      </c>
      <c r="AR301" s="9">
        <v>0.57999999999999996</v>
      </c>
      <c r="AS301" s="9">
        <v>0.36</v>
      </c>
      <c r="AT301" s="9">
        <v>7.0000000000000007E-2</v>
      </c>
      <c r="AU301" s="9">
        <v>3.87</v>
      </c>
      <c r="AV301" s="9">
        <v>0.17</v>
      </c>
      <c r="AW301" s="9">
        <f>1.43+0.27+0.34</f>
        <v>2.04</v>
      </c>
      <c r="AX301" s="9">
        <f>2.01+0.46</f>
        <v>2.4700000000000002</v>
      </c>
      <c r="AY301" s="63">
        <f t="shared" si="136"/>
        <v>24.47</v>
      </c>
      <c r="AZ301" s="13">
        <v>24.47</v>
      </c>
      <c r="BA301" s="13">
        <f t="shared" si="114"/>
        <v>0</v>
      </c>
      <c r="BB301" s="9">
        <f t="shared" si="115"/>
        <v>92912.59</v>
      </c>
      <c r="BC301" s="9">
        <v>24.47</v>
      </c>
      <c r="BD301" s="10">
        <v>44378</v>
      </c>
      <c r="BE301" s="9">
        <f t="shared" si="116"/>
        <v>6948.51</v>
      </c>
      <c r="BF301" s="9">
        <f t="shared" si="117"/>
        <v>17390.259999999998</v>
      </c>
      <c r="BG301" s="9">
        <f t="shared" si="118"/>
        <v>8847.01</v>
      </c>
      <c r="BH301" s="9">
        <f t="shared" si="119"/>
        <v>2164.29</v>
      </c>
      <c r="BI301" s="9">
        <f t="shared" si="120"/>
        <v>10555.66</v>
      </c>
      <c r="BJ301" s="9">
        <f t="shared" si="121"/>
        <v>569.54999999999995</v>
      </c>
      <c r="BK301" s="9">
        <f t="shared" si="122"/>
        <v>8619.19</v>
      </c>
      <c r="BL301" s="9">
        <f t="shared" si="123"/>
        <v>759.4</v>
      </c>
      <c r="BM301" s="9">
        <f t="shared" si="124"/>
        <v>569.54999999999995</v>
      </c>
      <c r="BN301" s="9">
        <f t="shared" si="125"/>
        <v>189.85</v>
      </c>
      <c r="BO301" s="9">
        <f t="shared" si="126"/>
        <v>2202.2600000000002</v>
      </c>
      <c r="BP301" s="9">
        <f t="shared" si="127"/>
        <v>1366.92</v>
      </c>
      <c r="BQ301" s="9">
        <f t="shared" si="128"/>
        <v>265.79000000000002</v>
      </c>
      <c r="BR301" s="9">
        <f t="shared" si="129"/>
        <v>14694.39</v>
      </c>
      <c r="BS301" s="9">
        <f t="shared" si="130"/>
        <v>645.49</v>
      </c>
      <c r="BT301" s="9">
        <f t="shared" si="131"/>
        <v>7745.88</v>
      </c>
      <c r="BU301" s="9">
        <f t="shared" si="132"/>
        <v>9378.59</v>
      </c>
      <c r="BV301" s="17">
        <f t="shared" si="133"/>
        <v>92912.59</v>
      </c>
      <c r="BW301" s="17">
        <v>2.81</v>
      </c>
      <c r="BX301" s="17">
        <v>0.1</v>
      </c>
      <c r="BY301" s="17">
        <v>0.56999999999999995</v>
      </c>
      <c r="BZ301" s="17">
        <v>0.11</v>
      </c>
      <c r="CA301" s="29">
        <v>6.33</v>
      </c>
      <c r="CB301" s="325"/>
      <c r="CC301" s="13">
        <v>19350.84</v>
      </c>
      <c r="CD301" s="13">
        <v>993.12</v>
      </c>
      <c r="CE301" s="13">
        <v>0</v>
      </c>
      <c r="CF301" s="13">
        <v>50.1</v>
      </c>
      <c r="CG301" s="13">
        <v>61.31</v>
      </c>
      <c r="CH301" s="13">
        <v>0</v>
      </c>
      <c r="CI301" s="13">
        <v>1524.83</v>
      </c>
      <c r="CJ301" s="13">
        <v>31284</v>
      </c>
      <c r="CK301" s="13">
        <v>1460.29</v>
      </c>
      <c r="CL301" s="13">
        <v>1095600.3600000001</v>
      </c>
      <c r="CM301" s="13">
        <v>56227.68</v>
      </c>
      <c r="CN301" s="13">
        <v>0</v>
      </c>
      <c r="CO301" s="13">
        <v>2835.78</v>
      </c>
      <c r="CP301" s="13">
        <v>3469.83</v>
      </c>
      <c r="CQ301" s="13">
        <v>0</v>
      </c>
      <c r="CR301" s="13">
        <v>1068105.02</v>
      </c>
      <c r="CS301" s="13">
        <v>48447.93</v>
      </c>
      <c r="CT301" s="13">
        <v>899.38</v>
      </c>
      <c r="CU301" s="13">
        <v>2402.54</v>
      </c>
      <c r="CV301" s="13">
        <v>3231.29</v>
      </c>
      <c r="CW301" s="13">
        <v>0</v>
      </c>
      <c r="CX301" s="13">
        <v>165601.74</v>
      </c>
      <c r="CY301" s="13">
        <v>4285.63</v>
      </c>
      <c r="CZ301" s="13">
        <v>-2093.94</v>
      </c>
      <c r="DA301" s="13">
        <v>664.78</v>
      </c>
      <c r="DB301" s="13">
        <v>642.35</v>
      </c>
      <c r="DC301" s="13"/>
      <c r="DD301" s="315">
        <v>1158133.6499999999</v>
      </c>
      <c r="DE301" s="317">
        <v>1123086.1599999999</v>
      </c>
      <c r="DF301" s="317">
        <v>96.97</v>
      </c>
      <c r="DG301" s="318">
        <v>169100.56</v>
      </c>
      <c r="DH301" s="310">
        <v>39204.239999999998</v>
      </c>
      <c r="DI301" s="310">
        <v>22421.279999999999</v>
      </c>
      <c r="DJ301" s="312">
        <v>0</v>
      </c>
      <c r="DK301" s="362">
        <v>0</v>
      </c>
      <c r="DL301" s="362"/>
      <c r="DM301" s="362">
        <v>0</v>
      </c>
      <c r="DN301" s="362">
        <v>0</v>
      </c>
      <c r="DO301" s="362">
        <v>0</v>
      </c>
      <c r="DP301" s="362">
        <v>0</v>
      </c>
      <c r="DQ301" s="362">
        <v>0</v>
      </c>
      <c r="DR301" s="362"/>
      <c r="DS301" s="362">
        <v>0</v>
      </c>
      <c r="DT301" s="362"/>
      <c r="DU301" s="362">
        <v>0</v>
      </c>
      <c r="DV301" s="362">
        <v>0</v>
      </c>
      <c r="DW301" s="362">
        <v>103200</v>
      </c>
      <c r="DX301" s="362">
        <v>0</v>
      </c>
      <c r="DY301" s="362">
        <v>9000</v>
      </c>
      <c r="DZ301" s="375">
        <v>0</v>
      </c>
      <c r="EA301" s="362">
        <v>0</v>
      </c>
      <c r="EB301" s="362">
        <v>0</v>
      </c>
      <c r="EC301" s="362"/>
      <c r="ED301" s="362">
        <v>322725.90000000002</v>
      </c>
      <c r="EE301" s="362">
        <v>12800</v>
      </c>
      <c r="EF301" s="362"/>
      <c r="EG301" s="362">
        <v>8898</v>
      </c>
      <c r="EH301" s="362">
        <v>0</v>
      </c>
      <c r="EI301" s="362"/>
      <c r="EJ301" s="362">
        <v>0</v>
      </c>
      <c r="EK301" s="362"/>
      <c r="EL301" s="362">
        <v>0</v>
      </c>
      <c r="EM301" s="362">
        <v>2356.98</v>
      </c>
      <c r="EN301" s="362">
        <v>0</v>
      </c>
      <c r="EO301" s="362">
        <v>0</v>
      </c>
      <c r="EP301" s="362">
        <v>242798</v>
      </c>
      <c r="EQ301" s="362">
        <v>0</v>
      </c>
      <c r="ER301" s="362">
        <v>16380</v>
      </c>
      <c r="ES301" s="362">
        <v>6924</v>
      </c>
      <c r="ET301" s="362">
        <v>8829</v>
      </c>
      <c r="EU301" s="362">
        <v>0</v>
      </c>
      <c r="EV301" s="362">
        <v>111458.88</v>
      </c>
      <c r="EW301" s="362"/>
      <c r="EX301" s="202"/>
      <c r="EY301" s="202"/>
      <c r="EZ301" s="229"/>
      <c r="FA301" s="368">
        <v>57427.26</v>
      </c>
      <c r="FB301" s="368">
        <v>0</v>
      </c>
      <c r="FC301" s="368">
        <v>0</v>
      </c>
      <c r="FD301" s="368">
        <v>0</v>
      </c>
      <c r="FE301" s="368">
        <v>3822.49</v>
      </c>
      <c r="FF301" s="368">
        <v>4165.41</v>
      </c>
      <c r="FG301" s="368">
        <v>-561.27</v>
      </c>
      <c r="FH301" s="368">
        <v>-1298.93</v>
      </c>
      <c r="FI301" s="368">
        <v>0</v>
      </c>
      <c r="FJ301" s="368">
        <v>0</v>
      </c>
      <c r="FK301" s="368">
        <v>0</v>
      </c>
      <c r="FL301" s="368">
        <v>0</v>
      </c>
      <c r="FM301" s="368">
        <v>101513.01</v>
      </c>
      <c r="FN301" s="368">
        <v>64546.720000000001</v>
      </c>
      <c r="FO301" s="323">
        <v>1073056.01</v>
      </c>
      <c r="FP301" s="323">
        <v>63554.96</v>
      </c>
      <c r="FQ301" s="323">
        <v>1136610.97</v>
      </c>
      <c r="FR301" s="362">
        <v>105953.02</v>
      </c>
      <c r="FS301" s="362">
        <v>-177.91</v>
      </c>
      <c r="FT301" s="377">
        <v>105775.11</v>
      </c>
      <c r="FU301" s="377">
        <v>1147760.03</v>
      </c>
      <c r="FV301" s="377">
        <v>65098.11</v>
      </c>
      <c r="FW301" s="362">
        <v>1212858.1399999999</v>
      </c>
      <c r="FX301" s="362">
        <v>1094273.3600000001</v>
      </c>
      <c r="FY301" s="362">
        <v>61745.7</v>
      </c>
      <c r="FZ301" s="362">
        <v>1156019.06</v>
      </c>
      <c r="GA301" s="362">
        <v>159439.69</v>
      </c>
      <c r="GB301" s="362">
        <v>3174.5</v>
      </c>
      <c r="GC301" s="362">
        <v>162614.19</v>
      </c>
      <c r="GD301" s="362">
        <v>-872227.21</v>
      </c>
      <c r="GE301" s="362">
        <v>9838.9599999999991</v>
      </c>
      <c r="GF301" s="362">
        <v>-862388.25</v>
      </c>
      <c r="GG301" s="202">
        <v>-6486.37</v>
      </c>
      <c r="GH301" s="416">
        <v>95</v>
      </c>
      <c r="GI301" s="414">
        <v>2442.5500000000002</v>
      </c>
      <c r="GJ301" s="419">
        <v>20455.37</v>
      </c>
      <c r="GK301" s="396">
        <v>-6486.37</v>
      </c>
      <c r="GL301" s="202">
        <v>-6162.0514999999996</v>
      </c>
      <c r="GM301" s="202">
        <v>-324.31849999999997</v>
      </c>
      <c r="GN301" s="323">
        <v>74704.02</v>
      </c>
      <c r="GO301" s="323">
        <v>1543.15</v>
      </c>
      <c r="GP301" s="323">
        <v>76247.17</v>
      </c>
      <c r="GQ301" s="323">
        <v>-797523.19</v>
      </c>
      <c r="GR301" s="323">
        <v>11382.11</v>
      </c>
      <c r="GS301" s="323">
        <v>-786141.08</v>
      </c>
    </row>
    <row r="302" spans="1:201" ht="12.75" customHeight="1" x14ac:dyDescent="0.2">
      <c r="A302" s="45" t="s">
        <v>780</v>
      </c>
      <c r="B302" s="163" t="s">
        <v>358</v>
      </c>
      <c r="C302" s="164" t="s">
        <v>37</v>
      </c>
      <c r="D302" s="388" t="s">
        <v>683</v>
      </c>
      <c r="E302" s="164" t="s">
        <v>12</v>
      </c>
      <c r="F302" s="11">
        <v>5</v>
      </c>
      <c r="G302" s="11">
        <v>4</v>
      </c>
      <c r="H302" s="11">
        <v>80</v>
      </c>
      <c r="I302" s="11">
        <v>80</v>
      </c>
      <c r="J302" s="11">
        <v>164</v>
      </c>
      <c r="K302" s="11">
        <v>196</v>
      </c>
      <c r="L302" s="11" t="s">
        <v>746</v>
      </c>
      <c r="M302" s="84">
        <v>272</v>
      </c>
      <c r="N302" s="84">
        <v>708.5</v>
      </c>
      <c r="O302" s="84">
        <v>0</v>
      </c>
      <c r="P302" s="135">
        <v>278.5</v>
      </c>
      <c r="Q302" s="135">
        <v>708.5</v>
      </c>
      <c r="R302" s="133">
        <v>0</v>
      </c>
      <c r="S302" s="133">
        <f t="shared" si="134"/>
        <v>987</v>
      </c>
      <c r="T302" s="134">
        <v>278.5</v>
      </c>
      <c r="U302" s="130">
        <v>1.53</v>
      </c>
      <c r="V302" s="131">
        <v>1.1299999999999999E-2</v>
      </c>
      <c r="W302" s="131" t="s">
        <v>823</v>
      </c>
      <c r="X302" s="132" t="s">
        <v>823</v>
      </c>
      <c r="Y302" s="131">
        <v>1.1299999999999999E-2</v>
      </c>
      <c r="Z302" s="29">
        <v>3524.3</v>
      </c>
      <c r="AA302" s="29"/>
      <c r="AB302" s="9">
        <f t="shared" si="113"/>
        <v>3524.3</v>
      </c>
      <c r="AC302" s="9">
        <f t="shared" si="112"/>
        <v>22308.82</v>
      </c>
      <c r="AD302" s="9">
        <v>0.43</v>
      </c>
      <c r="AE302" s="9">
        <v>4.71</v>
      </c>
      <c r="AF302" s="21">
        <f>2.68-AJ302</f>
        <v>2.44</v>
      </c>
      <c r="AG302" s="18">
        <f>0.59-AQ302</f>
        <v>0.45</v>
      </c>
      <c r="AH302" s="9">
        <v>2.37</v>
      </c>
      <c r="AI302" s="13">
        <v>846</v>
      </c>
      <c r="AJ302" s="21">
        <f t="shared" si="110"/>
        <v>0.24</v>
      </c>
      <c r="AK302" s="9">
        <v>0</v>
      </c>
      <c r="AL302" s="9">
        <v>0</v>
      </c>
      <c r="AM302" s="9">
        <v>0.16</v>
      </c>
      <c r="AN302" s="13">
        <v>356.3</v>
      </c>
      <c r="AO302" s="13">
        <v>712.5</v>
      </c>
      <c r="AP302" s="13">
        <f t="shared" si="135"/>
        <v>5.58</v>
      </c>
      <c r="AQ302" s="18">
        <f t="shared" si="111"/>
        <v>0.14000000000000001</v>
      </c>
      <c r="AR302" s="9">
        <v>0.82</v>
      </c>
      <c r="AS302" s="9">
        <v>0.39</v>
      </c>
      <c r="AT302" s="9">
        <v>7.0000000000000007E-2</v>
      </c>
      <c r="AU302" s="9">
        <v>3.67</v>
      </c>
      <c r="AV302" s="9">
        <v>0.13</v>
      </c>
      <c r="AW302" s="9">
        <f>1.09+0.32+0.32</f>
        <v>1.73</v>
      </c>
      <c r="AX302" s="9">
        <f>1.5+0.43</f>
        <v>1.93</v>
      </c>
      <c r="AY302" s="166">
        <f t="shared" si="136"/>
        <v>19.68</v>
      </c>
      <c r="AZ302" s="13">
        <v>19.68</v>
      </c>
      <c r="BA302" s="13">
        <f t="shared" si="114"/>
        <v>0</v>
      </c>
      <c r="BB302" s="9">
        <f t="shared" si="115"/>
        <v>69358.22</v>
      </c>
      <c r="BC302" s="9">
        <v>19.68</v>
      </c>
      <c r="BD302" s="10">
        <v>44409</v>
      </c>
      <c r="BE302" s="9">
        <f t="shared" si="116"/>
        <v>1515.45</v>
      </c>
      <c r="BF302" s="9">
        <f t="shared" si="117"/>
        <v>16599.45</v>
      </c>
      <c r="BG302" s="9">
        <f t="shared" si="118"/>
        <v>8599.2900000000009</v>
      </c>
      <c r="BH302" s="9">
        <f t="shared" si="119"/>
        <v>1585.94</v>
      </c>
      <c r="BI302" s="9">
        <f t="shared" si="120"/>
        <v>8352.59</v>
      </c>
      <c r="BJ302" s="9">
        <f t="shared" si="121"/>
        <v>845.83</v>
      </c>
      <c r="BK302" s="9">
        <f t="shared" si="122"/>
        <v>0</v>
      </c>
      <c r="BL302" s="9">
        <f t="shared" si="123"/>
        <v>0</v>
      </c>
      <c r="BM302" s="9">
        <f t="shared" si="124"/>
        <v>563.89</v>
      </c>
      <c r="BN302" s="9">
        <f t="shared" si="125"/>
        <v>493.4</v>
      </c>
      <c r="BO302" s="9">
        <f t="shared" si="126"/>
        <v>2889.93</v>
      </c>
      <c r="BP302" s="9">
        <f t="shared" si="127"/>
        <v>1374.48</v>
      </c>
      <c r="BQ302" s="9">
        <f t="shared" si="128"/>
        <v>246.7</v>
      </c>
      <c r="BR302" s="9">
        <f t="shared" si="129"/>
        <v>12934.18</v>
      </c>
      <c r="BS302" s="9">
        <f t="shared" si="130"/>
        <v>458.16</v>
      </c>
      <c r="BT302" s="9">
        <f t="shared" si="131"/>
        <v>6097.04</v>
      </c>
      <c r="BU302" s="9">
        <f t="shared" si="132"/>
        <v>6801.9</v>
      </c>
      <c r="BV302" s="17">
        <f t="shared" si="133"/>
        <v>69358.23</v>
      </c>
      <c r="BW302" s="17">
        <v>1.72</v>
      </c>
      <c r="BX302" s="17">
        <v>0.03</v>
      </c>
      <c r="BY302" s="173">
        <v>0</v>
      </c>
      <c r="BZ302" s="17">
        <v>0.01</v>
      </c>
      <c r="CA302" s="29">
        <v>6.33</v>
      </c>
      <c r="CB302" s="325"/>
      <c r="CC302" s="13">
        <v>0</v>
      </c>
      <c r="CD302" s="13">
        <v>0</v>
      </c>
      <c r="CE302" s="13">
        <v>0</v>
      </c>
      <c r="CF302" s="13">
        <v>0</v>
      </c>
      <c r="CG302" s="13">
        <v>0</v>
      </c>
      <c r="CH302" s="13">
        <v>0</v>
      </c>
      <c r="CI302" s="13">
        <v>3535.95</v>
      </c>
      <c r="CJ302" s="13">
        <v>28704</v>
      </c>
      <c r="CK302" s="13">
        <v>1355.41</v>
      </c>
      <c r="CL302" s="13">
        <v>832298.4</v>
      </c>
      <c r="CM302" s="13">
        <v>85746.37</v>
      </c>
      <c r="CN302" s="13">
        <v>0</v>
      </c>
      <c r="CO302" s="13">
        <v>41234.82</v>
      </c>
      <c r="CP302" s="13">
        <v>21040.45</v>
      </c>
      <c r="CQ302" s="13">
        <v>0</v>
      </c>
      <c r="CR302" s="13">
        <v>834170.36</v>
      </c>
      <c r="CS302" s="13">
        <v>80961.490000000005</v>
      </c>
      <c r="CT302" s="13">
        <v>0</v>
      </c>
      <c r="CU302" s="13">
        <v>35651.129999999997</v>
      </c>
      <c r="CV302" s="13">
        <v>21198.27</v>
      </c>
      <c r="CW302" s="13">
        <v>0</v>
      </c>
      <c r="CX302" s="13">
        <v>88713.26</v>
      </c>
      <c r="CY302" s="13">
        <v>14270.71</v>
      </c>
      <c r="CZ302" s="13">
        <v>0</v>
      </c>
      <c r="DA302" s="13">
        <v>4431.51</v>
      </c>
      <c r="DB302" s="13">
        <v>2393.69</v>
      </c>
      <c r="DC302" s="13"/>
      <c r="DD302" s="315">
        <v>980320.04</v>
      </c>
      <c r="DE302" s="317">
        <v>971981.25</v>
      </c>
      <c r="DF302" s="317">
        <v>99.15</v>
      </c>
      <c r="DG302" s="318">
        <v>109809.17</v>
      </c>
      <c r="DH302" s="310">
        <v>37031.279999999999</v>
      </c>
      <c r="DI302" s="310">
        <v>21178.560000000001</v>
      </c>
      <c r="DJ302" s="312">
        <v>0</v>
      </c>
      <c r="DK302" s="362">
        <v>0</v>
      </c>
      <c r="DL302" s="362"/>
      <c r="DM302" s="362">
        <v>0</v>
      </c>
      <c r="DN302" s="362">
        <v>0</v>
      </c>
      <c r="DO302" s="362">
        <v>0</v>
      </c>
      <c r="DP302" s="362">
        <v>13451.4</v>
      </c>
      <c r="DQ302" s="362">
        <v>71365</v>
      </c>
      <c r="DR302" s="362"/>
      <c r="DS302" s="362">
        <v>40320</v>
      </c>
      <c r="DT302" s="362"/>
      <c r="DU302" s="362">
        <v>0</v>
      </c>
      <c r="DV302" s="362">
        <v>0</v>
      </c>
      <c r="DW302" s="362">
        <v>0</v>
      </c>
      <c r="DX302" s="362">
        <v>0</v>
      </c>
      <c r="DY302" s="362">
        <v>0</v>
      </c>
      <c r="DZ302" s="375">
        <v>0</v>
      </c>
      <c r="EA302" s="362">
        <v>0</v>
      </c>
      <c r="EB302" s="362">
        <v>0</v>
      </c>
      <c r="EC302" s="362"/>
      <c r="ED302" s="362">
        <v>207214.68</v>
      </c>
      <c r="EE302" s="362">
        <v>14065</v>
      </c>
      <c r="EF302" s="362"/>
      <c r="EG302" s="362">
        <v>0</v>
      </c>
      <c r="EH302" s="362">
        <v>0</v>
      </c>
      <c r="EI302" s="362"/>
      <c r="EJ302" s="362">
        <v>0</v>
      </c>
      <c r="EK302" s="362"/>
      <c r="EL302" s="362">
        <v>0</v>
      </c>
      <c r="EM302" s="362">
        <v>5963.91</v>
      </c>
      <c r="EN302" s="362">
        <v>267769.2</v>
      </c>
      <c r="EO302" s="362">
        <v>0</v>
      </c>
      <c r="EP302" s="362">
        <v>0</v>
      </c>
      <c r="EQ302" s="362">
        <v>0</v>
      </c>
      <c r="ER302" s="362">
        <v>15015</v>
      </c>
      <c r="ES302" s="362">
        <v>6924</v>
      </c>
      <c r="ET302" s="362">
        <v>14372</v>
      </c>
      <c r="EU302" s="362">
        <v>0</v>
      </c>
      <c r="EV302" s="362">
        <v>162312.32000000001</v>
      </c>
      <c r="EW302" s="362"/>
      <c r="EX302" s="202"/>
      <c r="EY302" s="202"/>
      <c r="EZ302" s="229"/>
      <c r="FA302" s="368">
        <v>91021.9</v>
      </c>
      <c r="FB302" s="368">
        <v>0</v>
      </c>
      <c r="FC302" s="368">
        <v>0</v>
      </c>
      <c r="FD302" s="368">
        <v>0</v>
      </c>
      <c r="FE302" s="368">
        <v>54589.64</v>
      </c>
      <c r="FF302" s="368">
        <v>29446.33</v>
      </c>
      <c r="FG302" s="368">
        <v>0</v>
      </c>
      <c r="FH302" s="368">
        <v>-901.69</v>
      </c>
      <c r="FI302" s="368">
        <v>0</v>
      </c>
      <c r="FJ302" s="368">
        <v>0</v>
      </c>
      <c r="FK302" s="368">
        <v>0</v>
      </c>
      <c r="FL302" s="368">
        <v>0</v>
      </c>
      <c r="FM302" s="368">
        <v>94222.38</v>
      </c>
      <c r="FN302" s="368">
        <v>59910.97</v>
      </c>
      <c r="FO302" s="323">
        <v>1031115.7</v>
      </c>
      <c r="FP302" s="323">
        <v>174156.18</v>
      </c>
      <c r="FQ302" s="323">
        <v>1205271.8799999999</v>
      </c>
      <c r="FR302" s="362">
        <v>55538.21</v>
      </c>
      <c r="FS302" s="362">
        <v>13802.8</v>
      </c>
      <c r="FT302" s="377">
        <v>69341.009999999995</v>
      </c>
      <c r="FU302" s="377">
        <v>864538.35</v>
      </c>
      <c r="FV302" s="377">
        <v>149377.04999999999</v>
      </c>
      <c r="FW302" s="362">
        <v>1013915.4</v>
      </c>
      <c r="FX302" s="362">
        <v>831363.3</v>
      </c>
      <c r="FY302" s="362">
        <v>142083.94</v>
      </c>
      <c r="FZ302" s="362">
        <v>973447.24</v>
      </c>
      <c r="GA302" s="362">
        <v>88713.26</v>
      </c>
      <c r="GB302" s="362">
        <v>21095.91</v>
      </c>
      <c r="GC302" s="362">
        <v>109809.17</v>
      </c>
      <c r="GD302" s="362">
        <v>-404.53</v>
      </c>
      <c r="GE302" s="362">
        <v>-11566.84</v>
      </c>
      <c r="GF302" s="362">
        <v>-11971.37</v>
      </c>
      <c r="GG302" s="202"/>
      <c r="GH302" s="416"/>
      <c r="GI302" s="414">
        <v>2515.1</v>
      </c>
      <c r="GJ302" s="419">
        <v>0</v>
      </c>
      <c r="GK302" s="396"/>
      <c r="GL302" s="202">
        <v>0</v>
      </c>
      <c r="GM302" s="202">
        <v>0</v>
      </c>
      <c r="GN302" s="323">
        <v>-166577.35</v>
      </c>
      <c r="GO302" s="323">
        <v>-24779.13</v>
      </c>
      <c r="GP302" s="323">
        <v>-191356.48</v>
      </c>
      <c r="GQ302" s="323">
        <v>-166981.88</v>
      </c>
      <c r="GR302" s="323">
        <v>-36345.97</v>
      </c>
      <c r="GS302" s="323">
        <v>-203327.85</v>
      </c>
    </row>
    <row r="303" spans="1:201" ht="12.75" customHeight="1" x14ac:dyDescent="0.2">
      <c r="A303" s="45" t="s">
        <v>781</v>
      </c>
      <c r="B303" s="163" t="s">
        <v>358</v>
      </c>
      <c r="C303" s="164" t="s">
        <v>39</v>
      </c>
      <c r="D303" s="388" t="s">
        <v>684</v>
      </c>
      <c r="E303" s="164" t="s">
        <v>12</v>
      </c>
      <c r="F303" s="11">
        <v>5</v>
      </c>
      <c r="G303" s="11">
        <v>2</v>
      </c>
      <c r="H303" s="11">
        <v>60</v>
      </c>
      <c r="I303" s="11">
        <v>60</v>
      </c>
      <c r="J303" s="11">
        <v>114</v>
      </c>
      <c r="K303" s="11">
        <v>139</v>
      </c>
      <c r="L303" s="11" t="s">
        <v>746</v>
      </c>
      <c r="M303" s="84">
        <v>193</v>
      </c>
      <c r="N303" s="84">
        <v>858</v>
      </c>
      <c r="O303" s="84">
        <v>0</v>
      </c>
      <c r="P303" s="139">
        <v>277.60000000000002</v>
      </c>
      <c r="Q303" s="135">
        <f>525+15.6+107.9</f>
        <v>648.5</v>
      </c>
      <c r="R303" s="133">
        <v>812.6</v>
      </c>
      <c r="S303" s="133">
        <f t="shared" si="134"/>
        <v>1738.7</v>
      </c>
      <c r="T303" s="139">
        <v>293.2</v>
      </c>
      <c r="U303" s="130">
        <v>1.53</v>
      </c>
      <c r="V303" s="91">
        <v>1.9800000000000002E-2</v>
      </c>
      <c r="W303" s="91">
        <v>1.9800000000000002E-2</v>
      </c>
      <c r="X303" s="132">
        <v>1.32E-3</v>
      </c>
      <c r="Y303" s="91">
        <v>3.95E-2</v>
      </c>
      <c r="Z303" s="29">
        <v>2843.9</v>
      </c>
      <c r="AA303" s="29">
        <v>318.39999999999998</v>
      </c>
      <c r="AB303" s="9">
        <f t="shared" si="113"/>
        <v>3162.3</v>
      </c>
      <c r="AC303" s="9">
        <f t="shared" si="112"/>
        <v>20017.36</v>
      </c>
      <c r="AD303" s="9">
        <v>0.42</v>
      </c>
      <c r="AE303" s="9">
        <v>4.3099999999999996</v>
      </c>
      <c r="AF303" s="21">
        <f>2.65-AJ303</f>
        <v>2.38</v>
      </c>
      <c r="AG303" s="18">
        <f>0.59-AQ303</f>
        <v>0.4</v>
      </c>
      <c r="AH303" s="9">
        <v>3.05</v>
      </c>
      <c r="AI303" s="13">
        <v>862</v>
      </c>
      <c r="AJ303" s="21">
        <f t="shared" si="110"/>
        <v>0.27</v>
      </c>
      <c r="AK303" s="9">
        <v>0</v>
      </c>
      <c r="AL303" s="9">
        <v>0</v>
      </c>
      <c r="AM303" s="9">
        <v>0.27</v>
      </c>
      <c r="AN303" s="13"/>
      <c r="AO303" s="13">
        <v>1260</v>
      </c>
      <c r="AP303" s="13">
        <f t="shared" si="135"/>
        <v>5.58</v>
      </c>
      <c r="AQ303" s="18">
        <f t="shared" si="111"/>
        <v>0.19</v>
      </c>
      <c r="AR303" s="9">
        <v>0.61</v>
      </c>
      <c r="AS303" s="9">
        <v>0.4</v>
      </c>
      <c r="AT303" s="9">
        <v>7.0000000000000007E-2</v>
      </c>
      <c r="AU303" s="9">
        <v>5.1100000000000003</v>
      </c>
      <c r="AV303" s="9">
        <v>0.13</v>
      </c>
      <c r="AW303" s="9">
        <f>1.11+0.45+0.29</f>
        <v>1.85</v>
      </c>
      <c r="AX303" s="9">
        <f>1.52+0.6</f>
        <v>2.12</v>
      </c>
      <c r="AY303" s="166">
        <f t="shared" si="136"/>
        <v>21.58</v>
      </c>
      <c r="AZ303" s="13">
        <v>21.58</v>
      </c>
      <c r="BA303" s="13">
        <f t="shared" si="114"/>
        <v>0</v>
      </c>
      <c r="BB303" s="9">
        <f t="shared" si="115"/>
        <v>68242.429999999993</v>
      </c>
      <c r="BC303" s="9">
        <v>21.58</v>
      </c>
      <c r="BD303" s="10">
        <v>44409</v>
      </c>
      <c r="BE303" s="9">
        <f t="shared" si="116"/>
        <v>1328.17</v>
      </c>
      <c r="BF303" s="9">
        <f t="shared" si="117"/>
        <v>13629.51</v>
      </c>
      <c r="BG303" s="9">
        <f t="shared" si="118"/>
        <v>7526.27</v>
      </c>
      <c r="BH303" s="9">
        <f t="shared" si="119"/>
        <v>1264.92</v>
      </c>
      <c r="BI303" s="9">
        <f t="shared" si="120"/>
        <v>9645.02</v>
      </c>
      <c r="BJ303" s="9">
        <f t="shared" si="121"/>
        <v>853.82</v>
      </c>
      <c r="BK303" s="9">
        <f t="shared" si="122"/>
        <v>0</v>
      </c>
      <c r="BL303" s="9">
        <f t="shared" si="123"/>
        <v>0</v>
      </c>
      <c r="BM303" s="9">
        <f t="shared" si="124"/>
        <v>853.82</v>
      </c>
      <c r="BN303" s="9">
        <f t="shared" si="125"/>
        <v>600.84</v>
      </c>
      <c r="BO303" s="9">
        <f t="shared" si="126"/>
        <v>1929</v>
      </c>
      <c r="BP303" s="9">
        <f t="shared" si="127"/>
        <v>1264.92</v>
      </c>
      <c r="BQ303" s="9">
        <f t="shared" si="128"/>
        <v>221.36</v>
      </c>
      <c r="BR303" s="9">
        <f t="shared" si="129"/>
        <v>16159.35</v>
      </c>
      <c r="BS303" s="9">
        <f t="shared" si="130"/>
        <v>411.1</v>
      </c>
      <c r="BT303" s="9">
        <f t="shared" si="131"/>
        <v>5850.26</v>
      </c>
      <c r="BU303" s="9">
        <f t="shared" si="132"/>
        <v>6704.08</v>
      </c>
      <c r="BV303" s="17">
        <f t="shared" si="133"/>
        <v>68242.44</v>
      </c>
      <c r="BW303" s="17">
        <v>3.38</v>
      </c>
      <c r="BX303" s="17">
        <v>7.0000000000000007E-2</v>
      </c>
      <c r="BY303" s="17">
        <v>0.45</v>
      </c>
      <c r="BZ303" s="17">
        <v>0.08</v>
      </c>
      <c r="CA303" s="29">
        <v>6.33</v>
      </c>
      <c r="CB303" s="325"/>
      <c r="CC303" s="13">
        <v>82452.960000000006</v>
      </c>
      <c r="CD303" s="13">
        <v>1407.34</v>
      </c>
      <c r="CE303" s="13">
        <v>10185.620000000001</v>
      </c>
      <c r="CF303" s="13">
        <v>4499</v>
      </c>
      <c r="CG303" s="13">
        <v>2410.2600000000002</v>
      </c>
      <c r="CH303" s="13">
        <v>0</v>
      </c>
      <c r="CI303" s="13">
        <v>1437.71</v>
      </c>
      <c r="CJ303" s="13">
        <v>22608</v>
      </c>
      <c r="CK303" s="13">
        <v>1216.19</v>
      </c>
      <c r="CL303" s="13">
        <v>736456.44</v>
      </c>
      <c r="CM303" s="13">
        <v>12564.71</v>
      </c>
      <c r="CN303" s="13">
        <v>92824.74</v>
      </c>
      <c r="CO303" s="13">
        <v>38336.1</v>
      </c>
      <c r="CP303" s="13">
        <v>21528.560000000001</v>
      </c>
      <c r="CQ303" s="13">
        <v>0</v>
      </c>
      <c r="CR303" s="13">
        <v>693098.48</v>
      </c>
      <c r="CS303" s="13">
        <v>16416.169999999998</v>
      </c>
      <c r="CT303" s="13">
        <v>66097.509999999995</v>
      </c>
      <c r="CU303" s="13">
        <v>32028.91</v>
      </c>
      <c r="CV303" s="13">
        <v>18559.87</v>
      </c>
      <c r="CW303" s="13">
        <v>0</v>
      </c>
      <c r="CX303" s="13">
        <v>128156.7</v>
      </c>
      <c r="CY303" s="13">
        <v>-4608.08</v>
      </c>
      <c r="CZ303" s="13">
        <v>22613.56</v>
      </c>
      <c r="DA303" s="13">
        <v>11640.9</v>
      </c>
      <c r="DB303" s="13">
        <v>6460.62</v>
      </c>
      <c r="DC303" s="13"/>
      <c r="DD303" s="315">
        <v>901710.55</v>
      </c>
      <c r="DE303" s="317">
        <v>826200.94</v>
      </c>
      <c r="DF303" s="317">
        <v>91.63</v>
      </c>
      <c r="DG303" s="318">
        <v>164263.70000000001</v>
      </c>
      <c r="DH303" s="310">
        <v>29902.080000000002</v>
      </c>
      <c r="DI303" s="310">
        <v>17101.32</v>
      </c>
      <c r="DJ303" s="312">
        <v>0</v>
      </c>
      <c r="DK303" s="362">
        <v>0</v>
      </c>
      <c r="DL303" s="362"/>
      <c r="DM303" s="362">
        <v>0</v>
      </c>
      <c r="DN303" s="362">
        <v>0</v>
      </c>
      <c r="DO303" s="362">
        <v>0</v>
      </c>
      <c r="DP303" s="362">
        <v>13705.8</v>
      </c>
      <c r="DQ303" s="362">
        <v>0</v>
      </c>
      <c r="DR303" s="362"/>
      <c r="DS303" s="362">
        <v>0</v>
      </c>
      <c r="DT303" s="362"/>
      <c r="DU303" s="362">
        <v>0</v>
      </c>
      <c r="DV303" s="362">
        <v>0</v>
      </c>
      <c r="DW303" s="362">
        <v>0</v>
      </c>
      <c r="DX303" s="362">
        <v>0</v>
      </c>
      <c r="DY303" s="362">
        <v>0</v>
      </c>
      <c r="DZ303" s="375">
        <v>0</v>
      </c>
      <c r="EA303" s="362">
        <v>0</v>
      </c>
      <c r="EB303" s="362">
        <v>0</v>
      </c>
      <c r="EC303" s="362"/>
      <c r="ED303" s="362">
        <v>143023.62</v>
      </c>
      <c r="EE303" s="362">
        <v>14065</v>
      </c>
      <c r="EF303" s="362"/>
      <c r="EG303" s="362">
        <v>0</v>
      </c>
      <c r="EH303" s="362">
        <v>0</v>
      </c>
      <c r="EI303" s="362"/>
      <c r="EJ303" s="362">
        <v>0</v>
      </c>
      <c r="EK303" s="362"/>
      <c r="EL303" s="362">
        <v>0</v>
      </c>
      <c r="EM303" s="362">
        <v>7030.8</v>
      </c>
      <c r="EN303" s="362">
        <v>292149</v>
      </c>
      <c r="EO303" s="362">
        <v>0</v>
      </c>
      <c r="EP303" s="362">
        <v>0</v>
      </c>
      <c r="EQ303" s="362">
        <v>0</v>
      </c>
      <c r="ER303" s="362">
        <v>15015</v>
      </c>
      <c r="ES303" s="362">
        <v>11304</v>
      </c>
      <c r="ET303" s="362">
        <v>9752</v>
      </c>
      <c r="EU303" s="362">
        <v>0</v>
      </c>
      <c r="EV303" s="362">
        <v>304233.92</v>
      </c>
      <c r="EW303" s="362"/>
      <c r="EX303" s="202"/>
      <c r="EY303" s="202"/>
      <c r="EZ303" s="229"/>
      <c r="FA303" s="368">
        <v>14014.48</v>
      </c>
      <c r="FB303" s="368">
        <v>125743.3</v>
      </c>
      <c r="FC303" s="368">
        <v>0</v>
      </c>
      <c r="FD303" s="368">
        <v>0</v>
      </c>
      <c r="FE303" s="368">
        <v>44324.71</v>
      </c>
      <c r="FF303" s="368">
        <v>24963.02</v>
      </c>
      <c r="FG303" s="368">
        <v>5817.9</v>
      </c>
      <c r="FH303" s="368">
        <v>2352.4299999999998</v>
      </c>
      <c r="FI303" s="368">
        <v>0</v>
      </c>
      <c r="FJ303" s="368">
        <v>0</v>
      </c>
      <c r="FK303" s="368">
        <v>0</v>
      </c>
      <c r="FL303" s="368">
        <v>0</v>
      </c>
      <c r="FM303" s="368">
        <v>84544.28</v>
      </c>
      <c r="FN303" s="368">
        <v>53757.19</v>
      </c>
      <c r="FO303" s="323">
        <v>995584.01</v>
      </c>
      <c r="FP303" s="323">
        <v>217215.84</v>
      </c>
      <c r="FQ303" s="323">
        <v>1212799.8500000001</v>
      </c>
      <c r="FR303" s="362">
        <v>93026.03</v>
      </c>
      <c r="FS303" s="362">
        <v>8245.2099999999991</v>
      </c>
      <c r="FT303" s="377">
        <v>101271.24</v>
      </c>
      <c r="FU303" s="377">
        <v>842955.11</v>
      </c>
      <c r="FV303" s="377">
        <v>184972.52</v>
      </c>
      <c r="FW303" s="362">
        <v>1027927.63</v>
      </c>
      <c r="FX303" s="362">
        <v>780812.24</v>
      </c>
      <c r="FY303" s="362">
        <v>151181.22</v>
      </c>
      <c r="FZ303" s="362">
        <v>931993.46</v>
      </c>
      <c r="GA303" s="362">
        <v>155168.9</v>
      </c>
      <c r="GB303" s="362">
        <v>42036.51</v>
      </c>
      <c r="GC303" s="362">
        <v>197205.41</v>
      </c>
      <c r="GD303" s="362">
        <v>71583.19</v>
      </c>
      <c r="GE303" s="362">
        <v>14957.13</v>
      </c>
      <c r="GF303" s="362">
        <v>86540.32</v>
      </c>
      <c r="GG303" s="202">
        <v>32941.71</v>
      </c>
      <c r="GH303" s="416">
        <v>82</v>
      </c>
      <c r="GI303" s="414">
        <v>2007.1</v>
      </c>
      <c r="GJ303" s="419">
        <v>100955.18</v>
      </c>
      <c r="GK303" s="396">
        <v>32941.71</v>
      </c>
      <c r="GL303" s="202">
        <v>27012.2022</v>
      </c>
      <c r="GM303" s="202">
        <v>5929.5078000000003</v>
      </c>
      <c r="GN303" s="323">
        <v>-152628.9</v>
      </c>
      <c r="GO303" s="323">
        <v>-32243.32</v>
      </c>
      <c r="GP303" s="323">
        <v>-184872.22</v>
      </c>
      <c r="GQ303" s="323">
        <v>-81045.710000000006</v>
      </c>
      <c r="GR303" s="323">
        <v>-17286.189999999999</v>
      </c>
      <c r="GS303" s="323">
        <v>-98331.9</v>
      </c>
    </row>
    <row r="304" spans="1:201" ht="12.75" customHeight="1" x14ac:dyDescent="0.2">
      <c r="A304" s="45" t="s">
        <v>782</v>
      </c>
      <c r="B304" s="163" t="s">
        <v>358</v>
      </c>
      <c r="C304" s="164" t="s">
        <v>179</v>
      </c>
      <c r="D304" s="388" t="s">
        <v>533</v>
      </c>
      <c r="E304" s="164" t="s">
        <v>12</v>
      </c>
      <c r="F304" s="11">
        <v>5</v>
      </c>
      <c r="G304" s="11">
        <v>2</v>
      </c>
      <c r="H304" s="11">
        <v>108</v>
      </c>
      <c r="I304" s="11">
        <v>0</v>
      </c>
      <c r="J304" s="11">
        <v>120</v>
      </c>
      <c r="K304" s="11">
        <v>175</v>
      </c>
      <c r="L304" s="11" t="s">
        <v>746</v>
      </c>
      <c r="M304" s="84">
        <v>193</v>
      </c>
      <c r="N304" s="84">
        <v>898</v>
      </c>
      <c r="O304" s="84">
        <v>0</v>
      </c>
      <c r="P304" s="135">
        <v>384.2</v>
      </c>
      <c r="Q304" s="135">
        <v>948.7</v>
      </c>
      <c r="R304" s="133">
        <v>0</v>
      </c>
      <c r="S304" s="133">
        <f t="shared" si="134"/>
        <v>1332.9</v>
      </c>
      <c r="T304" s="134">
        <v>384.2</v>
      </c>
      <c r="U304" s="130">
        <v>1.53</v>
      </c>
      <c r="V304" s="131">
        <v>1.9800000000000002E-2</v>
      </c>
      <c r="W304" s="131">
        <v>1.9800000000000002E-2</v>
      </c>
      <c r="X304" s="132">
        <v>1.32E-3</v>
      </c>
      <c r="Y304" s="131">
        <v>3.95E-2</v>
      </c>
      <c r="Z304" s="29">
        <v>3014.6</v>
      </c>
      <c r="AA304" s="29">
        <v>324.89999999999998</v>
      </c>
      <c r="AB304" s="9">
        <f t="shared" si="113"/>
        <v>3339.5</v>
      </c>
      <c r="AC304" s="9">
        <f t="shared" si="112"/>
        <v>21139.040000000001</v>
      </c>
      <c r="AD304" s="9">
        <v>0.57999999999999996</v>
      </c>
      <c r="AE304" s="9">
        <v>3.68</v>
      </c>
      <c r="AF304" s="21">
        <f>2.66-AJ304</f>
        <v>2.4</v>
      </c>
      <c r="AG304" s="18">
        <f>0.57-AQ304</f>
        <v>0.41</v>
      </c>
      <c r="AH304" s="9">
        <v>3.04</v>
      </c>
      <c r="AI304" s="13">
        <v>862</v>
      </c>
      <c r="AJ304" s="21">
        <f t="shared" si="110"/>
        <v>0.26</v>
      </c>
      <c r="AK304" s="9">
        <v>0</v>
      </c>
      <c r="AL304" s="9">
        <v>0</v>
      </c>
      <c r="AM304" s="9">
        <v>0.28000000000000003</v>
      </c>
      <c r="AN304" s="13"/>
      <c r="AO304" s="13">
        <v>1155</v>
      </c>
      <c r="AP304" s="13">
        <f t="shared" si="135"/>
        <v>5.58</v>
      </c>
      <c r="AQ304" s="18">
        <f t="shared" si="111"/>
        <v>0.16</v>
      </c>
      <c r="AR304" s="9">
        <v>1.26</v>
      </c>
      <c r="AS304" s="9">
        <v>0.41</v>
      </c>
      <c r="AT304" s="9">
        <v>7.0000000000000007E-2</v>
      </c>
      <c r="AU304" s="9">
        <v>5.22</v>
      </c>
      <c r="AV304" s="9">
        <v>0.13</v>
      </c>
      <c r="AW304" s="9">
        <f>1.12+0.46+0.5</f>
        <v>2.08</v>
      </c>
      <c r="AX304" s="9">
        <f>1.56+0.62</f>
        <v>2.1800000000000002</v>
      </c>
      <c r="AY304" s="166">
        <f t="shared" si="136"/>
        <v>22.16</v>
      </c>
      <c r="AZ304" s="13">
        <v>22.16</v>
      </c>
      <c r="BA304" s="13">
        <f t="shared" si="114"/>
        <v>0</v>
      </c>
      <c r="BB304" s="9">
        <f t="shared" si="115"/>
        <v>74003.320000000007</v>
      </c>
      <c r="BC304" s="9">
        <v>22.16</v>
      </c>
      <c r="BD304" s="10">
        <v>44378</v>
      </c>
      <c r="BE304" s="9">
        <f t="shared" si="116"/>
        <v>1936.91</v>
      </c>
      <c r="BF304" s="9">
        <f t="shared" si="117"/>
        <v>12289.36</v>
      </c>
      <c r="BG304" s="9">
        <f t="shared" si="118"/>
        <v>8014.8</v>
      </c>
      <c r="BH304" s="9">
        <f t="shared" si="119"/>
        <v>1369.2</v>
      </c>
      <c r="BI304" s="9">
        <f t="shared" si="120"/>
        <v>10152.08</v>
      </c>
      <c r="BJ304" s="9">
        <f t="shared" si="121"/>
        <v>868.27</v>
      </c>
      <c r="BK304" s="9">
        <f t="shared" si="122"/>
        <v>0</v>
      </c>
      <c r="BL304" s="9">
        <f t="shared" si="123"/>
        <v>0</v>
      </c>
      <c r="BM304" s="9">
        <f t="shared" si="124"/>
        <v>935.06</v>
      </c>
      <c r="BN304" s="9">
        <f t="shared" si="125"/>
        <v>534.32000000000005</v>
      </c>
      <c r="BO304" s="9">
        <f t="shared" si="126"/>
        <v>4207.7700000000004</v>
      </c>
      <c r="BP304" s="9">
        <f t="shared" si="127"/>
        <v>1369.2</v>
      </c>
      <c r="BQ304" s="9">
        <f t="shared" si="128"/>
        <v>233.77</v>
      </c>
      <c r="BR304" s="9">
        <f t="shared" si="129"/>
        <v>17432.189999999999</v>
      </c>
      <c r="BS304" s="9">
        <f t="shared" si="130"/>
        <v>434.14</v>
      </c>
      <c r="BT304" s="9">
        <f t="shared" si="131"/>
        <v>6946.16</v>
      </c>
      <c r="BU304" s="9">
        <f t="shared" si="132"/>
        <v>7280.11</v>
      </c>
      <c r="BV304" s="17">
        <f t="shared" si="133"/>
        <v>74003.34</v>
      </c>
      <c r="BW304" s="17">
        <v>2.4500000000000002</v>
      </c>
      <c r="BX304" s="17">
        <v>0.06</v>
      </c>
      <c r="BY304" s="17">
        <v>0.41</v>
      </c>
      <c r="BZ304" s="17">
        <v>7.0000000000000007E-2</v>
      </c>
      <c r="CA304" s="29">
        <v>6.33</v>
      </c>
      <c r="CB304" s="325"/>
      <c r="CC304" s="13">
        <v>86397.48</v>
      </c>
      <c r="CD304" s="13">
        <v>2719.44</v>
      </c>
      <c r="CE304" s="13">
        <v>32.49</v>
      </c>
      <c r="CF304" s="13">
        <v>120.22</v>
      </c>
      <c r="CG304" s="13">
        <v>204.76</v>
      </c>
      <c r="CH304" s="13">
        <v>0</v>
      </c>
      <c r="CI304" s="13">
        <v>4158.95</v>
      </c>
      <c r="CJ304" s="13">
        <v>10416</v>
      </c>
      <c r="CK304" s="13">
        <v>1284.3399999999999</v>
      </c>
      <c r="CL304" s="13">
        <v>801642.36</v>
      </c>
      <c r="CM304" s="13">
        <v>25230.16</v>
      </c>
      <c r="CN304" s="13">
        <v>-0.49</v>
      </c>
      <c r="CO304" s="13">
        <v>1416.45</v>
      </c>
      <c r="CP304" s="13">
        <v>1899.28</v>
      </c>
      <c r="CQ304" s="13">
        <v>0</v>
      </c>
      <c r="CR304" s="13">
        <v>685911.27</v>
      </c>
      <c r="CS304" s="13">
        <v>21441.88</v>
      </c>
      <c r="CT304" s="13">
        <v>892.14</v>
      </c>
      <c r="CU304" s="13">
        <v>1485.58</v>
      </c>
      <c r="CV304" s="13">
        <v>1543.91</v>
      </c>
      <c r="CW304" s="13">
        <v>0</v>
      </c>
      <c r="CX304" s="13">
        <v>222725.84</v>
      </c>
      <c r="CY304" s="13">
        <v>3137.35</v>
      </c>
      <c r="CZ304" s="13">
        <v>-1557.18</v>
      </c>
      <c r="DA304" s="13">
        <v>754.12</v>
      </c>
      <c r="DB304" s="13">
        <v>598.54999999999995</v>
      </c>
      <c r="DC304" s="13"/>
      <c r="DD304" s="315">
        <v>830187.76</v>
      </c>
      <c r="DE304" s="317">
        <v>711274.78</v>
      </c>
      <c r="DF304" s="317">
        <v>85.68</v>
      </c>
      <c r="DG304" s="318">
        <v>225658.68</v>
      </c>
      <c r="DH304" s="310">
        <v>31675.68</v>
      </c>
      <c r="DI304" s="310">
        <v>18115.68</v>
      </c>
      <c r="DJ304" s="312">
        <v>0</v>
      </c>
      <c r="DK304" s="362">
        <v>0</v>
      </c>
      <c r="DL304" s="362"/>
      <c r="DM304" s="362">
        <v>0</v>
      </c>
      <c r="DN304" s="362">
        <v>0</v>
      </c>
      <c r="DO304" s="362">
        <v>0</v>
      </c>
      <c r="DP304" s="362">
        <v>13705.8</v>
      </c>
      <c r="DQ304" s="362">
        <v>71540</v>
      </c>
      <c r="DR304" s="362"/>
      <c r="DS304" s="362">
        <v>41160</v>
      </c>
      <c r="DT304" s="362"/>
      <c r="DU304" s="362">
        <v>0</v>
      </c>
      <c r="DV304" s="362">
        <v>0</v>
      </c>
      <c r="DW304" s="362">
        <v>0</v>
      </c>
      <c r="DX304" s="362">
        <v>0</v>
      </c>
      <c r="DY304" s="362">
        <v>0</v>
      </c>
      <c r="DZ304" s="375">
        <v>0</v>
      </c>
      <c r="EA304" s="362">
        <v>0</v>
      </c>
      <c r="EB304" s="362">
        <v>0</v>
      </c>
      <c r="EC304" s="362"/>
      <c r="ED304" s="362">
        <v>178231.56</v>
      </c>
      <c r="EE304" s="362">
        <v>14065</v>
      </c>
      <c r="EF304" s="362"/>
      <c r="EG304" s="362">
        <v>0</v>
      </c>
      <c r="EH304" s="362">
        <v>0</v>
      </c>
      <c r="EI304" s="362"/>
      <c r="EJ304" s="362">
        <v>0</v>
      </c>
      <c r="EK304" s="362"/>
      <c r="EL304" s="362">
        <v>0</v>
      </c>
      <c r="EM304" s="362">
        <v>6444.9</v>
      </c>
      <c r="EN304" s="362">
        <v>282070.2</v>
      </c>
      <c r="EO304" s="362">
        <v>0</v>
      </c>
      <c r="EP304" s="362">
        <v>0</v>
      </c>
      <c r="EQ304" s="362">
        <v>0</v>
      </c>
      <c r="ER304" s="362">
        <v>15015</v>
      </c>
      <c r="ES304" s="362">
        <v>3768</v>
      </c>
      <c r="ET304" s="362">
        <v>19716</v>
      </c>
      <c r="EU304" s="362">
        <v>0</v>
      </c>
      <c r="EV304" s="362">
        <v>110938.65</v>
      </c>
      <c r="EW304" s="362"/>
      <c r="EX304" s="202"/>
      <c r="EY304" s="202"/>
      <c r="EZ304" s="229"/>
      <c r="FA304" s="368">
        <v>29402.37</v>
      </c>
      <c r="FB304" s="368">
        <v>0</v>
      </c>
      <c r="FC304" s="368">
        <v>0</v>
      </c>
      <c r="FD304" s="368">
        <v>0</v>
      </c>
      <c r="FE304" s="368">
        <v>2526</v>
      </c>
      <c r="FF304" s="368">
        <v>2446.8000000000002</v>
      </c>
      <c r="FG304" s="368">
        <v>334.07</v>
      </c>
      <c r="FH304" s="368">
        <v>-796.85</v>
      </c>
      <c r="FI304" s="368">
        <v>0</v>
      </c>
      <c r="FJ304" s="368">
        <v>0</v>
      </c>
      <c r="FK304" s="368">
        <v>14970.72</v>
      </c>
      <c r="FL304" s="368">
        <v>0</v>
      </c>
      <c r="FM304" s="368">
        <v>89281.73</v>
      </c>
      <c r="FN304" s="368">
        <v>56769.5</v>
      </c>
      <c r="FO304" s="323">
        <v>952497.7</v>
      </c>
      <c r="FP304" s="323">
        <v>48883.11</v>
      </c>
      <c r="FQ304" s="323">
        <v>1001380.81</v>
      </c>
      <c r="FR304" s="362">
        <v>122318.97</v>
      </c>
      <c r="FS304" s="362">
        <v>885.61</v>
      </c>
      <c r="FT304" s="377">
        <v>123204.58</v>
      </c>
      <c r="FU304" s="377">
        <v>902614.79</v>
      </c>
      <c r="FV304" s="377">
        <v>32906.65</v>
      </c>
      <c r="FW304" s="362">
        <v>935521.44</v>
      </c>
      <c r="FX304" s="362">
        <v>705074.27</v>
      </c>
      <c r="FY304" s="362">
        <v>27855.29</v>
      </c>
      <c r="FZ304" s="362">
        <v>732929.56</v>
      </c>
      <c r="GA304" s="362">
        <v>319859.49</v>
      </c>
      <c r="GB304" s="362">
        <v>5936.97</v>
      </c>
      <c r="GC304" s="362">
        <v>325796.46000000002</v>
      </c>
      <c r="GD304" s="362">
        <v>25248.62</v>
      </c>
      <c r="GE304" s="362">
        <v>7475.06</v>
      </c>
      <c r="GF304" s="362">
        <v>32723.68</v>
      </c>
      <c r="GG304" s="202">
        <v>100137.78</v>
      </c>
      <c r="GH304" s="416">
        <v>97</v>
      </c>
      <c r="GI304" s="414">
        <v>1016</v>
      </c>
      <c r="GJ304" s="419">
        <v>89474.39</v>
      </c>
      <c r="GK304" s="396">
        <v>100137.78</v>
      </c>
      <c r="GL304" s="202">
        <v>97133.646599999993</v>
      </c>
      <c r="GM304" s="202">
        <v>3004.1334000000102</v>
      </c>
      <c r="GN304" s="323">
        <v>-49882.91</v>
      </c>
      <c r="GO304" s="323">
        <v>-15976.46</v>
      </c>
      <c r="GP304" s="323">
        <v>-65859.37</v>
      </c>
      <c r="GQ304" s="323">
        <v>-24634.29</v>
      </c>
      <c r="GR304" s="323">
        <v>-8501.4</v>
      </c>
      <c r="GS304" s="323">
        <v>-33135.69</v>
      </c>
    </row>
    <row r="305" spans="1:201" ht="12.75" customHeight="1" x14ac:dyDescent="0.2">
      <c r="A305" s="45" t="s">
        <v>783</v>
      </c>
      <c r="B305" s="163" t="s">
        <v>358</v>
      </c>
      <c r="C305" s="164" t="s">
        <v>179</v>
      </c>
      <c r="D305" s="388" t="s">
        <v>606</v>
      </c>
      <c r="E305" s="164" t="s">
        <v>9</v>
      </c>
      <c r="F305" s="11">
        <v>5</v>
      </c>
      <c r="G305" s="11">
        <v>6</v>
      </c>
      <c r="H305" s="11">
        <v>90</v>
      </c>
      <c r="I305" s="11">
        <v>90</v>
      </c>
      <c r="J305" s="11">
        <v>198</v>
      </c>
      <c r="K305" s="11">
        <v>233</v>
      </c>
      <c r="L305" s="11" t="s">
        <v>746</v>
      </c>
      <c r="M305" s="84">
        <v>407.7</v>
      </c>
      <c r="N305" s="84">
        <v>1004</v>
      </c>
      <c r="O305" s="84">
        <v>0</v>
      </c>
      <c r="P305" s="139"/>
      <c r="Q305" s="135">
        <v>1018.7</v>
      </c>
      <c r="R305" s="139"/>
      <c r="S305" s="133">
        <f t="shared" si="134"/>
        <v>1018.7</v>
      </c>
      <c r="T305" s="139">
        <v>404</v>
      </c>
      <c r="U305" s="130">
        <v>1.53</v>
      </c>
      <c r="V305" s="91">
        <v>1.1299999999999999E-2</v>
      </c>
      <c r="W305" s="91" t="s">
        <v>823</v>
      </c>
      <c r="X305" s="132" t="s">
        <v>823</v>
      </c>
      <c r="Y305" s="91">
        <v>1.1299999999999999E-2</v>
      </c>
      <c r="Z305" s="29">
        <v>3986.1</v>
      </c>
      <c r="AA305" s="29"/>
      <c r="AB305" s="9">
        <f t="shared" si="113"/>
        <v>3986.1</v>
      </c>
      <c r="AC305" s="9">
        <f t="shared" si="112"/>
        <v>25232.01</v>
      </c>
      <c r="AD305" s="9">
        <v>0.56000000000000005</v>
      </c>
      <c r="AE305" s="9">
        <v>4.3600000000000003</v>
      </c>
      <c r="AF305" s="21">
        <f>2.69-AJ305</f>
        <v>2.44</v>
      </c>
      <c r="AG305" s="18">
        <f>0.62-AQ305</f>
        <v>0.43</v>
      </c>
      <c r="AH305" s="9">
        <v>2.37</v>
      </c>
      <c r="AI305" s="13">
        <v>978</v>
      </c>
      <c r="AJ305" s="21">
        <f t="shared" ref="AJ305:AJ317" si="137">SUM(AI305/AB305)</f>
        <v>0.25</v>
      </c>
      <c r="AK305" s="9">
        <v>0</v>
      </c>
      <c r="AL305" s="9">
        <v>0</v>
      </c>
      <c r="AM305" s="9">
        <v>0.15</v>
      </c>
      <c r="AN305" s="13">
        <v>534.4</v>
      </c>
      <c r="AO305" s="13">
        <v>1068.8</v>
      </c>
      <c r="AP305" s="13">
        <f t="shared" si="135"/>
        <v>5.58</v>
      </c>
      <c r="AQ305" s="18">
        <f t="shared" ref="AQ305:AQ317" si="138">SUM(AN305:AO305)*AP305/AB305/12</f>
        <v>0.19</v>
      </c>
      <c r="AR305" s="9">
        <v>0.83</v>
      </c>
      <c r="AS305" s="9">
        <v>0.34</v>
      </c>
      <c r="AT305" s="9">
        <v>7.0000000000000007E-2</v>
      </c>
      <c r="AU305" s="9">
        <v>3.97</v>
      </c>
      <c r="AV305" s="9">
        <v>0.12</v>
      </c>
      <c r="AW305" s="9">
        <f>1.07+0.35+0.31</f>
        <v>1.73</v>
      </c>
      <c r="AX305" s="9">
        <f>1.47+0.47</f>
        <v>1.94</v>
      </c>
      <c r="AY305" s="166">
        <f t="shared" si="136"/>
        <v>19.75</v>
      </c>
      <c r="AZ305" s="13">
        <v>19.75</v>
      </c>
      <c r="BA305" s="13">
        <f t="shared" si="114"/>
        <v>0</v>
      </c>
      <c r="BB305" s="9">
        <f t="shared" si="115"/>
        <v>78725.48</v>
      </c>
      <c r="BC305" s="9">
        <v>19.75</v>
      </c>
      <c r="BD305" s="10">
        <v>44409</v>
      </c>
      <c r="BE305" s="9">
        <f t="shared" si="116"/>
        <v>2232.2199999999998</v>
      </c>
      <c r="BF305" s="9">
        <f t="shared" si="117"/>
        <v>17379.400000000001</v>
      </c>
      <c r="BG305" s="9">
        <f t="shared" si="118"/>
        <v>9726.08</v>
      </c>
      <c r="BH305" s="9">
        <f t="shared" si="119"/>
        <v>1714.02</v>
      </c>
      <c r="BI305" s="9">
        <f t="shared" si="120"/>
        <v>9447.06</v>
      </c>
      <c r="BJ305" s="9">
        <f t="shared" si="121"/>
        <v>996.53</v>
      </c>
      <c r="BK305" s="9">
        <f t="shared" si="122"/>
        <v>0</v>
      </c>
      <c r="BL305" s="9">
        <f t="shared" si="123"/>
        <v>0</v>
      </c>
      <c r="BM305" s="9">
        <f t="shared" si="124"/>
        <v>597.91999999999996</v>
      </c>
      <c r="BN305" s="9">
        <f t="shared" si="125"/>
        <v>757.36</v>
      </c>
      <c r="BO305" s="9">
        <f t="shared" si="126"/>
        <v>3308.46</v>
      </c>
      <c r="BP305" s="9">
        <f t="shared" si="127"/>
        <v>1355.27</v>
      </c>
      <c r="BQ305" s="9">
        <f t="shared" si="128"/>
        <v>279.02999999999997</v>
      </c>
      <c r="BR305" s="9">
        <f t="shared" si="129"/>
        <v>15824.82</v>
      </c>
      <c r="BS305" s="9">
        <f t="shared" si="130"/>
        <v>478.33</v>
      </c>
      <c r="BT305" s="9">
        <f t="shared" si="131"/>
        <v>6895.95</v>
      </c>
      <c r="BU305" s="9">
        <f t="shared" si="132"/>
        <v>7733.03</v>
      </c>
      <c r="BV305" s="17">
        <f t="shared" si="133"/>
        <v>78725.48</v>
      </c>
      <c r="BW305" s="17">
        <v>2.2000000000000002</v>
      </c>
      <c r="BX305" s="17">
        <v>0.03</v>
      </c>
      <c r="BY305" s="173">
        <v>0</v>
      </c>
      <c r="BZ305" s="17">
        <v>0.02</v>
      </c>
      <c r="CA305" s="29">
        <v>6.33</v>
      </c>
      <c r="CB305" s="325"/>
      <c r="CC305" s="13">
        <v>0</v>
      </c>
      <c r="CD305" s="13">
        <v>0</v>
      </c>
      <c r="CE305" s="13">
        <v>0</v>
      </c>
      <c r="CF305" s="13">
        <v>0</v>
      </c>
      <c r="CG305" s="13">
        <v>0</v>
      </c>
      <c r="CH305" s="13">
        <v>0</v>
      </c>
      <c r="CI305" s="13">
        <v>1685.75</v>
      </c>
      <c r="CJ305" s="13">
        <v>22608</v>
      </c>
      <c r="CK305" s="13">
        <v>1532.99</v>
      </c>
      <c r="CL305" s="13">
        <v>944711.53</v>
      </c>
      <c r="CM305" s="13">
        <v>29298.16</v>
      </c>
      <c r="CN305" s="13">
        <v>0</v>
      </c>
      <c r="CO305" s="13">
        <v>34758.080000000002</v>
      </c>
      <c r="CP305" s="13">
        <v>19093.36</v>
      </c>
      <c r="CQ305" s="13">
        <v>0</v>
      </c>
      <c r="CR305" s="13">
        <v>843692.7</v>
      </c>
      <c r="CS305" s="13">
        <v>27304.11</v>
      </c>
      <c r="CT305" s="13">
        <v>0</v>
      </c>
      <c r="CU305" s="13">
        <v>40206.730000000003</v>
      </c>
      <c r="CV305" s="13">
        <v>21110.43</v>
      </c>
      <c r="CW305" s="13">
        <v>0</v>
      </c>
      <c r="CX305" s="13">
        <v>191315.21</v>
      </c>
      <c r="CY305" s="13">
        <v>2693.17</v>
      </c>
      <c r="CZ305" s="13">
        <v>0</v>
      </c>
      <c r="DA305" s="13">
        <v>7768.47</v>
      </c>
      <c r="DB305" s="13">
        <v>4090.55</v>
      </c>
      <c r="DC305" s="13"/>
      <c r="DD305" s="315">
        <v>1027861.13</v>
      </c>
      <c r="DE305" s="317">
        <v>932313.97</v>
      </c>
      <c r="DF305" s="317">
        <v>90.7</v>
      </c>
      <c r="DG305" s="318">
        <v>205867.4</v>
      </c>
      <c r="DH305" s="310">
        <v>41882.639999999999</v>
      </c>
      <c r="DI305" s="310">
        <v>23953.08</v>
      </c>
      <c r="DJ305" s="312">
        <v>0</v>
      </c>
      <c r="DK305" s="362">
        <v>0</v>
      </c>
      <c r="DL305" s="362"/>
      <c r="DM305" s="362">
        <v>0</v>
      </c>
      <c r="DN305" s="362">
        <v>0</v>
      </c>
      <c r="DO305" s="362">
        <v>0</v>
      </c>
      <c r="DP305" s="362">
        <v>15550.2</v>
      </c>
      <c r="DQ305" s="362">
        <v>91245</v>
      </c>
      <c r="DR305" s="362"/>
      <c r="DS305" s="362">
        <v>57900</v>
      </c>
      <c r="DT305" s="362"/>
      <c r="DU305" s="362">
        <v>0</v>
      </c>
      <c r="DV305" s="362">
        <v>0</v>
      </c>
      <c r="DW305" s="362">
        <v>0</v>
      </c>
      <c r="DX305" s="362">
        <v>0</v>
      </c>
      <c r="DY305" s="362">
        <v>0</v>
      </c>
      <c r="DZ305" s="375">
        <v>0</v>
      </c>
      <c r="EA305" s="362">
        <v>0</v>
      </c>
      <c r="EB305" s="362">
        <v>0</v>
      </c>
      <c r="EC305" s="362"/>
      <c r="ED305" s="362">
        <v>219881.52</v>
      </c>
      <c r="EE305" s="362">
        <v>15805.8</v>
      </c>
      <c r="EF305" s="362"/>
      <c r="EG305" s="362">
        <v>0</v>
      </c>
      <c r="EH305" s="362">
        <v>0</v>
      </c>
      <c r="EI305" s="362"/>
      <c r="EJ305" s="362">
        <v>0</v>
      </c>
      <c r="EK305" s="362"/>
      <c r="EL305" s="362">
        <v>0</v>
      </c>
      <c r="EM305" s="362">
        <v>8945.85</v>
      </c>
      <c r="EN305" s="362">
        <v>303726</v>
      </c>
      <c r="EO305" s="362">
        <v>0</v>
      </c>
      <c r="EP305" s="362">
        <v>0</v>
      </c>
      <c r="EQ305" s="362">
        <v>0</v>
      </c>
      <c r="ER305" s="362">
        <v>15015</v>
      </c>
      <c r="ES305" s="362">
        <v>11304</v>
      </c>
      <c r="ET305" s="362">
        <v>16248</v>
      </c>
      <c r="EU305" s="362">
        <v>0</v>
      </c>
      <c r="EV305" s="362">
        <v>4741.6899999999996</v>
      </c>
      <c r="EW305" s="362"/>
      <c r="EX305" s="202"/>
      <c r="EY305" s="202"/>
      <c r="EZ305" s="229"/>
      <c r="FA305" s="368">
        <v>29604.639999999999</v>
      </c>
      <c r="FB305" s="368">
        <v>0</v>
      </c>
      <c r="FC305" s="368">
        <v>0</v>
      </c>
      <c r="FD305" s="368">
        <v>0</v>
      </c>
      <c r="FE305" s="368">
        <v>27682.75</v>
      </c>
      <c r="FF305" s="368">
        <v>14691.04</v>
      </c>
      <c r="FG305" s="368">
        <v>-1540.37</v>
      </c>
      <c r="FH305" s="368">
        <v>-1826.25</v>
      </c>
      <c r="FI305" s="368">
        <v>0</v>
      </c>
      <c r="FJ305" s="368">
        <v>0</v>
      </c>
      <c r="FK305" s="368">
        <v>0</v>
      </c>
      <c r="FL305" s="368">
        <v>0</v>
      </c>
      <c r="FM305" s="368">
        <v>106567.51</v>
      </c>
      <c r="FN305" s="368">
        <v>67761.600000000006</v>
      </c>
      <c r="FO305" s="323">
        <v>1000527.89</v>
      </c>
      <c r="FP305" s="323">
        <v>68611.81</v>
      </c>
      <c r="FQ305" s="323">
        <v>1069139.7</v>
      </c>
      <c r="FR305" s="362">
        <v>92152.54</v>
      </c>
      <c r="FS305" s="362">
        <v>18221.349999999999</v>
      </c>
      <c r="FT305" s="377">
        <v>110373.89</v>
      </c>
      <c r="FU305" s="377">
        <v>969005.28</v>
      </c>
      <c r="FV305" s="377">
        <v>84682.59</v>
      </c>
      <c r="FW305" s="362">
        <v>1053687.8700000001</v>
      </c>
      <c r="FX305" s="362">
        <v>869842.61</v>
      </c>
      <c r="FY305" s="362">
        <v>88351.75</v>
      </c>
      <c r="FZ305" s="362">
        <v>958194.36</v>
      </c>
      <c r="GA305" s="362">
        <v>191315.21</v>
      </c>
      <c r="GB305" s="362">
        <v>14552.19</v>
      </c>
      <c r="GC305" s="362">
        <v>205867.4</v>
      </c>
      <c r="GD305" s="362">
        <v>-583086.21</v>
      </c>
      <c r="GE305" s="362">
        <v>-14013.6</v>
      </c>
      <c r="GF305" s="362">
        <v>-597099.81000000006</v>
      </c>
      <c r="GG305" s="202"/>
      <c r="GH305" s="416"/>
      <c r="GI305" s="414">
        <v>2032</v>
      </c>
      <c r="GJ305" s="419">
        <v>0</v>
      </c>
      <c r="GK305" s="396"/>
      <c r="GL305" s="202">
        <v>0</v>
      </c>
      <c r="GM305" s="202">
        <v>0</v>
      </c>
      <c r="GN305" s="323">
        <v>-31522.61</v>
      </c>
      <c r="GO305" s="323">
        <v>16070.78</v>
      </c>
      <c r="GP305" s="323">
        <v>-15451.83</v>
      </c>
      <c r="GQ305" s="323">
        <v>-614608.81999999995</v>
      </c>
      <c r="GR305" s="323">
        <v>2057.1799999999998</v>
      </c>
      <c r="GS305" s="323">
        <v>-612551.64</v>
      </c>
    </row>
    <row r="306" spans="1:201" ht="12.75" customHeight="1" x14ac:dyDescent="0.2">
      <c r="A306" s="45" t="s">
        <v>784</v>
      </c>
      <c r="B306" s="156" t="s">
        <v>363</v>
      </c>
      <c r="C306" s="157" t="s">
        <v>44</v>
      </c>
      <c r="D306" s="388" t="s">
        <v>690</v>
      </c>
      <c r="E306" s="157" t="s">
        <v>12</v>
      </c>
      <c r="F306" s="11">
        <v>9</v>
      </c>
      <c r="G306" s="11">
        <v>2</v>
      </c>
      <c r="H306" s="11">
        <v>72</v>
      </c>
      <c r="I306" s="11">
        <v>72</v>
      </c>
      <c r="J306" s="11">
        <v>148</v>
      </c>
      <c r="K306" s="11">
        <v>175</v>
      </c>
      <c r="L306" s="11">
        <v>2</v>
      </c>
      <c r="M306" s="84">
        <v>501</v>
      </c>
      <c r="N306" s="84">
        <v>571</v>
      </c>
      <c r="O306" s="84">
        <v>0</v>
      </c>
      <c r="P306" s="135">
        <v>500.8</v>
      </c>
      <c r="Q306" s="135">
        <v>496.6</v>
      </c>
      <c r="R306" s="133">
        <v>0</v>
      </c>
      <c r="S306" s="133">
        <f t="shared" si="134"/>
        <v>997.4</v>
      </c>
      <c r="T306" s="134">
        <v>501</v>
      </c>
      <c r="U306" s="130">
        <v>2.44</v>
      </c>
      <c r="V306" s="131">
        <v>1.9800000000000002E-2</v>
      </c>
      <c r="W306" s="131">
        <v>1.9800000000000002E-2</v>
      </c>
      <c r="X306" s="132">
        <v>1.32E-3</v>
      </c>
      <c r="Y306" s="131">
        <v>3.9699999999999999E-2</v>
      </c>
      <c r="Z306" s="29">
        <v>3948.79</v>
      </c>
      <c r="AA306" s="29">
        <v>15.4</v>
      </c>
      <c r="AB306" s="9">
        <f t="shared" si="113"/>
        <v>3964.19</v>
      </c>
      <c r="AC306" s="9">
        <f t="shared" si="112"/>
        <v>25093.32</v>
      </c>
      <c r="AD306" s="9">
        <v>2.35</v>
      </c>
      <c r="AE306" s="9">
        <v>4.74</v>
      </c>
      <c r="AF306" s="21">
        <f>2.47-AJ306</f>
        <v>2.33</v>
      </c>
      <c r="AG306" s="18">
        <f>0.61-AQ306</f>
        <v>0.56000000000000005</v>
      </c>
      <c r="AH306" s="9">
        <v>2.4700000000000002</v>
      </c>
      <c r="AI306" s="13">
        <v>548</v>
      </c>
      <c r="AJ306" s="21">
        <f t="shared" si="137"/>
        <v>0.14000000000000001</v>
      </c>
      <c r="AK306" s="9">
        <v>2.1800000000000002</v>
      </c>
      <c r="AL306" s="9">
        <v>0.19</v>
      </c>
      <c r="AM306" s="9">
        <v>0.15</v>
      </c>
      <c r="AN306" s="13"/>
      <c r="AO306" s="13">
        <v>422.4</v>
      </c>
      <c r="AP306" s="13">
        <f t="shared" si="135"/>
        <v>5.58</v>
      </c>
      <c r="AQ306" s="18">
        <f t="shared" si="138"/>
        <v>0.05</v>
      </c>
      <c r="AR306" s="9">
        <v>0.56000000000000005</v>
      </c>
      <c r="AS306" s="9">
        <v>0.35</v>
      </c>
      <c r="AT306" s="9">
        <v>7.0000000000000007E-2</v>
      </c>
      <c r="AU306" s="9">
        <v>3.86</v>
      </c>
      <c r="AV306" s="9">
        <v>0.17</v>
      </c>
      <c r="AW306" s="9">
        <f>1.45+0.34+0.26</f>
        <v>2.0499999999999998</v>
      </c>
      <c r="AX306" s="9">
        <f>2.04+0.46</f>
        <v>2.5</v>
      </c>
      <c r="AY306" s="159">
        <f t="shared" si="136"/>
        <v>24.72</v>
      </c>
      <c r="AZ306" s="13">
        <v>24.72</v>
      </c>
      <c r="BA306" s="13">
        <f t="shared" si="114"/>
        <v>0</v>
      </c>
      <c r="BB306" s="9">
        <f t="shared" si="115"/>
        <v>97994.78</v>
      </c>
      <c r="BC306" s="9">
        <v>24.72</v>
      </c>
      <c r="BD306" s="10">
        <v>44409</v>
      </c>
      <c r="BE306" s="9">
        <f t="shared" si="116"/>
        <v>9315.85</v>
      </c>
      <c r="BF306" s="9">
        <f t="shared" si="117"/>
        <v>18790.259999999998</v>
      </c>
      <c r="BG306" s="9">
        <f t="shared" si="118"/>
        <v>9236.56</v>
      </c>
      <c r="BH306" s="9">
        <f t="shared" si="119"/>
        <v>2219.9499999999998</v>
      </c>
      <c r="BI306" s="9">
        <f t="shared" si="120"/>
        <v>9791.5499999999993</v>
      </c>
      <c r="BJ306" s="9">
        <f t="shared" si="121"/>
        <v>554.99</v>
      </c>
      <c r="BK306" s="9">
        <f t="shared" si="122"/>
        <v>8641.93</v>
      </c>
      <c r="BL306" s="9">
        <f t="shared" si="123"/>
        <v>753.2</v>
      </c>
      <c r="BM306" s="9">
        <f t="shared" si="124"/>
        <v>594.63</v>
      </c>
      <c r="BN306" s="9">
        <f t="shared" si="125"/>
        <v>198.21</v>
      </c>
      <c r="BO306" s="9">
        <f t="shared" si="126"/>
        <v>2219.9499999999998</v>
      </c>
      <c r="BP306" s="9">
        <f t="shared" si="127"/>
        <v>1387.47</v>
      </c>
      <c r="BQ306" s="9">
        <f t="shared" si="128"/>
        <v>277.49</v>
      </c>
      <c r="BR306" s="9">
        <f t="shared" si="129"/>
        <v>15301.77</v>
      </c>
      <c r="BS306" s="9">
        <f t="shared" si="130"/>
        <v>673.91</v>
      </c>
      <c r="BT306" s="9">
        <f t="shared" si="131"/>
        <v>8126.59</v>
      </c>
      <c r="BU306" s="9">
        <f t="shared" si="132"/>
        <v>9910.48</v>
      </c>
      <c r="BV306" s="17">
        <f t="shared" si="133"/>
        <v>97994.79</v>
      </c>
      <c r="BW306" s="17">
        <v>2.4700000000000002</v>
      </c>
      <c r="BX306" s="17">
        <v>7.0000000000000007E-2</v>
      </c>
      <c r="BY306" s="17">
        <v>0.42</v>
      </c>
      <c r="BZ306" s="27">
        <v>0.08</v>
      </c>
      <c r="CA306" s="29">
        <v>6.33</v>
      </c>
      <c r="CB306" s="325"/>
      <c r="CC306" s="13">
        <v>4568.28</v>
      </c>
      <c r="CD306" s="13">
        <v>660.94</v>
      </c>
      <c r="CE306" s="13">
        <v>563.95000000000005</v>
      </c>
      <c r="CF306" s="13">
        <v>93.34</v>
      </c>
      <c r="CG306" s="13">
        <v>16.02</v>
      </c>
      <c r="CH306" s="13">
        <v>0</v>
      </c>
      <c r="CI306" s="13">
        <v>2553.7199999999998</v>
      </c>
      <c r="CJ306" s="13">
        <v>35392</v>
      </c>
      <c r="CK306" s="13">
        <v>1524.59</v>
      </c>
      <c r="CL306" s="13">
        <v>1171368.24</v>
      </c>
      <c r="CM306" s="13">
        <v>169482.3</v>
      </c>
      <c r="CN306" s="13">
        <v>164111.92000000001</v>
      </c>
      <c r="CO306" s="13">
        <v>4422.38</v>
      </c>
      <c r="CP306" s="13">
        <v>4107.13</v>
      </c>
      <c r="CQ306" s="13">
        <v>0</v>
      </c>
      <c r="CR306" s="13">
        <v>1126388.54</v>
      </c>
      <c r="CS306" s="13">
        <v>157670.41</v>
      </c>
      <c r="CT306" s="13">
        <v>154658.96</v>
      </c>
      <c r="CU306" s="13">
        <v>4234.59</v>
      </c>
      <c r="CV306" s="13">
        <v>3985.8</v>
      </c>
      <c r="CW306" s="13">
        <v>0</v>
      </c>
      <c r="CX306" s="13">
        <v>155842.87</v>
      </c>
      <c r="CY306" s="13">
        <v>26220.65</v>
      </c>
      <c r="CZ306" s="13">
        <v>26906.36</v>
      </c>
      <c r="DA306" s="13">
        <v>531.41</v>
      </c>
      <c r="DB306" s="13">
        <v>532.05999999999995</v>
      </c>
      <c r="DC306" s="13"/>
      <c r="DD306" s="315">
        <v>1513491.97</v>
      </c>
      <c r="DE306" s="317">
        <v>1446938.3</v>
      </c>
      <c r="DF306" s="317">
        <v>95.6</v>
      </c>
      <c r="DG306" s="318">
        <v>210033.35</v>
      </c>
      <c r="DH306" s="310">
        <v>41491.68</v>
      </c>
      <c r="DI306" s="310">
        <v>23729.52</v>
      </c>
      <c r="DJ306" s="312">
        <v>350008.5</v>
      </c>
      <c r="DK306" s="362">
        <v>32400</v>
      </c>
      <c r="DL306" s="362"/>
      <c r="DM306" s="362">
        <v>0</v>
      </c>
      <c r="DN306" s="362">
        <v>0</v>
      </c>
      <c r="DO306" s="362">
        <v>0</v>
      </c>
      <c r="DP306" s="362">
        <v>8713</v>
      </c>
      <c r="DQ306" s="362">
        <v>749</v>
      </c>
      <c r="DR306" s="362"/>
      <c r="DS306" s="362">
        <v>0</v>
      </c>
      <c r="DT306" s="362"/>
      <c r="DU306" s="362">
        <v>0</v>
      </c>
      <c r="DV306" s="362">
        <v>0</v>
      </c>
      <c r="DW306" s="362">
        <v>0</v>
      </c>
      <c r="DX306" s="362">
        <v>103200</v>
      </c>
      <c r="DY306" s="362">
        <v>28000</v>
      </c>
      <c r="DZ306" s="375">
        <v>0</v>
      </c>
      <c r="EA306" s="362">
        <v>0</v>
      </c>
      <c r="EB306" s="362">
        <v>0</v>
      </c>
      <c r="EC306" s="362"/>
      <c r="ED306" s="362">
        <v>0</v>
      </c>
      <c r="EE306" s="362">
        <v>0</v>
      </c>
      <c r="EF306" s="362"/>
      <c r="EG306" s="362">
        <v>0</v>
      </c>
      <c r="EH306" s="362">
        <v>0</v>
      </c>
      <c r="EI306" s="362"/>
      <c r="EJ306" s="362">
        <v>0</v>
      </c>
      <c r="EK306" s="362"/>
      <c r="EL306" s="362">
        <v>0</v>
      </c>
      <c r="EM306" s="362">
        <v>2356.98</v>
      </c>
      <c r="EN306" s="362">
        <v>294573.36</v>
      </c>
      <c r="EO306" s="362">
        <v>0</v>
      </c>
      <c r="EP306" s="362">
        <v>0</v>
      </c>
      <c r="EQ306" s="362">
        <v>0</v>
      </c>
      <c r="ER306" s="362">
        <v>15015</v>
      </c>
      <c r="ES306" s="362">
        <v>0</v>
      </c>
      <c r="ET306" s="362">
        <v>8882</v>
      </c>
      <c r="EU306" s="362">
        <v>0</v>
      </c>
      <c r="EV306" s="362">
        <v>73599.490000000005</v>
      </c>
      <c r="EW306" s="362"/>
      <c r="EX306" s="202"/>
      <c r="EY306" s="202"/>
      <c r="EZ306" s="229"/>
      <c r="FA306" s="368">
        <v>166295.63</v>
      </c>
      <c r="FB306" s="368">
        <v>296937.11</v>
      </c>
      <c r="FC306" s="368">
        <v>0</v>
      </c>
      <c r="FD306" s="368">
        <v>0</v>
      </c>
      <c r="FE306" s="368">
        <v>3946.5</v>
      </c>
      <c r="FF306" s="368">
        <v>3899.28</v>
      </c>
      <c r="FG306" s="368">
        <v>0</v>
      </c>
      <c r="FH306" s="368">
        <v>-1014.24</v>
      </c>
      <c r="FI306" s="368">
        <v>0</v>
      </c>
      <c r="FJ306" s="368">
        <v>0</v>
      </c>
      <c r="FK306" s="368">
        <v>75429.48</v>
      </c>
      <c r="FL306" s="368">
        <v>0</v>
      </c>
      <c r="FM306" s="368">
        <v>105982.86</v>
      </c>
      <c r="FN306" s="368">
        <v>67388.86</v>
      </c>
      <c r="FO306" s="323">
        <v>1156090.25</v>
      </c>
      <c r="FP306" s="323">
        <v>545493.76000000001</v>
      </c>
      <c r="FQ306" s="323">
        <v>1701584.01</v>
      </c>
      <c r="FR306" s="362">
        <v>94844.01</v>
      </c>
      <c r="FS306" s="362">
        <v>34927.71</v>
      </c>
      <c r="FT306" s="377">
        <v>129771.72</v>
      </c>
      <c r="FU306" s="377">
        <v>1213882.24</v>
      </c>
      <c r="FV306" s="377">
        <v>344982.57</v>
      </c>
      <c r="FW306" s="362">
        <v>1558864.81</v>
      </c>
      <c r="FX306" s="362">
        <v>1152507.3</v>
      </c>
      <c r="FY306" s="362">
        <v>325607.46999999997</v>
      </c>
      <c r="FZ306" s="362">
        <v>1478114.77</v>
      </c>
      <c r="GA306" s="362">
        <v>156218.95000000001</v>
      </c>
      <c r="GB306" s="362">
        <v>54302.81</v>
      </c>
      <c r="GC306" s="362">
        <v>210521.76</v>
      </c>
      <c r="GD306" s="362">
        <v>52681.45</v>
      </c>
      <c r="GE306" s="362">
        <v>-91134.25</v>
      </c>
      <c r="GF306" s="362">
        <v>-38452.800000000003</v>
      </c>
      <c r="GG306" s="202">
        <v>488.41</v>
      </c>
      <c r="GH306" s="416">
        <v>77</v>
      </c>
      <c r="GI306" s="414">
        <v>2442.5500000000002</v>
      </c>
      <c r="GJ306" s="419">
        <v>5902.53</v>
      </c>
      <c r="GK306" s="396">
        <v>488.41</v>
      </c>
      <c r="GL306" s="202">
        <v>376.07569999999998</v>
      </c>
      <c r="GM306" s="202">
        <v>112.3343</v>
      </c>
      <c r="GN306" s="323">
        <v>57791.99</v>
      </c>
      <c r="GO306" s="323">
        <v>-200511.19</v>
      </c>
      <c r="GP306" s="323">
        <v>-142719.20000000001</v>
      </c>
      <c r="GQ306" s="323">
        <v>110473.44</v>
      </c>
      <c r="GR306" s="323">
        <v>-291645.44</v>
      </c>
      <c r="GS306" s="323">
        <v>-181172</v>
      </c>
    </row>
    <row r="307" spans="1:201" ht="12.75" customHeight="1" x14ac:dyDescent="0.2">
      <c r="A307" s="45" t="s">
        <v>785</v>
      </c>
      <c r="B307" s="156" t="s">
        <v>363</v>
      </c>
      <c r="C307" s="157" t="s">
        <v>46</v>
      </c>
      <c r="D307" s="388" t="s">
        <v>691</v>
      </c>
      <c r="E307" s="157" t="s">
        <v>12</v>
      </c>
      <c r="F307" s="11">
        <v>10</v>
      </c>
      <c r="G307" s="11">
        <v>3</v>
      </c>
      <c r="H307" s="11">
        <v>120</v>
      </c>
      <c r="I307" s="11">
        <v>121</v>
      </c>
      <c r="J307" s="11">
        <v>259</v>
      </c>
      <c r="K307" s="11">
        <v>313</v>
      </c>
      <c r="L307" s="11">
        <v>3</v>
      </c>
      <c r="M307" s="84">
        <v>721</v>
      </c>
      <c r="N307" s="84">
        <v>833</v>
      </c>
      <c r="O307" s="84">
        <v>833</v>
      </c>
      <c r="P307" s="135">
        <v>720.9</v>
      </c>
      <c r="Q307" s="135">
        <v>785</v>
      </c>
      <c r="R307" s="133">
        <v>785</v>
      </c>
      <c r="S307" s="133">
        <f t="shared" si="134"/>
        <v>2290.9</v>
      </c>
      <c r="T307" s="134">
        <v>721</v>
      </c>
      <c r="U307" s="130">
        <v>2.74</v>
      </c>
      <c r="V307" s="131">
        <v>1.1299999999999999E-2</v>
      </c>
      <c r="W307" s="131">
        <v>1.1299999999999999E-2</v>
      </c>
      <c r="X307" s="132">
        <v>7.5000000000000002E-4</v>
      </c>
      <c r="Y307" s="131">
        <v>2.2499999999999999E-2</v>
      </c>
      <c r="Z307" s="29">
        <v>6546.48</v>
      </c>
      <c r="AA307" s="29"/>
      <c r="AB307" s="9">
        <f t="shared" si="113"/>
        <v>6546.48</v>
      </c>
      <c r="AC307" s="9">
        <f t="shared" si="112"/>
        <v>41439.22</v>
      </c>
      <c r="AD307" s="9">
        <v>2.33</v>
      </c>
      <c r="AE307" s="9">
        <v>5.16</v>
      </c>
      <c r="AF307" s="21">
        <f>2.49-AJ307</f>
        <v>2.37</v>
      </c>
      <c r="AG307" s="18">
        <f>0.62-AQ307</f>
        <v>0.56999999999999995</v>
      </c>
      <c r="AH307" s="9">
        <v>2.4700000000000002</v>
      </c>
      <c r="AI307" s="13">
        <v>800</v>
      </c>
      <c r="AJ307" s="21">
        <f t="shared" si="137"/>
        <v>0.12</v>
      </c>
      <c r="AK307" s="9">
        <v>1.97</v>
      </c>
      <c r="AL307" s="9">
        <v>0.17</v>
      </c>
      <c r="AM307" s="9">
        <v>0.09</v>
      </c>
      <c r="AN307" s="13"/>
      <c r="AO307" s="13">
        <v>736.8</v>
      </c>
      <c r="AP307" s="13">
        <f t="shared" si="135"/>
        <v>5.58</v>
      </c>
      <c r="AQ307" s="18">
        <f t="shared" si="138"/>
        <v>0.05</v>
      </c>
      <c r="AR307" s="9">
        <v>0.55000000000000004</v>
      </c>
      <c r="AS307" s="9">
        <v>0.21</v>
      </c>
      <c r="AT307" s="9">
        <v>7.0000000000000007E-2</v>
      </c>
      <c r="AU307" s="9">
        <v>3.87</v>
      </c>
      <c r="AV307" s="9">
        <v>0.17</v>
      </c>
      <c r="AW307" s="9">
        <f>1.45+0.34+0.25</f>
        <v>2.04</v>
      </c>
      <c r="AX307" s="9">
        <f>2.02+0.46</f>
        <v>2.48</v>
      </c>
      <c r="AY307" s="159">
        <f t="shared" si="136"/>
        <v>24.69</v>
      </c>
      <c r="AZ307" s="13">
        <v>24.69</v>
      </c>
      <c r="BA307" s="13">
        <f t="shared" si="114"/>
        <v>0</v>
      </c>
      <c r="BB307" s="9">
        <f t="shared" si="115"/>
        <v>161632.59</v>
      </c>
      <c r="BC307" s="9">
        <v>24.69</v>
      </c>
      <c r="BD307" s="10">
        <v>44409</v>
      </c>
      <c r="BE307" s="9">
        <f t="shared" si="116"/>
        <v>15253.3</v>
      </c>
      <c r="BF307" s="9">
        <f t="shared" si="117"/>
        <v>33779.839999999997</v>
      </c>
      <c r="BG307" s="9">
        <f t="shared" si="118"/>
        <v>15515.16</v>
      </c>
      <c r="BH307" s="9">
        <f t="shared" si="119"/>
        <v>3731.49</v>
      </c>
      <c r="BI307" s="9">
        <f t="shared" si="120"/>
        <v>16169.81</v>
      </c>
      <c r="BJ307" s="9">
        <f t="shared" si="121"/>
        <v>785.58</v>
      </c>
      <c r="BK307" s="9">
        <f t="shared" si="122"/>
        <v>12896.57</v>
      </c>
      <c r="BL307" s="9">
        <f t="shared" si="123"/>
        <v>1112.9000000000001</v>
      </c>
      <c r="BM307" s="9">
        <f t="shared" si="124"/>
        <v>589.17999999999995</v>
      </c>
      <c r="BN307" s="9">
        <f t="shared" si="125"/>
        <v>327.32</v>
      </c>
      <c r="BO307" s="9">
        <f t="shared" si="126"/>
        <v>3600.56</v>
      </c>
      <c r="BP307" s="9">
        <f t="shared" si="127"/>
        <v>1374.76</v>
      </c>
      <c r="BQ307" s="9">
        <f t="shared" si="128"/>
        <v>458.25</v>
      </c>
      <c r="BR307" s="9">
        <f t="shared" si="129"/>
        <v>25334.880000000001</v>
      </c>
      <c r="BS307" s="9">
        <f t="shared" si="130"/>
        <v>1112.9000000000001</v>
      </c>
      <c r="BT307" s="9">
        <f t="shared" si="131"/>
        <v>13354.82</v>
      </c>
      <c r="BU307" s="9">
        <f t="shared" si="132"/>
        <v>16235.27</v>
      </c>
      <c r="BV307" s="17">
        <f t="shared" si="133"/>
        <v>161632.59</v>
      </c>
      <c r="BW307" s="17">
        <v>4.2</v>
      </c>
      <c r="BX307" s="17">
        <v>0.04</v>
      </c>
      <c r="BY307" s="17">
        <v>0.24</v>
      </c>
      <c r="BZ307" s="27">
        <v>0.04</v>
      </c>
      <c r="CA307" s="29">
        <v>6.33</v>
      </c>
      <c r="CB307" s="325"/>
      <c r="CC307" s="13">
        <v>0</v>
      </c>
      <c r="CD307" s="13">
        <v>0</v>
      </c>
      <c r="CE307" s="13">
        <v>0</v>
      </c>
      <c r="CF307" s="13">
        <v>0</v>
      </c>
      <c r="CG307" s="13">
        <v>0</v>
      </c>
      <c r="CH307" s="13">
        <v>0</v>
      </c>
      <c r="CI307" s="13">
        <v>5576.93</v>
      </c>
      <c r="CJ307" s="13">
        <v>39238</v>
      </c>
      <c r="CK307" s="13">
        <v>2523.39</v>
      </c>
      <c r="CL307" s="13">
        <v>1942969.2</v>
      </c>
      <c r="CM307" s="13">
        <v>107468.55</v>
      </c>
      <c r="CN307" s="13">
        <v>118055.37</v>
      </c>
      <c r="CO307" s="13">
        <v>2629.15</v>
      </c>
      <c r="CP307" s="13">
        <v>2688.39</v>
      </c>
      <c r="CQ307" s="13">
        <v>0</v>
      </c>
      <c r="CR307" s="13">
        <v>1861236.08</v>
      </c>
      <c r="CS307" s="13">
        <v>115300.07</v>
      </c>
      <c r="CT307" s="13">
        <v>113955.59</v>
      </c>
      <c r="CU307" s="13">
        <v>3224.77</v>
      </c>
      <c r="CV307" s="13">
        <v>2425.48</v>
      </c>
      <c r="CW307" s="13">
        <v>0</v>
      </c>
      <c r="CX307" s="13">
        <v>307131.84999999998</v>
      </c>
      <c r="CY307" s="13">
        <v>8338.61</v>
      </c>
      <c r="CZ307" s="13">
        <v>10179.049999999999</v>
      </c>
      <c r="DA307" s="13">
        <v>583</v>
      </c>
      <c r="DB307" s="13">
        <v>426.29</v>
      </c>
      <c r="DC307" s="13"/>
      <c r="DD307" s="315">
        <v>2173810.66</v>
      </c>
      <c r="DE307" s="317">
        <v>2096141.99</v>
      </c>
      <c r="DF307" s="317">
        <v>96.43</v>
      </c>
      <c r="DG307" s="318">
        <v>326658.8</v>
      </c>
      <c r="DH307" s="310">
        <v>68954.759999999995</v>
      </c>
      <c r="DI307" s="310">
        <v>39435.96</v>
      </c>
      <c r="DJ307" s="312">
        <v>605606.40000000002</v>
      </c>
      <c r="DK307" s="362">
        <v>30700</v>
      </c>
      <c r="DL307" s="362"/>
      <c r="DM307" s="362">
        <v>0</v>
      </c>
      <c r="DN307" s="362">
        <v>0</v>
      </c>
      <c r="DO307" s="362">
        <v>0</v>
      </c>
      <c r="DP307" s="362">
        <v>12720</v>
      </c>
      <c r="DQ307" s="362">
        <v>1120</v>
      </c>
      <c r="DR307" s="362"/>
      <c r="DS307" s="362">
        <v>0</v>
      </c>
      <c r="DT307" s="362"/>
      <c r="DU307" s="362">
        <v>18227</v>
      </c>
      <c r="DV307" s="362">
        <v>0</v>
      </c>
      <c r="DW307" s="362">
        <v>0</v>
      </c>
      <c r="DX307" s="362">
        <v>154245.16</v>
      </c>
      <c r="DY307" s="362">
        <v>42000</v>
      </c>
      <c r="DZ307" s="375">
        <v>0</v>
      </c>
      <c r="EA307" s="362">
        <v>0</v>
      </c>
      <c r="EB307" s="362">
        <v>0</v>
      </c>
      <c r="EC307" s="362"/>
      <c r="ED307" s="362">
        <v>0</v>
      </c>
      <c r="EE307" s="362">
        <v>0</v>
      </c>
      <c r="EF307" s="362"/>
      <c r="EG307" s="362">
        <v>0</v>
      </c>
      <c r="EH307" s="362">
        <v>0</v>
      </c>
      <c r="EI307" s="362"/>
      <c r="EJ307" s="362">
        <v>0</v>
      </c>
      <c r="EK307" s="362"/>
      <c r="EL307" s="362">
        <v>0</v>
      </c>
      <c r="EM307" s="362">
        <v>4111.3500000000004</v>
      </c>
      <c r="EN307" s="362">
        <v>489679.86</v>
      </c>
      <c r="EO307" s="362">
        <v>0</v>
      </c>
      <c r="EP307" s="362">
        <v>0</v>
      </c>
      <c r="EQ307" s="362">
        <v>0</v>
      </c>
      <c r="ER307" s="362">
        <v>15015</v>
      </c>
      <c r="ES307" s="362">
        <v>0</v>
      </c>
      <c r="ET307" s="362">
        <v>13959</v>
      </c>
      <c r="EU307" s="362">
        <v>0</v>
      </c>
      <c r="EV307" s="362">
        <v>281592.31</v>
      </c>
      <c r="EW307" s="362"/>
      <c r="EX307" s="202"/>
      <c r="EY307" s="202"/>
      <c r="EZ307" s="229"/>
      <c r="FA307" s="368">
        <v>121404.68</v>
      </c>
      <c r="FB307" s="368">
        <v>87196.61</v>
      </c>
      <c r="FC307" s="368">
        <v>0</v>
      </c>
      <c r="FD307" s="368">
        <v>0</v>
      </c>
      <c r="FE307" s="368">
        <v>3851.05</v>
      </c>
      <c r="FF307" s="368">
        <v>2914.64</v>
      </c>
      <c r="FG307" s="368">
        <v>0</v>
      </c>
      <c r="FH307" s="368">
        <v>-1679.01</v>
      </c>
      <c r="FI307" s="368">
        <v>0</v>
      </c>
      <c r="FJ307" s="368">
        <v>0</v>
      </c>
      <c r="FK307" s="368">
        <v>28522.21</v>
      </c>
      <c r="FL307" s="368">
        <v>0</v>
      </c>
      <c r="FM307" s="368">
        <v>175377.42</v>
      </c>
      <c r="FN307" s="368">
        <v>111487.89</v>
      </c>
      <c r="FO307" s="323">
        <v>2064232.11</v>
      </c>
      <c r="FP307" s="323">
        <v>242210.18</v>
      </c>
      <c r="FQ307" s="323">
        <v>2306442.29</v>
      </c>
      <c r="FR307" s="362">
        <v>200677.1</v>
      </c>
      <c r="FS307" s="362">
        <v>16923.95</v>
      </c>
      <c r="FT307" s="377">
        <v>217601.05</v>
      </c>
      <c r="FU307" s="377">
        <v>1987784.13</v>
      </c>
      <c r="FV307" s="377">
        <v>233364.85</v>
      </c>
      <c r="FW307" s="362">
        <v>2221148.98</v>
      </c>
      <c r="FX307" s="362">
        <v>1881329.38</v>
      </c>
      <c r="FY307" s="362">
        <v>230761.85</v>
      </c>
      <c r="FZ307" s="362">
        <v>2112091.23</v>
      </c>
      <c r="GA307" s="362">
        <v>307131.84999999998</v>
      </c>
      <c r="GB307" s="362">
        <v>19526.95</v>
      </c>
      <c r="GC307" s="362">
        <v>326658.8</v>
      </c>
      <c r="GD307" s="362">
        <v>114269.18</v>
      </c>
      <c r="GE307" s="362">
        <v>-4230.8100000000004</v>
      </c>
      <c r="GF307" s="362">
        <v>110038.37</v>
      </c>
      <c r="GG307" s="202"/>
      <c r="GH307" s="416"/>
      <c r="GI307" s="414">
        <v>2950.55</v>
      </c>
      <c r="GJ307" s="419">
        <v>0</v>
      </c>
      <c r="GK307" s="396"/>
      <c r="GL307" s="202">
        <v>0</v>
      </c>
      <c r="GM307" s="202">
        <v>0</v>
      </c>
      <c r="GN307" s="323">
        <v>-76447.98</v>
      </c>
      <c r="GO307" s="323">
        <v>-8845.33</v>
      </c>
      <c r="GP307" s="323">
        <v>-85293.31</v>
      </c>
      <c r="GQ307" s="323">
        <v>37821.199999999997</v>
      </c>
      <c r="GR307" s="323">
        <v>-13076.14</v>
      </c>
      <c r="GS307" s="323">
        <v>24745.06</v>
      </c>
    </row>
    <row r="308" spans="1:201" ht="12.75" customHeight="1" x14ac:dyDescent="0.2">
      <c r="A308" s="45" t="s">
        <v>786</v>
      </c>
      <c r="B308" s="156" t="s">
        <v>363</v>
      </c>
      <c r="C308" s="157" t="s">
        <v>48</v>
      </c>
      <c r="D308" s="388" t="s">
        <v>534</v>
      </c>
      <c r="E308" s="157" t="s">
        <v>12</v>
      </c>
      <c r="F308" s="11">
        <v>9</v>
      </c>
      <c r="G308" s="11">
        <v>2</v>
      </c>
      <c r="H308" s="11">
        <v>72</v>
      </c>
      <c r="I308" s="11">
        <v>72</v>
      </c>
      <c r="J308" s="11">
        <v>157</v>
      </c>
      <c r="K308" s="11">
        <v>201</v>
      </c>
      <c r="L308" s="83">
        <v>2</v>
      </c>
      <c r="M308" s="84">
        <v>501</v>
      </c>
      <c r="N308" s="84">
        <v>571</v>
      </c>
      <c r="O308" s="84">
        <v>0</v>
      </c>
      <c r="P308" s="135">
        <f>215.8+285</f>
        <v>500.8</v>
      </c>
      <c r="Q308" s="133">
        <v>579</v>
      </c>
      <c r="R308" s="133">
        <v>0</v>
      </c>
      <c r="S308" s="133">
        <f t="shared" si="134"/>
        <v>1079.8</v>
      </c>
      <c r="T308" s="134">
        <v>500.8</v>
      </c>
      <c r="U308" s="130">
        <v>2.44</v>
      </c>
      <c r="V308" s="91">
        <v>1.9800000000000002E-2</v>
      </c>
      <c r="W308" s="91">
        <v>1.9800000000000002E-2</v>
      </c>
      <c r="X308" s="132">
        <v>1.32E-3</v>
      </c>
      <c r="Y308" s="91">
        <v>3.9699999999999999E-2</v>
      </c>
      <c r="Z308" s="29">
        <v>3880.62</v>
      </c>
      <c r="AA308" s="29"/>
      <c r="AB308" s="9">
        <f t="shared" si="113"/>
        <v>3880.62</v>
      </c>
      <c r="AC308" s="9">
        <f t="shared" si="112"/>
        <v>24564.32</v>
      </c>
      <c r="AD308" s="9">
        <v>2.4300000000000002</v>
      </c>
      <c r="AE308" s="9">
        <v>4.7699999999999996</v>
      </c>
      <c r="AF308" s="21">
        <f>2.47-AJ308</f>
        <v>2.33</v>
      </c>
      <c r="AG308" s="18">
        <f>0.62-AQ308</f>
        <v>0.56999999999999995</v>
      </c>
      <c r="AH308" s="9">
        <v>2.4700000000000002</v>
      </c>
      <c r="AI308" s="13">
        <v>547</v>
      </c>
      <c r="AJ308" s="21">
        <f t="shared" si="137"/>
        <v>0.14000000000000001</v>
      </c>
      <c r="AK308" s="9">
        <v>2.2200000000000002</v>
      </c>
      <c r="AL308" s="9">
        <v>0.19</v>
      </c>
      <c r="AM308" s="9">
        <v>0.15</v>
      </c>
      <c r="AN308" s="13"/>
      <c r="AO308" s="13">
        <v>422.4</v>
      </c>
      <c r="AP308" s="13">
        <f t="shared" si="135"/>
        <v>5.58</v>
      </c>
      <c r="AQ308" s="18">
        <f t="shared" si="138"/>
        <v>0.05</v>
      </c>
      <c r="AR308" s="9">
        <v>0.56999999999999995</v>
      </c>
      <c r="AS308" s="9">
        <v>0.35</v>
      </c>
      <c r="AT308" s="9">
        <v>7.0000000000000007E-2</v>
      </c>
      <c r="AU308" s="9">
        <v>3.86</v>
      </c>
      <c r="AV308" s="9">
        <v>0.17</v>
      </c>
      <c r="AW308" s="9">
        <f>1.46+0.34+0.26</f>
        <v>2.06</v>
      </c>
      <c r="AX308" s="9">
        <f>2.06+0.45</f>
        <v>2.5099999999999998</v>
      </c>
      <c r="AY308" s="159">
        <f t="shared" si="136"/>
        <v>24.91</v>
      </c>
      <c r="AZ308" s="13">
        <v>24.91</v>
      </c>
      <c r="BA308" s="13">
        <f t="shared" si="114"/>
        <v>0</v>
      </c>
      <c r="BB308" s="9">
        <f t="shared" si="115"/>
        <v>96666.240000000005</v>
      </c>
      <c r="BC308" s="9">
        <v>24.91</v>
      </c>
      <c r="BD308" s="10">
        <v>44409</v>
      </c>
      <c r="BE308" s="9">
        <f t="shared" si="116"/>
        <v>9429.91</v>
      </c>
      <c r="BF308" s="9">
        <f t="shared" si="117"/>
        <v>18510.560000000001</v>
      </c>
      <c r="BG308" s="9">
        <f t="shared" si="118"/>
        <v>9041.84</v>
      </c>
      <c r="BH308" s="9">
        <f t="shared" si="119"/>
        <v>2211.9499999999998</v>
      </c>
      <c r="BI308" s="9">
        <f t="shared" si="120"/>
        <v>9585.1299999999992</v>
      </c>
      <c r="BJ308" s="9">
        <f t="shared" si="121"/>
        <v>543.29</v>
      </c>
      <c r="BK308" s="9">
        <f t="shared" si="122"/>
        <v>8614.98</v>
      </c>
      <c r="BL308" s="9">
        <f t="shared" si="123"/>
        <v>737.32</v>
      </c>
      <c r="BM308" s="9">
        <f t="shared" si="124"/>
        <v>582.09</v>
      </c>
      <c r="BN308" s="9">
        <f t="shared" si="125"/>
        <v>194.03</v>
      </c>
      <c r="BO308" s="9">
        <f t="shared" si="126"/>
        <v>2211.9499999999998</v>
      </c>
      <c r="BP308" s="9">
        <f t="shared" si="127"/>
        <v>1358.22</v>
      </c>
      <c r="BQ308" s="9">
        <f t="shared" si="128"/>
        <v>271.64</v>
      </c>
      <c r="BR308" s="9">
        <f t="shared" si="129"/>
        <v>14979.19</v>
      </c>
      <c r="BS308" s="9">
        <f t="shared" si="130"/>
        <v>659.71</v>
      </c>
      <c r="BT308" s="9">
        <f t="shared" si="131"/>
        <v>7994.08</v>
      </c>
      <c r="BU308" s="9">
        <f t="shared" si="132"/>
        <v>9740.36</v>
      </c>
      <c r="BV308" s="17">
        <f t="shared" si="133"/>
        <v>96666.25</v>
      </c>
      <c r="BW308" s="17">
        <v>2.5</v>
      </c>
      <c r="BX308" s="17">
        <v>7.0000000000000007E-2</v>
      </c>
      <c r="BY308" s="17">
        <v>0.46</v>
      </c>
      <c r="BZ308" s="27">
        <v>0.08</v>
      </c>
      <c r="CA308" s="29">
        <v>6.33</v>
      </c>
      <c r="CB308" s="325"/>
      <c r="CC308" s="13">
        <v>0</v>
      </c>
      <c r="CD308" s="13">
        <v>0</v>
      </c>
      <c r="CE308" s="13">
        <v>0</v>
      </c>
      <c r="CF308" s="13">
        <v>0</v>
      </c>
      <c r="CG308" s="13">
        <v>0</v>
      </c>
      <c r="CH308" s="13">
        <v>0</v>
      </c>
      <c r="CI308" s="13">
        <v>5019.1099999999997</v>
      </c>
      <c r="CJ308" s="13">
        <v>41488</v>
      </c>
      <c r="CK308" s="13">
        <v>1491.8</v>
      </c>
      <c r="CL308" s="13">
        <v>1159636.48</v>
      </c>
      <c r="CM308" s="13">
        <v>168993.49</v>
      </c>
      <c r="CN308" s="13">
        <v>48040.42</v>
      </c>
      <c r="CO308" s="13">
        <v>504.27</v>
      </c>
      <c r="CP308" s="13">
        <v>2056.34</v>
      </c>
      <c r="CQ308" s="13">
        <v>0</v>
      </c>
      <c r="CR308" s="13">
        <v>1083082.52</v>
      </c>
      <c r="CS308" s="13">
        <v>147236.66</v>
      </c>
      <c r="CT308" s="13">
        <v>26359.82</v>
      </c>
      <c r="CU308" s="13">
        <v>836.25</v>
      </c>
      <c r="CV308" s="13">
        <v>1996.43</v>
      </c>
      <c r="CW308" s="13">
        <v>0</v>
      </c>
      <c r="CX308" s="13">
        <v>192858.71</v>
      </c>
      <c r="CY308" s="13">
        <v>31322.54</v>
      </c>
      <c r="CZ308" s="13">
        <v>15962.65</v>
      </c>
      <c r="DA308" s="13">
        <v>-184.74</v>
      </c>
      <c r="DB308" s="13">
        <v>199.95</v>
      </c>
      <c r="DC308" s="13"/>
      <c r="DD308" s="315">
        <v>1379231</v>
      </c>
      <c r="DE308" s="317">
        <v>1259511.68</v>
      </c>
      <c r="DF308" s="317">
        <v>91.32</v>
      </c>
      <c r="DG308" s="318">
        <v>240159.11</v>
      </c>
      <c r="DH308" s="310">
        <v>40756.44</v>
      </c>
      <c r="DI308" s="310">
        <v>23309.040000000001</v>
      </c>
      <c r="DJ308" s="312">
        <v>344059.08</v>
      </c>
      <c r="DK308" s="362">
        <v>29000</v>
      </c>
      <c r="DL308" s="362"/>
      <c r="DM308" s="362">
        <v>0</v>
      </c>
      <c r="DN308" s="362">
        <v>0</v>
      </c>
      <c r="DO308" s="362">
        <v>0</v>
      </c>
      <c r="DP308" s="362">
        <v>8696.9</v>
      </c>
      <c r="DQ308" s="362">
        <v>0</v>
      </c>
      <c r="DR308" s="362"/>
      <c r="DS308" s="362">
        <v>0</v>
      </c>
      <c r="DT308" s="362"/>
      <c r="DU308" s="362">
        <v>0</v>
      </c>
      <c r="DV308" s="362">
        <v>0</v>
      </c>
      <c r="DW308" s="362">
        <v>0</v>
      </c>
      <c r="DX308" s="362">
        <v>103200</v>
      </c>
      <c r="DY308" s="362">
        <v>28000</v>
      </c>
      <c r="DZ308" s="375">
        <v>0</v>
      </c>
      <c r="EA308" s="362">
        <v>0</v>
      </c>
      <c r="EB308" s="362">
        <v>0</v>
      </c>
      <c r="EC308" s="362"/>
      <c r="ED308" s="362">
        <v>0</v>
      </c>
      <c r="EE308" s="362">
        <v>0</v>
      </c>
      <c r="EF308" s="362"/>
      <c r="EG308" s="362">
        <v>0</v>
      </c>
      <c r="EH308" s="362">
        <v>0</v>
      </c>
      <c r="EI308" s="362"/>
      <c r="EJ308" s="362">
        <v>0</v>
      </c>
      <c r="EK308" s="362"/>
      <c r="EL308" s="362">
        <v>0</v>
      </c>
      <c r="EM308" s="362">
        <v>2357.7399999999998</v>
      </c>
      <c r="EN308" s="362">
        <v>289425</v>
      </c>
      <c r="EO308" s="362">
        <v>0</v>
      </c>
      <c r="EP308" s="362">
        <v>0</v>
      </c>
      <c r="EQ308" s="362">
        <v>0</v>
      </c>
      <c r="ER308" s="362">
        <v>16380</v>
      </c>
      <c r="ES308" s="362">
        <v>5193</v>
      </c>
      <c r="ET308" s="362">
        <v>8882</v>
      </c>
      <c r="EU308" s="362">
        <v>0</v>
      </c>
      <c r="EV308" s="362">
        <v>410684.91</v>
      </c>
      <c r="EW308" s="362"/>
      <c r="EX308" s="202"/>
      <c r="EY308" s="202"/>
      <c r="EZ308" s="229"/>
      <c r="FA308" s="368">
        <v>186065.33</v>
      </c>
      <c r="FB308" s="368">
        <v>53494.7</v>
      </c>
      <c r="FC308" s="368">
        <v>0</v>
      </c>
      <c r="FD308" s="368">
        <v>0</v>
      </c>
      <c r="FE308" s="368">
        <v>804</v>
      </c>
      <c r="FF308" s="368">
        <v>2063.52</v>
      </c>
      <c r="FG308" s="368">
        <v>0</v>
      </c>
      <c r="FH308" s="368">
        <v>-1042.18</v>
      </c>
      <c r="FI308" s="368">
        <v>0</v>
      </c>
      <c r="FJ308" s="368">
        <v>0</v>
      </c>
      <c r="FK308" s="368">
        <v>57380.92</v>
      </c>
      <c r="FL308" s="368">
        <v>0</v>
      </c>
      <c r="FM308" s="368">
        <v>103716.46</v>
      </c>
      <c r="FN308" s="368">
        <v>65949.289999999994</v>
      </c>
      <c r="FO308" s="323">
        <v>1479609.86</v>
      </c>
      <c r="FP308" s="323">
        <v>298766.28999999998</v>
      </c>
      <c r="FQ308" s="323">
        <v>1778376.15</v>
      </c>
      <c r="FR308" s="362">
        <v>128076.59</v>
      </c>
      <c r="FS308" s="362">
        <v>14935.76</v>
      </c>
      <c r="FT308" s="377">
        <v>143012.35</v>
      </c>
      <c r="FU308" s="377">
        <v>1206143.5900000001</v>
      </c>
      <c r="FV308" s="377">
        <v>221086.32</v>
      </c>
      <c r="FW308" s="362">
        <v>1427229.91</v>
      </c>
      <c r="FX308" s="362">
        <v>1141361.47</v>
      </c>
      <c r="FY308" s="362">
        <v>188721.68</v>
      </c>
      <c r="FZ308" s="362">
        <v>1330083.1499999999</v>
      </c>
      <c r="GA308" s="362">
        <v>192858.71</v>
      </c>
      <c r="GB308" s="362">
        <v>47300.4</v>
      </c>
      <c r="GC308" s="362">
        <v>240159.11</v>
      </c>
      <c r="GD308" s="362">
        <v>85250.05</v>
      </c>
      <c r="GE308" s="362">
        <v>8795.57</v>
      </c>
      <c r="GF308" s="362">
        <v>94045.62</v>
      </c>
      <c r="GG308" s="202"/>
      <c r="GH308" s="416"/>
      <c r="GI308" s="414">
        <v>2950.55</v>
      </c>
      <c r="GJ308" s="419">
        <v>0</v>
      </c>
      <c r="GK308" s="396"/>
      <c r="GL308" s="202">
        <v>0</v>
      </c>
      <c r="GM308" s="202">
        <v>0</v>
      </c>
      <c r="GN308" s="323">
        <v>-273466.27</v>
      </c>
      <c r="GO308" s="323">
        <v>-77679.97</v>
      </c>
      <c r="GP308" s="323">
        <v>-351146.23999999999</v>
      </c>
      <c r="GQ308" s="323">
        <v>-188216.22</v>
      </c>
      <c r="GR308" s="323">
        <v>-68884.399999999994</v>
      </c>
      <c r="GS308" s="323">
        <v>-257100.62</v>
      </c>
    </row>
    <row r="309" spans="1:201" ht="12.75" customHeight="1" x14ac:dyDescent="0.2">
      <c r="A309" s="45" t="s">
        <v>787</v>
      </c>
      <c r="B309" s="156" t="s">
        <v>363</v>
      </c>
      <c r="C309" s="157" t="s">
        <v>17</v>
      </c>
      <c r="D309" s="388" t="s">
        <v>535</v>
      </c>
      <c r="E309" s="157" t="s">
        <v>12</v>
      </c>
      <c r="F309" s="11">
        <v>10</v>
      </c>
      <c r="G309" s="11">
        <v>3</v>
      </c>
      <c r="H309" s="11">
        <v>120</v>
      </c>
      <c r="I309" s="11">
        <v>121</v>
      </c>
      <c r="J309" s="11">
        <v>266</v>
      </c>
      <c r="K309" s="11">
        <v>326</v>
      </c>
      <c r="L309" s="83">
        <v>3</v>
      </c>
      <c r="M309" s="84">
        <v>721</v>
      </c>
      <c r="N309" s="84">
        <v>833</v>
      </c>
      <c r="O309" s="84">
        <v>833</v>
      </c>
      <c r="P309" s="135">
        <v>720.9</v>
      </c>
      <c r="Q309" s="135">
        <f>6.9+7.2+47.4+30.4+15.2785</f>
        <v>107.2</v>
      </c>
      <c r="R309" s="133">
        <v>0</v>
      </c>
      <c r="S309" s="133">
        <f t="shared" si="134"/>
        <v>828.1</v>
      </c>
      <c r="T309" s="134">
        <v>721</v>
      </c>
      <c r="U309" s="130">
        <v>2.74</v>
      </c>
      <c r="V309" s="131">
        <v>1.1299999999999999E-2</v>
      </c>
      <c r="W309" s="131">
        <v>1.1299999999999999E-2</v>
      </c>
      <c r="X309" s="132">
        <v>7.5000000000000002E-4</v>
      </c>
      <c r="Y309" s="131">
        <v>2.2499999999999999E-2</v>
      </c>
      <c r="Z309" s="29">
        <v>6550.4</v>
      </c>
      <c r="AA309" s="29">
        <v>14.8</v>
      </c>
      <c r="AB309" s="9">
        <f t="shared" si="113"/>
        <v>6565.2</v>
      </c>
      <c r="AC309" s="9">
        <f t="shared" si="112"/>
        <v>41557.72</v>
      </c>
      <c r="AD309" s="9">
        <v>2.33</v>
      </c>
      <c r="AE309" s="9">
        <v>5.21</v>
      </c>
      <c r="AF309" s="21">
        <f>2.47-AJ309</f>
        <v>2.35</v>
      </c>
      <c r="AG309" s="18">
        <f>0.62-AQ309</f>
        <v>0.56999999999999995</v>
      </c>
      <c r="AH309" s="9">
        <v>2.4700000000000002</v>
      </c>
      <c r="AI309" s="13">
        <v>800</v>
      </c>
      <c r="AJ309" s="21">
        <f t="shared" si="137"/>
        <v>0.12</v>
      </c>
      <c r="AK309" s="9">
        <v>1.96</v>
      </c>
      <c r="AL309" s="9">
        <v>0.17</v>
      </c>
      <c r="AM309" s="9">
        <v>0.09</v>
      </c>
      <c r="AN309" s="13"/>
      <c r="AO309" s="13">
        <v>736.8</v>
      </c>
      <c r="AP309" s="13">
        <f t="shared" si="135"/>
        <v>5.58</v>
      </c>
      <c r="AQ309" s="18">
        <f t="shared" si="138"/>
        <v>0.05</v>
      </c>
      <c r="AR309" s="9">
        <v>0.55000000000000004</v>
      </c>
      <c r="AS309" s="9">
        <v>0.21</v>
      </c>
      <c r="AT309" s="9">
        <v>7.0000000000000007E-2</v>
      </c>
      <c r="AU309" s="9">
        <v>3.85</v>
      </c>
      <c r="AV309" s="9">
        <v>0.17</v>
      </c>
      <c r="AW309" s="9">
        <f>1.45+0.34+0.26</f>
        <v>2.0499999999999998</v>
      </c>
      <c r="AX309" s="9">
        <f>2.02+0.45</f>
        <v>2.4700000000000002</v>
      </c>
      <c r="AY309" s="159">
        <f t="shared" si="136"/>
        <v>24.69</v>
      </c>
      <c r="AZ309" s="13">
        <v>24.69</v>
      </c>
      <c r="BA309" s="13">
        <f t="shared" si="114"/>
        <v>0</v>
      </c>
      <c r="BB309" s="9">
        <f t="shared" si="115"/>
        <v>162094.79</v>
      </c>
      <c r="BC309" s="9">
        <v>24.69</v>
      </c>
      <c r="BD309" s="10">
        <v>44409</v>
      </c>
      <c r="BE309" s="9">
        <f t="shared" si="116"/>
        <v>15296.92</v>
      </c>
      <c r="BF309" s="9">
        <f t="shared" si="117"/>
        <v>34204.69</v>
      </c>
      <c r="BG309" s="9">
        <f t="shared" si="118"/>
        <v>15428.22</v>
      </c>
      <c r="BH309" s="9">
        <f t="shared" si="119"/>
        <v>3742.16</v>
      </c>
      <c r="BI309" s="9">
        <f t="shared" si="120"/>
        <v>16216.04</v>
      </c>
      <c r="BJ309" s="9">
        <f t="shared" si="121"/>
        <v>787.82</v>
      </c>
      <c r="BK309" s="9">
        <f t="shared" si="122"/>
        <v>12867.79</v>
      </c>
      <c r="BL309" s="9">
        <f t="shared" si="123"/>
        <v>1116.08</v>
      </c>
      <c r="BM309" s="9">
        <f t="shared" si="124"/>
        <v>590.87</v>
      </c>
      <c r="BN309" s="9">
        <f t="shared" si="125"/>
        <v>328.26</v>
      </c>
      <c r="BO309" s="9">
        <f t="shared" si="126"/>
        <v>3610.86</v>
      </c>
      <c r="BP309" s="9">
        <f t="shared" si="127"/>
        <v>1378.69</v>
      </c>
      <c r="BQ309" s="9">
        <f t="shared" si="128"/>
        <v>459.56</v>
      </c>
      <c r="BR309" s="9">
        <f t="shared" si="129"/>
        <v>25276.02</v>
      </c>
      <c r="BS309" s="9">
        <f t="shared" si="130"/>
        <v>1116.08</v>
      </c>
      <c r="BT309" s="9">
        <f t="shared" si="131"/>
        <v>13458.66</v>
      </c>
      <c r="BU309" s="9">
        <f t="shared" si="132"/>
        <v>16216.04</v>
      </c>
      <c r="BV309" s="17">
        <f t="shared" si="133"/>
        <v>162094.76</v>
      </c>
      <c r="BW309" s="17">
        <v>4.2</v>
      </c>
      <c r="BX309" s="17">
        <v>0.04</v>
      </c>
      <c r="BY309" s="17">
        <v>0.25</v>
      </c>
      <c r="BZ309" s="27">
        <v>0.04</v>
      </c>
      <c r="CA309" s="29">
        <v>6.33</v>
      </c>
      <c r="CB309" s="325"/>
      <c r="CC309" s="13">
        <v>5239.91</v>
      </c>
      <c r="CD309" s="13">
        <v>331.37</v>
      </c>
      <c r="CE309" s="13">
        <v>24.57</v>
      </c>
      <c r="CF309" s="13">
        <v>49.89</v>
      </c>
      <c r="CG309" s="13">
        <v>31.23</v>
      </c>
      <c r="CH309" s="13">
        <v>0</v>
      </c>
      <c r="CI309" s="13">
        <v>4197.6000000000004</v>
      </c>
      <c r="CJ309" s="13">
        <v>51184</v>
      </c>
      <c r="CK309" s="13">
        <v>2524.75</v>
      </c>
      <c r="CL309" s="13">
        <v>1940655.27</v>
      </c>
      <c r="CM309" s="13">
        <v>152550.22</v>
      </c>
      <c r="CN309" s="13">
        <v>0</v>
      </c>
      <c r="CO309" s="13">
        <v>29278.62</v>
      </c>
      <c r="CP309" s="13">
        <v>18274.97</v>
      </c>
      <c r="CQ309" s="13">
        <v>0</v>
      </c>
      <c r="CR309" s="13">
        <v>1825332.38</v>
      </c>
      <c r="CS309" s="13">
        <v>147674.95000000001</v>
      </c>
      <c r="CT309" s="13">
        <v>862.65</v>
      </c>
      <c r="CU309" s="13">
        <v>29664.98</v>
      </c>
      <c r="CV309" s="13">
        <v>17626.37</v>
      </c>
      <c r="CW309" s="13">
        <v>0</v>
      </c>
      <c r="CX309" s="13">
        <v>318428.15999999997</v>
      </c>
      <c r="CY309" s="13">
        <v>37068.120000000003</v>
      </c>
      <c r="CZ309" s="13">
        <v>-1382.13</v>
      </c>
      <c r="DA309" s="13">
        <v>2524.42</v>
      </c>
      <c r="DB309" s="13">
        <v>2769.9</v>
      </c>
      <c r="DC309" s="13"/>
      <c r="DD309" s="315">
        <v>2140759.08</v>
      </c>
      <c r="DE309" s="317">
        <v>2021161.33</v>
      </c>
      <c r="DF309" s="317">
        <v>94.41</v>
      </c>
      <c r="DG309" s="318">
        <v>359408.47</v>
      </c>
      <c r="DH309" s="310">
        <v>68823.360000000001</v>
      </c>
      <c r="DI309" s="310">
        <v>39360.839999999997</v>
      </c>
      <c r="DJ309" s="312">
        <v>607006.26</v>
      </c>
      <c r="DK309" s="362">
        <v>34100</v>
      </c>
      <c r="DL309" s="362"/>
      <c r="DM309" s="362">
        <v>0</v>
      </c>
      <c r="DN309" s="362">
        <v>0</v>
      </c>
      <c r="DO309" s="362">
        <v>0</v>
      </c>
      <c r="DP309" s="362">
        <v>12720</v>
      </c>
      <c r="DQ309" s="362">
        <v>1120</v>
      </c>
      <c r="DR309" s="362"/>
      <c r="DS309" s="362">
        <v>0</v>
      </c>
      <c r="DT309" s="362"/>
      <c r="DU309" s="362">
        <v>3038</v>
      </c>
      <c r="DV309" s="362">
        <v>0</v>
      </c>
      <c r="DW309" s="362">
        <v>0</v>
      </c>
      <c r="DX309" s="362">
        <v>154492.84</v>
      </c>
      <c r="DY309" s="362">
        <v>42000</v>
      </c>
      <c r="DZ309" s="375">
        <v>0</v>
      </c>
      <c r="EA309" s="362">
        <v>0</v>
      </c>
      <c r="EB309" s="362">
        <v>0</v>
      </c>
      <c r="EC309" s="362"/>
      <c r="ED309" s="362">
        <v>0</v>
      </c>
      <c r="EE309" s="362">
        <v>0</v>
      </c>
      <c r="EF309" s="362"/>
      <c r="EG309" s="362">
        <v>0</v>
      </c>
      <c r="EH309" s="362">
        <v>0</v>
      </c>
      <c r="EI309" s="362"/>
      <c r="EJ309" s="362">
        <v>0</v>
      </c>
      <c r="EK309" s="362"/>
      <c r="EL309" s="362">
        <v>0</v>
      </c>
      <c r="EM309" s="362">
        <v>4111.3500000000004</v>
      </c>
      <c r="EN309" s="362">
        <v>492390.24</v>
      </c>
      <c r="EO309" s="362">
        <v>0</v>
      </c>
      <c r="EP309" s="362">
        <v>0</v>
      </c>
      <c r="EQ309" s="362">
        <v>0</v>
      </c>
      <c r="ER309" s="362">
        <v>16380</v>
      </c>
      <c r="ES309" s="362">
        <v>6924</v>
      </c>
      <c r="ET309" s="362">
        <v>13959</v>
      </c>
      <c r="EU309" s="362">
        <v>0</v>
      </c>
      <c r="EV309" s="362">
        <v>171574.04</v>
      </c>
      <c r="EW309" s="362"/>
      <c r="EX309" s="202"/>
      <c r="EY309" s="202"/>
      <c r="EZ309" s="229"/>
      <c r="FA309" s="368">
        <v>158164.5</v>
      </c>
      <c r="FB309" s="368">
        <v>0</v>
      </c>
      <c r="FC309" s="368">
        <v>0</v>
      </c>
      <c r="FD309" s="368">
        <v>0</v>
      </c>
      <c r="FE309" s="368">
        <v>31447.99</v>
      </c>
      <c r="FF309" s="368">
        <v>18356.439999999999</v>
      </c>
      <c r="FG309" s="368">
        <v>-2405.13</v>
      </c>
      <c r="FH309" s="368">
        <v>-2979.67</v>
      </c>
      <c r="FI309" s="368">
        <v>0</v>
      </c>
      <c r="FJ309" s="368">
        <v>0</v>
      </c>
      <c r="FK309" s="368">
        <v>0</v>
      </c>
      <c r="FL309" s="368">
        <v>0</v>
      </c>
      <c r="FM309" s="368">
        <v>175514.02</v>
      </c>
      <c r="FN309" s="368">
        <v>111599.97</v>
      </c>
      <c r="FO309" s="323">
        <v>1955113.92</v>
      </c>
      <c r="FP309" s="323">
        <v>202584.13</v>
      </c>
      <c r="FQ309" s="323">
        <v>2157698.0499999998</v>
      </c>
      <c r="FR309" s="362">
        <v>181879.99</v>
      </c>
      <c r="FS309" s="362">
        <v>15054.02</v>
      </c>
      <c r="FT309" s="377">
        <v>196934.01</v>
      </c>
      <c r="FU309" s="377">
        <v>2001276.78</v>
      </c>
      <c r="FV309" s="377">
        <v>203065.62</v>
      </c>
      <c r="FW309" s="362">
        <v>2204342.4</v>
      </c>
      <c r="FX309" s="362">
        <v>1862822.38</v>
      </c>
      <c r="FY309" s="362">
        <v>176973.57</v>
      </c>
      <c r="FZ309" s="362">
        <v>2039795.95</v>
      </c>
      <c r="GA309" s="362">
        <v>320334.39</v>
      </c>
      <c r="GB309" s="362">
        <v>41146.07</v>
      </c>
      <c r="GC309" s="362">
        <v>361480.46</v>
      </c>
      <c r="GD309" s="362">
        <v>122887.54</v>
      </c>
      <c r="GE309" s="362">
        <v>11899.27</v>
      </c>
      <c r="GF309" s="362">
        <v>134786.81</v>
      </c>
      <c r="GG309" s="202">
        <v>2071.9899999999998</v>
      </c>
      <c r="GH309" s="416">
        <v>92</v>
      </c>
      <c r="GI309" s="414">
        <v>3966.55</v>
      </c>
      <c r="GJ309" s="419">
        <v>5676.97</v>
      </c>
      <c r="GK309" s="396">
        <v>2071.9899999999998</v>
      </c>
      <c r="GL309" s="202">
        <v>1906.2308</v>
      </c>
      <c r="GM309" s="202">
        <v>165.75919999999999</v>
      </c>
      <c r="GN309" s="323">
        <v>46162.86</v>
      </c>
      <c r="GO309" s="323">
        <v>481.49</v>
      </c>
      <c r="GP309" s="323">
        <v>46644.35</v>
      </c>
      <c r="GQ309" s="323">
        <v>169050.4</v>
      </c>
      <c r="GR309" s="323">
        <v>12380.76</v>
      </c>
      <c r="GS309" s="323">
        <v>181431.16</v>
      </c>
    </row>
    <row r="310" spans="1:201" ht="12.75" customHeight="1" x14ac:dyDescent="0.2">
      <c r="A310" s="45" t="s">
        <v>788</v>
      </c>
      <c r="B310" s="156" t="s">
        <v>363</v>
      </c>
      <c r="C310" s="157" t="s">
        <v>21</v>
      </c>
      <c r="D310" s="388" t="s">
        <v>536</v>
      </c>
      <c r="E310" s="157" t="s">
        <v>12</v>
      </c>
      <c r="F310" s="11">
        <v>9</v>
      </c>
      <c r="G310" s="11">
        <v>2</v>
      </c>
      <c r="H310" s="11">
        <v>72</v>
      </c>
      <c r="I310" s="11">
        <v>72</v>
      </c>
      <c r="J310" s="11">
        <v>144</v>
      </c>
      <c r="K310" s="11">
        <v>184</v>
      </c>
      <c r="L310" s="83">
        <v>2</v>
      </c>
      <c r="M310" s="84">
        <v>501</v>
      </c>
      <c r="N310" s="84">
        <v>571</v>
      </c>
      <c r="O310" s="84">
        <v>0</v>
      </c>
      <c r="P310" s="135">
        <v>500.8</v>
      </c>
      <c r="Q310" s="135">
        <v>497.2</v>
      </c>
      <c r="R310" s="133">
        <v>0</v>
      </c>
      <c r="S310" s="133">
        <f t="shared" si="134"/>
        <v>998</v>
      </c>
      <c r="T310" s="134">
        <v>501</v>
      </c>
      <c r="U310" s="130">
        <v>2.44</v>
      </c>
      <c r="V310" s="131">
        <v>1.9800000000000002E-2</v>
      </c>
      <c r="W310" s="131">
        <v>1.9800000000000002E-2</v>
      </c>
      <c r="X310" s="132">
        <v>1.32E-3</v>
      </c>
      <c r="Y310" s="131">
        <v>3.9699999999999999E-2</v>
      </c>
      <c r="Z310" s="29">
        <v>3905.14</v>
      </c>
      <c r="AA310" s="29">
        <v>53.7</v>
      </c>
      <c r="AB310" s="9">
        <f t="shared" si="113"/>
        <v>3958.84</v>
      </c>
      <c r="AC310" s="9">
        <f t="shared" si="112"/>
        <v>25059.46</v>
      </c>
      <c r="AD310" s="9">
        <v>2.3199999999999998</v>
      </c>
      <c r="AE310" s="9">
        <v>4.3600000000000003</v>
      </c>
      <c r="AF310" s="21">
        <f>2.47-AJ310</f>
        <v>2.33</v>
      </c>
      <c r="AG310" s="18">
        <f>0.61-AQ310</f>
        <v>0.56000000000000005</v>
      </c>
      <c r="AH310" s="9">
        <v>2.4700000000000002</v>
      </c>
      <c r="AI310" s="13">
        <v>548</v>
      </c>
      <c r="AJ310" s="21">
        <f t="shared" si="137"/>
        <v>0.14000000000000001</v>
      </c>
      <c r="AK310" s="9">
        <v>2.19</v>
      </c>
      <c r="AL310" s="9">
        <v>0.19</v>
      </c>
      <c r="AM310" s="9">
        <v>0.15</v>
      </c>
      <c r="AN310" s="13"/>
      <c r="AO310" s="13">
        <v>422.4</v>
      </c>
      <c r="AP310" s="13">
        <f t="shared" si="135"/>
        <v>5.58</v>
      </c>
      <c r="AQ310" s="18">
        <f t="shared" si="138"/>
        <v>0.05</v>
      </c>
      <c r="AR310" s="9">
        <v>0.56000000000000005</v>
      </c>
      <c r="AS310" s="9">
        <v>0.35</v>
      </c>
      <c r="AT310" s="9">
        <v>7.0000000000000007E-2</v>
      </c>
      <c r="AU310" s="9">
        <v>4.4000000000000004</v>
      </c>
      <c r="AV310" s="9">
        <v>0.17</v>
      </c>
      <c r="AW310" s="9">
        <f>1.41+0.39+0.23</f>
        <v>2.0299999999999998</v>
      </c>
      <c r="AX310" s="9">
        <f>1.99+0.52</f>
        <v>2.5099999999999998</v>
      </c>
      <c r="AY310" s="159">
        <f t="shared" si="136"/>
        <v>24.85</v>
      </c>
      <c r="AZ310" s="13">
        <v>24.85</v>
      </c>
      <c r="BA310" s="13">
        <f t="shared" si="114"/>
        <v>0</v>
      </c>
      <c r="BB310" s="9">
        <f t="shared" si="115"/>
        <v>98377.17</v>
      </c>
      <c r="BC310" s="9">
        <v>24.85</v>
      </c>
      <c r="BD310" s="10">
        <v>44409</v>
      </c>
      <c r="BE310" s="9">
        <f t="shared" si="116"/>
        <v>9184.51</v>
      </c>
      <c r="BF310" s="9">
        <f t="shared" si="117"/>
        <v>17260.54</v>
      </c>
      <c r="BG310" s="9">
        <f t="shared" si="118"/>
        <v>9224.1</v>
      </c>
      <c r="BH310" s="9">
        <f t="shared" si="119"/>
        <v>2216.9499999999998</v>
      </c>
      <c r="BI310" s="9">
        <f t="shared" si="120"/>
        <v>9778.33</v>
      </c>
      <c r="BJ310" s="9">
        <f t="shared" si="121"/>
        <v>554.24</v>
      </c>
      <c r="BK310" s="9">
        <f t="shared" si="122"/>
        <v>8669.86</v>
      </c>
      <c r="BL310" s="9">
        <f t="shared" si="123"/>
        <v>752.18</v>
      </c>
      <c r="BM310" s="9">
        <f t="shared" si="124"/>
        <v>593.83000000000004</v>
      </c>
      <c r="BN310" s="9">
        <f t="shared" si="125"/>
        <v>197.94</v>
      </c>
      <c r="BO310" s="9">
        <f t="shared" si="126"/>
        <v>2216.9499999999998</v>
      </c>
      <c r="BP310" s="9">
        <f t="shared" si="127"/>
        <v>1385.59</v>
      </c>
      <c r="BQ310" s="9">
        <f t="shared" si="128"/>
        <v>277.12</v>
      </c>
      <c r="BR310" s="9">
        <f t="shared" si="129"/>
        <v>17418.900000000001</v>
      </c>
      <c r="BS310" s="9">
        <f t="shared" si="130"/>
        <v>673</v>
      </c>
      <c r="BT310" s="9">
        <f t="shared" si="131"/>
        <v>8036.45</v>
      </c>
      <c r="BU310" s="9">
        <f t="shared" si="132"/>
        <v>9936.69</v>
      </c>
      <c r="BV310" s="17">
        <f t="shared" si="133"/>
        <v>98377.18</v>
      </c>
      <c r="BW310" s="17">
        <v>2.4700000000000002</v>
      </c>
      <c r="BX310" s="17">
        <v>7.0000000000000007E-2</v>
      </c>
      <c r="BY310" s="17">
        <v>0.42</v>
      </c>
      <c r="BZ310" s="27">
        <v>0.08</v>
      </c>
      <c r="CA310" s="29">
        <v>6.33</v>
      </c>
      <c r="CB310" s="325"/>
      <c r="CC310" s="13">
        <v>16740.439999999999</v>
      </c>
      <c r="CD310" s="13">
        <v>1522.42</v>
      </c>
      <c r="CE310" s="13">
        <v>-91.82</v>
      </c>
      <c r="CF310" s="13">
        <v>103.1</v>
      </c>
      <c r="CG310" s="13">
        <v>25.27</v>
      </c>
      <c r="CH310" s="13">
        <v>0</v>
      </c>
      <c r="CI310" s="13">
        <v>1371.88</v>
      </c>
      <c r="CJ310" s="13">
        <v>41488</v>
      </c>
      <c r="CK310" s="13">
        <v>1522.62</v>
      </c>
      <c r="CL310" s="13">
        <v>1164426.3899999999</v>
      </c>
      <c r="CM310" s="13">
        <v>110707.85</v>
      </c>
      <c r="CN310" s="13">
        <v>820.01</v>
      </c>
      <c r="CO310" s="13">
        <v>0</v>
      </c>
      <c r="CP310" s="13">
        <v>1835.13</v>
      </c>
      <c r="CQ310" s="13">
        <v>0</v>
      </c>
      <c r="CR310" s="13">
        <v>1099902.72</v>
      </c>
      <c r="CS310" s="13">
        <v>95470.45</v>
      </c>
      <c r="CT310" s="13">
        <v>6565.74</v>
      </c>
      <c r="CU310" s="13">
        <v>163.57</v>
      </c>
      <c r="CV310" s="13">
        <v>1791.15</v>
      </c>
      <c r="CW310" s="13">
        <v>0</v>
      </c>
      <c r="CX310" s="13">
        <v>171878.51</v>
      </c>
      <c r="CY310" s="13">
        <v>28567.599999999999</v>
      </c>
      <c r="CZ310" s="13">
        <v>-4898.13</v>
      </c>
      <c r="DA310" s="13">
        <v>-289.02</v>
      </c>
      <c r="DB310" s="13">
        <v>167.47</v>
      </c>
      <c r="DC310" s="13"/>
      <c r="DD310" s="315">
        <v>1277789.3799999999</v>
      </c>
      <c r="DE310" s="317">
        <v>1203893.6299999999</v>
      </c>
      <c r="DF310" s="317">
        <v>94.22</v>
      </c>
      <c r="DG310" s="318">
        <v>195426.43</v>
      </c>
      <c r="DH310" s="310">
        <v>41012.639999999999</v>
      </c>
      <c r="DI310" s="310">
        <v>23455.56</v>
      </c>
      <c r="DJ310" s="312">
        <v>327301.65999999997</v>
      </c>
      <c r="DK310" s="362">
        <v>32400</v>
      </c>
      <c r="DL310" s="362"/>
      <c r="DM310" s="362">
        <v>0</v>
      </c>
      <c r="DN310" s="362">
        <v>0</v>
      </c>
      <c r="DO310" s="362">
        <v>0</v>
      </c>
      <c r="DP310" s="362">
        <v>8713</v>
      </c>
      <c r="DQ310" s="362">
        <v>0</v>
      </c>
      <c r="DR310" s="362"/>
      <c r="DS310" s="362">
        <v>0</v>
      </c>
      <c r="DT310" s="362"/>
      <c r="DU310" s="362">
        <v>5536</v>
      </c>
      <c r="DV310" s="362">
        <v>0</v>
      </c>
      <c r="DW310" s="362">
        <v>0</v>
      </c>
      <c r="DX310" s="362">
        <v>103200</v>
      </c>
      <c r="DY310" s="362">
        <v>9000</v>
      </c>
      <c r="DZ310" s="375">
        <v>0</v>
      </c>
      <c r="EA310" s="362">
        <v>0</v>
      </c>
      <c r="EB310" s="362">
        <v>0</v>
      </c>
      <c r="EC310" s="362"/>
      <c r="ED310" s="362">
        <v>0</v>
      </c>
      <c r="EE310" s="362">
        <v>0</v>
      </c>
      <c r="EF310" s="362"/>
      <c r="EG310" s="362">
        <v>0</v>
      </c>
      <c r="EH310" s="362">
        <v>0</v>
      </c>
      <c r="EI310" s="362"/>
      <c r="EJ310" s="362">
        <v>0</v>
      </c>
      <c r="EK310" s="362"/>
      <c r="EL310" s="362">
        <v>0</v>
      </c>
      <c r="EM310" s="362">
        <v>2356.98</v>
      </c>
      <c r="EN310" s="362">
        <v>293715.3</v>
      </c>
      <c r="EO310" s="362">
        <v>0</v>
      </c>
      <c r="EP310" s="362">
        <v>0</v>
      </c>
      <c r="EQ310" s="362">
        <v>0</v>
      </c>
      <c r="ER310" s="362">
        <v>16380</v>
      </c>
      <c r="ES310" s="362">
        <v>6924</v>
      </c>
      <c r="ET310" s="362">
        <v>8829</v>
      </c>
      <c r="EU310" s="362">
        <v>0</v>
      </c>
      <c r="EV310" s="362">
        <v>233265.75</v>
      </c>
      <c r="EW310" s="362"/>
      <c r="EX310" s="202"/>
      <c r="EY310" s="202"/>
      <c r="EZ310" s="229"/>
      <c r="FA310" s="368">
        <v>103496.57</v>
      </c>
      <c r="FB310" s="368">
        <v>10681.87</v>
      </c>
      <c r="FC310" s="368">
        <v>0</v>
      </c>
      <c r="FD310" s="368">
        <v>0</v>
      </c>
      <c r="FE310" s="368">
        <v>0</v>
      </c>
      <c r="FF310" s="368">
        <v>1782.25</v>
      </c>
      <c r="FG310" s="368">
        <v>0</v>
      </c>
      <c r="FH310" s="368">
        <v>-1062.74</v>
      </c>
      <c r="FI310" s="368">
        <v>0</v>
      </c>
      <c r="FJ310" s="368">
        <v>0</v>
      </c>
      <c r="FK310" s="368">
        <v>72797.69</v>
      </c>
      <c r="FL310" s="368">
        <v>0</v>
      </c>
      <c r="FM310" s="368">
        <v>105842.86</v>
      </c>
      <c r="FN310" s="368">
        <v>67299.91</v>
      </c>
      <c r="FO310" s="323">
        <v>1285232.6599999999</v>
      </c>
      <c r="FP310" s="323">
        <v>187695.64</v>
      </c>
      <c r="FQ310" s="323">
        <v>1472928.3</v>
      </c>
      <c r="FR310" s="362">
        <v>115797.23</v>
      </c>
      <c r="FS310" s="362">
        <v>1327.03</v>
      </c>
      <c r="FT310" s="377">
        <v>117124.26</v>
      </c>
      <c r="FU310" s="377">
        <v>1224026.71</v>
      </c>
      <c r="FV310" s="377">
        <v>116444.58</v>
      </c>
      <c r="FW310" s="362">
        <v>1340471.29</v>
      </c>
      <c r="FX310" s="362">
        <v>1165176.1200000001</v>
      </c>
      <c r="FY310" s="362">
        <v>93949.8</v>
      </c>
      <c r="FZ310" s="362">
        <v>1259125.92</v>
      </c>
      <c r="GA310" s="362">
        <v>174647.82</v>
      </c>
      <c r="GB310" s="362">
        <v>23821.81</v>
      </c>
      <c r="GC310" s="362">
        <v>198469.63</v>
      </c>
      <c r="GD310" s="362">
        <v>98457.98</v>
      </c>
      <c r="GE310" s="362">
        <v>8941.94</v>
      </c>
      <c r="GF310" s="362">
        <v>107399.92</v>
      </c>
      <c r="GG310" s="202">
        <v>3043.2</v>
      </c>
      <c r="GH310" s="416">
        <v>91</v>
      </c>
      <c r="GI310" s="414">
        <v>2950.55</v>
      </c>
      <c r="GJ310" s="419">
        <v>18299.41</v>
      </c>
      <c r="GK310" s="396">
        <v>3043.2</v>
      </c>
      <c r="GL310" s="202">
        <v>2769.3119999999999</v>
      </c>
      <c r="GM310" s="202">
        <v>273.88799999999998</v>
      </c>
      <c r="GN310" s="323">
        <v>-61205.95</v>
      </c>
      <c r="GO310" s="323">
        <v>-71251.06</v>
      </c>
      <c r="GP310" s="323">
        <v>-132457.01</v>
      </c>
      <c r="GQ310" s="323">
        <v>37252.03</v>
      </c>
      <c r="GR310" s="323">
        <v>-62309.120000000003</v>
      </c>
      <c r="GS310" s="323">
        <v>-25057.09</v>
      </c>
    </row>
    <row r="311" spans="1:201" ht="12.75" customHeight="1" x14ac:dyDescent="0.2">
      <c r="A311" s="45" t="s">
        <v>789</v>
      </c>
      <c r="B311" s="156" t="s">
        <v>363</v>
      </c>
      <c r="C311" s="157" t="s">
        <v>62</v>
      </c>
      <c r="D311" s="388" t="s">
        <v>537</v>
      </c>
      <c r="E311" s="157" t="s">
        <v>12</v>
      </c>
      <c r="F311" s="11">
        <v>10</v>
      </c>
      <c r="G311" s="11">
        <v>3</v>
      </c>
      <c r="H311" s="11">
        <v>120</v>
      </c>
      <c r="I311" s="11">
        <v>118</v>
      </c>
      <c r="J311" s="11">
        <v>274</v>
      </c>
      <c r="K311" s="11">
        <v>324</v>
      </c>
      <c r="L311" s="83">
        <v>3</v>
      </c>
      <c r="M311" s="84">
        <v>721</v>
      </c>
      <c r="N311" s="84">
        <v>833</v>
      </c>
      <c r="O311" s="84">
        <v>833</v>
      </c>
      <c r="P311" s="139">
        <v>828</v>
      </c>
      <c r="Q311" s="135">
        <v>785</v>
      </c>
      <c r="R311" s="135">
        <v>785</v>
      </c>
      <c r="S311" s="133">
        <f t="shared" si="134"/>
        <v>2398</v>
      </c>
      <c r="T311" s="139">
        <v>721</v>
      </c>
      <c r="U311" s="130">
        <v>2.74</v>
      </c>
      <c r="V311" s="131">
        <v>1.1299999999999999E-2</v>
      </c>
      <c r="W311" s="131">
        <v>1.1299999999999999E-2</v>
      </c>
      <c r="X311" s="132">
        <v>7.5000000000000002E-4</v>
      </c>
      <c r="Y311" s="131">
        <v>2.2499999999999999E-2</v>
      </c>
      <c r="Z311" s="29">
        <v>6582.71</v>
      </c>
      <c r="AA311" s="29"/>
      <c r="AB311" s="9">
        <f t="shared" si="113"/>
        <v>6582.71</v>
      </c>
      <c r="AC311" s="9">
        <f t="shared" si="112"/>
        <v>41668.550000000003</v>
      </c>
      <c r="AD311" s="9">
        <v>2.38</v>
      </c>
      <c r="AE311" s="9">
        <v>5.15</v>
      </c>
      <c r="AF311" s="21">
        <f>2.49-AJ311</f>
        <v>2.37</v>
      </c>
      <c r="AG311" s="18">
        <f>0.62-AQ311</f>
        <v>0.56999999999999995</v>
      </c>
      <c r="AH311" s="9">
        <v>2.4700000000000002</v>
      </c>
      <c r="AI311" s="13">
        <v>800</v>
      </c>
      <c r="AJ311" s="21">
        <f t="shared" si="137"/>
        <v>0.12</v>
      </c>
      <c r="AK311" s="9">
        <v>1.97</v>
      </c>
      <c r="AL311" s="9">
        <v>0.17</v>
      </c>
      <c r="AM311" s="9">
        <v>0.09</v>
      </c>
      <c r="AN311" s="13"/>
      <c r="AO311" s="13">
        <v>736.8</v>
      </c>
      <c r="AP311" s="13">
        <f t="shared" si="135"/>
        <v>5.58</v>
      </c>
      <c r="AQ311" s="18">
        <f t="shared" si="138"/>
        <v>0.05</v>
      </c>
      <c r="AR311" s="9">
        <v>0.55000000000000004</v>
      </c>
      <c r="AS311" s="9">
        <v>0.21</v>
      </c>
      <c r="AT311" s="9">
        <v>7.0000000000000007E-2</v>
      </c>
      <c r="AU311" s="9">
        <v>3.86</v>
      </c>
      <c r="AV311" s="9">
        <v>0.17</v>
      </c>
      <c r="AW311" s="9">
        <f>1.45+0.34+0.26</f>
        <v>2.0499999999999998</v>
      </c>
      <c r="AX311" s="9">
        <f>2.02+0.46</f>
        <v>2.48</v>
      </c>
      <c r="AY311" s="159">
        <f t="shared" si="136"/>
        <v>24.73</v>
      </c>
      <c r="AZ311" s="13">
        <v>24.73</v>
      </c>
      <c r="BA311" s="13">
        <f t="shared" si="114"/>
        <v>0</v>
      </c>
      <c r="BB311" s="9">
        <f t="shared" si="115"/>
        <v>162790.42000000001</v>
      </c>
      <c r="BC311" s="9">
        <v>24.73</v>
      </c>
      <c r="BD311" s="10">
        <v>44409</v>
      </c>
      <c r="BE311" s="9">
        <f t="shared" si="116"/>
        <v>15666.85</v>
      </c>
      <c r="BF311" s="9">
        <f t="shared" si="117"/>
        <v>33900.959999999999</v>
      </c>
      <c r="BG311" s="9">
        <f t="shared" si="118"/>
        <v>15601.02</v>
      </c>
      <c r="BH311" s="9">
        <f t="shared" si="119"/>
        <v>3752.14</v>
      </c>
      <c r="BI311" s="9">
        <f t="shared" si="120"/>
        <v>16259.29</v>
      </c>
      <c r="BJ311" s="9">
        <f t="shared" si="121"/>
        <v>789.93</v>
      </c>
      <c r="BK311" s="9">
        <f t="shared" si="122"/>
        <v>12967.94</v>
      </c>
      <c r="BL311" s="9">
        <f t="shared" si="123"/>
        <v>1119.06</v>
      </c>
      <c r="BM311" s="9">
        <f t="shared" si="124"/>
        <v>592.44000000000005</v>
      </c>
      <c r="BN311" s="9">
        <f t="shared" si="125"/>
        <v>329.14</v>
      </c>
      <c r="BO311" s="9">
        <f t="shared" si="126"/>
        <v>3620.49</v>
      </c>
      <c r="BP311" s="9">
        <f t="shared" si="127"/>
        <v>1382.37</v>
      </c>
      <c r="BQ311" s="9">
        <f t="shared" si="128"/>
        <v>460.79</v>
      </c>
      <c r="BR311" s="9">
        <f t="shared" si="129"/>
        <v>25409.26</v>
      </c>
      <c r="BS311" s="9">
        <f t="shared" si="130"/>
        <v>1119.06</v>
      </c>
      <c r="BT311" s="9">
        <f t="shared" si="131"/>
        <v>13494.56</v>
      </c>
      <c r="BU311" s="9">
        <f t="shared" si="132"/>
        <v>16325.12</v>
      </c>
      <c r="BV311" s="17">
        <f t="shared" si="133"/>
        <v>162790.42000000001</v>
      </c>
      <c r="BW311" s="17">
        <v>4.29</v>
      </c>
      <c r="BX311" s="17">
        <v>0.04</v>
      </c>
      <c r="BY311" s="17">
        <v>0.26</v>
      </c>
      <c r="BZ311" s="27">
        <v>0.04</v>
      </c>
      <c r="CA311" s="29">
        <v>6.33</v>
      </c>
      <c r="CB311" s="325"/>
      <c r="CC311" s="13">
        <v>9835.9500000000007</v>
      </c>
      <c r="CD311" s="13">
        <v>1414.06</v>
      </c>
      <c r="CE311" s="13">
        <v>83.65</v>
      </c>
      <c r="CF311" s="13">
        <v>13.63</v>
      </c>
      <c r="CG311" s="13">
        <v>177.41</v>
      </c>
      <c r="CH311" s="13">
        <v>0</v>
      </c>
      <c r="CI311" s="13">
        <v>9511.61</v>
      </c>
      <c r="CJ311" s="13">
        <v>51184</v>
      </c>
      <c r="CK311" s="13">
        <v>2518.5100000000002</v>
      </c>
      <c r="CL311" s="13">
        <v>1932811.7</v>
      </c>
      <c r="CM311" s="13">
        <v>154955.56</v>
      </c>
      <c r="CN311" s="13">
        <v>297916.79999999999</v>
      </c>
      <c r="CO311" s="13">
        <v>81.99</v>
      </c>
      <c r="CP311" s="13">
        <v>3776.44</v>
      </c>
      <c r="CQ311" s="13">
        <v>0</v>
      </c>
      <c r="CR311" s="13">
        <v>1812905.49</v>
      </c>
      <c r="CS311" s="13">
        <v>156629.16</v>
      </c>
      <c r="CT311" s="13">
        <v>237394.47</v>
      </c>
      <c r="CU311" s="13">
        <v>4947.29</v>
      </c>
      <c r="CV311" s="13">
        <v>4172.58</v>
      </c>
      <c r="CW311" s="13">
        <v>0</v>
      </c>
      <c r="CX311" s="13">
        <v>327550.96000000002</v>
      </c>
      <c r="CY311" s="13">
        <v>29886.23</v>
      </c>
      <c r="CZ311" s="13">
        <v>54369.14</v>
      </c>
      <c r="DA311" s="13">
        <v>-2922.88</v>
      </c>
      <c r="DB311" s="13">
        <v>875.76</v>
      </c>
      <c r="DC311" s="13"/>
      <c r="DD311" s="315">
        <v>2389542.4900000002</v>
      </c>
      <c r="DE311" s="317">
        <v>2216048.9900000002</v>
      </c>
      <c r="DF311" s="317">
        <v>92.74</v>
      </c>
      <c r="DG311" s="318">
        <v>409759.21</v>
      </c>
      <c r="DH311" s="310">
        <v>68778.600000000006</v>
      </c>
      <c r="DI311" s="310">
        <v>39335.160000000003</v>
      </c>
      <c r="DJ311" s="312">
        <v>606965.88</v>
      </c>
      <c r="DK311" s="362">
        <v>34100</v>
      </c>
      <c r="DL311" s="362"/>
      <c r="DM311" s="362">
        <v>0</v>
      </c>
      <c r="DN311" s="362">
        <v>0</v>
      </c>
      <c r="DO311" s="362">
        <v>0</v>
      </c>
      <c r="DP311" s="362">
        <v>12720</v>
      </c>
      <c r="DQ311" s="362">
        <v>0</v>
      </c>
      <c r="DR311" s="362"/>
      <c r="DS311" s="362">
        <v>0</v>
      </c>
      <c r="DT311" s="362"/>
      <c r="DU311" s="362">
        <v>0</v>
      </c>
      <c r="DV311" s="362">
        <v>0</v>
      </c>
      <c r="DW311" s="362">
        <v>0</v>
      </c>
      <c r="DX311" s="362">
        <v>154513.32999999999</v>
      </c>
      <c r="DY311" s="362">
        <v>13500</v>
      </c>
      <c r="DZ311" s="375">
        <v>0</v>
      </c>
      <c r="EA311" s="362">
        <v>0</v>
      </c>
      <c r="EB311" s="362">
        <v>0</v>
      </c>
      <c r="EC311" s="362"/>
      <c r="ED311" s="362">
        <v>0</v>
      </c>
      <c r="EE311" s="362">
        <v>0</v>
      </c>
      <c r="EF311" s="362"/>
      <c r="EG311" s="362">
        <v>0</v>
      </c>
      <c r="EH311" s="362">
        <v>0</v>
      </c>
      <c r="EI311" s="362"/>
      <c r="EJ311" s="362">
        <v>0</v>
      </c>
      <c r="EK311" s="362"/>
      <c r="EL311" s="362">
        <v>0</v>
      </c>
      <c r="EM311" s="362">
        <v>4111.3500000000004</v>
      </c>
      <c r="EN311" s="362">
        <v>489679.86</v>
      </c>
      <c r="EO311" s="362">
        <v>0</v>
      </c>
      <c r="EP311" s="362">
        <v>0</v>
      </c>
      <c r="EQ311" s="362">
        <v>0</v>
      </c>
      <c r="ER311" s="362">
        <v>16380</v>
      </c>
      <c r="ES311" s="362">
        <v>6924</v>
      </c>
      <c r="ET311" s="362">
        <v>13959</v>
      </c>
      <c r="EU311" s="362">
        <v>0</v>
      </c>
      <c r="EV311" s="362">
        <v>639037.87</v>
      </c>
      <c r="EW311" s="362"/>
      <c r="EX311" s="202"/>
      <c r="EY311" s="202"/>
      <c r="EZ311" s="229"/>
      <c r="FA311" s="368">
        <v>152177.68</v>
      </c>
      <c r="FB311" s="368">
        <v>304397.94</v>
      </c>
      <c r="FC311" s="368">
        <v>0</v>
      </c>
      <c r="FD311" s="368">
        <v>0</v>
      </c>
      <c r="FE311" s="368">
        <v>4844.24</v>
      </c>
      <c r="FF311" s="368">
        <v>4068.07</v>
      </c>
      <c r="FG311" s="368">
        <v>-4134.67</v>
      </c>
      <c r="FH311" s="368">
        <v>-3880.26</v>
      </c>
      <c r="FI311" s="368">
        <v>0</v>
      </c>
      <c r="FJ311" s="368">
        <v>0</v>
      </c>
      <c r="FK311" s="368">
        <v>26365.37</v>
      </c>
      <c r="FL311" s="368">
        <v>0</v>
      </c>
      <c r="FM311" s="368">
        <v>175163.83</v>
      </c>
      <c r="FN311" s="368">
        <v>111435.03</v>
      </c>
      <c r="FO311" s="323">
        <v>2386603.91</v>
      </c>
      <c r="FP311" s="323">
        <v>483838.37</v>
      </c>
      <c r="FQ311" s="323">
        <v>2870442.28</v>
      </c>
      <c r="FR311" s="362">
        <v>186080.03</v>
      </c>
      <c r="FS311" s="362">
        <v>17055.580000000002</v>
      </c>
      <c r="FT311" s="377">
        <v>203135.61</v>
      </c>
      <c r="FU311" s="377">
        <v>2003343.26</v>
      </c>
      <c r="FV311" s="377">
        <v>460938.05</v>
      </c>
      <c r="FW311" s="362">
        <v>2464281.31</v>
      </c>
      <c r="FX311" s="362">
        <v>1861872.33</v>
      </c>
      <c r="FY311" s="362">
        <v>395785.38</v>
      </c>
      <c r="FZ311" s="362">
        <v>2257657.71</v>
      </c>
      <c r="GA311" s="362">
        <v>327550.96000000002</v>
      </c>
      <c r="GB311" s="362">
        <v>82208.25</v>
      </c>
      <c r="GC311" s="362">
        <v>409759.21</v>
      </c>
      <c r="GD311" s="362">
        <v>-295370.27</v>
      </c>
      <c r="GE311" s="362">
        <v>12510.79</v>
      </c>
      <c r="GF311" s="362">
        <v>-282859.48</v>
      </c>
      <c r="GG311" s="202"/>
      <c r="GH311" s="416">
        <v>85</v>
      </c>
      <c r="GI311" s="414">
        <v>3966.55</v>
      </c>
      <c r="GJ311" s="419">
        <v>11524.7</v>
      </c>
      <c r="GK311" s="396"/>
      <c r="GL311" s="202">
        <v>0</v>
      </c>
      <c r="GM311" s="202">
        <v>0</v>
      </c>
      <c r="GN311" s="323">
        <v>-383260.65</v>
      </c>
      <c r="GO311" s="323">
        <v>-22900.32</v>
      </c>
      <c r="GP311" s="323">
        <v>-406160.97</v>
      </c>
      <c r="GQ311" s="323">
        <v>-678630.92</v>
      </c>
      <c r="GR311" s="323">
        <v>-10389.530000000001</v>
      </c>
      <c r="GS311" s="323">
        <v>-689020.45</v>
      </c>
    </row>
    <row r="312" spans="1:201" ht="12.75" customHeight="1" x14ac:dyDescent="0.2">
      <c r="A312" s="45" t="s">
        <v>790</v>
      </c>
      <c r="B312" s="123" t="s">
        <v>370</v>
      </c>
      <c r="C312" s="124" t="s">
        <v>48</v>
      </c>
      <c r="D312" s="388" t="s">
        <v>687</v>
      </c>
      <c r="E312" s="124" t="s">
        <v>12</v>
      </c>
      <c r="F312" s="11">
        <v>9</v>
      </c>
      <c r="G312" s="11">
        <v>6</v>
      </c>
      <c r="H312" s="11">
        <v>216</v>
      </c>
      <c r="I312" s="11">
        <v>217</v>
      </c>
      <c r="J312" s="11">
        <v>485</v>
      </c>
      <c r="K312" s="11">
        <v>600</v>
      </c>
      <c r="L312" s="11">
        <v>6</v>
      </c>
      <c r="M312" s="84">
        <v>1926</v>
      </c>
      <c r="N312" s="84">
        <v>1807</v>
      </c>
      <c r="O312" s="84">
        <v>0</v>
      </c>
      <c r="P312" s="139">
        <f>767.7+772.8</f>
        <v>1540.5</v>
      </c>
      <c r="Q312" s="135">
        <f>1800+14.4+9.7+28.3</f>
        <v>1852.4</v>
      </c>
      <c r="R312" s="133">
        <v>0</v>
      </c>
      <c r="S312" s="133">
        <f t="shared" si="134"/>
        <v>3392.9</v>
      </c>
      <c r="T312" s="139">
        <v>1926</v>
      </c>
      <c r="U312" s="130">
        <v>2.44</v>
      </c>
      <c r="V312" s="91">
        <v>1.9800000000000002E-2</v>
      </c>
      <c r="W312" s="91">
        <v>1.9800000000000002E-2</v>
      </c>
      <c r="X312" s="132">
        <v>1.32E-3</v>
      </c>
      <c r="Y312" s="91">
        <v>3.9699999999999999E-2</v>
      </c>
      <c r="Z312" s="29">
        <v>11242.85</v>
      </c>
      <c r="AA312" s="29">
        <v>13.1</v>
      </c>
      <c r="AB312" s="9">
        <f t="shared" si="113"/>
        <v>11255.95</v>
      </c>
      <c r="AC312" s="9">
        <f t="shared" si="112"/>
        <v>71250.16</v>
      </c>
      <c r="AD312" s="9">
        <v>1.89</v>
      </c>
      <c r="AE312" s="9">
        <v>5.07</v>
      </c>
      <c r="AF312" s="21">
        <f>2.5-AJ312</f>
        <v>2.35</v>
      </c>
      <c r="AG312" s="18">
        <f>0.63-AQ312</f>
        <v>0.57999999999999996</v>
      </c>
      <c r="AH312" s="9">
        <v>2.78</v>
      </c>
      <c r="AI312" s="43">
        <v>1735</v>
      </c>
      <c r="AJ312" s="21">
        <f t="shared" si="137"/>
        <v>0.15</v>
      </c>
      <c r="AK312" s="9">
        <v>2.2999999999999998</v>
      </c>
      <c r="AL312" s="9">
        <v>0.2</v>
      </c>
      <c r="AM312" s="9">
        <v>0.05</v>
      </c>
      <c r="AN312" s="13"/>
      <c r="AO312" s="13">
        <v>1267.2</v>
      </c>
      <c r="AP312" s="13">
        <f t="shared" si="135"/>
        <v>5.58</v>
      </c>
      <c r="AQ312" s="18">
        <f t="shared" si="138"/>
        <v>0.05</v>
      </c>
      <c r="AR312" s="9">
        <v>0.59</v>
      </c>
      <c r="AS312" s="9">
        <v>0.36</v>
      </c>
      <c r="AT312" s="9">
        <v>7.0000000000000007E-2</v>
      </c>
      <c r="AU312" s="9">
        <v>3.45</v>
      </c>
      <c r="AV312" s="9">
        <v>0.17</v>
      </c>
      <c r="AW312" s="9">
        <f>1.48+0.27+0.3</f>
        <v>2.0499999999999998</v>
      </c>
      <c r="AX312" s="9">
        <f>2.07+0.41</f>
        <v>2.48</v>
      </c>
      <c r="AY312" s="126">
        <f t="shared" si="136"/>
        <v>24.59</v>
      </c>
      <c r="AZ312" s="13">
        <v>24.59</v>
      </c>
      <c r="BA312" s="13">
        <f t="shared" si="114"/>
        <v>0</v>
      </c>
      <c r="BB312" s="9">
        <f t="shared" si="115"/>
        <v>276783.81</v>
      </c>
      <c r="BC312" s="9">
        <v>24.59</v>
      </c>
      <c r="BD312" s="10">
        <v>44409</v>
      </c>
      <c r="BE312" s="9">
        <f t="shared" si="116"/>
        <v>21273.75</v>
      </c>
      <c r="BF312" s="9">
        <f t="shared" si="117"/>
        <v>57067.67</v>
      </c>
      <c r="BG312" s="9">
        <f t="shared" si="118"/>
        <v>26451.48</v>
      </c>
      <c r="BH312" s="9">
        <f t="shared" si="119"/>
        <v>6528.45</v>
      </c>
      <c r="BI312" s="9">
        <f t="shared" si="120"/>
        <v>31291.54</v>
      </c>
      <c r="BJ312" s="9">
        <f t="shared" si="121"/>
        <v>1688.39</v>
      </c>
      <c r="BK312" s="9">
        <f t="shared" si="122"/>
        <v>25888.69</v>
      </c>
      <c r="BL312" s="9">
        <f t="shared" si="123"/>
        <v>2251.19</v>
      </c>
      <c r="BM312" s="9">
        <f t="shared" si="124"/>
        <v>562.79999999999995</v>
      </c>
      <c r="BN312" s="9">
        <f t="shared" si="125"/>
        <v>562.79999999999995</v>
      </c>
      <c r="BO312" s="9">
        <f t="shared" si="126"/>
        <v>6641.01</v>
      </c>
      <c r="BP312" s="9">
        <f t="shared" si="127"/>
        <v>4052.14</v>
      </c>
      <c r="BQ312" s="9">
        <f t="shared" si="128"/>
        <v>787.92</v>
      </c>
      <c r="BR312" s="9">
        <f t="shared" si="129"/>
        <v>38833.03</v>
      </c>
      <c r="BS312" s="9">
        <f t="shared" si="130"/>
        <v>1913.51</v>
      </c>
      <c r="BT312" s="9">
        <f t="shared" si="131"/>
        <v>23074.7</v>
      </c>
      <c r="BU312" s="9">
        <f t="shared" si="132"/>
        <v>27914.76</v>
      </c>
      <c r="BV312" s="17">
        <f t="shared" si="133"/>
        <v>276783.83</v>
      </c>
      <c r="BW312" s="17">
        <v>1.47</v>
      </c>
      <c r="BX312" s="17">
        <v>0.08</v>
      </c>
      <c r="BY312" s="17">
        <v>0.5</v>
      </c>
      <c r="BZ312" s="27">
        <v>0.09</v>
      </c>
      <c r="CA312" s="29">
        <v>6.33</v>
      </c>
      <c r="CB312" s="325"/>
      <c r="CC312" s="13">
        <v>3865.56</v>
      </c>
      <c r="CD312" s="13">
        <v>425.75</v>
      </c>
      <c r="CE312" s="13">
        <v>0.39</v>
      </c>
      <c r="CF312" s="13">
        <v>66.3</v>
      </c>
      <c r="CG312" s="13">
        <v>47.57</v>
      </c>
      <c r="CH312" s="13">
        <v>5208</v>
      </c>
      <c r="CI312" s="13">
        <v>17290.91</v>
      </c>
      <c r="CJ312" s="13">
        <v>64776</v>
      </c>
      <c r="CK312" s="13">
        <v>4328.0600000000004</v>
      </c>
      <c r="CL312" s="13">
        <v>3317276.46</v>
      </c>
      <c r="CM312" s="13">
        <v>365360.96</v>
      </c>
      <c r="CN312" s="13">
        <v>0</v>
      </c>
      <c r="CO312" s="13">
        <v>57219.47</v>
      </c>
      <c r="CP312" s="13">
        <v>40806.620000000003</v>
      </c>
      <c r="CQ312" s="13">
        <v>0</v>
      </c>
      <c r="CR312" s="13">
        <v>3251189.94</v>
      </c>
      <c r="CS312" s="13">
        <v>317445.95</v>
      </c>
      <c r="CT312" s="13">
        <v>3381.26</v>
      </c>
      <c r="CU312" s="13">
        <v>56140.14</v>
      </c>
      <c r="CV312" s="13">
        <v>38883.64</v>
      </c>
      <c r="CW312" s="13">
        <v>0</v>
      </c>
      <c r="CX312" s="13">
        <v>404551.9</v>
      </c>
      <c r="CY312" s="13">
        <v>63179.61</v>
      </c>
      <c r="CZ312" s="13">
        <v>-6223.81</v>
      </c>
      <c r="DA312" s="13">
        <v>3758.84</v>
      </c>
      <c r="DB312" s="13">
        <v>5911.84</v>
      </c>
      <c r="DC312" s="13"/>
      <c r="DD312" s="315">
        <v>3780663.51</v>
      </c>
      <c r="DE312" s="317">
        <v>3667040.93</v>
      </c>
      <c r="DF312" s="317">
        <v>96.99</v>
      </c>
      <c r="DG312" s="318">
        <v>471178.38</v>
      </c>
      <c r="DH312" s="310">
        <v>118108.2</v>
      </c>
      <c r="DI312" s="310">
        <v>67547.399999999994</v>
      </c>
      <c r="DJ312" s="312">
        <v>0</v>
      </c>
      <c r="DK312" s="362">
        <v>0</v>
      </c>
      <c r="DL312" s="362"/>
      <c r="DM312" s="362">
        <v>0</v>
      </c>
      <c r="DN312" s="362">
        <v>0</v>
      </c>
      <c r="DO312" s="362">
        <v>0</v>
      </c>
      <c r="DP312" s="362">
        <v>0</v>
      </c>
      <c r="DQ312" s="362">
        <v>0</v>
      </c>
      <c r="DR312" s="362"/>
      <c r="DS312" s="362">
        <v>0</v>
      </c>
      <c r="DT312" s="362"/>
      <c r="DU312" s="362">
        <v>0</v>
      </c>
      <c r="DV312" s="362">
        <v>0</v>
      </c>
      <c r="DW312" s="362">
        <v>308539.87</v>
      </c>
      <c r="DX312" s="362">
        <v>0</v>
      </c>
      <c r="DY312" s="362">
        <v>27000</v>
      </c>
      <c r="DZ312" s="375">
        <v>0</v>
      </c>
      <c r="EA312" s="362">
        <v>1081332</v>
      </c>
      <c r="EB312" s="362">
        <v>10233</v>
      </c>
      <c r="EC312" s="362"/>
      <c r="ED312" s="362">
        <v>0</v>
      </c>
      <c r="EE312" s="362">
        <v>0</v>
      </c>
      <c r="EF312" s="362"/>
      <c r="EG312" s="362">
        <v>27612</v>
      </c>
      <c r="EH312" s="362">
        <v>0</v>
      </c>
      <c r="EI312" s="362"/>
      <c r="EJ312" s="362">
        <v>0</v>
      </c>
      <c r="EK312" s="362"/>
      <c r="EL312" s="362">
        <v>0</v>
      </c>
      <c r="EM312" s="362">
        <v>7070.97</v>
      </c>
      <c r="EN312" s="362">
        <v>712298.76</v>
      </c>
      <c r="EO312" s="362">
        <v>2604</v>
      </c>
      <c r="EP312" s="362">
        <v>0</v>
      </c>
      <c r="EQ312" s="362">
        <v>0</v>
      </c>
      <c r="ER312" s="362">
        <v>49140</v>
      </c>
      <c r="ES312" s="362">
        <v>6347</v>
      </c>
      <c r="ET312" s="362">
        <v>26646</v>
      </c>
      <c r="EU312" s="362">
        <v>0</v>
      </c>
      <c r="EV312" s="362">
        <v>49552.6</v>
      </c>
      <c r="EW312" s="362"/>
      <c r="EX312" s="202"/>
      <c r="EY312" s="202"/>
      <c r="EZ312" s="229"/>
      <c r="FA312" s="368">
        <v>362585.17</v>
      </c>
      <c r="FB312" s="368">
        <v>0</v>
      </c>
      <c r="FC312" s="368">
        <v>0</v>
      </c>
      <c r="FD312" s="368">
        <v>0</v>
      </c>
      <c r="FE312" s="368">
        <v>58380.93</v>
      </c>
      <c r="FF312" s="368">
        <v>37920.120000000003</v>
      </c>
      <c r="FG312" s="368">
        <v>-7039.12</v>
      </c>
      <c r="FH312" s="368">
        <v>-6734.48</v>
      </c>
      <c r="FI312" s="368">
        <v>-6818.13</v>
      </c>
      <c r="FJ312" s="368">
        <v>0</v>
      </c>
      <c r="FK312" s="368">
        <v>2313.86</v>
      </c>
      <c r="FL312" s="368">
        <v>0</v>
      </c>
      <c r="FM312" s="368">
        <v>300896.21000000002</v>
      </c>
      <c r="FN312" s="368">
        <v>191324.14</v>
      </c>
      <c r="FO312" s="323">
        <v>2986252.15</v>
      </c>
      <c r="FP312" s="323">
        <v>440608.35</v>
      </c>
      <c r="FQ312" s="323">
        <v>3426860.5</v>
      </c>
      <c r="FR312" s="362">
        <v>254036.74</v>
      </c>
      <c r="FS312" s="362">
        <v>19578.47</v>
      </c>
      <c r="FT312" s="377">
        <v>273615.21000000002</v>
      </c>
      <c r="FU312" s="377">
        <v>3403208.93</v>
      </c>
      <c r="FV312" s="377">
        <v>473463.12</v>
      </c>
      <c r="FW312" s="362">
        <v>3876672.05</v>
      </c>
      <c r="FX312" s="362">
        <v>3252666.43</v>
      </c>
      <c r="FY312" s="362">
        <v>426374.09</v>
      </c>
      <c r="FZ312" s="362">
        <v>3679040.52</v>
      </c>
      <c r="GA312" s="362">
        <v>404579.24</v>
      </c>
      <c r="GB312" s="362">
        <v>66667.5</v>
      </c>
      <c r="GC312" s="362">
        <v>471246.74</v>
      </c>
      <c r="GD312" s="362">
        <v>192631.55</v>
      </c>
      <c r="GE312" s="362">
        <v>10191.02</v>
      </c>
      <c r="GF312" s="362">
        <v>202822.57</v>
      </c>
      <c r="GG312" s="202">
        <v>68.36</v>
      </c>
      <c r="GH312" s="416">
        <v>40</v>
      </c>
      <c r="GI312" s="414">
        <v>3894</v>
      </c>
      <c r="GJ312" s="419">
        <v>9613.57</v>
      </c>
      <c r="GK312" s="396">
        <v>68.36</v>
      </c>
      <c r="GL312" s="202">
        <v>27.344000000000001</v>
      </c>
      <c r="GM312" s="202">
        <v>41.015999999999998</v>
      </c>
      <c r="GN312" s="323">
        <v>416956.78</v>
      </c>
      <c r="GO312" s="323">
        <v>32854.769999999997</v>
      </c>
      <c r="GP312" s="323">
        <v>449811.55</v>
      </c>
      <c r="GQ312" s="323">
        <v>609588.32999999996</v>
      </c>
      <c r="GR312" s="323">
        <v>43045.79</v>
      </c>
      <c r="GS312" s="323">
        <v>652634.12</v>
      </c>
    </row>
    <row r="313" spans="1:201" ht="12.75" customHeight="1" x14ac:dyDescent="0.2">
      <c r="A313" s="45" t="s">
        <v>791</v>
      </c>
      <c r="B313" s="35" t="s">
        <v>370</v>
      </c>
      <c r="C313" s="36" t="s">
        <v>15</v>
      </c>
      <c r="D313" s="388" t="s">
        <v>689</v>
      </c>
      <c r="E313" s="36" t="s">
        <v>9</v>
      </c>
      <c r="F313" s="11">
        <v>9</v>
      </c>
      <c r="G313" s="11">
        <v>1</v>
      </c>
      <c r="H313" s="11">
        <v>171</v>
      </c>
      <c r="I313" s="11">
        <v>170</v>
      </c>
      <c r="J313" s="11">
        <v>172</v>
      </c>
      <c r="K313" s="11">
        <v>217</v>
      </c>
      <c r="L313" s="83">
        <v>1</v>
      </c>
      <c r="M313" s="84">
        <v>975</v>
      </c>
      <c r="N313" s="84">
        <v>888</v>
      </c>
      <c r="O313" s="84">
        <v>0</v>
      </c>
      <c r="P313" s="135">
        <v>974.8</v>
      </c>
      <c r="Q313" s="135">
        <f>555+16.7+34.4</f>
        <v>606.1</v>
      </c>
      <c r="R313" s="133">
        <v>0</v>
      </c>
      <c r="S313" s="133">
        <f t="shared" si="134"/>
        <v>1580.9</v>
      </c>
      <c r="T313" s="134">
        <v>975</v>
      </c>
      <c r="U313" s="130">
        <v>2.44</v>
      </c>
      <c r="V313" s="131">
        <v>1.9800000000000002E-2</v>
      </c>
      <c r="W313" s="131">
        <v>1.9800000000000002E-2</v>
      </c>
      <c r="X313" s="132">
        <v>1.32E-3</v>
      </c>
      <c r="Y313" s="131">
        <v>3.9699999999999999E-2</v>
      </c>
      <c r="Z313" s="29">
        <v>4387.6000000000004</v>
      </c>
      <c r="AA313" s="29"/>
      <c r="AB313" s="9">
        <f t="shared" si="113"/>
        <v>4387.6000000000004</v>
      </c>
      <c r="AC313" s="9">
        <f>SUM(AB313*6.33)</f>
        <v>27773.51</v>
      </c>
      <c r="AD313" s="9">
        <v>2.99</v>
      </c>
      <c r="AE313" s="9">
        <v>3.32</v>
      </c>
      <c r="AF313" s="21">
        <f>2.43-AJ313</f>
        <v>2.2400000000000002</v>
      </c>
      <c r="AG313" s="18">
        <f>0.66-AQ313</f>
        <v>0.55000000000000004</v>
      </c>
      <c r="AH313" s="9">
        <v>2.77</v>
      </c>
      <c r="AI313" s="43">
        <v>852</v>
      </c>
      <c r="AJ313" s="21">
        <f t="shared" si="137"/>
        <v>0.19</v>
      </c>
      <c r="AK313" s="9">
        <v>0.98</v>
      </c>
      <c r="AL313" s="9">
        <v>0.09</v>
      </c>
      <c r="AM313" s="9">
        <v>0.13</v>
      </c>
      <c r="AN313" s="13"/>
      <c r="AO313" s="13">
        <v>1014.6</v>
      </c>
      <c r="AP313" s="13">
        <f t="shared" si="135"/>
        <v>5.58</v>
      </c>
      <c r="AQ313" s="18">
        <f t="shared" si="138"/>
        <v>0.11</v>
      </c>
      <c r="AR313" s="9">
        <v>1.24</v>
      </c>
      <c r="AS313" s="9">
        <v>0.31</v>
      </c>
      <c r="AT313" s="9">
        <v>7.0000000000000007E-2</v>
      </c>
      <c r="AU313" s="9">
        <v>4.3600000000000003</v>
      </c>
      <c r="AV313" s="9">
        <v>0.16</v>
      </c>
      <c r="AW313" s="9">
        <f>1.35+0.39+0.54</f>
        <v>2.2799999999999998</v>
      </c>
      <c r="AX313" s="9">
        <f>1.88+0.51</f>
        <v>2.39</v>
      </c>
      <c r="AY313" s="126">
        <f t="shared" si="136"/>
        <v>24.18</v>
      </c>
      <c r="AZ313" s="13">
        <v>24.18</v>
      </c>
      <c r="BA313" s="13">
        <f t="shared" si="114"/>
        <v>0</v>
      </c>
      <c r="BB313" s="9">
        <f t="shared" si="115"/>
        <v>106092.17</v>
      </c>
      <c r="BC313" s="9">
        <v>24.18</v>
      </c>
      <c r="BD313" s="10">
        <v>44409</v>
      </c>
      <c r="BE313" s="9">
        <f t="shared" si="116"/>
        <v>13118.92</v>
      </c>
      <c r="BF313" s="9">
        <f t="shared" si="117"/>
        <v>14566.83</v>
      </c>
      <c r="BG313" s="9">
        <f t="shared" si="118"/>
        <v>9828.2199999999993</v>
      </c>
      <c r="BH313" s="9">
        <f t="shared" si="119"/>
        <v>2413.1799999999998</v>
      </c>
      <c r="BI313" s="9">
        <f t="shared" si="120"/>
        <v>12153.65</v>
      </c>
      <c r="BJ313" s="9">
        <f t="shared" si="121"/>
        <v>833.64</v>
      </c>
      <c r="BK313" s="9">
        <f t="shared" si="122"/>
        <v>4299.8500000000004</v>
      </c>
      <c r="BL313" s="9">
        <f t="shared" si="123"/>
        <v>394.88</v>
      </c>
      <c r="BM313" s="9">
        <f t="shared" si="124"/>
        <v>570.39</v>
      </c>
      <c r="BN313" s="9">
        <f t="shared" si="125"/>
        <v>482.64</v>
      </c>
      <c r="BO313" s="9">
        <f t="shared" si="126"/>
        <v>5440.62</v>
      </c>
      <c r="BP313" s="9">
        <f t="shared" si="127"/>
        <v>1360.16</v>
      </c>
      <c r="BQ313" s="9">
        <f t="shared" si="128"/>
        <v>307.13</v>
      </c>
      <c r="BR313" s="9">
        <f t="shared" si="129"/>
        <v>19129.939999999999</v>
      </c>
      <c r="BS313" s="9">
        <f t="shared" si="130"/>
        <v>702.02</v>
      </c>
      <c r="BT313" s="9">
        <f t="shared" si="131"/>
        <v>10003.73</v>
      </c>
      <c r="BU313" s="9">
        <f t="shared" si="132"/>
        <v>10486.36</v>
      </c>
      <c r="BV313" s="17">
        <f t="shared" si="133"/>
        <v>106092.16</v>
      </c>
      <c r="BW313" s="17">
        <v>3.42</v>
      </c>
      <c r="BX313" s="17">
        <v>0.12</v>
      </c>
      <c r="BY313" s="17">
        <v>0.79</v>
      </c>
      <c r="BZ313" s="27">
        <v>0.14000000000000001</v>
      </c>
      <c r="CA313" s="29">
        <v>6.33</v>
      </c>
      <c r="CB313" s="325"/>
      <c r="CC313" s="13">
        <v>8762.8700000000008</v>
      </c>
      <c r="CD313" s="13">
        <v>1261.44</v>
      </c>
      <c r="CE313" s="13">
        <v>258.83</v>
      </c>
      <c r="CF313" s="13">
        <v>44.08</v>
      </c>
      <c r="CG313" s="13">
        <v>147.99</v>
      </c>
      <c r="CH313" s="13">
        <v>744</v>
      </c>
      <c r="CI313" s="13">
        <v>7072.64</v>
      </c>
      <c r="CJ313" s="13">
        <v>41782</v>
      </c>
      <c r="CK313" s="13">
        <v>1687.43</v>
      </c>
      <c r="CL313" s="13">
        <v>1265074.24</v>
      </c>
      <c r="CM313" s="13">
        <v>67221.56</v>
      </c>
      <c r="CN313" s="13">
        <v>1.19</v>
      </c>
      <c r="CO313" s="13">
        <v>44353.9</v>
      </c>
      <c r="CP313" s="13">
        <v>27982.61</v>
      </c>
      <c r="CQ313" s="13">
        <v>0</v>
      </c>
      <c r="CR313" s="13">
        <v>1099727.52</v>
      </c>
      <c r="CS313" s="13">
        <v>50838.7</v>
      </c>
      <c r="CT313" s="13">
        <v>2292.34</v>
      </c>
      <c r="CU313" s="13">
        <v>46535.01</v>
      </c>
      <c r="CV313" s="13">
        <v>27477.63</v>
      </c>
      <c r="CW313" s="13">
        <v>0</v>
      </c>
      <c r="CX313" s="13">
        <v>332101.02</v>
      </c>
      <c r="CY313" s="13">
        <v>4026.64</v>
      </c>
      <c r="CZ313" s="13">
        <v>-2647.91</v>
      </c>
      <c r="DA313" s="13">
        <v>10714.84</v>
      </c>
      <c r="DB313" s="13">
        <v>6732</v>
      </c>
      <c r="DC313" s="13"/>
      <c r="DD313" s="315">
        <v>1404633.5</v>
      </c>
      <c r="DE313" s="317">
        <v>1226871.2</v>
      </c>
      <c r="DF313" s="317">
        <v>87.34</v>
      </c>
      <c r="DG313" s="318">
        <v>350926.59</v>
      </c>
      <c r="DH313" s="310">
        <v>46085.760000000002</v>
      </c>
      <c r="DI313" s="310">
        <v>26356.92</v>
      </c>
      <c r="DJ313" s="312">
        <v>0</v>
      </c>
      <c r="DK313" s="362">
        <v>0</v>
      </c>
      <c r="DL313" s="362"/>
      <c r="DM313" s="362">
        <v>0</v>
      </c>
      <c r="DN313" s="362">
        <v>0</v>
      </c>
      <c r="DO313" s="362">
        <v>0</v>
      </c>
      <c r="DP313" s="362">
        <v>0</v>
      </c>
      <c r="DQ313" s="362">
        <v>0</v>
      </c>
      <c r="DR313" s="362"/>
      <c r="DS313" s="362">
        <v>0</v>
      </c>
      <c r="DT313" s="362"/>
      <c r="DU313" s="362">
        <v>0</v>
      </c>
      <c r="DV313" s="362">
        <v>0</v>
      </c>
      <c r="DW313" s="362">
        <v>51600</v>
      </c>
      <c r="DX313" s="362">
        <v>0</v>
      </c>
      <c r="DY313" s="362">
        <v>0</v>
      </c>
      <c r="DZ313" s="375">
        <v>0</v>
      </c>
      <c r="EA313" s="362">
        <v>382710</v>
      </c>
      <c r="EB313" s="362">
        <v>8525</v>
      </c>
      <c r="EC313" s="362"/>
      <c r="ED313" s="362">
        <v>0</v>
      </c>
      <c r="EE313" s="362">
        <v>0</v>
      </c>
      <c r="EF313" s="362"/>
      <c r="EG313" s="362">
        <v>13560</v>
      </c>
      <c r="EH313" s="362">
        <v>0</v>
      </c>
      <c r="EI313" s="362"/>
      <c r="EJ313" s="362">
        <v>0</v>
      </c>
      <c r="EK313" s="362"/>
      <c r="EL313" s="362">
        <v>0</v>
      </c>
      <c r="EM313" s="362">
        <v>5661.48</v>
      </c>
      <c r="EN313" s="362">
        <v>275450.88</v>
      </c>
      <c r="EO313" s="362">
        <v>372</v>
      </c>
      <c r="EP313" s="362">
        <v>0</v>
      </c>
      <c r="EQ313" s="362">
        <v>0</v>
      </c>
      <c r="ER313" s="362">
        <v>15015</v>
      </c>
      <c r="ES313" s="362">
        <v>3462</v>
      </c>
      <c r="ET313" s="362">
        <v>21585</v>
      </c>
      <c r="EU313" s="362">
        <v>0</v>
      </c>
      <c r="EV313" s="362">
        <v>59351.17</v>
      </c>
      <c r="EW313" s="362"/>
      <c r="EX313" s="202"/>
      <c r="EY313" s="202"/>
      <c r="EZ313" s="229"/>
      <c r="FA313" s="368">
        <v>86814.44</v>
      </c>
      <c r="FB313" s="368">
        <v>0</v>
      </c>
      <c r="FC313" s="368">
        <v>0</v>
      </c>
      <c r="FD313" s="368">
        <v>0</v>
      </c>
      <c r="FE313" s="368">
        <v>35324.480000000003</v>
      </c>
      <c r="FF313" s="368">
        <v>21884.48</v>
      </c>
      <c r="FG313" s="368">
        <v>-2295.04</v>
      </c>
      <c r="FH313" s="368">
        <v>-2363.33</v>
      </c>
      <c r="FI313" s="368">
        <v>0</v>
      </c>
      <c r="FJ313" s="368">
        <v>0</v>
      </c>
      <c r="FK313" s="368">
        <v>859.7</v>
      </c>
      <c r="FL313" s="368">
        <v>0</v>
      </c>
      <c r="FM313" s="368">
        <v>117302.75</v>
      </c>
      <c r="FN313" s="368">
        <v>74586.570000000007</v>
      </c>
      <c r="FO313" s="323">
        <v>1101624.53</v>
      </c>
      <c r="FP313" s="323">
        <v>140224.73000000001</v>
      </c>
      <c r="FQ313" s="323">
        <v>1241849.26</v>
      </c>
      <c r="FR313" s="362">
        <v>155564.68</v>
      </c>
      <c r="FS313" s="362">
        <v>11531.19</v>
      </c>
      <c r="FT313" s="377">
        <v>167095.87</v>
      </c>
      <c r="FU313" s="377">
        <v>1322691.75</v>
      </c>
      <c r="FV313" s="377">
        <v>143703.03</v>
      </c>
      <c r="FW313" s="362">
        <v>1466394.78</v>
      </c>
      <c r="FX313" s="362">
        <v>1146155.4099999999</v>
      </c>
      <c r="FY313" s="362">
        <v>136408.65</v>
      </c>
      <c r="FZ313" s="362">
        <v>1282564.06</v>
      </c>
      <c r="GA313" s="362">
        <v>332101.02</v>
      </c>
      <c r="GB313" s="362">
        <v>18825.57</v>
      </c>
      <c r="GC313" s="362">
        <v>350926.59</v>
      </c>
      <c r="GD313" s="362">
        <v>76904.679999999993</v>
      </c>
      <c r="GE313" s="362">
        <v>-26600.49</v>
      </c>
      <c r="GF313" s="362">
        <v>50304.19</v>
      </c>
      <c r="GG313" s="202"/>
      <c r="GH313" s="416">
        <v>78</v>
      </c>
      <c r="GI313" s="414">
        <v>2963</v>
      </c>
      <c r="GJ313" s="419">
        <v>11219.21</v>
      </c>
      <c r="GK313" s="396"/>
      <c r="GL313" s="202">
        <v>0</v>
      </c>
      <c r="GM313" s="202">
        <v>0</v>
      </c>
      <c r="GN313" s="323">
        <v>221067.22</v>
      </c>
      <c r="GO313" s="323">
        <v>3478.3</v>
      </c>
      <c r="GP313" s="323">
        <v>224545.52</v>
      </c>
      <c r="GQ313" s="323">
        <v>297971.90000000002</v>
      </c>
      <c r="GR313" s="323">
        <v>-23122.19</v>
      </c>
      <c r="GS313" s="323">
        <v>274849.71000000002</v>
      </c>
    </row>
    <row r="314" spans="1:201" ht="12.75" customHeight="1" x14ac:dyDescent="0.2">
      <c r="A314" s="45" t="s">
        <v>792</v>
      </c>
      <c r="B314" s="123" t="s">
        <v>370</v>
      </c>
      <c r="C314" s="36" t="s">
        <v>15</v>
      </c>
      <c r="D314" s="388" t="s">
        <v>688</v>
      </c>
      <c r="E314" s="36"/>
      <c r="F314" s="11">
        <v>9</v>
      </c>
      <c r="G314" s="11">
        <v>6</v>
      </c>
      <c r="H314" s="11">
        <v>216</v>
      </c>
      <c r="I314" s="11">
        <v>217</v>
      </c>
      <c r="J314" s="11">
        <v>508</v>
      </c>
      <c r="K314" s="11">
        <v>590</v>
      </c>
      <c r="L314" s="83">
        <v>6</v>
      </c>
      <c r="M314" s="84">
        <v>1803</v>
      </c>
      <c r="N314" s="84">
        <v>1807</v>
      </c>
      <c r="O314" s="84">
        <v>0</v>
      </c>
      <c r="P314" s="135">
        <v>1803.9</v>
      </c>
      <c r="Q314" s="135">
        <v>1486.5</v>
      </c>
      <c r="R314" s="133">
        <v>0</v>
      </c>
      <c r="S314" s="133">
        <f t="shared" si="134"/>
        <v>3290.4</v>
      </c>
      <c r="T314" s="134">
        <v>1803</v>
      </c>
      <c r="U314" s="130">
        <v>2.44</v>
      </c>
      <c r="V314" s="131">
        <v>1.9800000000000002E-2</v>
      </c>
      <c r="W314" s="131">
        <v>1.9800000000000002E-2</v>
      </c>
      <c r="X314" s="132">
        <v>1.32E-3</v>
      </c>
      <c r="Y314" s="131">
        <v>3.9699999999999999E-2</v>
      </c>
      <c r="Z314" s="29">
        <v>11228.09</v>
      </c>
      <c r="AA314" s="29"/>
      <c r="AB314" s="9">
        <f t="shared" si="113"/>
        <v>11228.09</v>
      </c>
      <c r="AC314" s="9">
        <f>SUM(AB314*6.33)</f>
        <v>71073.81</v>
      </c>
      <c r="AD314" s="9">
        <v>2.21</v>
      </c>
      <c r="AE314" s="9">
        <v>4.47</v>
      </c>
      <c r="AF314" s="21">
        <f>2.51-AJ314</f>
        <v>2.36</v>
      </c>
      <c r="AG314" s="18">
        <f>0.63-AQ314</f>
        <v>0.57999999999999996</v>
      </c>
      <c r="AH314" s="9">
        <v>2.78</v>
      </c>
      <c r="AI314" s="43">
        <v>1735</v>
      </c>
      <c r="AJ314" s="21">
        <f t="shared" si="137"/>
        <v>0.15</v>
      </c>
      <c r="AK314" s="9">
        <v>2.2999999999999998</v>
      </c>
      <c r="AL314" s="9">
        <v>0.2</v>
      </c>
      <c r="AM314" s="9">
        <v>0.05</v>
      </c>
      <c r="AN314" s="13"/>
      <c r="AO314" s="13">
        <v>1267.2</v>
      </c>
      <c r="AP314" s="13">
        <f t="shared" si="135"/>
        <v>5.58</v>
      </c>
      <c r="AQ314" s="18">
        <f t="shared" si="138"/>
        <v>0.05</v>
      </c>
      <c r="AR314" s="9">
        <v>0.59</v>
      </c>
      <c r="AS314" s="9">
        <v>0.37</v>
      </c>
      <c r="AT314" s="9">
        <v>7.0000000000000007E-2</v>
      </c>
      <c r="AU314" s="9">
        <v>3.86</v>
      </c>
      <c r="AV314" s="9">
        <v>0.17</v>
      </c>
      <c r="AW314" s="9">
        <f>1.45+0.34+0.27</f>
        <v>2.06</v>
      </c>
      <c r="AX314" s="9">
        <f>2.04+0.46</f>
        <v>2.5</v>
      </c>
      <c r="AY314" s="126">
        <f t="shared" si="136"/>
        <v>24.77</v>
      </c>
      <c r="AZ314" s="13">
        <v>24.77</v>
      </c>
      <c r="BA314" s="13">
        <f t="shared" si="114"/>
        <v>0</v>
      </c>
      <c r="BB314" s="9">
        <f t="shared" si="115"/>
        <v>278119.78999999998</v>
      </c>
      <c r="BC314" s="9">
        <v>24.77</v>
      </c>
      <c r="BD314" s="10">
        <v>44440</v>
      </c>
      <c r="BE314" s="9">
        <f t="shared" si="116"/>
        <v>24814.080000000002</v>
      </c>
      <c r="BF314" s="9">
        <f t="shared" si="117"/>
        <v>50189.56</v>
      </c>
      <c r="BG314" s="9">
        <f t="shared" si="118"/>
        <v>26498.29</v>
      </c>
      <c r="BH314" s="9">
        <f t="shared" si="119"/>
        <v>6512.29</v>
      </c>
      <c r="BI314" s="9">
        <f t="shared" si="120"/>
        <v>31214.09</v>
      </c>
      <c r="BJ314" s="9">
        <f t="shared" si="121"/>
        <v>1684.21</v>
      </c>
      <c r="BK314" s="9">
        <f t="shared" si="122"/>
        <v>25824.61</v>
      </c>
      <c r="BL314" s="9">
        <f t="shared" si="123"/>
        <v>2245.62</v>
      </c>
      <c r="BM314" s="9">
        <f t="shared" si="124"/>
        <v>561.4</v>
      </c>
      <c r="BN314" s="9">
        <f t="shared" si="125"/>
        <v>561.4</v>
      </c>
      <c r="BO314" s="9">
        <f t="shared" si="126"/>
        <v>6624.57</v>
      </c>
      <c r="BP314" s="9">
        <f t="shared" si="127"/>
        <v>4154.3900000000003</v>
      </c>
      <c r="BQ314" s="9">
        <f t="shared" si="128"/>
        <v>785.97</v>
      </c>
      <c r="BR314" s="9">
        <f t="shared" si="129"/>
        <v>43340.43</v>
      </c>
      <c r="BS314" s="9">
        <f t="shared" si="130"/>
        <v>1908.78</v>
      </c>
      <c r="BT314" s="9">
        <f t="shared" si="131"/>
        <v>23129.87</v>
      </c>
      <c r="BU314" s="9">
        <f t="shared" si="132"/>
        <v>28070.23</v>
      </c>
      <c r="BV314" s="17">
        <f t="shared" si="133"/>
        <v>278119.78999999998</v>
      </c>
      <c r="BW314" s="17">
        <v>1.58</v>
      </c>
      <c r="BX314" s="17">
        <v>0.09</v>
      </c>
      <c r="BY314" s="17">
        <v>0.56999999999999995</v>
      </c>
      <c r="BZ314" s="27">
        <v>0.1</v>
      </c>
      <c r="CA314" s="29">
        <v>6.33</v>
      </c>
      <c r="CB314" s="325"/>
      <c r="CC314" s="13">
        <v>0</v>
      </c>
      <c r="CD314" s="13">
        <v>0</v>
      </c>
      <c r="CE314" s="13">
        <v>0</v>
      </c>
      <c r="CF314" s="13">
        <v>0</v>
      </c>
      <c r="CG314" s="13">
        <v>0</v>
      </c>
      <c r="CH314" s="13">
        <v>10416</v>
      </c>
      <c r="CI314" s="13">
        <v>8845.51</v>
      </c>
      <c r="CJ314" s="13">
        <v>85236</v>
      </c>
      <c r="CK314" s="13">
        <v>4316.8599999999997</v>
      </c>
      <c r="CL314" s="13">
        <v>3337002.89</v>
      </c>
      <c r="CM314" s="13">
        <v>340838.98</v>
      </c>
      <c r="CN314" s="13">
        <v>101052.38</v>
      </c>
      <c r="CO314" s="13">
        <v>11115.73</v>
      </c>
      <c r="CP314" s="13">
        <v>12125.47</v>
      </c>
      <c r="CQ314" s="13">
        <v>0</v>
      </c>
      <c r="CR314" s="13">
        <v>3031623.98</v>
      </c>
      <c r="CS314" s="13">
        <v>289400.09000000003</v>
      </c>
      <c r="CT314" s="13">
        <v>90183.72</v>
      </c>
      <c r="CU314" s="13">
        <v>8372.81</v>
      </c>
      <c r="CV314" s="13">
        <v>10275.549999999999</v>
      </c>
      <c r="CW314" s="13">
        <v>0</v>
      </c>
      <c r="CX314" s="13">
        <v>630683.11</v>
      </c>
      <c r="CY314" s="13">
        <v>68520.45</v>
      </c>
      <c r="CZ314" s="13">
        <v>-27385.99</v>
      </c>
      <c r="DA314" s="13">
        <v>1922.42</v>
      </c>
      <c r="DB314" s="13">
        <v>2249.9</v>
      </c>
      <c r="DC314" s="13"/>
      <c r="DD314" s="315">
        <v>3802135.45</v>
      </c>
      <c r="DE314" s="317">
        <v>3429856.15</v>
      </c>
      <c r="DF314" s="317">
        <v>90.21</v>
      </c>
      <c r="DG314" s="318">
        <v>675989.89</v>
      </c>
      <c r="DH314" s="310">
        <v>117938.4</v>
      </c>
      <c r="DI314" s="310">
        <v>67450.2</v>
      </c>
      <c r="DJ314" s="312">
        <v>0</v>
      </c>
      <c r="DK314" s="362">
        <v>0</v>
      </c>
      <c r="DL314" s="362"/>
      <c r="DM314" s="362">
        <v>0</v>
      </c>
      <c r="DN314" s="362">
        <v>0</v>
      </c>
      <c r="DO314" s="362">
        <v>0</v>
      </c>
      <c r="DP314" s="362">
        <v>0</v>
      </c>
      <c r="DQ314" s="362">
        <v>0</v>
      </c>
      <c r="DR314" s="362"/>
      <c r="DS314" s="362">
        <v>0</v>
      </c>
      <c r="DT314" s="362"/>
      <c r="DU314" s="362">
        <v>0</v>
      </c>
      <c r="DV314" s="362">
        <v>0</v>
      </c>
      <c r="DW314" s="362">
        <v>309600</v>
      </c>
      <c r="DX314" s="362">
        <v>0</v>
      </c>
      <c r="DY314" s="362">
        <v>27000</v>
      </c>
      <c r="DZ314" s="375">
        <v>0</v>
      </c>
      <c r="EA314" s="362">
        <v>1036266</v>
      </c>
      <c r="EB314" s="362">
        <v>8525</v>
      </c>
      <c r="EC314" s="362"/>
      <c r="ED314" s="362">
        <v>0</v>
      </c>
      <c r="EE314" s="362">
        <v>0</v>
      </c>
      <c r="EF314" s="362"/>
      <c r="EG314" s="362">
        <v>27612</v>
      </c>
      <c r="EH314" s="362">
        <v>0</v>
      </c>
      <c r="EI314" s="362"/>
      <c r="EJ314" s="362">
        <v>0</v>
      </c>
      <c r="EK314" s="362"/>
      <c r="EL314" s="362">
        <v>0</v>
      </c>
      <c r="EM314" s="362">
        <v>7070.97</v>
      </c>
      <c r="EN314" s="362">
        <v>712148.94</v>
      </c>
      <c r="EO314" s="362">
        <v>5208</v>
      </c>
      <c r="EP314" s="362">
        <v>0</v>
      </c>
      <c r="EQ314" s="362">
        <v>0</v>
      </c>
      <c r="ER314" s="362">
        <v>49140</v>
      </c>
      <c r="ES314" s="362">
        <v>0</v>
      </c>
      <c r="ET314" s="362">
        <v>26646</v>
      </c>
      <c r="EU314" s="362">
        <v>0</v>
      </c>
      <c r="EV314" s="362">
        <v>53629.97</v>
      </c>
      <c r="EW314" s="362"/>
      <c r="EX314" s="202"/>
      <c r="EY314" s="202"/>
      <c r="EZ314" s="229"/>
      <c r="FA314" s="368">
        <v>324385.40000000002</v>
      </c>
      <c r="FB314" s="368">
        <v>113167.21</v>
      </c>
      <c r="FC314" s="368">
        <v>0</v>
      </c>
      <c r="FD314" s="368">
        <v>0</v>
      </c>
      <c r="FE314" s="368">
        <v>11958.16</v>
      </c>
      <c r="FF314" s="368">
        <v>12860.2</v>
      </c>
      <c r="FG314" s="368">
        <v>0</v>
      </c>
      <c r="FH314" s="368">
        <v>-2871.73</v>
      </c>
      <c r="FI314" s="368">
        <v>0</v>
      </c>
      <c r="FJ314" s="368">
        <v>0</v>
      </c>
      <c r="FK314" s="368">
        <v>224204.39</v>
      </c>
      <c r="FL314" s="368">
        <v>0</v>
      </c>
      <c r="FM314" s="368">
        <v>300137.40999999997</v>
      </c>
      <c r="FN314" s="368">
        <v>190840.81</v>
      </c>
      <c r="FO314" s="323">
        <v>2939213.7</v>
      </c>
      <c r="FP314" s="323">
        <v>683703.63</v>
      </c>
      <c r="FQ314" s="323">
        <v>3622917.33</v>
      </c>
      <c r="FR314" s="362">
        <v>353120.2</v>
      </c>
      <c r="FS314" s="362">
        <v>28115.21</v>
      </c>
      <c r="FT314" s="377">
        <v>381235.41</v>
      </c>
      <c r="FU314" s="377">
        <v>3431084.4</v>
      </c>
      <c r="FV314" s="377">
        <v>479865.42</v>
      </c>
      <c r="FW314" s="362">
        <v>3910949.82</v>
      </c>
      <c r="FX314" s="362">
        <v>3153521.49</v>
      </c>
      <c r="FY314" s="362">
        <v>462673.85</v>
      </c>
      <c r="FZ314" s="362">
        <v>3616195.34</v>
      </c>
      <c r="GA314" s="362">
        <v>630683.11</v>
      </c>
      <c r="GB314" s="362">
        <v>45306.78</v>
      </c>
      <c r="GC314" s="362">
        <v>675989.89</v>
      </c>
      <c r="GD314" s="362">
        <v>-44796.62</v>
      </c>
      <c r="GE314" s="362">
        <v>50703.18</v>
      </c>
      <c r="GF314" s="362">
        <v>5906.56</v>
      </c>
      <c r="GG314" s="202"/>
      <c r="GH314" s="416">
        <v>0</v>
      </c>
      <c r="GI314" s="414">
        <v>6349</v>
      </c>
      <c r="GJ314" s="419">
        <v>10416</v>
      </c>
      <c r="GK314" s="396"/>
      <c r="GL314" s="202">
        <v>0</v>
      </c>
      <c r="GM314" s="202">
        <v>0</v>
      </c>
      <c r="GN314" s="323">
        <v>491870.7</v>
      </c>
      <c r="GO314" s="323">
        <v>-203838.21</v>
      </c>
      <c r="GP314" s="323">
        <v>288032.49</v>
      </c>
      <c r="GQ314" s="323">
        <v>447074.08</v>
      </c>
      <c r="GR314" s="323">
        <v>-153135.03</v>
      </c>
      <c r="GS314" s="323">
        <v>293939.05</v>
      </c>
    </row>
    <row r="315" spans="1:201" ht="12.75" customHeight="1" x14ac:dyDescent="0.2">
      <c r="A315" s="45" t="s">
        <v>896</v>
      </c>
      <c r="B315" s="123" t="s">
        <v>370</v>
      </c>
      <c r="C315" s="124" t="s">
        <v>21</v>
      </c>
      <c r="D315" s="388" t="s">
        <v>538</v>
      </c>
      <c r="E315" s="124" t="s">
        <v>12</v>
      </c>
      <c r="F315" s="11">
        <v>9</v>
      </c>
      <c r="G315" s="11">
        <v>2</v>
      </c>
      <c r="H315" s="11">
        <v>100</v>
      </c>
      <c r="I315" s="11">
        <v>100</v>
      </c>
      <c r="J315" s="11">
        <v>179</v>
      </c>
      <c r="K315" s="11">
        <v>208</v>
      </c>
      <c r="L315" s="83">
        <v>2</v>
      </c>
      <c r="M315" s="84">
        <v>646</v>
      </c>
      <c r="N315" s="84">
        <v>827</v>
      </c>
      <c r="O315" s="84">
        <v>827</v>
      </c>
      <c r="P315" s="139">
        <v>659.9</v>
      </c>
      <c r="Q315" s="135">
        <v>771.4</v>
      </c>
      <c r="R315" s="133">
        <v>771.4</v>
      </c>
      <c r="S315" s="133">
        <f t="shared" si="134"/>
        <v>2202.6999999999998</v>
      </c>
      <c r="T315" s="139">
        <v>646</v>
      </c>
      <c r="U315" s="130">
        <v>2.44</v>
      </c>
      <c r="V315" s="131">
        <v>1.9800000000000002E-2</v>
      </c>
      <c r="W315" s="131">
        <v>1.9800000000000002E-2</v>
      </c>
      <c r="X315" s="132">
        <v>1.32E-3</v>
      </c>
      <c r="Y315" s="131">
        <v>3.9699999999999999E-2</v>
      </c>
      <c r="Z315" s="29">
        <v>4374.3999999999996</v>
      </c>
      <c r="AA315" s="29">
        <v>1280.8</v>
      </c>
      <c r="AB315" s="9">
        <f t="shared" si="113"/>
        <v>5655.2</v>
      </c>
      <c r="AC315" s="9">
        <f>SUM(AB315*6.33)</f>
        <v>35797.42</v>
      </c>
      <c r="AD315" s="9">
        <v>1.57</v>
      </c>
      <c r="AE315" s="9">
        <v>5</v>
      </c>
      <c r="AF315" s="21">
        <f>2.49-AJ315</f>
        <v>2.35</v>
      </c>
      <c r="AG315" s="18">
        <f>0.59-AQ315</f>
        <v>0.54</v>
      </c>
      <c r="AH315" s="9">
        <v>2.77</v>
      </c>
      <c r="AI315" s="43">
        <v>794</v>
      </c>
      <c r="AJ315" s="21">
        <f t="shared" si="137"/>
        <v>0.14000000000000001</v>
      </c>
      <c r="AK315" s="9">
        <v>1.52</v>
      </c>
      <c r="AL315" s="9">
        <v>0.41</v>
      </c>
      <c r="AM315" s="9">
        <v>0.1</v>
      </c>
      <c r="AN315" s="13"/>
      <c r="AO315" s="13">
        <v>611.79999999999995</v>
      </c>
      <c r="AP315" s="13">
        <f t="shared" si="135"/>
        <v>5.58</v>
      </c>
      <c r="AQ315" s="18">
        <f t="shared" si="138"/>
        <v>0.05</v>
      </c>
      <c r="AR315" s="9">
        <v>0.55000000000000004</v>
      </c>
      <c r="AS315" s="9">
        <v>0.24</v>
      </c>
      <c r="AT315" s="9">
        <v>7.0000000000000007E-2</v>
      </c>
      <c r="AU315" s="9">
        <v>3.62</v>
      </c>
      <c r="AV315" s="9">
        <v>0.16</v>
      </c>
      <c r="AW315" s="9">
        <f>1.37+0.32+0.32</f>
        <v>2.0099999999999998</v>
      </c>
      <c r="AX315" s="9">
        <f>1.92+0.43</f>
        <v>2.35</v>
      </c>
      <c r="AY315" s="126">
        <f t="shared" si="136"/>
        <v>23.45</v>
      </c>
      <c r="AZ315" s="13">
        <v>23.45</v>
      </c>
      <c r="BA315" s="13">
        <f t="shared" si="114"/>
        <v>0</v>
      </c>
      <c r="BB315" s="9">
        <f t="shared" si="115"/>
        <v>132614.44</v>
      </c>
      <c r="BC315" s="9">
        <v>23.45</v>
      </c>
      <c r="BD315" s="10">
        <v>44409</v>
      </c>
      <c r="BE315" s="9">
        <f t="shared" si="116"/>
        <v>8878.66</v>
      </c>
      <c r="BF315" s="9">
        <f t="shared" si="117"/>
        <v>28276</v>
      </c>
      <c r="BG315" s="9">
        <f t="shared" si="118"/>
        <v>13289.72</v>
      </c>
      <c r="BH315" s="9">
        <f t="shared" si="119"/>
        <v>3053.81</v>
      </c>
      <c r="BI315" s="9">
        <f t="shared" si="120"/>
        <v>15664.9</v>
      </c>
      <c r="BJ315" s="9">
        <f t="shared" si="121"/>
        <v>791.73</v>
      </c>
      <c r="BK315" s="9">
        <f t="shared" si="122"/>
        <v>8595.9</v>
      </c>
      <c r="BL315" s="9">
        <f t="shared" si="123"/>
        <v>2318.63</v>
      </c>
      <c r="BM315" s="9">
        <f t="shared" si="124"/>
        <v>565.52</v>
      </c>
      <c r="BN315" s="9">
        <f t="shared" si="125"/>
        <v>282.76</v>
      </c>
      <c r="BO315" s="9">
        <f t="shared" si="126"/>
        <v>3110.36</v>
      </c>
      <c r="BP315" s="9">
        <f t="shared" si="127"/>
        <v>1357.25</v>
      </c>
      <c r="BQ315" s="9">
        <f t="shared" si="128"/>
        <v>395.86</v>
      </c>
      <c r="BR315" s="9">
        <f t="shared" si="129"/>
        <v>20471.82</v>
      </c>
      <c r="BS315" s="9">
        <f t="shared" si="130"/>
        <v>904.83</v>
      </c>
      <c r="BT315" s="9">
        <f t="shared" si="131"/>
        <v>11366.95</v>
      </c>
      <c r="BU315" s="9">
        <f t="shared" si="132"/>
        <v>13289.72</v>
      </c>
      <c r="BV315" s="17">
        <f t="shared" si="133"/>
        <v>132614.42000000001</v>
      </c>
      <c r="BW315" s="17">
        <v>2.48</v>
      </c>
      <c r="BX315" s="17">
        <v>7.0000000000000007E-2</v>
      </c>
      <c r="BY315" s="17">
        <v>0.41</v>
      </c>
      <c r="BZ315" s="27">
        <v>7.0000000000000007E-2</v>
      </c>
      <c r="CA315" s="29">
        <v>6.33</v>
      </c>
      <c r="CB315" s="325"/>
      <c r="CC315" s="13">
        <v>362942.27</v>
      </c>
      <c r="CD315" s="13">
        <v>20124.59</v>
      </c>
      <c r="CE315" s="13">
        <v>1691.28</v>
      </c>
      <c r="CF315" s="13">
        <v>12545.03</v>
      </c>
      <c r="CG315" s="13">
        <v>8356.83</v>
      </c>
      <c r="CH315" s="13">
        <v>0</v>
      </c>
      <c r="CI315" s="13">
        <v>21882.52</v>
      </c>
      <c r="CJ315" s="13">
        <v>34884</v>
      </c>
      <c r="CK315" s="13">
        <v>2174.92</v>
      </c>
      <c r="CL315" s="13">
        <v>1352742.95</v>
      </c>
      <c r="CM315" s="13">
        <v>67628.479999999996</v>
      </c>
      <c r="CN315" s="13">
        <v>-43.78</v>
      </c>
      <c r="CO315" s="13">
        <v>47725.21</v>
      </c>
      <c r="CP315" s="13">
        <v>28521.53</v>
      </c>
      <c r="CQ315" s="13">
        <v>0</v>
      </c>
      <c r="CR315" s="13">
        <v>1285525.1200000001</v>
      </c>
      <c r="CS315" s="13">
        <v>68335.08</v>
      </c>
      <c r="CT315" s="13">
        <v>3571.19</v>
      </c>
      <c r="CU315" s="13">
        <v>43848.43</v>
      </c>
      <c r="CV315" s="13">
        <v>25969.87</v>
      </c>
      <c r="CW315" s="13">
        <v>0</v>
      </c>
      <c r="CX315" s="13">
        <v>183229.41</v>
      </c>
      <c r="CY315" s="13">
        <v>-3946.13</v>
      </c>
      <c r="CZ315" s="13">
        <v>-3666.89</v>
      </c>
      <c r="DA315" s="13">
        <v>6863.63</v>
      </c>
      <c r="DB315" s="13">
        <v>4958.8900000000003</v>
      </c>
      <c r="DC315" s="13"/>
      <c r="DD315" s="315">
        <v>1496574.39</v>
      </c>
      <c r="DE315" s="317">
        <v>1427249.69</v>
      </c>
      <c r="DF315" s="317">
        <v>95.37</v>
      </c>
      <c r="DG315" s="318">
        <v>187438.91</v>
      </c>
      <c r="DH315" s="310">
        <v>45965.72</v>
      </c>
      <c r="DI315" s="310">
        <v>26287.08</v>
      </c>
      <c r="DJ315" s="312">
        <v>0</v>
      </c>
      <c r="DK315" s="362">
        <v>0</v>
      </c>
      <c r="DL315" s="362"/>
      <c r="DM315" s="362">
        <v>0</v>
      </c>
      <c r="DN315" s="362">
        <v>0</v>
      </c>
      <c r="DO315" s="362">
        <v>0</v>
      </c>
      <c r="DP315" s="362">
        <v>0</v>
      </c>
      <c r="DQ315" s="362">
        <v>0</v>
      </c>
      <c r="DR315" s="362"/>
      <c r="DS315" s="362">
        <v>0</v>
      </c>
      <c r="DT315" s="362"/>
      <c r="DU315" s="362">
        <v>0</v>
      </c>
      <c r="DV315" s="362">
        <v>0</v>
      </c>
      <c r="DW315" s="362">
        <v>84136.66</v>
      </c>
      <c r="DX315" s="362">
        <v>0</v>
      </c>
      <c r="DY315" s="362">
        <v>0</v>
      </c>
      <c r="DZ315" s="375">
        <v>0</v>
      </c>
      <c r="EA315" s="362">
        <v>514158</v>
      </c>
      <c r="EB315" s="362">
        <v>10650</v>
      </c>
      <c r="EC315" s="362"/>
      <c r="ED315" s="362">
        <v>0</v>
      </c>
      <c r="EE315" s="362">
        <v>0</v>
      </c>
      <c r="EF315" s="362"/>
      <c r="EG315" s="362">
        <v>12636</v>
      </c>
      <c r="EH315" s="362">
        <v>22225</v>
      </c>
      <c r="EI315" s="362"/>
      <c r="EJ315" s="362">
        <v>0</v>
      </c>
      <c r="EK315" s="362"/>
      <c r="EL315" s="362">
        <v>0</v>
      </c>
      <c r="EM315" s="362">
        <v>3413.85</v>
      </c>
      <c r="EN315" s="362">
        <v>356312.82</v>
      </c>
      <c r="EO315" s="362">
        <v>0</v>
      </c>
      <c r="EP315" s="362">
        <v>0</v>
      </c>
      <c r="EQ315" s="362">
        <v>0</v>
      </c>
      <c r="ER315" s="362">
        <v>6825</v>
      </c>
      <c r="ES315" s="362">
        <v>4039</v>
      </c>
      <c r="ET315" s="362">
        <v>12846</v>
      </c>
      <c r="EU315" s="362">
        <v>0</v>
      </c>
      <c r="EV315" s="362">
        <v>138558.95000000001</v>
      </c>
      <c r="EW315" s="362"/>
      <c r="EX315" s="202"/>
      <c r="EY315" s="202"/>
      <c r="EZ315" s="229"/>
      <c r="FA315" s="368">
        <v>114038.39999999999</v>
      </c>
      <c r="FB315" s="368">
        <v>0</v>
      </c>
      <c r="FC315" s="368">
        <v>0</v>
      </c>
      <c r="FD315" s="368">
        <v>0</v>
      </c>
      <c r="FE315" s="368">
        <v>62118.77</v>
      </c>
      <c r="FF315" s="368">
        <v>35566.160000000003</v>
      </c>
      <c r="FG315" s="368">
        <v>-3269.9</v>
      </c>
      <c r="FH315" s="368">
        <v>-3219.11</v>
      </c>
      <c r="FI315" s="368">
        <v>-8021.13</v>
      </c>
      <c r="FJ315" s="368">
        <v>0</v>
      </c>
      <c r="FK315" s="368">
        <v>12436.6</v>
      </c>
      <c r="FL315" s="368">
        <v>0</v>
      </c>
      <c r="FM315" s="368">
        <v>151192.10999999999</v>
      </c>
      <c r="FN315" s="368">
        <v>96135.01</v>
      </c>
      <c r="FO315" s="323">
        <v>1485381.2</v>
      </c>
      <c r="FP315" s="323">
        <v>209649.79</v>
      </c>
      <c r="FQ315" s="323">
        <v>1695030.99</v>
      </c>
      <c r="FR315" s="362">
        <v>155760.93</v>
      </c>
      <c r="FS315" s="362">
        <v>11434.48</v>
      </c>
      <c r="FT315" s="377">
        <v>167195.41</v>
      </c>
      <c r="FU315" s="377">
        <v>1772451.74</v>
      </c>
      <c r="FV315" s="377">
        <v>188724.09</v>
      </c>
      <c r="FW315" s="362">
        <v>1961175.83</v>
      </c>
      <c r="FX315" s="362">
        <v>1546553.47</v>
      </c>
      <c r="FY315" s="362">
        <v>171424.04</v>
      </c>
      <c r="FZ315" s="362">
        <v>1717977.51</v>
      </c>
      <c r="GA315" s="362">
        <v>381659.2</v>
      </c>
      <c r="GB315" s="362">
        <v>28734.53</v>
      </c>
      <c r="GC315" s="362">
        <v>410393.73</v>
      </c>
      <c r="GD315" s="362">
        <v>-742008.16</v>
      </c>
      <c r="GE315" s="362">
        <v>34064.239999999998</v>
      </c>
      <c r="GF315" s="362">
        <v>-707943.92</v>
      </c>
      <c r="GG315" s="202">
        <v>222954.82</v>
      </c>
      <c r="GH315" s="416">
        <v>89</v>
      </c>
      <c r="GI315" s="414">
        <v>2455</v>
      </c>
      <c r="GJ315" s="419">
        <v>405660</v>
      </c>
      <c r="GK315" s="396">
        <v>222954.82</v>
      </c>
      <c r="GL315" s="202">
        <v>198429.7898</v>
      </c>
      <c r="GM315" s="202">
        <v>24525.030200000001</v>
      </c>
      <c r="GN315" s="323">
        <v>287070.53999999998</v>
      </c>
      <c r="GO315" s="323">
        <v>-20925.7</v>
      </c>
      <c r="GP315" s="323">
        <v>266144.84000000003</v>
      </c>
      <c r="GQ315" s="323">
        <v>-454937.62</v>
      </c>
      <c r="GR315" s="323">
        <v>13138.54</v>
      </c>
      <c r="GS315" s="323">
        <v>-441799.08</v>
      </c>
    </row>
    <row r="316" spans="1:201" ht="12.75" customHeight="1" x14ac:dyDescent="0.2">
      <c r="A316" s="45" t="s">
        <v>897</v>
      </c>
      <c r="B316" s="123" t="s">
        <v>370</v>
      </c>
      <c r="C316" s="124" t="s">
        <v>21</v>
      </c>
      <c r="D316" s="388" t="s">
        <v>685</v>
      </c>
      <c r="E316" s="124" t="s">
        <v>9</v>
      </c>
      <c r="F316" s="11">
        <v>10</v>
      </c>
      <c r="G316" s="11">
        <v>3</v>
      </c>
      <c r="H316" s="11">
        <v>120</v>
      </c>
      <c r="I316" s="11">
        <v>120</v>
      </c>
      <c r="J316" s="11">
        <v>253</v>
      </c>
      <c r="K316" s="11">
        <v>325</v>
      </c>
      <c r="L316" s="83">
        <v>3</v>
      </c>
      <c r="M316" s="84">
        <v>727</v>
      </c>
      <c r="N316" s="84">
        <v>897</v>
      </c>
      <c r="O316" s="84">
        <v>897</v>
      </c>
      <c r="P316" s="135">
        <v>830.8</v>
      </c>
      <c r="Q316" s="135">
        <v>695.1</v>
      </c>
      <c r="R316" s="135">
        <v>695.1</v>
      </c>
      <c r="S316" s="133">
        <f t="shared" si="134"/>
        <v>2221</v>
      </c>
      <c r="T316" s="134">
        <v>830.8</v>
      </c>
      <c r="U316" s="130">
        <v>2.74</v>
      </c>
      <c r="V316" s="131">
        <v>1.1299999999999999E-2</v>
      </c>
      <c r="W316" s="131">
        <v>1.1299999999999999E-2</v>
      </c>
      <c r="X316" s="132">
        <v>7.5000000000000002E-4</v>
      </c>
      <c r="Y316" s="131">
        <v>2.2499999999999999E-2</v>
      </c>
      <c r="Z316" s="29">
        <v>6495.95</v>
      </c>
      <c r="AA316" s="29"/>
      <c r="AB316" s="9">
        <f t="shared" si="113"/>
        <v>6495.95</v>
      </c>
      <c r="AC316" s="9">
        <f>SUM(AB316*6.33)</f>
        <v>41119.360000000001</v>
      </c>
      <c r="AD316" s="9">
        <v>0.98</v>
      </c>
      <c r="AE316" s="9">
        <v>3.2</v>
      </c>
      <c r="AF316" s="21">
        <f>1.55-AJ316</f>
        <v>1.42</v>
      </c>
      <c r="AG316" s="18">
        <f>0.39-AQ316</f>
        <v>0.34</v>
      </c>
      <c r="AH316" s="9">
        <f>1.57</f>
        <v>1.57</v>
      </c>
      <c r="AI316" s="43">
        <v>861</v>
      </c>
      <c r="AJ316" s="21">
        <f t="shared" si="137"/>
        <v>0.13</v>
      </c>
      <c r="AK316" s="9">
        <v>1.26</v>
      </c>
      <c r="AL316" s="9">
        <v>0.11</v>
      </c>
      <c r="AM316" s="9">
        <v>0.09</v>
      </c>
      <c r="AN316" s="13"/>
      <c r="AO316" s="13">
        <v>736.8</v>
      </c>
      <c r="AP316" s="13">
        <f t="shared" si="135"/>
        <v>5.58</v>
      </c>
      <c r="AQ316" s="18">
        <f t="shared" si="138"/>
        <v>0.05</v>
      </c>
      <c r="AR316" s="9">
        <v>0.35</v>
      </c>
      <c r="AS316" s="9">
        <v>0.13</v>
      </c>
      <c r="AT316" s="9">
        <v>0.04</v>
      </c>
      <c r="AU316" s="9">
        <v>2.96</v>
      </c>
      <c r="AV316" s="9">
        <v>0.1</v>
      </c>
      <c r="AW316" s="9">
        <f>0.87+0.34+0.16</f>
        <v>1.37</v>
      </c>
      <c r="AX316" s="9">
        <f>1.22+0.47</f>
        <v>1.69</v>
      </c>
      <c r="AY316" s="126">
        <f t="shared" si="136"/>
        <v>15.79</v>
      </c>
      <c r="AZ316" s="13">
        <v>15.79</v>
      </c>
      <c r="BA316" s="13">
        <f t="shared" si="114"/>
        <v>0</v>
      </c>
      <c r="BB316" s="9">
        <f t="shared" si="115"/>
        <v>102571.05</v>
      </c>
      <c r="BC316" s="9">
        <v>15.79</v>
      </c>
      <c r="BD316" s="10">
        <v>44440</v>
      </c>
      <c r="BE316" s="9">
        <f t="shared" si="116"/>
        <v>6366.03</v>
      </c>
      <c r="BF316" s="9">
        <f t="shared" si="117"/>
        <v>20787.04</v>
      </c>
      <c r="BG316" s="9">
        <f t="shared" si="118"/>
        <v>9224.25</v>
      </c>
      <c r="BH316" s="9">
        <f t="shared" si="119"/>
        <v>2208.62</v>
      </c>
      <c r="BI316" s="9">
        <f t="shared" si="120"/>
        <v>10198.64</v>
      </c>
      <c r="BJ316" s="9">
        <f t="shared" si="121"/>
        <v>844.47</v>
      </c>
      <c r="BK316" s="9">
        <f t="shared" si="122"/>
        <v>8184.9</v>
      </c>
      <c r="BL316" s="9">
        <f t="shared" si="123"/>
        <v>714.55</v>
      </c>
      <c r="BM316" s="9">
        <f t="shared" si="124"/>
        <v>584.64</v>
      </c>
      <c r="BN316" s="9">
        <f t="shared" si="125"/>
        <v>324.8</v>
      </c>
      <c r="BO316" s="9">
        <f t="shared" si="126"/>
        <v>2273.58</v>
      </c>
      <c r="BP316" s="9">
        <f t="shared" si="127"/>
        <v>844.47</v>
      </c>
      <c r="BQ316" s="9">
        <f t="shared" si="128"/>
        <v>259.83999999999997</v>
      </c>
      <c r="BR316" s="9">
        <f t="shared" si="129"/>
        <v>19228.009999999998</v>
      </c>
      <c r="BS316" s="9">
        <f t="shared" si="130"/>
        <v>649.6</v>
      </c>
      <c r="BT316" s="9">
        <f t="shared" si="131"/>
        <v>8899.4500000000007</v>
      </c>
      <c r="BU316" s="9">
        <f t="shared" si="132"/>
        <v>10978.16</v>
      </c>
      <c r="BV316" s="17">
        <f t="shared" si="133"/>
        <v>102571.05</v>
      </c>
      <c r="BW316" s="17">
        <v>4.0599999999999996</v>
      </c>
      <c r="BX316" s="17">
        <v>0.04</v>
      </c>
      <c r="BY316" s="17">
        <v>0.26</v>
      </c>
      <c r="BZ316" s="27">
        <v>0.04</v>
      </c>
      <c r="CA316" s="29">
        <v>6.33</v>
      </c>
      <c r="CB316" s="325"/>
      <c r="CC316" s="13">
        <v>15298.02</v>
      </c>
      <c r="CD316" s="13">
        <v>0</v>
      </c>
      <c r="CE316" s="13">
        <v>0</v>
      </c>
      <c r="CF316" s="13">
        <v>0</v>
      </c>
      <c r="CG316" s="13">
        <v>0</v>
      </c>
      <c r="CH316" s="13">
        <v>0</v>
      </c>
      <c r="CI316" s="13">
        <v>7148.33</v>
      </c>
      <c r="CJ316" s="13">
        <v>44580</v>
      </c>
      <c r="CK316" s="13">
        <v>2498.27</v>
      </c>
      <c r="CL316" s="13">
        <v>1230852</v>
      </c>
      <c r="CM316" s="13">
        <v>95360.63</v>
      </c>
      <c r="CN316" s="13">
        <v>239376.26</v>
      </c>
      <c r="CO316" s="13">
        <v>0</v>
      </c>
      <c r="CP316" s="13">
        <v>1560.12</v>
      </c>
      <c r="CQ316" s="13">
        <v>0</v>
      </c>
      <c r="CR316" s="13">
        <v>1141557.69</v>
      </c>
      <c r="CS316" s="13">
        <v>93595.62</v>
      </c>
      <c r="CT316" s="13">
        <v>217539.29</v>
      </c>
      <c r="CU316" s="13">
        <v>164.27</v>
      </c>
      <c r="CV316" s="13">
        <v>1488.95</v>
      </c>
      <c r="CW316" s="13">
        <v>0</v>
      </c>
      <c r="CX316" s="13">
        <v>205012.61</v>
      </c>
      <c r="CY316" s="13">
        <v>4509.32</v>
      </c>
      <c r="CZ316" s="13">
        <v>25714.59</v>
      </c>
      <c r="DA316" s="13">
        <v>-244.05</v>
      </c>
      <c r="DB316" s="13">
        <v>192.9</v>
      </c>
      <c r="DC316" s="13"/>
      <c r="DD316" s="315">
        <v>1567149.01</v>
      </c>
      <c r="DE316" s="317">
        <v>1454345.82</v>
      </c>
      <c r="DF316" s="317">
        <v>92.8</v>
      </c>
      <c r="DG316" s="318">
        <v>235185.37</v>
      </c>
      <c r="DH316" s="310">
        <v>68255.759999999995</v>
      </c>
      <c r="DI316" s="310">
        <v>39036.14</v>
      </c>
      <c r="DJ316" s="312">
        <v>0</v>
      </c>
      <c r="DK316" s="362">
        <v>0</v>
      </c>
      <c r="DL316" s="362"/>
      <c r="DM316" s="362">
        <v>0</v>
      </c>
      <c r="DN316" s="362">
        <v>0</v>
      </c>
      <c r="DO316" s="362">
        <v>0</v>
      </c>
      <c r="DP316" s="362">
        <v>0</v>
      </c>
      <c r="DQ316" s="362">
        <v>0</v>
      </c>
      <c r="DR316" s="362"/>
      <c r="DS316" s="362">
        <v>0</v>
      </c>
      <c r="DT316" s="362"/>
      <c r="DU316" s="362">
        <v>0</v>
      </c>
      <c r="DV316" s="362">
        <v>0</v>
      </c>
      <c r="DW316" s="362">
        <v>154800</v>
      </c>
      <c r="DX316" s="362">
        <v>0</v>
      </c>
      <c r="DY316" s="362">
        <v>18000</v>
      </c>
      <c r="DZ316" s="375">
        <v>0</v>
      </c>
      <c r="EA316" s="362">
        <v>284388</v>
      </c>
      <c r="EB316" s="362">
        <v>10650</v>
      </c>
      <c r="EC316" s="362"/>
      <c r="ED316" s="362">
        <v>0</v>
      </c>
      <c r="EE316" s="362">
        <v>0</v>
      </c>
      <c r="EF316" s="362"/>
      <c r="EG316" s="362">
        <v>13704</v>
      </c>
      <c r="EH316" s="362">
        <v>0</v>
      </c>
      <c r="EI316" s="362"/>
      <c r="EJ316" s="362">
        <v>0</v>
      </c>
      <c r="EK316" s="362"/>
      <c r="EL316" s="362">
        <v>0</v>
      </c>
      <c r="EM316" s="362">
        <v>4111.3500000000004</v>
      </c>
      <c r="EN316" s="362">
        <v>214542.24</v>
      </c>
      <c r="EO316" s="362">
        <v>0</v>
      </c>
      <c r="EP316" s="362">
        <v>0</v>
      </c>
      <c r="EQ316" s="362">
        <v>0</v>
      </c>
      <c r="ER316" s="362">
        <v>16380</v>
      </c>
      <c r="ES316" s="362">
        <v>11304</v>
      </c>
      <c r="ET316" s="362">
        <v>13959</v>
      </c>
      <c r="EU316" s="362">
        <v>0</v>
      </c>
      <c r="EV316" s="362">
        <v>348733.58</v>
      </c>
      <c r="EW316" s="362"/>
      <c r="EX316" s="202"/>
      <c r="EY316" s="202"/>
      <c r="EZ316" s="229"/>
      <c r="FA316" s="368">
        <v>94835.35</v>
      </c>
      <c r="FB316" s="368">
        <v>241530.26</v>
      </c>
      <c r="FC316" s="368">
        <v>0</v>
      </c>
      <c r="FD316" s="368">
        <v>0</v>
      </c>
      <c r="FE316" s="368">
        <v>0</v>
      </c>
      <c r="FF316" s="368">
        <v>1686.7</v>
      </c>
      <c r="FG316" s="368">
        <v>0</v>
      </c>
      <c r="FH316" s="368">
        <v>-1706.2</v>
      </c>
      <c r="FI316" s="368">
        <v>0</v>
      </c>
      <c r="FJ316" s="368">
        <v>0</v>
      </c>
      <c r="FK316" s="368">
        <v>5021.25</v>
      </c>
      <c r="FL316" s="368">
        <v>0</v>
      </c>
      <c r="FM316" s="368">
        <v>173669.62</v>
      </c>
      <c r="FN316" s="368">
        <v>110427.26</v>
      </c>
      <c r="FO316" s="323">
        <v>1481960.95</v>
      </c>
      <c r="FP316" s="323">
        <v>341367.36</v>
      </c>
      <c r="FQ316" s="323">
        <v>1823328.31</v>
      </c>
      <c r="FR316" s="362">
        <v>109820.64</v>
      </c>
      <c r="FS316" s="362">
        <v>2329.06</v>
      </c>
      <c r="FT316" s="377">
        <v>112149.7</v>
      </c>
      <c r="FU316" s="377">
        <v>1297878.3500000001</v>
      </c>
      <c r="FV316" s="377">
        <v>338795.28</v>
      </c>
      <c r="FW316" s="362">
        <v>1636673.63</v>
      </c>
      <c r="FX316" s="362">
        <v>1202686.3799999999</v>
      </c>
      <c r="FY316" s="362">
        <v>310951.58</v>
      </c>
      <c r="FZ316" s="362">
        <v>1513637.96</v>
      </c>
      <c r="GA316" s="362">
        <v>205012.61</v>
      </c>
      <c r="GB316" s="362">
        <v>30172.76</v>
      </c>
      <c r="GC316" s="362">
        <v>235185.37</v>
      </c>
      <c r="GD316" s="362">
        <v>42127.839999999997</v>
      </c>
      <c r="GE316" s="362">
        <v>16684.38</v>
      </c>
      <c r="GF316" s="362">
        <v>58812.22</v>
      </c>
      <c r="GG316" s="202"/>
      <c r="GH316" s="416">
        <v>100</v>
      </c>
      <c r="GI316" s="414">
        <v>2963</v>
      </c>
      <c r="GJ316" s="419">
        <v>15298.02</v>
      </c>
      <c r="GK316" s="396"/>
      <c r="GL316" s="202">
        <v>0</v>
      </c>
      <c r="GM316" s="202">
        <v>0</v>
      </c>
      <c r="GN316" s="323">
        <v>-184082.6</v>
      </c>
      <c r="GO316" s="323">
        <v>-2572.08</v>
      </c>
      <c r="GP316" s="323">
        <v>-186654.68</v>
      </c>
      <c r="GQ316" s="323">
        <v>-141954.76</v>
      </c>
      <c r="GR316" s="323">
        <v>14112.3</v>
      </c>
      <c r="GS316" s="323">
        <v>-127842.46</v>
      </c>
    </row>
    <row r="317" spans="1:201" ht="12.75" customHeight="1" thickBot="1" x14ac:dyDescent="0.25">
      <c r="A317" s="45" t="s">
        <v>898</v>
      </c>
      <c r="B317" s="123" t="s">
        <v>370</v>
      </c>
      <c r="C317" s="124" t="s">
        <v>62</v>
      </c>
      <c r="D317" s="388" t="s">
        <v>686</v>
      </c>
      <c r="E317" s="124" t="s">
        <v>19</v>
      </c>
      <c r="F317" s="11">
        <v>9</v>
      </c>
      <c r="G317" s="11">
        <v>4</v>
      </c>
      <c r="H317" s="11">
        <v>144</v>
      </c>
      <c r="I317" s="11">
        <v>147</v>
      </c>
      <c r="J317" s="11">
        <v>344</v>
      </c>
      <c r="K317" s="11">
        <v>385</v>
      </c>
      <c r="L317" s="11">
        <v>4</v>
      </c>
      <c r="M317" s="84">
        <v>1391</v>
      </c>
      <c r="N317" s="84">
        <v>1230</v>
      </c>
      <c r="O317" s="84">
        <v>0</v>
      </c>
      <c r="S317" s="133">
        <f t="shared" si="134"/>
        <v>0</v>
      </c>
      <c r="T317" s="89">
        <v>1391</v>
      </c>
      <c r="U317" s="130">
        <v>2.44</v>
      </c>
      <c r="V317" s="131">
        <v>1.9800000000000002E-2</v>
      </c>
      <c r="W317" s="131">
        <v>1.9800000000000002E-2</v>
      </c>
      <c r="X317" s="132">
        <v>1.32E-3</v>
      </c>
      <c r="Y317" s="131">
        <v>3.9699999999999999E-2</v>
      </c>
      <c r="Z317" s="29">
        <v>7421.47</v>
      </c>
      <c r="AA317" s="29"/>
      <c r="AB317" s="9">
        <f t="shared" si="113"/>
        <v>7421.47</v>
      </c>
      <c r="AC317" s="9">
        <f>SUM(AB317*6.33)</f>
        <v>46977.91</v>
      </c>
      <c r="AD317" s="9">
        <v>1.9</v>
      </c>
      <c r="AE317" s="9">
        <v>4.17</v>
      </c>
      <c r="AF317" s="21">
        <f>2.48-AJ317</f>
        <v>2.3199999999999998</v>
      </c>
      <c r="AG317" s="18">
        <f>0.65-AQ317</f>
        <v>0.6</v>
      </c>
      <c r="AH317" s="9">
        <v>2.78</v>
      </c>
      <c r="AI317" s="43">
        <v>1181</v>
      </c>
      <c r="AJ317" s="21">
        <f t="shared" si="137"/>
        <v>0.16</v>
      </c>
      <c r="AK317" s="9">
        <v>2.33</v>
      </c>
      <c r="AL317" s="9">
        <v>0.2</v>
      </c>
      <c r="AM317" s="9">
        <v>0.08</v>
      </c>
      <c r="AN317" s="13"/>
      <c r="AO317" s="13">
        <v>844.8</v>
      </c>
      <c r="AP317" s="13">
        <f t="shared" si="135"/>
        <v>5.58</v>
      </c>
      <c r="AQ317" s="18">
        <f t="shared" si="138"/>
        <v>0.05</v>
      </c>
      <c r="AR317" s="9">
        <v>0.61</v>
      </c>
      <c r="AS317" s="9">
        <v>0.18</v>
      </c>
      <c r="AT317" s="9">
        <v>7.0000000000000007E-2</v>
      </c>
      <c r="AU317" s="9">
        <v>4.57</v>
      </c>
      <c r="AV317" s="9">
        <v>0.16</v>
      </c>
      <c r="AW317" s="9">
        <f>1.39+0.4+0.27</f>
        <v>2.06</v>
      </c>
      <c r="AX317" s="9">
        <f>1.95+0.54</f>
        <v>2.4900000000000002</v>
      </c>
      <c r="AY317" s="126">
        <f t="shared" si="136"/>
        <v>24.73</v>
      </c>
      <c r="AZ317" s="13">
        <v>24.73</v>
      </c>
      <c r="BA317" s="13">
        <f t="shared" si="114"/>
        <v>0</v>
      </c>
      <c r="BB317" s="9">
        <f t="shared" si="115"/>
        <v>183532.95</v>
      </c>
      <c r="BC317" s="9">
        <v>24.73</v>
      </c>
      <c r="BD317" s="10">
        <v>44409</v>
      </c>
      <c r="BE317" s="9">
        <f t="shared" si="116"/>
        <v>14100.79</v>
      </c>
      <c r="BF317" s="9">
        <f t="shared" si="117"/>
        <v>30947.53</v>
      </c>
      <c r="BG317" s="9">
        <f t="shared" si="118"/>
        <v>17217.810000000001</v>
      </c>
      <c r="BH317" s="9">
        <f t="shared" si="119"/>
        <v>4452.88</v>
      </c>
      <c r="BI317" s="9">
        <f t="shared" si="120"/>
        <v>20631.689999999999</v>
      </c>
      <c r="BJ317" s="9">
        <f t="shared" si="121"/>
        <v>1187.44</v>
      </c>
      <c r="BK317" s="9">
        <f t="shared" si="122"/>
        <v>17292.03</v>
      </c>
      <c r="BL317" s="9">
        <f t="shared" si="123"/>
        <v>1484.29</v>
      </c>
      <c r="BM317" s="9">
        <f t="shared" si="124"/>
        <v>593.72</v>
      </c>
      <c r="BN317" s="9">
        <f t="shared" si="125"/>
        <v>371.07</v>
      </c>
      <c r="BO317" s="9">
        <f t="shared" si="126"/>
        <v>4527.1000000000004</v>
      </c>
      <c r="BP317" s="9">
        <f t="shared" si="127"/>
        <v>1335.86</v>
      </c>
      <c r="BQ317" s="9">
        <f t="shared" si="128"/>
        <v>519.5</v>
      </c>
      <c r="BR317" s="9">
        <f t="shared" si="129"/>
        <v>33916.120000000003</v>
      </c>
      <c r="BS317" s="9">
        <f t="shared" si="130"/>
        <v>1187.44</v>
      </c>
      <c r="BT317" s="9">
        <f t="shared" si="131"/>
        <v>15288.23</v>
      </c>
      <c r="BU317" s="9">
        <f t="shared" si="132"/>
        <v>18479.46</v>
      </c>
      <c r="BV317" s="17">
        <f t="shared" si="133"/>
        <v>183532.96</v>
      </c>
      <c r="BW317" s="17">
        <v>1.37</v>
      </c>
      <c r="BX317" s="17">
        <v>0.08</v>
      </c>
      <c r="BY317" s="17">
        <v>0.46</v>
      </c>
      <c r="BZ317" s="27">
        <v>0.09</v>
      </c>
      <c r="CA317" s="29">
        <v>6.33</v>
      </c>
      <c r="CB317" s="325"/>
      <c r="CC317" s="13">
        <v>0</v>
      </c>
      <c r="CD317" s="13">
        <v>0</v>
      </c>
      <c r="CE317" s="13">
        <v>0</v>
      </c>
      <c r="CF317" s="13">
        <v>0</v>
      </c>
      <c r="CG317" s="13">
        <v>0</v>
      </c>
      <c r="CH317" s="13">
        <v>0</v>
      </c>
      <c r="CI317" s="13">
        <v>15688.69</v>
      </c>
      <c r="CJ317" s="13">
        <v>55326</v>
      </c>
      <c r="CK317" s="13">
        <v>2854.23</v>
      </c>
      <c r="CL317" s="13">
        <v>2201481.79</v>
      </c>
      <c r="CM317" s="13">
        <v>520690.68</v>
      </c>
      <c r="CN317" s="13">
        <v>37107.199999999997</v>
      </c>
      <c r="CO317" s="13">
        <v>27681.4</v>
      </c>
      <c r="CP317" s="13">
        <v>21076.46</v>
      </c>
      <c r="CQ317" s="13">
        <v>0</v>
      </c>
      <c r="CR317" s="13">
        <v>2028865.75</v>
      </c>
      <c r="CS317" s="13">
        <v>427438.93</v>
      </c>
      <c r="CT317" s="13">
        <v>31885.08</v>
      </c>
      <c r="CU317" s="13">
        <v>28711.87</v>
      </c>
      <c r="CV317" s="13">
        <v>20331.59</v>
      </c>
      <c r="CW317" s="13">
        <v>0</v>
      </c>
      <c r="CX317" s="13">
        <v>388991.31</v>
      </c>
      <c r="CY317" s="13">
        <v>104561.83</v>
      </c>
      <c r="CZ317" s="13">
        <v>6559.78</v>
      </c>
      <c r="DA317" s="13">
        <v>2789.48</v>
      </c>
      <c r="DB317" s="13">
        <v>3655.86</v>
      </c>
      <c r="DC317" s="13"/>
      <c r="DD317" s="315">
        <v>2808037.53</v>
      </c>
      <c r="DE317" s="317">
        <v>2537233.2200000002</v>
      </c>
      <c r="DF317" s="317">
        <v>90.36</v>
      </c>
      <c r="DG317" s="318">
        <v>506558.26</v>
      </c>
      <c r="DH317" s="310">
        <v>77987</v>
      </c>
      <c r="DI317" s="310">
        <v>44597.9</v>
      </c>
      <c r="DJ317" s="312">
        <v>0</v>
      </c>
      <c r="DK317" s="362">
        <v>0</v>
      </c>
      <c r="DL317" s="362">
        <v>0</v>
      </c>
      <c r="DM317" s="362">
        <v>0</v>
      </c>
      <c r="DN317" s="362">
        <v>0</v>
      </c>
      <c r="DO317" s="362">
        <v>0</v>
      </c>
      <c r="DP317" s="362">
        <v>0</v>
      </c>
      <c r="DQ317" s="362">
        <v>0</v>
      </c>
      <c r="DR317" s="362">
        <v>0</v>
      </c>
      <c r="DS317" s="362">
        <v>0</v>
      </c>
      <c r="DT317" s="362">
        <v>0</v>
      </c>
      <c r="DU317" s="362">
        <v>0</v>
      </c>
      <c r="DV317" s="362">
        <v>0</v>
      </c>
      <c r="DW317" s="362">
        <v>205683.37</v>
      </c>
      <c r="DX317" s="362">
        <v>0</v>
      </c>
      <c r="DY317" s="362">
        <v>18000</v>
      </c>
      <c r="DZ317" s="375">
        <v>0</v>
      </c>
      <c r="EA317" s="362">
        <v>620790</v>
      </c>
      <c r="EB317" s="362">
        <v>11270</v>
      </c>
      <c r="EC317" s="362"/>
      <c r="ED317" s="362">
        <v>0</v>
      </c>
      <c r="EE317" s="362">
        <v>0</v>
      </c>
      <c r="EF317" s="362"/>
      <c r="EG317" s="362">
        <v>18792</v>
      </c>
      <c r="EH317" s="362">
        <v>0</v>
      </c>
      <c r="EI317" s="362">
        <v>0</v>
      </c>
      <c r="EJ317" s="362">
        <v>0</v>
      </c>
      <c r="EK317" s="362">
        <v>0</v>
      </c>
      <c r="EL317" s="362">
        <v>0</v>
      </c>
      <c r="EM317" s="362">
        <v>4598.05</v>
      </c>
      <c r="EN317" s="362">
        <v>468405.12</v>
      </c>
      <c r="EO317" s="362">
        <v>0</v>
      </c>
      <c r="EP317" s="362">
        <v>0</v>
      </c>
      <c r="EQ317" s="362">
        <v>0</v>
      </c>
      <c r="ER317" s="362">
        <v>16380</v>
      </c>
      <c r="ES317" s="362">
        <v>0</v>
      </c>
      <c r="ET317" s="362">
        <v>17976</v>
      </c>
      <c r="EU317" s="362">
        <v>0</v>
      </c>
      <c r="EV317" s="362">
        <v>13339.2</v>
      </c>
      <c r="EW317" s="362"/>
      <c r="EX317" s="202"/>
      <c r="EY317" s="202"/>
      <c r="EZ317" s="229"/>
      <c r="FA317" s="368">
        <v>545006.78</v>
      </c>
      <c r="FB317" s="368">
        <v>37896.400000000001</v>
      </c>
      <c r="FC317" s="368">
        <v>0</v>
      </c>
      <c r="FD317" s="368">
        <v>0</v>
      </c>
      <c r="FE317" s="368">
        <v>25179.11</v>
      </c>
      <c r="FF317" s="368">
        <v>18254.21</v>
      </c>
      <c r="FG317" s="368">
        <v>-2588.2600000000002</v>
      </c>
      <c r="FH317" s="368">
        <v>-3226.48</v>
      </c>
      <c r="FI317" s="368">
        <v>0</v>
      </c>
      <c r="FJ317" s="368">
        <v>0</v>
      </c>
      <c r="FK317" s="368">
        <v>27725.53</v>
      </c>
      <c r="FL317" s="368">
        <v>0</v>
      </c>
      <c r="FM317" s="368">
        <v>198433.66</v>
      </c>
      <c r="FN317" s="368">
        <v>126073.53</v>
      </c>
      <c r="FO317" s="323">
        <v>1842325.83</v>
      </c>
      <c r="FP317" s="323">
        <v>648247.29</v>
      </c>
      <c r="FQ317" s="323">
        <v>2490573.12</v>
      </c>
      <c r="FR317" s="362">
        <v>188009.32</v>
      </c>
      <c r="FS317" s="362">
        <v>50788.91</v>
      </c>
      <c r="FT317" s="377">
        <v>238798.23</v>
      </c>
      <c r="FU317" s="377">
        <v>2272496.48</v>
      </c>
      <c r="FV317" s="377">
        <v>609409.97</v>
      </c>
      <c r="FW317" s="362">
        <v>2881906.45</v>
      </c>
      <c r="FX317" s="362">
        <v>2071514.49</v>
      </c>
      <c r="FY317" s="362">
        <v>542631.93000000005</v>
      </c>
      <c r="FZ317" s="362">
        <v>2614146.42</v>
      </c>
      <c r="GA317" s="362">
        <v>388991.31</v>
      </c>
      <c r="GB317" s="362">
        <v>117566.95</v>
      </c>
      <c r="GC317" s="362">
        <v>506558.26</v>
      </c>
      <c r="GD317" s="362">
        <v>169737.56</v>
      </c>
      <c r="GE317" s="362">
        <v>-12265.82</v>
      </c>
      <c r="GF317" s="362">
        <v>157471.74</v>
      </c>
      <c r="GG317" s="202"/>
      <c r="GH317" s="417"/>
      <c r="GI317" s="414">
        <v>3386</v>
      </c>
      <c r="GJ317" s="420">
        <v>0</v>
      </c>
      <c r="GK317" s="397"/>
      <c r="GL317" s="202">
        <v>0</v>
      </c>
      <c r="GM317" s="202">
        <v>0</v>
      </c>
      <c r="GN317" s="323">
        <v>430170.65</v>
      </c>
      <c r="GO317" s="323">
        <v>-38837.32</v>
      </c>
      <c r="GP317" s="323">
        <v>391333.33</v>
      </c>
      <c r="GQ317" s="323">
        <v>599908.21</v>
      </c>
      <c r="GR317" s="323">
        <v>-51103.14</v>
      </c>
      <c r="GS317" s="323">
        <v>548805.06999999995</v>
      </c>
    </row>
    <row r="318" spans="1:201" s="95" customFormat="1" ht="12.75" customHeight="1" thickBot="1" x14ac:dyDescent="0.25">
      <c r="A318" s="45"/>
      <c r="B318" s="191" t="s">
        <v>5</v>
      </c>
      <c r="C318" s="45"/>
      <c r="D318" s="192"/>
      <c r="E318" s="45"/>
      <c r="F318" s="45"/>
      <c r="G318" s="45"/>
      <c r="H318" s="45"/>
      <c r="I318" s="45"/>
      <c r="J318" s="42"/>
      <c r="K318" s="42">
        <f>SUM(K7:K317)</f>
        <v>84703</v>
      </c>
      <c r="L318" s="45"/>
      <c r="M318" s="84"/>
      <c r="N318" s="84"/>
      <c r="O318" s="84"/>
      <c r="P318" s="42">
        <f>SUM(P7:P317)</f>
        <v>216141</v>
      </c>
      <c r="Q318" s="42">
        <f>SUM(Q7:Q317)</f>
        <v>245498.47</v>
      </c>
      <c r="R318" s="42">
        <f>SUM(R7:R317)</f>
        <v>74433.75</v>
      </c>
      <c r="S318" s="42">
        <f>SUM(S7:S317)</f>
        <v>536073.22</v>
      </c>
      <c r="T318" s="42">
        <f>SUM(T7:T317)</f>
        <v>224517.7</v>
      </c>
      <c r="U318" s="90"/>
      <c r="V318" s="91"/>
      <c r="W318" s="91"/>
      <c r="X318" s="193"/>
      <c r="Y318" s="193"/>
      <c r="Z318" s="181">
        <f>SUM(Z7:Z317)</f>
        <v>1697116.98</v>
      </c>
      <c r="AA318" s="181">
        <f>SUM(AA7:AA317)</f>
        <v>48893.7</v>
      </c>
      <c r="AB318" s="42">
        <f>SUM(AB7:AB317)</f>
        <v>1746010.68</v>
      </c>
      <c r="AC318" s="42">
        <f t="shared" ref="AC318:BV318" si="139">SUM(AC7:AC317)</f>
        <v>10927850.029999999</v>
      </c>
      <c r="AD318" s="42">
        <f t="shared" si="139"/>
        <v>405.75</v>
      </c>
      <c r="AE318" s="42">
        <f t="shared" si="139"/>
        <v>1319.41</v>
      </c>
      <c r="AF318" s="42" t="e">
        <f t="shared" si="139"/>
        <v>#DIV/0!</v>
      </c>
      <c r="AG318" s="42" t="e">
        <f t="shared" si="139"/>
        <v>#DIV/0!</v>
      </c>
      <c r="AH318" s="42">
        <f t="shared" si="139"/>
        <v>827.48</v>
      </c>
      <c r="AI318" s="42">
        <f t="shared" si="139"/>
        <v>312005</v>
      </c>
      <c r="AJ318" s="42" t="e">
        <f t="shared" si="139"/>
        <v>#DIV/0!</v>
      </c>
      <c r="AK318" s="42">
        <f t="shared" si="139"/>
        <v>330.32</v>
      </c>
      <c r="AL318" s="42">
        <f t="shared" si="139"/>
        <v>41.22</v>
      </c>
      <c r="AM318" s="42">
        <f t="shared" si="139"/>
        <v>50.47</v>
      </c>
      <c r="AN318" s="42">
        <f t="shared" si="139"/>
        <v>10615</v>
      </c>
      <c r="AO318" s="42">
        <f t="shared" si="139"/>
        <v>239133.1</v>
      </c>
      <c r="AP318" s="42">
        <f t="shared" si="139"/>
        <v>1735.38</v>
      </c>
      <c r="AQ318" s="42" t="e">
        <f t="shared" si="139"/>
        <v>#DIV/0!</v>
      </c>
      <c r="AR318" s="42">
        <f t="shared" si="139"/>
        <v>208.49</v>
      </c>
      <c r="AS318" s="42">
        <f t="shared" si="139"/>
        <v>115.52</v>
      </c>
      <c r="AT318" s="42">
        <f t="shared" si="139"/>
        <v>21.45</v>
      </c>
      <c r="AU318" s="42">
        <f t="shared" si="139"/>
        <v>1285.47</v>
      </c>
      <c r="AV318" s="42">
        <f t="shared" si="139"/>
        <v>45.82</v>
      </c>
      <c r="AW318" s="42">
        <f t="shared" si="139"/>
        <v>588.64</v>
      </c>
      <c r="AX318" s="42">
        <f t="shared" si="139"/>
        <v>686.66</v>
      </c>
      <c r="AY318" s="42" t="e">
        <f t="shared" si="139"/>
        <v>#DIV/0!</v>
      </c>
      <c r="AZ318" s="42">
        <f t="shared" si="139"/>
        <v>6863.63</v>
      </c>
      <c r="BA318" s="42" t="e">
        <f t="shared" si="139"/>
        <v>#DIV/0!</v>
      </c>
      <c r="BB318" s="42">
        <f t="shared" si="139"/>
        <v>40039580.850000001</v>
      </c>
      <c r="BC318" s="42">
        <f t="shared" si="139"/>
        <v>51311.55</v>
      </c>
      <c r="BD318" s="42">
        <f t="shared" si="139"/>
        <v>13810662</v>
      </c>
      <c r="BE318" s="42">
        <f t="shared" si="139"/>
        <v>2894742.81</v>
      </c>
      <c r="BF318" s="42">
        <f t="shared" si="139"/>
        <v>7489368.1299999999</v>
      </c>
      <c r="BG318" s="42" t="e">
        <f t="shared" si="139"/>
        <v>#DIV/0!</v>
      </c>
      <c r="BH318" s="42" t="e">
        <f t="shared" si="139"/>
        <v>#DIV/0!</v>
      </c>
      <c r="BI318" s="42">
        <f t="shared" si="139"/>
        <v>4658023.72</v>
      </c>
      <c r="BJ318" s="42" t="e">
        <f t="shared" si="139"/>
        <v>#DIV/0!</v>
      </c>
      <c r="BK318" s="42">
        <f t="shared" si="139"/>
        <v>2608550.2599999998</v>
      </c>
      <c r="BL318" s="42">
        <f t="shared" si="139"/>
        <v>344964.06</v>
      </c>
      <c r="BM318" s="42">
        <f t="shared" si="139"/>
        <v>196772.64</v>
      </c>
      <c r="BN318" s="42" t="e">
        <f t="shared" si="139"/>
        <v>#DIV/0!</v>
      </c>
      <c r="BO318" s="42">
        <f t="shared" si="139"/>
        <v>1084371.52</v>
      </c>
      <c r="BP318" s="42">
        <f t="shared" si="139"/>
        <v>481969.52</v>
      </c>
      <c r="BQ318" s="42">
        <f t="shared" si="139"/>
        <v>120626.25</v>
      </c>
      <c r="BR318" s="42">
        <f t="shared" si="139"/>
        <v>7170268.6100000003</v>
      </c>
      <c r="BS318" s="42">
        <f t="shared" si="139"/>
        <v>292434.02</v>
      </c>
      <c r="BT318" s="42">
        <f t="shared" si="139"/>
        <v>3384311.88</v>
      </c>
      <c r="BU318" s="42">
        <f t="shared" si="139"/>
        <v>4012445.56</v>
      </c>
      <c r="BV318" s="42" t="e">
        <f t="shared" si="139"/>
        <v>#DIV/0!</v>
      </c>
      <c r="BW318" s="195">
        <f t="shared" ref="BW318:CK318" si="140">SUM(BW7:BW317)</f>
        <v>730.46</v>
      </c>
      <c r="BX318" s="195">
        <f t="shared" si="140"/>
        <v>17.77</v>
      </c>
      <c r="BY318" s="195">
        <f t="shared" si="140"/>
        <v>104.91</v>
      </c>
      <c r="BZ318" s="195">
        <f t="shared" si="140"/>
        <v>17.899999999999999</v>
      </c>
      <c r="CA318" s="195">
        <f t="shared" si="140"/>
        <v>1911.66</v>
      </c>
      <c r="CB318" s="395"/>
      <c r="CC318" s="195">
        <f t="shared" si="140"/>
        <v>12710152.289999999</v>
      </c>
      <c r="CD318" s="195">
        <f t="shared" si="140"/>
        <v>897737.28</v>
      </c>
      <c r="CE318" s="195">
        <f t="shared" si="140"/>
        <v>536965.5</v>
      </c>
      <c r="CF318" s="195">
        <f t="shared" si="140"/>
        <v>273062.15999999997</v>
      </c>
      <c r="CG318" s="195">
        <f t="shared" si="140"/>
        <v>142015.54</v>
      </c>
      <c r="CH318" s="195">
        <f t="shared" si="140"/>
        <v>464146.34</v>
      </c>
      <c r="CI318" s="195">
        <f t="shared" si="140"/>
        <v>2025589.17</v>
      </c>
      <c r="CJ318" s="195">
        <f t="shared" si="140"/>
        <v>12778987.779999999</v>
      </c>
      <c r="CK318" s="195">
        <f t="shared" si="140"/>
        <v>673874.52</v>
      </c>
      <c r="CL318" s="319">
        <f t="shared" ref="CL318:DG318" si="141">SUM(CL7:CL317)</f>
        <v>467567294.44999999</v>
      </c>
      <c r="CM318" s="319">
        <f t="shared" si="141"/>
        <v>43697191.020000003</v>
      </c>
      <c r="CN318" s="319">
        <f t="shared" si="141"/>
        <v>16461521.84</v>
      </c>
      <c r="CO318" s="319">
        <f t="shared" si="141"/>
        <v>5818200.4900000002</v>
      </c>
      <c r="CP318" s="319">
        <f t="shared" si="141"/>
        <v>3694429.6</v>
      </c>
      <c r="CQ318" s="319">
        <f t="shared" si="141"/>
        <v>2768700.33</v>
      </c>
      <c r="CR318" s="319">
        <f t="shared" si="141"/>
        <v>437387743.85000002</v>
      </c>
      <c r="CS318" s="319">
        <f t="shared" si="141"/>
        <v>39589859.859999999</v>
      </c>
      <c r="CT318" s="319">
        <f t="shared" si="141"/>
        <v>14991536.550000001</v>
      </c>
      <c r="CU318" s="319">
        <f t="shared" si="141"/>
        <v>5760753.1200000001</v>
      </c>
      <c r="CV318" s="319">
        <f t="shared" si="141"/>
        <v>3571860.04</v>
      </c>
      <c r="CW318" s="319">
        <f t="shared" si="141"/>
        <v>2245279.1800000002</v>
      </c>
      <c r="CX318" s="334">
        <f t="shared" si="141"/>
        <v>78058551.329999998</v>
      </c>
      <c r="CY318" s="334">
        <f t="shared" si="141"/>
        <v>7650510.25</v>
      </c>
      <c r="CZ318" s="334">
        <f t="shared" si="141"/>
        <v>1622316.07</v>
      </c>
      <c r="DA318" s="334">
        <f t="shared" si="141"/>
        <v>994119.72</v>
      </c>
      <c r="DB318" s="334">
        <f t="shared" si="141"/>
        <v>618487.43999999994</v>
      </c>
      <c r="DC318" s="314">
        <f t="shared" si="141"/>
        <v>755259.22</v>
      </c>
      <c r="DD318" s="314">
        <f t="shared" si="141"/>
        <v>540007337.73000002</v>
      </c>
      <c r="DE318" s="314">
        <f t="shared" si="141"/>
        <v>503547032.60000002</v>
      </c>
      <c r="DF318" s="350">
        <f>SUM(DE318/DD318*100)</f>
        <v>93.25</v>
      </c>
      <c r="DG318" s="314">
        <f t="shared" si="141"/>
        <v>89699244.030000001</v>
      </c>
      <c r="DH318" s="363">
        <f>SUM(DH7:DH317)</f>
        <v>17875360.350000001</v>
      </c>
      <c r="DI318" s="363">
        <f>SUM(DI7:DI317)</f>
        <v>10223103.66</v>
      </c>
      <c r="DJ318" s="363">
        <f>SUM(DJ7:DJ317)</f>
        <v>40972012.600000001</v>
      </c>
      <c r="DK318" s="364">
        <f>SUM(DK7:DK317)</f>
        <v>1307800</v>
      </c>
      <c r="DL318" s="364">
        <f>SUM(DL7:DL317)</f>
        <v>0</v>
      </c>
      <c r="DM318" s="332">
        <f t="shared" ref="DM318:EZ318" si="142">SUM(DM7:DM317)</f>
        <v>264000</v>
      </c>
      <c r="DN318" s="332">
        <f t="shared" si="142"/>
        <v>199497</v>
      </c>
      <c r="DO318" s="181">
        <f t="shared" si="142"/>
        <v>99058.22</v>
      </c>
      <c r="DP318" s="332">
        <f t="shared" si="142"/>
        <v>2147558</v>
      </c>
      <c r="DQ318" s="181">
        <f t="shared" si="142"/>
        <v>3985632.5</v>
      </c>
      <c r="DR318" s="181">
        <f t="shared" si="142"/>
        <v>0</v>
      </c>
      <c r="DS318" s="181">
        <f t="shared" si="142"/>
        <v>1592385</v>
      </c>
      <c r="DT318" s="181">
        <f t="shared" si="142"/>
        <v>0</v>
      </c>
      <c r="DU318" s="181">
        <f t="shared" si="142"/>
        <v>272943</v>
      </c>
      <c r="DV318" s="181">
        <f>SUM(DV7:DV317)</f>
        <v>239739</v>
      </c>
      <c r="DW318" s="181">
        <f t="shared" si="142"/>
        <v>16275448.16</v>
      </c>
      <c r="DX318" s="181">
        <f t="shared" si="142"/>
        <v>14116382.800000001</v>
      </c>
      <c r="DY318" s="181">
        <f>SUM(DY7:DY317)</f>
        <v>5485500</v>
      </c>
      <c r="DZ318" s="181">
        <f t="shared" si="142"/>
        <v>182926.96</v>
      </c>
      <c r="EA318" s="181">
        <f t="shared" si="142"/>
        <v>48805272</v>
      </c>
      <c r="EB318" s="181">
        <f t="shared" si="142"/>
        <v>1274700.02</v>
      </c>
      <c r="EC318" s="181">
        <f t="shared" si="142"/>
        <v>0</v>
      </c>
      <c r="ED318" s="332">
        <f t="shared" si="142"/>
        <v>47284114</v>
      </c>
      <c r="EE318" s="181">
        <f>SUM(EE7:EE317)</f>
        <v>1732500</v>
      </c>
      <c r="EF318" s="181">
        <f>SUM(EF7:EF317)</f>
        <v>0</v>
      </c>
      <c r="EG318" s="181">
        <f>SUM(EG7:EG317)</f>
        <v>2809564</v>
      </c>
      <c r="EH318" s="181">
        <f t="shared" ref="EH318:ER318" si="143">SUM(EH7:EH317)</f>
        <v>4520877.5</v>
      </c>
      <c r="EI318" s="181">
        <f t="shared" si="143"/>
        <v>0</v>
      </c>
      <c r="EJ318" s="181">
        <f t="shared" si="143"/>
        <v>2086860</v>
      </c>
      <c r="EK318" s="181">
        <f t="shared" si="143"/>
        <v>0</v>
      </c>
      <c r="EL318" s="181">
        <f t="shared" si="143"/>
        <v>16937562.93</v>
      </c>
      <c r="EM318" s="181">
        <f t="shared" si="143"/>
        <v>1385075.79</v>
      </c>
      <c r="EN318" s="181">
        <f t="shared" si="143"/>
        <v>54477364</v>
      </c>
      <c r="EO318" s="181">
        <f t="shared" si="143"/>
        <v>126108</v>
      </c>
      <c r="EP318" s="181">
        <f t="shared" si="143"/>
        <v>47220258</v>
      </c>
      <c r="EQ318" s="181">
        <f>SUM(EQ7:EQ317)</f>
        <v>559980</v>
      </c>
      <c r="ER318" s="181">
        <f t="shared" si="143"/>
        <v>5323500</v>
      </c>
      <c r="ES318" s="181">
        <f t="shared" si="142"/>
        <v>1414150</v>
      </c>
      <c r="ET318" s="181">
        <f t="shared" si="142"/>
        <v>4548702</v>
      </c>
      <c r="EU318" s="181">
        <f t="shared" si="142"/>
        <v>190225.55</v>
      </c>
      <c r="EV318" s="181">
        <f t="shared" si="142"/>
        <v>39704265.560000002</v>
      </c>
      <c r="EW318" s="181">
        <f t="shared" si="142"/>
        <v>0</v>
      </c>
      <c r="EX318" s="181">
        <f t="shared" si="142"/>
        <v>0</v>
      </c>
      <c r="EY318" s="181">
        <f t="shared" si="142"/>
        <v>0</v>
      </c>
      <c r="EZ318" s="181">
        <f t="shared" si="142"/>
        <v>0</v>
      </c>
      <c r="FA318" s="237">
        <f>SUM(FA7:FA317)</f>
        <v>47277648.109999999</v>
      </c>
      <c r="FB318" s="237">
        <f t="shared" ref="FB318:FK318" si="144">SUM(FB7:FB317)</f>
        <v>19933214.879999999</v>
      </c>
      <c r="FC318" s="237">
        <f t="shared" si="144"/>
        <v>2648939.96</v>
      </c>
      <c r="FD318" s="237">
        <f t="shared" si="144"/>
        <v>213522.12</v>
      </c>
      <c r="FE318" s="237">
        <f t="shared" si="144"/>
        <v>5968011.0700000003</v>
      </c>
      <c r="FF318" s="237">
        <f t="shared" si="144"/>
        <v>3724848.44</v>
      </c>
      <c r="FG318" s="237">
        <f t="shared" si="144"/>
        <v>-354358.37</v>
      </c>
      <c r="FH318" s="237">
        <f t="shared" si="144"/>
        <v>-632523.87</v>
      </c>
      <c r="FI318" s="237">
        <f t="shared" si="144"/>
        <v>-55730.05</v>
      </c>
      <c r="FJ318" s="237">
        <f t="shared" si="144"/>
        <v>89.16</v>
      </c>
      <c r="FK318" s="237">
        <f t="shared" si="144"/>
        <v>9674214.2100000009</v>
      </c>
      <c r="FL318" s="195">
        <f t="shared" ref="FL318:FQ318" si="145">SUM(FL7:FL317)</f>
        <v>102.07</v>
      </c>
      <c r="FM318" s="195">
        <f t="shared" si="145"/>
        <v>46826501.990000002</v>
      </c>
      <c r="FN318" s="195">
        <f t="shared" si="145"/>
        <v>29764327.66</v>
      </c>
      <c r="FO318" s="195">
        <f t="shared" si="145"/>
        <v>472231255.49000001</v>
      </c>
      <c r="FP318" s="195">
        <f t="shared" si="145"/>
        <v>88397977.730000004</v>
      </c>
      <c r="FQ318" s="195">
        <f t="shared" si="145"/>
        <v>560629233.22000003</v>
      </c>
      <c r="FR318" s="181">
        <f t="shared" ref="FR318:GS318" si="146">SUM(FR7:FR317)</f>
        <v>47679744.82</v>
      </c>
      <c r="FS318" s="181">
        <f t="shared" si="146"/>
        <v>5611949.7199999997</v>
      </c>
      <c r="FT318" s="181">
        <f t="shared" si="146"/>
        <v>53291694.539999999</v>
      </c>
      <c r="FU318" s="181">
        <f t="shared" si="146"/>
        <v>495082023.69</v>
      </c>
      <c r="FV318" s="181">
        <f t="shared" si="146"/>
        <v>75427844.620000005</v>
      </c>
      <c r="FW318" s="181">
        <f t="shared" si="146"/>
        <v>570509868.30999994</v>
      </c>
      <c r="FX318" s="181">
        <f t="shared" si="146"/>
        <v>460512950.14999998</v>
      </c>
      <c r="FY318" s="181">
        <f t="shared" si="146"/>
        <v>68837691.549999997</v>
      </c>
      <c r="FZ318" s="181">
        <f t="shared" si="146"/>
        <v>529350641.69999999</v>
      </c>
      <c r="GA318" s="181">
        <f t="shared" si="146"/>
        <v>82248818.359999999</v>
      </c>
      <c r="GB318" s="181">
        <f t="shared" si="146"/>
        <v>12202102.789999999</v>
      </c>
      <c r="GC318" s="181">
        <f t="shared" si="146"/>
        <v>94450921.150000006</v>
      </c>
      <c r="GD318" s="181">
        <f t="shared" si="146"/>
        <v>17659685.82</v>
      </c>
      <c r="GE318" s="181">
        <f t="shared" si="146"/>
        <v>-1251990.83</v>
      </c>
      <c r="GF318" s="181">
        <f t="shared" si="146"/>
        <v>16407694.99</v>
      </c>
      <c r="GG318" s="181">
        <f t="shared" si="146"/>
        <v>4751475.33</v>
      </c>
      <c r="GH318" s="418">
        <f t="shared" si="146"/>
        <v>13538</v>
      </c>
      <c r="GI318" s="181">
        <f t="shared" si="146"/>
        <v>979901.16</v>
      </c>
      <c r="GJ318" s="421">
        <f t="shared" si="146"/>
        <v>15024079.109999999</v>
      </c>
      <c r="GK318" s="181">
        <f t="shared" si="146"/>
        <v>4751677.12</v>
      </c>
      <c r="GL318" s="181">
        <f t="shared" si="146"/>
        <v>4190267.05</v>
      </c>
      <c r="GM318" s="181">
        <f t="shared" si="146"/>
        <v>561410.06999999995</v>
      </c>
      <c r="GN318" s="181">
        <f t="shared" si="146"/>
        <v>22850768.199999999</v>
      </c>
      <c r="GO318" s="181">
        <f t="shared" si="146"/>
        <v>-12970133.109999999</v>
      </c>
      <c r="GP318" s="405">
        <f t="shared" si="146"/>
        <v>9880635.0899999999</v>
      </c>
      <c r="GQ318" s="181">
        <f t="shared" si="146"/>
        <v>40510454.020000003</v>
      </c>
      <c r="GR318" s="181">
        <f t="shared" si="146"/>
        <v>-14222123.939999999</v>
      </c>
      <c r="GS318" s="405">
        <f t="shared" si="146"/>
        <v>26288330.079999998</v>
      </c>
    </row>
    <row r="319" spans="1:201" s="266" customFormat="1" ht="12.75" customHeight="1" x14ac:dyDescent="0.2">
      <c r="A319" s="265"/>
      <c r="C319" s="265"/>
      <c r="D319" s="392"/>
      <c r="E319" s="265"/>
      <c r="F319" s="265"/>
      <c r="G319" s="265"/>
      <c r="H319" s="265"/>
      <c r="I319" s="265"/>
      <c r="J319" s="265"/>
      <c r="K319" s="265">
        <f>SUM(K318-J318)</f>
        <v>84703</v>
      </c>
      <c r="L319" s="265"/>
      <c r="M319" s="276"/>
      <c r="N319" s="276"/>
      <c r="O319" s="276"/>
      <c r="P319" s="277"/>
      <c r="Q319" s="277"/>
      <c r="R319" s="277"/>
      <c r="S319" s="277"/>
      <c r="T319" s="277"/>
      <c r="U319" s="278"/>
      <c r="V319" s="278"/>
      <c r="W319" s="278"/>
      <c r="X319" s="278"/>
      <c r="Y319" s="278"/>
      <c r="Z319" s="270"/>
      <c r="AA319" s="270"/>
      <c r="AB319" s="267"/>
      <c r="AC319" s="267"/>
      <c r="AD319" s="267"/>
      <c r="AE319" s="267"/>
      <c r="AF319" s="268"/>
      <c r="AG319" s="269"/>
      <c r="AH319" s="267"/>
      <c r="AI319" s="270">
        <v>175545</v>
      </c>
      <c r="AJ319" s="268"/>
      <c r="AK319" s="267"/>
      <c r="AL319" s="267"/>
      <c r="AM319" s="267"/>
      <c r="AN319" s="270"/>
      <c r="AO319" s="270">
        <v>236688.3</v>
      </c>
      <c r="AP319" s="270"/>
      <c r="AQ319" s="269"/>
      <c r="AR319" s="267"/>
      <c r="AS319" s="267"/>
      <c r="AT319" s="267"/>
      <c r="AU319" s="267"/>
      <c r="AV319" s="267"/>
      <c r="AW319" s="267"/>
      <c r="AX319" s="267"/>
      <c r="AY319" s="267"/>
      <c r="AZ319" s="270"/>
      <c r="BA319" s="267"/>
      <c r="BB319" s="267"/>
      <c r="BC319" s="267"/>
      <c r="BD319" s="267"/>
      <c r="BE319" s="267"/>
      <c r="BF319" s="267"/>
      <c r="BG319" s="268"/>
      <c r="BH319" s="269"/>
      <c r="BI319" s="267"/>
      <c r="BJ319" s="268"/>
      <c r="BK319" s="267"/>
      <c r="BL319" s="267"/>
      <c r="BM319" s="267"/>
      <c r="BN319" s="269"/>
      <c r="BO319" s="267"/>
      <c r="BP319" s="267"/>
      <c r="BQ319" s="267"/>
      <c r="BR319" s="267"/>
      <c r="BS319" s="267"/>
      <c r="BT319" s="267"/>
      <c r="BU319" s="267"/>
      <c r="BV319" s="267" t="e">
        <f>SUM(BE318:BU318)</f>
        <v>#DIV/0!</v>
      </c>
      <c r="BW319" s="267"/>
      <c r="BX319" s="267"/>
      <c r="BY319" s="267"/>
      <c r="BZ319" s="270"/>
      <c r="CA319" s="270"/>
      <c r="CB319" s="269"/>
      <c r="CC319" s="267"/>
      <c r="CD319" s="267"/>
      <c r="CE319" s="267"/>
      <c r="CF319" s="267"/>
      <c r="CG319" s="267"/>
      <c r="CH319" s="267"/>
      <c r="CI319" s="267"/>
      <c r="CJ319" s="267"/>
      <c r="CK319" s="267"/>
      <c r="CL319" s="267"/>
      <c r="CM319" s="267"/>
      <c r="CN319" s="267"/>
      <c r="CO319" s="267"/>
      <c r="CP319" s="267"/>
      <c r="CQ319" s="267"/>
      <c r="CR319" s="267"/>
      <c r="CS319" s="267"/>
      <c r="CT319" s="267"/>
      <c r="CU319" s="267"/>
      <c r="CV319" s="267"/>
      <c r="CW319" s="267"/>
      <c r="CX319" s="272" t="e">
        <f>SUM(#REF!+'2022'!CL318-'2022'!CR318)</f>
        <v>#REF!</v>
      </c>
      <c r="CY319" s="272" t="e">
        <f>SUM(#REF!+'2022'!CM318-'2022'!CS318)</f>
        <v>#REF!</v>
      </c>
      <c r="CZ319" s="272" t="e">
        <f>SUM(#REF!+'2022'!CN318-'2022'!CT318)</f>
        <v>#REF!</v>
      </c>
      <c r="DA319" s="272" t="e">
        <f>SUM(#REF!+'2022'!CO318-'2022'!CU318)</f>
        <v>#REF!</v>
      </c>
      <c r="DB319" s="272" t="e">
        <f>SUM(#REF!+'2022'!CP318-'2022'!CV318)</f>
        <v>#REF!</v>
      </c>
      <c r="DC319" s="272" t="e">
        <f>SUM(#REF!+'2022'!CQ318-'2022'!CW318)</f>
        <v>#REF!</v>
      </c>
      <c r="DD319" s="272" t="e">
        <f>SUM(CX319:DC319)</f>
        <v>#REF!</v>
      </c>
      <c r="DE319" s="272"/>
      <c r="DF319" s="272"/>
      <c r="DG319" s="272"/>
      <c r="DH319" s="275"/>
      <c r="DI319" s="275"/>
      <c r="DJ319" s="271"/>
      <c r="DK319" s="275"/>
      <c r="DL319" s="271"/>
      <c r="DM319" s="271"/>
      <c r="DN319" s="271"/>
      <c r="DO319" s="271"/>
      <c r="DP319" s="271"/>
      <c r="DQ319" s="273"/>
      <c r="DR319" s="273"/>
      <c r="DS319" s="273"/>
      <c r="DT319" s="273"/>
      <c r="DU319" s="271"/>
      <c r="DV319" s="273"/>
      <c r="DW319" s="271"/>
      <c r="DX319" s="273"/>
      <c r="DY319" s="273"/>
      <c r="DZ319" s="273"/>
      <c r="EA319" s="273"/>
      <c r="EB319" s="271"/>
      <c r="EC319" s="271"/>
      <c r="ED319" s="271"/>
      <c r="EE319" s="273"/>
      <c r="EF319" s="273"/>
      <c r="EG319" s="479"/>
      <c r="EH319" s="479"/>
      <c r="EI319" s="479"/>
      <c r="EJ319" s="479"/>
      <c r="EK319" s="479"/>
      <c r="EL319" s="316"/>
      <c r="EM319" s="316"/>
      <c r="EN319" s="316"/>
      <c r="EO319" s="316"/>
      <c r="EP319" s="316"/>
      <c r="EQ319" s="316"/>
      <c r="ER319" s="273"/>
      <c r="ES319" s="273"/>
      <c r="ET319" s="273"/>
      <c r="EU319" s="273"/>
      <c r="EV319" s="271">
        <v>39704265.560000002</v>
      </c>
      <c r="EW319" s="8"/>
      <c r="EX319" s="105"/>
      <c r="EY319" s="271"/>
      <c r="EZ319" s="271"/>
      <c r="FA319" s="270"/>
      <c r="FB319" s="270"/>
      <c r="FC319" s="270"/>
      <c r="FD319" s="270"/>
      <c r="FE319" s="271"/>
      <c r="FF319" s="271"/>
      <c r="FG319" s="271"/>
      <c r="FH319" s="271"/>
      <c r="FI319" s="271"/>
      <c r="FJ319" s="271"/>
      <c r="FK319" s="271"/>
      <c r="FL319" s="270"/>
      <c r="FM319" s="195"/>
      <c r="FN319" s="195"/>
      <c r="FO319" s="353"/>
      <c r="FP319" s="353"/>
      <c r="FQ319" s="271"/>
      <c r="FR319" s="271"/>
      <c r="FS319" s="271"/>
      <c r="FT319" s="271"/>
      <c r="FU319" s="271"/>
      <c r="FV319" s="271"/>
      <c r="FW319" s="271"/>
      <c r="FX319" s="271"/>
      <c r="FY319" s="271"/>
      <c r="FZ319" s="271"/>
      <c r="GA319" s="271"/>
      <c r="GB319" s="271"/>
      <c r="GC319" s="271"/>
      <c r="GD319" s="271"/>
      <c r="GE319" s="271"/>
      <c r="GF319" s="271"/>
      <c r="GH319" s="8"/>
      <c r="GI319" s="422"/>
      <c r="GJ319" s="8"/>
      <c r="GK319" s="95"/>
      <c r="GL319" s="8"/>
      <c r="GM319" s="8"/>
    </row>
    <row r="320" spans="1:201" s="266" customFormat="1" ht="12.75" customHeight="1" thickBot="1" x14ac:dyDescent="0.25">
      <c r="A320" s="265"/>
      <c r="C320" s="265"/>
      <c r="D320" s="392"/>
      <c r="E320" s="265"/>
      <c r="F320" s="265"/>
      <c r="G320" s="265"/>
      <c r="H320" s="265"/>
      <c r="I320" s="265"/>
      <c r="J320" s="265"/>
      <c r="K320" s="265"/>
      <c r="L320" s="265"/>
      <c r="M320" s="296"/>
      <c r="N320" s="296"/>
      <c r="O320" s="296"/>
      <c r="P320" s="297"/>
      <c r="Q320" s="297"/>
      <c r="R320" s="297"/>
      <c r="S320" s="297"/>
      <c r="T320" s="297"/>
      <c r="U320" s="298"/>
      <c r="V320" s="298"/>
      <c r="W320" s="298"/>
      <c r="X320" s="298"/>
      <c r="Y320" s="298"/>
      <c r="Z320" s="270"/>
      <c r="AA320" s="270"/>
      <c r="AB320" s="267"/>
      <c r="AC320" s="267"/>
      <c r="AD320" s="267"/>
      <c r="AE320" s="267"/>
      <c r="AF320" s="268"/>
      <c r="AG320" s="269"/>
      <c r="AH320" s="267"/>
      <c r="AI320" s="270"/>
      <c r="AJ320" s="268"/>
      <c r="AK320" s="267"/>
      <c r="AL320" s="267"/>
      <c r="AM320" s="267"/>
      <c r="AN320" s="270"/>
      <c r="AO320" s="270"/>
      <c r="AP320" s="270"/>
      <c r="AQ320" s="269"/>
      <c r="AR320" s="267"/>
      <c r="AS320" s="267"/>
      <c r="AT320" s="267"/>
      <c r="AU320" s="267"/>
      <c r="AV320" s="267"/>
      <c r="AW320" s="267"/>
      <c r="AX320" s="267"/>
      <c r="AY320" s="267"/>
      <c r="AZ320" s="270"/>
      <c r="BA320" s="267"/>
      <c r="BB320" s="267"/>
      <c r="BC320" s="267"/>
      <c r="BD320" s="267"/>
      <c r="BE320" s="267"/>
      <c r="BF320" s="267"/>
      <c r="BG320" s="268"/>
      <c r="BH320" s="269"/>
      <c r="BI320" s="267"/>
      <c r="BJ320" s="268"/>
      <c r="BK320" s="267"/>
      <c r="BL320" s="267"/>
      <c r="BM320" s="267"/>
      <c r="BN320" s="269"/>
      <c r="BO320" s="267"/>
      <c r="BP320" s="267"/>
      <c r="BQ320" s="267"/>
      <c r="BR320" s="267"/>
      <c r="BS320" s="267"/>
      <c r="BT320" s="267"/>
      <c r="BU320" s="267"/>
      <c r="BV320" s="267"/>
      <c r="BW320" s="267"/>
      <c r="BX320" s="267"/>
      <c r="BY320" s="267"/>
      <c r="BZ320" s="270"/>
      <c r="CA320" s="270"/>
      <c r="CB320" s="269"/>
      <c r="CC320" s="267"/>
      <c r="CD320" s="267"/>
      <c r="CE320" s="267"/>
      <c r="CF320" s="267"/>
      <c r="CH320" s="271"/>
      <c r="CK320" s="271"/>
      <c r="CL320" s="272"/>
      <c r="CM320" s="272"/>
      <c r="CN320" s="272"/>
      <c r="CO320" s="272"/>
      <c r="CP320" s="272"/>
      <c r="CQ320" s="272"/>
      <c r="CR320" s="272"/>
      <c r="CS320" s="272"/>
      <c r="CT320" s="272"/>
      <c r="CU320" s="272"/>
      <c r="CV320" s="272"/>
      <c r="CW320" s="272"/>
      <c r="CX320" s="272">
        <f t="shared" ref="CX320:DC320" si="147">SUM(CX318+CX321)</f>
        <v>78283783.569999993</v>
      </c>
      <c r="CY320" s="272">
        <f t="shared" si="147"/>
        <v>7692667.1600000001</v>
      </c>
      <c r="CZ320" s="272">
        <f t="shared" si="147"/>
        <v>1621672.16</v>
      </c>
      <c r="DA320" s="272">
        <f t="shared" si="147"/>
        <v>994600.2</v>
      </c>
      <c r="DB320" s="272">
        <f t="shared" si="147"/>
        <v>618934.66</v>
      </c>
      <c r="DC320" s="272">
        <f t="shared" si="147"/>
        <v>755259.22</v>
      </c>
      <c r="DD320" s="272"/>
      <c r="DE320" s="272"/>
      <c r="DF320" s="272"/>
      <c r="DG320" s="272">
        <f>SUM(CX318:DC318)</f>
        <v>89699244.030000001</v>
      </c>
      <c r="DH320" s="275"/>
      <c r="DI320" s="275"/>
      <c r="DJ320" s="271"/>
      <c r="DK320" s="271"/>
      <c r="DL320" s="271"/>
      <c r="DM320" s="271"/>
      <c r="DN320" s="313"/>
      <c r="DO320" s="271"/>
      <c r="DP320" s="271"/>
      <c r="DQ320" s="273"/>
      <c r="DR320" s="175"/>
      <c r="DS320" s="273"/>
      <c r="DT320" s="273"/>
      <c r="DU320" s="309"/>
      <c r="DV320" s="313"/>
      <c r="DW320" s="271"/>
      <c r="DX320" s="273"/>
      <c r="DY320" s="273"/>
      <c r="DZ320" s="273"/>
      <c r="EA320" s="273"/>
      <c r="EB320" s="273"/>
      <c r="EC320" s="273"/>
      <c r="ED320" s="273"/>
      <c r="EE320" s="273"/>
      <c r="EF320" s="273"/>
      <c r="EG320" s="273"/>
      <c r="EH320" s="273"/>
      <c r="EI320" s="273"/>
      <c r="EJ320" s="273"/>
      <c r="EK320" s="273"/>
      <c r="EL320" s="273"/>
      <c r="EM320" s="273"/>
      <c r="EN320" s="273"/>
      <c r="EO320" s="313"/>
      <c r="EP320" s="273"/>
      <c r="EQ320" s="313"/>
      <c r="ER320" s="273"/>
      <c r="ES320" s="273"/>
      <c r="ET320" s="273"/>
      <c r="EU320" s="273"/>
      <c r="EV320" s="271"/>
      <c r="EW320" s="199"/>
      <c r="EX320" s="105"/>
      <c r="EY320" s="271"/>
      <c r="EZ320" s="271"/>
      <c r="FA320" s="270"/>
      <c r="FB320" s="270"/>
      <c r="FC320" s="270"/>
      <c r="FD320" s="270"/>
      <c r="FE320" s="271"/>
      <c r="FF320" s="271"/>
      <c r="FG320" s="271"/>
      <c r="FH320" s="271"/>
      <c r="FI320" s="271"/>
      <c r="FJ320" s="271"/>
      <c r="FK320" s="271"/>
      <c r="FL320" s="270"/>
      <c r="FM320" s="271"/>
      <c r="FN320" s="274"/>
      <c r="FO320" s="274"/>
      <c r="FP320" s="274"/>
      <c r="FQ320" s="271"/>
      <c r="FR320" s="271"/>
      <c r="FS320" s="271"/>
      <c r="FT320" s="271"/>
      <c r="FU320" s="271"/>
      <c r="FV320" s="271"/>
      <c r="FW320" s="271"/>
      <c r="FX320" s="271"/>
      <c r="FY320" s="271"/>
      <c r="FZ320" s="271"/>
      <c r="GA320" s="271"/>
      <c r="GB320" s="271"/>
      <c r="GC320" s="271">
        <f>SUM(GK318+DG318)</f>
        <v>94450921.150000006</v>
      </c>
      <c r="GD320" s="271"/>
      <c r="GE320" s="271"/>
      <c r="GF320" s="271"/>
      <c r="GH320" s="95"/>
      <c r="GI320" s="422"/>
      <c r="GJ320" s="95"/>
      <c r="GK320" s="95"/>
      <c r="GL320" s="95"/>
      <c r="GM320" s="95"/>
    </row>
    <row r="321" spans="1:195" ht="12.75" customHeight="1" thickBot="1" x14ac:dyDescent="0.25">
      <c r="B321" s="123" t="s">
        <v>43</v>
      </c>
      <c r="C321" s="124" t="s">
        <v>19</v>
      </c>
      <c r="D321" s="388"/>
      <c r="E321" s="124"/>
      <c r="F321" s="280"/>
      <c r="G321" s="280"/>
      <c r="H321" s="280"/>
      <c r="I321" s="280"/>
      <c r="J321" s="280"/>
      <c r="K321" s="281"/>
      <c r="L321" s="280"/>
      <c r="M321" s="279"/>
      <c r="N321" s="279"/>
      <c r="O321" s="279"/>
      <c r="P321" s="280"/>
      <c r="Q321" s="280"/>
      <c r="R321" s="280"/>
      <c r="S321" s="280"/>
      <c r="T321" s="280"/>
      <c r="U321" s="282"/>
      <c r="V321" s="282"/>
      <c r="W321" s="282"/>
      <c r="X321" s="282"/>
      <c r="Y321" s="282"/>
      <c r="Z321" s="285"/>
      <c r="AA321" s="285"/>
      <c r="AB321" s="282"/>
      <c r="AC321" s="282"/>
      <c r="AD321" s="282"/>
      <c r="AE321" s="282"/>
      <c r="AF321" s="283"/>
      <c r="AG321" s="284"/>
      <c r="AH321" s="282"/>
      <c r="AI321" s="285">
        <f>SUM(AI318-AI319)</f>
        <v>136460</v>
      </c>
      <c r="AJ321" s="283"/>
      <c r="AK321" s="282"/>
      <c r="AL321" s="282"/>
      <c r="AM321" s="282"/>
      <c r="AN321" s="285"/>
      <c r="AO321" s="285">
        <f>SUM(AO318-AO319)</f>
        <v>2444.8000000000002</v>
      </c>
      <c r="AP321" s="285"/>
      <c r="AQ321" s="284"/>
      <c r="AR321" s="282"/>
      <c r="AS321" s="282"/>
      <c r="AT321" s="282"/>
      <c r="AU321" s="282"/>
      <c r="AV321" s="282"/>
      <c r="AW321" s="282"/>
      <c r="AX321" s="282"/>
      <c r="AY321" s="282"/>
      <c r="AZ321" s="285"/>
      <c r="BA321" s="282"/>
      <c r="BB321" s="282"/>
      <c r="BC321" s="282"/>
      <c r="BD321" s="282"/>
      <c r="BE321" s="282"/>
      <c r="BF321" s="286">
        <f>SUM(BE318+BF318+BQ318)</f>
        <v>10504737.189999999</v>
      </c>
      <c r="BG321" s="283"/>
      <c r="BH321" s="284"/>
      <c r="BI321" s="287" t="e">
        <f>SUM(BH318+BI318+BG318)</f>
        <v>#DIV/0!</v>
      </c>
      <c r="BJ321" s="283" t="s">
        <v>829</v>
      </c>
      <c r="BK321" s="288">
        <f>SUM(BK318:BL318)</f>
        <v>2953514.32</v>
      </c>
      <c r="BL321" s="282"/>
      <c r="BM321" s="289">
        <f>SUM(BM318+BP318)</f>
        <v>678742.16</v>
      </c>
      <c r="BN321" s="284" t="s">
        <v>830</v>
      </c>
      <c r="BO321" s="290" t="s">
        <v>832</v>
      </c>
      <c r="BP321" s="282"/>
      <c r="BQ321" s="282"/>
      <c r="BR321" s="291"/>
      <c r="BS321" s="282"/>
      <c r="BT321" s="292" t="s">
        <v>833</v>
      </c>
      <c r="BU321" s="293">
        <f>SUM(BS318+BU318)</f>
        <v>4304879.58</v>
      </c>
      <c r="BV321" s="282" t="e">
        <f>SUM(BF321+BI321+BK321+BM321+BO318+BR318+BT318+BU321+BJ318+BN318)</f>
        <v>#DIV/0!</v>
      </c>
      <c r="BW321" s="282"/>
      <c r="BX321" s="282"/>
      <c r="BY321" s="282"/>
      <c r="BZ321" s="285"/>
      <c r="CA321" s="285"/>
      <c r="CB321" s="285"/>
      <c r="CC321" s="282"/>
      <c r="CD321" s="282"/>
      <c r="CE321" s="282"/>
      <c r="CF321" s="282"/>
      <c r="CG321" s="294"/>
      <c r="CH321" s="295"/>
      <c r="CI321" s="294"/>
      <c r="CJ321" s="294"/>
      <c r="CK321" s="295"/>
      <c r="CL321" s="13" t="e">
        <f>SUM(#REF!+#REF!+#REF!+#REF!+#REF!+#REF!+#REF!+#REF!+#REF!)</f>
        <v>#REF!</v>
      </c>
      <c r="CM321" s="13" t="e">
        <f>SUM(#REF!+#REF!+#REF!+#REF!+#REF!+#REF!+#REF!+#REF!+#REF!)</f>
        <v>#REF!</v>
      </c>
      <c r="CN321" s="13" t="e">
        <f>SUM(#REF!+#REF!+#REF!+#REF!+#REF!+#REF!+#REF!+#REF!+#REF!)</f>
        <v>#REF!</v>
      </c>
      <c r="CO321" s="13" t="e">
        <f>SUM(#REF!+#REF!+#REF!+#REF!+#REF!+#REF!+#REF!+#REF!+#REF!)</f>
        <v>#REF!</v>
      </c>
      <c r="CP321" s="13" t="e">
        <f>SUM(#REF!+#REF!+#REF!+#REF!+#REF!+#REF!+#REF!+#REF!+#REF!)</f>
        <v>#REF!</v>
      </c>
      <c r="CQ321" s="13" t="e">
        <f>SUM(#REF!+#REF!+#REF!+#REF!+#REF!+#REF!+#REF!+#REF!+#REF!)</f>
        <v>#REF!</v>
      </c>
      <c r="CR321" s="13" t="e">
        <f>SUM(#REF!+#REF!+#REF!+#REF!+#REF!+#REF!+#REF!+#REF!+#REF!)</f>
        <v>#REF!</v>
      </c>
      <c r="CS321" s="13" t="e">
        <f>SUM(#REF!+#REF!+#REF!+#REF!+#REF!+#REF!+#REF!+#REF!+#REF!)</f>
        <v>#REF!</v>
      </c>
      <c r="CT321" s="13" t="e">
        <f>SUM(#REF!+#REF!+#REF!+#REF!+#REF!+#REF!+#REF!+#REF!+#REF!)</f>
        <v>#REF!</v>
      </c>
      <c r="CU321" s="13" t="e">
        <f>SUM(#REF!+#REF!+#REF!+#REF!+#REF!+#REF!+#REF!+#REF!+#REF!)</f>
        <v>#REF!</v>
      </c>
      <c r="CV321" s="13" t="e">
        <f>SUM(#REF!+#REF!+#REF!+#REF!+#REF!+#REF!+#REF!+#REF!+#REF!)</f>
        <v>#REF!</v>
      </c>
      <c r="CW321" s="13" t="e">
        <f>SUM(#REF!+#REF!+#REF!+#REF!+#REF!+#REF!+#REF!+#REF!+#REF!)</f>
        <v>#REF!</v>
      </c>
      <c r="CX321" s="13">
        <v>225232.24</v>
      </c>
      <c r="CY321" s="13">
        <v>42156.91</v>
      </c>
      <c r="CZ321" s="13">
        <v>-643.91</v>
      </c>
      <c r="DA321" s="13">
        <v>480.48</v>
      </c>
      <c r="DB321" s="13">
        <v>447.22</v>
      </c>
      <c r="DC321" s="13"/>
      <c r="DD321" s="304">
        <f>SUM(CX321:DC321)</f>
        <v>267672.94</v>
      </c>
      <c r="DE321" s="304"/>
      <c r="DF321" s="304"/>
      <c r="DG321" s="304"/>
      <c r="DH321" s="248"/>
      <c r="DI321" s="248"/>
      <c r="DJ321" s="248"/>
      <c r="DK321" s="324"/>
      <c r="DL321" s="324"/>
      <c r="DM321" s="248"/>
      <c r="DN321" s="248"/>
      <c r="DO321" s="248"/>
      <c r="DP321" s="248"/>
      <c r="DQ321" s="324"/>
      <c r="DR321" s="324"/>
      <c r="DS321" s="324"/>
      <c r="DT321" s="324"/>
      <c r="DU321" s="309"/>
      <c r="DV321" s="248"/>
      <c r="DW321" s="271"/>
      <c r="DX321" s="273"/>
      <c r="DY321" s="273"/>
      <c r="DZ321" s="273"/>
      <c r="EA321" s="248"/>
      <c r="EB321" s="248"/>
      <c r="EC321" s="324"/>
      <c r="ED321" s="248"/>
      <c r="EE321" s="248"/>
      <c r="EF321" s="248"/>
      <c r="EG321" s="248"/>
      <c r="EH321" s="248"/>
      <c r="EI321" s="248"/>
      <c r="EJ321" s="248"/>
      <c r="EK321" s="248"/>
      <c r="EL321" s="248"/>
      <c r="EM321" s="248"/>
      <c r="EN321" s="248"/>
      <c r="EO321" s="248"/>
      <c r="EP321" s="248"/>
      <c r="EQ321" s="248"/>
      <c r="ER321" s="248"/>
      <c r="ES321" s="248"/>
      <c r="ET321" s="248"/>
      <c r="EU321" s="248"/>
      <c r="EV321" s="248"/>
      <c r="EW321" s="248"/>
      <c r="EX321" s="105"/>
      <c r="EY321" s="95"/>
      <c r="EZ321" s="95"/>
      <c r="FA321" s="95"/>
      <c r="FB321" s="95"/>
      <c r="FC321" s="95"/>
      <c r="FD321" s="95"/>
      <c r="FE321" s="247"/>
      <c r="FF321" s="247"/>
      <c r="FG321" s="247"/>
      <c r="FH321" s="95"/>
      <c r="FI321" s="247"/>
      <c r="FJ321" s="247"/>
      <c r="FK321" s="247"/>
      <c r="FL321" s="247"/>
      <c r="FM321" s="239"/>
      <c r="FN321" s="239"/>
      <c r="FO321" s="239"/>
      <c r="FP321" s="239"/>
      <c r="FQ321" s="95"/>
      <c r="FR321" s="271"/>
      <c r="FS321" s="271"/>
      <c r="FT321" s="271"/>
      <c r="FU321" s="271"/>
      <c r="FV321" s="271"/>
      <c r="FW321" s="248"/>
      <c r="FX321" s="248"/>
      <c r="FY321" s="248"/>
      <c r="FZ321" s="248"/>
      <c r="GA321" s="248"/>
      <c r="GB321" s="248"/>
      <c r="GC321" s="248">
        <f>SUM(FT318+FW318-FZ318)</f>
        <v>94450921.150000006</v>
      </c>
      <c r="GD321" s="248"/>
      <c r="GE321" s="248"/>
      <c r="GF321" s="248"/>
      <c r="GH321" s="266"/>
      <c r="GI321" s="422"/>
      <c r="GJ321" s="266"/>
      <c r="GK321" s="271"/>
      <c r="GL321" s="266"/>
      <c r="GM321" s="266"/>
    </row>
    <row r="322" spans="1:195" ht="12.75" customHeight="1" thickBot="1" x14ac:dyDescent="0.25">
      <c r="A322" s="104"/>
      <c r="B322" s="300"/>
      <c r="C322" s="104"/>
      <c r="E322" s="104"/>
      <c r="F322" s="104"/>
      <c r="G322" s="104"/>
      <c r="H322" s="104"/>
      <c r="I322" s="104"/>
      <c r="J322" s="104"/>
      <c r="K322" s="302"/>
      <c r="L322" s="104"/>
      <c r="P322" s="104"/>
      <c r="Q322" s="104"/>
      <c r="R322" s="104"/>
      <c r="S322" s="104"/>
      <c r="T322" s="104"/>
      <c r="U322" s="28"/>
      <c r="V322" s="28"/>
      <c r="W322" s="28"/>
      <c r="X322" s="28"/>
      <c r="Y322" s="28"/>
      <c r="AB322" s="28"/>
      <c r="AC322" s="28"/>
      <c r="AD322" s="28"/>
      <c r="AE322" s="28"/>
      <c r="AF322" s="28"/>
      <c r="AG322" s="28"/>
      <c r="AH322" s="28"/>
      <c r="AJ322" s="28"/>
      <c r="AK322" s="28"/>
      <c r="AL322" s="28"/>
      <c r="AM322" s="28"/>
      <c r="AQ322" s="28"/>
      <c r="AR322" s="28"/>
      <c r="AS322" s="28"/>
      <c r="AT322" s="28"/>
      <c r="AU322" s="28"/>
      <c r="AV322" s="28"/>
      <c r="AW322" s="28"/>
      <c r="AX322" s="28"/>
      <c r="AY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CC322" s="247" t="e">
        <f>SUM(#REF!+#REF!+#REF!+#REF!+#REF!+#REF!+#REF!+#REF!+#REF!+#REF!+#REF!+#REF!)</f>
        <v>#REF!</v>
      </c>
      <c r="CD322" s="247" t="e">
        <f>SUM(#REF!+#REF!+#REF!+#REF!+#REF!+#REF!+#REF!+#REF!+#REF!+#REF!+#REF!+#REF!)</f>
        <v>#REF!</v>
      </c>
      <c r="CE322" s="247" t="e">
        <f>SUM(#REF!+#REF!+#REF!+#REF!+#REF!+#REF!+#REF!+#REF!+#REF!+#REF!+#REF!+#REF!)</f>
        <v>#REF!</v>
      </c>
      <c r="CF322" s="247" t="e">
        <f>SUM(#REF!+#REF!+#REF!+#REF!+#REF!+#REF!+#REF!+#REF!+#REF!+#REF!+#REF!+#REF!)</f>
        <v>#REF!</v>
      </c>
      <c r="CG322" s="247" t="e">
        <f>SUM(#REF!+#REF!+#REF!+#REF!+#REF!+#REF!+#REF!+#REF!+#REF!+#REF!+#REF!+#REF!)</f>
        <v>#REF!</v>
      </c>
      <c r="CH322" s="247" t="e">
        <f>SUM(#REF!+#REF!+#REF!+#REF!+#REF!+#REF!+#REF!+#REF!+#REF!+#REF!+#REF!+#REF!)</f>
        <v>#REF!</v>
      </c>
      <c r="CI322" s="247" t="e">
        <f>SUM(#REF!+#REF!+#REF!+#REF!+#REF!+#REF!+#REF!+#REF!+#REF!+#REF!+#REF!+#REF!)</f>
        <v>#REF!</v>
      </c>
      <c r="CJ322" s="247" t="e">
        <f>SUM(#REF!+#REF!+#REF!+#REF!+#REF!+#REF!+#REF!+#REF!+#REF!+#REF!+#REF!+#REF!)</f>
        <v>#REF!</v>
      </c>
      <c r="CK322" s="247" t="e">
        <f>SUM(#REF!+#REF!+#REF!+#REF!+#REF!+#REF!+#REF!+#REF!+#REF!+#REF!+#REF!+#REF!)</f>
        <v>#REF!</v>
      </c>
      <c r="CL322" s="247" t="e">
        <f>SUM(#REF!+#REF!+#REF!+#REF!+#REF!+#REF!+#REF!+#REF!+#REF!+#REF!+#REF!+#REF!)</f>
        <v>#REF!</v>
      </c>
      <c r="CM322" s="247" t="e">
        <f>SUM(#REF!+#REF!+#REF!+#REF!+#REF!+#REF!+#REF!+#REF!+#REF!+#REF!+#REF!+#REF!)</f>
        <v>#REF!</v>
      </c>
      <c r="CN322" s="247" t="e">
        <f>SUM(#REF!+#REF!+#REF!+#REF!+#REF!+#REF!+#REF!+#REF!+#REF!+#REF!+#REF!+#REF!)</f>
        <v>#REF!</v>
      </c>
      <c r="CO322" s="247" t="e">
        <f>SUM(#REF!+#REF!+#REF!+#REF!+#REF!+#REF!+#REF!+#REF!+#REF!+#REF!+#REF!+#REF!)</f>
        <v>#REF!</v>
      </c>
      <c r="CP322" s="247" t="e">
        <f>SUM(#REF!+#REF!+#REF!+#REF!+#REF!+#REF!+#REF!+#REF!+#REF!+#REF!+#REF!+#REF!)</f>
        <v>#REF!</v>
      </c>
      <c r="CQ322" s="247" t="e">
        <f>SUM(#REF!+#REF!+#REF!+#REF!+#REF!+#REF!+#REF!+#REF!+#REF!+#REF!+#REF!+#REF!)</f>
        <v>#REF!</v>
      </c>
      <c r="CR322" s="247" t="e">
        <f>SUM(#REF!+#REF!+#REF!+#REF!+#REF!+#REF!+#REF!+#REF!+#REF!+#REF!+#REF!+#REF!)</f>
        <v>#REF!</v>
      </c>
      <c r="CS322" s="247" t="e">
        <f>SUM(#REF!+#REF!+#REF!+#REF!+#REF!+#REF!+#REF!+#REF!+#REF!+#REF!+#REF!+#REF!)</f>
        <v>#REF!</v>
      </c>
      <c r="CT322" s="247" t="e">
        <f>SUM(#REF!+#REF!+#REF!+#REF!+#REF!+#REF!+#REF!+#REF!+#REF!+#REF!+#REF!+#REF!)</f>
        <v>#REF!</v>
      </c>
      <c r="CU322" s="247" t="e">
        <f>SUM(#REF!+#REF!+#REF!+#REF!+#REF!+#REF!+#REF!+#REF!+#REF!+#REF!+#REF!+#REF!)</f>
        <v>#REF!</v>
      </c>
      <c r="CV322" s="247" t="e">
        <f>SUM(#REF!+#REF!+#REF!+#REF!+#REF!+#REF!+#REF!+#REF!+#REF!+#REF!+#REF!+#REF!)</f>
        <v>#REF!</v>
      </c>
      <c r="CW322" s="247" t="e">
        <f>SUM(#REF!+#REF!+#REF!+#REF!+#REF!+#REF!+#REF!+#REF!+#REF!+#REF!+#REF!+#REF!)</f>
        <v>#REF!</v>
      </c>
      <c r="DH322" s="247" t="e">
        <f>SUM(#REF!+#REF!+#REF!+#REF!+#REF!+#REF!+#REF!+#REF!+#REF!+#REF!+#REF!+#REF!)</f>
        <v>#REF!</v>
      </c>
      <c r="DI322" s="247" t="e">
        <f>SUM(#REF!+#REF!+#REF!+#REF!+#REF!+#REF!+#REF!+#REF!+#REF!+#REF!+#REF!+#REF!)</f>
        <v>#REF!</v>
      </c>
      <c r="DJ322" s="247" t="e">
        <f>SUM(#REF!+#REF!+#REF!+#REF!+#REF!+#REF!+#REF!+#REF!+#REF!+#REF!+#REF!+#REF!+#REF!+#REF!)</f>
        <v>#REF!</v>
      </c>
      <c r="DK322" s="247" t="e">
        <f>SUM(#REF!+#REF!+#REF!+#REF!+#REF!+#REF!+#REF!+#REF!+#REF!+#REF!+#REF!+#REF!)</f>
        <v>#REF!</v>
      </c>
      <c r="DL322" s="247" t="e">
        <f>SUM(#REF!+#REF!+#REF!+#REF!+#REF!+#REF!+#REF!+#REF!+#REF!+#REF!+#REF!+#REF!)</f>
        <v>#REF!</v>
      </c>
      <c r="DM322" s="247" t="e">
        <f>SUM(#REF!+#REF!+#REF!+#REF!+#REF!+#REF!+#REF!+#REF!+#REF!+#REF!+#REF!+#REF!)</f>
        <v>#REF!</v>
      </c>
      <c r="DN322" s="247" t="e">
        <f>SUM(#REF!+#REF!+#REF!+#REF!+#REF!+#REF!+#REF!+#REF!+#REF!+#REF!+#REF!+#REF!)</f>
        <v>#REF!</v>
      </c>
      <c r="DO322" s="247" t="e">
        <f>SUM(#REF!+#REF!+#REF!+#REF!+#REF!+#REF!+#REF!+#REF!+#REF!+#REF!+#REF!+#REF!)</f>
        <v>#REF!</v>
      </c>
      <c r="DP322" s="247" t="e">
        <f>SUM(#REF!+#REF!+#REF!+#REF!+#REF!+#REF!+#REF!+#REF!+#REF!+#REF!+#REF!+#REF!)</f>
        <v>#REF!</v>
      </c>
      <c r="DQ322" s="247" t="e">
        <f>SUM(#REF!+#REF!+#REF!+#REF!+#REF!+#REF!+#REF!+#REF!+#REF!+#REF!+#REF!+#REF!)</f>
        <v>#REF!</v>
      </c>
      <c r="DR322" s="247" t="e">
        <f>SUM(#REF!+#REF!+#REF!+#REF!+#REF!+#REF!+#REF!+#REF!+#REF!+#REF!+#REF!+#REF!)</f>
        <v>#REF!</v>
      </c>
      <c r="DS322" s="247" t="e">
        <f>SUM(#REF!+#REF!+#REF!+#REF!+#REF!+#REF!+#REF!+#REF!+#REF!+#REF!+#REF!+#REF!)</f>
        <v>#REF!</v>
      </c>
      <c r="DT322" s="247" t="e">
        <f>SUM(#REF!+#REF!+#REF!+#REF!+#REF!+#REF!+#REF!+#REF!+#REF!+#REF!+#REF!+#REF!)</f>
        <v>#REF!</v>
      </c>
      <c r="DU322" s="247" t="e">
        <f>SUM(#REF!+#REF!+#REF!+#REF!+#REF!+#REF!+#REF!+#REF!+#REF!+#REF!+#REF!+#REF!)</f>
        <v>#REF!</v>
      </c>
      <c r="DV322" s="247" t="e">
        <f>SUM(#REF!+#REF!+#REF!+#REF!+#REF!+#REF!+#REF!+#REF!+#REF!+#REF!+#REF!+#REF!)</f>
        <v>#REF!</v>
      </c>
      <c r="DW322" s="247" t="e">
        <f>SUM(#REF!+#REF!+#REF!+#REF!+#REF!+#REF!+#REF!+#REF!+#REF!+#REF!+#REF!+#REF!)</f>
        <v>#REF!</v>
      </c>
      <c r="DX322" s="247" t="e">
        <f>SUM(#REF!+#REF!+#REF!+#REF!+#REF!+#REF!+#REF!+#REF!+#REF!+#REF!+#REF!+#REF!)</f>
        <v>#REF!</v>
      </c>
      <c r="DY322" s="247" t="e">
        <f>SUM(#REF!+#REF!+#REF!+#REF!+#REF!+#REF!+#REF!+#REF!+#REF!+#REF!+#REF!+#REF!)</f>
        <v>#REF!</v>
      </c>
      <c r="DZ322" s="247"/>
      <c r="EA322" s="335" t="e">
        <f>SUM(#REF!+#REF!+#REF!+#REF!+#REF!+#REF!+#REF!+#REF!+#REF!+#REF!+#REF!+#REF!+#REF!+#REF!)</f>
        <v>#REF!</v>
      </c>
      <c r="EB322" s="335" t="e">
        <f>SUM(#REF!+#REF!+#REF!+#REF!+#REF!+#REF!+#REF!+#REF!+#REF!+#REF!+#REF!+#REF!)</f>
        <v>#REF!</v>
      </c>
      <c r="EC322" s="335" t="e">
        <f>SUM(#REF!+#REF!+#REF!+#REF!+#REF!+#REF!+#REF!+#REF!+#REF!+#REF!+#REF!+#REF!)</f>
        <v>#REF!</v>
      </c>
      <c r="ED322" s="335" t="e">
        <f>SUM(#REF!+#REF!+#REF!+#REF!+#REF!+#REF!+#REF!+#REF!+#REF!+#REF!+#REF!+#REF!+#REF!+#REF!)</f>
        <v>#REF!</v>
      </c>
      <c r="EE322" s="335" t="e">
        <f>SUM(#REF!+#REF!+#REF!+#REF!+#REF!+#REF!+#REF!+#REF!+#REF!+#REF!+#REF!+#REF!)</f>
        <v>#REF!</v>
      </c>
      <c r="EF322" s="335" t="e">
        <f>SUM(#REF!+#REF!+#REF!+#REF!+#REF!+#REF!+#REF!+#REF!+#REF!+#REF!+#REF!+#REF!)</f>
        <v>#REF!</v>
      </c>
      <c r="EG322" s="335" t="e">
        <f>SUM(#REF!+#REF!+#REF!+#REF!+#REF!+#REF!+#REF!+#REF!+#REF!+#REF!+#REF!+#REF!)</f>
        <v>#REF!</v>
      </c>
      <c r="EH322" s="335" t="e">
        <f>SUM(#REF!+#REF!+#REF!+#REF!+#REF!+#REF!+#REF!+#REF!+#REF!+#REF!+#REF!+#REF!)</f>
        <v>#REF!</v>
      </c>
      <c r="EI322" s="335" t="e">
        <f>SUM(#REF!+#REF!+#REF!+#REF!+#REF!+#REF!+#REF!+#REF!+#REF!+#REF!+#REF!+#REF!)</f>
        <v>#REF!</v>
      </c>
      <c r="EJ322" s="335" t="e">
        <f>SUM(#REF!+#REF!+#REF!+#REF!+#REF!+#REF!+#REF!+#REF!+#REF!+#REF!+#REF!+#REF!)</f>
        <v>#REF!</v>
      </c>
      <c r="EK322" s="335" t="e">
        <f>SUM(#REF!+#REF!+#REF!+#REF!+#REF!+#REF!+#REF!+#REF!+#REF!+#REF!+#REF!+#REF!)</f>
        <v>#REF!</v>
      </c>
      <c r="EL322" s="335" t="e">
        <f>SUM(#REF!+#REF!+#REF!+#REF!+#REF!+#REF!+#REF!+#REF!+#REF!+#REF!+#REF!+#REF!)</f>
        <v>#REF!</v>
      </c>
      <c r="EM322" s="335" t="e">
        <f>SUM(#REF!+#REF!+#REF!+#REF!+#REF!+#REF!+#REF!+#REF!+#REF!+#REF!+#REF!+#REF!)</f>
        <v>#REF!</v>
      </c>
      <c r="EN322" s="335" t="e">
        <f>SUM(#REF!+#REF!+#REF!+#REF!+#REF!+#REF!+#REF!+#REF!+#REF!+#REF!+#REF!+#REF!)</f>
        <v>#REF!</v>
      </c>
      <c r="EO322" s="335" t="e">
        <f>SUM(#REF!+#REF!+#REF!+#REF!+#REF!+#REF!+#REF!+#REF!+#REF!+#REF!+#REF!+#REF!)</f>
        <v>#REF!</v>
      </c>
      <c r="EP322" s="335" t="e">
        <f>SUM(#REF!+#REF!+#REF!+#REF!+#REF!+#REF!+#REF!+#REF!+#REF!+#REF!+#REF!+#REF!)</f>
        <v>#REF!</v>
      </c>
      <c r="EQ322" s="335" t="e">
        <f>SUM(#REF!+#REF!+#REF!+#REF!+#REF!+#REF!+#REF!+#REF!+#REF!+#REF!+#REF!+#REF!)</f>
        <v>#REF!</v>
      </c>
      <c r="ER322" s="365" t="e">
        <f>SUM(#REF!+#REF!+#REF!+#REF!+#REF!+#REF!+#REF!+#REF!+#REF!+#REF!+#REF!+#REF!+#REF!+#REF!)</f>
        <v>#REF!</v>
      </c>
      <c r="ES322" s="335" t="e">
        <f>SUM(#REF!+#REF!+#REF!+#REF!+#REF!+#REF!+#REF!+#REF!+#REF!+#REF!+#REF!+#REF!+#REF!+#REF!)</f>
        <v>#REF!</v>
      </c>
      <c r="ET322" s="335" t="e">
        <f>SUM(#REF!+#REF!+#REF!+#REF!+#REF!+#REF!+#REF!+#REF!+#REF!+#REF!+#REF!+#REF!)</f>
        <v>#REF!</v>
      </c>
      <c r="EU322" s="335" t="e">
        <f>SUM(#REF!+#REF!+#REF!+#REF!+#REF!+#REF!+#REF!+#REF!+#REF!+#REF!+#REF!+#REF!)</f>
        <v>#REF!</v>
      </c>
      <c r="EV322" s="335" t="e">
        <f>SUM(#REF!+#REF!+#REF!+#REF!+#REF!+#REF!+#REF!+#REF!+#REF!+#REF!+#REF!+#REF!)</f>
        <v>#REF!</v>
      </c>
      <c r="EW322" s="335"/>
      <c r="EX322" s="335"/>
      <c r="EY322" s="95"/>
      <c r="EZ322" s="95"/>
      <c r="FA322" s="245" t="e">
        <f>SUM(#REF!+#REF!+#REF!+#REF!+#REF!+#REF!+#REF!+#REF!+#REF!+#REF!+#REF!+#REF!)</f>
        <v>#REF!</v>
      </c>
      <c r="FB322" s="245" t="e">
        <f>SUM(#REF!+#REF!+#REF!+#REF!+#REF!+#REF!+#REF!+#REF!+#REF!+#REF!+#REF!+#REF!)</f>
        <v>#REF!</v>
      </c>
      <c r="FC322" s="245" t="e">
        <f>SUM(#REF!+#REF!+#REF!+#REF!+#REF!+#REF!+#REF!+#REF!+#REF!+#REF!+#REF!+#REF!)</f>
        <v>#REF!</v>
      </c>
      <c r="FD322" s="245" t="e">
        <f>SUM(#REF!+#REF!+#REF!+#REF!+#REF!+#REF!+#REF!+#REF!+#REF!+#REF!+#REF!+#REF!)</f>
        <v>#REF!</v>
      </c>
      <c r="FE322" s="245" t="e">
        <f>SUM(#REF!+#REF!+#REF!+#REF!+#REF!+#REF!+#REF!+#REF!+#REF!+#REF!+#REF!+#REF!)</f>
        <v>#REF!</v>
      </c>
      <c r="FF322" s="245" t="e">
        <f>SUM(#REF!+#REF!+#REF!+#REF!+#REF!+#REF!+#REF!+#REF!+#REF!+#REF!+#REF!+#REF!)</f>
        <v>#REF!</v>
      </c>
      <c r="FG322" s="245" t="e">
        <f>SUM(#REF!+#REF!+#REF!+#REF!+#REF!+#REF!+#REF!+#REF!+#REF!+#REF!+#REF!+#REF!)</f>
        <v>#REF!</v>
      </c>
      <c r="FH322" s="245" t="e">
        <f>SUM(#REF!+#REF!+#REF!+#REF!+#REF!+#REF!+#REF!+#REF!+#REF!+#REF!+#REF!+#REF!)</f>
        <v>#REF!</v>
      </c>
      <c r="FI322" s="245" t="e">
        <f>SUM(#REF!+#REF!+#REF!+#REF!+#REF!+#REF!+#REF!+#REF!+#REF!+#REF!+#REF!+#REF!)</f>
        <v>#REF!</v>
      </c>
      <c r="FJ322" s="245" t="e">
        <f>SUM(#REF!+#REF!+#REF!+#REF!+#REF!+#REF!+#REF!+#REF!+#REF!+#REF!+#REF!+#REF!)</f>
        <v>#REF!</v>
      </c>
      <c r="FK322" s="245" t="e">
        <f>SUM(#REF!+#REF!+#REF!+#REF!+#REF!+#REF!+#REF!+#REF!+#REF!+#REF!+#REF!+#REF!)</f>
        <v>#REF!</v>
      </c>
      <c r="FL322" s="245" t="e">
        <f>SUM(#REF!+#REF!+#REF!+#REF!+#REF!+#REF!+#REF!+#REF!+#REF!+#REF!+#REF!+#REF!)</f>
        <v>#REF!</v>
      </c>
      <c r="FM322" s="245" t="e">
        <f>SUM(#REF!+#REF!+#REF!+#REF!+#REF!+#REF!+#REF!+#REF!+#REF!+#REF!+#REF!+#REF!)</f>
        <v>#REF!</v>
      </c>
      <c r="FN322" s="245" t="e">
        <f>SUM(#REF!+#REF!+#REF!+#REF!+#REF!+#REF!+#REF!+#REF!+#REF!+#REF!+#REF!+#REF!)</f>
        <v>#REF!</v>
      </c>
      <c r="FO322" s="245"/>
      <c r="FP322" s="245"/>
      <c r="FQ322" s="311" t="e">
        <f>SUM(#REF!)</f>
        <v>#REF!</v>
      </c>
      <c r="FR322" s="271">
        <f>SUM([1]свод!$GA$317)</f>
        <v>48361576.619999997</v>
      </c>
      <c r="FS322" s="271">
        <f>SUM([1]свод!$GB$317)</f>
        <v>5664853.5</v>
      </c>
      <c r="FT322" s="271">
        <f>SUM(FR322:FS322)</f>
        <v>54026430.119999997</v>
      </c>
      <c r="FU322" s="271">
        <f>SUM(CC318+CI318+CL318+CJ318)</f>
        <v>495082023.69</v>
      </c>
      <c r="FV322" s="271">
        <f>SUM(CD318+CE318+CF318+CG318+CH318+CK318+CM318+CN318+CO318+CP318+CQ318)</f>
        <v>75427844.620000005</v>
      </c>
      <c r="FW322" s="335">
        <f>SUM(FU322:FV322)</f>
        <v>570509868.30999994</v>
      </c>
      <c r="FX322" s="335"/>
      <c r="FY322" s="335"/>
      <c r="FZ322" s="335"/>
      <c r="GA322" s="335"/>
      <c r="GB322" s="335"/>
      <c r="GC322" s="335"/>
      <c r="GD322" s="335"/>
      <c r="GE322" s="335"/>
      <c r="GF322" s="335"/>
      <c r="GH322" s="266"/>
      <c r="GI322" s="422"/>
      <c r="GJ322" s="266"/>
      <c r="GK322" s="271"/>
      <c r="GL322" s="266"/>
      <c r="GM322" s="266"/>
    </row>
    <row r="323" spans="1:195" s="355" customFormat="1" ht="13.5" thickBot="1" x14ac:dyDescent="0.25">
      <c r="A323" s="480"/>
      <c r="B323" s="480"/>
      <c r="C323" s="480"/>
      <c r="D323" s="480"/>
      <c r="E323" s="480"/>
      <c r="F323" s="480"/>
      <c r="G323" s="480"/>
      <c r="H323" s="480"/>
      <c r="I323" s="480"/>
      <c r="J323" s="480"/>
      <c r="K323" s="480"/>
      <c r="L323" s="480"/>
      <c r="M323" s="480"/>
      <c r="N323" s="480"/>
      <c r="O323" s="480"/>
      <c r="P323" s="480"/>
      <c r="Q323" s="480"/>
      <c r="R323" s="480"/>
      <c r="S323" s="480"/>
      <c r="T323" s="480"/>
      <c r="U323" s="480"/>
      <c r="V323" s="480"/>
      <c r="W323" s="480"/>
      <c r="X323" s="480"/>
      <c r="Y323" s="480"/>
      <c r="Z323" s="480"/>
      <c r="AA323" s="480"/>
      <c r="AB323" s="480"/>
      <c r="AC323" s="480"/>
      <c r="AD323" s="480"/>
      <c r="AE323" s="480"/>
      <c r="AF323" s="480"/>
      <c r="AG323" s="480"/>
      <c r="AH323" s="480"/>
      <c r="AI323" s="480"/>
      <c r="AJ323" s="480"/>
      <c r="AK323" s="480"/>
      <c r="AL323" s="480"/>
      <c r="AM323" s="480"/>
      <c r="AN323" s="480"/>
      <c r="AO323" s="480"/>
      <c r="AP323" s="480"/>
      <c r="AQ323" s="480"/>
      <c r="AR323" s="480"/>
      <c r="AS323" s="480"/>
      <c r="AT323" s="480"/>
      <c r="AU323" s="480"/>
      <c r="AV323" s="480"/>
      <c r="AW323" s="480"/>
      <c r="AX323" s="480"/>
      <c r="AY323" s="480"/>
      <c r="AZ323" s="480"/>
      <c r="BA323" s="480"/>
      <c r="BB323" s="480"/>
      <c r="BC323" s="480"/>
      <c r="BD323" s="480"/>
      <c r="BE323" s="480"/>
      <c r="BF323" s="480"/>
      <c r="BG323" s="480"/>
      <c r="BH323" s="480"/>
      <c r="BI323" s="480"/>
      <c r="BJ323" s="480"/>
      <c r="BK323" s="480"/>
      <c r="BL323" s="480"/>
      <c r="BM323" s="480"/>
      <c r="BN323" s="480"/>
      <c r="BO323" s="480"/>
      <c r="BP323" s="480"/>
      <c r="BQ323" s="480"/>
      <c r="BR323" s="480"/>
      <c r="BS323" s="480"/>
      <c r="BT323" s="480"/>
      <c r="BU323" s="480"/>
      <c r="BV323" s="480"/>
      <c r="BW323" s="480"/>
      <c r="BX323" s="480"/>
      <c r="BY323" s="480"/>
      <c r="BZ323" s="480"/>
      <c r="CA323" s="480"/>
      <c r="CB323" s="480"/>
      <c r="CC323" s="480"/>
      <c r="CD323" s="480"/>
      <c r="CE323" s="480"/>
      <c r="CF323" s="480"/>
      <c r="CG323" s="480"/>
      <c r="CH323" s="480"/>
      <c r="CI323" s="480"/>
      <c r="CJ323" s="480"/>
      <c r="CK323" s="480"/>
      <c r="CL323" s="354"/>
      <c r="CM323" s="357"/>
      <c r="CN323" s="357"/>
      <c r="CO323" s="358"/>
      <c r="CP323" s="358"/>
      <c r="CQ323" s="358"/>
      <c r="CR323" s="357"/>
      <c r="CS323" s="354"/>
      <c r="CT323" s="354"/>
      <c r="CU323" s="354"/>
      <c r="CV323" s="354"/>
      <c r="CW323" s="354"/>
      <c r="CX323" s="354"/>
      <c r="CY323" s="354"/>
      <c r="CZ323" s="354"/>
      <c r="DA323" s="359"/>
      <c r="DB323" s="481"/>
      <c r="DC323" s="482"/>
      <c r="DD323" s="360"/>
      <c r="DE323" s="360"/>
      <c r="DF323" s="360"/>
      <c r="DI323" s="356"/>
      <c r="DJ323" s="356"/>
      <c r="DK323" s="356"/>
      <c r="DL323" s="356"/>
      <c r="DM323" s="356"/>
      <c r="DN323" s="356"/>
      <c r="DO323" s="356"/>
      <c r="DQ323" s="105"/>
      <c r="DR323" s="105"/>
      <c r="DS323" s="215"/>
      <c r="DT323" s="105"/>
      <c r="DU323" s="105"/>
      <c r="DV323" s="105"/>
      <c r="DW323" s="105"/>
      <c r="DX323" s="105"/>
      <c r="DY323" s="105"/>
      <c r="DZ323" s="105"/>
      <c r="EA323" s="356"/>
      <c r="EB323" s="356"/>
      <c r="EC323" s="356"/>
      <c r="ED323" s="356"/>
      <c r="EE323" s="356"/>
      <c r="EF323" s="356"/>
      <c r="EG323" s="356"/>
      <c r="EH323" s="356"/>
      <c r="EI323" s="356"/>
      <c r="EJ323" s="356"/>
      <c r="EK323" s="356"/>
      <c r="EL323" s="356"/>
      <c r="EM323" s="356"/>
      <c r="EN323" s="356"/>
      <c r="EO323" s="356"/>
      <c r="EP323" s="356"/>
      <c r="EQ323" s="356"/>
      <c r="ER323" s="356"/>
      <c r="EX323" s="303">
        <f>SUM(DH318:EV318)</f>
        <v>395640426.60000002</v>
      </c>
      <c r="FQ323" s="303" t="e">
        <f>SUM(FQ318-FQ322)</f>
        <v>#REF!</v>
      </c>
      <c r="FR323" s="248">
        <f>SUM([1]свод!$GA$33)</f>
        <v>681831.8</v>
      </c>
      <c r="FS323" s="248">
        <f>SUM([1]свод!$GB$33)</f>
        <v>52903.78</v>
      </c>
      <c r="FT323" s="248">
        <f>SUM(FR323:FS323)</f>
        <v>734735.58</v>
      </c>
      <c r="FU323" s="248">
        <f>SUM(FU318-FU322)</f>
        <v>0</v>
      </c>
      <c r="FV323" s="248">
        <f>SUM(FV318-FV322)</f>
        <v>0</v>
      </c>
      <c r="FW323" s="248">
        <f>SUM(FW318-FW322)</f>
        <v>0</v>
      </c>
      <c r="GH323" s="8"/>
      <c r="GI323" s="422"/>
      <c r="GJ323" s="8"/>
      <c r="GK323" s="95"/>
      <c r="GL323" s="8"/>
      <c r="GM323" s="8"/>
    </row>
    <row r="324" spans="1:195" ht="12.75" customHeight="1" x14ac:dyDescent="0.2">
      <c r="A324" s="104"/>
      <c r="B324" s="300"/>
      <c r="C324" s="104"/>
      <c r="E324" s="104"/>
      <c r="F324" s="104"/>
      <c r="G324" s="104"/>
      <c r="H324" s="104"/>
      <c r="I324" s="104"/>
      <c r="J324" s="104"/>
      <c r="K324" s="104"/>
      <c r="L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AB324" s="28"/>
      <c r="AC324" s="28"/>
      <c r="AD324" s="28"/>
      <c r="AE324" s="28"/>
      <c r="AF324" s="28"/>
      <c r="AG324" s="28"/>
      <c r="AH324" s="28"/>
      <c r="AJ324" s="28"/>
      <c r="AK324" s="28"/>
      <c r="AL324" s="28"/>
      <c r="AM324" s="28"/>
      <c r="AQ324" s="28"/>
      <c r="AR324" s="28"/>
      <c r="AS324" s="28"/>
      <c r="AT324" s="28"/>
      <c r="AU324" s="28"/>
      <c r="AV324" s="28"/>
      <c r="AW324" s="28"/>
      <c r="AX324" s="28"/>
      <c r="AY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CC324" s="247" t="e">
        <f t="shared" ref="CC324:CK324" si="148">SUM(CC318-CC322)</f>
        <v>#REF!</v>
      </c>
      <c r="CD324" s="247" t="e">
        <f t="shared" si="148"/>
        <v>#REF!</v>
      </c>
      <c r="CE324" s="247" t="e">
        <f t="shared" si="148"/>
        <v>#REF!</v>
      </c>
      <c r="CF324" s="247" t="e">
        <f t="shared" si="148"/>
        <v>#REF!</v>
      </c>
      <c r="CG324" s="247" t="e">
        <f t="shared" si="148"/>
        <v>#REF!</v>
      </c>
      <c r="CH324" s="247" t="e">
        <f t="shared" si="148"/>
        <v>#REF!</v>
      </c>
      <c r="CI324" s="247" t="e">
        <f t="shared" si="148"/>
        <v>#REF!</v>
      </c>
      <c r="CJ324" s="247" t="e">
        <f t="shared" si="148"/>
        <v>#REF!</v>
      </c>
      <c r="CK324" s="247" t="e">
        <f t="shared" si="148"/>
        <v>#REF!</v>
      </c>
      <c r="CL324" s="247" t="e">
        <f>SUM(CL318-CL322)</f>
        <v>#REF!</v>
      </c>
      <c r="CM324" s="247" t="e">
        <f t="shared" ref="CM324:CW324" si="149">SUM(CM318-CM322)</f>
        <v>#REF!</v>
      </c>
      <c r="CN324" s="247" t="e">
        <f t="shared" si="149"/>
        <v>#REF!</v>
      </c>
      <c r="CO324" s="247" t="e">
        <f t="shared" si="149"/>
        <v>#REF!</v>
      </c>
      <c r="CP324" s="247" t="e">
        <f t="shared" si="149"/>
        <v>#REF!</v>
      </c>
      <c r="CQ324" s="247" t="e">
        <f t="shared" si="149"/>
        <v>#REF!</v>
      </c>
      <c r="CR324" s="247" t="e">
        <f t="shared" si="149"/>
        <v>#REF!</v>
      </c>
      <c r="CS324" s="247" t="e">
        <f t="shared" si="149"/>
        <v>#REF!</v>
      </c>
      <c r="CT324" s="247" t="e">
        <f t="shared" si="149"/>
        <v>#REF!</v>
      </c>
      <c r="CU324" s="247" t="e">
        <f t="shared" si="149"/>
        <v>#REF!</v>
      </c>
      <c r="CV324" s="247" t="e">
        <f t="shared" si="149"/>
        <v>#REF!</v>
      </c>
      <c r="CW324" s="247" t="e">
        <f t="shared" si="149"/>
        <v>#REF!</v>
      </c>
      <c r="CY324" s="311"/>
      <c r="DG324" s="308"/>
      <c r="DH324" s="247" t="e">
        <f>SUM(DH318-DH322)</f>
        <v>#REF!</v>
      </c>
      <c r="DI324" s="247" t="e">
        <f>SUM(DI318-DI322)</f>
        <v>#REF!</v>
      </c>
      <c r="DJ324" s="247" t="e">
        <f>SUM(DJ318-DJ322)</f>
        <v>#REF!</v>
      </c>
      <c r="DK324" s="247" t="e">
        <f t="shared" ref="DK324:DT324" si="150">SUM(DK318-DK322)</f>
        <v>#REF!</v>
      </c>
      <c r="DL324" s="247" t="e">
        <f t="shared" si="150"/>
        <v>#REF!</v>
      </c>
      <c r="DM324" s="247" t="e">
        <f t="shared" si="150"/>
        <v>#REF!</v>
      </c>
      <c r="DN324" s="247" t="e">
        <f t="shared" si="150"/>
        <v>#REF!</v>
      </c>
      <c r="DO324" s="247" t="e">
        <f t="shared" si="150"/>
        <v>#REF!</v>
      </c>
      <c r="DP324" s="247" t="e">
        <f t="shared" si="150"/>
        <v>#REF!</v>
      </c>
      <c r="DQ324" s="247" t="e">
        <f t="shared" si="150"/>
        <v>#REF!</v>
      </c>
      <c r="DR324" s="247" t="e">
        <f t="shared" si="150"/>
        <v>#REF!</v>
      </c>
      <c r="DS324" s="247" t="e">
        <f t="shared" si="150"/>
        <v>#REF!</v>
      </c>
      <c r="DT324" s="247" t="e">
        <f t="shared" si="150"/>
        <v>#REF!</v>
      </c>
      <c r="DU324" s="247" t="e">
        <f>SUM(DU318-DU322)</f>
        <v>#REF!</v>
      </c>
      <c r="DV324" s="247" t="e">
        <f t="shared" ref="DV324:ET324" si="151">SUM(DV318-DV322)</f>
        <v>#REF!</v>
      </c>
      <c r="DW324" s="247" t="e">
        <f t="shared" si="151"/>
        <v>#REF!</v>
      </c>
      <c r="DX324" s="247" t="e">
        <f t="shared" si="151"/>
        <v>#REF!</v>
      </c>
      <c r="DY324" s="247" t="e">
        <f t="shared" si="151"/>
        <v>#REF!</v>
      </c>
      <c r="DZ324" s="247">
        <f t="shared" si="151"/>
        <v>182926.96</v>
      </c>
      <c r="EA324" s="247" t="e">
        <f t="shared" si="151"/>
        <v>#REF!</v>
      </c>
      <c r="EB324" s="247" t="e">
        <f t="shared" si="151"/>
        <v>#REF!</v>
      </c>
      <c r="EC324" s="247" t="e">
        <f t="shared" si="151"/>
        <v>#REF!</v>
      </c>
      <c r="ED324" s="247" t="e">
        <f t="shared" si="151"/>
        <v>#REF!</v>
      </c>
      <c r="EE324" s="247" t="e">
        <f t="shared" si="151"/>
        <v>#REF!</v>
      </c>
      <c r="EF324" s="247" t="e">
        <f t="shared" si="151"/>
        <v>#REF!</v>
      </c>
      <c r="EG324" s="247" t="e">
        <f t="shared" si="151"/>
        <v>#REF!</v>
      </c>
      <c r="EH324" s="247" t="e">
        <f t="shared" si="151"/>
        <v>#REF!</v>
      </c>
      <c r="EI324" s="247" t="e">
        <f t="shared" si="151"/>
        <v>#REF!</v>
      </c>
      <c r="EJ324" s="247" t="e">
        <f t="shared" si="151"/>
        <v>#REF!</v>
      </c>
      <c r="EK324" s="247" t="e">
        <f t="shared" si="151"/>
        <v>#REF!</v>
      </c>
      <c r="EL324" s="247" t="e">
        <f t="shared" si="151"/>
        <v>#REF!</v>
      </c>
      <c r="EM324" s="247" t="e">
        <f t="shared" si="151"/>
        <v>#REF!</v>
      </c>
      <c r="EN324" s="247" t="e">
        <f t="shared" si="151"/>
        <v>#REF!</v>
      </c>
      <c r="EO324" s="247" t="e">
        <f t="shared" si="151"/>
        <v>#REF!</v>
      </c>
      <c r="EP324" s="247" t="e">
        <f t="shared" si="151"/>
        <v>#REF!</v>
      </c>
      <c r="EQ324" s="247" t="e">
        <f t="shared" si="151"/>
        <v>#REF!</v>
      </c>
      <c r="ER324" s="247" t="e">
        <f t="shared" si="151"/>
        <v>#REF!</v>
      </c>
      <c r="ES324" s="247" t="e">
        <f t="shared" si="151"/>
        <v>#REF!</v>
      </c>
      <c r="ET324" s="247" t="e">
        <f t="shared" si="151"/>
        <v>#REF!</v>
      </c>
      <c r="EU324" s="247" t="e">
        <f>SUM(EU318-EU322)</f>
        <v>#REF!</v>
      </c>
      <c r="EV324" s="247" t="e">
        <f>SUM(EV318-EV322)</f>
        <v>#REF!</v>
      </c>
      <c r="EW324" s="247"/>
      <c r="EX324" s="247">
        <f>SUM(FA318:FN318)</f>
        <v>164988807.38</v>
      </c>
      <c r="EY324" s="28"/>
      <c r="EZ324" s="28"/>
      <c r="FA324" s="247" t="e">
        <f>SUM(FA318-FA322)</f>
        <v>#REF!</v>
      </c>
      <c r="FB324" s="247" t="e">
        <f t="shared" ref="FB324:FN324" si="152">SUM(FB318-FB322)</f>
        <v>#REF!</v>
      </c>
      <c r="FC324" s="247" t="e">
        <f t="shared" si="152"/>
        <v>#REF!</v>
      </c>
      <c r="FD324" s="247" t="e">
        <f t="shared" si="152"/>
        <v>#REF!</v>
      </c>
      <c r="FE324" s="247" t="e">
        <f t="shared" si="152"/>
        <v>#REF!</v>
      </c>
      <c r="FF324" s="247" t="e">
        <f t="shared" si="152"/>
        <v>#REF!</v>
      </c>
      <c r="FG324" s="247" t="e">
        <f t="shared" si="152"/>
        <v>#REF!</v>
      </c>
      <c r="FH324" s="247" t="e">
        <f t="shared" si="152"/>
        <v>#REF!</v>
      </c>
      <c r="FI324" s="247" t="e">
        <f t="shared" si="152"/>
        <v>#REF!</v>
      </c>
      <c r="FJ324" s="247" t="e">
        <f t="shared" si="152"/>
        <v>#REF!</v>
      </c>
      <c r="FK324" s="247" t="e">
        <f t="shared" si="152"/>
        <v>#REF!</v>
      </c>
      <c r="FL324" s="247" t="e">
        <f t="shared" si="152"/>
        <v>#REF!</v>
      </c>
      <c r="FM324" s="247" t="e">
        <f t="shared" si="152"/>
        <v>#REF!</v>
      </c>
      <c r="FN324" s="247" t="e">
        <f t="shared" si="152"/>
        <v>#REF!</v>
      </c>
      <c r="FO324" s="247"/>
      <c r="FP324" s="247"/>
      <c r="FQ324" s="210"/>
      <c r="FR324" s="335"/>
      <c r="FS324" s="335"/>
      <c r="FT324" s="335"/>
      <c r="FU324" s="335"/>
      <c r="FV324" s="335"/>
      <c r="FW324" s="247" t="e">
        <f>SUM(#REF!)</f>
        <v>#REF!</v>
      </c>
      <c r="FX324" s="247"/>
      <c r="FY324" s="247"/>
      <c r="FZ324" s="247"/>
      <c r="GA324" s="247"/>
      <c r="GB324" s="247"/>
      <c r="GC324" s="247"/>
      <c r="GD324" s="247"/>
      <c r="GE324" s="247"/>
      <c r="GF324" s="247"/>
      <c r="GI324" s="422"/>
    </row>
    <row r="325" spans="1:195" ht="12.75" customHeight="1" x14ac:dyDescent="0.2">
      <c r="A325" s="104"/>
      <c r="B325" s="300"/>
      <c r="C325" s="104"/>
      <c r="E325" s="104"/>
      <c r="F325" s="104"/>
      <c r="G325" s="104"/>
      <c r="H325" s="104"/>
      <c r="I325" s="104"/>
      <c r="J325" s="104"/>
      <c r="K325" s="104"/>
      <c r="L325" s="104"/>
      <c r="P325" s="104"/>
      <c r="Q325" s="104"/>
      <c r="R325" s="104"/>
      <c r="S325" s="104"/>
      <c r="T325" s="104"/>
      <c r="U325" s="28"/>
      <c r="V325" s="28"/>
      <c r="W325" s="28"/>
      <c r="X325" s="28"/>
      <c r="Y325" s="28"/>
      <c r="AB325" s="28"/>
      <c r="AC325" s="28"/>
      <c r="AD325" s="28"/>
      <c r="AE325" s="28"/>
      <c r="AF325" s="28"/>
      <c r="AG325" s="28"/>
      <c r="AH325" s="28"/>
      <c r="AJ325" s="28"/>
      <c r="AK325" s="28"/>
      <c r="AL325" s="28"/>
      <c r="AM325" s="28"/>
      <c r="AQ325" s="28"/>
      <c r="AR325" s="28"/>
      <c r="AS325" s="28"/>
      <c r="AT325" s="28"/>
      <c r="AU325" s="28"/>
      <c r="AV325" s="28"/>
      <c r="AW325" s="28"/>
      <c r="AX325" s="28"/>
      <c r="AY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CC325" s="28"/>
      <c r="CD325" s="28"/>
      <c r="CE325" s="28"/>
      <c r="CF325" s="28"/>
      <c r="CG325" s="95"/>
      <c r="CI325" s="95"/>
      <c r="CJ325" s="247"/>
      <c r="CL325" s="321"/>
      <c r="CM325" s="321"/>
      <c r="CN325" s="321"/>
      <c r="CO325" s="321"/>
      <c r="CP325" s="321"/>
      <c r="CQ325" s="321"/>
      <c r="CV325" s="311"/>
      <c r="DG325" s="307"/>
      <c r="DH325" s="95"/>
      <c r="DI325" s="175"/>
      <c r="DJ325" s="175"/>
      <c r="DK325" s="175"/>
      <c r="DL325" s="175"/>
      <c r="DM325" s="175"/>
      <c r="DN325" s="175"/>
      <c r="DO325" s="175"/>
      <c r="DQ325" s="351"/>
      <c r="DR325" s="248"/>
      <c r="DS325"/>
      <c r="DT325" s="95"/>
      <c r="DU325" s="309"/>
      <c r="DW325" s="271"/>
      <c r="DX325" s="273"/>
      <c r="DY325" s="273"/>
      <c r="DZ325" s="273"/>
      <c r="EA325" s="175"/>
      <c r="EB325" s="175"/>
      <c r="EC325" s="175"/>
      <c r="ED325" s="175"/>
      <c r="EE325" s="175"/>
      <c r="EF325" s="175"/>
      <c r="EG325" s="175"/>
      <c r="EH325" s="175"/>
      <c r="EI325" s="175"/>
      <c r="EJ325" s="175"/>
      <c r="EK325" s="175"/>
      <c r="EL325" s="175"/>
      <c r="EW325" s="95"/>
      <c r="EX325" s="247">
        <f>SUM(EX323:EX324)</f>
        <v>560629233.98000002</v>
      </c>
      <c r="EY325" s="95"/>
      <c r="EZ325" s="95"/>
      <c r="FA325" s="95"/>
      <c r="FB325" s="28"/>
      <c r="FC325" s="247"/>
      <c r="FD325" s="247"/>
      <c r="FE325" s="95"/>
      <c r="FF325" s="95"/>
      <c r="FG325" s="95"/>
      <c r="FL325" s="8"/>
      <c r="FM325" s="95"/>
      <c r="FN325" s="95"/>
      <c r="FO325" s="95"/>
      <c r="FP325" s="95"/>
      <c r="FR325" s="355"/>
      <c r="FS325" s="355"/>
      <c r="FT325" s="355"/>
      <c r="FU325" s="355"/>
      <c r="FV325" s="355"/>
      <c r="FW325" s="247" t="e">
        <f>SUM(FW322-FW324)</f>
        <v>#REF!</v>
      </c>
      <c r="GH325" s="355"/>
      <c r="GI325" s="422"/>
      <c r="GJ325" s="355"/>
      <c r="GK325" s="355"/>
      <c r="GL325" s="355"/>
      <c r="GM325" s="355"/>
    </row>
    <row r="326" spans="1:195" s="373" customFormat="1" ht="12.75" customHeight="1" x14ac:dyDescent="0.2">
      <c r="A326" s="369"/>
      <c r="B326" s="370"/>
      <c r="C326" s="369"/>
      <c r="D326" s="371"/>
      <c r="E326" s="369"/>
      <c r="F326" s="369"/>
      <c r="G326" s="369"/>
      <c r="H326" s="369"/>
      <c r="I326" s="369"/>
      <c r="J326" s="369"/>
      <c r="K326" s="369"/>
      <c r="L326" s="369"/>
      <c r="M326" s="369"/>
      <c r="N326" s="369"/>
      <c r="O326" s="369"/>
      <c r="P326" s="369"/>
      <c r="Q326" s="369"/>
      <c r="R326" s="369"/>
      <c r="S326" s="369"/>
      <c r="T326" s="369"/>
      <c r="U326" s="372"/>
      <c r="V326" s="372"/>
      <c r="W326" s="372"/>
      <c r="X326" s="372"/>
      <c r="Y326" s="372"/>
      <c r="Z326" s="372"/>
      <c r="AA326" s="372"/>
      <c r="AB326" s="372"/>
      <c r="AC326" s="372"/>
      <c r="AD326" s="372"/>
      <c r="AE326" s="372"/>
      <c r="AF326" s="372"/>
      <c r="AG326" s="372"/>
      <c r="AH326" s="372"/>
      <c r="AI326" s="372"/>
      <c r="AJ326" s="372"/>
      <c r="AK326" s="372"/>
      <c r="AL326" s="372"/>
      <c r="AM326" s="372"/>
      <c r="AN326" s="372"/>
      <c r="AO326" s="372"/>
      <c r="AP326" s="372"/>
      <c r="AQ326" s="372"/>
      <c r="AR326" s="372"/>
      <c r="AS326" s="372"/>
      <c r="AT326" s="372"/>
      <c r="AU326" s="372"/>
      <c r="AV326" s="372"/>
      <c r="AW326" s="372"/>
      <c r="AX326" s="372"/>
      <c r="AY326" s="372"/>
      <c r="AZ326" s="372"/>
      <c r="BA326" s="372"/>
      <c r="BB326" s="372"/>
      <c r="BC326" s="372"/>
      <c r="BD326" s="372"/>
      <c r="BE326" s="372"/>
      <c r="BF326" s="372"/>
      <c r="BG326" s="372"/>
      <c r="BH326" s="372"/>
      <c r="BI326" s="372"/>
      <c r="BJ326" s="372"/>
      <c r="BK326" s="372"/>
      <c r="BL326" s="372"/>
      <c r="BM326" s="372"/>
      <c r="BN326" s="372"/>
      <c r="BO326" s="372"/>
      <c r="BP326" s="372"/>
      <c r="BQ326" s="372"/>
      <c r="BR326" s="372"/>
      <c r="BS326" s="372"/>
      <c r="BT326" s="372"/>
      <c r="BU326" s="372"/>
      <c r="BV326" s="372"/>
      <c r="BW326" s="372"/>
      <c r="BX326" s="372"/>
      <c r="BY326" s="372"/>
      <c r="BZ326" s="372"/>
      <c r="CA326" s="372"/>
      <c r="CB326" s="372"/>
      <c r="CC326" s="372"/>
      <c r="CD326" s="372"/>
      <c r="CE326" s="372"/>
      <c r="CF326" s="372"/>
      <c r="CG326" s="370"/>
      <c r="CH326" s="370"/>
      <c r="CI326" s="370"/>
      <c r="CJ326" s="370"/>
      <c r="CK326" s="370"/>
      <c r="CL326" s="370">
        <f>SUBTOTAL(9,CL7:CL317)</f>
        <v>467567294.44999999</v>
      </c>
      <c r="CM326" s="370">
        <f t="shared" ref="CM326:CW326" si="153">SUBTOTAL(9,CM7:CM317)</f>
        <v>43697191.020000003</v>
      </c>
      <c r="CN326" s="370">
        <f t="shared" si="153"/>
        <v>16461521.84</v>
      </c>
      <c r="CO326" s="370">
        <f t="shared" si="153"/>
        <v>5818200.4900000002</v>
      </c>
      <c r="CP326" s="370">
        <f t="shared" si="153"/>
        <v>3694429.6</v>
      </c>
      <c r="CQ326" s="370">
        <f t="shared" si="153"/>
        <v>2768700.33</v>
      </c>
      <c r="CR326" s="370">
        <f t="shared" si="153"/>
        <v>437387743.85000002</v>
      </c>
      <c r="CS326" s="370">
        <f t="shared" si="153"/>
        <v>39589859.859999999</v>
      </c>
      <c r="CT326" s="370">
        <f t="shared" si="153"/>
        <v>14991536.550000001</v>
      </c>
      <c r="CU326" s="370">
        <f t="shared" si="153"/>
        <v>5760753.1200000001</v>
      </c>
      <c r="CV326" s="370">
        <f t="shared" si="153"/>
        <v>3571860.04</v>
      </c>
      <c r="CW326" s="370">
        <f t="shared" si="153"/>
        <v>2245279.1800000002</v>
      </c>
      <c r="CX326" s="370"/>
      <c r="CY326" s="370"/>
      <c r="CZ326" s="370"/>
      <c r="DA326" s="370"/>
      <c r="DB326" s="370"/>
      <c r="DC326" s="370"/>
      <c r="DD326" s="370"/>
      <c r="DE326" s="370"/>
      <c r="DF326" s="370"/>
      <c r="DG326" s="374"/>
      <c r="DH326" s="370" t="e">
        <f>SUM(#REF!+#REF!+#REF!+#REF!+#REF!+#REF!+#REF!+#REF!+#REF!+#REF!+#REF!+#REF!)</f>
        <v>#REF!</v>
      </c>
      <c r="DI326" s="374" t="e">
        <f>SUM(#REF!+#REF!+#REF!+#REF!+#REF!+#REF!+#REF!+#REF!+#REF!+#REF!+#REF!+#REF!)</f>
        <v>#REF!</v>
      </c>
      <c r="DJ326" s="374" t="e">
        <f>SUM(#REF!+#REF!+#REF!+#REF!+#REF!+#REF!+#REF!+#REF!+#REF!+#REF!+#REF!+#REF!+#REF!+#REF!)</f>
        <v>#REF!</v>
      </c>
      <c r="DK326" s="374" t="e">
        <f>SUM(#REF!+#REF!+#REF!+#REF!+#REF!+#REF!+#REF!+#REF!+#REF!+#REF!+#REF!+#REF!)</f>
        <v>#REF!</v>
      </c>
      <c r="DL326" s="374"/>
      <c r="DM326" s="374" t="e">
        <f>SUM(#REF!+#REF!+#REF!+#REF!+#REF!+#REF!+#REF!+#REF!+#REF!+#REF!+#REF!+#REF!)</f>
        <v>#REF!</v>
      </c>
      <c r="DN326" s="374" t="e">
        <f>SUM(#REF!+#REF!+#REF!+#REF!+#REF!+#REF!+#REF!+#REF!+#REF!+#REF!+#REF!+#REF!)</f>
        <v>#REF!</v>
      </c>
      <c r="DO326" s="374" t="e">
        <f>SUM(#REF!+#REF!+#REF!+#REF!+#REF!+#REF!+#REF!+#REF!+#REF!+#REF!+#REF!+#REF!)</f>
        <v>#REF!</v>
      </c>
      <c r="DP326" s="374" t="e">
        <f>SUM(#REF!+#REF!+#REF!+#REF!+#REF!+#REF!+#REF!+#REF!+#REF!+#REF!+#REF!+#REF!)</f>
        <v>#REF!</v>
      </c>
      <c r="DQ326" s="374" t="e">
        <f>SUM(#REF!+#REF!+#REF!+#REF!+#REF!+#REF!+#REF!+#REF!+#REF!+#REF!+#REF!+#REF!)</f>
        <v>#REF!</v>
      </c>
      <c r="DR326" s="374" t="e">
        <f>SUM(#REF!+#REF!+#REF!+#REF!+#REF!+#REF!+#REF!+#REF!+#REF!+#REF!+#REF!+#REF!)</f>
        <v>#REF!</v>
      </c>
      <c r="DS326" s="374" t="e">
        <f>SUM(#REF!+#REF!+#REF!+#REF!+#REF!+#REF!+#REF!+#REF!+#REF!+#REF!+#REF!+#REF!)</f>
        <v>#REF!</v>
      </c>
      <c r="DT326" s="374" t="e">
        <f>SUM(#REF!+#REF!+#REF!+#REF!+#REF!+#REF!+#REF!+#REF!+#REF!+#REF!+#REF!+#REF!)</f>
        <v>#REF!</v>
      </c>
      <c r="DU326" s="374" t="e">
        <f>SUM(#REF!+#REF!+#REF!+#REF!+#REF!+#REF!+#REF!+#REF!+#REF!+#REF!+#REF!+#REF!)</f>
        <v>#REF!</v>
      </c>
      <c r="DV326" s="374" t="e">
        <f>SUM(#REF!+#REF!+#REF!+#REF!+#REF!+#REF!+#REF!+#REF!+#REF!+#REF!+#REF!+#REF!)</f>
        <v>#REF!</v>
      </c>
      <c r="DW326" s="374" t="e">
        <f>SUM(#REF!+#REF!+#REF!+#REF!+#REF!+#REF!+#REF!+#REF!+#REF!+#REF!+#REF!+#REF!)</f>
        <v>#REF!</v>
      </c>
      <c r="DX326" s="374" t="e">
        <f>SUM(#REF!+#REF!+#REF!+#REF!+#REF!+#REF!+#REF!+#REF!+#REF!+#REF!+#REF!+#REF!)</f>
        <v>#REF!</v>
      </c>
      <c r="DY326" s="374" t="e">
        <f>SUM(#REF!+#REF!+#REF!+#REF!+#REF!+#REF!+#REF!+#REF!+#REF!+#REF!+#REF!+#REF!+#REF!)</f>
        <v>#REF!</v>
      </c>
      <c r="DZ326" s="374" t="e">
        <f>SUM(#REF!+#REF!+#REF!+#REF!+#REF!+#REF!+#REF!+#REF!+#REF!+#REF!+#REF!+#REF!)</f>
        <v>#REF!</v>
      </c>
      <c r="EA326" s="374" t="e">
        <f>SUM(#REF!+#REF!+#REF!+#REF!+#REF!+#REF!+#REF!+#REF!+#REF!+#REF!+#REF!+#REF!+#REF!+#REF!)</f>
        <v>#REF!</v>
      </c>
      <c r="EB326" s="374" t="e">
        <f>SUM(#REF!+#REF!+#REF!+#REF!+#REF!+#REF!+#REF!+#REF!+#REF!+#REF!+#REF!+#REF!)</f>
        <v>#REF!</v>
      </c>
      <c r="EC326" s="374" t="e">
        <f>SUM(#REF!+#REF!+#REF!+#REF!+#REF!+#REF!+#REF!+#REF!+#REF!+#REF!+#REF!+#REF!)</f>
        <v>#REF!</v>
      </c>
      <c r="ED326" s="374" t="e">
        <f>SUM(#REF!+#REF!+#REF!+#REF!+#REF!+#REF!+#REF!+#REF!+#REF!+#REF!+#REF!+#REF!+#REF!+#REF!)</f>
        <v>#REF!</v>
      </c>
      <c r="EE326" s="374" t="e">
        <f>SUM(#REF!+#REF!+#REF!+#REF!+#REF!+#REF!+#REF!+#REF!+#REF!+#REF!+#REF!+#REF!)</f>
        <v>#REF!</v>
      </c>
      <c r="EF326" s="374" t="e">
        <f>SUM(#REF!+#REF!+#REF!+#REF!+#REF!+#REF!+#REF!+#REF!+#REF!+#REF!+#REF!+#REF!)</f>
        <v>#REF!</v>
      </c>
      <c r="EG326" s="374" t="e">
        <f>SUM(#REF!+#REF!+#REF!+#REF!+#REF!+#REF!+#REF!+#REF!+#REF!+#REF!+#REF!+#REF!)</f>
        <v>#REF!</v>
      </c>
      <c r="EH326" s="374" t="e">
        <f>SUM(#REF!+#REF!+#REF!+#REF!+#REF!+#REF!+#REF!+#REF!+#REF!+#REF!+#REF!+#REF!)</f>
        <v>#REF!</v>
      </c>
      <c r="EI326" s="374" t="e">
        <f>SUM(#REF!+#REF!+#REF!+#REF!+#REF!+#REF!+#REF!+#REF!+#REF!+#REF!+#REF!+#REF!)</f>
        <v>#REF!</v>
      </c>
      <c r="EJ326" s="374" t="e">
        <f>SUM(#REF!+#REF!+#REF!+#REF!+#REF!+#REF!+#REF!+#REF!+#REF!+#REF!+#REF!+#REF!)</f>
        <v>#REF!</v>
      </c>
      <c r="EK326" s="374" t="e">
        <f>SUM(#REF!+#REF!+#REF!+#REF!+#REF!+#REF!+#REF!+#REF!+#REF!+#REF!+#REF!+#REF!)</f>
        <v>#REF!</v>
      </c>
      <c r="EL326" s="374" t="e">
        <f>SUM(#REF!+#REF!+#REF!+#REF!+#REF!+#REF!+#REF!+#REF!+#REF!+#REF!+#REF!+#REF!)</f>
        <v>#REF!</v>
      </c>
      <c r="EM326" s="374" t="e">
        <f>SUM(#REF!+#REF!+#REF!+#REF!+#REF!+#REF!+#REF!+#REF!+#REF!+#REF!+#REF!+#REF!)</f>
        <v>#REF!</v>
      </c>
      <c r="EN326" s="374" t="e">
        <f>SUM(#REF!+#REF!+#REF!+#REF!+#REF!+#REF!+#REF!+#REF!+#REF!+#REF!+#REF!+#REF!)</f>
        <v>#REF!</v>
      </c>
      <c r="EO326" s="374" t="e">
        <f>SUM(#REF!+#REF!+#REF!+#REF!+#REF!+#REF!+#REF!+#REF!+#REF!+#REF!+#REF!+#REF!)</f>
        <v>#REF!</v>
      </c>
      <c r="EP326" s="374" t="e">
        <f>SUM(#REF!+#REF!+#REF!+#REF!+#REF!+#REF!+#REF!+#REF!+#REF!+#REF!+#REF!+#REF!)</f>
        <v>#REF!</v>
      </c>
      <c r="EQ326" s="374" t="e">
        <f>SUM(#REF!+#REF!+#REF!+#REF!+#REF!+#REF!+#REF!+#REF!+#REF!+#REF!+#REF!+#REF!)</f>
        <v>#REF!</v>
      </c>
      <c r="ER326" s="374" t="e">
        <f>SUM(#REF!+#REF!+#REF!+#REF!+#REF!+#REF!+#REF!+#REF!+#REF!+#REF!+#REF!+#REF!)</f>
        <v>#REF!</v>
      </c>
      <c r="ES326" s="374" t="e">
        <f>SUM(#REF!+#REF!+#REF!+#REF!+#REF!+#REF!+#REF!+#REF!+#REF!+#REF!+#REF!+#REF!)</f>
        <v>#REF!</v>
      </c>
      <c r="ET326" s="374" t="e">
        <f>SUM(#REF!+#REF!+#REF!+#REF!+#REF!+#REF!+#REF!+#REF!+#REF!+#REF!+#REF!+#REF!)</f>
        <v>#REF!</v>
      </c>
      <c r="EU326" s="374" t="e">
        <f>SUM(#REF!+#REF!+#REF!+#REF!+#REF!+#REF!+#REF!+#REF!+#REF!+#REF!+#REF!+#REF!)</f>
        <v>#REF!</v>
      </c>
      <c r="EV326" s="374" t="e">
        <f>SUM(#REF!+#REF!+#REF!+#REF!+#REF!+#REF!+#REF!+#REF!+#REF!+#REF!+#REF!+#REF!)</f>
        <v>#REF!</v>
      </c>
      <c r="EW326" s="370"/>
      <c r="EX326" s="370" t="e">
        <f>SUM(#REF!)</f>
        <v>#REF!</v>
      </c>
      <c r="EY326" s="370"/>
      <c r="EZ326" s="370"/>
      <c r="FA326" s="370"/>
      <c r="FB326" s="372"/>
      <c r="FC326" s="370"/>
      <c r="FD326" s="370"/>
      <c r="FE326" s="370"/>
      <c r="FF326" s="370"/>
      <c r="FG326" s="370"/>
      <c r="FR326" s="247">
        <f>SUM(FR318+FR323)</f>
        <v>48361576.619999997</v>
      </c>
      <c r="FS326" s="247">
        <f>SUM(FS318+FS323)</f>
        <v>5664853.5</v>
      </c>
      <c r="FT326" s="247">
        <f>SUM(FT318+FT323)</f>
        <v>54026430.119999997</v>
      </c>
      <c r="FU326" s="247"/>
      <c r="FV326" s="247"/>
      <c r="FW326" s="374"/>
      <c r="FX326" s="374"/>
      <c r="FY326" s="374"/>
      <c r="FZ326" s="374"/>
      <c r="GA326" s="374"/>
      <c r="GB326" s="374"/>
      <c r="GC326" s="374"/>
      <c r="GD326" s="374"/>
      <c r="GE326" s="374"/>
      <c r="GF326" s="374"/>
      <c r="GH326" s="8"/>
      <c r="GI326" s="422"/>
      <c r="GJ326" s="8"/>
      <c r="GK326" s="95"/>
      <c r="GL326" s="8"/>
      <c r="GM326" s="8"/>
    </row>
    <row r="327" spans="1:195" ht="12.75" customHeight="1" x14ac:dyDescent="0.2">
      <c r="A327" s="104"/>
      <c r="B327" s="300"/>
      <c r="C327" s="104"/>
      <c r="E327" s="104"/>
      <c r="F327" s="104"/>
      <c r="G327" s="104"/>
      <c r="H327" s="104"/>
      <c r="I327" s="104"/>
      <c r="J327" s="104"/>
      <c r="K327" s="104"/>
      <c r="L327" s="104"/>
      <c r="P327" s="104"/>
      <c r="Q327" s="104"/>
      <c r="R327" s="104"/>
      <c r="S327" s="104"/>
      <c r="T327" s="104"/>
      <c r="U327" s="28"/>
      <c r="V327" s="28"/>
      <c r="W327" s="28"/>
      <c r="X327" s="28"/>
      <c r="Y327" s="28"/>
      <c r="AB327" s="28"/>
      <c r="AC327" s="28"/>
      <c r="AD327" s="28"/>
      <c r="AE327" s="28"/>
      <c r="AF327" s="28"/>
      <c r="AG327" s="28"/>
      <c r="AH327" s="28"/>
      <c r="AJ327" s="28"/>
      <c r="AK327" s="28"/>
      <c r="AL327" s="28"/>
      <c r="AM327" s="28"/>
      <c r="AQ327" s="28"/>
      <c r="AR327" s="28"/>
      <c r="AS327" s="28"/>
      <c r="AT327" s="28"/>
      <c r="AU327" s="28"/>
      <c r="AV327" s="28"/>
      <c r="AW327" s="28"/>
      <c r="AX327" s="28"/>
      <c r="AY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CC327" s="28"/>
      <c r="CD327" s="28"/>
      <c r="CE327" s="28"/>
      <c r="CF327" s="28"/>
      <c r="CG327" s="95"/>
      <c r="CI327" s="247"/>
      <c r="CJ327" s="247"/>
      <c r="CR327" s="311"/>
      <c r="CS327" s="311"/>
      <c r="CT327" s="311"/>
      <c r="CU327" s="311"/>
      <c r="CV327" s="311"/>
      <c r="DB327" s="311"/>
      <c r="DG327" s="308"/>
      <c r="DH327" s="247" t="e">
        <f>SUM(DH318-DH326)</f>
        <v>#REF!</v>
      </c>
      <c r="DI327" s="247" t="e">
        <f t="shared" ref="DI327:EV327" si="154">SUM(DI318-DI326)</f>
        <v>#REF!</v>
      </c>
      <c r="DJ327" s="247" t="e">
        <f t="shared" si="154"/>
        <v>#REF!</v>
      </c>
      <c r="DK327" s="247" t="e">
        <f t="shared" si="154"/>
        <v>#REF!</v>
      </c>
      <c r="DL327" s="247">
        <f t="shared" si="154"/>
        <v>0</v>
      </c>
      <c r="DM327" s="247" t="e">
        <f t="shared" si="154"/>
        <v>#REF!</v>
      </c>
      <c r="DN327" s="247" t="e">
        <f t="shared" si="154"/>
        <v>#REF!</v>
      </c>
      <c r="DO327" s="247" t="e">
        <f t="shared" si="154"/>
        <v>#REF!</v>
      </c>
      <c r="DP327" s="247" t="e">
        <f t="shared" si="154"/>
        <v>#REF!</v>
      </c>
      <c r="DQ327" s="247" t="e">
        <f t="shared" si="154"/>
        <v>#REF!</v>
      </c>
      <c r="DR327" s="247" t="e">
        <f t="shared" si="154"/>
        <v>#REF!</v>
      </c>
      <c r="DS327" s="247" t="e">
        <f t="shared" si="154"/>
        <v>#REF!</v>
      </c>
      <c r="DT327" s="247" t="e">
        <f t="shared" si="154"/>
        <v>#REF!</v>
      </c>
      <c r="DU327" s="247" t="e">
        <f t="shared" si="154"/>
        <v>#REF!</v>
      </c>
      <c r="DV327" s="247" t="e">
        <f t="shared" si="154"/>
        <v>#REF!</v>
      </c>
      <c r="DW327" s="247" t="e">
        <f t="shared" si="154"/>
        <v>#REF!</v>
      </c>
      <c r="DX327" s="247" t="e">
        <f t="shared" si="154"/>
        <v>#REF!</v>
      </c>
      <c r="DY327" s="247" t="e">
        <f t="shared" si="154"/>
        <v>#REF!</v>
      </c>
      <c r="DZ327" s="247" t="e">
        <f t="shared" si="154"/>
        <v>#REF!</v>
      </c>
      <c r="EA327" s="247" t="e">
        <f t="shared" si="154"/>
        <v>#REF!</v>
      </c>
      <c r="EB327" s="247" t="e">
        <f t="shared" si="154"/>
        <v>#REF!</v>
      </c>
      <c r="EC327" s="247" t="e">
        <f t="shared" si="154"/>
        <v>#REF!</v>
      </c>
      <c r="ED327" s="247" t="e">
        <f t="shared" si="154"/>
        <v>#REF!</v>
      </c>
      <c r="EE327" s="247" t="e">
        <f t="shared" si="154"/>
        <v>#REF!</v>
      </c>
      <c r="EF327" s="247" t="e">
        <f t="shared" si="154"/>
        <v>#REF!</v>
      </c>
      <c r="EG327" s="247" t="e">
        <f t="shared" si="154"/>
        <v>#REF!</v>
      </c>
      <c r="EH327" s="247" t="e">
        <f t="shared" si="154"/>
        <v>#REF!</v>
      </c>
      <c r="EI327" s="247" t="e">
        <f t="shared" si="154"/>
        <v>#REF!</v>
      </c>
      <c r="EJ327" s="247" t="e">
        <f t="shared" si="154"/>
        <v>#REF!</v>
      </c>
      <c r="EK327" s="247" t="e">
        <f t="shared" si="154"/>
        <v>#REF!</v>
      </c>
      <c r="EL327" s="247" t="e">
        <f t="shared" si="154"/>
        <v>#REF!</v>
      </c>
      <c r="EM327" s="247" t="e">
        <f t="shared" si="154"/>
        <v>#REF!</v>
      </c>
      <c r="EN327" s="247" t="e">
        <f t="shared" si="154"/>
        <v>#REF!</v>
      </c>
      <c r="EO327" s="247" t="e">
        <f t="shared" si="154"/>
        <v>#REF!</v>
      </c>
      <c r="EP327" s="247" t="e">
        <f t="shared" si="154"/>
        <v>#REF!</v>
      </c>
      <c r="EQ327" s="247" t="e">
        <f t="shared" si="154"/>
        <v>#REF!</v>
      </c>
      <c r="ER327" s="247" t="e">
        <f t="shared" si="154"/>
        <v>#REF!</v>
      </c>
      <c r="ES327" s="247" t="e">
        <f t="shared" si="154"/>
        <v>#REF!</v>
      </c>
      <c r="ET327" s="247" t="e">
        <f t="shared" si="154"/>
        <v>#REF!</v>
      </c>
      <c r="EU327" s="247" t="e">
        <f t="shared" si="154"/>
        <v>#REF!</v>
      </c>
      <c r="EV327" s="247" t="e">
        <f t="shared" si="154"/>
        <v>#REF!</v>
      </c>
      <c r="EW327" s="95"/>
      <c r="EX327" s="247" t="e">
        <f>SUM(EX325-EX326)</f>
        <v>#REF!</v>
      </c>
      <c r="EY327" s="95"/>
      <c r="EZ327" s="95"/>
      <c r="FA327" s="95"/>
      <c r="FB327" s="28"/>
      <c r="FC327" s="95"/>
      <c r="FD327" s="95"/>
      <c r="FE327" s="95"/>
      <c r="FF327" s="95"/>
      <c r="FG327" s="95"/>
      <c r="FL327" s="8"/>
      <c r="FR327" s="247">
        <f>SUM(FR322-FR326)</f>
        <v>0</v>
      </c>
      <c r="FS327" s="247">
        <f>SUM(FS322-FS326)</f>
        <v>0</v>
      </c>
      <c r="FT327" s="247">
        <f>SUM(FT322-FT326)</f>
        <v>0</v>
      </c>
      <c r="FW327" s="247"/>
      <c r="FX327" s="247"/>
      <c r="FY327" s="247"/>
      <c r="FZ327" s="247"/>
      <c r="GA327" s="247"/>
      <c r="GB327" s="247"/>
      <c r="GC327" s="247"/>
      <c r="GD327" s="247"/>
      <c r="GE327" s="247"/>
      <c r="GF327" s="247"/>
      <c r="GI327" s="422"/>
    </row>
    <row r="328" spans="1:195" ht="12.75" customHeight="1" x14ac:dyDescent="0.2">
      <c r="A328" s="104"/>
      <c r="B328" s="300"/>
      <c r="C328" s="104"/>
      <c r="E328" s="104"/>
      <c r="F328" s="104"/>
      <c r="G328" s="104"/>
      <c r="H328" s="104"/>
      <c r="I328" s="104"/>
      <c r="J328" s="104"/>
      <c r="K328" s="104"/>
      <c r="L328" s="104"/>
      <c r="P328" s="104"/>
      <c r="Q328" s="104"/>
      <c r="R328" s="104"/>
      <c r="S328" s="104"/>
      <c r="T328" s="104"/>
      <c r="U328" s="28"/>
      <c r="V328" s="28"/>
      <c r="W328" s="28"/>
      <c r="X328" s="28"/>
      <c r="Y328" s="28"/>
      <c r="AB328" s="28"/>
      <c r="AC328" s="28"/>
      <c r="AD328" s="28"/>
      <c r="AE328" s="28"/>
      <c r="AF328" s="28"/>
      <c r="AG328" s="28"/>
      <c r="AH328" s="28"/>
      <c r="AJ328" s="28"/>
      <c r="AK328" s="28"/>
      <c r="AL328" s="28"/>
      <c r="AM328" s="28"/>
      <c r="AQ328" s="28"/>
      <c r="AR328" s="28"/>
      <c r="AS328" s="28"/>
      <c r="AT328" s="28"/>
      <c r="AU328" s="28"/>
      <c r="AV328" s="28"/>
      <c r="AW328" s="28"/>
      <c r="AX328" s="28"/>
      <c r="AY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CC328" s="28">
        <f>SUM(CC318/12)</f>
        <v>1059179.3600000001</v>
      </c>
      <c r="CD328" s="28"/>
      <c r="CE328" s="28"/>
      <c r="CF328" s="28"/>
      <c r="CG328" s="95"/>
      <c r="CI328" s="95"/>
      <c r="CJ328" s="95"/>
      <c r="CL328" s="247" t="e">
        <f>SUM(CL318-CL322)</f>
        <v>#REF!</v>
      </c>
      <c r="CQ328" s="321"/>
      <c r="DG328" s="175"/>
      <c r="DH328" s="95"/>
      <c r="DI328" s="175"/>
      <c r="DJ328" s="175"/>
      <c r="DK328" s="175"/>
      <c r="DL328" s="175"/>
      <c r="DM328" s="175"/>
      <c r="DN328" s="175"/>
      <c r="DO328" s="175"/>
      <c r="DQ328" s="247"/>
      <c r="DR328" s="175"/>
      <c r="DS328"/>
      <c r="DT328" s="95"/>
      <c r="DU328" s="309"/>
      <c r="DW328" s="271"/>
      <c r="DX328" s="273"/>
      <c r="DY328" s="273"/>
      <c r="DZ328" s="273"/>
      <c r="EA328" s="175"/>
      <c r="EB328" s="175"/>
      <c r="EC328" s="175"/>
      <c r="ED328" s="175"/>
      <c r="EE328" s="175"/>
      <c r="EF328" s="175"/>
      <c r="EG328" s="175"/>
      <c r="EH328" s="175"/>
      <c r="EI328" s="175"/>
      <c r="EJ328" s="175"/>
      <c r="EK328" s="175"/>
      <c r="EL328" s="175"/>
      <c r="EW328" s="95"/>
      <c r="EX328" s="95"/>
      <c r="EY328" s="95"/>
      <c r="EZ328" s="95"/>
      <c r="FA328" s="95"/>
      <c r="FB328" s="28"/>
      <c r="FC328" s="95"/>
      <c r="FD328" s="95"/>
      <c r="FE328" s="95"/>
      <c r="FF328" s="95"/>
      <c r="FG328" s="95"/>
      <c r="FL328" s="8"/>
      <c r="FR328" s="374"/>
      <c r="FS328" s="374"/>
      <c r="FT328" s="374"/>
      <c r="FU328" s="374"/>
      <c r="FV328" s="374"/>
      <c r="GH328" s="373"/>
      <c r="GI328" s="422"/>
      <c r="GJ328" s="373"/>
      <c r="GK328" s="370"/>
      <c r="GL328" s="373"/>
      <c r="GM328" s="373"/>
    </row>
    <row r="329" spans="1:195" ht="12.75" customHeight="1" x14ac:dyDescent="0.2">
      <c r="A329" s="104"/>
      <c r="B329" s="300"/>
      <c r="C329" s="104"/>
      <c r="E329" s="104"/>
      <c r="F329" s="104"/>
      <c r="G329" s="104"/>
      <c r="H329" s="104"/>
      <c r="I329" s="104"/>
      <c r="J329" s="104"/>
      <c r="K329" s="104"/>
      <c r="L329" s="104"/>
      <c r="P329" s="104"/>
      <c r="Q329" s="104"/>
      <c r="R329" s="104"/>
      <c r="S329" s="104"/>
      <c r="T329" s="104"/>
      <c r="U329" s="28"/>
      <c r="V329" s="28"/>
      <c r="W329" s="28"/>
      <c r="X329" s="28"/>
      <c r="Y329" s="28"/>
      <c r="AB329" s="28"/>
      <c r="AC329" s="28"/>
      <c r="AD329" s="28"/>
      <c r="AE329" s="28"/>
      <c r="AF329" s="28"/>
      <c r="AG329" s="28"/>
      <c r="AH329" s="28"/>
      <c r="AJ329" s="28"/>
      <c r="AK329" s="28"/>
      <c r="AL329" s="28"/>
      <c r="AM329" s="28"/>
      <c r="AQ329" s="28"/>
      <c r="AR329" s="28"/>
      <c r="AS329" s="28"/>
      <c r="AT329" s="28"/>
      <c r="AU329" s="28"/>
      <c r="AV329" s="28"/>
      <c r="AW329" s="28"/>
      <c r="AX329" s="28"/>
      <c r="AY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CC329" s="28"/>
      <c r="CD329" s="28"/>
      <c r="CE329" s="28"/>
      <c r="CF329" s="28"/>
      <c r="CG329" s="95"/>
      <c r="CI329" s="95"/>
      <c r="CJ329" s="95"/>
      <c r="CL329" s="247">
        <f>SUM(CL318/12)</f>
        <v>38963941.200000003</v>
      </c>
      <c r="CO329" s="311"/>
      <c r="CV329" s="311"/>
      <c r="DG329" s="308"/>
      <c r="DH329" s="95"/>
      <c r="DI329" s="175"/>
      <c r="DJ329" s="175"/>
      <c r="DK329" s="175"/>
      <c r="DL329" s="175"/>
      <c r="DM329" s="175"/>
      <c r="DN329" s="175"/>
      <c r="DO329" s="175"/>
      <c r="DQ329" s="95"/>
      <c r="DR329" s="175"/>
      <c r="DS329"/>
      <c r="DT329" s="95"/>
      <c r="DU329" s="309"/>
      <c r="DW329" s="271"/>
      <c r="DX329" s="273"/>
      <c r="DY329" s="273"/>
      <c r="DZ329" s="273"/>
      <c r="EA329" s="175"/>
      <c r="EB329" s="175"/>
      <c r="EC329" s="175"/>
      <c r="ED329" s="175"/>
      <c r="EE329" s="175"/>
      <c r="EF329" s="175"/>
      <c r="EG329" s="175"/>
      <c r="EH329" s="175"/>
      <c r="EI329" s="175"/>
      <c r="EJ329" s="175"/>
      <c r="EK329" s="175"/>
      <c r="EL329" s="175"/>
      <c r="EW329" s="95"/>
      <c r="EX329" s="95"/>
      <c r="EY329" s="95"/>
      <c r="EZ329" s="95"/>
      <c r="FA329" s="95"/>
      <c r="FB329" s="28"/>
      <c r="FC329" s="95"/>
      <c r="FD329" s="95"/>
      <c r="FE329" s="95"/>
      <c r="FF329" s="95"/>
      <c r="FG329" s="95"/>
      <c r="FL329" s="8"/>
      <c r="FR329" s="247"/>
      <c r="FS329" s="247"/>
      <c r="FT329" s="247"/>
      <c r="FU329" s="247"/>
      <c r="FV329" s="247"/>
      <c r="GI329" s="422"/>
    </row>
    <row r="330" spans="1:195" ht="12.75" customHeight="1" x14ac:dyDescent="0.2">
      <c r="A330" s="104"/>
      <c r="B330" s="300"/>
      <c r="C330" s="104"/>
      <c r="E330" s="104"/>
      <c r="F330" s="104"/>
      <c r="G330" s="104"/>
      <c r="H330" s="104"/>
      <c r="I330" s="104"/>
      <c r="J330" s="104"/>
      <c r="K330" s="104"/>
      <c r="L330" s="104"/>
      <c r="P330" s="104"/>
      <c r="Q330" s="104"/>
      <c r="R330" s="104"/>
      <c r="S330" s="104"/>
      <c r="T330" s="104"/>
      <c r="U330" s="28"/>
      <c r="V330" s="28"/>
      <c r="W330" s="28"/>
      <c r="X330" s="28"/>
      <c r="Y330" s="28"/>
      <c r="AB330" s="28"/>
      <c r="AC330" s="28"/>
      <c r="AD330" s="28"/>
      <c r="AE330" s="28"/>
      <c r="AF330" s="28"/>
      <c r="AG330" s="28"/>
      <c r="AH330" s="28"/>
      <c r="AJ330" s="28"/>
      <c r="AK330" s="28"/>
      <c r="AL330" s="28"/>
      <c r="AM330" s="28"/>
      <c r="AQ330" s="28"/>
      <c r="AR330" s="28"/>
      <c r="AS330" s="28"/>
      <c r="AT330" s="28"/>
      <c r="AU330" s="28"/>
      <c r="AV330" s="28"/>
      <c r="AW330" s="28"/>
      <c r="AX330" s="28"/>
      <c r="AY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CC330" s="28"/>
      <c r="CD330" s="28"/>
      <c r="CE330" s="28"/>
      <c r="CF330" s="28"/>
      <c r="CG330" s="95"/>
      <c r="CI330" s="95"/>
      <c r="CJ330" s="95"/>
      <c r="CL330" s="247">
        <f>SUM(CL318+CC318)</f>
        <v>480277446.74000001</v>
      </c>
      <c r="CR330" s="321"/>
      <c r="DG330" s="306"/>
      <c r="DH330" s="95"/>
      <c r="DI330" s="175"/>
      <c r="DJ330" s="175"/>
      <c r="DK330" s="175"/>
      <c r="DL330" s="175"/>
      <c r="DM330" s="175"/>
      <c r="DN330" s="175"/>
      <c r="DO330" s="175"/>
      <c r="DQ330" s="95"/>
      <c r="DR330" s="175"/>
      <c r="DS330"/>
      <c r="DT330" s="95"/>
      <c r="DU330" s="309"/>
      <c r="DW330" s="271"/>
      <c r="DX330" s="273"/>
      <c r="DY330" s="273"/>
      <c r="DZ330" s="273"/>
      <c r="EA330" s="175"/>
      <c r="EB330" s="175"/>
      <c r="EC330" s="175"/>
      <c r="ED330" s="175"/>
      <c r="EE330" s="175"/>
      <c r="EF330" s="175"/>
      <c r="EG330" s="175"/>
      <c r="EH330" s="175"/>
      <c r="EI330" s="175"/>
      <c r="EJ330" s="175"/>
      <c r="EK330" s="175"/>
      <c r="EL330" s="175"/>
      <c r="EW330" s="95"/>
      <c r="EX330" s="95"/>
      <c r="EY330" s="95"/>
      <c r="EZ330" s="95"/>
      <c r="FA330" s="95"/>
      <c r="FB330" s="28"/>
      <c r="FC330" s="95"/>
      <c r="FD330" s="95"/>
      <c r="FE330" s="95"/>
      <c r="FF330" s="95"/>
      <c r="FG330" s="95"/>
      <c r="FL330" s="8"/>
      <c r="GI330" s="422"/>
    </row>
    <row r="331" spans="1:195" ht="12.75" customHeight="1" x14ac:dyDescent="0.2">
      <c r="A331" s="104"/>
      <c r="B331" s="300"/>
      <c r="C331" s="104"/>
      <c r="E331" s="104"/>
      <c r="F331" s="104"/>
      <c r="G331" s="104"/>
      <c r="H331" s="104"/>
      <c r="I331" s="104"/>
      <c r="J331" s="104"/>
      <c r="K331" s="104"/>
      <c r="L331" s="104"/>
      <c r="P331" s="104"/>
      <c r="Q331" s="104"/>
      <c r="R331" s="104"/>
      <c r="S331" s="104"/>
      <c r="T331" s="104"/>
      <c r="U331" s="28"/>
      <c r="V331" s="28"/>
      <c r="W331" s="28"/>
      <c r="X331" s="28"/>
      <c r="Y331" s="28"/>
      <c r="AB331" s="28"/>
      <c r="AC331" s="28"/>
      <c r="AD331" s="28"/>
      <c r="AE331" s="28"/>
      <c r="AF331" s="28"/>
      <c r="AG331" s="28"/>
      <c r="AH331" s="28"/>
      <c r="AJ331" s="28"/>
      <c r="AK331" s="28"/>
      <c r="AL331" s="28"/>
      <c r="AM331" s="28"/>
      <c r="AQ331" s="28"/>
      <c r="AR331" s="28"/>
      <c r="AS331" s="28"/>
      <c r="AT331" s="28"/>
      <c r="AU331" s="28"/>
      <c r="AV331" s="28"/>
      <c r="AW331" s="28"/>
      <c r="AX331" s="28"/>
      <c r="AY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CC331" s="28"/>
      <c r="CD331" s="28"/>
      <c r="CE331" s="28"/>
      <c r="CF331" s="28"/>
      <c r="CG331" s="95"/>
      <c r="CI331" s="95"/>
      <c r="CJ331" s="95"/>
      <c r="CR331" s="311"/>
      <c r="CS331" s="311"/>
      <c r="CT331" s="311"/>
      <c r="CU331" s="311"/>
      <c r="CV331" s="311"/>
      <c r="DG331" s="337"/>
      <c r="DH331" s="95"/>
      <c r="DI331" s="175"/>
      <c r="DJ331" s="175"/>
      <c r="DK331" s="175"/>
      <c r="DL331" s="175"/>
      <c r="DM331" s="175"/>
      <c r="DN331" s="175"/>
      <c r="DO331" s="175"/>
      <c r="DQ331" s="95"/>
      <c r="DR331" s="175"/>
      <c r="DS331"/>
      <c r="DT331" s="95"/>
      <c r="DU331" s="175"/>
      <c r="DW331" s="175"/>
      <c r="DX331" s="175"/>
      <c r="DY331" s="175"/>
      <c r="DZ331" s="175"/>
      <c r="EA331" s="175"/>
      <c r="EB331" s="175"/>
      <c r="EC331" s="175"/>
      <c r="ED331" s="175"/>
      <c r="EE331" s="175"/>
      <c r="EF331" s="175"/>
      <c r="EG331" s="175"/>
      <c r="EH331" s="175"/>
      <c r="EI331" s="175"/>
      <c r="EJ331" s="175"/>
      <c r="EK331" s="175"/>
      <c r="EL331" s="175"/>
      <c r="EW331" s="95"/>
      <c r="EX331" s="95"/>
      <c r="EY331" s="95"/>
      <c r="EZ331" s="95"/>
      <c r="FA331" s="95"/>
      <c r="FB331" s="28"/>
      <c r="FC331" s="95"/>
      <c r="FD331" s="95"/>
      <c r="FE331" s="95"/>
      <c r="FF331" s="95"/>
      <c r="FG331" s="95"/>
      <c r="FL331" s="8"/>
      <c r="GI331" s="422"/>
    </row>
    <row r="332" spans="1:195" ht="12.75" customHeight="1" x14ac:dyDescent="0.2">
      <c r="A332" s="104"/>
      <c r="B332" s="300"/>
      <c r="C332" s="104"/>
      <c r="E332" s="104"/>
      <c r="F332" s="104"/>
      <c r="G332" s="104"/>
      <c r="H332" s="104"/>
      <c r="I332" s="104"/>
      <c r="J332" s="104"/>
      <c r="K332" s="104"/>
      <c r="L332" s="104"/>
      <c r="P332" s="104"/>
      <c r="Q332" s="104"/>
      <c r="R332" s="104"/>
      <c r="S332" s="104"/>
      <c r="T332" s="104"/>
      <c r="U332" s="28"/>
      <c r="V332" s="28"/>
      <c r="W332" s="28"/>
      <c r="X332" s="28"/>
      <c r="Y332" s="28"/>
      <c r="AB332" s="28"/>
      <c r="AC332" s="28"/>
      <c r="AD332" s="28"/>
      <c r="AE332" s="28"/>
      <c r="AF332" s="28"/>
      <c r="AG332" s="28"/>
      <c r="AH332" s="28"/>
      <c r="AJ332" s="28"/>
      <c r="AK332" s="28"/>
      <c r="AL332" s="28"/>
      <c r="AM332" s="28"/>
      <c r="AQ332" s="28"/>
      <c r="AR332" s="28"/>
      <c r="AS332" s="28"/>
      <c r="AT332" s="28"/>
      <c r="AU332" s="28"/>
      <c r="AV332" s="28"/>
      <c r="AW332" s="28"/>
      <c r="AX332" s="28"/>
      <c r="AY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CC332" s="28"/>
      <c r="CD332" s="28"/>
      <c r="CE332" s="28"/>
      <c r="CF332" s="28"/>
      <c r="CG332" s="95"/>
      <c r="CI332" s="95"/>
      <c r="CJ332" s="95"/>
      <c r="DG332" s="308"/>
      <c r="DH332" s="95"/>
      <c r="DI332" s="175"/>
      <c r="DJ332" s="175"/>
      <c r="DK332" s="175"/>
      <c r="DL332" s="175"/>
      <c r="DM332" s="175"/>
      <c r="DN332" s="175"/>
      <c r="DO332" s="175"/>
      <c r="DQ332" s="95"/>
      <c r="DR332" s="175"/>
      <c r="DS332"/>
      <c r="DU332" s="175"/>
      <c r="DW332" s="175"/>
      <c r="DX332" s="175"/>
      <c r="DY332" s="175"/>
      <c r="DZ332" s="175"/>
      <c r="EA332" s="175"/>
      <c r="EB332" s="175"/>
      <c r="EC332" s="175"/>
      <c r="ED332" s="175"/>
      <c r="EE332" s="175"/>
      <c r="EF332" s="175"/>
      <c r="EG332" s="175"/>
      <c r="EH332" s="175"/>
      <c r="EI332" s="175"/>
      <c r="EJ332" s="175"/>
      <c r="EK332" s="175"/>
      <c r="EL332" s="175"/>
      <c r="EN332" s="8"/>
      <c r="EO332" s="8"/>
      <c r="EP332" s="8"/>
      <c r="EQ332" s="8"/>
      <c r="ER332" s="8"/>
      <c r="ES332" s="8"/>
      <c r="ET332" s="8"/>
      <c r="EU332" s="8"/>
      <c r="EV332" s="8"/>
      <c r="FB332" s="28"/>
      <c r="FL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I332" s="422"/>
    </row>
    <row r="333" spans="1:195" ht="10.5" customHeight="1" x14ac:dyDescent="0.2">
      <c r="A333" s="104"/>
      <c r="B333" s="300"/>
      <c r="C333" s="104"/>
      <c r="E333" s="104"/>
      <c r="F333" s="104"/>
      <c r="G333" s="104"/>
      <c r="H333" s="104"/>
      <c r="I333" s="104"/>
      <c r="J333" s="104"/>
      <c r="K333" s="104"/>
      <c r="L333" s="104"/>
      <c r="P333" s="104"/>
      <c r="Q333" s="104"/>
      <c r="R333" s="104"/>
      <c r="S333" s="104"/>
      <c r="T333" s="104"/>
      <c r="U333" s="28"/>
      <c r="V333" s="28"/>
      <c r="W333" s="28"/>
      <c r="X333" s="28"/>
      <c r="Y333" s="28"/>
      <c r="AB333" s="28"/>
      <c r="AC333" s="28"/>
      <c r="AD333" s="28"/>
      <c r="AE333" s="28"/>
      <c r="AF333" s="28"/>
      <c r="AG333" s="28"/>
      <c r="AH333" s="28"/>
      <c r="AJ333" s="28"/>
      <c r="AK333" s="28"/>
      <c r="AL333" s="28"/>
      <c r="AM333" s="28"/>
      <c r="AQ333" s="28"/>
      <c r="AR333" s="28"/>
      <c r="AS333" s="28"/>
      <c r="AT333" s="28"/>
      <c r="AU333" s="28"/>
      <c r="AV333" s="28"/>
      <c r="AW333" s="28"/>
      <c r="AX333" s="28"/>
      <c r="AY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CC333" s="28"/>
      <c r="CD333" s="28"/>
      <c r="CE333" s="28"/>
      <c r="CF333" s="28"/>
      <c r="CG333" s="95"/>
      <c r="CI333" s="95"/>
      <c r="CJ333" s="95"/>
      <c r="DG333" s="175"/>
      <c r="DH333" s="95"/>
      <c r="DI333" s="175"/>
      <c r="DJ333" s="175"/>
      <c r="DK333" s="175"/>
      <c r="DL333" s="175"/>
      <c r="DM333" s="175"/>
      <c r="DN333" s="175"/>
      <c r="DO333" s="175"/>
      <c r="DR333"/>
      <c r="DS333"/>
      <c r="DU333" s="175"/>
      <c r="DW333" s="175"/>
      <c r="DX333" s="175"/>
      <c r="DY333" s="175"/>
      <c r="DZ333" s="175"/>
      <c r="EA333" s="175"/>
      <c r="EB333" s="175"/>
      <c r="EC333" s="175"/>
      <c r="ED333" s="175"/>
      <c r="EE333" s="175"/>
      <c r="EF333" s="175"/>
      <c r="EG333" s="175"/>
      <c r="EH333" s="175"/>
      <c r="EI333" s="175"/>
      <c r="EJ333" s="175"/>
      <c r="EK333" s="175"/>
      <c r="EL333" s="175"/>
      <c r="EN333" s="8"/>
      <c r="EO333" s="8"/>
      <c r="EP333" s="8"/>
      <c r="EQ333" s="8"/>
      <c r="ER333" s="8"/>
      <c r="ES333" s="8"/>
      <c r="ET333" s="8"/>
      <c r="EU333" s="8"/>
      <c r="EV333" s="8"/>
      <c r="FB333" s="28"/>
      <c r="FL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I333" s="422"/>
    </row>
    <row r="334" spans="1:195" ht="12.75" customHeight="1" x14ac:dyDescent="0.2">
      <c r="A334" s="104"/>
      <c r="B334" s="300"/>
      <c r="C334" s="104"/>
      <c r="E334" s="104"/>
      <c r="F334" s="104"/>
      <c r="G334" s="104"/>
      <c r="H334" s="104"/>
      <c r="I334" s="104"/>
      <c r="J334" s="104"/>
      <c r="K334" s="104"/>
      <c r="L334" s="104"/>
      <c r="P334" s="104"/>
      <c r="Q334" s="104"/>
      <c r="R334" s="104"/>
      <c r="S334" s="104"/>
      <c r="T334" s="104"/>
      <c r="U334" s="28"/>
      <c r="V334" s="28"/>
      <c r="W334" s="28"/>
      <c r="X334" s="28"/>
      <c r="Y334" s="28"/>
      <c r="AB334" s="28"/>
      <c r="AC334" s="28"/>
      <c r="AD334" s="28"/>
      <c r="AE334" s="28"/>
      <c r="AF334" s="28"/>
      <c r="AG334" s="28"/>
      <c r="AH334" s="28"/>
      <c r="AJ334" s="28"/>
      <c r="AK334" s="28"/>
      <c r="AL334" s="28"/>
      <c r="AM334" s="28"/>
      <c r="AQ334" s="28"/>
      <c r="AR334" s="28"/>
      <c r="AS334" s="28"/>
      <c r="AT334" s="28"/>
      <c r="AU334" s="28"/>
      <c r="AV334" s="28"/>
      <c r="AW334" s="28"/>
      <c r="AX334" s="28"/>
      <c r="AY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CC334" s="28"/>
      <c r="CD334" s="28"/>
      <c r="CE334" s="28"/>
      <c r="CF334" s="28"/>
      <c r="CG334" s="95"/>
      <c r="CI334" s="95"/>
      <c r="CJ334" s="95"/>
      <c r="DH334" s="95"/>
      <c r="DI334" s="175"/>
      <c r="DJ334" s="175"/>
      <c r="DK334" s="175"/>
      <c r="DL334" s="175"/>
      <c r="DM334" s="175"/>
      <c r="DN334" s="175"/>
      <c r="DO334" s="175"/>
      <c r="DS334"/>
      <c r="DU334" s="175"/>
      <c r="DW334" s="175"/>
      <c r="DX334" s="175"/>
      <c r="DY334" s="175"/>
      <c r="DZ334" s="175"/>
      <c r="EA334" s="175"/>
      <c r="EB334" s="175"/>
      <c r="EC334" s="175"/>
      <c r="ED334" s="175"/>
      <c r="EE334" s="175"/>
      <c r="EF334" s="175"/>
      <c r="EG334" s="175"/>
      <c r="EH334" s="175"/>
      <c r="EI334" s="175"/>
      <c r="EJ334" s="175"/>
      <c r="EK334" s="175"/>
      <c r="EL334" s="175"/>
      <c r="EN334" s="8"/>
      <c r="EO334" s="8"/>
      <c r="EP334" s="8"/>
      <c r="EQ334" s="8"/>
      <c r="ER334" s="8"/>
      <c r="ES334" s="8"/>
      <c r="ET334" s="8"/>
      <c r="EU334" s="8"/>
      <c r="EV334" s="8"/>
      <c r="FB334" s="28"/>
      <c r="FL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I334" s="422"/>
    </row>
    <row r="335" spans="1:195" ht="12.75" customHeight="1" x14ac:dyDescent="0.2">
      <c r="A335" s="104"/>
      <c r="B335" s="300"/>
      <c r="C335" s="104"/>
      <c r="E335" s="104"/>
      <c r="F335" s="104"/>
      <c r="G335" s="104"/>
      <c r="H335" s="104"/>
      <c r="I335" s="104"/>
      <c r="J335" s="104"/>
      <c r="K335" s="104"/>
      <c r="L335" s="104"/>
      <c r="P335" s="104"/>
      <c r="Q335" s="104"/>
      <c r="R335" s="104"/>
      <c r="S335" s="104"/>
      <c r="T335" s="104"/>
      <c r="U335" s="28"/>
      <c r="V335" s="28"/>
      <c r="W335" s="28"/>
      <c r="X335" s="28"/>
      <c r="Y335" s="28"/>
      <c r="AB335" s="28"/>
      <c r="AC335" s="28"/>
      <c r="AD335" s="28"/>
      <c r="AE335" s="28"/>
      <c r="AF335" s="28"/>
      <c r="AG335" s="28"/>
      <c r="AH335" s="28"/>
      <c r="AJ335" s="28"/>
      <c r="AK335" s="28"/>
      <c r="AL335" s="28"/>
      <c r="AM335" s="28"/>
      <c r="AQ335" s="28"/>
      <c r="AR335" s="28"/>
      <c r="AS335" s="28"/>
      <c r="AT335" s="28"/>
      <c r="AU335" s="28"/>
      <c r="AV335" s="28"/>
      <c r="AW335" s="28"/>
      <c r="AX335" s="28"/>
      <c r="AY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CC335" s="28"/>
      <c r="CD335" s="28"/>
      <c r="CE335" s="28"/>
      <c r="CF335" s="28"/>
      <c r="CG335" s="95"/>
      <c r="CI335" s="95"/>
      <c r="CJ335" s="95"/>
      <c r="DH335" s="95"/>
      <c r="DI335" s="175"/>
      <c r="DJ335" s="175"/>
      <c r="DK335" s="175"/>
      <c r="DL335" s="175"/>
      <c r="DM335" s="175"/>
      <c r="DN335" s="175"/>
      <c r="DO335" s="175"/>
      <c r="DS335"/>
      <c r="DU335" s="175"/>
      <c r="DW335" s="175"/>
      <c r="DX335" s="175"/>
      <c r="DY335" s="175"/>
      <c r="DZ335" s="175"/>
      <c r="EA335" s="175"/>
      <c r="EB335" s="175"/>
      <c r="EC335" s="175"/>
      <c r="ED335" s="175"/>
      <c r="EE335" s="175"/>
      <c r="EF335" s="175"/>
      <c r="EG335" s="175"/>
      <c r="EH335" s="175"/>
      <c r="EI335" s="175"/>
      <c r="EJ335" s="175"/>
      <c r="EK335" s="175"/>
      <c r="EL335" s="175"/>
      <c r="EN335" s="8"/>
      <c r="EO335" s="8"/>
      <c r="EP335" s="8"/>
      <c r="EQ335" s="8"/>
      <c r="ER335" s="8"/>
      <c r="ES335" s="8"/>
      <c r="ET335" s="8"/>
      <c r="EU335" s="8"/>
      <c r="EV335" s="8"/>
      <c r="FB335" s="28"/>
      <c r="FL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I335" s="422"/>
    </row>
    <row r="336" spans="1:195" ht="12.75" customHeight="1" x14ac:dyDescent="0.2">
      <c r="A336" s="104"/>
      <c r="B336" s="300"/>
      <c r="C336" s="104"/>
      <c r="E336" s="104"/>
      <c r="F336" s="104"/>
      <c r="G336" s="104"/>
      <c r="H336" s="104"/>
      <c r="I336" s="104"/>
      <c r="J336" s="104"/>
      <c r="K336" s="104"/>
      <c r="L336" s="104"/>
      <c r="P336" s="104"/>
      <c r="Q336" s="104"/>
      <c r="R336" s="104"/>
      <c r="S336" s="104"/>
      <c r="T336" s="104"/>
      <c r="U336" s="28"/>
      <c r="V336" s="28"/>
      <c r="W336" s="28"/>
      <c r="X336" s="28"/>
      <c r="Y336" s="28"/>
      <c r="AB336" s="28"/>
      <c r="AC336" s="28"/>
      <c r="AD336" s="28"/>
      <c r="AE336" s="28"/>
      <c r="AF336" s="28"/>
      <c r="AG336" s="28"/>
      <c r="AH336" s="28"/>
      <c r="AJ336" s="28"/>
      <c r="AK336" s="28"/>
      <c r="AL336" s="28"/>
      <c r="AM336" s="28"/>
      <c r="AQ336" s="28"/>
      <c r="AR336" s="28"/>
      <c r="AS336" s="28"/>
      <c r="AT336" s="28"/>
      <c r="AU336" s="28"/>
      <c r="AV336" s="28"/>
      <c r="AW336" s="28"/>
      <c r="AX336" s="28"/>
      <c r="AY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CC336" s="28"/>
      <c r="CD336" s="28"/>
      <c r="CE336" s="28"/>
      <c r="CF336" s="28"/>
      <c r="CG336" s="95"/>
      <c r="CI336" s="95"/>
      <c r="CJ336" s="95"/>
      <c r="DH336" s="95"/>
      <c r="DI336" s="175"/>
      <c r="DJ336" s="175"/>
      <c r="DK336" s="175"/>
      <c r="DL336" s="175"/>
      <c r="DM336" s="175"/>
      <c r="DN336" s="175"/>
      <c r="DO336" s="175"/>
      <c r="DS336"/>
      <c r="DU336" s="175"/>
      <c r="DW336" s="175"/>
      <c r="DX336" s="175"/>
      <c r="DY336" s="175"/>
      <c r="DZ336" s="175"/>
      <c r="EA336" s="175"/>
      <c r="EB336" s="175"/>
      <c r="EC336" s="175"/>
      <c r="ED336" s="175"/>
      <c r="EE336" s="175"/>
      <c r="EF336" s="175"/>
      <c r="EG336" s="175"/>
      <c r="EH336" s="175"/>
      <c r="EI336" s="175"/>
      <c r="EJ336" s="175"/>
      <c r="EK336" s="175"/>
      <c r="EL336" s="175"/>
      <c r="EN336" s="8"/>
      <c r="EO336" s="8"/>
      <c r="EP336" s="8"/>
      <c r="EQ336" s="8"/>
      <c r="ER336" s="8"/>
      <c r="ES336" s="8"/>
      <c r="ET336" s="8"/>
      <c r="EU336" s="8"/>
      <c r="EV336" s="8"/>
      <c r="FB336" s="28"/>
      <c r="FL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I336" s="422"/>
    </row>
    <row r="337" spans="1:191" ht="12.75" customHeight="1" x14ac:dyDescent="0.2">
      <c r="A337" s="104"/>
      <c r="B337" s="300"/>
      <c r="C337" s="104"/>
      <c r="E337" s="104"/>
      <c r="F337" s="104"/>
      <c r="G337" s="104"/>
      <c r="H337" s="104"/>
      <c r="I337" s="104"/>
      <c r="J337" s="104"/>
      <c r="K337" s="104"/>
      <c r="L337" s="104"/>
      <c r="P337" s="104"/>
      <c r="Q337" s="104"/>
      <c r="R337" s="104"/>
      <c r="S337" s="104"/>
      <c r="T337" s="104"/>
      <c r="U337" s="28"/>
      <c r="V337" s="28"/>
      <c r="W337" s="28"/>
      <c r="X337" s="28"/>
      <c r="Y337" s="28"/>
      <c r="AB337" s="28"/>
      <c r="AC337" s="28"/>
      <c r="AD337" s="28"/>
      <c r="AE337" s="28"/>
      <c r="AF337" s="28"/>
      <c r="AG337" s="28"/>
      <c r="AH337" s="28"/>
      <c r="AJ337" s="28"/>
      <c r="AK337" s="28"/>
      <c r="AL337" s="28"/>
      <c r="AM337" s="28"/>
      <c r="AQ337" s="28"/>
      <c r="AR337" s="28"/>
      <c r="AS337" s="28"/>
      <c r="AT337" s="28"/>
      <c r="AU337" s="28"/>
      <c r="AV337" s="28"/>
      <c r="AW337" s="28"/>
      <c r="AX337" s="28"/>
      <c r="AY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CC337" s="28"/>
      <c r="CD337" s="28"/>
      <c r="CE337" s="28"/>
      <c r="CF337" s="28"/>
      <c r="CG337" s="95"/>
      <c r="CI337" s="95"/>
      <c r="CJ337" s="95"/>
      <c r="DH337" s="95"/>
      <c r="DI337" s="175"/>
      <c r="DJ337" s="175"/>
      <c r="DK337" s="175"/>
      <c r="DL337" s="175"/>
      <c r="DM337" s="175"/>
      <c r="DN337" s="175"/>
      <c r="DO337" s="175"/>
      <c r="DS337"/>
      <c r="DU337" s="175"/>
      <c r="DW337" s="175"/>
      <c r="DX337" s="175"/>
      <c r="DY337" s="175"/>
      <c r="DZ337" s="175"/>
      <c r="EA337" s="175"/>
      <c r="EB337" s="175"/>
      <c r="EC337" s="175"/>
      <c r="ED337" s="175"/>
      <c r="EE337" s="175"/>
      <c r="EF337" s="175"/>
      <c r="EG337" s="175"/>
      <c r="EH337" s="175"/>
      <c r="EI337" s="175"/>
      <c r="EJ337" s="175"/>
      <c r="EK337" s="175"/>
      <c r="EL337" s="175"/>
      <c r="EN337" s="8"/>
      <c r="EO337" s="8"/>
      <c r="EP337" s="8"/>
      <c r="EQ337" s="8"/>
      <c r="ER337" s="8"/>
      <c r="ES337" s="8"/>
      <c r="ET337" s="8"/>
      <c r="EU337" s="8"/>
      <c r="EV337" s="8"/>
      <c r="FB337" s="28"/>
      <c r="FL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I337" s="422"/>
    </row>
    <row r="338" spans="1:191" ht="12.75" customHeight="1" x14ac:dyDescent="0.2">
      <c r="A338" s="104"/>
      <c r="B338" s="300"/>
      <c r="C338" s="104"/>
      <c r="E338" s="104"/>
      <c r="F338" s="104"/>
      <c r="G338" s="104"/>
      <c r="H338" s="104"/>
      <c r="I338" s="104"/>
      <c r="J338" s="104"/>
      <c r="K338" s="104"/>
      <c r="L338" s="104"/>
      <c r="P338" s="104"/>
      <c r="Q338" s="104"/>
      <c r="R338" s="104"/>
      <c r="S338" s="104"/>
      <c r="T338" s="104"/>
      <c r="U338" s="28"/>
      <c r="V338" s="28"/>
      <c r="W338" s="28"/>
      <c r="X338" s="28"/>
      <c r="Y338" s="28"/>
      <c r="AB338" s="28"/>
      <c r="AC338" s="28"/>
      <c r="AD338" s="28"/>
      <c r="AE338" s="28"/>
      <c r="AF338" s="28"/>
      <c r="AG338" s="28"/>
      <c r="AH338" s="28"/>
      <c r="AJ338" s="28"/>
      <c r="AK338" s="28"/>
      <c r="AL338" s="28"/>
      <c r="AM338" s="28"/>
      <c r="AQ338" s="28"/>
      <c r="AR338" s="28"/>
      <c r="AS338" s="28"/>
      <c r="AT338" s="28"/>
      <c r="AU338" s="28"/>
      <c r="AV338" s="28"/>
      <c r="AW338" s="28"/>
      <c r="AX338" s="28"/>
      <c r="AY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CC338" s="28"/>
      <c r="CD338" s="28"/>
      <c r="CE338" s="28"/>
      <c r="CF338" s="28"/>
      <c r="CG338" s="95"/>
      <c r="CI338" s="95"/>
      <c r="CJ338" s="95"/>
      <c r="DH338" s="95"/>
      <c r="DI338" s="175"/>
      <c r="DJ338" s="175"/>
      <c r="DK338" s="175"/>
      <c r="DL338" s="175"/>
      <c r="DM338" s="175"/>
      <c r="DN338" s="175"/>
      <c r="DO338" s="175"/>
      <c r="DS338"/>
      <c r="DU338" s="175"/>
      <c r="DW338" s="175"/>
      <c r="DX338" s="175"/>
      <c r="DY338" s="175"/>
      <c r="DZ338" s="175"/>
      <c r="EA338" s="175"/>
      <c r="EB338" s="175"/>
      <c r="EC338" s="175"/>
      <c r="ED338" s="175"/>
      <c r="EE338" s="175"/>
      <c r="EF338" s="175"/>
      <c r="EG338" s="175"/>
      <c r="EH338" s="175"/>
      <c r="EI338" s="175"/>
      <c r="EJ338" s="175"/>
      <c r="EK338" s="175"/>
      <c r="EL338" s="175"/>
      <c r="EN338" s="8"/>
      <c r="EO338" s="8"/>
      <c r="EP338" s="8"/>
      <c r="EQ338" s="8"/>
      <c r="ER338" s="8"/>
      <c r="ES338" s="8"/>
      <c r="ET338" s="8"/>
      <c r="EU338" s="8"/>
      <c r="EV338" s="8"/>
      <c r="FB338" s="28"/>
      <c r="FL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I338" s="422"/>
    </row>
    <row r="339" spans="1:191" ht="12.75" customHeight="1" x14ac:dyDescent="0.2">
      <c r="A339" s="104"/>
      <c r="B339" s="300"/>
      <c r="C339" s="104"/>
      <c r="E339" s="104"/>
      <c r="F339" s="104"/>
      <c r="G339" s="104"/>
      <c r="H339" s="104"/>
      <c r="I339" s="104"/>
      <c r="J339" s="104"/>
      <c r="K339" s="104"/>
      <c r="L339" s="104"/>
      <c r="P339" s="104"/>
      <c r="Q339" s="104"/>
      <c r="R339" s="104"/>
      <c r="S339" s="104"/>
      <c r="T339" s="104"/>
      <c r="U339" s="28"/>
      <c r="V339" s="28"/>
      <c r="W339" s="28"/>
      <c r="X339" s="28"/>
      <c r="Y339" s="28"/>
      <c r="AB339" s="28"/>
      <c r="AC339" s="28"/>
      <c r="AD339" s="28"/>
      <c r="AE339" s="28"/>
      <c r="AF339" s="28"/>
      <c r="AG339" s="28"/>
      <c r="AH339" s="28"/>
      <c r="AJ339" s="28"/>
      <c r="AK339" s="28"/>
      <c r="AL339" s="28"/>
      <c r="AM339" s="28"/>
      <c r="AQ339" s="28"/>
      <c r="AR339" s="28"/>
      <c r="AS339" s="28"/>
      <c r="AT339" s="28"/>
      <c r="AU339" s="28"/>
      <c r="AV339" s="28"/>
      <c r="AW339" s="28"/>
      <c r="AX339" s="28"/>
      <c r="AY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CC339" s="28"/>
      <c r="CD339" s="28"/>
      <c r="CE339" s="28"/>
      <c r="CF339" s="28"/>
      <c r="CG339" s="95"/>
      <c r="CI339" s="95"/>
      <c r="CJ339" s="95"/>
      <c r="DH339" s="95"/>
      <c r="DI339" s="175"/>
      <c r="DJ339" s="175"/>
      <c r="DK339" s="175"/>
      <c r="DL339" s="175"/>
      <c r="DM339" s="175"/>
      <c r="DN339" s="175"/>
      <c r="DO339" s="175"/>
      <c r="DS339"/>
      <c r="DU339" s="175"/>
      <c r="DW339" s="175"/>
      <c r="DX339" s="175"/>
      <c r="DY339" s="175"/>
      <c r="DZ339" s="175"/>
      <c r="EA339" s="175"/>
      <c r="EB339" s="175"/>
      <c r="EC339" s="175"/>
      <c r="ED339" s="175"/>
      <c r="EE339" s="175"/>
      <c r="EF339" s="175"/>
      <c r="EG339" s="175"/>
      <c r="EH339" s="175"/>
      <c r="EI339" s="175"/>
      <c r="EJ339" s="175"/>
      <c r="EK339" s="175"/>
      <c r="EL339" s="175"/>
      <c r="EN339" s="8"/>
      <c r="EO339" s="8"/>
      <c r="EP339" s="8"/>
      <c r="EQ339" s="8"/>
      <c r="ER339" s="8"/>
      <c r="ES339" s="8"/>
      <c r="ET339" s="8"/>
      <c r="EU339" s="8"/>
      <c r="EV339" s="8"/>
      <c r="FB339" s="28"/>
      <c r="FL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I339" s="422"/>
    </row>
    <row r="340" spans="1:191" x14ac:dyDescent="0.2">
      <c r="DH340" s="95"/>
      <c r="DI340" s="95"/>
      <c r="DJ340" s="175"/>
      <c r="DK340" s="175"/>
      <c r="DL340" s="175"/>
      <c r="DM340" s="175"/>
      <c r="DN340" s="175"/>
      <c r="DO340" s="175"/>
      <c r="DP340" s="175"/>
      <c r="DS340"/>
      <c r="DT340" s="8">
        <f>9742-9333</f>
        <v>409</v>
      </c>
      <c r="DV340" s="175"/>
      <c r="DZ340" s="175"/>
      <c r="EN340" s="8"/>
      <c r="EO340" s="8"/>
      <c r="EP340" s="8"/>
      <c r="EQ340" s="8"/>
      <c r="ER340" s="8"/>
      <c r="ES340" s="8"/>
      <c r="ET340" s="8"/>
      <c r="EU340" s="8"/>
      <c r="EV340" s="8"/>
      <c r="FB340" s="28"/>
      <c r="FL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I340" s="422"/>
    </row>
    <row r="341" spans="1:191" x14ac:dyDescent="0.2">
      <c r="DH341" s="95"/>
      <c r="DI341" s="95"/>
      <c r="DJ341" s="175"/>
      <c r="DK341" s="175"/>
      <c r="DL341" s="175"/>
      <c r="DM341" s="175"/>
      <c r="DN341" s="175"/>
      <c r="DO341" s="175"/>
      <c r="DP341" s="175"/>
      <c r="DV341" s="175"/>
      <c r="DZ341" s="175"/>
      <c r="EN341" s="8"/>
      <c r="EO341" s="8"/>
      <c r="EP341" s="8"/>
      <c r="EQ341" s="8"/>
      <c r="ER341" s="8"/>
      <c r="ES341" s="8"/>
      <c r="ET341" s="8"/>
      <c r="EU341" s="8"/>
      <c r="EV341" s="8"/>
      <c r="FB341" s="28"/>
      <c r="FL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I341" s="422"/>
    </row>
    <row r="342" spans="1:191" x14ac:dyDescent="0.2">
      <c r="DV342" s="175"/>
      <c r="DY342" s="175"/>
      <c r="DZ342" s="175"/>
      <c r="EA342" s="175"/>
      <c r="EB342" s="175"/>
      <c r="EC342" s="175"/>
      <c r="ED342" s="175"/>
      <c r="EE342" s="175"/>
      <c r="EF342" s="175"/>
      <c r="FR342" s="8"/>
      <c r="FS342" s="8"/>
      <c r="FT342" s="8"/>
      <c r="FU342" s="8"/>
      <c r="FV342" s="8"/>
      <c r="GI342" s="422"/>
    </row>
    <row r="343" spans="1:191" x14ac:dyDescent="0.2">
      <c r="FR343" s="8"/>
      <c r="FS343" s="8"/>
      <c r="FT343" s="8"/>
      <c r="FU343" s="8"/>
      <c r="FV343" s="8"/>
      <c r="GI343" s="422"/>
    </row>
    <row r="344" spans="1:191" x14ac:dyDescent="0.2">
      <c r="GI344" s="422"/>
    </row>
    <row r="345" spans="1:191" x14ac:dyDescent="0.2">
      <c r="GI345" s="422"/>
    </row>
    <row r="346" spans="1:191" x14ac:dyDescent="0.2">
      <c r="GI346" s="422"/>
    </row>
    <row r="347" spans="1:191" x14ac:dyDescent="0.2">
      <c r="GI347" s="422"/>
    </row>
    <row r="348" spans="1:191" x14ac:dyDescent="0.2">
      <c r="GI348" s="422"/>
    </row>
    <row r="349" spans="1:191" x14ac:dyDescent="0.2">
      <c r="GI349" s="422"/>
    </row>
    <row r="350" spans="1:191" x14ac:dyDescent="0.2">
      <c r="GI350" s="422"/>
    </row>
    <row r="351" spans="1:191" x14ac:dyDescent="0.2">
      <c r="GI351" s="422"/>
    </row>
    <row r="352" spans="1:191" x14ac:dyDescent="0.2">
      <c r="GI352" s="422"/>
    </row>
    <row r="353" spans="191:191" x14ac:dyDescent="0.2">
      <c r="GI353" s="422"/>
    </row>
    <row r="354" spans="191:191" x14ac:dyDescent="0.2">
      <c r="GI354" s="422"/>
    </row>
    <row r="355" spans="191:191" x14ac:dyDescent="0.2">
      <c r="GI355" s="422"/>
    </row>
    <row r="356" spans="191:191" x14ac:dyDescent="0.2">
      <c r="GI356" s="422"/>
    </row>
    <row r="357" spans="191:191" x14ac:dyDescent="0.2">
      <c r="GI357" s="422"/>
    </row>
    <row r="358" spans="191:191" x14ac:dyDescent="0.2">
      <c r="GI358" s="422"/>
    </row>
    <row r="359" spans="191:191" x14ac:dyDescent="0.2">
      <c r="GI359" s="422"/>
    </row>
    <row r="360" spans="191:191" x14ac:dyDescent="0.2">
      <c r="GI360" s="422"/>
    </row>
    <row r="361" spans="191:191" x14ac:dyDescent="0.2">
      <c r="GI361" s="422"/>
    </row>
    <row r="362" spans="191:191" x14ac:dyDescent="0.2">
      <c r="GI362" s="422"/>
    </row>
    <row r="363" spans="191:191" x14ac:dyDescent="0.2">
      <c r="GI363" s="422"/>
    </row>
    <row r="364" spans="191:191" x14ac:dyDescent="0.2">
      <c r="GI364" s="422"/>
    </row>
    <row r="365" spans="191:191" x14ac:dyDescent="0.2">
      <c r="GI365" s="422"/>
    </row>
    <row r="366" spans="191:191" x14ac:dyDescent="0.2">
      <c r="GI366" s="422"/>
    </row>
    <row r="367" spans="191:191" x14ac:dyDescent="0.2">
      <c r="GI367" s="422"/>
    </row>
    <row r="368" spans="191:191" x14ac:dyDescent="0.2">
      <c r="GI368" s="422"/>
    </row>
    <row r="369" spans="191:191" x14ac:dyDescent="0.2">
      <c r="GI369" s="422"/>
    </row>
    <row r="370" spans="191:191" x14ac:dyDescent="0.2">
      <c r="GI370" s="422"/>
    </row>
    <row r="371" spans="191:191" x14ac:dyDescent="0.2">
      <c r="GI371" s="422"/>
    </row>
    <row r="372" spans="191:191" x14ac:dyDescent="0.2">
      <c r="GI372" s="422"/>
    </row>
    <row r="373" spans="191:191" x14ac:dyDescent="0.2">
      <c r="GI373" s="422"/>
    </row>
    <row r="374" spans="191:191" x14ac:dyDescent="0.2">
      <c r="GI374" s="422"/>
    </row>
    <row r="375" spans="191:191" x14ac:dyDescent="0.2">
      <c r="GI375" s="422"/>
    </row>
    <row r="376" spans="191:191" x14ac:dyDescent="0.2">
      <c r="GI376" s="422"/>
    </row>
    <row r="377" spans="191:191" x14ac:dyDescent="0.2">
      <c r="GI377" s="422"/>
    </row>
    <row r="378" spans="191:191" x14ac:dyDescent="0.2">
      <c r="GI378" s="422"/>
    </row>
    <row r="379" spans="191:191" x14ac:dyDescent="0.2">
      <c r="GI379" s="422"/>
    </row>
    <row r="380" spans="191:191" x14ac:dyDescent="0.2">
      <c r="GI380" s="422"/>
    </row>
    <row r="381" spans="191:191" x14ac:dyDescent="0.2">
      <c r="GI381" s="422"/>
    </row>
    <row r="382" spans="191:191" x14ac:dyDescent="0.2">
      <c r="GI382" s="422"/>
    </row>
    <row r="383" spans="191:191" x14ac:dyDescent="0.2">
      <c r="GI383" s="422"/>
    </row>
    <row r="384" spans="191:191" x14ac:dyDescent="0.2">
      <c r="GI384" s="422"/>
    </row>
    <row r="385" spans="191:191" x14ac:dyDescent="0.2">
      <c r="GI385" s="422"/>
    </row>
    <row r="386" spans="191:191" x14ac:dyDescent="0.2">
      <c r="GI386" s="422"/>
    </row>
    <row r="387" spans="191:191" x14ac:dyDescent="0.2">
      <c r="GI387" s="422"/>
    </row>
    <row r="388" spans="191:191" x14ac:dyDescent="0.2">
      <c r="GI388" s="422"/>
    </row>
    <row r="389" spans="191:191" x14ac:dyDescent="0.2">
      <c r="GI389" s="422"/>
    </row>
    <row r="390" spans="191:191" x14ac:dyDescent="0.2">
      <c r="GI390" s="422"/>
    </row>
    <row r="391" spans="191:191" x14ac:dyDescent="0.2">
      <c r="GI391" s="422"/>
    </row>
    <row r="392" spans="191:191" x14ac:dyDescent="0.2">
      <c r="GI392" s="422"/>
    </row>
    <row r="393" spans="191:191" x14ac:dyDescent="0.2">
      <c r="GI393" s="422"/>
    </row>
    <row r="394" spans="191:191" x14ac:dyDescent="0.2">
      <c r="GI394" s="422"/>
    </row>
    <row r="395" spans="191:191" x14ac:dyDescent="0.2">
      <c r="GI395" s="422"/>
    </row>
    <row r="396" spans="191:191" x14ac:dyDescent="0.2">
      <c r="GI396" s="422"/>
    </row>
    <row r="397" spans="191:191" x14ac:dyDescent="0.2">
      <c r="GI397" s="422"/>
    </row>
    <row r="398" spans="191:191" x14ac:dyDescent="0.2">
      <c r="GI398" s="422"/>
    </row>
    <row r="399" spans="191:191" x14ac:dyDescent="0.2">
      <c r="GI399" s="422"/>
    </row>
    <row r="400" spans="191:191" x14ac:dyDescent="0.2">
      <c r="GI400" s="422"/>
    </row>
    <row r="401" spans="191:191" x14ac:dyDescent="0.2">
      <c r="GI401" s="422"/>
    </row>
    <row r="402" spans="191:191" x14ac:dyDescent="0.2">
      <c r="GI402" s="422"/>
    </row>
    <row r="403" spans="191:191" x14ac:dyDescent="0.2">
      <c r="GI403" s="422"/>
    </row>
    <row r="404" spans="191:191" x14ac:dyDescent="0.2">
      <c r="GI404" s="422"/>
    </row>
    <row r="405" spans="191:191" x14ac:dyDescent="0.2">
      <c r="GI405" s="422"/>
    </row>
    <row r="406" spans="191:191" x14ac:dyDescent="0.2">
      <c r="GI406" s="422"/>
    </row>
    <row r="407" spans="191:191" x14ac:dyDescent="0.2">
      <c r="GI407" s="422"/>
    </row>
    <row r="408" spans="191:191" x14ac:dyDescent="0.2">
      <c r="GI408" s="422"/>
    </row>
    <row r="409" spans="191:191" x14ac:dyDescent="0.2">
      <c r="GI409" s="422"/>
    </row>
    <row r="410" spans="191:191" x14ac:dyDescent="0.2">
      <c r="GI410" s="422"/>
    </row>
    <row r="411" spans="191:191" x14ac:dyDescent="0.2">
      <c r="GI411" s="422"/>
    </row>
    <row r="412" spans="191:191" x14ac:dyDescent="0.2">
      <c r="GI412" s="422"/>
    </row>
    <row r="413" spans="191:191" x14ac:dyDescent="0.2">
      <c r="GI413" s="422"/>
    </row>
    <row r="414" spans="191:191" x14ac:dyDescent="0.2">
      <c r="GI414" s="422"/>
    </row>
    <row r="415" spans="191:191" x14ac:dyDescent="0.2">
      <c r="GI415" s="422"/>
    </row>
    <row r="416" spans="191:191" x14ac:dyDescent="0.2">
      <c r="GI416" s="422"/>
    </row>
    <row r="417" spans="191:191" x14ac:dyDescent="0.2">
      <c r="GI417" s="422"/>
    </row>
    <row r="418" spans="191:191" x14ac:dyDescent="0.2">
      <c r="GI418" s="422"/>
    </row>
    <row r="419" spans="191:191" x14ac:dyDescent="0.2">
      <c r="GI419" s="422"/>
    </row>
    <row r="420" spans="191:191" x14ac:dyDescent="0.2">
      <c r="GI420" s="422"/>
    </row>
    <row r="421" spans="191:191" x14ac:dyDescent="0.2">
      <c r="GI421" s="422"/>
    </row>
    <row r="422" spans="191:191" x14ac:dyDescent="0.2">
      <c r="GI422" s="422"/>
    </row>
    <row r="423" spans="191:191" x14ac:dyDescent="0.2">
      <c r="GI423" s="422"/>
    </row>
    <row r="424" spans="191:191" x14ac:dyDescent="0.2">
      <c r="GI424" s="422"/>
    </row>
    <row r="425" spans="191:191" x14ac:dyDescent="0.2">
      <c r="GI425" s="422"/>
    </row>
    <row r="426" spans="191:191" x14ac:dyDescent="0.2">
      <c r="GI426" s="422"/>
    </row>
    <row r="427" spans="191:191" x14ac:dyDescent="0.2">
      <c r="GI427" s="422"/>
    </row>
    <row r="428" spans="191:191" x14ac:dyDescent="0.2">
      <c r="GI428" s="422"/>
    </row>
    <row r="429" spans="191:191" x14ac:dyDescent="0.2">
      <c r="GI429" s="422"/>
    </row>
    <row r="430" spans="191:191" x14ac:dyDescent="0.2">
      <c r="GI430" s="422"/>
    </row>
    <row r="431" spans="191:191" x14ac:dyDescent="0.2">
      <c r="GI431" s="422"/>
    </row>
    <row r="432" spans="191:191" x14ac:dyDescent="0.2">
      <c r="GI432" s="422"/>
    </row>
    <row r="433" spans="191:191" x14ac:dyDescent="0.2">
      <c r="GI433" s="422"/>
    </row>
    <row r="434" spans="191:191" x14ac:dyDescent="0.2">
      <c r="GI434" s="422"/>
    </row>
    <row r="435" spans="191:191" x14ac:dyDescent="0.2">
      <c r="GI435" s="422"/>
    </row>
    <row r="436" spans="191:191" x14ac:dyDescent="0.2">
      <c r="GI436" s="422"/>
    </row>
    <row r="437" spans="191:191" x14ac:dyDescent="0.2">
      <c r="GI437" s="422"/>
    </row>
    <row r="438" spans="191:191" x14ac:dyDescent="0.2">
      <c r="GI438" s="422"/>
    </row>
    <row r="439" spans="191:191" x14ac:dyDescent="0.2">
      <c r="GI439" s="422"/>
    </row>
    <row r="440" spans="191:191" x14ac:dyDescent="0.2">
      <c r="GI440" s="422"/>
    </row>
    <row r="441" spans="191:191" x14ac:dyDescent="0.2">
      <c r="GI441" s="422"/>
    </row>
    <row r="442" spans="191:191" x14ac:dyDescent="0.2">
      <c r="GI442" s="422"/>
    </row>
    <row r="443" spans="191:191" x14ac:dyDescent="0.2">
      <c r="GI443" s="422"/>
    </row>
    <row r="444" spans="191:191" x14ac:dyDescent="0.2">
      <c r="GI444" s="422"/>
    </row>
    <row r="445" spans="191:191" x14ac:dyDescent="0.2">
      <c r="GI445" s="422"/>
    </row>
    <row r="446" spans="191:191" x14ac:dyDescent="0.2">
      <c r="GI446" s="422"/>
    </row>
    <row r="447" spans="191:191" x14ac:dyDescent="0.2">
      <c r="GI447" s="422"/>
    </row>
    <row r="448" spans="191:191" x14ac:dyDescent="0.2">
      <c r="GI448" s="422"/>
    </row>
    <row r="449" spans="191:191" x14ac:dyDescent="0.2">
      <c r="GI449" s="422"/>
    </row>
    <row r="450" spans="191:191" x14ac:dyDescent="0.2">
      <c r="GI450" s="422"/>
    </row>
    <row r="451" spans="191:191" x14ac:dyDescent="0.2">
      <c r="GI451" s="422"/>
    </row>
    <row r="452" spans="191:191" x14ac:dyDescent="0.2">
      <c r="GI452" s="422"/>
    </row>
    <row r="453" spans="191:191" x14ac:dyDescent="0.2">
      <c r="GI453" s="422"/>
    </row>
    <row r="454" spans="191:191" x14ac:dyDescent="0.2">
      <c r="GI454" s="422"/>
    </row>
    <row r="455" spans="191:191" x14ac:dyDescent="0.2">
      <c r="GI455" s="422"/>
    </row>
    <row r="456" spans="191:191" x14ac:dyDescent="0.2">
      <c r="GI456" s="422"/>
    </row>
    <row r="457" spans="191:191" x14ac:dyDescent="0.2">
      <c r="GI457" s="422"/>
    </row>
    <row r="458" spans="191:191" x14ac:dyDescent="0.2">
      <c r="GI458" s="422"/>
    </row>
    <row r="459" spans="191:191" x14ac:dyDescent="0.2">
      <c r="GI459" s="422"/>
    </row>
    <row r="460" spans="191:191" x14ac:dyDescent="0.2">
      <c r="GI460" s="422"/>
    </row>
    <row r="461" spans="191:191" x14ac:dyDescent="0.2">
      <c r="GI461" s="422"/>
    </row>
    <row r="462" spans="191:191" x14ac:dyDescent="0.2">
      <c r="GI462" s="422"/>
    </row>
    <row r="463" spans="191:191" x14ac:dyDescent="0.2">
      <c r="GI463" s="422"/>
    </row>
    <row r="464" spans="191:191" x14ac:dyDescent="0.2">
      <c r="GI464" s="422"/>
    </row>
    <row r="465" spans="191:191" x14ac:dyDescent="0.2">
      <c r="GI465" s="422"/>
    </row>
    <row r="466" spans="191:191" x14ac:dyDescent="0.2">
      <c r="GI466" s="422"/>
    </row>
    <row r="467" spans="191:191" x14ac:dyDescent="0.2">
      <c r="GI467" s="422"/>
    </row>
    <row r="468" spans="191:191" x14ac:dyDescent="0.2">
      <c r="GI468" s="422"/>
    </row>
    <row r="469" spans="191:191" x14ac:dyDescent="0.2">
      <c r="GI469" s="422"/>
    </row>
    <row r="470" spans="191:191" x14ac:dyDescent="0.2">
      <c r="GI470" s="422"/>
    </row>
    <row r="471" spans="191:191" x14ac:dyDescent="0.2">
      <c r="GI471" s="422"/>
    </row>
    <row r="472" spans="191:191" x14ac:dyDescent="0.2">
      <c r="GI472" s="422"/>
    </row>
    <row r="473" spans="191:191" x14ac:dyDescent="0.2">
      <c r="GI473" s="422"/>
    </row>
    <row r="474" spans="191:191" x14ac:dyDescent="0.2">
      <c r="GI474" s="422"/>
    </row>
    <row r="475" spans="191:191" x14ac:dyDescent="0.2">
      <c r="GI475" s="422"/>
    </row>
    <row r="476" spans="191:191" x14ac:dyDescent="0.2">
      <c r="GI476" s="422"/>
    </row>
    <row r="477" spans="191:191" x14ac:dyDescent="0.2">
      <c r="GI477" s="422"/>
    </row>
    <row r="478" spans="191:191" x14ac:dyDescent="0.2">
      <c r="GI478" s="422"/>
    </row>
    <row r="479" spans="191:191" x14ac:dyDescent="0.2">
      <c r="GI479" s="422"/>
    </row>
    <row r="480" spans="191:191" x14ac:dyDescent="0.2">
      <c r="GI480" s="422"/>
    </row>
    <row r="481" spans="191:191" x14ac:dyDescent="0.2">
      <c r="GI481" s="422"/>
    </row>
    <row r="482" spans="191:191" x14ac:dyDescent="0.2">
      <c r="GI482" s="422"/>
    </row>
    <row r="483" spans="191:191" x14ac:dyDescent="0.2">
      <c r="GI483" s="422"/>
    </row>
    <row r="484" spans="191:191" x14ac:dyDescent="0.2">
      <c r="GI484" s="422"/>
    </row>
    <row r="485" spans="191:191" x14ac:dyDescent="0.2">
      <c r="GI485" s="422"/>
    </row>
    <row r="486" spans="191:191" x14ac:dyDescent="0.2">
      <c r="GI486" s="422"/>
    </row>
    <row r="487" spans="191:191" x14ac:dyDescent="0.2">
      <c r="GI487" s="422"/>
    </row>
    <row r="488" spans="191:191" x14ac:dyDescent="0.2">
      <c r="GI488" s="422"/>
    </row>
    <row r="489" spans="191:191" x14ac:dyDescent="0.2">
      <c r="GI489" s="422"/>
    </row>
    <row r="490" spans="191:191" x14ac:dyDescent="0.2">
      <c r="GI490" s="422"/>
    </row>
    <row r="491" spans="191:191" x14ac:dyDescent="0.2">
      <c r="GI491" s="422"/>
    </row>
    <row r="492" spans="191:191" x14ac:dyDescent="0.2">
      <c r="GI492" s="422"/>
    </row>
    <row r="493" spans="191:191" x14ac:dyDescent="0.2">
      <c r="GI493" s="422"/>
    </row>
    <row r="494" spans="191:191" x14ac:dyDescent="0.2">
      <c r="GI494" s="422"/>
    </row>
    <row r="495" spans="191:191" x14ac:dyDescent="0.2">
      <c r="GI495" s="422"/>
    </row>
    <row r="496" spans="191:191" x14ac:dyDescent="0.2">
      <c r="GI496" s="422"/>
    </row>
    <row r="497" spans="191:191" x14ac:dyDescent="0.2">
      <c r="GI497" s="422"/>
    </row>
    <row r="498" spans="191:191" x14ac:dyDescent="0.2">
      <c r="GI498" s="422"/>
    </row>
    <row r="499" spans="191:191" x14ac:dyDescent="0.2">
      <c r="GI499" s="422"/>
    </row>
    <row r="500" spans="191:191" x14ac:dyDescent="0.2">
      <c r="GI500" s="422"/>
    </row>
    <row r="501" spans="191:191" x14ac:dyDescent="0.2">
      <c r="GI501" s="422"/>
    </row>
    <row r="502" spans="191:191" x14ac:dyDescent="0.2">
      <c r="GI502" s="422"/>
    </row>
    <row r="503" spans="191:191" x14ac:dyDescent="0.2">
      <c r="GI503" s="422"/>
    </row>
    <row r="504" spans="191:191" x14ac:dyDescent="0.2">
      <c r="GI504" s="422"/>
    </row>
    <row r="505" spans="191:191" x14ac:dyDescent="0.2">
      <c r="GI505" s="422"/>
    </row>
    <row r="506" spans="191:191" x14ac:dyDescent="0.2">
      <c r="GI506" s="422"/>
    </row>
    <row r="507" spans="191:191" x14ac:dyDescent="0.2">
      <c r="GI507" s="422"/>
    </row>
    <row r="508" spans="191:191" x14ac:dyDescent="0.2">
      <c r="GI508" s="422"/>
    </row>
    <row r="509" spans="191:191" x14ac:dyDescent="0.2">
      <c r="GI509" s="422"/>
    </row>
    <row r="510" spans="191:191" x14ac:dyDescent="0.2">
      <c r="GI510" s="422"/>
    </row>
    <row r="511" spans="191:191" x14ac:dyDescent="0.2">
      <c r="GI511" s="422"/>
    </row>
    <row r="512" spans="191:191" x14ac:dyDescent="0.2">
      <c r="GI512" s="422"/>
    </row>
    <row r="513" spans="191:191" x14ac:dyDescent="0.2">
      <c r="GI513" s="422"/>
    </row>
    <row r="514" spans="191:191" x14ac:dyDescent="0.2">
      <c r="GI514" s="422"/>
    </row>
    <row r="515" spans="191:191" x14ac:dyDescent="0.2">
      <c r="GI515" s="422"/>
    </row>
    <row r="516" spans="191:191" x14ac:dyDescent="0.2">
      <c r="GI516" s="422"/>
    </row>
    <row r="517" spans="191:191" x14ac:dyDescent="0.2">
      <c r="GI517" s="422"/>
    </row>
    <row r="518" spans="191:191" x14ac:dyDescent="0.2">
      <c r="GI518" s="422"/>
    </row>
    <row r="519" spans="191:191" x14ac:dyDescent="0.2">
      <c r="GI519" s="422"/>
    </row>
    <row r="520" spans="191:191" x14ac:dyDescent="0.2">
      <c r="GI520" s="422"/>
    </row>
    <row r="521" spans="191:191" x14ac:dyDescent="0.2">
      <c r="GI521" s="422"/>
    </row>
    <row r="522" spans="191:191" x14ac:dyDescent="0.2">
      <c r="GI522" s="422"/>
    </row>
    <row r="523" spans="191:191" x14ac:dyDescent="0.2">
      <c r="GI523" s="422"/>
    </row>
    <row r="524" spans="191:191" x14ac:dyDescent="0.2">
      <c r="GI524" s="422"/>
    </row>
    <row r="525" spans="191:191" x14ac:dyDescent="0.2">
      <c r="GI525" s="422"/>
    </row>
    <row r="526" spans="191:191" x14ac:dyDescent="0.2">
      <c r="GI526" s="422"/>
    </row>
    <row r="527" spans="191:191" x14ac:dyDescent="0.2">
      <c r="GI527" s="422"/>
    </row>
    <row r="528" spans="191:191" x14ac:dyDescent="0.2">
      <c r="GI528" s="422"/>
    </row>
    <row r="529" spans="191:191" x14ac:dyDescent="0.2">
      <c r="GI529" s="422"/>
    </row>
    <row r="530" spans="191:191" x14ac:dyDescent="0.2">
      <c r="GI530" s="422"/>
    </row>
    <row r="531" spans="191:191" x14ac:dyDescent="0.2">
      <c r="GI531" s="422"/>
    </row>
    <row r="532" spans="191:191" x14ac:dyDescent="0.2">
      <c r="GI532" s="422"/>
    </row>
    <row r="533" spans="191:191" x14ac:dyDescent="0.2">
      <c r="GI533" s="422"/>
    </row>
    <row r="534" spans="191:191" x14ac:dyDescent="0.2">
      <c r="GI534" s="422"/>
    </row>
    <row r="535" spans="191:191" x14ac:dyDescent="0.2">
      <c r="GI535" s="422"/>
    </row>
    <row r="536" spans="191:191" x14ac:dyDescent="0.2">
      <c r="GI536" s="422"/>
    </row>
    <row r="537" spans="191:191" x14ac:dyDescent="0.2">
      <c r="GI537" s="422"/>
    </row>
    <row r="538" spans="191:191" x14ac:dyDescent="0.2">
      <c r="GI538" s="422"/>
    </row>
    <row r="539" spans="191:191" x14ac:dyDescent="0.2">
      <c r="GI539" s="422"/>
    </row>
    <row r="540" spans="191:191" x14ac:dyDescent="0.2">
      <c r="GI540" s="422"/>
    </row>
    <row r="541" spans="191:191" x14ac:dyDescent="0.2">
      <c r="GI541" s="422"/>
    </row>
    <row r="542" spans="191:191" x14ac:dyDescent="0.2">
      <c r="GI542" s="422"/>
    </row>
    <row r="543" spans="191:191" x14ac:dyDescent="0.2">
      <c r="GI543" s="422"/>
    </row>
    <row r="544" spans="191:191" x14ac:dyDescent="0.2">
      <c r="GI544" s="422"/>
    </row>
    <row r="545" spans="191:191" x14ac:dyDescent="0.2">
      <c r="GI545" s="422"/>
    </row>
    <row r="546" spans="191:191" x14ac:dyDescent="0.2">
      <c r="GI546" s="422"/>
    </row>
    <row r="547" spans="191:191" x14ac:dyDescent="0.2">
      <c r="GI547" s="422"/>
    </row>
    <row r="548" spans="191:191" x14ac:dyDescent="0.2">
      <c r="GI548" s="422"/>
    </row>
    <row r="549" spans="191:191" x14ac:dyDescent="0.2">
      <c r="GI549" s="422"/>
    </row>
    <row r="550" spans="191:191" x14ac:dyDescent="0.2">
      <c r="GI550" s="422"/>
    </row>
    <row r="551" spans="191:191" x14ac:dyDescent="0.2">
      <c r="GI551" s="422"/>
    </row>
    <row r="552" spans="191:191" x14ac:dyDescent="0.2">
      <c r="GI552" s="422"/>
    </row>
    <row r="553" spans="191:191" x14ac:dyDescent="0.2">
      <c r="GI553" s="422"/>
    </row>
    <row r="554" spans="191:191" x14ac:dyDescent="0.2">
      <c r="GI554" s="422"/>
    </row>
    <row r="555" spans="191:191" x14ac:dyDescent="0.2">
      <c r="GI555" s="422"/>
    </row>
    <row r="556" spans="191:191" x14ac:dyDescent="0.2">
      <c r="GI556" s="422"/>
    </row>
    <row r="557" spans="191:191" x14ac:dyDescent="0.2">
      <c r="GI557" s="422"/>
    </row>
    <row r="558" spans="191:191" x14ac:dyDescent="0.2">
      <c r="GI558" s="422"/>
    </row>
    <row r="559" spans="191:191" x14ac:dyDescent="0.2">
      <c r="GI559" s="422"/>
    </row>
    <row r="560" spans="191:191" x14ac:dyDescent="0.2">
      <c r="GI560" s="422"/>
    </row>
    <row r="561" spans="191:191" x14ac:dyDescent="0.2">
      <c r="GI561" s="422"/>
    </row>
    <row r="562" spans="191:191" x14ac:dyDescent="0.2">
      <c r="GI562" s="422"/>
    </row>
    <row r="563" spans="191:191" x14ac:dyDescent="0.2">
      <c r="GI563" s="422"/>
    </row>
    <row r="564" spans="191:191" x14ac:dyDescent="0.2">
      <c r="GI564" s="422"/>
    </row>
    <row r="565" spans="191:191" x14ac:dyDescent="0.2">
      <c r="GI565" s="422"/>
    </row>
    <row r="566" spans="191:191" x14ac:dyDescent="0.2">
      <c r="GI566" s="422"/>
    </row>
    <row r="567" spans="191:191" x14ac:dyDescent="0.2">
      <c r="GI567" s="422"/>
    </row>
    <row r="568" spans="191:191" x14ac:dyDescent="0.2">
      <c r="GI568" s="422"/>
    </row>
    <row r="569" spans="191:191" x14ac:dyDescent="0.2">
      <c r="GI569" s="422"/>
    </row>
    <row r="570" spans="191:191" x14ac:dyDescent="0.2">
      <c r="GI570" s="422"/>
    </row>
    <row r="571" spans="191:191" x14ac:dyDescent="0.2">
      <c r="GI571" s="422"/>
    </row>
    <row r="572" spans="191:191" x14ac:dyDescent="0.2">
      <c r="GI572" s="422"/>
    </row>
    <row r="573" spans="191:191" x14ac:dyDescent="0.2">
      <c r="GI573" s="422"/>
    </row>
    <row r="574" spans="191:191" x14ac:dyDescent="0.2">
      <c r="GI574" s="422"/>
    </row>
    <row r="575" spans="191:191" x14ac:dyDescent="0.2">
      <c r="GI575" s="422"/>
    </row>
    <row r="576" spans="191:191" x14ac:dyDescent="0.2">
      <c r="GI576" s="422"/>
    </row>
    <row r="577" spans="191:191" x14ac:dyDescent="0.2">
      <c r="GI577" s="422"/>
    </row>
    <row r="578" spans="191:191" x14ac:dyDescent="0.2">
      <c r="GI578" s="422"/>
    </row>
    <row r="579" spans="191:191" x14ac:dyDescent="0.2">
      <c r="GI579" s="422"/>
    </row>
    <row r="580" spans="191:191" x14ac:dyDescent="0.2">
      <c r="GI580" s="422"/>
    </row>
    <row r="581" spans="191:191" x14ac:dyDescent="0.2">
      <c r="GI581" s="422"/>
    </row>
    <row r="582" spans="191:191" x14ac:dyDescent="0.2">
      <c r="GI582" s="422"/>
    </row>
    <row r="583" spans="191:191" x14ac:dyDescent="0.2">
      <c r="GI583" s="422"/>
    </row>
    <row r="584" spans="191:191" x14ac:dyDescent="0.2">
      <c r="GI584" s="422"/>
    </row>
    <row r="585" spans="191:191" x14ac:dyDescent="0.2">
      <c r="GI585" s="422"/>
    </row>
    <row r="586" spans="191:191" x14ac:dyDescent="0.2">
      <c r="GI586" s="422"/>
    </row>
    <row r="587" spans="191:191" x14ac:dyDescent="0.2">
      <c r="GI587" s="422"/>
    </row>
    <row r="588" spans="191:191" x14ac:dyDescent="0.2">
      <c r="GI588" s="422"/>
    </row>
    <row r="589" spans="191:191" x14ac:dyDescent="0.2">
      <c r="GI589" s="422"/>
    </row>
    <row r="590" spans="191:191" x14ac:dyDescent="0.2">
      <c r="GI590" s="422"/>
    </row>
    <row r="591" spans="191:191" x14ac:dyDescent="0.2">
      <c r="GI591" s="422"/>
    </row>
    <row r="592" spans="191:191" x14ac:dyDescent="0.2">
      <c r="GI592" s="422"/>
    </row>
    <row r="593" spans="191:191" x14ac:dyDescent="0.2">
      <c r="GI593" s="422"/>
    </row>
    <row r="594" spans="191:191" x14ac:dyDescent="0.2">
      <c r="GI594" s="422"/>
    </row>
    <row r="595" spans="191:191" x14ac:dyDescent="0.2">
      <c r="GI595" s="422"/>
    </row>
    <row r="596" spans="191:191" x14ac:dyDescent="0.2">
      <c r="GI596" s="422"/>
    </row>
    <row r="597" spans="191:191" x14ac:dyDescent="0.2">
      <c r="GI597" s="422"/>
    </row>
    <row r="598" spans="191:191" x14ac:dyDescent="0.2">
      <c r="GI598" s="422"/>
    </row>
    <row r="599" spans="191:191" x14ac:dyDescent="0.2">
      <c r="GI599" s="422"/>
    </row>
    <row r="600" spans="191:191" x14ac:dyDescent="0.2">
      <c r="GI600" s="422"/>
    </row>
    <row r="601" spans="191:191" x14ac:dyDescent="0.2">
      <c r="GI601" s="422"/>
    </row>
    <row r="602" spans="191:191" x14ac:dyDescent="0.2">
      <c r="GI602" s="422"/>
    </row>
    <row r="603" spans="191:191" x14ac:dyDescent="0.2">
      <c r="GI603" s="422"/>
    </row>
    <row r="604" spans="191:191" x14ac:dyDescent="0.2">
      <c r="GI604" s="422"/>
    </row>
    <row r="605" spans="191:191" x14ac:dyDescent="0.2">
      <c r="GI605" s="422"/>
    </row>
    <row r="606" spans="191:191" x14ac:dyDescent="0.2">
      <c r="GI606" s="422"/>
    </row>
    <row r="607" spans="191:191" x14ac:dyDescent="0.2">
      <c r="GI607" s="422"/>
    </row>
    <row r="608" spans="191:191" x14ac:dyDescent="0.2">
      <c r="GI608" s="422"/>
    </row>
    <row r="609" spans="191:191" x14ac:dyDescent="0.2">
      <c r="GI609" s="422"/>
    </row>
    <row r="610" spans="191:191" x14ac:dyDescent="0.2">
      <c r="GI610" s="422"/>
    </row>
    <row r="611" spans="191:191" x14ac:dyDescent="0.2">
      <c r="GI611" s="422"/>
    </row>
    <row r="612" spans="191:191" x14ac:dyDescent="0.2">
      <c r="GI612" s="422"/>
    </row>
    <row r="613" spans="191:191" x14ac:dyDescent="0.2">
      <c r="GI613" s="422"/>
    </row>
    <row r="614" spans="191:191" x14ac:dyDescent="0.2">
      <c r="GI614" s="422"/>
    </row>
    <row r="615" spans="191:191" x14ac:dyDescent="0.2">
      <c r="GI615" s="422"/>
    </row>
    <row r="616" spans="191:191" x14ac:dyDescent="0.2">
      <c r="GI616" s="422"/>
    </row>
    <row r="617" spans="191:191" x14ac:dyDescent="0.2">
      <c r="GI617" s="422"/>
    </row>
    <row r="618" spans="191:191" x14ac:dyDescent="0.2">
      <c r="GI618" s="422"/>
    </row>
    <row r="619" spans="191:191" x14ac:dyDescent="0.2">
      <c r="GI619" s="422"/>
    </row>
    <row r="620" spans="191:191" x14ac:dyDescent="0.2">
      <c r="GI620" s="422"/>
    </row>
    <row r="621" spans="191:191" x14ac:dyDescent="0.2">
      <c r="GI621" s="422"/>
    </row>
    <row r="622" spans="191:191" x14ac:dyDescent="0.2">
      <c r="GI622" s="422"/>
    </row>
    <row r="623" spans="191:191" x14ac:dyDescent="0.2">
      <c r="GI623" s="422"/>
    </row>
    <row r="624" spans="191:191" x14ac:dyDescent="0.2">
      <c r="GI624" s="422"/>
    </row>
    <row r="625" spans="191:191" x14ac:dyDescent="0.2">
      <c r="GI625" s="422"/>
    </row>
    <row r="626" spans="191:191" x14ac:dyDescent="0.2">
      <c r="GI626" s="422"/>
    </row>
    <row r="627" spans="191:191" x14ac:dyDescent="0.2">
      <c r="GI627" s="422"/>
    </row>
    <row r="628" spans="191:191" x14ac:dyDescent="0.2">
      <c r="GI628" s="422"/>
    </row>
    <row r="629" spans="191:191" x14ac:dyDescent="0.2">
      <c r="GI629" s="422"/>
    </row>
    <row r="630" spans="191:191" x14ac:dyDescent="0.2">
      <c r="GI630" s="422"/>
    </row>
    <row r="631" spans="191:191" x14ac:dyDescent="0.2">
      <c r="GI631" s="422"/>
    </row>
    <row r="632" spans="191:191" x14ac:dyDescent="0.2">
      <c r="GI632" s="422"/>
    </row>
    <row r="633" spans="191:191" x14ac:dyDescent="0.2">
      <c r="GI633" s="422"/>
    </row>
    <row r="634" spans="191:191" x14ac:dyDescent="0.2">
      <c r="GI634" s="422"/>
    </row>
    <row r="635" spans="191:191" x14ac:dyDescent="0.2">
      <c r="GI635" s="422"/>
    </row>
    <row r="636" spans="191:191" x14ac:dyDescent="0.2">
      <c r="GI636" s="422"/>
    </row>
    <row r="637" spans="191:191" x14ac:dyDescent="0.2">
      <c r="GI637" s="422"/>
    </row>
    <row r="638" spans="191:191" x14ac:dyDescent="0.2">
      <c r="GI638" s="422"/>
    </row>
    <row r="639" spans="191:191" x14ac:dyDescent="0.2">
      <c r="GI639" s="422"/>
    </row>
    <row r="640" spans="191:191" x14ac:dyDescent="0.2">
      <c r="GI640" s="422"/>
    </row>
    <row r="641" spans="191:191" x14ac:dyDescent="0.2">
      <c r="GI641" s="422"/>
    </row>
    <row r="642" spans="191:191" x14ac:dyDescent="0.2">
      <c r="GI642" s="422"/>
    </row>
    <row r="643" spans="191:191" x14ac:dyDescent="0.2">
      <c r="GI643" s="422"/>
    </row>
    <row r="644" spans="191:191" x14ac:dyDescent="0.2">
      <c r="GI644" s="422"/>
    </row>
    <row r="645" spans="191:191" x14ac:dyDescent="0.2">
      <c r="GI645" s="422"/>
    </row>
    <row r="646" spans="191:191" x14ac:dyDescent="0.2">
      <c r="GI646" s="422"/>
    </row>
    <row r="647" spans="191:191" x14ac:dyDescent="0.2">
      <c r="GI647" s="422"/>
    </row>
    <row r="648" spans="191:191" x14ac:dyDescent="0.2">
      <c r="GI648" s="422"/>
    </row>
    <row r="649" spans="191:191" x14ac:dyDescent="0.2">
      <c r="GI649" s="422"/>
    </row>
    <row r="650" spans="191:191" x14ac:dyDescent="0.2">
      <c r="GI650" s="422"/>
    </row>
    <row r="651" spans="191:191" x14ac:dyDescent="0.2">
      <c r="GI651" s="422"/>
    </row>
    <row r="652" spans="191:191" x14ac:dyDescent="0.2">
      <c r="GI652" s="422"/>
    </row>
    <row r="653" spans="191:191" x14ac:dyDescent="0.2">
      <c r="GI653" s="422"/>
    </row>
    <row r="654" spans="191:191" x14ac:dyDescent="0.2">
      <c r="GI654" s="422"/>
    </row>
    <row r="655" spans="191:191" x14ac:dyDescent="0.2">
      <c r="GI655" s="422"/>
    </row>
    <row r="656" spans="191:191" x14ac:dyDescent="0.2">
      <c r="GI656" s="422"/>
    </row>
    <row r="657" spans="191:191" x14ac:dyDescent="0.2">
      <c r="GI657" s="422"/>
    </row>
    <row r="658" spans="191:191" x14ac:dyDescent="0.2">
      <c r="GI658" s="422"/>
    </row>
    <row r="659" spans="191:191" x14ac:dyDescent="0.2">
      <c r="GI659" s="422"/>
    </row>
    <row r="660" spans="191:191" x14ac:dyDescent="0.2">
      <c r="GI660" s="422"/>
    </row>
    <row r="661" spans="191:191" x14ac:dyDescent="0.2">
      <c r="GI661" s="422"/>
    </row>
    <row r="662" spans="191:191" x14ac:dyDescent="0.2">
      <c r="GI662" s="422"/>
    </row>
    <row r="663" spans="191:191" x14ac:dyDescent="0.2">
      <c r="GI663" s="422"/>
    </row>
    <row r="664" spans="191:191" x14ac:dyDescent="0.2">
      <c r="GI664" s="422"/>
    </row>
    <row r="665" spans="191:191" x14ac:dyDescent="0.2">
      <c r="GI665" s="422"/>
    </row>
    <row r="666" spans="191:191" x14ac:dyDescent="0.2">
      <c r="GI666" s="422"/>
    </row>
    <row r="667" spans="191:191" x14ac:dyDescent="0.2">
      <c r="GI667" s="422"/>
    </row>
    <row r="668" spans="191:191" x14ac:dyDescent="0.2">
      <c r="GI668" s="422"/>
    </row>
    <row r="669" spans="191:191" x14ac:dyDescent="0.2">
      <c r="GI669" s="422"/>
    </row>
    <row r="670" spans="191:191" x14ac:dyDescent="0.2">
      <c r="GI670" s="422"/>
    </row>
    <row r="671" spans="191:191" x14ac:dyDescent="0.2">
      <c r="GI671" s="422"/>
    </row>
    <row r="672" spans="191:191" x14ac:dyDescent="0.2">
      <c r="GI672" s="422"/>
    </row>
    <row r="673" spans="191:191" x14ac:dyDescent="0.2">
      <c r="GI673" s="422"/>
    </row>
    <row r="674" spans="191:191" x14ac:dyDescent="0.2">
      <c r="GI674" s="422"/>
    </row>
    <row r="675" spans="191:191" x14ac:dyDescent="0.2">
      <c r="GI675" s="422"/>
    </row>
    <row r="676" spans="191:191" x14ac:dyDescent="0.2">
      <c r="GI676" s="422"/>
    </row>
    <row r="677" spans="191:191" x14ac:dyDescent="0.2">
      <c r="GI677" s="422"/>
    </row>
    <row r="678" spans="191:191" x14ac:dyDescent="0.2">
      <c r="GI678" s="422"/>
    </row>
    <row r="679" spans="191:191" x14ac:dyDescent="0.2">
      <c r="GI679" s="422"/>
    </row>
    <row r="680" spans="191:191" x14ac:dyDescent="0.2">
      <c r="GI680" s="422"/>
    </row>
    <row r="681" spans="191:191" x14ac:dyDescent="0.2">
      <c r="GI681" s="422"/>
    </row>
    <row r="682" spans="191:191" x14ac:dyDescent="0.2">
      <c r="GI682" s="422"/>
    </row>
    <row r="683" spans="191:191" x14ac:dyDescent="0.2">
      <c r="GI683" s="422"/>
    </row>
    <row r="684" spans="191:191" x14ac:dyDescent="0.2">
      <c r="GI684" s="422"/>
    </row>
    <row r="685" spans="191:191" x14ac:dyDescent="0.2">
      <c r="GI685" s="422"/>
    </row>
    <row r="686" spans="191:191" x14ac:dyDescent="0.2">
      <c r="GI686" s="422"/>
    </row>
    <row r="687" spans="191:191" x14ac:dyDescent="0.2">
      <c r="GI687" s="422"/>
    </row>
    <row r="688" spans="191:191" x14ac:dyDescent="0.2">
      <c r="GI688" s="422"/>
    </row>
    <row r="689" spans="191:191" x14ac:dyDescent="0.2">
      <c r="GI689" s="422"/>
    </row>
    <row r="690" spans="191:191" x14ac:dyDescent="0.2">
      <c r="GI690" s="422"/>
    </row>
    <row r="691" spans="191:191" x14ac:dyDescent="0.2">
      <c r="GI691" s="422"/>
    </row>
    <row r="692" spans="191:191" x14ac:dyDescent="0.2">
      <c r="GI692" s="422"/>
    </row>
    <row r="693" spans="191:191" x14ac:dyDescent="0.2">
      <c r="GI693" s="422"/>
    </row>
    <row r="694" spans="191:191" x14ac:dyDescent="0.2">
      <c r="GI694" s="422"/>
    </row>
    <row r="695" spans="191:191" x14ac:dyDescent="0.2">
      <c r="GI695" s="422"/>
    </row>
    <row r="696" spans="191:191" x14ac:dyDescent="0.2">
      <c r="GI696" s="422"/>
    </row>
    <row r="697" spans="191:191" x14ac:dyDescent="0.2">
      <c r="GI697" s="422"/>
    </row>
    <row r="698" spans="191:191" x14ac:dyDescent="0.2">
      <c r="GI698" s="422"/>
    </row>
    <row r="699" spans="191:191" x14ac:dyDescent="0.2">
      <c r="GI699" s="422"/>
    </row>
    <row r="700" spans="191:191" x14ac:dyDescent="0.2">
      <c r="GI700" s="422"/>
    </row>
    <row r="701" spans="191:191" x14ac:dyDescent="0.2">
      <c r="GI701" s="422"/>
    </row>
    <row r="702" spans="191:191" x14ac:dyDescent="0.2">
      <c r="GI702" s="422"/>
    </row>
    <row r="703" spans="191:191" x14ac:dyDescent="0.2">
      <c r="GI703" s="422"/>
    </row>
    <row r="704" spans="191:191" x14ac:dyDescent="0.2">
      <c r="GI704" s="422"/>
    </row>
    <row r="705" spans="191:191" x14ac:dyDescent="0.2">
      <c r="GI705" s="422"/>
    </row>
    <row r="706" spans="191:191" x14ac:dyDescent="0.2">
      <c r="GI706" s="422"/>
    </row>
    <row r="707" spans="191:191" x14ac:dyDescent="0.2">
      <c r="GI707" s="422"/>
    </row>
    <row r="708" spans="191:191" x14ac:dyDescent="0.2">
      <c r="GI708" s="422"/>
    </row>
    <row r="709" spans="191:191" x14ac:dyDescent="0.2">
      <c r="GI709" s="422"/>
    </row>
    <row r="710" spans="191:191" x14ac:dyDescent="0.2">
      <c r="GI710" s="422"/>
    </row>
    <row r="711" spans="191:191" x14ac:dyDescent="0.2">
      <c r="GI711" s="422"/>
    </row>
    <row r="712" spans="191:191" x14ac:dyDescent="0.2">
      <c r="GI712" s="422"/>
    </row>
    <row r="713" spans="191:191" x14ac:dyDescent="0.2">
      <c r="GI713" s="422"/>
    </row>
    <row r="714" spans="191:191" x14ac:dyDescent="0.2">
      <c r="GI714" s="422"/>
    </row>
    <row r="715" spans="191:191" x14ac:dyDescent="0.2">
      <c r="GI715" s="422"/>
    </row>
    <row r="716" spans="191:191" x14ac:dyDescent="0.2">
      <c r="GI716" s="422"/>
    </row>
    <row r="717" spans="191:191" x14ac:dyDescent="0.2">
      <c r="GI717" s="422"/>
    </row>
    <row r="718" spans="191:191" x14ac:dyDescent="0.2">
      <c r="GI718" s="422"/>
    </row>
    <row r="719" spans="191:191" x14ac:dyDescent="0.2">
      <c r="GI719" s="422"/>
    </row>
    <row r="720" spans="191:191" x14ac:dyDescent="0.2">
      <c r="GI720" s="422"/>
    </row>
    <row r="721" spans="191:191" x14ac:dyDescent="0.2">
      <c r="GI721" s="422"/>
    </row>
    <row r="722" spans="191:191" x14ac:dyDescent="0.2">
      <c r="GI722" s="422"/>
    </row>
    <row r="723" spans="191:191" x14ac:dyDescent="0.2">
      <c r="GI723" s="422"/>
    </row>
    <row r="724" spans="191:191" x14ac:dyDescent="0.2">
      <c r="GI724" s="422"/>
    </row>
    <row r="725" spans="191:191" x14ac:dyDescent="0.2">
      <c r="GI725" s="422"/>
    </row>
    <row r="726" spans="191:191" x14ac:dyDescent="0.2">
      <c r="GI726" s="422"/>
    </row>
    <row r="727" spans="191:191" x14ac:dyDescent="0.2">
      <c r="GI727" s="422"/>
    </row>
    <row r="728" spans="191:191" x14ac:dyDescent="0.2">
      <c r="GI728" s="422"/>
    </row>
    <row r="729" spans="191:191" x14ac:dyDescent="0.2">
      <c r="GI729" s="422"/>
    </row>
    <row r="730" spans="191:191" x14ac:dyDescent="0.2">
      <c r="GI730" s="422"/>
    </row>
    <row r="731" spans="191:191" x14ac:dyDescent="0.2">
      <c r="GI731" s="422"/>
    </row>
    <row r="732" spans="191:191" x14ac:dyDescent="0.2">
      <c r="GI732" s="422"/>
    </row>
    <row r="733" spans="191:191" x14ac:dyDescent="0.2">
      <c r="GI733" s="422"/>
    </row>
    <row r="734" spans="191:191" x14ac:dyDescent="0.2">
      <c r="GI734" s="422"/>
    </row>
    <row r="735" spans="191:191" x14ac:dyDescent="0.2">
      <c r="GI735" s="422"/>
    </row>
    <row r="736" spans="191:191" x14ac:dyDescent="0.2">
      <c r="GI736" s="422"/>
    </row>
    <row r="737" spans="191:191" x14ac:dyDescent="0.2">
      <c r="GI737" s="422"/>
    </row>
    <row r="738" spans="191:191" x14ac:dyDescent="0.2">
      <c r="GI738" s="422"/>
    </row>
    <row r="739" spans="191:191" x14ac:dyDescent="0.2">
      <c r="GI739" s="422"/>
    </row>
    <row r="740" spans="191:191" x14ac:dyDescent="0.2">
      <c r="GI740" s="422"/>
    </row>
    <row r="741" spans="191:191" x14ac:dyDescent="0.2">
      <c r="GI741" s="422"/>
    </row>
    <row r="742" spans="191:191" x14ac:dyDescent="0.2">
      <c r="GI742" s="422"/>
    </row>
    <row r="743" spans="191:191" x14ac:dyDescent="0.2">
      <c r="GI743" s="422"/>
    </row>
    <row r="744" spans="191:191" x14ac:dyDescent="0.2">
      <c r="GI744" s="422"/>
    </row>
    <row r="745" spans="191:191" x14ac:dyDescent="0.2">
      <c r="GI745" s="422"/>
    </row>
    <row r="746" spans="191:191" x14ac:dyDescent="0.2">
      <c r="GI746" s="422"/>
    </row>
    <row r="747" spans="191:191" x14ac:dyDescent="0.2">
      <c r="GI747" s="422"/>
    </row>
    <row r="748" spans="191:191" x14ac:dyDescent="0.2">
      <c r="GI748" s="422"/>
    </row>
    <row r="749" spans="191:191" x14ac:dyDescent="0.2">
      <c r="GI749" s="422"/>
    </row>
    <row r="750" spans="191:191" x14ac:dyDescent="0.2">
      <c r="GI750" s="422"/>
    </row>
    <row r="751" spans="191:191" x14ac:dyDescent="0.2">
      <c r="GI751" s="422"/>
    </row>
    <row r="752" spans="191:191" x14ac:dyDescent="0.2">
      <c r="GI752" s="422"/>
    </row>
    <row r="753" spans="191:191" x14ac:dyDescent="0.2">
      <c r="GI753" s="422"/>
    </row>
    <row r="754" spans="191:191" x14ac:dyDescent="0.2">
      <c r="GI754" s="422"/>
    </row>
    <row r="755" spans="191:191" x14ac:dyDescent="0.2">
      <c r="GI755" s="422"/>
    </row>
    <row r="756" spans="191:191" x14ac:dyDescent="0.2">
      <c r="GI756" s="422"/>
    </row>
    <row r="757" spans="191:191" x14ac:dyDescent="0.2">
      <c r="GI757" s="422"/>
    </row>
    <row r="758" spans="191:191" x14ac:dyDescent="0.2">
      <c r="GI758" s="422"/>
    </row>
    <row r="759" spans="191:191" x14ac:dyDescent="0.2">
      <c r="GI759" s="422"/>
    </row>
    <row r="760" spans="191:191" x14ac:dyDescent="0.2">
      <c r="GI760" s="422"/>
    </row>
    <row r="761" spans="191:191" x14ac:dyDescent="0.2">
      <c r="GI761" s="422"/>
    </row>
    <row r="762" spans="191:191" x14ac:dyDescent="0.2">
      <c r="GI762" s="422"/>
    </row>
    <row r="763" spans="191:191" x14ac:dyDescent="0.2">
      <c r="GI763" s="422"/>
    </row>
    <row r="764" spans="191:191" x14ac:dyDescent="0.2">
      <c r="GI764" s="422"/>
    </row>
    <row r="765" spans="191:191" x14ac:dyDescent="0.2">
      <c r="GI765" s="422"/>
    </row>
    <row r="766" spans="191:191" x14ac:dyDescent="0.2">
      <c r="GI766" s="422"/>
    </row>
    <row r="767" spans="191:191" x14ac:dyDescent="0.2">
      <c r="GI767" s="422"/>
    </row>
    <row r="768" spans="191:191" x14ac:dyDescent="0.2">
      <c r="GI768" s="422"/>
    </row>
    <row r="769" spans="191:191" x14ac:dyDescent="0.2">
      <c r="GI769" s="422"/>
    </row>
    <row r="770" spans="191:191" x14ac:dyDescent="0.2">
      <c r="GI770" s="422"/>
    </row>
    <row r="771" spans="191:191" x14ac:dyDescent="0.2">
      <c r="GI771" s="422"/>
    </row>
    <row r="772" spans="191:191" x14ac:dyDescent="0.2">
      <c r="GI772" s="422"/>
    </row>
    <row r="773" spans="191:191" x14ac:dyDescent="0.2">
      <c r="GI773" s="422"/>
    </row>
    <row r="774" spans="191:191" x14ac:dyDescent="0.2">
      <c r="GI774" s="422"/>
    </row>
    <row r="775" spans="191:191" x14ac:dyDescent="0.2">
      <c r="GI775" s="422"/>
    </row>
    <row r="776" spans="191:191" x14ac:dyDescent="0.2">
      <c r="GI776" s="422"/>
    </row>
    <row r="777" spans="191:191" x14ac:dyDescent="0.2">
      <c r="GI777" s="422"/>
    </row>
    <row r="778" spans="191:191" x14ac:dyDescent="0.2">
      <c r="GI778" s="422"/>
    </row>
    <row r="779" spans="191:191" x14ac:dyDescent="0.2">
      <c r="GI779" s="422"/>
    </row>
    <row r="780" spans="191:191" x14ac:dyDescent="0.2">
      <c r="GI780" s="422"/>
    </row>
    <row r="781" spans="191:191" x14ac:dyDescent="0.2">
      <c r="GI781" s="422"/>
    </row>
    <row r="782" spans="191:191" x14ac:dyDescent="0.2">
      <c r="GI782" s="422"/>
    </row>
    <row r="783" spans="191:191" x14ac:dyDescent="0.2">
      <c r="GI783" s="422"/>
    </row>
    <row r="784" spans="191:191" x14ac:dyDescent="0.2">
      <c r="GI784" s="422"/>
    </row>
    <row r="785" spans="191:191" x14ac:dyDescent="0.2">
      <c r="GI785" s="422"/>
    </row>
    <row r="786" spans="191:191" x14ac:dyDescent="0.2">
      <c r="GI786" s="422"/>
    </row>
    <row r="787" spans="191:191" x14ac:dyDescent="0.2">
      <c r="GI787" s="422"/>
    </row>
    <row r="788" spans="191:191" x14ac:dyDescent="0.2">
      <c r="GI788" s="422"/>
    </row>
    <row r="789" spans="191:191" x14ac:dyDescent="0.2">
      <c r="GI789" s="422"/>
    </row>
    <row r="790" spans="191:191" x14ac:dyDescent="0.2">
      <c r="GI790" s="422"/>
    </row>
    <row r="791" spans="191:191" x14ac:dyDescent="0.2">
      <c r="GI791" s="422"/>
    </row>
    <row r="792" spans="191:191" x14ac:dyDescent="0.2">
      <c r="GI792" s="422"/>
    </row>
    <row r="793" spans="191:191" x14ac:dyDescent="0.2">
      <c r="GI793" s="422"/>
    </row>
    <row r="794" spans="191:191" x14ac:dyDescent="0.2">
      <c r="GI794" s="422"/>
    </row>
    <row r="795" spans="191:191" x14ac:dyDescent="0.2">
      <c r="GI795" s="422"/>
    </row>
    <row r="796" spans="191:191" x14ac:dyDescent="0.2">
      <c r="GI796" s="422"/>
    </row>
    <row r="797" spans="191:191" x14ac:dyDescent="0.2">
      <c r="GI797" s="422"/>
    </row>
    <row r="798" spans="191:191" x14ac:dyDescent="0.2">
      <c r="GI798" s="422"/>
    </row>
    <row r="799" spans="191:191" x14ac:dyDescent="0.2">
      <c r="GI799" s="422"/>
    </row>
    <row r="800" spans="191:191" x14ac:dyDescent="0.2">
      <c r="GI800" s="422"/>
    </row>
    <row r="801" spans="191:191" x14ac:dyDescent="0.2">
      <c r="GI801" s="422"/>
    </row>
    <row r="802" spans="191:191" x14ac:dyDescent="0.2">
      <c r="GI802" s="422"/>
    </row>
    <row r="803" spans="191:191" x14ac:dyDescent="0.2">
      <c r="GI803" s="422"/>
    </row>
    <row r="804" spans="191:191" x14ac:dyDescent="0.2">
      <c r="GI804" s="422"/>
    </row>
    <row r="805" spans="191:191" x14ac:dyDescent="0.2">
      <c r="GI805" s="422"/>
    </row>
    <row r="806" spans="191:191" x14ac:dyDescent="0.2">
      <c r="GI806" s="422"/>
    </row>
    <row r="807" spans="191:191" x14ac:dyDescent="0.2">
      <c r="GI807" s="422"/>
    </row>
    <row r="808" spans="191:191" x14ac:dyDescent="0.2">
      <c r="GI808" s="422"/>
    </row>
    <row r="809" spans="191:191" x14ac:dyDescent="0.2">
      <c r="GI809" s="422"/>
    </row>
    <row r="810" spans="191:191" x14ac:dyDescent="0.2">
      <c r="GI810" s="422"/>
    </row>
    <row r="811" spans="191:191" x14ac:dyDescent="0.2">
      <c r="GI811" s="422"/>
    </row>
    <row r="812" spans="191:191" x14ac:dyDescent="0.2">
      <c r="GI812" s="422"/>
    </row>
    <row r="813" spans="191:191" x14ac:dyDescent="0.2">
      <c r="GI813" s="422"/>
    </row>
    <row r="814" spans="191:191" x14ac:dyDescent="0.2">
      <c r="GI814" s="422"/>
    </row>
    <row r="815" spans="191:191" x14ac:dyDescent="0.2">
      <c r="GI815" s="422"/>
    </row>
    <row r="816" spans="191:191" x14ac:dyDescent="0.2">
      <c r="GI816" s="422"/>
    </row>
    <row r="817" spans="191:191" x14ac:dyDescent="0.2">
      <c r="GI817" s="422"/>
    </row>
    <row r="818" spans="191:191" x14ac:dyDescent="0.2">
      <c r="GI818" s="422"/>
    </row>
    <row r="819" spans="191:191" x14ac:dyDescent="0.2">
      <c r="GI819" s="422"/>
    </row>
    <row r="820" spans="191:191" x14ac:dyDescent="0.2">
      <c r="GI820" s="422"/>
    </row>
    <row r="821" spans="191:191" x14ac:dyDescent="0.2">
      <c r="GI821" s="422"/>
    </row>
    <row r="822" spans="191:191" x14ac:dyDescent="0.2">
      <c r="GI822" s="422"/>
    </row>
    <row r="823" spans="191:191" x14ac:dyDescent="0.2">
      <c r="GI823" s="422"/>
    </row>
    <row r="824" spans="191:191" x14ac:dyDescent="0.2">
      <c r="GI824" s="422"/>
    </row>
    <row r="825" spans="191:191" x14ac:dyDescent="0.2">
      <c r="GI825" s="422"/>
    </row>
    <row r="826" spans="191:191" x14ac:dyDescent="0.2">
      <c r="GI826" s="422"/>
    </row>
    <row r="827" spans="191:191" x14ac:dyDescent="0.2">
      <c r="GI827" s="422"/>
    </row>
    <row r="828" spans="191:191" x14ac:dyDescent="0.2">
      <c r="GI828" s="422"/>
    </row>
    <row r="829" spans="191:191" x14ac:dyDescent="0.2">
      <c r="GI829" s="422"/>
    </row>
    <row r="830" spans="191:191" x14ac:dyDescent="0.2">
      <c r="GI830" s="422"/>
    </row>
    <row r="831" spans="191:191" x14ac:dyDescent="0.2">
      <c r="GI831" s="422"/>
    </row>
    <row r="832" spans="191:191" x14ac:dyDescent="0.2">
      <c r="GI832" s="422"/>
    </row>
    <row r="833" spans="191:191" x14ac:dyDescent="0.2">
      <c r="GI833" s="422"/>
    </row>
    <row r="834" spans="191:191" x14ac:dyDescent="0.2">
      <c r="GI834" s="422"/>
    </row>
    <row r="835" spans="191:191" x14ac:dyDescent="0.2">
      <c r="GI835" s="422"/>
    </row>
    <row r="836" spans="191:191" x14ac:dyDescent="0.2">
      <c r="GI836" s="422"/>
    </row>
    <row r="837" spans="191:191" x14ac:dyDescent="0.2">
      <c r="GI837" s="422"/>
    </row>
    <row r="838" spans="191:191" x14ac:dyDescent="0.2">
      <c r="GI838" s="422"/>
    </row>
    <row r="839" spans="191:191" x14ac:dyDescent="0.2">
      <c r="GI839" s="422"/>
    </row>
    <row r="840" spans="191:191" x14ac:dyDescent="0.2">
      <c r="GI840" s="422"/>
    </row>
    <row r="841" spans="191:191" x14ac:dyDescent="0.2">
      <c r="GI841" s="422"/>
    </row>
    <row r="842" spans="191:191" x14ac:dyDescent="0.2">
      <c r="GI842" s="422"/>
    </row>
    <row r="843" spans="191:191" x14ac:dyDescent="0.2">
      <c r="GI843" s="422"/>
    </row>
    <row r="844" spans="191:191" x14ac:dyDescent="0.2">
      <c r="GI844" s="422"/>
    </row>
    <row r="845" spans="191:191" x14ac:dyDescent="0.2">
      <c r="GI845" s="422"/>
    </row>
    <row r="846" spans="191:191" x14ac:dyDescent="0.2">
      <c r="GI846" s="422"/>
    </row>
    <row r="847" spans="191:191" x14ac:dyDescent="0.2">
      <c r="GI847" s="422"/>
    </row>
    <row r="848" spans="191:191" x14ac:dyDescent="0.2">
      <c r="GI848" s="422"/>
    </row>
    <row r="849" spans="191:191" x14ac:dyDescent="0.2">
      <c r="GI849" s="422"/>
    </row>
    <row r="850" spans="191:191" x14ac:dyDescent="0.2">
      <c r="GI850" s="422"/>
    </row>
    <row r="851" spans="191:191" x14ac:dyDescent="0.2">
      <c r="GI851" s="422"/>
    </row>
    <row r="852" spans="191:191" x14ac:dyDescent="0.2">
      <c r="GI852" s="422"/>
    </row>
    <row r="853" spans="191:191" x14ac:dyDescent="0.2">
      <c r="GI853" s="422"/>
    </row>
    <row r="854" spans="191:191" x14ac:dyDescent="0.2">
      <c r="GI854" s="422"/>
    </row>
    <row r="855" spans="191:191" x14ac:dyDescent="0.2">
      <c r="GI855" s="422"/>
    </row>
    <row r="856" spans="191:191" x14ac:dyDescent="0.2">
      <c r="GI856" s="422"/>
    </row>
    <row r="857" spans="191:191" x14ac:dyDescent="0.2">
      <c r="GI857" s="422"/>
    </row>
    <row r="858" spans="191:191" x14ac:dyDescent="0.2">
      <c r="GI858" s="422"/>
    </row>
    <row r="859" spans="191:191" x14ac:dyDescent="0.2">
      <c r="GI859" s="422"/>
    </row>
    <row r="860" spans="191:191" x14ac:dyDescent="0.2">
      <c r="GI860" s="422"/>
    </row>
    <row r="861" spans="191:191" x14ac:dyDescent="0.2">
      <c r="GI861" s="422"/>
    </row>
    <row r="862" spans="191:191" x14ac:dyDescent="0.2">
      <c r="GI862" s="422"/>
    </row>
    <row r="863" spans="191:191" x14ac:dyDescent="0.2">
      <c r="GI863" s="422"/>
    </row>
    <row r="864" spans="191:191" x14ac:dyDescent="0.2">
      <c r="GI864" s="422"/>
    </row>
    <row r="865" spans="191:191" x14ac:dyDescent="0.2">
      <c r="GI865" s="422"/>
    </row>
    <row r="866" spans="191:191" x14ac:dyDescent="0.2">
      <c r="GI866" s="422"/>
    </row>
    <row r="867" spans="191:191" x14ac:dyDescent="0.2">
      <c r="GI867" s="422"/>
    </row>
    <row r="868" spans="191:191" x14ac:dyDescent="0.2">
      <c r="GI868" s="422"/>
    </row>
    <row r="869" spans="191:191" x14ac:dyDescent="0.2">
      <c r="GI869" s="422"/>
    </row>
    <row r="870" spans="191:191" x14ac:dyDescent="0.2">
      <c r="GI870" s="422"/>
    </row>
    <row r="871" spans="191:191" x14ac:dyDescent="0.2">
      <c r="GI871" s="422"/>
    </row>
    <row r="872" spans="191:191" x14ac:dyDescent="0.2">
      <c r="GI872" s="422"/>
    </row>
    <row r="873" spans="191:191" x14ac:dyDescent="0.2">
      <c r="GI873" s="422"/>
    </row>
    <row r="874" spans="191:191" x14ac:dyDescent="0.2">
      <c r="GI874" s="422"/>
    </row>
    <row r="875" spans="191:191" x14ac:dyDescent="0.2">
      <c r="GI875" s="422"/>
    </row>
    <row r="876" spans="191:191" x14ac:dyDescent="0.2">
      <c r="GI876" s="422"/>
    </row>
    <row r="877" spans="191:191" x14ac:dyDescent="0.2">
      <c r="GI877" s="422"/>
    </row>
    <row r="878" spans="191:191" x14ac:dyDescent="0.2">
      <c r="GI878" s="422"/>
    </row>
    <row r="879" spans="191:191" x14ac:dyDescent="0.2">
      <c r="GI879" s="422"/>
    </row>
    <row r="880" spans="191:191" x14ac:dyDescent="0.2">
      <c r="GI880" s="422"/>
    </row>
    <row r="881" spans="191:191" x14ac:dyDescent="0.2">
      <c r="GI881" s="422"/>
    </row>
    <row r="882" spans="191:191" x14ac:dyDescent="0.2">
      <c r="GI882" s="422"/>
    </row>
    <row r="883" spans="191:191" x14ac:dyDescent="0.2">
      <c r="GI883" s="422"/>
    </row>
    <row r="884" spans="191:191" x14ac:dyDescent="0.2">
      <c r="GI884" s="422"/>
    </row>
    <row r="885" spans="191:191" x14ac:dyDescent="0.2">
      <c r="GI885" s="422"/>
    </row>
    <row r="886" spans="191:191" x14ac:dyDescent="0.2">
      <c r="GI886" s="422"/>
    </row>
    <row r="887" spans="191:191" x14ac:dyDescent="0.2">
      <c r="GI887" s="422"/>
    </row>
    <row r="888" spans="191:191" x14ac:dyDescent="0.2">
      <c r="GI888" s="422"/>
    </row>
    <row r="889" spans="191:191" x14ac:dyDescent="0.2">
      <c r="GI889" s="422"/>
    </row>
    <row r="890" spans="191:191" x14ac:dyDescent="0.2">
      <c r="GI890" s="422"/>
    </row>
    <row r="891" spans="191:191" x14ac:dyDescent="0.2">
      <c r="GI891" s="422"/>
    </row>
    <row r="892" spans="191:191" x14ac:dyDescent="0.2">
      <c r="GI892" s="422"/>
    </row>
    <row r="893" spans="191:191" x14ac:dyDescent="0.2">
      <c r="GI893" s="422"/>
    </row>
    <row r="894" spans="191:191" x14ac:dyDescent="0.2">
      <c r="GI894" s="422"/>
    </row>
    <row r="895" spans="191:191" x14ac:dyDescent="0.2">
      <c r="GI895" s="422"/>
    </row>
    <row r="896" spans="191:191" x14ac:dyDescent="0.2">
      <c r="GI896" s="422"/>
    </row>
    <row r="897" spans="191:191" x14ac:dyDescent="0.2">
      <c r="GI897" s="422"/>
    </row>
    <row r="898" spans="191:191" x14ac:dyDescent="0.2">
      <c r="GI898" s="422"/>
    </row>
    <row r="899" spans="191:191" x14ac:dyDescent="0.2">
      <c r="GI899" s="422"/>
    </row>
    <row r="900" spans="191:191" x14ac:dyDescent="0.2">
      <c r="GI900" s="422"/>
    </row>
    <row r="901" spans="191:191" x14ac:dyDescent="0.2">
      <c r="GI901" s="422"/>
    </row>
    <row r="902" spans="191:191" x14ac:dyDescent="0.2">
      <c r="GI902" s="422"/>
    </row>
    <row r="903" spans="191:191" x14ac:dyDescent="0.2">
      <c r="GI903" s="422"/>
    </row>
    <row r="904" spans="191:191" x14ac:dyDescent="0.2">
      <c r="GI904" s="422"/>
    </row>
    <row r="905" spans="191:191" x14ac:dyDescent="0.2">
      <c r="GI905" s="422"/>
    </row>
    <row r="906" spans="191:191" x14ac:dyDescent="0.2">
      <c r="GI906" s="422"/>
    </row>
    <row r="907" spans="191:191" x14ac:dyDescent="0.2">
      <c r="GI907" s="422"/>
    </row>
    <row r="908" spans="191:191" x14ac:dyDescent="0.2">
      <c r="GI908" s="422"/>
    </row>
    <row r="909" spans="191:191" x14ac:dyDescent="0.2">
      <c r="GI909" s="422"/>
    </row>
    <row r="910" spans="191:191" x14ac:dyDescent="0.2">
      <c r="GI910" s="422"/>
    </row>
    <row r="911" spans="191:191" x14ac:dyDescent="0.2">
      <c r="GI911" s="422"/>
    </row>
    <row r="912" spans="191:191" x14ac:dyDescent="0.2">
      <c r="GI912" s="422"/>
    </row>
    <row r="913" spans="191:191" x14ac:dyDescent="0.2">
      <c r="GI913" s="422"/>
    </row>
    <row r="914" spans="191:191" x14ac:dyDescent="0.2">
      <c r="GI914" s="422"/>
    </row>
    <row r="915" spans="191:191" x14ac:dyDescent="0.2">
      <c r="GI915" s="422"/>
    </row>
    <row r="916" spans="191:191" x14ac:dyDescent="0.2">
      <c r="GI916" s="422"/>
    </row>
    <row r="917" spans="191:191" x14ac:dyDescent="0.2">
      <c r="GI917" s="422"/>
    </row>
    <row r="918" spans="191:191" x14ac:dyDescent="0.2">
      <c r="GI918" s="422"/>
    </row>
    <row r="919" spans="191:191" x14ac:dyDescent="0.2">
      <c r="GI919" s="422"/>
    </row>
    <row r="920" spans="191:191" x14ac:dyDescent="0.2">
      <c r="GI920" s="422"/>
    </row>
    <row r="921" spans="191:191" x14ac:dyDescent="0.2">
      <c r="GI921" s="422"/>
    </row>
    <row r="922" spans="191:191" x14ac:dyDescent="0.2">
      <c r="GI922" s="422"/>
    </row>
    <row r="923" spans="191:191" x14ac:dyDescent="0.2">
      <c r="GI923" s="422"/>
    </row>
    <row r="924" spans="191:191" x14ac:dyDescent="0.2">
      <c r="GI924" s="422"/>
    </row>
    <row r="925" spans="191:191" x14ac:dyDescent="0.2">
      <c r="GI925" s="422"/>
    </row>
    <row r="926" spans="191:191" x14ac:dyDescent="0.2">
      <c r="GI926" s="422"/>
    </row>
    <row r="927" spans="191:191" x14ac:dyDescent="0.2">
      <c r="GI927" s="422"/>
    </row>
    <row r="928" spans="191:191" x14ac:dyDescent="0.2">
      <c r="GI928" s="422"/>
    </row>
    <row r="929" spans="191:191" x14ac:dyDescent="0.2">
      <c r="GI929" s="422"/>
    </row>
    <row r="930" spans="191:191" x14ac:dyDescent="0.2">
      <c r="GI930" s="422"/>
    </row>
    <row r="931" spans="191:191" x14ac:dyDescent="0.2">
      <c r="GI931" s="422"/>
    </row>
    <row r="932" spans="191:191" x14ac:dyDescent="0.2">
      <c r="GI932" s="422"/>
    </row>
    <row r="933" spans="191:191" x14ac:dyDescent="0.2">
      <c r="GI933" s="422"/>
    </row>
    <row r="934" spans="191:191" x14ac:dyDescent="0.2">
      <c r="GI934" s="422"/>
    </row>
    <row r="935" spans="191:191" x14ac:dyDescent="0.2">
      <c r="GI935" s="422"/>
    </row>
    <row r="936" spans="191:191" x14ac:dyDescent="0.2">
      <c r="GI936" s="422"/>
    </row>
    <row r="937" spans="191:191" x14ac:dyDescent="0.2">
      <c r="GI937" s="422"/>
    </row>
    <row r="938" spans="191:191" x14ac:dyDescent="0.2">
      <c r="GI938" s="422"/>
    </row>
    <row r="939" spans="191:191" x14ac:dyDescent="0.2">
      <c r="GI939" s="422"/>
    </row>
    <row r="940" spans="191:191" x14ac:dyDescent="0.2">
      <c r="GI940" s="422"/>
    </row>
    <row r="941" spans="191:191" x14ac:dyDescent="0.2">
      <c r="GI941" s="422"/>
    </row>
    <row r="942" spans="191:191" x14ac:dyDescent="0.2">
      <c r="GI942" s="422"/>
    </row>
    <row r="943" spans="191:191" x14ac:dyDescent="0.2">
      <c r="GI943" s="422"/>
    </row>
    <row r="944" spans="191:191" x14ac:dyDescent="0.2">
      <c r="GI944" s="422"/>
    </row>
    <row r="945" spans="191:191" x14ac:dyDescent="0.2">
      <c r="GI945" s="422"/>
    </row>
    <row r="946" spans="191:191" x14ac:dyDescent="0.2">
      <c r="GI946" s="422"/>
    </row>
    <row r="947" spans="191:191" x14ac:dyDescent="0.2">
      <c r="GI947" s="422"/>
    </row>
    <row r="948" spans="191:191" x14ac:dyDescent="0.2">
      <c r="GI948" s="422"/>
    </row>
    <row r="949" spans="191:191" x14ac:dyDescent="0.2">
      <c r="GI949" s="422"/>
    </row>
    <row r="950" spans="191:191" x14ac:dyDescent="0.2">
      <c r="GI950" s="422"/>
    </row>
    <row r="951" spans="191:191" x14ac:dyDescent="0.2">
      <c r="GI951" s="422"/>
    </row>
    <row r="952" spans="191:191" x14ac:dyDescent="0.2">
      <c r="GI952" s="422"/>
    </row>
    <row r="953" spans="191:191" x14ac:dyDescent="0.2">
      <c r="GI953" s="422"/>
    </row>
    <row r="954" spans="191:191" x14ac:dyDescent="0.2">
      <c r="GI954" s="422"/>
    </row>
    <row r="955" spans="191:191" x14ac:dyDescent="0.2">
      <c r="GI955" s="422"/>
    </row>
    <row r="956" spans="191:191" x14ac:dyDescent="0.2">
      <c r="GI956" s="422"/>
    </row>
    <row r="957" spans="191:191" x14ac:dyDescent="0.2">
      <c r="GI957" s="422"/>
    </row>
    <row r="958" spans="191:191" x14ac:dyDescent="0.2">
      <c r="GI958" s="422"/>
    </row>
    <row r="959" spans="191:191" x14ac:dyDescent="0.2">
      <c r="GI959" s="422"/>
    </row>
    <row r="960" spans="191:191" x14ac:dyDescent="0.2">
      <c r="GI960" s="422"/>
    </row>
    <row r="961" spans="191:191" x14ac:dyDescent="0.2">
      <c r="GI961" s="422"/>
    </row>
    <row r="962" spans="191:191" x14ac:dyDescent="0.2">
      <c r="GI962" s="422"/>
    </row>
    <row r="963" spans="191:191" x14ac:dyDescent="0.2">
      <c r="GI963" s="422"/>
    </row>
    <row r="964" spans="191:191" x14ac:dyDescent="0.2">
      <c r="GI964" s="422"/>
    </row>
    <row r="965" spans="191:191" x14ac:dyDescent="0.2">
      <c r="GI965" s="422"/>
    </row>
    <row r="966" spans="191:191" x14ac:dyDescent="0.2">
      <c r="GI966" s="422"/>
    </row>
    <row r="967" spans="191:191" x14ac:dyDescent="0.2">
      <c r="GI967" s="422"/>
    </row>
    <row r="968" spans="191:191" x14ac:dyDescent="0.2">
      <c r="GI968" s="422"/>
    </row>
    <row r="969" spans="191:191" x14ac:dyDescent="0.2">
      <c r="GI969" s="422"/>
    </row>
    <row r="970" spans="191:191" x14ac:dyDescent="0.2">
      <c r="GI970" s="422"/>
    </row>
    <row r="971" spans="191:191" x14ac:dyDescent="0.2">
      <c r="GI971" s="422"/>
    </row>
    <row r="972" spans="191:191" x14ac:dyDescent="0.2">
      <c r="GI972" s="422"/>
    </row>
    <row r="973" spans="191:191" x14ac:dyDescent="0.2">
      <c r="GI973" s="422"/>
    </row>
    <row r="974" spans="191:191" x14ac:dyDescent="0.2">
      <c r="GI974" s="422"/>
    </row>
    <row r="975" spans="191:191" x14ac:dyDescent="0.2">
      <c r="GI975" s="422"/>
    </row>
    <row r="976" spans="191:191" x14ac:dyDescent="0.2">
      <c r="GI976" s="422"/>
    </row>
    <row r="977" spans="191:191" x14ac:dyDescent="0.2">
      <c r="GI977" s="422"/>
    </row>
    <row r="978" spans="191:191" x14ac:dyDescent="0.2">
      <c r="GI978" s="422"/>
    </row>
    <row r="979" spans="191:191" x14ac:dyDescent="0.2">
      <c r="GI979" s="422"/>
    </row>
    <row r="980" spans="191:191" x14ac:dyDescent="0.2">
      <c r="GI980" s="422"/>
    </row>
    <row r="981" spans="191:191" x14ac:dyDescent="0.2">
      <c r="GI981" s="422"/>
    </row>
    <row r="982" spans="191:191" x14ac:dyDescent="0.2">
      <c r="GI982" s="422"/>
    </row>
    <row r="983" spans="191:191" x14ac:dyDescent="0.2">
      <c r="GI983" s="422"/>
    </row>
    <row r="984" spans="191:191" x14ac:dyDescent="0.2">
      <c r="GI984" s="422"/>
    </row>
    <row r="985" spans="191:191" x14ac:dyDescent="0.2">
      <c r="GI985" s="422"/>
    </row>
    <row r="986" spans="191:191" x14ac:dyDescent="0.2">
      <c r="GI986" s="422"/>
    </row>
    <row r="987" spans="191:191" x14ac:dyDescent="0.2">
      <c r="GI987" s="422"/>
    </row>
    <row r="988" spans="191:191" x14ac:dyDescent="0.2">
      <c r="GI988" s="422"/>
    </row>
    <row r="989" spans="191:191" x14ac:dyDescent="0.2">
      <c r="GI989" s="422"/>
    </row>
    <row r="990" spans="191:191" x14ac:dyDescent="0.2">
      <c r="GI990" s="422"/>
    </row>
    <row r="991" spans="191:191" x14ac:dyDescent="0.2">
      <c r="GI991" s="422"/>
    </row>
    <row r="992" spans="191:191" x14ac:dyDescent="0.2">
      <c r="GI992" s="422"/>
    </row>
    <row r="993" spans="191:191" x14ac:dyDescent="0.2">
      <c r="GI993" s="422"/>
    </row>
    <row r="994" spans="191:191" x14ac:dyDescent="0.2">
      <c r="GI994" s="422"/>
    </row>
    <row r="995" spans="191:191" x14ac:dyDescent="0.2">
      <c r="GI995" s="422"/>
    </row>
    <row r="996" spans="191:191" x14ac:dyDescent="0.2">
      <c r="GI996" s="422"/>
    </row>
    <row r="997" spans="191:191" x14ac:dyDescent="0.2">
      <c r="GI997" s="422"/>
    </row>
    <row r="998" spans="191:191" x14ac:dyDescent="0.2">
      <c r="GI998" s="422"/>
    </row>
    <row r="999" spans="191:191" x14ac:dyDescent="0.2">
      <c r="GI999" s="422"/>
    </row>
    <row r="1000" spans="191:191" x14ac:dyDescent="0.2">
      <c r="GI1000" s="422"/>
    </row>
    <row r="1001" spans="191:191" x14ac:dyDescent="0.2">
      <c r="GI1001" s="422"/>
    </row>
    <row r="1002" spans="191:191" x14ac:dyDescent="0.2">
      <c r="GI1002" s="422"/>
    </row>
    <row r="1003" spans="191:191" x14ac:dyDescent="0.2">
      <c r="GI1003" s="422"/>
    </row>
    <row r="1004" spans="191:191" x14ac:dyDescent="0.2">
      <c r="GI1004" s="422"/>
    </row>
    <row r="1005" spans="191:191" x14ac:dyDescent="0.2">
      <c r="GI1005" s="422"/>
    </row>
    <row r="1006" spans="191:191" x14ac:dyDescent="0.2">
      <c r="GI1006" s="422"/>
    </row>
    <row r="1007" spans="191:191" x14ac:dyDescent="0.2">
      <c r="GI1007" s="422"/>
    </row>
    <row r="1008" spans="191:191" x14ac:dyDescent="0.2">
      <c r="GI1008" s="422"/>
    </row>
    <row r="1009" spans="191:191" x14ac:dyDescent="0.2">
      <c r="GI1009" s="422"/>
    </row>
    <row r="1010" spans="191:191" x14ac:dyDescent="0.2">
      <c r="GI1010" s="422"/>
    </row>
    <row r="1011" spans="191:191" x14ac:dyDescent="0.2">
      <c r="GI1011" s="422"/>
    </row>
    <row r="1012" spans="191:191" x14ac:dyDescent="0.2">
      <c r="GI1012" s="422"/>
    </row>
    <row r="1013" spans="191:191" x14ac:dyDescent="0.2">
      <c r="GI1013" s="422"/>
    </row>
    <row r="1014" spans="191:191" x14ac:dyDescent="0.2">
      <c r="GI1014" s="422"/>
    </row>
    <row r="1015" spans="191:191" x14ac:dyDescent="0.2">
      <c r="GI1015" s="422"/>
    </row>
    <row r="1016" spans="191:191" x14ac:dyDescent="0.2">
      <c r="GI1016" s="422"/>
    </row>
    <row r="1017" spans="191:191" x14ac:dyDescent="0.2">
      <c r="GI1017" s="422"/>
    </row>
    <row r="1018" spans="191:191" x14ac:dyDescent="0.2">
      <c r="GI1018" s="422"/>
    </row>
    <row r="1019" spans="191:191" x14ac:dyDescent="0.2">
      <c r="GI1019" s="422"/>
    </row>
    <row r="1020" spans="191:191" x14ac:dyDescent="0.2">
      <c r="GI1020" s="422"/>
    </row>
    <row r="1021" spans="191:191" x14ac:dyDescent="0.2">
      <c r="GI1021" s="422"/>
    </row>
    <row r="1022" spans="191:191" x14ac:dyDescent="0.2">
      <c r="GI1022" s="422"/>
    </row>
    <row r="1023" spans="191:191" x14ac:dyDescent="0.2">
      <c r="GI1023" s="422"/>
    </row>
    <row r="1024" spans="191:191" x14ac:dyDescent="0.2">
      <c r="GI1024" s="422"/>
    </row>
    <row r="1025" spans="191:191" x14ac:dyDescent="0.2">
      <c r="GI1025" s="422"/>
    </row>
    <row r="1026" spans="191:191" x14ac:dyDescent="0.2">
      <c r="GI1026" s="422"/>
    </row>
    <row r="1027" spans="191:191" x14ac:dyDescent="0.2">
      <c r="GI1027" s="422"/>
    </row>
    <row r="1028" spans="191:191" x14ac:dyDescent="0.2">
      <c r="GI1028" s="422"/>
    </row>
    <row r="1029" spans="191:191" x14ac:dyDescent="0.2">
      <c r="GI1029" s="422"/>
    </row>
    <row r="1030" spans="191:191" x14ac:dyDescent="0.2">
      <c r="GI1030" s="422"/>
    </row>
    <row r="1031" spans="191:191" x14ac:dyDescent="0.2">
      <c r="GI1031" s="422"/>
    </row>
    <row r="1032" spans="191:191" x14ac:dyDescent="0.2">
      <c r="GI1032" s="422"/>
    </row>
    <row r="1033" spans="191:191" x14ac:dyDescent="0.2">
      <c r="GI1033" s="422"/>
    </row>
    <row r="1034" spans="191:191" x14ac:dyDescent="0.2">
      <c r="GI1034" s="422"/>
    </row>
    <row r="1035" spans="191:191" x14ac:dyDescent="0.2">
      <c r="GI1035" s="422"/>
    </row>
    <row r="1036" spans="191:191" x14ac:dyDescent="0.2">
      <c r="GI1036" s="422"/>
    </row>
    <row r="1037" spans="191:191" x14ac:dyDescent="0.2">
      <c r="GI1037" s="422"/>
    </row>
    <row r="1038" spans="191:191" x14ac:dyDescent="0.2">
      <c r="GI1038" s="422"/>
    </row>
    <row r="1039" spans="191:191" x14ac:dyDescent="0.2">
      <c r="GI1039" s="422"/>
    </row>
    <row r="1040" spans="191:191" x14ac:dyDescent="0.2">
      <c r="GI1040" s="422"/>
    </row>
    <row r="1041" spans="191:191" x14ac:dyDescent="0.2">
      <c r="GI1041" s="422"/>
    </row>
    <row r="1042" spans="191:191" x14ac:dyDescent="0.2">
      <c r="GI1042" s="422"/>
    </row>
    <row r="1043" spans="191:191" x14ac:dyDescent="0.2">
      <c r="GI1043" s="422"/>
    </row>
    <row r="1044" spans="191:191" x14ac:dyDescent="0.2">
      <c r="GI1044" s="422"/>
    </row>
    <row r="1045" spans="191:191" x14ac:dyDescent="0.2">
      <c r="GI1045" s="422"/>
    </row>
    <row r="1046" spans="191:191" x14ac:dyDescent="0.2">
      <c r="GI1046" s="422"/>
    </row>
    <row r="1047" spans="191:191" x14ac:dyDescent="0.2">
      <c r="GI1047" s="422"/>
    </row>
    <row r="1048" spans="191:191" x14ac:dyDescent="0.2">
      <c r="GI1048" s="422"/>
    </row>
    <row r="1049" spans="191:191" x14ac:dyDescent="0.2">
      <c r="GI1049" s="422"/>
    </row>
    <row r="1050" spans="191:191" x14ac:dyDescent="0.2">
      <c r="GI1050" s="422"/>
    </row>
    <row r="1051" spans="191:191" x14ac:dyDescent="0.2">
      <c r="GI1051" s="422"/>
    </row>
    <row r="1052" spans="191:191" x14ac:dyDescent="0.2">
      <c r="GI1052" s="422"/>
    </row>
    <row r="1053" spans="191:191" x14ac:dyDescent="0.2">
      <c r="GI1053" s="422"/>
    </row>
    <row r="1054" spans="191:191" x14ac:dyDescent="0.2">
      <c r="GI1054" s="422"/>
    </row>
    <row r="1055" spans="191:191" x14ac:dyDescent="0.2">
      <c r="GI1055" s="422"/>
    </row>
    <row r="1056" spans="191:191" x14ac:dyDescent="0.2">
      <c r="GI1056" s="422"/>
    </row>
    <row r="1057" spans="191:191" x14ac:dyDescent="0.2">
      <c r="GI1057" s="422"/>
    </row>
    <row r="1058" spans="191:191" x14ac:dyDescent="0.2">
      <c r="GI1058" s="422"/>
    </row>
    <row r="1059" spans="191:191" x14ac:dyDescent="0.2">
      <c r="GI1059" s="422"/>
    </row>
    <row r="1060" spans="191:191" x14ac:dyDescent="0.2">
      <c r="GI1060" s="422"/>
    </row>
    <row r="1061" spans="191:191" x14ac:dyDescent="0.2">
      <c r="GI1061" s="422"/>
    </row>
    <row r="1062" spans="191:191" x14ac:dyDescent="0.2">
      <c r="GI1062" s="422"/>
    </row>
    <row r="1063" spans="191:191" x14ac:dyDescent="0.2">
      <c r="GI1063" s="422"/>
    </row>
    <row r="1064" spans="191:191" x14ac:dyDescent="0.2">
      <c r="GI1064" s="422"/>
    </row>
    <row r="1065" spans="191:191" x14ac:dyDescent="0.2">
      <c r="GI1065" s="422"/>
    </row>
    <row r="1066" spans="191:191" x14ac:dyDescent="0.2">
      <c r="GI1066" s="422"/>
    </row>
    <row r="1067" spans="191:191" x14ac:dyDescent="0.2">
      <c r="GI1067" s="422"/>
    </row>
    <row r="1068" spans="191:191" x14ac:dyDescent="0.2">
      <c r="GI1068" s="422"/>
    </row>
    <row r="1069" spans="191:191" x14ac:dyDescent="0.2">
      <c r="GI1069" s="422"/>
    </row>
    <row r="1070" spans="191:191" x14ac:dyDescent="0.2">
      <c r="GI1070" s="422"/>
    </row>
    <row r="1071" spans="191:191" x14ac:dyDescent="0.2">
      <c r="GI1071" s="422"/>
    </row>
    <row r="1072" spans="191:191" x14ac:dyDescent="0.2">
      <c r="GI1072" s="422"/>
    </row>
    <row r="1073" spans="191:191" x14ac:dyDescent="0.2">
      <c r="GI1073" s="422"/>
    </row>
    <row r="1074" spans="191:191" x14ac:dyDescent="0.2">
      <c r="GI1074" s="422"/>
    </row>
    <row r="1075" spans="191:191" x14ac:dyDescent="0.2">
      <c r="GI1075" s="422"/>
    </row>
    <row r="1076" spans="191:191" x14ac:dyDescent="0.2">
      <c r="GI1076" s="422"/>
    </row>
    <row r="1077" spans="191:191" x14ac:dyDescent="0.2">
      <c r="GI1077" s="422"/>
    </row>
    <row r="1078" spans="191:191" x14ac:dyDescent="0.2">
      <c r="GI1078" s="422"/>
    </row>
    <row r="1079" spans="191:191" x14ac:dyDescent="0.2">
      <c r="GI1079" s="422"/>
    </row>
    <row r="1080" spans="191:191" x14ac:dyDescent="0.2">
      <c r="GI1080" s="422"/>
    </row>
    <row r="1081" spans="191:191" x14ac:dyDescent="0.2">
      <c r="GI1081" s="422"/>
    </row>
    <row r="1082" spans="191:191" x14ac:dyDescent="0.2">
      <c r="GI1082" s="422"/>
    </row>
    <row r="1083" spans="191:191" x14ac:dyDescent="0.2">
      <c r="GI1083" s="422"/>
    </row>
    <row r="1084" spans="191:191" x14ac:dyDescent="0.2">
      <c r="GI1084" s="422"/>
    </row>
    <row r="1085" spans="191:191" x14ac:dyDescent="0.2">
      <c r="GI1085" s="422"/>
    </row>
    <row r="1086" spans="191:191" x14ac:dyDescent="0.2">
      <c r="GI1086" s="422"/>
    </row>
    <row r="1087" spans="191:191" x14ac:dyDescent="0.2">
      <c r="GI1087" s="422"/>
    </row>
    <row r="1088" spans="191:191" x14ac:dyDescent="0.2">
      <c r="GI1088" s="422"/>
    </row>
    <row r="1089" spans="191:191" x14ac:dyDescent="0.2">
      <c r="GI1089" s="422"/>
    </row>
    <row r="1090" spans="191:191" x14ac:dyDescent="0.2">
      <c r="GI1090" s="422"/>
    </row>
    <row r="1091" spans="191:191" x14ac:dyDescent="0.2">
      <c r="GI1091" s="422"/>
    </row>
    <row r="1092" spans="191:191" x14ac:dyDescent="0.2">
      <c r="GI1092" s="422"/>
    </row>
    <row r="1093" spans="191:191" x14ac:dyDescent="0.2">
      <c r="GI1093" s="422"/>
    </row>
    <row r="1094" spans="191:191" x14ac:dyDescent="0.2">
      <c r="GI1094" s="422"/>
    </row>
    <row r="1095" spans="191:191" x14ac:dyDescent="0.2">
      <c r="GI1095" s="422"/>
    </row>
    <row r="1096" spans="191:191" x14ac:dyDescent="0.2">
      <c r="GI1096" s="422"/>
    </row>
    <row r="1097" spans="191:191" x14ac:dyDescent="0.2">
      <c r="GI1097" s="422"/>
    </row>
    <row r="1098" spans="191:191" x14ac:dyDescent="0.2">
      <c r="GI1098" s="422"/>
    </row>
    <row r="1099" spans="191:191" x14ac:dyDescent="0.2">
      <c r="GI1099" s="422"/>
    </row>
    <row r="1100" spans="191:191" x14ac:dyDescent="0.2">
      <c r="GI1100" s="422"/>
    </row>
    <row r="1101" spans="191:191" x14ac:dyDescent="0.2">
      <c r="GI1101" s="422"/>
    </row>
    <row r="1102" spans="191:191" x14ac:dyDescent="0.2">
      <c r="GI1102" s="422"/>
    </row>
    <row r="1103" spans="191:191" x14ac:dyDescent="0.2">
      <c r="GI1103" s="422"/>
    </row>
    <row r="1104" spans="191:191" x14ac:dyDescent="0.2">
      <c r="GI1104" s="422"/>
    </row>
    <row r="1105" spans="191:191" x14ac:dyDescent="0.2">
      <c r="GI1105" s="422"/>
    </row>
    <row r="1106" spans="191:191" x14ac:dyDescent="0.2">
      <c r="GI1106" s="422"/>
    </row>
    <row r="1107" spans="191:191" x14ac:dyDescent="0.2">
      <c r="GI1107" s="422"/>
    </row>
    <row r="1108" spans="191:191" x14ac:dyDescent="0.2">
      <c r="GI1108" s="422"/>
    </row>
    <row r="1109" spans="191:191" x14ac:dyDescent="0.2">
      <c r="GI1109" s="422"/>
    </row>
    <row r="1110" spans="191:191" x14ac:dyDescent="0.2">
      <c r="GI1110" s="422"/>
    </row>
    <row r="1111" spans="191:191" x14ac:dyDescent="0.2">
      <c r="GI1111" s="422"/>
    </row>
    <row r="1112" spans="191:191" x14ac:dyDescent="0.2">
      <c r="GI1112" s="422"/>
    </row>
    <row r="1113" spans="191:191" x14ac:dyDescent="0.2">
      <c r="GI1113" s="422"/>
    </row>
    <row r="1114" spans="191:191" x14ac:dyDescent="0.2">
      <c r="GI1114" s="422"/>
    </row>
    <row r="1115" spans="191:191" x14ac:dyDescent="0.2">
      <c r="GI1115" s="422"/>
    </row>
    <row r="1116" spans="191:191" x14ac:dyDescent="0.2">
      <c r="GI1116" s="422"/>
    </row>
    <row r="1117" spans="191:191" x14ac:dyDescent="0.2">
      <c r="GI1117" s="422"/>
    </row>
    <row r="1118" spans="191:191" x14ac:dyDescent="0.2">
      <c r="GI1118" s="422"/>
    </row>
    <row r="1119" spans="191:191" x14ac:dyDescent="0.2">
      <c r="GI1119" s="422"/>
    </row>
    <row r="1120" spans="191:191" x14ac:dyDescent="0.2">
      <c r="GI1120" s="422"/>
    </row>
    <row r="1121" spans="191:191" x14ac:dyDescent="0.2">
      <c r="GI1121" s="422"/>
    </row>
    <row r="1122" spans="191:191" x14ac:dyDescent="0.2">
      <c r="GI1122" s="422"/>
    </row>
    <row r="1123" spans="191:191" x14ac:dyDescent="0.2">
      <c r="GI1123" s="422"/>
    </row>
    <row r="1124" spans="191:191" x14ac:dyDescent="0.2">
      <c r="GI1124" s="422"/>
    </row>
    <row r="1125" spans="191:191" x14ac:dyDescent="0.2">
      <c r="GI1125" s="422"/>
    </row>
    <row r="1126" spans="191:191" x14ac:dyDescent="0.2">
      <c r="GI1126" s="422"/>
    </row>
    <row r="1127" spans="191:191" x14ac:dyDescent="0.2">
      <c r="GI1127" s="422"/>
    </row>
    <row r="1128" spans="191:191" x14ac:dyDescent="0.2">
      <c r="GI1128" s="422"/>
    </row>
    <row r="1129" spans="191:191" x14ac:dyDescent="0.2">
      <c r="GI1129" s="422"/>
    </row>
    <row r="1130" spans="191:191" x14ac:dyDescent="0.2">
      <c r="GI1130" s="422"/>
    </row>
    <row r="1131" spans="191:191" x14ac:dyDescent="0.2">
      <c r="GI1131" s="422"/>
    </row>
    <row r="1132" spans="191:191" x14ac:dyDescent="0.2">
      <c r="GI1132" s="422"/>
    </row>
    <row r="1133" spans="191:191" x14ac:dyDescent="0.2">
      <c r="GI1133" s="422"/>
    </row>
    <row r="1134" spans="191:191" x14ac:dyDescent="0.2">
      <c r="GI1134" s="422"/>
    </row>
    <row r="1135" spans="191:191" x14ac:dyDescent="0.2">
      <c r="GI1135" s="422"/>
    </row>
    <row r="1136" spans="191:191" x14ac:dyDescent="0.2">
      <c r="GI1136" s="422"/>
    </row>
    <row r="1137" spans="191:191" x14ac:dyDescent="0.2">
      <c r="GI1137" s="422"/>
    </row>
    <row r="1138" spans="191:191" x14ac:dyDescent="0.2">
      <c r="GI1138" s="422"/>
    </row>
    <row r="1139" spans="191:191" x14ac:dyDescent="0.2">
      <c r="GI1139" s="422"/>
    </row>
    <row r="1140" spans="191:191" x14ac:dyDescent="0.2">
      <c r="GI1140" s="422"/>
    </row>
    <row r="1141" spans="191:191" x14ac:dyDescent="0.2">
      <c r="GI1141" s="422"/>
    </row>
    <row r="1142" spans="191:191" x14ac:dyDescent="0.2">
      <c r="GI1142" s="422"/>
    </row>
    <row r="1143" spans="191:191" x14ac:dyDescent="0.2">
      <c r="GI1143" s="422"/>
    </row>
    <row r="1144" spans="191:191" x14ac:dyDescent="0.2">
      <c r="GI1144" s="422"/>
    </row>
    <row r="1145" spans="191:191" x14ac:dyDescent="0.2">
      <c r="GI1145" s="422"/>
    </row>
    <row r="1146" spans="191:191" x14ac:dyDescent="0.2">
      <c r="GI1146" s="422"/>
    </row>
    <row r="1147" spans="191:191" x14ac:dyDescent="0.2">
      <c r="GI1147" s="422"/>
    </row>
    <row r="1148" spans="191:191" x14ac:dyDescent="0.2">
      <c r="GI1148" s="422"/>
    </row>
    <row r="1149" spans="191:191" x14ac:dyDescent="0.2">
      <c r="GI1149" s="422"/>
    </row>
    <row r="1150" spans="191:191" x14ac:dyDescent="0.2">
      <c r="GI1150" s="422"/>
    </row>
    <row r="1151" spans="191:191" x14ac:dyDescent="0.2">
      <c r="GI1151" s="422"/>
    </row>
    <row r="1152" spans="191:191" x14ac:dyDescent="0.2">
      <c r="GI1152" s="422"/>
    </row>
    <row r="1153" spans="191:191" x14ac:dyDescent="0.2">
      <c r="GI1153" s="422"/>
    </row>
    <row r="1154" spans="191:191" x14ac:dyDescent="0.2">
      <c r="GI1154" s="422"/>
    </row>
    <row r="1155" spans="191:191" x14ac:dyDescent="0.2">
      <c r="GI1155" s="422"/>
    </row>
    <row r="1156" spans="191:191" x14ac:dyDescent="0.2">
      <c r="GI1156" s="422"/>
    </row>
    <row r="1157" spans="191:191" x14ac:dyDescent="0.2">
      <c r="GI1157" s="422"/>
    </row>
    <row r="1158" spans="191:191" x14ac:dyDescent="0.2">
      <c r="GI1158" s="422"/>
    </row>
    <row r="1159" spans="191:191" x14ac:dyDescent="0.2">
      <c r="GI1159" s="422"/>
    </row>
    <row r="1160" spans="191:191" x14ac:dyDescent="0.2">
      <c r="GI1160" s="422"/>
    </row>
    <row r="1161" spans="191:191" x14ac:dyDescent="0.2">
      <c r="GI1161" s="422"/>
    </row>
    <row r="1162" spans="191:191" x14ac:dyDescent="0.2">
      <c r="GI1162" s="422"/>
    </row>
    <row r="1163" spans="191:191" x14ac:dyDescent="0.2">
      <c r="GI1163" s="422"/>
    </row>
    <row r="1164" spans="191:191" x14ac:dyDescent="0.2">
      <c r="GI1164" s="422"/>
    </row>
    <row r="1165" spans="191:191" x14ac:dyDescent="0.2">
      <c r="GI1165" s="422"/>
    </row>
    <row r="1166" spans="191:191" x14ac:dyDescent="0.2">
      <c r="GI1166" s="422"/>
    </row>
    <row r="1167" spans="191:191" x14ac:dyDescent="0.2">
      <c r="GI1167" s="422"/>
    </row>
    <row r="1168" spans="191:191" x14ac:dyDescent="0.2">
      <c r="GI1168" s="422"/>
    </row>
    <row r="1169" spans="191:191" x14ac:dyDescent="0.2">
      <c r="GI1169" s="422"/>
    </row>
    <row r="1170" spans="191:191" x14ac:dyDescent="0.2">
      <c r="GI1170" s="422"/>
    </row>
    <row r="1171" spans="191:191" x14ac:dyDescent="0.2">
      <c r="GI1171" s="422"/>
    </row>
    <row r="1172" spans="191:191" x14ac:dyDescent="0.2">
      <c r="GI1172" s="422"/>
    </row>
    <row r="1173" spans="191:191" x14ac:dyDescent="0.2">
      <c r="GI1173" s="422"/>
    </row>
    <row r="1174" spans="191:191" x14ac:dyDescent="0.2">
      <c r="GI1174" s="422"/>
    </row>
    <row r="1175" spans="191:191" x14ac:dyDescent="0.2">
      <c r="GI1175" s="422"/>
    </row>
    <row r="1176" spans="191:191" x14ac:dyDescent="0.2">
      <c r="GI1176" s="422"/>
    </row>
    <row r="1177" spans="191:191" x14ac:dyDescent="0.2">
      <c r="GI1177" s="422"/>
    </row>
    <row r="1178" spans="191:191" x14ac:dyDescent="0.2">
      <c r="GI1178" s="422"/>
    </row>
    <row r="1179" spans="191:191" x14ac:dyDescent="0.2">
      <c r="GI1179" s="422"/>
    </row>
    <row r="1180" spans="191:191" x14ac:dyDescent="0.2">
      <c r="GI1180" s="422"/>
    </row>
    <row r="1181" spans="191:191" x14ac:dyDescent="0.2">
      <c r="GI1181" s="422"/>
    </row>
    <row r="1182" spans="191:191" x14ac:dyDescent="0.2">
      <c r="GI1182" s="422"/>
    </row>
    <row r="1183" spans="191:191" x14ac:dyDescent="0.2">
      <c r="GI1183" s="422"/>
    </row>
    <row r="1184" spans="191:191" x14ac:dyDescent="0.2">
      <c r="GI1184" s="422"/>
    </row>
    <row r="1185" spans="191:191" x14ac:dyDescent="0.2">
      <c r="GI1185" s="422"/>
    </row>
    <row r="1186" spans="191:191" x14ac:dyDescent="0.2">
      <c r="GI1186" s="422"/>
    </row>
    <row r="1187" spans="191:191" x14ac:dyDescent="0.2">
      <c r="GI1187" s="422"/>
    </row>
    <row r="1188" spans="191:191" x14ac:dyDescent="0.2">
      <c r="GI1188" s="422"/>
    </row>
    <row r="1189" spans="191:191" x14ac:dyDescent="0.2">
      <c r="GI1189" s="422"/>
    </row>
    <row r="1190" spans="191:191" x14ac:dyDescent="0.2">
      <c r="GI1190" s="422"/>
    </row>
    <row r="1191" spans="191:191" x14ac:dyDescent="0.2">
      <c r="GI1191" s="422"/>
    </row>
    <row r="1192" spans="191:191" x14ac:dyDescent="0.2">
      <c r="GI1192" s="422"/>
    </row>
    <row r="1193" spans="191:191" x14ac:dyDescent="0.2">
      <c r="GI1193" s="422"/>
    </row>
    <row r="1194" spans="191:191" x14ac:dyDescent="0.2">
      <c r="GI1194" s="422"/>
    </row>
    <row r="1195" spans="191:191" x14ac:dyDescent="0.2">
      <c r="GI1195" s="422"/>
    </row>
    <row r="1196" spans="191:191" x14ac:dyDescent="0.2">
      <c r="GI1196" s="422"/>
    </row>
    <row r="1197" spans="191:191" x14ac:dyDescent="0.2">
      <c r="GI1197" s="422"/>
    </row>
    <row r="1198" spans="191:191" x14ac:dyDescent="0.2">
      <c r="GI1198" s="422"/>
    </row>
    <row r="1199" spans="191:191" x14ac:dyDescent="0.2">
      <c r="GI1199" s="422"/>
    </row>
    <row r="1200" spans="191:191" x14ac:dyDescent="0.2">
      <c r="GI1200" s="422"/>
    </row>
    <row r="1201" spans="191:191" x14ac:dyDescent="0.2">
      <c r="GI1201" s="422"/>
    </row>
    <row r="1202" spans="191:191" x14ac:dyDescent="0.2">
      <c r="GI1202" s="422"/>
    </row>
    <row r="1203" spans="191:191" x14ac:dyDescent="0.2">
      <c r="GI1203" s="422"/>
    </row>
    <row r="1204" spans="191:191" x14ac:dyDescent="0.2">
      <c r="GI1204" s="422"/>
    </row>
    <row r="1205" spans="191:191" x14ac:dyDescent="0.2">
      <c r="GI1205" s="422"/>
    </row>
    <row r="1206" spans="191:191" x14ac:dyDescent="0.2">
      <c r="GI1206" s="422"/>
    </row>
    <row r="1207" spans="191:191" x14ac:dyDescent="0.2">
      <c r="GI1207" s="422"/>
    </row>
    <row r="1208" spans="191:191" x14ac:dyDescent="0.2">
      <c r="GI1208" s="422"/>
    </row>
    <row r="1209" spans="191:191" x14ac:dyDescent="0.2">
      <c r="GI1209" s="422"/>
    </row>
    <row r="1210" spans="191:191" x14ac:dyDescent="0.2">
      <c r="GI1210" s="422"/>
    </row>
    <row r="1211" spans="191:191" x14ac:dyDescent="0.2">
      <c r="GI1211" s="422"/>
    </row>
    <row r="1212" spans="191:191" x14ac:dyDescent="0.2">
      <c r="GI1212" s="422"/>
    </row>
    <row r="1213" spans="191:191" x14ac:dyDescent="0.2">
      <c r="GI1213" s="422"/>
    </row>
    <row r="1214" spans="191:191" x14ac:dyDescent="0.2">
      <c r="GI1214" s="422"/>
    </row>
    <row r="1215" spans="191:191" x14ac:dyDescent="0.2">
      <c r="GI1215" s="422"/>
    </row>
    <row r="1216" spans="191:191" x14ac:dyDescent="0.2">
      <c r="GI1216" s="422"/>
    </row>
    <row r="1217" spans="191:191" x14ac:dyDescent="0.2">
      <c r="GI1217" s="422"/>
    </row>
    <row r="1218" spans="191:191" x14ac:dyDescent="0.2">
      <c r="GI1218" s="422"/>
    </row>
    <row r="1219" spans="191:191" x14ac:dyDescent="0.2">
      <c r="GI1219" s="422"/>
    </row>
    <row r="1220" spans="191:191" x14ac:dyDescent="0.2">
      <c r="GI1220" s="422"/>
    </row>
    <row r="1221" spans="191:191" x14ac:dyDescent="0.2">
      <c r="GI1221" s="422"/>
    </row>
    <row r="1222" spans="191:191" x14ac:dyDescent="0.2">
      <c r="GI1222" s="422"/>
    </row>
    <row r="1223" spans="191:191" x14ac:dyDescent="0.2">
      <c r="GI1223" s="422"/>
    </row>
    <row r="1224" spans="191:191" x14ac:dyDescent="0.2">
      <c r="GI1224" s="422"/>
    </row>
    <row r="1225" spans="191:191" x14ac:dyDescent="0.2">
      <c r="GI1225" s="422"/>
    </row>
    <row r="1226" spans="191:191" x14ac:dyDescent="0.2">
      <c r="GI1226" s="422"/>
    </row>
    <row r="1227" spans="191:191" x14ac:dyDescent="0.2">
      <c r="GI1227" s="422"/>
    </row>
    <row r="1228" spans="191:191" x14ac:dyDescent="0.2">
      <c r="GI1228" s="422"/>
    </row>
    <row r="1229" spans="191:191" x14ac:dyDescent="0.2">
      <c r="GI1229" s="422"/>
    </row>
    <row r="1230" spans="191:191" x14ac:dyDescent="0.2">
      <c r="GI1230" s="422"/>
    </row>
    <row r="1231" spans="191:191" x14ac:dyDescent="0.2">
      <c r="GI1231" s="422"/>
    </row>
    <row r="1232" spans="191:191" x14ac:dyDescent="0.2">
      <c r="GI1232" s="422"/>
    </row>
    <row r="1233" spans="191:191" x14ac:dyDescent="0.2">
      <c r="GI1233" s="422"/>
    </row>
    <row r="1234" spans="191:191" x14ac:dyDescent="0.2">
      <c r="GI1234" s="422"/>
    </row>
    <row r="1235" spans="191:191" x14ac:dyDescent="0.2">
      <c r="GI1235" s="422"/>
    </row>
    <row r="1236" spans="191:191" x14ac:dyDescent="0.2">
      <c r="GI1236" s="422"/>
    </row>
    <row r="1237" spans="191:191" x14ac:dyDescent="0.2">
      <c r="GI1237" s="422"/>
    </row>
    <row r="1238" spans="191:191" x14ac:dyDescent="0.2">
      <c r="GI1238" s="422"/>
    </row>
    <row r="1239" spans="191:191" x14ac:dyDescent="0.2">
      <c r="GI1239" s="422"/>
    </row>
    <row r="1240" spans="191:191" x14ac:dyDescent="0.2">
      <c r="GI1240" s="422"/>
    </row>
    <row r="1241" spans="191:191" x14ac:dyDescent="0.2">
      <c r="GI1241" s="422"/>
    </row>
    <row r="1242" spans="191:191" x14ac:dyDescent="0.2">
      <c r="GI1242" s="422"/>
    </row>
    <row r="1243" spans="191:191" x14ac:dyDescent="0.2">
      <c r="GI1243" s="422"/>
    </row>
    <row r="1244" spans="191:191" x14ac:dyDescent="0.2">
      <c r="GI1244" s="422"/>
    </row>
    <row r="1245" spans="191:191" x14ac:dyDescent="0.2">
      <c r="GI1245" s="422"/>
    </row>
    <row r="1246" spans="191:191" x14ac:dyDescent="0.2">
      <c r="GI1246" s="422"/>
    </row>
    <row r="1247" spans="191:191" x14ac:dyDescent="0.2">
      <c r="GI1247" s="422"/>
    </row>
    <row r="1248" spans="191:191" x14ac:dyDescent="0.2">
      <c r="GI1248" s="422"/>
    </row>
    <row r="1249" spans="191:191" x14ac:dyDescent="0.2">
      <c r="GI1249" s="422"/>
    </row>
    <row r="1250" spans="191:191" x14ac:dyDescent="0.2">
      <c r="GI1250" s="422"/>
    </row>
    <row r="1251" spans="191:191" x14ac:dyDescent="0.2">
      <c r="GI1251" s="422"/>
    </row>
    <row r="1252" spans="191:191" x14ac:dyDescent="0.2">
      <c r="GI1252" s="422"/>
    </row>
    <row r="1253" spans="191:191" x14ac:dyDescent="0.2">
      <c r="GI1253" s="422"/>
    </row>
    <row r="1254" spans="191:191" x14ac:dyDescent="0.2">
      <c r="GI1254" s="422"/>
    </row>
    <row r="1255" spans="191:191" x14ac:dyDescent="0.2">
      <c r="GI1255" s="422"/>
    </row>
    <row r="1256" spans="191:191" x14ac:dyDescent="0.2">
      <c r="GI1256" s="422"/>
    </row>
    <row r="1257" spans="191:191" x14ac:dyDescent="0.2">
      <c r="GI1257" s="422"/>
    </row>
    <row r="1258" spans="191:191" x14ac:dyDescent="0.2">
      <c r="GI1258" s="422"/>
    </row>
    <row r="1259" spans="191:191" x14ac:dyDescent="0.2">
      <c r="GI1259" s="422"/>
    </row>
    <row r="1260" spans="191:191" x14ac:dyDescent="0.2">
      <c r="GI1260" s="422"/>
    </row>
    <row r="1261" spans="191:191" x14ac:dyDescent="0.2">
      <c r="GI1261" s="422"/>
    </row>
    <row r="1262" spans="191:191" x14ac:dyDescent="0.2">
      <c r="GI1262" s="422"/>
    </row>
    <row r="1263" spans="191:191" x14ac:dyDescent="0.2">
      <c r="GI1263" s="422"/>
    </row>
    <row r="1264" spans="191:191" x14ac:dyDescent="0.2">
      <c r="GI1264" s="422"/>
    </row>
    <row r="1265" spans="191:191" x14ac:dyDescent="0.2">
      <c r="GI1265" s="422"/>
    </row>
    <row r="1266" spans="191:191" x14ac:dyDescent="0.2">
      <c r="GI1266" s="422"/>
    </row>
    <row r="1267" spans="191:191" x14ac:dyDescent="0.2">
      <c r="GI1267" s="422"/>
    </row>
    <row r="1268" spans="191:191" x14ac:dyDescent="0.2">
      <c r="GI1268" s="422"/>
    </row>
    <row r="1269" spans="191:191" x14ac:dyDescent="0.2">
      <c r="GI1269" s="422"/>
    </row>
    <row r="1270" spans="191:191" x14ac:dyDescent="0.2">
      <c r="GI1270" s="422"/>
    </row>
    <row r="1271" spans="191:191" x14ac:dyDescent="0.2">
      <c r="GI1271" s="422"/>
    </row>
    <row r="1272" spans="191:191" x14ac:dyDescent="0.2">
      <c r="GI1272" s="422"/>
    </row>
    <row r="1273" spans="191:191" x14ac:dyDescent="0.2">
      <c r="GI1273" s="422"/>
    </row>
    <row r="1274" spans="191:191" x14ac:dyDescent="0.2">
      <c r="GI1274" s="422"/>
    </row>
    <row r="1275" spans="191:191" x14ac:dyDescent="0.2">
      <c r="GI1275" s="422"/>
    </row>
    <row r="1276" spans="191:191" x14ac:dyDescent="0.2">
      <c r="GI1276" s="422"/>
    </row>
    <row r="1277" spans="191:191" x14ac:dyDescent="0.2">
      <c r="GI1277" s="422"/>
    </row>
    <row r="1278" spans="191:191" x14ac:dyDescent="0.2">
      <c r="GI1278" s="422"/>
    </row>
    <row r="1279" spans="191:191" x14ac:dyDescent="0.2">
      <c r="GI1279" s="422"/>
    </row>
    <row r="1280" spans="191:191" x14ac:dyDescent="0.2">
      <c r="GI1280" s="422"/>
    </row>
    <row r="1281" spans="191:191" x14ac:dyDescent="0.2">
      <c r="GI1281" s="422"/>
    </row>
    <row r="1282" spans="191:191" x14ac:dyDescent="0.2">
      <c r="GI1282" s="422"/>
    </row>
    <row r="1283" spans="191:191" x14ac:dyDescent="0.2">
      <c r="GI1283" s="422"/>
    </row>
    <row r="1284" spans="191:191" x14ac:dyDescent="0.2">
      <c r="GI1284" s="422"/>
    </row>
    <row r="1285" spans="191:191" x14ac:dyDescent="0.2">
      <c r="GI1285" s="422"/>
    </row>
    <row r="1286" spans="191:191" x14ac:dyDescent="0.2">
      <c r="GI1286" s="422"/>
    </row>
    <row r="1287" spans="191:191" x14ac:dyDescent="0.2">
      <c r="GI1287" s="422"/>
    </row>
    <row r="1288" spans="191:191" x14ac:dyDescent="0.2">
      <c r="GI1288" s="422"/>
    </row>
    <row r="1289" spans="191:191" x14ac:dyDescent="0.2">
      <c r="GI1289" s="422"/>
    </row>
    <row r="1290" spans="191:191" x14ac:dyDescent="0.2">
      <c r="GI1290" s="422"/>
    </row>
    <row r="1291" spans="191:191" x14ac:dyDescent="0.2">
      <c r="GI1291" s="422"/>
    </row>
    <row r="1292" spans="191:191" x14ac:dyDescent="0.2">
      <c r="GI1292" s="422"/>
    </row>
    <row r="1293" spans="191:191" x14ac:dyDescent="0.2">
      <c r="GI1293" s="422"/>
    </row>
    <row r="1294" spans="191:191" x14ac:dyDescent="0.2">
      <c r="GI1294" s="422"/>
    </row>
    <row r="1295" spans="191:191" x14ac:dyDescent="0.2">
      <c r="GI1295" s="422"/>
    </row>
    <row r="1296" spans="191:191" x14ac:dyDescent="0.2">
      <c r="GI1296" s="422"/>
    </row>
    <row r="1297" spans="191:191" x14ac:dyDescent="0.2">
      <c r="GI1297" s="422"/>
    </row>
    <row r="1298" spans="191:191" x14ac:dyDescent="0.2">
      <c r="GI1298" s="422"/>
    </row>
    <row r="1299" spans="191:191" x14ac:dyDescent="0.2">
      <c r="GI1299" s="422"/>
    </row>
    <row r="1300" spans="191:191" x14ac:dyDescent="0.2">
      <c r="GI1300" s="422"/>
    </row>
    <row r="1301" spans="191:191" x14ac:dyDescent="0.2">
      <c r="GI1301" s="422"/>
    </row>
    <row r="1302" spans="191:191" x14ac:dyDescent="0.2">
      <c r="GI1302" s="422"/>
    </row>
    <row r="1303" spans="191:191" x14ac:dyDescent="0.2">
      <c r="GI1303" s="422"/>
    </row>
    <row r="1304" spans="191:191" x14ac:dyDescent="0.2">
      <c r="GI1304" s="422"/>
    </row>
    <row r="1305" spans="191:191" x14ac:dyDescent="0.2">
      <c r="GI1305" s="422"/>
    </row>
    <row r="1306" spans="191:191" x14ac:dyDescent="0.2">
      <c r="GI1306" s="422"/>
    </row>
    <row r="1307" spans="191:191" x14ac:dyDescent="0.2">
      <c r="GI1307" s="422"/>
    </row>
    <row r="1308" spans="191:191" x14ac:dyDescent="0.2">
      <c r="GI1308" s="422"/>
    </row>
    <row r="1309" spans="191:191" x14ac:dyDescent="0.2">
      <c r="GI1309" s="422"/>
    </row>
    <row r="1310" spans="191:191" x14ac:dyDescent="0.2">
      <c r="GI1310" s="422"/>
    </row>
    <row r="1311" spans="191:191" x14ac:dyDescent="0.2">
      <c r="GI1311" s="422"/>
    </row>
    <row r="1312" spans="191:191" x14ac:dyDescent="0.2">
      <c r="GI1312" s="422"/>
    </row>
    <row r="1313" spans="191:191" x14ac:dyDescent="0.2">
      <c r="GI1313" s="422"/>
    </row>
    <row r="1314" spans="191:191" x14ac:dyDescent="0.2">
      <c r="GI1314" s="422"/>
    </row>
    <row r="1315" spans="191:191" x14ac:dyDescent="0.2">
      <c r="GI1315" s="422"/>
    </row>
    <row r="1316" spans="191:191" x14ac:dyDescent="0.2">
      <c r="GI1316" s="422"/>
    </row>
    <row r="1317" spans="191:191" x14ac:dyDescent="0.2">
      <c r="GI1317" s="422"/>
    </row>
    <row r="1318" spans="191:191" x14ac:dyDescent="0.2">
      <c r="GI1318" s="422"/>
    </row>
    <row r="1319" spans="191:191" x14ac:dyDescent="0.2">
      <c r="GI1319" s="422"/>
    </row>
    <row r="1320" spans="191:191" x14ac:dyDescent="0.2">
      <c r="GI1320" s="422"/>
    </row>
    <row r="1321" spans="191:191" x14ac:dyDescent="0.2">
      <c r="GI1321" s="422"/>
    </row>
    <row r="1322" spans="191:191" x14ac:dyDescent="0.2">
      <c r="GI1322" s="422"/>
    </row>
    <row r="1323" spans="191:191" x14ac:dyDescent="0.2">
      <c r="GI1323" s="422"/>
    </row>
    <row r="1324" spans="191:191" x14ac:dyDescent="0.2">
      <c r="GI1324" s="422"/>
    </row>
    <row r="1325" spans="191:191" x14ac:dyDescent="0.2">
      <c r="GI1325" s="422"/>
    </row>
    <row r="1326" spans="191:191" x14ac:dyDescent="0.2">
      <c r="GI1326" s="422"/>
    </row>
    <row r="1327" spans="191:191" x14ac:dyDescent="0.2">
      <c r="GI1327" s="422"/>
    </row>
    <row r="1328" spans="191:191" x14ac:dyDescent="0.2">
      <c r="GI1328" s="422"/>
    </row>
    <row r="1329" spans="191:191" x14ac:dyDescent="0.2">
      <c r="GI1329" s="422"/>
    </row>
    <row r="1330" spans="191:191" x14ac:dyDescent="0.2">
      <c r="GI1330" s="422"/>
    </row>
    <row r="1331" spans="191:191" x14ac:dyDescent="0.2">
      <c r="GI1331" s="422"/>
    </row>
    <row r="1332" spans="191:191" x14ac:dyDescent="0.2">
      <c r="GI1332" s="422"/>
    </row>
    <row r="1333" spans="191:191" x14ac:dyDescent="0.2">
      <c r="GI1333" s="422"/>
    </row>
    <row r="1334" spans="191:191" x14ac:dyDescent="0.2">
      <c r="GI1334" s="422"/>
    </row>
    <row r="1335" spans="191:191" x14ac:dyDescent="0.2">
      <c r="GI1335" s="422"/>
    </row>
    <row r="1336" spans="191:191" x14ac:dyDescent="0.2">
      <c r="GI1336" s="422"/>
    </row>
    <row r="1337" spans="191:191" x14ac:dyDescent="0.2">
      <c r="GI1337" s="422"/>
    </row>
    <row r="1338" spans="191:191" x14ac:dyDescent="0.2">
      <c r="GI1338" s="422"/>
    </row>
    <row r="1339" spans="191:191" x14ac:dyDescent="0.2">
      <c r="GI1339" s="422"/>
    </row>
    <row r="1340" spans="191:191" x14ac:dyDescent="0.2">
      <c r="GI1340" s="422"/>
    </row>
    <row r="1341" spans="191:191" x14ac:dyDescent="0.2">
      <c r="GI1341" s="422"/>
    </row>
    <row r="1342" spans="191:191" x14ac:dyDescent="0.2">
      <c r="GI1342" s="422"/>
    </row>
    <row r="1343" spans="191:191" x14ac:dyDescent="0.2">
      <c r="GI1343" s="422"/>
    </row>
    <row r="1344" spans="191:191" x14ac:dyDescent="0.2">
      <c r="GI1344" s="422"/>
    </row>
    <row r="1345" spans="191:191" x14ac:dyDescent="0.2">
      <c r="GI1345" s="422"/>
    </row>
    <row r="1346" spans="191:191" x14ac:dyDescent="0.2">
      <c r="GI1346" s="422"/>
    </row>
    <row r="1347" spans="191:191" x14ac:dyDescent="0.2">
      <c r="GI1347" s="422"/>
    </row>
    <row r="1348" spans="191:191" x14ac:dyDescent="0.2">
      <c r="GI1348" s="422"/>
    </row>
    <row r="1349" spans="191:191" x14ac:dyDescent="0.2">
      <c r="GI1349" s="422"/>
    </row>
    <row r="1350" spans="191:191" x14ac:dyDescent="0.2">
      <c r="GI1350" s="422"/>
    </row>
    <row r="1351" spans="191:191" x14ac:dyDescent="0.2">
      <c r="GI1351" s="422"/>
    </row>
    <row r="1352" spans="191:191" x14ac:dyDescent="0.2">
      <c r="GI1352" s="422"/>
    </row>
    <row r="1353" spans="191:191" x14ac:dyDescent="0.2">
      <c r="GI1353" s="422"/>
    </row>
    <row r="1354" spans="191:191" x14ac:dyDescent="0.2">
      <c r="GI1354" s="422"/>
    </row>
    <row r="1355" spans="191:191" x14ac:dyDescent="0.2">
      <c r="GI1355" s="422"/>
    </row>
    <row r="1356" spans="191:191" x14ac:dyDescent="0.2">
      <c r="GI1356" s="422"/>
    </row>
    <row r="1357" spans="191:191" x14ac:dyDescent="0.2">
      <c r="GI1357" s="422"/>
    </row>
    <row r="1358" spans="191:191" x14ac:dyDescent="0.2">
      <c r="GI1358" s="422"/>
    </row>
    <row r="1359" spans="191:191" x14ac:dyDescent="0.2">
      <c r="GI1359" s="422"/>
    </row>
    <row r="1360" spans="191:191" x14ac:dyDescent="0.2">
      <c r="GI1360" s="422"/>
    </row>
    <row r="1361" spans="191:191" x14ac:dyDescent="0.2">
      <c r="GI1361" s="422"/>
    </row>
    <row r="1362" spans="191:191" x14ac:dyDescent="0.2">
      <c r="GI1362" s="422"/>
    </row>
    <row r="1363" spans="191:191" x14ac:dyDescent="0.2">
      <c r="GI1363" s="422"/>
    </row>
    <row r="1364" spans="191:191" x14ac:dyDescent="0.2">
      <c r="GI1364" s="422"/>
    </row>
    <row r="1365" spans="191:191" x14ac:dyDescent="0.2">
      <c r="GI1365" s="422"/>
    </row>
    <row r="1366" spans="191:191" x14ac:dyDescent="0.2">
      <c r="GI1366" s="422"/>
    </row>
    <row r="1367" spans="191:191" x14ac:dyDescent="0.2">
      <c r="GI1367" s="422"/>
    </row>
    <row r="1368" spans="191:191" x14ac:dyDescent="0.2">
      <c r="GI1368" s="422"/>
    </row>
    <row r="1369" spans="191:191" x14ac:dyDescent="0.2">
      <c r="GI1369" s="422"/>
    </row>
    <row r="1370" spans="191:191" x14ac:dyDescent="0.2">
      <c r="GI1370" s="422"/>
    </row>
    <row r="1371" spans="191:191" x14ac:dyDescent="0.2">
      <c r="GI1371" s="422"/>
    </row>
    <row r="1372" spans="191:191" x14ac:dyDescent="0.2">
      <c r="GI1372" s="422"/>
    </row>
    <row r="1373" spans="191:191" x14ac:dyDescent="0.2">
      <c r="GI1373" s="422"/>
    </row>
    <row r="1374" spans="191:191" x14ac:dyDescent="0.2">
      <c r="GI1374" s="422"/>
    </row>
    <row r="1375" spans="191:191" x14ac:dyDescent="0.2">
      <c r="GI1375" s="422"/>
    </row>
    <row r="1376" spans="191:191" x14ac:dyDescent="0.2">
      <c r="GI1376" s="422"/>
    </row>
    <row r="1377" spans="191:191" x14ac:dyDescent="0.2">
      <c r="GI1377" s="422"/>
    </row>
    <row r="1378" spans="191:191" x14ac:dyDescent="0.2">
      <c r="GI1378" s="422"/>
    </row>
    <row r="1379" spans="191:191" x14ac:dyDescent="0.2">
      <c r="GI1379" s="422"/>
    </row>
    <row r="1380" spans="191:191" x14ac:dyDescent="0.2">
      <c r="GI1380" s="422"/>
    </row>
    <row r="1381" spans="191:191" x14ac:dyDescent="0.2">
      <c r="GI1381" s="422"/>
    </row>
    <row r="1382" spans="191:191" x14ac:dyDescent="0.2">
      <c r="GI1382" s="422"/>
    </row>
    <row r="1383" spans="191:191" x14ac:dyDescent="0.2">
      <c r="GI1383" s="422"/>
    </row>
    <row r="1384" spans="191:191" x14ac:dyDescent="0.2">
      <c r="GI1384" s="422"/>
    </row>
    <row r="1385" spans="191:191" x14ac:dyDescent="0.2">
      <c r="GI1385" s="422"/>
    </row>
    <row r="1386" spans="191:191" x14ac:dyDescent="0.2">
      <c r="GI1386" s="422"/>
    </row>
    <row r="1387" spans="191:191" x14ac:dyDescent="0.2">
      <c r="GI1387" s="422"/>
    </row>
    <row r="1388" spans="191:191" x14ac:dyDescent="0.2">
      <c r="GI1388" s="422"/>
    </row>
    <row r="1389" spans="191:191" x14ac:dyDescent="0.2">
      <c r="GI1389" s="422"/>
    </row>
    <row r="1390" spans="191:191" x14ac:dyDescent="0.2">
      <c r="GI1390" s="422"/>
    </row>
    <row r="1391" spans="191:191" x14ac:dyDescent="0.2">
      <c r="GI1391" s="422"/>
    </row>
    <row r="1392" spans="191:191" x14ac:dyDescent="0.2">
      <c r="GI1392" s="422"/>
    </row>
    <row r="1393" spans="191:191" x14ac:dyDescent="0.2">
      <c r="GI1393" s="422"/>
    </row>
    <row r="1394" spans="191:191" x14ac:dyDescent="0.2">
      <c r="GI1394" s="422"/>
    </row>
    <row r="1395" spans="191:191" x14ac:dyDescent="0.2">
      <c r="GI1395" s="422"/>
    </row>
    <row r="1396" spans="191:191" x14ac:dyDescent="0.2">
      <c r="GI1396" s="422"/>
    </row>
    <row r="1397" spans="191:191" x14ac:dyDescent="0.2">
      <c r="GI1397" s="422"/>
    </row>
    <row r="1398" spans="191:191" x14ac:dyDescent="0.2">
      <c r="GI1398" s="422"/>
    </row>
    <row r="1399" spans="191:191" x14ac:dyDescent="0.2">
      <c r="GI1399" s="422"/>
    </row>
    <row r="1400" spans="191:191" x14ac:dyDescent="0.2">
      <c r="GI1400" s="422"/>
    </row>
    <row r="1401" spans="191:191" x14ac:dyDescent="0.2">
      <c r="GI1401" s="422"/>
    </row>
    <row r="1402" spans="191:191" x14ac:dyDescent="0.2">
      <c r="GI1402" s="422"/>
    </row>
    <row r="1403" spans="191:191" x14ac:dyDescent="0.2">
      <c r="GI1403" s="422"/>
    </row>
    <row r="1404" spans="191:191" x14ac:dyDescent="0.2">
      <c r="GI1404" s="422"/>
    </row>
    <row r="1405" spans="191:191" x14ac:dyDescent="0.2">
      <c r="GI1405" s="422"/>
    </row>
    <row r="1406" spans="191:191" x14ac:dyDescent="0.2">
      <c r="GI1406" s="422"/>
    </row>
    <row r="1407" spans="191:191" x14ac:dyDescent="0.2">
      <c r="GI1407" s="422"/>
    </row>
    <row r="1408" spans="191:191" x14ac:dyDescent="0.2">
      <c r="GI1408" s="422"/>
    </row>
    <row r="1409" spans="191:191" x14ac:dyDescent="0.2">
      <c r="GI1409" s="422"/>
    </row>
    <row r="1410" spans="191:191" x14ac:dyDescent="0.2">
      <c r="GI1410" s="422"/>
    </row>
    <row r="1411" spans="191:191" x14ac:dyDescent="0.2">
      <c r="GI1411" s="422"/>
    </row>
    <row r="1412" spans="191:191" x14ac:dyDescent="0.2">
      <c r="GI1412" s="422"/>
    </row>
    <row r="1413" spans="191:191" x14ac:dyDescent="0.2">
      <c r="GI1413" s="422"/>
    </row>
    <row r="1414" spans="191:191" x14ac:dyDescent="0.2">
      <c r="GI1414" s="422"/>
    </row>
    <row r="1415" spans="191:191" x14ac:dyDescent="0.2">
      <c r="GI1415" s="422"/>
    </row>
    <row r="1416" spans="191:191" x14ac:dyDescent="0.2">
      <c r="GI1416" s="422"/>
    </row>
    <row r="1417" spans="191:191" x14ac:dyDescent="0.2">
      <c r="GI1417" s="422"/>
    </row>
    <row r="1418" spans="191:191" x14ac:dyDescent="0.2">
      <c r="GI1418" s="422"/>
    </row>
    <row r="1419" spans="191:191" x14ac:dyDescent="0.2">
      <c r="GI1419" s="422"/>
    </row>
    <row r="1420" spans="191:191" x14ac:dyDescent="0.2">
      <c r="GI1420" s="422"/>
    </row>
    <row r="1421" spans="191:191" x14ac:dyDescent="0.2">
      <c r="GI1421" s="422"/>
    </row>
    <row r="1422" spans="191:191" x14ac:dyDescent="0.2">
      <c r="GI1422" s="422"/>
    </row>
    <row r="1423" spans="191:191" x14ac:dyDescent="0.2">
      <c r="GI1423" s="422"/>
    </row>
    <row r="1424" spans="191:191" x14ac:dyDescent="0.2">
      <c r="GI1424" s="422"/>
    </row>
    <row r="1425" spans="191:191" x14ac:dyDescent="0.2">
      <c r="GI1425" s="422"/>
    </row>
    <row r="1426" spans="191:191" x14ac:dyDescent="0.2">
      <c r="GI1426" s="422"/>
    </row>
    <row r="1427" spans="191:191" x14ac:dyDescent="0.2">
      <c r="GI1427" s="422"/>
    </row>
    <row r="1428" spans="191:191" x14ac:dyDescent="0.2">
      <c r="GI1428" s="422"/>
    </row>
    <row r="1429" spans="191:191" x14ac:dyDescent="0.2">
      <c r="GI1429" s="422"/>
    </row>
    <row r="1430" spans="191:191" x14ac:dyDescent="0.2">
      <c r="GI1430" s="422"/>
    </row>
    <row r="1431" spans="191:191" x14ac:dyDescent="0.2">
      <c r="GI1431" s="422"/>
    </row>
    <row r="1432" spans="191:191" x14ac:dyDescent="0.2">
      <c r="GI1432" s="422"/>
    </row>
    <row r="1433" spans="191:191" x14ac:dyDescent="0.2">
      <c r="GI1433" s="422"/>
    </row>
    <row r="1434" spans="191:191" x14ac:dyDescent="0.2">
      <c r="GI1434" s="422"/>
    </row>
    <row r="1435" spans="191:191" x14ac:dyDescent="0.2">
      <c r="GI1435" s="422"/>
    </row>
    <row r="1436" spans="191:191" x14ac:dyDescent="0.2">
      <c r="GI1436" s="422"/>
    </row>
    <row r="1437" spans="191:191" x14ac:dyDescent="0.2">
      <c r="GI1437" s="422"/>
    </row>
    <row r="1438" spans="191:191" x14ac:dyDescent="0.2">
      <c r="GI1438" s="422"/>
    </row>
    <row r="1439" spans="191:191" x14ac:dyDescent="0.2">
      <c r="GI1439" s="422"/>
    </row>
    <row r="1440" spans="191:191" x14ac:dyDescent="0.2">
      <c r="GI1440" s="422"/>
    </row>
    <row r="1441" spans="191:191" x14ac:dyDescent="0.2">
      <c r="GI1441" s="422"/>
    </row>
    <row r="1442" spans="191:191" x14ac:dyDescent="0.2">
      <c r="GI1442" s="422"/>
    </row>
    <row r="1443" spans="191:191" x14ac:dyDescent="0.2">
      <c r="GI1443" s="422"/>
    </row>
    <row r="1444" spans="191:191" x14ac:dyDescent="0.2">
      <c r="GI1444" s="422"/>
    </row>
    <row r="1445" spans="191:191" x14ac:dyDescent="0.2">
      <c r="GI1445" s="422"/>
    </row>
    <row r="1446" spans="191:191" x14ac:dyDescent="0.2">
      <c r="GI1446" s="422"/>
    </row>
    <row r="1447" spans="191:191" x14ac:dyDescent="0.2">
      <c r="GI1447" s="422"/>
    </row>
    <row r="1448" spans="191:191" x14ac:dyDescent="0.2">
      <c r="GI1448" s="422"/>
    </row>
    <row r="1449" spans="191:191" x14ac:dyDescent="0.2">
      <c r="GI1449" s="422"/>
    </row>
    <row r="1450" spans="191:191" x14ac:dyDescent="0.2">
      <c r="GI1450" s="422"/>
    </row>
    <row r="1451" spans="191:191" x14ac:dyDescent="0.2">
      <c r="GI1451" s="422"/>
    </row>
    <row r="1452" spans="191:191" x14ac:dyDescent="0.2">
      <c r="GI1452" s="422"/>
    </row>
    <row r="1453" spans="191:191" x14ac:dyDescent="0.2">
      <c r="GI1453" s="422"/>
    </row>
    <row r="1454" spans="191:191" x14ac:dyDescent="0.2">
      <c r="GI1454" s="422"/>
    </row>
    <row r="1455" spans="191:191" x14ac:dyDescent="0.2">
      <c r="GI1455" s="422"/>
    </row>
    <row r="1456" spans="191:191" x14ac:dyDescent="0.2">
      <c r="GI1456" s="422"/>
    </row>
    <row r="1457" spans="191:191" x14ac:dyDescent="0.2">
      <c r="GI1457" s="422"/>
    </row>
    <row r="1458" spans="191:191" x14ac:dyDescent="0.2">
      <c r="GI1458" s="422"/>
    </row>
    <row r="1459" spans="191:191" x14ac:dyDescent="0.2">
      <c r="GI1459" s="422"/>
    </row>
    <row r="1460" spans="191:191" x14ac:dyDescent="0.2">
      <c r="GI1460" s="422"/>
    </row>
    <row r="1461" spans="191:191" x14ac:dyDescent="0.2">
      <c r="GI1461" s="422"/>
    </row>
    <row r="1462" spans="191:191" x14ac:dyDescent="0.2">
      <c r="GI1462" s="422"/>
    </row>
    <row r="1463" spans="191:191" x14ac:dyDescent="0.2">
      <c r="GI1463" s="422"/>
    </row>
    <row r="1464" spans="191:191" x14ac:dyDescent="0.2">
      <c r="GI1464" s="422"/>
    </row>
    <row r="1465" spans="191:191" x14ac:dyDescent="0.2">
      <c r="GI1465" s="422"/>
    </row>
    <row r="1466" spans="191:191" x14ac:dyDescent="0.2">
      <c r="GI1466" s="422"/>
    </row>
    <row r="1467" spans="191:191" x14ac:dyDescent="0.2">
      <c r="GI1467" s="422"/>
    </row>
    <row r="1468" spans="191:191" x14ac:dyDescent="0.2">
      <c r="GI1468" s="422"/>
    </row>
    <row r="1469" spans="191:191" x14ac:dyDescent="0.2">
      <c r="GI1469" s="422"/>
    </row>
    <row r="1470" spans="191:191" x14ac:dyDescent="0.2">
      <c r="GI1470" s="422"/>
    </row>
    <row r="1471" spans="191:191" x14ac:dyDescent="0.2">
      <c r="GI1471" s="422"/>
    </row>
    <row r="1472" spans="191:191" x14ac:dyDescent="0.2">
      <c r="GI1472" s="422"/>
    </row>
    <row r="1473" spans="191:191" x14ac:dyDescent="0.2">
      <c r="GI1473" s="422"/>
    </row>
    <row r="1474" spans="191:191" x14ac:dyDescent="0.2">
      <c r="GI1474" s="422"/>
    </row>
    <row r="1475" spans="191:191" x14ac:dyDescent="0.2">
      <c r="GI1475" s="422"/>
    </row>
    <row r="1476" spans="191:191" x14ac:dyDescent="0.2">
      <c r="GI1476" s="422"/>
    </row>
    <row r="1477" spans="191:191" x14ac:dyDescent="0.2">
      <c r="GI1477" s="422"/>
    </row>
    <row r="1478" spans="191:191" x14ac:dyDescent="0.2">
      <c r="GI1478" s="422"/>
    </row>
    <row r="1479" spans="191:191" x14ac:dyDescent="0.2">
      <c r="GI1479" s="422"/>
    </row>
    <row r="1480" spans="191:191" x14ac:dyDescent="0.2">
      <c r="GI1480" s="422"/>
    </row>
    <row r="1481" spans="191:191" x14ac:dyDescent="0.2">
      <c r="GI1481" s="422"/>
    </row>
    <row r="1482" spans="191:191" x14ac:dyDescent="0.2">
      <c r="GI1482" s="422"/>
    </row>
    <row r="1483" spans="191:191" x14ac:dyDescent="0.2">
      <c r="GI1483" s="422"/>
    </row>
    <row r="1484" spans="191:191" x14ac:dyDescent="0.2">
      <c r="GI1484" s="422"/>
    </row>
    <row r="1485" spans="191:191" x14ac:dyDescent="0.2">
      <c r="GI1485" s="422"/>
    </row>
    <row r="1486" spans="191:191" x14ac:dyDescent="0.2">
      <c r="GI1486" s="422"/>
    </row>
    <row r="1487" spans="191:191" x14ac:dyDescent="0.2">
      <c r="GI1487" s="422"/>
    </row>
    <row r="1488" spans="191:191" x14ac:dyDescent="0.2">
      <c r="GI1488" s="422"/>
    </row>
    <row r="1489" spans="191:191" x14ac:dyDescent="0.2">
      <c r="GI1489" s="422"/>
    </row>
    <row r="1490" spans="191:191" x14ac:dyDescent="0.2">
      <c r="GI1490" s="422"/>
    </row>
    <row r="1491" spans="191:191" x14ac:dyDescent="0.2">
      <c r="GI1491" s="422"/>
    </row>
    <row r="1492" spans="191:191" x14ac:dyDescent="0.2">
      <c r="GI1492" s="422"/>
    </row>
    <row r="1493" spans="191:191" x14ac:dyDescent="0.2">
      <c r="GI1493" s="422"/>
    </row>
    <row r="1494" spans="191:191" x14ac:dyDescent="0.2">
      <c r="GI1494" s="422"/>
    </row>
    <row r="1495" spans="191:191" x14ac:dyDescent="0.2">
      <c r="GI1495" s="422"/>
    </row>
    <row r="1496" spans="191:191" x14ac:dyDescent="0.2">
      <c r="GI1496" s="422"/>
    </row>
    <row r="1497" spans="191:191" x14ac:dyDescent="0.2">
      <c r="GI1497" s="422"/>
    </row>
    <row r="1498" spans="191:191" x14ac:dyDescent="0.2">
      <c r="GI1498" s="422"/>
    </row>
    <row r="1499" spans="191:191" x14ac:dyDescent="0.2">
      <c r="GI1499" s="422"/>
    </row>
    <row r="1500" spans="191:191" x14ac:dyDescent="0.2">
      <c r="GI1500" s="422"/>
    </row>
    <row r="1501" spans="191:191" x14ac:dyDescent="0.2">
      <c r="GI1501" s="422"/>
    </row>
    <row r="1502" spans="191:191" x14ac:dyDescent="0.2">
      <c r="GI1502" s="422"/>
    </row>
    <row r="1503" spans="191:191" x14ac:dyDescent="0.2">
      <c r="GI1503" s="422"/>
    </row>
    <row r="1504" spans="191:191" x14ac:dyDescent="0.2">
      <c r="GI1504" s="422"/>
    </row>
    <row r="1505" spans="191:191" x14ac:dyDescent="0.2">
      <c r="GI1505" s="422"/>
    </row>
    <row r="1506" spans="191:191" x14ac:dyDescent="0.2">
      <c r="GI1506" s="422"/>
    </row>
    <row r="1507" spans="191:191" x14ac:dyDescent="0.2">
      <c r="GI1507" s="422"/>
    </row>
    <row r="1508" spans="191:191" x14ac:dyDescent="0.2">
      <c r="GI1508" s="422"/>
    </row>
    <row r="1509" spans="191:191" x14ac:dyDescent="0.2">
      <c r="GI1509" s="422"/>
    </row>
    <row r="1510" spans="191:191" x14ac:dyDescent="0.2">
      <c r="GI1510" s="422"/>
    </row>
    <row r="1511" spans="191:191" x14ac:dyDescent="0.2">
      <c r="GI1511" s="422"/>
    </row>
    <row r="1512" spans="191:191" x14ac:dyDescent="0.2">
      <c r="GI1512" s="422"/>
    </row>
    <row r="1513" spans="191:191" x14ac:dyDescent="0.2">
      <c r="GI1513" s="422"/>
    </row>
    <row r="1514" spans="191:191" x14ac:dyDescent="0.2">
      <c r="GI1514" s="422"/>
    </row>
    <row r="1515" spans="191:191" x14ac:dyDescent="0.2">
      <c r="GI1515" s="422"/>
    </row>
    <row r="1516" spans="191:191" x14ac:dyDescent="0.2">
      <c r="GI1516" s="422"/>
    </row>
    <row r="1517" spans="191:191" x14ac:dyDescent="0.2">
      <c r="GI1517" s="422"/>
    </row>
    <row r="1518" spans="191:191" x14ac:dyDescent="0.2">
      <c r="GI1518" s="422"/>
    </row>
    <row r="1519" spans="191:191" x14ac:dyDescent="0.2">
      <c r="GI1519" s="422"/>
    </row>
    <row r="1520" spans="191:191" x14ac:dyDescent="0.2">
      <c r="GI1520" s="422"/>
    </row>
    <row r="1521" spans="191:191" x14ac:dyDescent="0.2">
      <c r="GI1521" s="422"/>
    </row>
    <row r="1522" spans="191:191" x14ac:dyDescent="0.2">
      <c r="GI1522" s="422"/>
    </row>
    <row r="1523" spans="191:191" x14ac:dyDescent="0.2">
      <c r="GI1523" s="422"/>
    </row>
    <row r="1524" spans="191:191" x14ac:dyDescent="0.2">
      <c r="GI1524" s="422"/>
    </row>
    <row r="1525" spans="191:191" x14ac:dyDescent="0.2">
      <c r="GI1525" s="422"/>
    </row>
    <row r="1526" spans="191:191" x14ac:dyDescent="0.2">
      <c r="GI1526" s="422"/>
    </row>
    <row r="1527" spans="191:191" x14ac:dyDescent="0.2">
      <c r="GI1527" s="422"/>
    </row>
    <row r="1528" spans="191:191" x14ac:dyDescent="0.2">
      <c r="GI1528" s="422"/>
    </row>
    <row r="1529" spans="191:191" x14ac:dyDescent="0.2">
      <c r="GI1529" s="422"/>
    </row>
    <row r="1530" spans="191:191" x14ac:dyDescent="0.2">
      <c r="GI1530" s="422"/>
    </row>
    <row r="1531" spans="191:191" x14ac:dyDescent="0.2">
      <c r="GI1531" s="422"/>
    </row>
    <row r="1532" spans="191:191" x14ac:dyDescent="0.2">
      <c r="GI1532" s="422"/>
    </row>
    <row r="1533" spans="191:191" x14ac:dyDescent="0.2">
      <c r="GI1533" s="422"/>
    </row>
    <row r="1534" spans="191:191" x14ac:dyDescent="0.2">
      <c r="GI1534" s="422"/>
    </row>
    <row r="1535" spans="191:191" x14ac:dyDescent="0.2">
      <c r="GI1535" s="422"/>
    </row>
    <row r="1536" spans="191:191" x14ac:dyDescent="0.2">
      <c r="GI1536" s="422"/>
    </row>
    <row r="1537" spans="191:191" x14ac:dyDescent="0.2">
      <c r="GI1537" s="422"/>
    </row>
    <row r="1538" spans="191:191" x14ac:dyDescent="0.2">
      <c r="GI1538" s="422"/>
    </row>
    <row r="1539" spans="191:191" x14ac:dyDescent="0.2">
      <c r="GI1539" s="422"/>
    </row>
    <row r="1540" spans="191:191" x14ac:dyDescent="0.2">
      <c r="GI1540" s="422"/>
    </row>
    <row r="1541" spans="191:191" x14ac:dyDescent="0.2">
      <c r="GI1541" s="422"/>
    </row>
    <row r="1542" spans="191:191" x14ac:dyDescent="0.2">
      <c r="GI1542" s="422"/>
    </row>
    <row r="1543" spans="191:191" x14ac:dyDescent="0.2">
      <c r="GI1543" s="422"/>
    </row>
    <row r="1544" spans="191:191" x14ac:dyDescent="0.2">
      <c r="GI1544" s="422"/>
    </row>
    <row r="1545" spans="191:191" x14ac:dyDescent="0.2">
      <c r="GI1545" s="422"/>
    </row>
    <row r="1546" spans="191:191" x14ac:dyDescent="0.2">
      <c r="GI1546" s="422"/>
    </row>
    <row r="1547" spans="191:191" x14ac:dyDescent="0.2">
      <c r="GI1547" s="422"/>
    </row>
    <row r="1548" spans="191:191" x14ac:dyDescent="0.2">
      <c r="GI1548" s="422"/>
    </row>
    <row r="1549" spans="191:191" x14ac:dyDescent="0.2">
      <c r="GI1549" s="422"/>
    </row>
    <row r="1550" spans="191:191" x14ac:dyDescent="0.2">
      <c r="GI1550" s="422"/>
    </row>
    <row r="1551" spans="191:191" x14ac:dyDescent="0.2">
      <c r="GI1551" s="422"/>
    </row>
    <row r="1552" spans="191:191" x14ac:dyDescent="0.2">
      <c r="GI1552" s="422"/>
    </row>
    <row r="1553" spans="191:191" x14ac:dyDescent="0.2">
      <c r="GI1553" s="422"/>
    </row>
    <row r="1554" spans="191:191" x14ac:dyDescent="0.2">
      <c r="GI1554" s="422"/>
    </row>
    <row r="1555" spans="191:191" x14ac:dyDescent="0.2">
      <c r="GI1555" s="422"/>
    </row>
    <row r="1556" spans="191:191" x14ac:dyDescent="0.2">
      <c r="GI1556" s="422"/>
    </row>
    <row r="1557" spans="191:191" x14ac:dyDescent="0.2">
      <c r="GI1557" s="422"/>
    </row>
    <row r="1558" spans="191:191" x14ac:dyDescent="0.2">
      <c r="GI1558" s="422"/>
    </row>
    <row r="1559" spans="191:191" x14ac:dyDescent="0.2">
      <c r="GI1559" s="422"/>
    </row>
    <row r="1560" spans="191:191" x14ac:dyDescent="0.2">
      <c r="GI1560" s="422"/>
    </row>
    <row r="1561" spans="191:191" x14ac:dyDescent="0.2">
      <c r="GI1561" s="422"/>
    </row>
    <row r="1562" spans="191:191" x14ac:dyDescent="0.2">
      <c r="GI1562" s="422"/>
    </row>
    <row r="1563" spans="191:191" x14ac:dyDescent="0.2">
      <c r="GI1563" s="422"/>
    </row>
    <row r="1564" spans="191:191" x14ac:dyDescent="0.2">
      <c r="GI1564" s="422"/>
    </row>
    <row r="1565" spans="191:191" x14ac:dyDescent="0.2">
      <c r="GI1565" s="422"/>
    </row>
    <row r="1566" spans="191:191" x14ac:dyDescent="0.2">
      <c r="GI1566" s="422"/>
    </row>
    <row r="1567" spans="191:191" x14ac:dyDescent="0.2">
      <c r="GI1567" s="422"/>
    </row>
    <row r="1568" spans="191:191" x14ac:dyDescent="0.2">
      <c r="GI1568" s="422"/>
    </row>
    <row r="1569" spans="191:191" x14ac:dyDescent="0.2">
      <c r="GI1569" s="422"/>
    </row>
    <row r="1570" spans="191:191" x14ac:dyDescent="0.2">
      <c r="GI1570" s="422"/>
    </row>
    <row r="1571" spans="191:191" x14ac:dyDescent="0.2">
      <c r="GI1571" s="422"/>
    </row>
    <row r="1572" spans="191:191" x14ac:dyDescent="0.2">
      <c r="GI1572" s="422"/>
    </row>
    <row r="1573" spans="191:191" x14ac:dyDescent="0.2">
      <c r="GI1573" s="422"/>
    </row>
    <row r="1574" spans="191:191" x14ac:dyDescent="0.2">
      <c r="GI1574" s="422"/>
    </row>
    <row r="1575" spans="191:191" x14ac:dyDescent="0.2">
      <c r="GI1575" s="422"/>
    </row>
    <row r="1576" spans="191:191" x14ac:dyDescent="0.2">
      <c r="GI1576" s="422"/>
    </row>
    <row r="1577" spans="191:191" x14ac:dyDescent="0.2">
      <c r="GI1577" s="422"/>
    </row>
    <row r="1578" spans="191:191" x14ac:dyDescent="0.2">
      <c r="GI1578" s="422"/>
    </row>
    <row r="1579" spans="191:191" x14ac:dyDescent="0.2">
      <c r="GI1579" s="422"/>
    </row>
    <row r="1580" spans="191:191" x14ac:dyDescent="0.2">
      <c r="GI1580" s="422"/>
    </row>
    <row r="1581" spans="191:191" x14ac:dyDescent="0.2">
      <c r="GI1581" s="422"/>
    </row>
    <row r="1582" spans="191:191" x14ac:dyDescent="0.2">
      <c r="GI1582" s="422"/>
    </row>
    <row r="1583" spans="191:191" x14ac:dyDescent="0.2">
      <c r="GI1583" s="422"/>
    </row>
    <row r="1584" spans="191:191" x14ac:dyDescent="0.2">
      <c r="GI1584" s="422"/>
    </row>
    <row r="1585" spans="191:191" x14ac:dyDescent="0.2">
      <c r="GI1585" s="422"/>
    </row>
    <row r="1586" spans="191:191" x14ac:dyDescent="0.2">
      <c r="GI1586" s="422"/>
    </row>
    <row r="1587" spans="191:191" x14ac:dyDescent="0.2">
      <c r="GI1587" s="422"/>
    </row>
    <row r="1588" spans="191:191" x14ac:dyDescent="0.2">
      <c r="GI1588" s="422"/>
    </row>
    <row r="1589" spans="191:191" x14ac:dyDescent="0.2">
      <c r="GI1589" s="422"/>
    </row>
    <row r="1590" spans="191:191" x14ac:dyDescent="0.2">
      <c r="GI1590" s="422"/>
    </row>
    <row r="1591" spans="191:191" x14ac:dyDescent="0.2">
      <c r="GI1591" s="422"/>
    </row>
    <row r="1592" spans="191:191" x14ac:dyDescent="0.2">
      <c r="GI1592" s="422"/>
    </row>
    <row r="1593" spans="191:191" x14ac:dyDescent="0.2">
      <c r="GI1593" s="422"/>
    </row>
    <row r="1594" spans="191:191" x14ac:dyDescent="0.2">
      <c r="GI1594" s="422"/>
    </row>
    <row r="1595" spans="191:191" x14ac:dyDescent="0.2">
      <c r="GI1595" s="422"/>
    </row>
    <row r="1596" spans="191:191" x14ac:dyDescent="0.2">
      <c r="GI1596" s="422"/>
    </row>
    <row r="1597" spans="191:191" x14ac:dyDescent="0.2">
      <c r="GI1597" s="422"/>
    </row>
    <row r="1598" spans="191:191" x14ac:dyDescent="0.2">
      <c r="GI1598" s="422"/>
    </row>
    <row r="1599" spans="191:191" x14ac:dyDescent="0.2">
      <c r="GI1599" s="422"/>
    </row>
    <row r="1600" spans="191:191" x14ac:dyDescent="0.2">
      <c r="GI1600" s="422"/>
    </row>
    <row r="1601" spans="191:191" x14ac:dyDescent="0.2">
      <c r="GI1601" s="422"/>
    </row>
    <row r="1602" spans="191:191" x14ac:dyDescent="0.2">
      <c r="GI1602" s="422"/>
    </row>
    <row r="1603" spans="191:191" x14ac:dyDescent="0.2">
      <c r="GI1603" s="422"/>
    </row>
    <row r="1604" spans="191:191" x14ac:dyDescent="0.2">
      <c r="GI1604" s="422"/>
    </row>
    <row r="1605" spans="191:191" x14ac:dyDescent="0.2">
      <c r="GI1605" s="422"/>
    </row>
    <row r="1606" spans="191:191" x14ac:dyDescent="0.2">
      <c r="GI1606" s="422"/>
    </row>
    <row r="1607" spans="191:191" x14ac:dyDescent="0.2">
      <c r="GI1607" s="422"/>
    </row>
    <row r="1608" spans="191:191" x14ac:dyDescent="0.2">
      <c r="GI1608" s="422"/>
    </row>
    <row r="1609" spans="191:191" x14ac:dyDescent="0.2">
      <c r="GI1609" s="422"/>
    </row>
    <row r="1610" spans="191:191" x14ac:dyDescent="0.2">
      <c r="GI1610" s="422"/>
    </row>
    <row r="1611" spans="191:191" x14ac:dyDescent="0.2">
      <c r="GI1611" s="422"/>
    </row>
    <row r="1612" spans="191:191" x14ac:dyDescent="0.2">
      <c r="GI1612" s="422"/>
    </row>
    <row r="1613" spans="191:191" x14ac:dyDescent="0.2">
      <c r="GI1613" s="422"/>
    </row>
    <row r="1614" spans="191:191" x14ac:dyDescent="0.2">
      <c r="GI1614" s="422"/>
    </row>
    <row r="1615" spans="191:191" x14ac:dyDescent="0.2">
      <c r="GI1615" s="422"/>
    </row>
    <row r="1616" spans="191:191" x14ac:dyDescent="0.2">
      <c r="GI1616" s="422"/>
    </row>
    <row r="1617" spans="191:191" x14ac:dyDescent="0.2">
      <c r="GI1617" s="422"/>
    </row>
    <row r="1618" spans="191:191" x14ac:dyDescent="0.2">
      <c r="GI1618" s="422"/>
    </row>
    <row r="1619" spans="191:191" x14ac:dyDescent="0.2">
      <c r="GI1619" s="422"/>
    </row>
    <row r="1620" spans="191:191" x14ac:dyDescent="0.2">
      <c r="GI1620" s="422"/>
    </row>
    <row r="1621" spans="191:191" x14ac:dyDescent="0.2">
      <c r="GI1621" s="422"/>
    </row>
    <row r="1622" spans="191:191" x14ac:dyDescent="0.2">
      <c r="GI1622" s="422"/>
    </row>
    <row r="1623" spans="191:191" x14ac:dyDescent="0.2">
      <c r="GI1623" s="422"/>
    </row>
    <row r="1624" spans="191:191" x14ac:dyDescent="0.2">
      <c r="GI1624" s="422"/>
    </row>
    <row r="1625" spans="191:191" x14ac:dyDescent="0.2">
      <c r="GI1625" s="422"/>
    </row>
    <row r="1626" spans="191:191" x14ac:dyDescent="0.2">
      <c r="GI1626" s="422"/>
    </row>
    <row r="1627" spans="191:191" x14ac:dyDescent="0.2">
      <c r="GI1627" s="422"/>
    </row>
    <row r="1628" spans="191:191" x14ac:dyDescent="0.2">
      <c r="GI1628" s="422"/>
    </row>
    <row r="1629" spans="191:191" x14ac:dyDescent="0.2">
      <c r="GI1629" s="422"/>
    </row>
    <row r="1630" spans="191:191" x14ac:dyDescent="0.2">
      <c r="GI1630" s="422"/>
    </row>
    <row r="1631" spans="191:191" x14ac:dyDescent="0.2">
      <c r="GI1631" s="422"/>
    </row>
    <row r="1632" spans="191:191" x14ac:dyDescent="0.2">
      <c r="GI1632" s="422"/>
    </row>
    <row r="1633" spans="191:191" x14ac:dyDescent="0.2">
      <c r="GI1633" s="422"/>
    </row>
    <row r="1634" spans="191:191" x14ac:dyDescent="0.2">
      <c r="GI1634" s="422"/>
    </row>
    <row r="1635" spans="191:191" x14ac:dyDescent="0.2">
      <c r="GI1635" s="422"/>
    </row>
    <row r="1636" spans="191:191" x14ac:dyDescent="0.2">
      <c r="GI1636" s="422"/>
    </row>
    <row r="1637" spans="191:191" x14ac:dyDescent="0.2">
      <c r="GI1637" s="422"/>
    </row>
    <row r="1638" spans="191:191" x14ac:dyDescent="0.2">
      <c r="GI1638" s="422"/>
    </row>
    <row r="1639" spans="191:191" x14ac:dyDescent="0.2">
      <c r="GI1639" s="422"/>
    </row>
    <row r="1640" spans="191:191" x14ac:dyDescent="0.2">
      <c r="GI1640" s="422"/>
    </row>
    <row r="1641" spans="191:191" x14ac:dyDescent="0.2">
      <c r="GI1641" s="422"/>
    </row>
    <row r="1642" spans="191:191" x14ac:dyDescent="0.2">
      <c r="GI1642" s="422"/>
    </row>
    <row r="1643" spans="191:191" x14ac:dyDescent="0.2">
      <c r="GI1643" s="422"/>
    </row>
    <row r="1644" spans="191:191" x14ac:dyDescent="0.2">
      <c r="GI1644" s="422"/>
    </row>
    <row r="1645" spans="191:191" x14ac:dyDescent="0.2">
      <c r="GI1645" s="422"/>
    </row>
    <row r="1646" spans="191:191" x14ac:dyDescent="0.2">
      <c r="GI1646" s="422"/>
    </row>
    <row r="1647" spans="191:191" x14ac:dyDescent="0.2">
      <c r="GI1647" s="422"/>
    </row>
    <row r="1648" spans="191:191" x14ac:dyDescent="0.2">
      <c r="GI1648" s="422"/>
    </row>
    <row r="1649" spans="191:191" x14ac:dyDescent="0.2">
      <c r="GI1649" s="422"/>
    </row>
    <row r="1650" spans="191:191" x14ac:dyDescent="0.2">
      <c r="GI1650" s="422"/>
    </row>
    <row r="1651" spans="191:191" x14ac:dyDescent="0.2">
      <c r="GI1651" s="422"/>
    </row>
    <row r="1652" spans="191:191" x14ac:dyDescent="0.2">
      <c r="GI1652" s="422"/>
    </row>
    <row r="1653" spans="191:191" x14ac:dyDescent="0.2">
      <c r="GI1653" s="422"/>
    </row>
    <row r="1654" spans="191:191" x14ac:dyDescent="0.2">
      <c r="GI1654" s="422"/>
    </row>
    <row r="1655" spans="191:191" x14ac:dyDescent="0.2">
      <c r="GI1655" s="422"/>
    </row>
    <row r="1656" spans="191:191" x14ac:dyDescent="0.2">
      <c r="GI1656" s="422"/>
    </row>
    <row r="1657" spans="191:191" x14ac:dyDescent="0.2">
      <c r="GI1657" s="422"/>
    </row>
    <row r="1658" spans="191:191" x14ac:dyDescent="0.2">
      <c r="GI1658" s="422"/>
    </row>
    <row r="1659" spans="191:191" x14ac:dyDescent="0.2">
      <c r="GI1659" s="422"/>
    </row>
    <row r="1660" spans="191:191" x14ac:dyDescent="0.2">
      <c r="GI1660" s="422"/>
    </row>
    <row r="1661" spans="191:191" x14ac:dyDescent="0.2">
      <c r="GI1661" s="422"/>
    </row>
    <row r="1662" spans="191:191" x14ac:dyDescent="0.2">
      <c r="GI1662" s="422"/>
    </row>
    <row r="1663" spans="191:191" x14ac:dyDescent="0.2">
      <c r="GI1663" s="422"/>
    </row>
    <row r="1664" spans="191:191" x14ac:dyDescent="0.2">
      <c r="GI1664" s="422"/>
    </row>
    <row r="1665" spans="191:191" x14ac:dyDescent="0.2">
      <c r="GI1665" s="422"/>
    </row>
    <row r="1666" spans="191:191" x14ac:dyDescent="0.2">
      <c r="GI1666" s="422"/>
    </row>
    <row r="1667" spans="191:191" x14ac:dyDescent="0.2">
      <c r="GI1667" s="422"/>
    </row>
    <row r="1668" spans="191:191" x14ac:dyDescent="0.2">
      <c r="GI1668" s="422"/>
    </row>
    <row r="1669" spans="191:191" x14ac:dyDescent="0.2">
      <c r="GI1669" s="422"/>
    </row>
    <row r="1670" spans="191:191" x14ac:dyDescent="0.2">
      <c r="GI1670" s="422"/>
    </row>
    <row r="1671" spans="191:191" x14ac:dyDescent="0.2">
      <c r="GI1671" s="422"/>
    </row>
    <row r="1672" spans="191:191" x14ac:dyDescent="0.2">
      <c r="GI1672" s="422"/>
    </row>
    <row r="1673" spans="191:191" x14ac:dyDescent="0.2">
      <c r="GI1673" s="422"/>
    </row>
    <row r="1674" spans="191:191" x14ac:dyDescent="0.2">
      <c r="GI1674" s="422"/>
    </row>
    <row r="1675" spans="191:191" x14ac:dyDescent="0.2">
      <c r="GI1675" s="422"/>
    </row>
    <row r="1676" spans="191:191" x14ac:dyDescent="0.2">
      <c r="GI1676" s="422"/>
    </row>
    <row r="1677" spans="191:191" x14ac:dyDescent="0.2">
      <c r="GI1677" s="422"/>
    </row>
    <row r="1678" spans="191:191" x14ac:dyDescent="0.2">
      <c r="GI1678" s="422"/>
    </row>
    <row r="1679" spans="191:191" x14ac:dyDescent="0.2">
      <c r="GI1679" s="422"/>
    </row>
    <row r="1680" spans="191:191" x14ac:dyDescent="0.2">
      <c r="GI1680" s="422"/>
    </row>
    <row r="1681" spans="191:191" x14ac:dyDescent="0.2">
      <c r="GI1681" s="422"/>
    </row>
    <row r="1682" spans="191:191" x14ac:dyDescent="0.2">
      <c r="GI1682" s="422"/>
    </row>
    <row r="1683" spans="191:191" x14ac:dyDescent="0.2">
      <c r="GI1683" s="422"/>
    </row>
    <row r="1684" spans="191:191" x14ac:dyDescent="0.2">
      <c r="GI1684" s="422"/>
    </row>
    <row r="1685" spans="191:191" x14ac:dyDescent="0.2">
      <c r="GI1685" s="422"/>
    </row>
    <row r="1686" spans="191:191" x14ac:dyDescent="0.2">
      <c r="GI1686" s="422"/>
    </row>
    <row r="1687" spans="191:191" x14ac:dyDescent="0.2">
      <c r="GI1687" s="422"/>
    </row>
    <row r="1688" spans="191:191" x14ac:dyDescent="0.2">
      <c r="GI1688" s="422"/>
    </row>
    <row r="1689" spans="191:191" x14ac:dyDescent="0.2">
      <c r="GI1689" s="422"/>
    </row>
    <row r="1690" spans="191:191" x14ac:dyDescent="0.2">
      <c r="GI1690" s="422"/>
    </row>
    <row r="1691" spans="191:191" x14ac:dyDescent="0.2">
      <c r="GI1691" s="422"/>
    </row>
    <row r="1692" spans="191:191" x14ac:dyDescent="0.2">
      <c r="GI1692" s="422"/>
    </row>
    <row r="1693" spans="191:191" x14ac:dyDescent="0.2">
      <c r="GI1693" s="422"/>
    </row>
    <row r="1694" spans="191:191" x14ac:dyDescent="0.2">
      <c r="GI1694" s="422"/>
    </row>
    <row r="1695" spans="191:191" x14ac:dyDescent="0.2">
      <c r="GI1695" s="422"/>
    </row>
    <row r="1696" spans="191:191" x14ac:dyDescent="0.2">
      <c r="GI1696" s="422"/>
    </row>
    <row r="1697" spans="191:191" x14ac:dyDescent="0.2">
      <c r="GI1697" s="422"/>
    </row>
    <row r="1698" spans="191:191" x14ac:dyDescent="0.2">
      <c r="GI1698" s="422"/>
    </row>
    <row r="1699" spans="191:191" x14ac:dyDescent="0.2">
      <c r="GI1699" s="422"/>
    </row>
    <row r="1700" spans="191:191" x14ac:dyDescent="0.2">
      <c r="GI1700" s="422"/>
    </row>
    <row r="1701" spans="191:191" x14ac:dyDescent="0.2">
      <c r="GI1701" s="422"/>
    </row>
    <row r="1702" spans="191:191" x14ac:dyDescent="0.2">
      <c r="GI1702" s="422"/>
    </row>
    <row r="1703" spans="191:191" x14ac:dyDescent="0.2">
      <c r="GI1703" s="422"/>
    </row>
    <row r="1704" spans="191:191" x14ac:dyDescent="0.2">
      <c r="GI1704" s="422"/>
    </row>
    <row r="1705" spans="191:191" x14ac:dyDescent="0.2">
      <c r="GI1705" s="422"/>
    </row>
    <row r="1706" spans="191:191" x14ac:dyDescent="0.2">
      <c r="GI1706" s="422"/>
    </row>
    <row r="1707" spans="191:191" x14ac:dyDescent="0.2">
      <c r="GI1707" s="422"/>
    </row>
    <row r="1708" spans="191:191" x14ac:dyDescent="0.2">
      <c r="GI1708" s="422"/>
    </row>
    <row r="1709" spans="191:191" x14ac:dyDescent="0.2">
      <c r="GI1709" s="422"/>
    </row>
    <row r="1710" spans="191:191" x14ac:dyDescent="0.2">
      <c r="GI1710" s="422"/>
    </row>
    <row r="1711" spans="191:191" x14ac:dyDescent="0.2">
      <c r="GI1711" s="422"/>
    </row>
    <row r="1712" spans="191:191" x14ac:dyDescent="0.2">
      <c r="GI1712" s="422"/>
    </row>
    <row r="1713" spans="191:191" x14ac:dyDescent="0.2">
      <c r="GI1713" s="422"/>
    </row>
    <row r="1714" spans="191:191" x14ac:dyDescent="0.2">
      <c r="GI1714" s="422"/>
    </row>
    <row r="1715" spans="191:191" x14ac:dyDescent="0.2">
      <c r="GI1715" s="422"/>
    </row>
    <row r="1716" spans="191:191" x14ac:dyDescent="0.2">
      <c r="GI1716" s="422"/>
    </row>
    <row r="1717" spans="191:191" x14ac:dyDescent="0.2">
      <c r="GI1717" s="422"/>
    </row>
    <row r="1718" spans="191:191" x14ac:dyDescent="0.2">
      <c r="GI1718" s="422"/>
    </row>
    <row r="1719" spans="191:191" x14ac:dyDescent="0.2">
      <c r="GI1719" s="422"/>
    </row>
    <row r="1720" spans="191:191" x14ac:dyDescent="0.2">
      <c r="GI1720" s="422"/>
    </row>
    <row r="1721" spans="191:191" x14ac:dyDescent="0.2">
      <c r="GI1721" s="422"/>
    </row>
    <row r="1722" spans="191:191" x14ac:dyDescent="0.2">
      <c r="GI1722" s="422"/>
    </row>
    <row r="1723" spans="191:191" x14ac:dyDescent="0.2">
      <c r="GI1723" s="422"/>
    </row>
    <row r="1724" spans="191:191" x14ac:dyDescent="0.2">
      <c r="GI1724" s="422"/>
    </row>
    <row r="1725" spans="191:191" x14ac:dyDescent="0.2">
      <c r="GI1725" s="422"/>
    </row>
    <row r="1726" spans="191:191" x14ac:dyDescent="0.2">
      <c r="GI1726" s="422"/>
    </row>
    <row r="1727" spans="191:191" x14ac:dyDescent="0.2">
      <c r="GI1727" s="422"/>
    </row>
    <row r="1728" spans="191:191" x14ac:dyDescent="0.2">
      <c r="GI1728" s="422"/>
    </row>
    <row r="1729" spans="191:191" x14ac:dyDescent="0.2">
      <c r="GI1729" s="422"/>
    </row>
    <row r="1730" spans="191:191" x14ac:dyDescent="0.2">
      <c r="GI1730" s="422"/>
    </row>
    <row r="1731" spans="191:191" x14ac:dyDescent="0.2">
      <c r="GI1731" s="422"/>
    </row>
    <row r="1732" spans="191:191" x14ac:dyDescent="0.2">
      <c r="GI1732" s="422"/>
    </row>
    <row r="1733" spans="191:191" x14ac:dyDescent="0.2">
      <c r="GI1733" s="422"/>
    </row>
    <row r="1734" spans="191:191" x14ac:dyDescent="0.2">
      <c r="GI1734" s="422"/>
    </row>
    <row r="1735" spans="191:191" x14ac:dyDescent="0.2">
      <c r="GI1735" s="422"/>
    </row>
    <row r="1736" spans="191:191" x14ac:dyDescent="0.2">
      <c r="GI1736" s="422"/>
    </row>
    <row r="1737" spans="191:191" x14ac:dyDescent="0.2">
      <c r="GI1737" s="422"/>
    </row>
    <row r="1738" spans="191:191" x14ac:dyDescent="0.2">
      <c r="GI1738" s="422"/>
    </row>
    <row r="1739" spans="191:191" x14ac:dyDescent="0.2">
      <c r="GI1739" s="422"/>
    </row>
    <row r="1740" spans="191:191" x14ac:dyDescent="0.2">
      <c r="GI1740" s="422"/>
    </row>
    <row r="1741" spans="191:191" x14ac:dyDescent="0.2">
      <c r="GI1741" s="422"/>
    </row>
    <row r="1742" spans="191:191" x14ac:dyDescent="0.2">
      <c r="GI1742" s="422"/>
    </row>
    <row r="1743" spans="191:191" x14ac:dyDescent="0.2">
      <c r="GI1743" s="422"/>
    </row>
    <row r="1744" spans="191:191" x14ac:dyDescent="0.2">
      <c r="GI1744" s="422"/>
    </row>
    <row r="1745" spans="191:191" x14ac:dyDescent="0.2">
      <c r="GI1745" s="422"/>
    </row>
    <row r="1746" spans="191:191" x14ac:dyDescent="0.2">
      <c r="GI1746" s="422"/>
    </row>
    <row r="1747" spans="191:191" x14ac:dyDescent="0.2">
      <c r="GI1747" s="422"/>
    </row>
    <row r="1748" spans="191:191" x14ac:dyDescent="0.2">
      <c r="GI1748" s="422"/>
    </row>
    <row r="1749" spans="191:191" x14ac:dyDescent="0.2">
      <c r="GI1749" s="422"/>
    </row>
    <row r="1750" spans="191:191" x14ac:dyDescent="0.2">
      <c r="GI1750" s="422"/>
    </row>
    <row r="1751" spans="191:191" x14ac:dyDescent="0.2">
      <c r="GI1751" s="422"/>
    </row>
    <row r="1752" spans="191:191" x14ac:dyDescent="0.2">
      <c r="GI1752" s="422"/>
    </row>
    <row r="1753" spans="191:191" x14ac:dyDescent="0.2">
      <c r="GI1753" s="422"/>
    </row>
    <row r="1754" spans="191:191" x14ac:dyDescent="0.2">
      <c r="GI1754" s="422"/>
    </row>
    <row r="1755" spans="191:191" x14ac:dyDescent="0.2">
      <c r="GI1755" s="422"/>
    </row>
    <row r="1756" spans="191:191" x14ac:dyDescent="0.2">
      <c r="GI1756" s="422"/>
    </row>
    <row r="1757" spans="191:191" x14ac:dyDescent="0.2">
      <c r="GI1757" s="422"/>
    </row>
    <row r="1758" spans="191:191" x14ac:dyDescent="0.2">
      <c r="GI1758" s="422"/>
    </row>
    <row r="1759" spans="191:191" x14ac:dyDescent="0.2">
      <c r="GI1759" s="422"/>
    </row>
    <row r="1760" spans="191:191" x14ac:dyDescent="0.2">
      <c r="GI1760" s="422"/>
    </row>
    <row r="1761" spans="191:191" x14ac:dyDescent="0.2">
      <c r="GI1761" s="422"/>
    </row>
    <row r="1762" spans="191:191" x14ac:dyDescent="0.2">
      <c r="GI1762" s="422"/>
    </row>
    <row r="1763" spans="191:191" x14ac:dyDescent="0.2">
      <c r="GI1763" s="422"/>
    </row>
    <row r="1764" spans="191:191" x14ac:dyDescent="0.2">
      <c r="GI1764" s="422"/>
    </row>
    <row r="1765" spans="191:191" x14ac:dyDescent="0.2">
      <c r="GI1765" s="422"/>
    </row>
    <row r="1766" spans="191:191" x14ac:dyDescent="0.2">
      <c r="GI1766" s="422"/>
    </row>
    <row r="1767" spans="191:191" x14ac:dyDescent="0.2">
      <c r="GI1767" s="422"/>
    </row>
    <row r="1768" spans="191:191" x14ac:dyDescent="0.2">
      <c r="GI1768" s="422"/>
    </row>
    <row r="1769" spans="191:191" x14ac:dyDescent="0.2">
      <c r="GI1769" s="422"/>
    </row>
    <row r="1770" spans="191:191" x14ac:dyDescent="0.2">
      <c r="GI1770" s="422"/>
    </row>
    <row r="1771" spans="191:191" x14ac:dyDescent="0.2">
      <c r="GI1771" s="422"/>
    </row>
    <row r="1772" spans="191:191" x14ac:dyDescent="0.2">
      <c r="GI1772" s="422"/>
    </row>
    <row r="1773" spans="191:191" x14ac:dyDescent="0.2">
      <c r="GI1773" s="422"/>
    </row>
    <row r="1774" spans="191:191" x14ac:dyDescent="0.2">
      <c r="GI1774" s="422"/>
    </row>
    <row r="1775" spans="191:191" x14ac:dyDescent="0.2">
      <c r="GI1775" s="422"/>
    </row>
    <row r="1776" spans="191:191" x14ac:dyDescent="0.2">
      <c r="GI1776" s="422"/>
    </row>
    <row r="1777" spans="191:191" x14ac:dyDescent="0.2">
      <c r="GI1777" s="422"/>
    </row>
    <row r="1778" spans="191:191" x14ac:dyDescent="0.2">
      <c r="GI1778" s="422"/>
    </row>
    <row r="1779" spans="191:191" x14ac:dyDescent="0.2">
      <c r="GI1779" s="422"/>
    </row>
    <row r="1780" spans="191:191" x14ac:dyDescent="0.2">
      <c r="GI1780" s="422"/>
    </row>
    <row r="1781" spans="191:191" x14ac:dyDescent="0.2">
      <c r="GI1781" s="422"/>
    </row>
    <row r="1782" spans="191:191" x14ac:dyDescent="0.2">
      <c r="GI1782" s="422"/>
    </row>
    <row r="1783" spans="191:191" x14ac:dyDescent="0.2">
      <c r="GI1783" s="422"/>
    </row>
    <row r="1784" spans="191:191" x14ac:dyDescent="0.2">
      <c r="GI1784" s="422"/>
    </row>
    <row r="1785" spans="191:191" x14ac:dyDescent="0.2">
      <c r="GI1785" s="422"/>
    </row>
    <row r="1786" spans="191:191" x14ac:dyDescent="0.2">
      <c r="GI1786" s="422"/>
    </row>
    <row r="1787" spans="191:191" x14ac:dyDescent="0.2">
      <c r="GI1787" s="422"/>
    </row>
    <row r="1788" spans="191:191" x14ac:dyDescent="0.2">
      <c r="GI1788" s="422"/>
    </row>
    <row r="1789" spans="191:191" x14ac:dyDescent="0.2">
      <c r="GI1789" s="422"/>
    </row>
    <row r="1790" spans="191:191" x14ac:dyDescent="0.2">
      <c r="GI1790" s="422"/>
    </row>
    <row r="1791" spans="191:191" x14ac:dyDescent="0.2">
      <c r="GI1791" s="422"/>
    </row>
    <row r="1792" spans="191:191" x14ac:dyDescent="0.2">
      <c r="GI1792" s="422"/>
    </row>
    <row r="1793" spans="191:191" x14ac:dyDescent="0.2">
      <c r="GI1793" s="422"/>
    </row>
    <row r="1794" spans="191:191" x14ac:dyDescent="0.2">
      <c r="GI1794" s="422"/>
    </row>
    <row r="1795" spans="191:191" x14ac:dyDescent="0.2">
      <c r="GI1795" s="422"/>
    </row>
    <row r="1796" spans="191:191" x14ac:dyDescent="0.2">
      <c r="GI1796" s="422"/>
    </row>
    <row r="1797" spans="191:191" x14ac:dyDescent="0.2">
      <c r="GI1797" s="422"/>
    </row>
    <row r="1798" spans="191:191" x14ac:dyDescent="0.2">
      <c r="GI1798" s="422"/>
    </row>
    <row r="1799" spans="191:191" x14ac:dyDescent="0.2">
      <c r="GI1799" s="422"/>
    </row>
    <row r="1800" spans="191:191" x14ac:dyDescent="0.2">
      <c r="GI1800" s="422"/>
    </row>
    <row r="1801" spans="191:191" x14ac:dyDescent="0.2">
      <c r="GI1801" s="422"/>
    </row>
    <row r="1802" spans="191:191" x14ac:dyDescent="0.2">
      <c r="GI1802" s="422"/>
    </row>
    <row r="1803" spans="191:191" x14ac:dyDescent="0.2">
      <c r="GI1803" s="422"/>
    </row>
    <row r="1804" spans="191:191" x14ac:dyDescent="0.2">
      <c r="GI1804" s="422"/>
    </row>
    <row r="1805" spans="191:191" x14ac:dyDescent="0.2">
      <c r="GI1805" s="422"/>
    </row>
    <row r="1806" spans="191:191" x14ac:dyDescent="0.2">
      <c r="GI1806" s="422"/>
    </row>
    <row r="1807" spans="191:191" x14ac:dyDescent="0.2">
      <c r="GI1807" s="422"/>
    </row>
    <row r="1808" spans="191:191" x14ac:dyDescent="0.2">
      <c r="GI1808" s="422"/>
    </row>
    <row r="1809" spans="191:191" x14ac:dyDescent="0.2">
      <c r="GI1809" s="422"/>
    </row>
    <row r="1810" spans="191:191" x14ac:dyDescent="0.2">
      <c r="GI1810" s="422"/>
    </row>
    <row r="1811" spans="191:191" x14ac:dyDescent="0.2">
      <c r="GI1811" s="422"/>
    </row>
    <row r="1812" spans="191:191" x14ac:dyDescent="0.2">
      <c r="GI1812" s="422"/>
    </row>
    <row r="1813" spans="191:191" x14ac:dyDescent="0.2">
      <c r="GI1813" s="422"/>
    </row>
    <row r="1814" spans="191:191" x14ac:dyDescent="0.2">
      <c r="GI1814" s="422"/>
    </row>
    <row r="1815" spans="191:191" x14ac:dyDescent="0.2">
      <c r="GI1815" s="422"/>
    </row>
    <row r="1816" spans="191:191" x14ac:dyDescent="0.2">
      <c r="GI1816" s="422"/>
    </row>
    <row r="1817" spans="191:191" x14ac:dyDescent="0.2">
      <c r="GI1817" s="422"/>
    </row>
    <row r="1818" spans="191:191" x14ac:dyDescent="0.2">
      <c r="GI1818" s="422"/>
    </row>
    <row r="1819" spans="191:191" x14ac:dyDescent="0.2">
      <c r="GI1819" s="422"/>
    </row>
    <row r="1820" spans="191:191" x14ac:dyDescent="0.2">
      <c r="GI1820" s="422"/>
    </row>
    <row r="1821" spans="191:191" x14ac:dyDescent="0.2">
      <c r="GI1821" s="422"/>
    </row>
    <row r="1822" spans="191:191" x14ac:dyDescent="0.2">
      <c r="GI1822" s="422"/>
    </row>
    <row r="1823" spans="191:191" x14ac:dyDescent="0.2">
      <c r="GI1823" s="422"/>
    </row>
    <row r="1824" spans="191:191" x14ac:dyDescent="0.2">
      <c r="GI1824" s="422"/>
    </row>
    <row r="1825" spans="191:191" x14ac:dyDescent="0.2">
      <c r="GI1825" s="422"/>
    </row>
    <row r="1826" spans="191:191" x14ac:dyDescent="0.2">
      <c r="GI1826" s="422"/>
    </row>
    <row r="1827" spans="191:191" x14ac:dyDescent="0.2">
      <c r="GI1827" s="422"/>
    </row>
    <row r="1828" spans="191:191" x14ac:dyDescent="0.2">
      <c r="GI1828" s="422"/>
    </row>
    <row r="1829" spans="191:191" x14ac:dyDescent="0.2">
      <c r="GI1829" s="422"/>
    </row>
    <row r="1830" spans="191:191" x14ac:dyDescent="0.2">
      <c r="GI1830" s="422"/>
    </row>
    <row r="1831" spans="191:191" x14ac:dyDescent="0.2">
      <c r="GI1831" s="422"/>
    </row>
    <row r="1832" spans="191:191" x14ac:dyDescent="0.2">
      <c r="GI1832" s="422"/>
    </row>
    <row r="1833" spans="191:191" x14ac:dyDescent="0.2">
      <c r="GI1833" s="422"/>
    </row>
    <row r="1834" spans="191:191" x14ac:dyDescent="0.2">
      <c r="GI1834" s="422"/>
    </row>
    <row r="1835" spans="191:191" x14ac:dyDescent="0.2">
      <c r="GI1835" s="422"/>
    </row>
    <row r="1836" spans="191:191" x14ac:dyDescent="0.2">
      <c r="GI1836" s="422"/>
    </row>
    <row r="1837" spans="191:191" x14ac:dyDescent="0.2">
      <c r="GI1837" s="422"/>
    </row>
    <row r="1838" spans="191:191" x14ac:dyDescent="0.2">
      <c r="GI1838" s="422"/>
    </row>
    <row r="1839" spans="191:191" x14ac:dyDescent="0.2">
      <c r="GI1839" s="422"/>
    </row>
    <row r="1840" spans="191:191" x14ac:dyDescent="0.2">
      <c r="GI1840" s="422"/>
    </row>
    <row r="1841" spans="191:191" x14ac:dyDescent="0.2">
      <c r="GI1841" s="422"/>
    </row>
    <row r="1842" spans="191:191" x14ac:dyDescent="0.2">
      <c r="GI1842" s="422"/>
    </row>
    <row r="1843" spans="191:191" x14ac:dyDescent="0.2">
      <c r="GI1843" s="422"/>
    </row>
    <row r="1844" spans="191:191" x14ac:dyDescent="0.2">
      <c r="GI1844" s="422"/>
    </row>
    <row r="1845" spans="191:191" x14ac:dyDescent="0.2">
      <c r="GI1845" s="422"/>
    </row>
    <row r="1846" spans="191:191" x14ac:dyDescent="0.2">
      <c r="GI1846" s="422"/>
    </row>
    <row r="1847" spans="191:191" x14ac:dyDescent="0.2">
      <c r="GI1847" s="422"/>
    </row>
    <row r="1848" spans="191:191" x14ac:dyDescent="0.2">
      <c r="GI1848" s="422"/>
    </row>
    <row r="1849" spans="191:191" x14ac:dyDescent="0.2">
      <c r="GI1849" s="422"/>
    </row>
    <row r="1850" spans="191:191" x14ac:dyDescent="0.2">
      <c r="GI1850" s="422"/>
    </row>
    <row r="1851" spans="191:191" x14ac:dyDescent="0.2">
      <c r="GI1851" s="422"/>
    </row>
    <row r="1852" spans="191:191" x14ac:dyDescent="0.2">
      <c r="GI1852" s="422"/>
    </row>
    <row r="1853" spans="191:191" x14ac:dyDescent="0.2">
      <c r="GI1853" s="422"/>
    </row>
    <row r="1854" spans="191:191" x14ac:dyDescent="0.2">
      <c r="GI1854" s="422"/>
    </row>
    <row r="1855" spans="191:191" x14ac:dyDescent="0.2">
      <c r="GI1855" s="422"/>
    </row>
    <row r="1856" spans="191:191" x14ac:dyDescent="0.2">
      <c r="GI1856" s="422"/>
    </row>
    <row r="1857" spans="191:191" x14ac:dyDescent="0.2">
      <c r="GI1857" s="422"/>
    </row>
    <row r="1858" spans="191:191" x14ac:dyDescent="0.2">
      <c r="GI1858" s="422"/>
    </row>
    <row r="1859" spans="191:191" x14ac:dyDescent="0.2">
      <c r="GI1859" s="422"/>
    </row>
    <row r="1860" spans="191:191" x14ac:dyDescent="0.2">
      <c r="GI1860" s="422"/>
    </row>
    <row r="1861" spans="191:191" x14ac:dyDescent="0.2">
      <c r="GI1861" s="422"/>
    </row>
    <row r="1862" spans="191:191" x14ac:dyDescent="0.2">
      <c r="GI1862" s="422"/>
    </row>
    <row r="1863" spans="191:191" x14ac:dyDescent="0.2">
      <c r="GI1863" s="422"/>
    </row>
    <row r="1864" spans="191:191" x14ac:dyDescent="0.2">
      <c r="GI1864" s="422"/>
    </row>
    <row r="1865" spans="191:191" x14ac:dyDescent="0.2">
      <c r="GI1865" s="422"/>
    </row>
    <row r="1866" spans="191:191" x14ac:dyDescent="0.2">
      <c r="GI1866" s="422"/>
    </row>
    <row r="1867" spans="191:191" x14ac:dyDescent="0.2">
      <c r="GI1867" s="422"/>
    </row>
    <row r="1868" spans="191:191" x14ac:dyDescent="0.2">
      <c r="GI1868" s="422"/>
    </row>
    <row r="1869" spans="191:191" x14ac:dyDescent="0.2">
      <c r="GI1869" s="422"/>
    </row>
    <row r="1870" spans="191:191" x14ac:dyDescent="0.2">
      <c r="GI1870" s="422"/>
    </row>
    <row r="1871" spans="191:191" x14ac:dyDescent="0.2">
      <c r="GI1871" s="422"/>
    </row>
    <row r="1872" spans="191:191" x14ac:dyDescent="0.2">
      <c r="GI1872" s="422"/>
    </row>
    <row r="1873" spans="191:191" x14ac:dyDescent="0.2">
      <c r="GI1873" s="422"/>
    </row>
    <row r="1874" spans="191:191" x14ac:dyDescent="0.2">
      <c r="GI1874" s="422"/>
    </row>
    <row r="1875" spans="191:191" x14ac:dyDescent="0.2">
      <c r="GI1875" s="422"/>
    </row>
    <row r="1876" spans="191:191" x14ac:dyDescent="0.2">
      <c r="GI1876" s="422"/>
    </row>
    <row r="1877" spans="191:191" x14ac:dyDescent="0.2">
      <c r="GI1877" s="422"/>
    </row>
    <row r="1878" spans="191:191" x14ac:dyDescent="0.2">
      <c r="GI1878" s="422"/>
    </row>
    <row r="1879" spans="191:191" x14ac:dyDescent="0.2">
      <c r="GI1879" s="422"/>
    </row>
    <row r="1880" spans="191:191" x14ac:dyDescent="0.2">
      <c r="GI1880" s="422"/>
    </row>
    <row r="1881" spans="191:191" x14ac:dyDescent="0.2">
      <c r="GI1881" s="422"/>
    </row>
    <row r="1882" spans="191:191" x14ac:dyDescent="0.2">
      <c r="GI1882" s="422"/>
    </row>
    <row r="1883" spans="191:191" x14ac:dyDescent="0.2">
      <c r="GI1883" s="422"/>
    </row>
    <row r="1884" spans="191:191" x14ac:dyDescent="0.2">
      <c r="GI1884" s="422"/>
    </row>
    <row r="1885" spans="191:191" x14ac:dyDescent="0.2">
      <c r="GI1885" s="422"/>
    </row>
    <row r="1886" spans="191:191" x14ac:dyDescent="0.2">
      <c r="GI1886" s="422"/>
    </row>
    <row r="1887" spans="191:191" x14ac:dyDescent="0.2">
      <c r="GI1887" s="422"/>
    </row>
    <row r="1888" spans="191:191" x14ac:dyDescent="0.2">
      <c r="GI1888" s="422"/>
    </row>
    <row r="1889" spans="191:191" x14ac:dyDescent="0.2">
      <c r="GI1889" s="422"/>
    </row>
    <row r="1890" spans="191:191" x14ac:dyDescent="0.2">
      <c r="GI1890" s="422"/>
    </row>
    <row r="1891" spans="191:191" x14ac:dyDescent="0.2">
      <c r="GI1891" s="422"/>
    </row>
    <row r="1892" spans="191:191" x14ac:dyDescent="0.2">
      <c r="GI1892" s="422"/>
    </row>
    <row r="1893" spans="191:191" x14ac:dyDescent="0.2">
      <c r="GI1893" s="422"/>
    </row>
    <row r="1894" spans="191:191" x14ac:dyDescent="0.2">
      <c r="GI1894" s="422"/>
    </row>
    <row r="1895" spans="191:191" x14ac:dyDescent="0.2">
      <c r="GI1895" s="422"/>
    </row>
    <row r="1896" spans="191:191" x14ac:dyDescent="0.2">
      <c r="GI1896" s="422"/>
    </row>
    <row r="1897" spans="191:191" x14ac:dyDescent="0.2">
      <c r="GI1897" s="422"/>
    </row>
    <row r="1898" spans="191:191" x14ac:dyDescent="0.2">
      <c r="GI1898" s="422"/>
    </row>
    <row r="1899" spans="191:191" x14ac:dyDescent="0.2">
      <c r="GI1899" s="422"/>
    </row>
    <row r="1900" spans="191:191" x14ac:dyDescent="0.2">
      <c r="GI1900" s="422"/>
    </row>
    <row r="1901" spans="191:191" x14ac:dyDescent="0.2">
      <c r="GI1901" s="422"/>
    </row>
    <row r="1902" spans="191:191" x14ac:dyDescent="0.2">
      <c r="GI1902" s="422"/>
    </row>
    <row r="1903" spans="191:191" x14ac:dyDescent="0.2">
      <c r="GI1903" s="422"/>
    </row>
    <row r="1904" spans="191:191" x14ac:dyDescent="0.2">
      <c r="GI1904" s="422"/>
    </row>
    <row r="1905" spans="191:191" x14ac:dyDescent="0.2">
      <c r="GI1905" s="422"/>
    </row>
    <row r="1906" spans="191:191" x14ac:dyDescent="0.2">
      <c r="GI1906" s="422"/>
    </row>
    <row r="1907" spans="191:191" x14ac:dyDescent="0.2">
      <c r="GI1907" s="422"/>
    </row>
    <row r="1908" spans="191:191" x14ac:dyDescent="0.2">
      <c r="GI1908" s="422"/>
    </row>
    <row r="1909" spans="191:191" x14ac:dyDescent="0.2">
      <c r="GI1909" s="422"/>
    </row>
    <row r="1910" spans="191:191" x14ac:dyDescent="0.2">
      <c r="GI1910" s="422"/>
    </row>
    <row r="1911" spans="191:191" x14ac:dyDescent="0.2">
      <c r="GI1911" s="422"/>
    </row>
    <row r="1912" spans="191:191" x14ac:dyDescent="0.2">
      <c r="GI1912" s="422"/>
    </row>
    <row r="1913" spans="191:191" x14ac:dyDescent="0.2">
      <c r="GI1913" s="422"/>
    </row>
    <row r="1914" spans="191:191" x14ac:dyDescent="0.2">
      <c r="GI1914" s="422"/>
    </row>
    <row r="1915" spans="191:191" x14ac:dyDescent="0.2">
      <c r="GI1915" s="422"/>
    </row>
    <row r="1916" spans="191:191" x14ac:dyDescent="0.2">
      <c r="GI1916" s="422"/>
    </row>
    <row r="1917" spans="191:191" x14ac:dyDescent="0.2">
      <c r="GI1917" s="422"/>
    </row>
    <row r="1918" spans="191:191" x14ac:dyDescent="0.2">
      <c r="GI1918" s="422"/>
    </row>
    <row r="1919" spans="191:191" x14ac:dyDescent="0.2">
      <c r="GI1919" s="422"/>
    </row>
    <row r="1920" spans="191:191" x14ac:dyDescent="0.2">
      <c r="GI1920" s="422"/>
    </row>
    <row r="1921" spans="191:191" x14ac:dyDescent="0.2">
      <c r="GI1921" s="422"/>
    </row>
    <row r="1922" spans="191:191" x14ac:dyDescent="0.2">
      <c r="GI1922" s="422"/>
    </row>
    <row r="1923" spans="191:191" x14ac:dyDescent="0.2">
      <c r="GI1923" s="422"/>
    </row>
    <row r="1924" spans="191:191" x14ac:dyDescent="0.2">
      <c r="GI1924" s="422"/>
    </row>
    <row r="1925" spans="191:191" x14ac:dyDescent="0.2">
      <c r="GI1925" s="422"/>
    </row>
    <row r="1926" spans="191:191" x14ac:dyDescent="0.2">
      <c r="GI1926" s="422"/>
    </row>
    <row r="1927" spans="191:191" x14ac:dyDescent="0.2">
      <c r="GI1927" s="422"/>
    </row>
    <row r="1928" spans="191:191" x14ac:dyDescent="0.2">
      <c r="GI1928" s="422"/>
    </row>
    <row r="1929" spans="191:191" x14ac:dyDescent="0.2">
      <c r="GI1929" s="422"/>
    </row>
    <row r="1930" spans="191:191" x14ac:dyDescent="0.2">
      <c r="GI1930" s="422"/>
    </row>
    <row r="1931" spans="191:191" x14ac:dyDescent="0.2">
      <c r="GI1931" s="422"/>
    </row>
    <row r="1932" spans="191:191" x14ac:dyDescent="0.2">
      <c r="GI1932" s="422"/>
    </row>
    <row r="1933" spans="191:191" x14ac:dyDescent="0.2">
      <c r="GI1933" s="422"/>
    </row>
    <row r="1934" spans="191:191" x14ac:dyDescent="0.2">
      <c r="GI1934" s="422"/>
    </row>
    <row r="1935" spans="191:191" x14ac:dyDescent="0.2">
      <c r="GI1935" s="422"/>
    </row>
    <row r="1936" spans="191:191" x14ac:dyDescent="0.2">
      <c r="GI1936" s="422"/>
    </row>
    <row r="1937" spans="191:191" x14ac:dyDescent="0.2">
      <c r="GI1937" s="422"/>
    </row>
    <row r="1938" spans="191:191" x14ac:dyDescent="0.2">
      <c r="GI1938" s="422"/>
    </row>
    <row r="1939" spans="191:191" x14ac:dyDescent="0.2">
      <c r="GI1939" s="422"/>
    </row>
    <row r="1940" spans="191:191" x14ac:dyDescent="0.2">
      <c r="GI1940" s="422"/>
    </row>
    <row r="1941" spans="191:191" x14ac:dyDescent="0.2">
      <c r="GI1941" s="422"/>
    </row>
    <row r="1942" spans="191:191" x14ac:dyDescent="0.2">
      <c r="GI1942" s="422"/>
    </row>
    <row r="1943" spans="191:191" x14ac:dyDescent="0.2">
      <c r="GI1943" s="422"/>
    </row>
    <row r="1944" spans="191:191" x14ac:dyDescent="0.2">
      <c r="GI1944" s="422"/>
    </row>
    <row r="1945" spans="191:191" x14ac:dyDescent="0.2">
      <c r="GI1945" s="422"/>
    </row>
    <row r="1946" spans="191:191" x14ac:dyDescent="0.2">
      <c r="GI1946" s="422"/>
    </row>
    <row r="1947" spans="191:191" x14ac:dyDescent="0.2">
      <c r="GI1947" s="422"/>
    </row>
    <row r="1948" spans="191:191" x14ac:dyDescent="0.2">
      <c r="GI1948" s="422"/>
    </row>
    <row r="1949" spans="191:191" x14ac:dyDescent="0.2">
      <c r="GI1949" s="422"/>
    </row>
    <row r="1950" spans="191:191" x14ac:dyDescent="0.2">
      <c r="GI1950" s="422"/>
    </row>
    <row r="1951" spans="191:191" x14ac:dyDescent="0.2">
      <c r="GI1951" s="422"/>
    </row>
    <row r="1952" spans="191:191" x14ac:dyDescent="0.2">
      <c r="GI1952" s="422"/>
    </row>
    <row r="1953" spans="191:191" x14ac:dyDescent="0.2">
      <c r="GI1953" s="422"/>
    </row>
    <row r="1954" spans="191:191" x14ac:dyDescent="0.2">
      <c r="GI1954" s="422"/>
    </row>
    <row r="1955" spans="191:191" x14ac:dyDescent="0.2">
      <c r="GI1955" s="422"/>
    </row>
    <row r="1956" spans="191:191" x14ac:dyDescent="0.2">
      <c r="GI1956" s="422"/>
    </row>
    <row r="1957" spans="191:191" x14ac:dyDescent="0.2">
      <c r="GI1957" s="422"/>
    </row>
    <row r="1958" spans="191:191" x14ac:dyDescent="0.2">
      <c r="GI1958" s="422"/>
    </row>
    <row r="1959" spans="191:191" x14ac:dyDescent="0.2">
      <c r="GI1959" s="422"/>
    </row>
    <row r="1960" spans="191:191" x14ac:dyDescent="0.2">
      <c r="GI1960" s="422"/>
    </row>
    <row r="1961" spans="191:191" x14ac:dyDescent="0.2">
      <c r="GI1961" s="422"/>
    </row>
    <row r="1962" spans="191:191" x14ac:dyDescent="0.2">
      <c r="GI1962" s="422"/>
    </row>
    <row r="1963" spans="191:191" x14ac:dyDescent="0.2">
      <c r="GI1963" s="422"/>
    </row>
    <row r="1964" spans="191:191" x14ac:dyDescent="0.2">
      <c r="GI1964" s="422"/>
    </row>
    <row r="1965" spans="191:191" x14ac:dyDescent="0.2">
      <c r="GI1965" s="422"/>
    </row>
    <row r="1966" spans="191:191" x14ac:dyDescent="0.2">
      <c r="GI1966" s="422"/>
    </row>
    <row r="1967" spans="191:191" x14ac:dyDescent="0.2">
      <c r="GI1967" s="422"/>
    </row>
    <row r="1968" spans="191:191" x14ac:dyDescent="0.2">
      <c r="GI1968" s="422"/>
    </row>
    <row r="1969" spans="191:191" x14ac:dyDescent="0.2">
      <c r="GI1969" s="422"/>
    </row>
    <row r="1970" spans="191:191" x14ac:dyDescent="0.2">
      <c r="GI1970" s="422"/>
    </row>
    <row r="1971" spans="191:191" x14ac:dyDescent="0.2">
      <c r="GI1971" s="422"/>
    </row>
    <row r="1972" spans="191:191" x14ac:dyDescent="0.2">
      <c r="GI1972" s="422"/>
    </row>
    <row r="1973" spans="191:191" x14ac:dyDescent="0.2">
      <c r="GI1973" s="422"/>
    </row>
    <row r="1974" spans="191:191" x14ac:dyDescent="0.2">
      <c r="GI1974" s="422"/>
    </row>
    <row r="1975" spans="191:191" x14ac:dyDescent="0.2">
      <c r="GI1975" s="422"/>
    </row>
    <row r="1976" spans="191:191" x14ac:dyDescent="0.2">
      <c r="GI1976" s="422"/>
    </row>
    <row r="1977" spans="191:191" x14ac:dyDescent="0.2">
      <c r="GI1977" s="422"/>
    </row>
    <row r="1978" spans="191:191" x14ac:dyDescent="0.2">
      <c r="GI1978" s="422"/>
    </row>
    <row r="1979" spans="191:191" x14ac:dyDescent="0.2">
      <c r="GI1979" s="422"/>
    </row>
    <row r="1980" spans="191:191" x14ac:dyDescent="0.2">
      <c r="GI1980" s="422"/>
    </row>
    <row r="1981" spans="191:191" x14ac:dyDescent="0.2">
      <c r="GI1981" s="422"/>
    </row>
    <row r="1982" spans="191:191" x14ac:dyDescent="0.2">
      <c r="GI1982" s="422"/>
    </row>
    <row r="1983" spans="191:191" x14ac:dyDescent="0.2">
      <c r="GI1983" s="422"/>
    </row>
    <row r="1984" spans="191:191" x14ac:dyDescent="0.2">
      <c r="GI1984" s="422"/>
    </row>
    <row r="1985" spans="191:191" x14ac:dyDescent="0.2">
      <c r="GI1985" s="422"/>
    </row>
    <row r="1986" spans="191:191" x14ac:dyDescent="0.2">
      <c r="GI1986" s="422"/>
    </row>
    <row r="1987" spans="191:191" x14ac:dyDescent="0.2">
      <c r="GI1987" s="422"/>
    </row>
    <row r="1988" spans="191:191" x14ac:dyDescent="0.2">
      <c r="GI1988" s="422"/>
    </row>
    <row r="1989" spans="191:191" x14ac:dyDescent="0.2">
      <c r="GI1989" s="422"/>
    </row>
    <row r="1990" spans="191:191" x14ac:dyDescent="0.2">
      <c r="GI1990" s="422"/>
    </row>
    <row r="1991" spans="191:191" x14ac:dyDescent="0.2">
      <c r="GI1991" s="422"/>
    </row>
    <row r="1992" spans="191:191" x14ac:dyDescent="0.2">
      <c r="GI1992" s="422"/>
    </row>
    <row r="1993" spans="191:191" x14ac:dyDescent="0.2">
      <c r="GI1993" s="422"/>
    </row>
    <row r="1994" spans="191:191" x14ac:dyDescent="0.2">
      <c r="GI1994" s="422"/>
    </row>
    <row r="1995" spans="191:191" x14ac:dyDescent="0.2">
      <c r="GI1995" s="422"/>
    </row>
    <row r="1996" spans="191:191" x14ac:dyDescent="0.2">
      <c r="GI1996" s="422"/>
    </row>
    <row r="1997" spans="191:191" x14ac:dyDescent="0.2">
      <c r="GI1997" s="422"/>
    </row>
    <row r="1998" spans="191:191" x14ac:dyDescent="0.2">
      <c r="GI1998" s="422"/>
    </row>
    <row r="1999" spans="191:191" x14ac:dyDescent="0.2">
      <c r="GI1999" s="422"/>
    </row>
    <row r="2000" spans="191:191" x14ac:dyDescent="0.2">
      <c r="GI2000" s="422"/>
    </row>
    <row r="2001" spans="191:191" x14ac:dyDescent="0.2">
      <c r="GI2001" s="422"/>
    </row>
    <row r="2002" spans="191:191" x14ac:dyDescent="0.2">
      <c r="GI2002" s="422"/>
    </row>
    <row r="2003" spans="191:191" x14ac:dyDescent="0.2">
      <c r="GI2003" s="422"/>
    </row>
    <row r="2004" spans="191:191" x14ac:dyDescent="0.2">
      <c r="GI2004" s="422"/>
    </row>
    <row r="2005" spans="191:191" x14ac:dyDescent="0.2">
      <c r="GI2005" s="422"/>
    </row>
    <row r="2006" spans="191:191" x14ac:dyDescent="0.2">
      <c r="GI2006" s="422"/>
    </row>
    <row r="2007" spans="191:191" x14ac:dyDescent="0.2">
      <c r="GI2007" s="422"/>
    </row>
    <row r="2008" spans="191:191" x14ac:dyDescent="0.2">
      <c r="GI2008" s="422"/>
    </row>
    <row r="2009" spans="191:191" x14ac:dyDescent="0.2">
      <c r="GI2009" s="422"/>
    </row>
    <row r="2010" spans="191:191" x14ac:dyDescent="0.2">
      <c r="GI2010" s="422"/>
    </row>
    <row r="2011" spans="191:191" x14ac:dyDescent="0.2">
      <c r="GI2011" s="422"/>
    </row>
    <row r="2012" spans="191:191" x14ac:dyDescent="0.2">
      <c r="GI2012" s="422"/>
    </row>
    <row r="2013" spans="191:191" x14ac:dyDescent="0.2">
      <c r="GI2013" s="422"/>
    </row>
    <row r="2014" spans="191:191" x14ac:dyDescent="0.2">
      <c r="GI2014" s="422"/>
    </row>
    <row r="2015" spans="191:191" x14ac:dyDescent="0.2">
      <c r="GI2015" s="422"/>
    </row>
    <row r="2016" spans="191:191" x14ac:dyDescent="0.2">
      <c r="GI2016" s="422"/>
    </row>
    <row r="2017" spans="191:191" x14ac:dyDescent="0.2">
      <c r="GI2017" s="422"/>
    </row>
    <row r="2018" spans="191:191" x14ac:dyDescent="0.2">
      <c r="GI2018" s="422"/>
    </row>
    <row r="2019" spans="191:191" x14ac:dyDescent="0.2">
      <c r="GI2019" s="422"/>
    </row>
    <row r="2020" spans="191:191" x14ac:dyDescent="0.2">
      <c r="GI2020" s="422"/>
    </row>
    <row r="2021" spans="191:191" x14ac:dyDescent="0.2">
      <c r="GI2021" s="422"/>
    </row>
    <row r="2022" spans="191:191" x14ac:dyDescent="0.2">
      <c r="GI2022" s="422"/>
    </row>
    <row r="2023" spans="191:191" x14ac:dyDescent="0.2">
      <c r="GI2023" s="422"/>
    </row>
    <row r="2024" spans="191:191" x14ac:dyDescent="0.2">
      <c r="GI2024" s="422"/>
    </row>
    <row r="2025" spans="191:191" x14ac:dyDescent="0.2">
      <c r="GI2025" s="422"/>
    </row>
    <row r="2026" spans="191:191" x14ac:dyDescent="0.2">
      <c r="GI2026" s="422"/>
    </row>
    <row r="2027" spans="191:191" x14ac:dyDescent="0.2">
      <c r="GI2027" s="422"/>
    </row>
    <row r="2028" spans="191:191" x14ac:dyDescent="0.2">
      <c r="GI2028" s="422"/>
    </row>
    <row r="2029" spans="191:191" x14ac:dyDescent="0.2">
      <c r="GI2029" s="422"/>
    </row>
    <row r="2030" spans="191:191" x14ac:dyDescent="0.2">
      <c r="GI2030" s="422"/>
    </row>
    <row r="2031" spans="191:191" x14ac:dyDescent="0.2">
      <c r="GI2031" s="422"/>
    </row>
    <row r="2032" spans="191:191" x14ac:dyDescent="0.2">
      <c r="GI2032" s="422"/>
    </row>
    <row r="2033" spans="191:191" x14ac:dyDescent="0.2">
      <c r="GI2033" s="422"/>
    </row>
    <row r="2034" spans="191:191" x14ac:dyDescent="0.2">
      <c r="GI2034" s="422"/>
    </row>
    <row r="2035" spans="191:191" x14ac:dyDescent="0.2">
      <c r="GI2035" s="422"/>
    </row>
    <row r="2036" spans="191:191" x14ac:dyDescent="0.2">
      <c r="GI2036" s="422"/>
    </row>
    <row r="2037" spans="191:191" x14ac:dyDescent="0.2">
      <c r="GI2037" s="422"/>
    </row>
    <row r="2038" spans="191:191" x14ac:dyDescent="0.2">
      <c r="GI2038" s="422"/>
    </row>
    <row r="2039" spans="191:191" x14ac:dyDescent="0.2">
      <c r="GI2039" s="422"/>
    </row>
    <row r="2040" spans="191:191" x14ac:dyDescent="0.2">
      <c r="GI2040" s="422"/>
    </row>
    <row r="2041" spans="191:191" x14ac:dyDescent="0.2">
      <c r="GI2041" s="422"/>
    </row>
    <row r="2042" spans="191:191" x14ac:dyDescent="0.2">
      <c r="GI2042" s="422"/>
    </row>
    <row r="2043" spans="191:191" x14ac:dyDescent="0.2">
      <c r="GI2043" s="422"/>
    </row>
    <row r="2044" spans="191:191" x14ac:dyDescent="0.2">
      <c r="GI2044" s="422"/>
    </row>
    <row r="2045" spans="191:191" x14ac:dyDescent="0.2">
      <c r="GI2045" s="422"/>
    </row>
    <row r="2046" spans="191:191" x14ac:dyDescent="0.2">
      <c r="GI2046" s="422"/>
    </row>
    <row r="2047" spans="191:191" x14ac:dyDescent="0.2">
      <c r="GI2047" s="422"/>
    </row>
    <row r="2048" spans="191:191" x14ac:dyDescent="0.2">
      <c r="GI2048" s="422"/>
    </row>
    <row r="2049" spans="191:191" x14ac:dyDescent="0.2">
      <c r="GI2049" s="422"/>
    </row>
    <row r="2050" spans="191:191" x14ac:dyDescent="0.2">
      <c r="GI2050" s="422"/>
    </row>
    <row r="2051" spans="191:191" x14ac:dyDescent="0.2">
      <c r="GI2051" s="422"/>
    </row>
    <row r="2052" spans="191:191" x14ac:dyDescent="0.2">
      <c r="GI2052" s="422"/>
    </row>
    <row r="2053" spans="191:191" x14ac:dyDescent="0.2">
      <c r="GI2053" s="422"/>
    </row>
    <row r="2054" spans="191:191" x14ac:dyDescent="0.2">
      <c r="GI2054" s="422"/>
    </row>
    <row r="2055" spans="191:191" x14ac:dyDescent="0.2">
      <c r="GI2055" s="422"/>
    </row>
    <row r="2056" spans="191:191" x14ac:dyDescent="0.2">
      <c r="GI2056" s="422"/>
    </row>
    <row r="2057" spans="191:191" x14ac:dyDescent="0.2">
      <c r="GI2057" s="422"/>
    </row>
    <row r="2058" spans="191:191" x14ac:dyDescent="0.2">
      <c r="GI2058" s="422"/>
    </row>
    <row r="2059" spans="191:191" x14ac:dyDescent="0.2">
      <c r="GI2059" s="422"/>
    </row>
    <row r="2060" spans="191:191" x14ac:dyDescent="0.2">
      <c r="GI2060" s="422"/>
    </row>
    <row r="2061" spans="191:191" x14ac:dyDescent="0.2">
      <c r="GI2061" s="422"/>
    </row>
    <row r="2062" spans="191:191" x14ac:dyDescent="0.2">
      <c r="GI2062" s="422"/>
    </row>
    <row r="2063" spans="191:191" x14ac:dyDescent="0.2">
      <c r="GI2063" s="422"/>
    </row>
    <row r="2064" spans="191:191" x14ac:dyDescent="0.2">
      <c r="GI2064" s="422"/>
    </row>
    <row r="2065" spans="191:191" x14ac:dyDescent="0.2">
      <c r="GI2065" s="422"/>
    </row>
    <row r="2066" spans="191:191" x14ac:dyDescent="0.2">
      <c r="GI2066" s="422"/>
    </row>
    <row r="2067" spans="191:191" x14ac:dyDescent="0.2">
      <c r="GI2067" s="422"/>
    </row>
    <row r="2068" spans="191:191" x14ac:dyDescent="0.2">
      <c r="GI2068" s="422"/>
    </row>
    <row r="2069" spans="191:191" x14ac:dyDescent="0.2">
      <c r="GI2069" s="422"/>
    </row>
    <row r="2070" spans="191:191" x14ac:dyDescent="0.2">
      <c r="GI2070" s="422"/>
    </row>
    <row r="2071" spans="191:191" x14ac:dyDescent="0.2">
      <c r="GI2071" s="422"/>
    </row>
    <row r="2072" spans="191:191" x14ac:dyDescent="0.2">
      <c r="GI2072" s="422"/>
    </row>
    <row r="2073" spans="191:191" x14ac:dyDescent="0.2">
      <c r="GI2073" s="422"/>
    </row>
    <row r="2074" spans="191:191" x14ac:dyDescent="0.2">
      <c r="GI2074" s="422"/>
    </row>
    <row r="2075" spans="191:191" x14ac:dyDescent="0.2">
      <c r="GI2075" s="422"/>
    </row>
    <row r="2076" spans="191:191" x14ac:dyDescent="0.2">
      <c r="GI2076" s="422"/>
    </row>
    <row r="2077" spans="191:191" x14ac:dyDescent="0.2">
      <c r="GI2077" s="422"/>
    </row>
    <row r="2078" spans="191:191" x14ac:dyDescent="0.2">
      <c r="GI2078" s="422"/>
    </row>
    <row r="2079" spans="191:191" x14ac:dyDescent="0.2">
      <c r="GI2079" s="422"/>
    </row>
    <row r="2080" spans="191:191" x14ac:dyDescent="0.2">
      <c r="GI2080" s="422"/>
    </row>
    <row r="2081" spans="191:191" x14ac:dyDescent="0.2">
      <c r="GI2081" s="422"/>
    </row>
    <row r="2082" spans="191:191" x14ac:dyDescent="0.2">
      <c r="GI2082" s="422"/>
    </row>
    <row r="2083" spans="191:191" x14ac:dyDescent="0.2">
      <c r="GI2083" s="422"/>
    </row>
    <row r="2084" spans="191:191" x14ac:dyDescent="0.2">
      <c r="GI2084" s="422"/>
    </row>
    <row r="2085" spans="191:191" x14ac:dyDescent="0.2">
      <c r="GI2085" s="422"/>
    </row>
    <row r="2086" spans="191:191" x14ac:dyDescent="0.2">
      <c r="GI2086" s="422"/>
    </row>
    <row r="2087" spans="191:191" x14ac:dyDescent="0.2">
      <c r="GI2087" s="422"/>
    </row>
    <row r="2088" spans="191:191" x14ac:dyDescent="0.2">
      <c r="GI2088" s="422"/>
    </row>
    <row r="2089" spans="191:191" x14ac:dyDescent="0.2">
      <c r="GI2089" s="422"/>
    </row>
    <row r="2090" spans="191:191" x14ac:dyDescent="0.2">
      <c r="GI2090" s="422"/>
    </row>
    <row r="2091" spans="191:191" x14ac:dyDescent="0.2">
      <c r="GI2091" s="422"/>
    </row>
    <row r="2092" spans="191:191" x14ac:dyDescent="0.2">
      <c r="GI2092" s="422"/>
    </row>
    <row r="2093" spans="191:191" x14ac:dyDescent="0.2">
      <c r="GI2093" s="422"/>
    </row>
    <row r="2094" spans="191:191" x14ac:dyDescent="0.2">
      <c r="GI2094" s="422"/>
    </row>
    <row r="2095" spans="191:191" x14ac:dyDescent="0.2">
      <c r="GI2095" s="422"/>
    </row>
    <row r="2096" spans="191:191" x14ac:dyDescent="0.2">
      <c r="GI2096" s="422"/>
    </row>
    <row r="2097" spans="191:191" x14ac:dyDescent="0.2">
      <c r="GI2097" s="422"/>
    </row>
    <row r="2098" spans="191:191" x14ac:dyDescent="0.2">
      <c r="GI2098" s="422"/>
    </row>
    <row r="2099" spans="191:191" x14ac:dyDescent="0.2">
      <c r="GI2099" s="422"/>
    </row>
    <row r="2100" spans="191:191" x14ac:dyDescent="0.2">
      <c r="GI2100" s="422"/>
    </row>
    <row r="2101" spans="191:191" x14ac:dyDescent="0.2">
      <c r="GI2101" s="422"/>
    </row>
    <row r="2102" spans="191:191" x14ac:dyDescent="0.2">
      <c r="GI2102" s="422"/>
    </row>
    <row r="2103" spans="191:191" x14ac:dyDescent="0.2">
      <c r="GI2103" s="422"/>
    </row>
    <row r="2104" spans="191:191" x14ac:dyDescent="0.2">
      <c r="GI2104" s="422"/>
    </row>
    <row r="2105" spans="191:191" x14ac:dyDescent="0.2">
      <c r="GI2105" s="422"/>
    </row>
    <row r="2106" spans="191:191" x14ac:dyDescent="0.2">
      <c r="GI2106" s="422"/>
    </row>
    <row r="2107" spans="191:191" x14ac:dyDescent="0.2">
      <c r="GI2107" s="422"/>
    </row>
    <row r="2108" spans="191:191" x14ac:dyDescent="0.2">
      <c r="GI2108" s="422"/>
    </row>
    <row r="2109" spans="191:191" x14ac:dyDescent="0.2">
      <c r="GI2109" s="422"/>
    </row>
    <row r="2110" spans="191:191" x14ac:dyDescent="0.2">
      <c r="GI2110" s="422"/>
    </row>
    <row r="2111" spans="191:191" x14ac:dyDescent="0.2">
      <c r="GI2111" s="422"/>
    </row>
    <row r="2112" spans="191:191" x14ac:dyDescent="0.2">
      <c r="GI2112" s="422"/>
    </row>
    <row r="2113" spans="191:191" x14ac:dyDescent="0.2">
      <c r="GI2113" s="422"/>
    </row>
    <row r="2114" spans="191:191" x14ac:dyDescent="0.2">
      <c r="GI2114" s="422"/>
    </row>
    <row r="2115" spans="191:191" x14ac:dyDescent="0.2">
      <c r="GI2115" s="422"/>
    </row>
    <row r="2116" spans="191:191" x14ac:dyDescent="0.2">
      <c r="GI2116" s="422"/>
    </row>
    <row r="2117" spans="191:191" x14ac:dyDescent="0.2">
      <c r="GI2117" s="422"/>
    </row>
    <row r="2118" spans="191:191" x14ac:dyDescent="0.2">
      <c r="GI2118" s="422"/>
    </row>
    <row r="2119" spans="191:191" x14ac:dyDescent="0.2">
      <c r="GI2119" s="422"/>
    </row>
    <row r="2120" spans="191:191" x14ac:dyDescent="0.2">
      <c r="GI2120" s="422"/>
    </row>
    <row r="2121" spans="191:191" x14ac:dyDescent="0.2">
      <c r="GI2121" s="422"/>
    </row>
    <row r="2122" spans="191:191" x14ac:dyDescent="0.2">
      <c r="GI2122" s="422"/>
    </row>
    <row r="2123" spans="191:191" x14ac:dyDescent="0.2">
      <c r="GI2123" s="422"/>
    </row>
    <row r="2124" spans="191:191" x14ac:dyDescent="0.2">
      <c r="GI2124" s="422"/>
    </row>
    <row r="2125" spans="191:191" x14ac:dyDescent="0.2">
      <c r="GI2125" s="422"/>
    </row>
    <row r="2126" spans="191:191" x14ac:dyDescent="0.2">
      <c r="GI2126" s="422"/>
    </row>
    <row r="2127" spans="191:191" x14ac:dyDescent="0.2">
      <c r="GI2127" s="422"/>
    </row>
    <row r="2128" spans="191:191" x14ac:dyDescent="0.2">
      <c r="GI2128" s="422"/>
    </row>
    <row r="2129" spans="191:191" x14ac:dyDescent="0.2">
      <c r="GI2129" s="422"/>
    </row>
    <row r="2130" spans="191:191" x14ac:dyDescent="0.2">
      <c r="GI2130" s="422"/>
    </row>
    <row r="2131" spans="191:191" x14ac:dyDescent="0.2">
      <c r="GI2131" s="422"/>
    </row>
    <row r="2132" spans="191:191" x14ac:dyDescent="0.2">
      <c r="GI2132" s="422"/>
    </row>
    <row r="2133" spans="191:191" x14ac:dyDescent="0.2">
      <c r="GI2133" s="422"/>
    </row>
    <row r="2134" spans="191:191" x14ac:dyDescent="0.2">
      <c r="GI2134" s="422"/>
    </row>
    <row r="2135" spans="191:191" x14ac:dyDescent="0.2">
      <c r="GI2135" s="422"/>
    </row>
    <row r="2136" spans="191:191" x14ac:dyDescent="0.2">
      <c r="GI2136" s="422"/>
    </row>
    <row r="2137" spans="191:191" x14ac:dyDescent="0.2">
      <c r="GI2137" s="422"/>
    </row>
    <row r="2138" spans="191:191" x14ac:dyDescent="0.2">
      <c r="GI2138" s="422"/>
    </row>
    <row r="2139" spans="191:191" x14ac:dyDescent="0.2">
      <c r="GI2139" s="422"/>
    </row>
    <row r="2140" spans="191:191" x14ac:dyDescent="0.2">
      <c r="GI2140" s="422"/>
    </row>
    <row r="2141" spans="191:191" x14ac:dyDescent="0.2">
      <c r="GI2141" s="422"/>
    </row>
    <row r="2142" spans="191:191" x14ac:dyDescent="0.2">
      <c r="GI2142" s="422"/>
    </row>
    <row r="2143" spans="191:191" x14ac:dyDescent="0.2">
      <c r="GI2143" s="422"/>
    </row>
    <row r="2144" spans="191:191" x14ac:dyDescent="0.2">
      <c r="GI2144" s="422"/>
    </row>
    <row r="2145" spans="191:191" x14ac:dyDescent="0.2">
      <c r="GI2145" s="422"/>
    </row>
    <row r="2146" spans="191:191" x14ac:dyDescent="0.2">
      <c r="GI2146" s="422"/>
    </row>
    <row r="2147" spans="191:191" x14ac:dyDescent="0.2">
      <c r="GI2147" s="422"/>
    </row>
    <row r="2148" spans="191:191" x14ac:dyDescent="0.2">
      <c r="GI2148" s="422"/>
    </row>
    <row r="2149" spans="191:191" x14ac:dyDescent="0.2">
      <c r="GI2149" s="422"/>
    </row>
    <row r="2150" spans="191:191" x14ac:dyDescent="0.2">
      <c r="GI2150" s="422"/>
    </row>
    <row r="2151" spans="191:191" x14ac:dyDescent="0.2">
      <c r="GI2151" s="422"/>
    </row>
    <row r="2152" spans="191:191" x14ac:dyDescent="0.2">
      <c r="GI2152" s="422"/>
    </row>
    <row r="2153" spans="191:191" x14ac:dyDescent="0.2">
      <c r="GI2153" s="422"/>
    </row>
    <row r="2154" spans="191:191" x14ac:dyDescent="0.2">
      <c r="GI2154" s="422"/>
    </row>
    <row r="2155" spans="191:191" x14ac:dyDescent="0.2">
      <c r="GI2155" s="422"/>
    </row>
    <row r="2156" spans="191:191" x14ac:dyDescent="0.2">
      <c r="GI2156" s="422"/>
    </row>
    <row r="2157" spans="191:191" x14ac:dyDescent="0.2">
      <c r="GI2157" s="422"/>
    </row>
    <row r="2158" spans="191:191" x14ac:dyDescent="0.2">
      <c r="GI2158" s="422"/>
    </row>
    <row r="2159" spans="191:191" x14ac:dyDescent="0.2">
      <c r="GI2159" s="422"/>
    </row>
    <row r="2160" spans="191:191" x14ac:dyDescent="0.2">
      <c r="GI2160" s="422"/>
    </row>
    <row r="2161" spans="191:191" x14ac:dyDescent="0.2">
      <c r="GI2161" s="422"/>
    </row>
    <row r="2162" spans="191:191" x14ac:dyDescent="0.2">
      <c r="GI2162" s="422"/>
    </row>
    <row r="2163" spans="191:191" x14ac:dyDescent="0.2">
      <c r="GI2163" s="422"/>
    </row>
    <row r="2164" spans="191:191" x14ac:dyDescent="0.2">
      <c r="GI2164" s="422"/>
    </row>
    <row r="2165" spans="191:191" x14ac:dyDescent="0.2">
      <c r="GI2165" s="422"/>
    </row>
    <row r="2166" spans="191:191" x14ac:dyDescent="0.2">
      <c r="GI2166" s="422"/>
    </row>
    <row r="2167" spans="191:191" x14ac:dyDescent="0.2">
      <c r="GI2167" s="422"/>
    </row>
    <row r="2168" spans="191:191" x14ac:dyDescent="0.2">
      <c r="GI2168" s="422"/>
    </row>
    <row r="2169" spans="191:191" x14ac:dyDescent="0.2">
      <c r="GI2169" s="422"/>
    </row>
    <row r="2170" spans="191:191" x14ac:dyDescent="0.2">
      <c r="GI2170" s="422"/>
    </row>
    <row r="2171" spans="191:191" x14ac:dyDescent="0.2">
      <c r="GI2171" s="422"/>
    </row>
    <row r="2172" spans="191:191" x14ac:dyDescent="0.2">
      <c r="GI2172" s="422"/>
    </row>
    <row r="2173" spans="191:191" x14ac:dyDescent="0.2">
      <c r="GI2173" s="422"/>
    </row>
    <row r="2174" spans="191:191" x14ac:dyDescent="0.2">
      <c r="GI2174" s="422"/>
    </row>
    <row r="2175" spans="191:191" x14ac:dyDescent="0.2">
      <c r="GI2175" s="422"/>
    </row>
    <row r="2176" spans="191:191" x14ac:dyDescent="0.2">
      <c r="GI2176" s="422"/>
    </row>
    <row r="2177" spans="191:191" x14ac:dyDescent="0.2">
      <c r="GI2177" s="422"/>
    </row>
    <row r="2178" spans="191:191" x14ac:dyDescent="0.2">
      <c r="GI2178" s="422"/>
    </row>
    <row r="2179" spans="191:191" x14ac:dyDescent="0.2">
      <c r="GI2179" s="422"/>
    </row>
    <row r="2180" spans="191:191" x14ac:dyDescent="0.2">
      <c r="GI2180" s="422"/>
    </row>
    <row r="2181" spans="191:191" x14ac:dyDescent="0.2">
      <c r="GI2181" s="422"/>
    </row>
    <row r="2182" spans="191:191" x14ac:dyDescent="0.2">
      <c r="GI2182" s="422"/>
    </row>
    <row r="2183" spans="191:191" x14ac:dyDescent="0.2">
      <c r="GI2183" s="422"/>
    </row>
    <row r="2184" spans="191:191" x14ac:dyDescent="0.2">
      <c r="GI2184" s="422"/>
    </row>
    <row r="2185" spans="191:191" x14ac:dyDescent="0.2">
      <c r="GI2185" s="422"/>
    </row>
    <row r="2186" spans="191:191" x14ac:dyDescent="0.2">
      <c r="GI2186" s="422"/>
    </row>
    <row r="2187" spans="191:191" x14ac:dyDescent="0.2">
      <c r="GI2187" s="422"/>
    </row>
    <row r="2188" spans="191:191" x14ac:dyDescent="0.2">
      <c r="GI2188" s="422"/>
    </row>
    <row r="2189" spans="191:191" x14ac:dyDescent="0.2">
      <c r="GI2189" s="422"/>
    </row>
    <row r="2190" spans="191:191" x14ac:dyDescent="0.2">
      <c r="GI2190" s="422"/>
    </row>
    <row r="2191" spans="191:191" x14ac:dyDescent="0.2">
      <c r="GI2191" s="422"/>
    </row>
    <row r="2192" spans="191:191" x14ac:dyDescent="0.2">
      <c r="GI2192" s="422"/>
    </row>
    <row r="2193" spans="191:191" x14ac:dyDescent="0.2">
      <c r="GI2193" s="422"/>
    </row>
    <row r="2194" spans="191:191" x14ac:dyDescent="0.2">
      <c r="GI2194" s="422"/>
    </row>
    <row r="2195" spans="191:191" x14ac:dyDescent="0.2">
      <c r="GI2195" s="422"/>
    </row>
    <row r="2196" spans="191:191" x14ac:dyDescent="0.2">
      <c r="GI2196" s="422"/>
    </row>
    <row r="2197" spans="191:191" x14ac:dyDescent="0.2">
      <c r="GI2197" s="422"/>
    </row>
    <row r="2198" spans="191:191" x14ac:dyDescent="0.2">
      <c r="GI2198" s="422"/>
    </row>
    <row r="2199" spans="191:191" x14ac:dyDescent="0.2">
      <c r="GI2199" s="422"/>
    </row>
    <row r="2200" spans="191:191" x14ac:dyDescent="0.2">
      <c r="GI2200" s="422"/>
    </row>
    <row r="2201" spans="191:191" x14ac:dyDescent="0.2">
      <c r="GI2201" s="422"/>
    </row>
    <row r="2202" spans="191:191" x14ac:dyDescent="0.2">
      <c r="GI2202" s="422"/>
    </row>
    <row r="2203" spans="191:191" x14ac:dyDescent="0.2">
      <c r="GI2203" s="422"/>
    </row>
    <row r="2204" spans="191:191" x14ac:dyDescent="0.2">
      <c r="GI2204" s="422"/>
    </row>
    <row r="2205" spans="191:191" x14ac:dyDescent="0.2">
      <c r="GI2205" s="422"/>
    </row>
    <row r="2206" spans="191:191" x14ac:dyDescent="0.2">
      <c r="GI2206" s="422"/>
    </row>
    <row r="2207" spans="191:191" x14ac:dyDescent="0.2">
      <c r="GI2207" s="422"/>
    </row>
    <row r="2208" spans="191:191" x14ac:dyDescent="0.2">
      <c r="GI2208" s="422"/>
    </row>
    <row r="2209" spans="191:191" x14ac:dyDescent="0.2">
      <c r="GI2209" s="422"/>
    </row>
    <row r="2210" spans="191:191" x14ac:dyDescent="0.2">
      <c r="GI2210" s="422"/>
    </row>
    <row r="2211" spans="191:191" x14ac:dyDescent="0.2">
      <c r="GI2211" s="422"/>
    </row>
    <row r="2212" spans="191:191" x14ac:dyDescent="0.2">
      <c r="GI2212" s="422"/>
    </row>
    <row r="2213" spans="191:191" x14ac:dyDescent="0.2">
      <c r="GI2213" s="422"/>
    </row>
    <row r="2214" spans="191:191" x14ac:dyDescent="0.2">
      <c r="GI2214" s="422"/>
    </row>
    <row r="2215" spans="191:191" x14ac:dyDescent="0.2">
      <c r="GI2215" s="422"/>
    </row>
    <row r="2216" spans="191:191" x14ac:dyDescent="0.2">
      <c r="GI2216" s="422"/>
    </row>
    <row r="2217" spans="191:191" x14ac:dyDescent="0.2">
      <c r="GI2217" s="422"/>
    </row>
    <row r="2218" spans="191:191" x14ac:dyDescent="0.2">
      <c r="GI2218" s="422"/>
    </row>
    <row r="2219" spans="191:191" x14ac:dyDescent="0.2">
      <c r="GI2219" s="422"/>
    </row>
    <row r="2220" spans="191:191" x14ac:dyDescent="0.2">
      <c r="GI2220" s="422"/>
    </row>
    <row r="2221" spans="191:191" x14ac:dyDescent="0.2">
      <c r="GI2221" s="422"/>
    </row>
    <row r="2222" spans="191:191" x14ac:dyDescent="0.2">
      <c r="GI2222" s="422"/>
    </row>
    <row r="2223" spans="191:191" x14ac:dyDescent="0.2">
      <c r="GI2223" s="422"/>
    </row>
    <row r="2224" spans="191:191" x14ac:dyDescent="0.2">
      <c r="GI2224" s="422"/>
    </row>
    <row r="2225" spans="191:191" x14ac:dyDescent="0.2">
      <c r="GI2225" s="422"/>
    </row>
    <row r="2226" spans="191:191" x14ac:dyDescent="0.2">
      <c r="GI2226" s="422"/>
    </row>
    <row r="2227" spans="191:191" x14ac:dyDescent="0.2">
      <c r="GI2227" s="422"/>
    </row>
    <row r="2228" spans="191:191" x14ac:dyDescent="0.2">
      <c r="GI2228" s="422"/>
    </row>
    <row r="2229" spans="191:191" x14ac:dyDescent="0.2">
      <c r="GI2229" s="422"/>
    </row>
    <row r="2230" spans="191:191" x14ac:dyDescent="0.2">
      <c r="GI2230" s="422"/>
    </row>
    <row r="2231" spans="191:191" x14ac:dyDescent="0.2">
      <c r="GI2231" s="422"/>
    </row>
    <row r="2232" spans="191:191" x14ac:dyDescent="0.2">
      <c r="GI2232" s="422"/>
    </row>
    <row r="2233" spans="191:191" x14ac:dyDescent="0.2">
      <c r="GI2233" s="422"/>
    </row>
    <row r="2234" spans="191:191" x14ac:dyDescent="0.2">
      <c r="GI2234" s="422"/>
    </row>
    <row r="2235" spans="191:191" x14ac:dyDescent="0.2">
      <c r="GI2235" s="422"/>
    </row>
    <row r="2236" spans="191:191" x14ac:dyDescent="0.2">
      <c r="GI2236" s="422"/>
    </row>
    <row r="2237" spans="191:191" x14ac:dyDescent="0.2">
      <c r="GI2237" s="422"/>
    </row>
    <row r="2238" spans="191:191" x14ac:dyDescent="0.2">
      <c r="GI2238" s="422"/>
    </row>
    <row r="2239" spans="191:191" x14ac:dyDescent="0.2">
      <c r="GI2239" s="422"/>
    </row>
    <row r="2240" spans="191:191" x14ac:dyDescent="0.2">
      <c r="GI2240" s="422"/>
    </row>
    <row r="2241" spans="191:191" x14ac:dyDescent="0.2">
      <c r="GI2241" s="422"/>
    </row>
    <row r="2242" spans="191:191" x14ac:dyDescent="0.2">
      <c r="GI2242" s="422"/>
    </row>
    <row r="2243" spans="191:191" x14ac:dyDescent="0.2">
      <c r="GI2243" s="422"/>
    </row>
    <row r="2244" spans="191:191" x14ac:dyDescent="0.2">
      <c r="GI2244" s="422"/>
    </row>
    <row r="2245" spans="191:191" x14ac:dyDescent="0.2">
      <c r="GI2245" s="422"/>
    </row>
    <row r="2246" spans="191:191" x14ac:dyDescent="0.2">
      <c r="GI2246" s="422"/>
    </row>
    <row r="2247" spans="191:191" x14ac:dyDescent="0.2">
      <c r="GI2247" s="422"/>
    </row>
    <row r="2248" spans="191:191" x14ac:dyDescent="0.2">
      <c r="GI2248" s="422"/>
    </row>
    <row r="2249" spans="191:191" x14ac:dyDescent="0.2">
      <c r="GI2249" s="422"/>
    </row>
    <row r="2250" spans="191:191" x14ac:dyDescent="0.2">
      <c r="GI2250" s="422"/>
    </row>
    <row r="2251" spans="191:191" x14ac:dyDescent="0.2">
      <c r="GI2251" s="422"/>
    </row>
    <row r="2252" spans="191:191" x14ac:dyDescent="0.2">
      <c r="GI2252" s="422"/>
    </row>
    <row r="2253" spans="191:191" x14ac:dyDescent="0.2">
      <c r="GI2253" s="422"/>
    </row>
    <row r="2254" spans="191:191" x14ac:dyDescent="0.2">
      <c r="GI2254" s="422"/>
    </row>
    <row r="2255" spans="191:191" x14ac:dyDescent="0.2">
      <c r="GI2255" s="422"/>
    </row>
    <row r="2256" spans="191:191" x14ac:dyDescent="0.2">
      <c r="GI2256" s="422"/>
    </row>
    <row r="2257" spans="191:191" x14ac:dyDescent="0.2">
      <c r="GI2257" s="422"/>
    </row>
    <row r="2258" spans="191:191" x14ac:dyDescent="0.2">
      <c r="GI2258" s="422"/>
    </row>
    <row r="2259" spans="191:191" x14ac:dyDescent="0.2">
      <c r="GI2259" s="422"/>
    </row>
    <row r="2260" spans="191:191" x14ac:dyDescent="0.2">
      <c r="GI2260" s="422"/>
    </row>
    <row r="2261" spans="191:191" x14ac:dyDescent="0.2">
      <c r="GI2261" s="422"/>
    </row>
    <row r="2262" spans="191:191" x14ac:dyDescent="0.2">
      <c r="GI2262" s="422"/>
    </row>
    <row r="2263" spans="191:191" x14ac:dyDescent="0.2">
      <c r="GI2263" s="422"/>
    </row>
    <row r="2264" spans="191:191" x14ac:dyDescent="0.2">
      <c r="GI2264" s="422"/>
    </row>
    <row r="2265" spans="191:191" x14ac:dyDescent="0.2">
      <c r="GI2265" s="422"/>
    </row>
    <row r="2266" spans="191:191" x14ac:dyDescent="0.2">
      <c r="GI2266" s="422"/>
    </row>
    <row r="2267" spans="191:191" x14ac:dyDescent="0.2">
      <c r="GI2267" s="422"/>
    </row>
    <row r="2268" spans="191:191" x14ac:dyDescent="0.2">
      <c r="GI2268" s="422"/>
    </row>
    <row r="2269" spans="191:191" x14ac:dyDescent="0.2">
      <c r="GI2269" s="422"/>
    </row>
    <row r="2270" spans="191:191" x14ac:dyDescent="0.2">
      <c r="GI2270" s="422"/>
    </row>
    <row r="2271" spans="191:191" x14ac:dyDescent="0.2">
      <c r="GI2271" s="422"/>
    </row>
    <row r="2272" spans="191:191" x14ac:dyDescent="0.2">
      <c r="GI2272" s="422"/>
    </row>
    <row r="2273" spans="191:191" x14ac:dyDescent="0.2">
      <c r="GI2273" s="422"/>
    </row>
    <row r="2274" spans="191:191" x14ac:dyDescent="0.2">
      <c r="GI2274" s="422"/>
    </row>
    <row r="2275" spans="191:191" x14ac:dyDescent="0.2">
      <c r="GI2275" s="422"/>
    </row>
    <row r="2276" spans="191:191" x14ac:dyDescent="0.2">
      <c r="GI2276" s="422"/>
    </row>
    <row r="2277" spans="191:191" x14ac:dyDescent="0.2">
      <c r="GI2277" s="422"/>
    </row>
    <row r="2278" spans="191:191" x14ac:dyDescent="0.2">
      <c r="GI2278" s="422"/>
    </row>
    <row r="2279" spans="191:191" x14ac:dyDescent="0.2">
      <c r="GI2279" s="422"/>
    </row>
    <row r="2280" spans="191:191" x14ac:dyDescent="0.2">
      <c r="GI2280" s="422"/>
    </row>
    <row r="2281" spans="191:191" x14ac:dyDescent="0.2">
      <c r="GI2281" s="422"/>
    </row>
    <row r="2282" spans="191:191" x14ac:dyDescent="0.2">
      <c r="GI2282" s="422"/>
    </row>
    <row r="2283" spans="191:191" x14ac:dyDescent="0.2">
      <c r="GI2283" s="422"/>
    </row>
    <row r="2284" spans="191:191" x14ac:dyDescent="0.2">
      <c r="GI2284" s="422"/>
    </row>
    <row r="2285" spans="191:191" x14ac:dyDescent="0.2">
      <c r="GI2285" s="422"/>
    </row>
    <row r="2286" spans="191:191" x14ac:dyDescent="0.2">
      <c r="GI2286" s="422"/>
    </row>
    <row r="2287" spans="191:191" x14ac:dyDescent="0.2">
      <c r="GI2287" s="422"/>
    </row>
    <row r="2288" spans="191:191" x14ac:dyDescent="0.2">
      <c r="GI2288" s="422"/>
    </row>
    <row r="2289" spans="191:191" x14ac:dyDescent="0.2">
      <c r="GI2289" s="422"/>
    </row>
    <row r="2290" spans="191:191" x14ac:dyDescent="0.2">
      <c r="GI2290" s="422"/>
    </row>
    <row r="2291" spans="191:191" x14ac:dyDescent="0.2">
      <c r="GI2291" s="422"/>
    </row>
    <row r="2292" spans="191:191" x14ac:dyDescent="0.2">
      <c r="GI2292" s="422"/>
    </row>
    <row r="2293" spans="191:191" x14ac:dyDescent="0.2">
      <c r="GI2293" s="422"/>
    </row>
    <row r="2294" spans="191:191" x14ac:dyDescent="0.2">
      <c r="GI2294" s="422"/>
    </row>
    <row r="2295" spans="191:191" x14ac:dyDescent="0.2">
      <c r="GI2295" s="422"/>
    </row>
    <row r="2296" spans="191:191" x14ac:dyDescent="0.2">
      <c r="GI2296" s="422"/>
    </row>
    <row r="2297" spans="191:191" x14ac:dyDescent="0.2">
      <c r="GI2297" s="422"/>
    </row>
    <row r="2298" spans="191:191" x14ac:dyDescent="0.2">
      <c r="GI2298" s="422"/>
    </row>
    <row r="2299" spans="191:191" x14ac:dyDescent="0.2">
      <c r="GI2299" s="422"/>
    </row>
    <row r="2300" spans="191:191" x14ac:dyDescent="0.2">
      <c r="GI2300" s="422"/>
    </row>
    <row r="2301" spans="191:191" x14ac:dyDescent="0.2">
      <c r="GI2301" s="422"/>
    </row>
    <row r="2302" spans="191:191" x14ac:dyDescent="0.2">
      <c r="GI2302" s="422"/>
    </row>
    <row r="2303" spans="191:191" x14ac:dyDescent="0.2">
      <c r="GI2303" s="422"/>
    </row>
    <row r="2304" spans="191:191" x14ac:dyDescent="0.2">
      <c r="GI2304" s="422"/>
    </row>
    <row r="2305" spans="191:191" x14ac:dyDescent="0.2">
      <c r="GI2305" s="422"/>
    </row>
    <row r="2306" spans="191:191" x14ac:dyDescent="0.2">
      <c r="GI2306" s="422"/>
    </row>
    <row r="2307" spans="191:191" x14ac:dyDescent="0.2">
      <c r="GI2307" s="422"/>
    </row>
    <row r="2308" spans="191:191" x14ac:dyDescent="0.2">
      <c r="GI2308" s="422"/>
    </row>
    <row r="2309" spans="191:191" x14ac:dyDescent="0.2">
      <c r="GI2309" s="422"/>
    </row>
    <row r="2310" spans="191:191" x14ac:dyDescent="0.2">
      <c r="GI2310" s="422"/>
    </row>
    <row r="2311" spans="191:191" x14ac:dyDescent="0.2">
      <c r="GI2311" s="422"/>
    </row>
    <row r="2312" spans="191:191" x14ac:dyDescent="0.2">
      <c r="GI2312" s="422"/>
    </row>
    <row r="2313" spans="191:191" x14ac:dyDescent="0.2">
      <c r="GI2313" s="422"/>
    </row>
    <row r="2314" spans="191:191" x14ac:dyDescent="0.2">
      <c r="GI2314" s="422"/>
    </row>
    <row r="2315" spans="191:191" x14ac:dyDescent="0.2">
      <c r="GI2315" s="422"/>
    </row>
    <row r="2316" spans="191:191" x14ac:dyDescent="0.2">
      <c r="GI2316" s="422"/>
    </row>
    <row r="2317" spans="191:191" x14ac:dyDescent="0.2">
      <c r="GI2317" s="422"/>
    </row>
    <row r="2318" spans="191:191" x14ac:dyDescent="0.2">
      <c r="GI2318" s="422"/>
    </row>
    <row r="2319" spans="191:191" x14ac:dyDescent="0.2">
      <c r="GI2319" s="422"/>
    </row>
    <row r="2320" spans="191:191" x14ac:dyDescent="0.2">
      <c r="GI2320" s="422"/>
    </row>
    <row r="2321" spans="191:191" x14ac:dyDescent="0.2">
      <c r="GI2321" s="422"/>
    </row>
    <row r="2322" spans="191:191" x14ac:dyDescent="0.2">
      <c r="GI2322" s="422"/>
    </row>
    <row r="2323" spans="191:191" x14ac:dyDescent="0.2">
      <c r="GI2323" s="422"/>
    </row>
    <row r="2324" spans="191:191" x14ac:dyDescent="0.2">
      <c r="GI2324" s="422"/>
    </row>
    <row r="2325" spans="191:191" x14ac:dyDescent="0.2">
      <c r="GI2325" s="422"/>
    </row>
    <row r="2326" spans="191:191" x14ac:dyDescent="0.2">
      <c r="GI2326" s="422"/>
    </row>
    <row r="2327" spans="191:191" x14ac:dyDescent="0.2">
      <c r="GI2327" s="422"/>
    </row>
    <row r="2328" spans="191:191" x14ac:dyDescent="0.2">
      <c r="GI2328" s="422"/>
    </row>
    <row r="2329" spans="191:191" x14ac:dyDescent="0.2">
      <c r="GI2329" s="422"/>
    </row>
    <row r="2330" spans="191:191" x14ac:dyDescent="0.2">
      <c r="GI2330" s="422"/>
    </row>
    <row r="2331" spans="191:191" x14ac:dyDescent="0.2">
      <c r="GI2331" s="422"/>
    </row>
    <row r="2332" spans="191:191" x14ac:dyDescent="0.2">
      <c r="GI2332" s="422"/>
    </row>
    <row r="2333" spans="191:191" x14ac:dyDescent="0.2">
      <c r="GI2333" s="422"/>
    </row>
    <row r="2334" spans="191:191" x14ac:dyDescent="0.2">
      <c r="GI2334" s="422"/>
    </row>
    <row r="2335" spans="191:191" x14ac:dyDescent="0.2">
      <c r="GI2335" s="422"/>
    </row>
    <row r="2336" spans="191:191" x14ac:dyDescent="0.2">
      <c r="GI2336" s="422"/>
    </row>
    <row r="2337" spans="191:191" x14ac:dyDescent="0.2">
      <c r="GI2337" s="422"/>
    </row>
    <row r="2338" spans="191:191" x14ac:dyDescent="0.2">
      <c r="GI2338" s="422"/>
    </row>
    <row r="2339" spans="191:191" x14ac:dyDescent="0.2">
      <c r="GI2339" s="422"/>
    </row>
    <row r="2340" spans="191:191" x14ac:dyDescent="0.2">
      <c r="GI2340" s="422"/>
    </row>
    <row r="2341" spans="191:191" x14ac:dyDescent="0.2">
      <c r="GI2341" s="422"/>
    </row>
    <row r="2342" spans="191:191" x14ac:dyDescent="0.2">
      <c r="GI2342" s="422"/>
    </row>
    <row r="2343" spans="191:191" x14ac:dyDescent="0.2">
      <c r="GI2343" s="422"/>
    </row>
    <row r="2344" spans="191:191" x14ac:dyDescent="0.2">
      <c r="GI2344" s="422"/>
    </row>
    <row r="2345" spans="191:191" x14ac:dyDescent="0.2">
      <c r="GI2345" s="422"/>
    </row>
    <row r="2346" spans="191:191" x14ac:dyDescent="0.2">
      <c r="GI2346" s="422"/>
    </row>
    <row r="2347" spans="191:191" x14ac:dyDescent="0.2">
      <c r="GI2347" s="422"/>
    </row>
    <row r="2348" spans="191:191" x14ac:dyDescent="0.2">
      <c r="GI2348" s="422"/>
    </row>
    <row r="2349" spans="191:191" x14ac:dyDescent="0.2">
      <c r="GI2349" s="422"/>
    </row>
    <row r="2350" spans="191:191" x14ac:dyDescent="0.2">
      <c r="GI2350" s="422"/>
    </row>
    <row r="2351" spans="191:191" x14ac:dyDescent="0.2">
      <c r="GI2351" s="422"/>
    </row>
    <row r="2352" spans="191:191" x14ac:dyDescent="0.2">
      <c r="GI2352" s="422"/>
    </row>
    <row r="2353" spans="191:191" x14ac:dyDescent="0.2">
      <c r="GI2353" s="422"/>
    </row>
    <row r="2354" spans="191:191" x14ac:dyDescent="0.2">
      <c r="GI2354" s="422"/>
    </row>
    <row r="2355" spans="191:191" x14ac:dyDescent="0.2">
      <c r="GI2355" s="422"/>
    </row>
    <row r="2356" spans="191:191" x14ac:dyDescent="0.2">
      <c r="GI2356" s="422"/>
    </row>
    <row r="2357" spans="191:191" x14ac:dyDescent="0.2">
      <c r="GI2357" s="422"/>
    </row>
    <row r="2358" spans="191:191" x14ac:dyDescent="0.2">
      <c r="GI2358" s="422"/>
    </row>
    <row r="2359" spans="191:191" x14ac:dyDescent="0.2">
      <c r="GI2359" s="422"/>
    </row>
    <row r="2360" spans="191:191" x14ac:dyDescent="0.2">
      <c r="GI2360" s="422"/>
    </row>
    <row r="2361" spans="191:191" x14ac:dyDescent="0.2">
      <c r="GI2361" s="422"/>
    </row>
    <row r="2362" spans="191:191" x14ac:dyDescent="0.2">
      <c r="GI2362" s="422"/>
    </row>
    <row r="2363" spans="191:191" x14ac:dyDescent="0.2">
      <c r="GI2363" s="422"/>
    </row>
    <row r="2364" spans="191:191" x14ac:dyDescent="0.2">
      <c r="GI2364" s="422"/>
    </row>
    <row r="2365" spans="191:191" x14ac:dyDescent="0.2">
      <c r="GI2365" s="422"/>
    </row>
    <row r="2366" spans="191:191" x14ac:dyDescent="0.2">
      <c r="GI2366" s="422"/>
    </row>
    <row r="2367" spans="191:191" x14ac:dyDescent="0.2">
      <c r="GI2367" s="422"/>
    </row>
    <row r="2368" spans="191:191" x14ac:dyDescent="0.2">
      <c r="GI2368" s="422"/>
    </row>
    <row r="2369" spans="191:191" x14ac:dyDescent="0.2">
      <c r="GI2369" s="422"/>
    </row>
    <row r="2370" spans="191:191" x14ac:dyDescent="0.2">
      <c r="GI2370" s="422"/>
    </row>
    <row r="2371" spans="191:191" x14ac:dyDescent="0.2">
      <c r="GI2371" s="422"/>
    </row>
    <row r="2372" spans="191:191" x14ac:dyDescent="0.2">
      <c r="GI2372" s="422"/>
    </row>
    <row r="2373" spans="191:191" x14ac:dyDescent="0.2">
      <c r="GI2373" s="422"/>
    </row>
    <row r="2374" spans="191:191" x14ac:dyDescent="0.2">
      <c r="GI2374" s="422"/>
    </row>
    <row r="2375" spans="191:191" x14ac:dyDescent="0.2">
      <c r="GI2375" s="422"/>
    </row>
    <row r="2376" spans="191:191" x14ac:dyDescent="0.2">
      <c r="GI2376" s="422"/>
    </row>
    <row r="2377" spans="191:191" x14ac:dyDescent="0.2">
      <c r="GI2377" s="422"/>
    </row>
    <row r="2378" spans="191:191" x14ac:dyDescent="0.2">
      <c r="GI2378" s="422"/>
    </row>
    <row r="2379" spans="191:191" x14ac:dyDescent="0.2">
      <c r="GI2379" s="422"/>
    </row>
    <row r="2380" spans="191:191" x14ac:dyDescent="0.2">
      <c r="GI2380" s="422"/>
    </row>
    <row r="2381" spans="191:191" x14ac:dyDescent="0.2">
      <c r="GI2381" s="422"/>
    </row>
    <row r="2382" spans="191:191" x14ac:dyDescent="0.2">
      <c r="GI2382" s="422"/>
    </row>
    <row r="2383" spans="191:191" x14ac:dyDescent="0.2">
      <c r="GI2383" s="422"/>
    </row>
    <row r="2384" spans="191:191" x14ac:dyDescent="0.2">
      <c r="GI2384" s="422"/>
    </row>
    <row r="2385" spans="191:191" x14ac:dyDescent="0.2">
      <c r="GI2385" s="422"/>
    </row>
    <row r="2386" spans="191:191" x14ac:dyDescent="0.2">
      <c r="GI2386" s="422"/>
    </row>
    <row r="2387" spans="191:191" x14ac:dyDescent="0.2">
      <c r="GI2387" s="422"/>
    </row>
    <row r="2388" spans="191:191" x14ac:dyDescent="0.2">
      <c r="GI2388" s="422"/>
    </row>
    <row r="2389" spans="191:191" x14ac:dyDescent="0.2">
      <c r="GI2389" s="422"/>
    </row>
    <row r="2390" spans="191:191" x14ac:dyDescent="0.2">
      <c r="GI2390" s="422"/>
    </row>
    <row r="2391" spans="191:191" x14ac:dyDescent="0.2">
      <c r="GI2391" s="422"/>
    </row>
    <row r="2392" spans="191:191" x14ac:dyDescent="0.2">
      <c r="GI2392" s="422"/>
    </row>
    <row r="2393" spans="191:191" x14ac:dyDescent="0.2">
      <c r="GI2393" s="422"/>
    </row>
    <row r="2394" spans="191:191" x14ac:dyDescent="0.2">
      <c r="GI2394" s="422"/>
    </row>
    <row r="2395" spans="191:191" x14ac:dyDescent="0.2">
      <c r="GI2395" s="422"/>
    </row>
    <row r="2396" spans="191:191" x14ac:dyDescent="0.2">
      <c r="GI2396" s="422"/>
    </row>
    <row r="2397" spans="191:191" x14ac:dyDescent="0.2">
      <c r="GI2397" s="422"/>
    </row>
    <row r="2398" spans="191:191" x14ac:dyDescent="0.2">
      <c r="GI2398" s="422"/>
    </row>
    <row r="2399" spans="191:191" x14ac:dyDescent="0.2">
      <c r="GI2399" s="422"/>
    </row>
    <row r="2400" spans="191:191" x14ac:dyDescent="0.2">
      <c r="GI2400" s="422"/>
    </row>
    <row r="2401" spans="191:191" x14ac:dyDescent="0.2">
      <c r="GI2401" s="422"/>
    </row>
    <row r="2402" spans="191:191" x14ac:dyDescent="0.2">
      <c r="GI2402" s="422"/>
    </row>
    <row r="2403" spans="191:191" x14ac:dyDescent="0.2">
      <c r="GI2403" s="422"/>
    </row>
    <row r="2404" spans="191:191" x14ac:dyDescent="0.2">
      <c r="GI2404" s="422"/>
    </row>
    <row r="2405" spans="191:191" x14ac:dyDescent="0.2">
      <c r="GI2405" s="422"/>
    </row>
    <row r="2406" spans="191:191" x14ac:dyDescent="0.2">
      <c r="GI2406" s="422"/>
    </row>
    <row r="2407" spans="191:191" x14ac:dyDescent="0.2">
      <c r="GI2407" s="422"/>
    </row>
    <row r="2408" spans="191:191" x14ac:dyDescent="0.2">
      <c r="GI2408" s="422"/>
    </row>
    <row r="2409" spans="191:191" x14ac:dyDescent="0.2">
      <c r="GI2409" s="422"/>
    </row>
    <row r="2410" spans="191:191" x14ac:dyDescent="0.2">
      <c r="GI2410" s="422"/>
    </row>
    <row r="2411" spans="191:191" x14ac:dyDescent="0.2">
      <c r="GI2411" s="422"/>
    </row>
    <row r="2412" spans="191:191" x14ac:dyDescent="0.2">
      <c r="GI2412" s="422"/>
    </row>
    <row r="2413" spans="191:191" x14ac:dyDescent="0.2">
      <c r="GI2413" s="422"/>
    </row>
    <row r="2414" spans="191:191" x14ac:dyDescent="0.2">
      <c r="GI2414" s="422"/>
    </row>
    <row r="2415" spans="191:191" x14ac:dyDescent="0.2">
      <c r="GI2415" s="422"/>
    </row>
    <row r="2416" spans="191:191" x14ac:dyDescent="0.2">
      <c r="GI2416" s="422"/>
    </row>
    <row r="2417" spans="191:191" x14ac:dyDescent="0.2">
      <c r="GI2417" s="422"/>
    </row>
    <row r="2418" spans="191:191" x14ac:dyDescent="0.2">
      <c r="GI2418" s="422"/>
    </row>
    <row r="2419" spans="191:191" x14ac:dyDescent="0.2">
      <c r="GI2419" s="422"/>
    </row>
    <row r="2420" spans="191:191" x14ac:dyDescent="0.2">
      <c r="GI2420" s="422"/>
    </row>
    <row r="2421" spans="191:191" x14ac:dyDescent="0.2">
      <c r="GI2421" s="422"/>
    </row>
    <row r="2422" spans="191:191" x14ac:dyDescent="0.2">
      <c r="GI2422" s="422"/>
    </row>
    <row r="2423" spans="191:191" x14ac:dyDescent="0.2">
      <c r="GI2423" s="422"/>
    </row>
    <row r="2424" spans="191:191" x14ac:dyDescent="0.2">
      <c r="GI2424" s="422"/>
    </row>
    <row r="2425" spans="191:191" x14ac:dyDescent="0.2">
      <c r="GI2425" s="422"/>
    </row>
    <row r="2426" spans="191:191" x14ac:dyDescent="0.2">
      <c r="GI2426" s="422"/>
    </row>
    <row r="2427" spans="191:191" x14ac:dyDescent="0.2">
      <c r="GI2427" s="422"/>
    </row>
    <row r="2428" spans="191:191" x14ac:dyDescent="0.2">
      <c r="GI2428" s="422"/>
    </row>
    <row r="2429" spans="191:191" x14ac:dyDescent="0.2">
      <c r="GI2429" s="422"/>
    </row>
    <row r="2430" spans="191:191" x14ac:dyDescent="0.2">
      <c r="GI2430" s="422"/>
    </row>
    <row r="2431" spans="191:191" x14ac:dyDescent="0.2">
      <c r="GI2431" s="422"/>
    </row>
    <row r="2432" spans="191:191" x14ac:dyDescent="0.2">
      <c r="GI2432" s="422"/>
    </row>
    <row r="2433" spans="191:191" x14ac:dyDescent="0.2">
      <c r="GI2433" s="422"/>
    </row>
    <row r="2434" spans="191:191" x14ac:dyDescent="0.2">
      <c r="GI2434" s="422"/>
    </row>
    <row r="2435" spans="191:191" x14ac:dyDescent="0.2">
      <c r="GI2435" s="422"/>
    </row>
    <row r="2436" spans="191:191" x14ac:dyDescent="0.2">
      <c r="GI2436" s="422"/>
    </row>
    <row r="2437" spans="191:191" x14ac:dyDescent="0.2">
      <c r="GI2437" s="422"/>
    </row>
    <row r="2438" spans="191:191" x14ac:dyDescent="0.2">
      <c r="GI2438" s="422"/>
    </row>
    <row r="2439" spans="191:191" x14ac:dyDescent="0.2">
      <c r="GI2439" s="422"/>
    </row>
    <row r="2440" spans="191:191" x14ac:dyDescent="0.2">
      <c r="GI2440" s="422"/>
    </row>
    <row r="2441" spans="191:191" x14ac:dyDescent="0.2">
      <c r="GI2441" s="422"/>
    </row>
    <row r="2442" spans="191:191" x14ac:dyDescent="0.2">
      <c r="GI2442" s="422"/>
    </row>
    <row r="2443" spans="191:191" x14ac:dyDescent="0.2">
      <c r="GI2443" s="422"/>
    </row>
    <row r="2444" spans="191:191" x14ac:dyDescent="0.2">
      <c r="GI2444" s="422"/>
    </row>
    <row r="2445" spans="191:191" x14ac:dyDescent="0.2">
      <c r="GI2445" s="422"/>
    </row>
    <row r="2446" spans="191:191" x14ac:dyDescent="0.2">
      <c r="GI2446" s="422"/>
    </row>
    <row r="2447" spans="191:191" x14ac:dyDescent="0.2">
      <c r="GI2447" s="422"/>
    </row>
    <row r="2448" spans="191:191" x14ac:dyDescent="0.2">
      <c r="GI2448" s="422"/>
    </row>
    <row r="2449" spans="191:191" x14ac:dyDescent="0.2">
      <c r="GI2449" s="422"/>
    </row>
    <row r="2450" spans="191:191" x14ac:dyDescent="0.2">
      <c r="GI2450" s="422"/>
    </row>
    <row r="2451" spans="191:191" x14ac:dyDescent="0.2">
      <c r="GI2451" s="422"/>
    </row>
    <row r="2452" spans="191:191" x14ac:dyDescent="0.2">
      <c r="GI2452" s="422"/>
    </row>
    <row r="2453" spans="191:191" x14ac:dyDescent="0.2">
      <c r="GI2453" s="422"/>
    </row>
    <row r="2454" spans="191:191" x14ac:dyDescent="0.2">
      <c r="GI2454" s="422"/>
    </row>
    <row r="2455" spans="191:191" x14ac:dyDescent="0.2">
      <c r="GI2455" s="422"/>
    </row>
    <row r="2456" spans="191:191" x14ac:dyDescent="0.2">
      <c r="GI2456" s="422"/>
    </row>
    <row r="2457" spans="191:191" x14ac:dyDescent="0.2">
      <c r="GI2457" s="422"/>
    </row>
    <row r="2458" spans="191:191" x14ac:dyDescent="0.2">
      <c r="GI2458" s="422"/>
    </row>
    <row r="2459" spans="191:191" x14ac:dyDescent="0.2">
      <c r="GI2459" s="422"/>
    </row>
    <row r="2460" spans="191:191" x14ac:dyDescent="0.2">
      <c r="GI2460" s="422"/>
    </row>
    <row r="2461" spans="191:191" x14ac:dyDescent="0.2">
      <c r="GI2461" s="422"/>
    </row>
    <row r="2462" spans="191:191" x14ac:dyDescent="0.2">
      <c r="GI2462" s="422"/>
    </row>
    <row r="2463" spans="191:191" x14ac:dyDescent="0.2">
      <c r="GI2463" s="422"/>
    </row>
    <row r="2464" spans="191:191" x14ac:dyDescent="0.2">
      <c r="GI2464" s="422"/>
    </row>
    <row r="2465" spans="191:191" x14ac:dyDescent="0.2">
      <c r="GI2465" s="422"/>
    </row>
    <row r="2466" spans="191:191" x14ac:dyDescent="0.2">
      <c r="GI2466" s="422"/>
    </row>
    <row r="2467" spans="191:191" x14ac:dyDescent="0.2">
      <c r="GI2467" s="422"/>
    </row>
    <row r="2468" spans="191:191" x14ac:dyDescent="0.2">
      <c r="GI2468" s="422"/>
    </row>
    <row r="2469" spans="191:191" x14ac:dyDescent="0.2">
      <c r="GI2469" s="422"/>
    </row>
    <row r="2470" spans="191:191" x14ac:dyDescent="0.2">
      <c r="GI2470" s="422"/>
    </row>
    <row r="2471" spans="191:191" x14ac:dyDescent="0.2">
      <c r="GI2471" s="422"/>
    </row>
    <row r="2472" spans="191:191" x14ac:dyDescent="0.2">
      <c r="GI2472" s="422"/>
    </row>
    <row r="2473" spans="191:191" x14ac:dyDescent="0.2">
      <c r="GI2473" s="422"/>
    </row>
    <row r="2474" spans="191:191" x14ac:dyDescent="0.2">
      <c r="GI2474" s="422"/>
    </row>
    <row r="2475" spans="191:191" x14ac:dyDescent="0.2">
      <c r="GI2475" s="422"/>
    </row>
    <row r="2476" spans="191:191" x14ac:dyDescent="0.2">
      <c r="GI2476" s="422"/>
    </row>
    <row r="2477" spans="191:191" x14ac:dyDescent="0.2">
      <c r="GI2477" s="422"/>
    </row>
    <row r="2478" spans="191:191" x14ac:dyDescent="0.2">
      <c r="GI2478" s="422"/>
    </row>
    <row r="2479" spans="191:191" x14ac:dyDescent="0.2">
      <c r="GI2479" s="422"/>
    </row>
    <row r="2480" spans="191:191" x14ac:dyDescent="0.2">
      <c r="GI2480" s="422"/>
    </row>
    <row r="2481" spans="191:191" x14ac:dyDescent="0.2">
      <c r="GI2481" s="422"/>
    </row>
    <row r="2482" spans="191:191" x14ac:dyDescent="0.2">
      <c r="GI2482" s="422"/>
    </row>
    <row r="2483" spans="191:191" x14ac:dyDescent="0.2">
      <c r="GI2483" s="422"/>
    </row>
    <row r="2484" spans="191:191" x14ac:dyDescent="0.2">
      <c r="GI2484" s="422"/>
    </row>
    <row r="2485" spans="191:191" x14ac:dyDescent="0.2">
      <c r="GI2485" s="422"/>
    </row>
    <row r="2486" spans="191:191" x14ac:dyDescent="0.2">
      <c r="GI2486" s="422"/>
    </row>
    <row r="2487" spans="191:191" x14ac:dyDescent="0.2">
      <c r="GI2487" s="422"/>
    </row>
    <row r="2488" spans="191:191" x14ac:dyDescent="0.2">
      <c r="GI2488" s="422"/>
    </row>
    <row r="2489" spans="191:191" x14ac:dyDescent="0.2">
      <c r="GI2489" s="422"/>
    </row>
    <row r="2490" spans="191:191" x14ac:dyDescent="0.2">
      <c r="GI2490" s="422"/>
    </row>
    <row r="2491" spans="191:191" x14ac:dyDescent="0.2">
      <c r="GI2491" s="422"/>
    </row>
    <row r="2492" spans="191:191" x14ac:dyDescent="0.2">
      <c r="GI2492" s="422"/>
    </row>
    <row r="2493" spans="191:191" x14ac:dyDescent="0.2">
      <c r="GI2493" s="422"/>
    </row>
    <row r="2494" spans="191:191" x14ac:dyDescent="0.2">
      <c r="GI2494" s="422"/>
    </row>
    <row r="2495" spans="191:191" x14ac:dyDescent="0.2">
      <c r="GI2495" s="422"/>
    </row>
    <row r="2496" spans="191:191" x14ac:dyDescent="0.2">
      <c r="GI2496" s="422"/>
    </row>
    <row r="2497" spans="191:191" x14ac:dyDescent="0.2">
      <c r="GI2497" s="422"/>
    </row>
    <row r="2498" spans="191:191" x14ac:dyDescent="0.2">
      <c r="GI2498" s="422"/>
    </row>
    <row r="2499" spans="191:191" x14ac:dyDescent="0.2">
      <c r="GI2499" s="422"/>
    </row>
    <row r="2500" spans="191:191" x14ac:dyDescent="0.2">
      <c r="GI2500" s="422"/>
    </row>
    <row r="2501" spans="191:191" x14ac:dyDescent="0.2">
      <c r="GI2501" s="422"/>
    </row>
    <row r="2502" spans="191:191" x14ac:dyDescent="0.2">
      <c r="GI2502" s="422"/>
    </row>
    <row r="2503" spans="191:191" x14ac:dyDescent="0.2">
      <c r="GI2503" s="422"/>
    </row>
    <row r="2504" spans="191:191" x14ac:dyDescent="0.2">
      <c r="GI2504" s="422"/>
    </row>
    <row r="2505" spans="191:191" x14ac:dyDescent="0.2">
      <c r="GI2505" s="422"/>
    </row>
    <row r="2506" spans="191:191" x14ac:dyDescent="0.2">
      <c r="GI2506" s="422"/>
    </row>
    <row r="2507" spans="191:191" x14ac:dyDescent="0.2">
      <c r="GI2507" s="422"/>
    </row>
    <row r="2508" spans="191:191" x14ac:dyDescent="0.2">
      <c r="GI2508" s="422"/>
    </row>
    <row r="2509" spans="191:191" x14ac:dyDescent="0.2">
      <c r="GI2509" s="422"/>
    </row>
    <row r="2510" spans="191:191" x14ac:dyDescent="0.2">
      <c r="GI2510" s="422"/>
    </row>
    <row r="2511" spans="191:191" x14ac:dyDescent="0.2">
      <c r="GI2511" s="422"/>
    </row>
    <row r="2512" spans="191:191" x14ac:dyDescent="0.2">
      <c r="GI2512" s="422"/>
    </row>
    <row r="2513" spans="191:191" x14ac:dyDescent="0.2">
      <c r="GI2513" s="422"/>
    </row>
    <row r="2514" spans="191:191" x14ac:dyDescent="0.2">
      <c r="GI2514" s="422"/>
    </row>
    <row r="2515" spans="191:191" x14ac:dyDescent="0.2">
      <c r="GI2515" s="422"/>
    </row>
    <row r="2516" spans="191:191" x14ac:dyDescent="0.2">
      <c r="GI2516" s="422"/>
    </row>
    <row r="2517" spans="191:191" x14ac:dyDescent="0.2">
      <c r="GI2517" s="422"/>
    </row>
    <row r="2518" spans="191:191" x14ac:dyDescent="0.2">
      <c r="GI2518" s="422"/>
    </row>
    <row r="2519" spans="191:191" x14ac:dyDescent="0.2">
      <c r="GI2519" s="422"/>
    </row>
    <row r="2520" spans="191:191" x14ac:dyDescent="0.2">
      <c r="GI2520" s="422"/>
    </row>
    <row r="2521" spans="191:191" x14ac:dyDescent="0.2">
      <c r="GI2521" s="422"/>
    </row>
    <row r="2522" spans="191:191" x14ac:dyDescent="0.2">
      <c r="GI2522" s="422"/>
    </row>
    <row r="2523" spans="191:191" x14ac:dyDescent="0.2">
      <c r="GI2523" s="422"/>
    </row>
    <row r="2524" spans="191:191" x14ac:dyDescent="0.2">
      <c r="GI2524" s="422"/>
    </row>
    <row r="2525" spans="191:191" x14ac:dyDescent="0.2">
      <c r="GI2525" s="422"/>
    </row>
    <row r="2526" spans="191:191" x14ac:dyDescent="0.2">
      <c r="GI2526" s="422"/>
    </row>
    <row r="2527" spans="191:191" x14ac:dyDescent="0.2">
      <c r="GI2527" s="422"/>
    </row>
    <row r="2528" spans="191:191" x14ac:dyDescent="0.2">
      <c r="GI2528" s="422"/>
    </row>
    <row r="2529" spans="191:191" x14ac:dyDescent="0.2">
      <c r="GI2529" s="422"/>
    </row>
    <row r="2530" spans="191:191" x14ac:dyDescent="0.2">
      <c r="GI2530" s="422"/>
    </row>
    <row r="2531" spans="191:191" x14ac:dyDescent="0.2">
      <c r="GI2531" s="422"/>
    </row>
    <row r="2532" spans="191:191" x14ac:dyDescent="0.2">
      <c r="GI2532" s="422"/>
    </row>
    <row r="2533" spans="191:191" x14ac:dyDescent="0.2">
      <c r="GI2533" s="422"/>
    </row>
    <row r="2534" spans="191:191" x14ac:dyDescent="0.2">
      <c r="GI2534" s="422"/>
    </row>
    <row r="2535" spans="191:191" x14ac:dyDescent="0.2">
      <c r="GI2535" s="422"/>
    </row>
    <row r="2536" spans="191:191" x14ac:dyDescent="0.2">
      <c r="GI2536" s="422"/>
    </row>
    <row r="2537" spans="191:191" x14ac:dyDescent="0.2">
      <c r="GI2537" s="422"/>
    </row>
    <row r="2538" spans="191:191" x14ac:dyDescent="0.2">
      <c r="GI2538" s="422"/>
    </row>
    <row r="2539" spans="191:191" x14ac:dyDescent="0.2">
      <c r="GI2539" s="422"/>
    </row>
    <row r="2540" spans="191:191" x14ac:dyDescent="0.2">
      <c r="GI2540" s="422"/>
    </row>
    <row r="2541" spans="191:191" x14ac:dyDescent="0.2">
      <c r="GI2541" s="422"/>
    </row>
    <row r="2542" spans="191:191" x14ac:dyDescent="0.2">
      <c r="GI2542" s="422"/>
    </row>
    <row r="2543" spans="191:191" x14ac:dyDescent="0.2">
      <c r="GI2543" s="422"/>
    </row>
    <row r="2544" spans="191:191" x14ac:dyDescent="0.2">
      <c r="GI2544" s="422"/>
    </row>
    <row r="2545" spans="191:191" x14ac:dyDescent="0.2">
      <c r="GI2545" s="422"/>
    </row>
    <row r="2546" spans="191:191" x14ac:dyDescent="0.2">
      <c r="GI2546" s="422"/>
    </row>
    <row r="2547" spans="191:191" x14ac:dyDescent="0.2">
      <c r="GI2547" s="422"/>
    </row>
    <row r="2548" spans="191:191" x14ac:dyDescent="0.2">
      <c r="GI2548" s="422"/>
    </row>
    <row r="2549" spans="191:191" x14ac:dyDescent="0.2">
      <c r="GI2549" s="422"/>
    </row>
    <row r="2550" spans="191:191" x14ac:dyDescent="0.2">
      <c r="GI2550" s="422"/>
    </row>
    <row r="2551" spans="191:191" x14ac:dyDescent="0.2">
      <c r="GI2551" s="422"/>
    </row>
    <row r="2552" spans="191:191" x14ac:dyDescent="0.2">
      <c r="GI2552" s="422"/>
    </row>
    <row r="2553" spans="191:191" x14ac:dyDescent="0.2">
      <c r="GI2553" s="422"/>
    </row>
    <row r="2554" spans="191:191" x14ac:dyDescent="0.2">
      <c r="GI2554" s="422"/>
    </row>
    <row r="2555" spans="191:191" x14ac:dyDescent="0.2">
      <c r="GI2555" s="422"/>
    </row>
    <row r="2556" spans="191:191" x14ac:dyDescent="0.2">
      <c r="GI2556" s="422"/>
    </row>
    <row r="2557" spans="191:191" x14ac:dyDescent="0.2">
      <c r="GI2557" s="422"/>
    </row>
    <row r="2558" spans="191:191" x14ac:dyDescent="0.2">
      <c r="GI2558" s="422"/>
    </row>
    <row r="2559" spans="191:191" x14ac:dyDescent="0.2">
      <c r="GI2559" s="422"/>
    </row>
    <row r="2560" spans="191:191" x14ac:dyDescent="0.2">
      <c r="GI2560" s="422"/>
    </row>
    <row r="2561" spans="191:191" x14ac:dyDescent="0.2">
      <c r="GI2561" s="422"/>
    </row>
    <row r="2562" spans="191:191" x14ac:dyDescent="0.2">
      <c r="GI2562" s="422"/>
    </row>
    <row r="2563" spans="191:191" x14ac:dyDescent="0.2">
      <c r="GI2563" s="422"/>
    </row>
    <row r="2564" spans="191:191" x14ac:dyDescent="0.2">
      <c r="GI2564" s="422"/>
    </row>
    <row r="2565" spans="191:191" x14ac:dyDescent="0.2">
      <c r="GI2565" s="422"/>
    </row>
    <row r="2566" spans="191:191" x14ac:dyDescent="0.2">
      <c r="GI2566" s="422"/>
    </row>
    <row r="2567" spans="191:191" x14ac:dyDescent="0.2">
      <c r="GI2567" s="422"/>
    </row>
    <row r="2568" spans="191:191" x14ac:dyDescent="0.2">
      <c r="GI2568" s="422"/>
    </row>
    <row r="2569" spans="191:191" x14ac:dyDescent="0.2">
      <c r="GI2569" s="422"/>
    </row>
    <row r="2570" spans="191:191" x14ac:dyDescent="0.2">
      <c r="GI2570" s="422"/>
    </row>
    <row r="2571" spans="191:191" x14ac:dyDescent="0.2">
      <c r="GI2571" s="422"/>
    </row>
    <row r="2572" spans="191:191" x14ac:dyDescent="0.2">
      <c r="GI2572" s="422"/>
    </row>
    <row r="2573" spans="191:191" x14ac:dyDescent="0.2">
      <c r="GI2573" s="422"/>
    </row>
    <row r="2574" spans="191:191" x14ac:dyDescent="0.2">
      <c r="GI2574" s="422"/>
    </row>
    <row r="2575" spans="191:191" x14ac:dyDescent="0.2">
      <c r="GI2575" s="422"/>
    </row>
    <row r="2576" spans="191:191" x14ac:dyDescent="0.2">
      <c r="GI2576" s="422"/>
    </row>
    <row r="2577" spans="191:191" x14ac:dyDescent="0.2">
      <c r="GI2577" s="422"/>
    </row>
    <row r="2578" spans="191:191" x14ac:dyDescent="0.2">
      <c r="GI2578" s="422"/>
    </row>
    <row r="2579" spans="191:191" x14ac:dyDescent="0.2">
      <c r="GI2579" s="422"/>
    </row>
    <row r="2580" spans="191:191" x14ac:dyDescent="0.2">
      <c r="GI2580" s="422"/>
    </row>
    <row r="2581" spans="191:191" x14ac:dyDescent="0.2">
      <c r="GI2581" s="422"/>
    </row>
    <row r="2582" spans="191:191" x14ac:dyDescent="0.2">
      <c r="GI2582" s="422"/>
    </row>
    <row r="2583" spans="191:191" x14ac:dyDescent="0.2">
      <c r="GI2583" s="422"/>
    </row>
    <row r="2584" spans="191:191" x14ac:dyDescent="0.2">
      <c r="GI2584" s="422"/>
    </row>
    <row r="2585" spans="191:191" x14ac:dyDescent="0.2">
      <c r="GI2585" s="422"/>
    </row>
    <row r="2586" spans="191:191" x14ac:dyDescent="0.2">
      <c r="GI2586" s="422"/>
    </row>
    <row r="2587" spans="191:191" x14ac:dyDescent="0.2">
      <c r="GI2587" s="422"/>
    </row>
    <row r="2588" spans="191:191" x14ac:dyDescent="0.2">
      <c r="GI2588" s="422"/>
    </row>
    <row r="2589" spans="191:191" x14ac:dyDescent="0.2">
      <c r="GI2589" s="422"/>
    </row>
    <row r="2590" spans="191:191" x14ac:dyDescent="0.2">
      <c r="GI2590" s="422"/>
    </row>
    <row r="2591" spans="191:191" x14ac:dyDescent="0.2">
      <c r="GI2591" s="422"/>
    </row>
    <row r="2592" spans="191:191" x14ac:dyDescent="0.2">
      <c r="GI2592" s="422"/>
    </row>
    <row r="2593" spans="191:191" x14ac:dyDescent="0.2">
      <c r="GI2593" s="422"/>
    </row>
    <row r="2594" spans="191:191" x14ac:dyDescent="0.2">
      <c r="GI2594" s="422"/>
    </row>
    <row r="2595" spans="191:191" x14ac:dyDescent="0.2">
      <c r="GI2595" s="422"/>
    </row>
    <row r="2596" spans="191:191" x14ac:dyDescent="0.2">
      <c r="GI2596" s="422"/>
    </row>
    <row r="2597" spans="191:191" x14ac:dyDescent="0.2">
      <c r="GI2597" s="422"/>
    </row>
    <row r="2598" spans="191:191" x14ac:dyDescent="0.2">
      <c r="GI2598" s="422"/>
    </row>
    <row r="2599" spans="191:191" x14ac:dyDescent="0.2">
      <c r="GI2599" s="422"/>
    </row>
    <row r="2600" spans="191:191" x14ac:dyDescent="0.2">
      <c r="GI2600" s="422"/>
    </row>
    <row r="2601" spans="191:191" x14ac:dyDescent="0.2">
      <c r="GI2601" s="422"/>
    </row>
    <row r="2602" spans="191:191" x14ac:dyDescent="0.2">
      <c r="GI2602" s="422"/>
    </row>
    <row r="2603" spans="191:191" x14ac:dyDescent="0.2">
      <c r="GI2603" s="422"/>
    </row>
    <row r="2604" spans="191:191" x14ac:dyDescent="0.2">
      <c r="GI2604" s="422"/>
    </row>
    <row r="2605" spans="191:191" x14ac:dyDescent="0.2">
      <c r="GI2605" s="422"/>
    </row>
    <row r="2606" spans="191:191" x14ac:dyDescent="0.2">
      <c r="GI2606" s="422"/>
    </row>
    <row r="2607" spans="191:191" x14ac:dyDescent="0.2">
      <c r="GI2607" s="422"/>
    </row>
    <row r="2608" spans="191:191" x14ac:dyDescent="0.2">
      <c r="GI2608" s="422"/>
    </row>
    <row r="2609" spans="191:191" x14ac:dyDescent="0.2">
      <c r="GI2609" s="422"/>
    </row>
    <row r="2610" spans="191:191" x14ac:dyDescent="0.2">
      <c r="GI2610" s="422"/>
    </row>
    <row r="2611" spans="191:191" x14ac:dyDescent="0.2">
      <c r="GI2611" s="422"/>
    </row>
    <row r="2612" spans="191:191" x14ac:dyDescent="0.2">
      <c r="GI2612" s="422"/>
    </row>
    <row r="2613" spans="191:191" x14ac:dyDescent="0.2">
      <c r="GI2613" s="422"/>
    </row>
    <row r="2614" spans="191:191" x14ac:dyDescent="0.2">
      <c r="GI2614" s="422"/>
    </row>
    <row r="2615" spans="191:191" x14ac:dyDescent="0.2">
      <c r="GI2615" s="422"/>
    </row>
    <row r="2616" spans="191:191" x14ac:dyDescent="0.2">
      <c r="GI2616" s="422"/>
    </row>
    <row r="2617" spans="191:191" x14ac:dyDescent="0.2">
      <c r="GI2617" s="422"/>
    </row>
    <row r="2618" spans="191:191" x14ac:dyDescent="0.2">
      <c r="GI2618" s="422"/>
    </row>
    <row r="2619" spans="191:191" x14ac:dyDescent="0.2">
      <c r="GI2619" s="422"/>
    </row>
    <row r="2620" spans="191:191" x14ac:dyDescent="0.2">
      <c r="GI2620" s="422"/>
    </row>
    <row r="2621" spans="191:191" x14ac:dyDescent="0.2">
      <c r="GI2621" s="422"/>
    </row>
    <row r="2622" spans="191:191" x14ac:dyDescent="0.2">
      <c r="GI2622" s="422"/>
    </row>
    <row r="2623" spans="191:191" x14ac:dyDescent="0.2">
      <c r="GI2623" s="422"/>
    </row>
    <row r="2624" spans="191:191" x14ac:dyDescent="0.2">
      <c r="GI2624" s="422"/>
    </row>
    <row r="2625" spans="191:191" x14ac:dyDescent="0.2">
      <c r="GI2625" s="422"/>
    </row>
    <row r="2626" spans="191:191" x14ac:dyDescent="0.2">
      <c r="GI2626" s="422"/>
    </row>
    <row r="2627" spans="191:191" x14ac:dyDescent="0.2">
      <c r="GI2627" s="422"/>
    </row>
    <row r="2628" spans="191:191" x14ac:dyDescent="0.2">
      <c r="GI2628" s="422"/>
    </row>
    <row r="2629" spans="191:191" x14ac:dyDescent="0.2">
      <c r="GI2629" s="422"/>
    </row>
    <row r="2630" spans="191:191" x14ac:dyDescent="0.2">
      <c r="GI2630" s="422"/>
    </row>
    <row r="2631" spans="191:191" x14ac:dyDescent="0.2">
      <c r="GI2631" s="422"/>
    </row>
    <row r="2632" spans="191:191" x14ac:dyDescent="0.2">
      <c r="GI2632" s="422"/>
    </row>
    <row r="2633" spans="191:191" x14ac:dyDescent="0.2">
      <c r="GI2633" s="422"/>
    </row>
    <row r="2634" spans="191:191" x14ac:dyDescent="0.2">
      <c r="GI2634" s="422"/>
    </row>
    <row r="2635" spans="191:191" x14ac:dyDescent="0.2">
      <c r="GI2635" s="422"/>
    </row>
    <row r="2636" spans="191:191" x14ac:dyDescent="0.2">
      <c r="GI2636" s="422"/>
    </row>
    <row r="2637" spans="191:191" x14ac:dyDescent="0.2">
      <c r="GI2637" s="422"/>
    </row>
    <row r="2638" spans="191:191" x14ac:dyDescent="0.2">
      <c r="GI2638" s="422"/>
    </row>
    <row r="2639" spans="191:191" x14ac:dyDescent="0.2">
      <c r="GI2639" s="422"/>
    </row>
    <row r="2640" spans="191:191" x14ac:dyDescent="0.2">
      <c r="GI2640" s="422"/>
    </row>
    <row r="2641" spans="191:191" x14ac:dyDescent="0.2">
      <c r="GI2641" s="422"/>
    </row>
    <row r="2642" spans="191:191" x14ac:dyDescent="0.2">
      <c r="GI2642" s="422"/>
    </row>
    <row r="2643" spans="191:191" x14ac:dyDescent="0.2">
      <c r="GI2643" s="422"/>
    </row>
    <row r="2644" spans="191:191" x14ac:dyDescent="0.2">
      <c r="GI2644" s="422"/>
    </row>
    <row r="2645" spans="191:191" x14ac:dyDescent="0.2">
      <c r="GI2645" s="422"/>
    </row>
    <row r="2646" spans="191:191" x14ac:dyDescent="0.2">
      <c r="GI2646" s="422"/>
    </row>
    <row r="2647" spans="191:191" x14ac:dyDescent="0.2">
      <c r="GI2647" s="422"/>
    </row>
    <row r="2648" spans="191:191" x14ac:dyDescent="0.2">
      <c r="GI2648" s="422"/>
    </row>
    <row r="2649" spans="191:191" x14ac:dyDescent="0.2">
      <c r="GI2649" s="422"/>
    </row>
    <row r="2650" spans="191:191" x14ac:dyDescent="0.2">
      <c r="GI2650" s="422"/>
    </row>
    <row r="2651" spans="191:191" x14ac:dyDescent="0.2">
      <c r="GI2651" s="422"/>
    </row>
    <row r="2652" spans="191:191" x14ac:dyDescent="0.2">
      <c r="GI2652" s="422"/>
    </row>
    <row r="2653" spans="191:191" x14ac:dyDescent="0.2">
      <c r="GI2653" s="422"/>
    </row>
    <row r="2654" spans="191:191" x14ac:dyDescent="0.2">
      <c r="GI2654" s="422"/>
    </row>
    <row r="2655" spans="191:191" x14ac:dyDescent="0.2">
      <c r="GI2655" s="422"/>
    </row>
    <row r="2656" spans="191:191" x14ac:dyDescent="0.2">
      <c r="GI2656" s="422"/>
    </row>
    <row r="2657" spans="191:191" x14ac:dyDescent="0.2">
      <c r="GI2657" s="422"/>
    </row>
    <row r="2658" spans="191:191" x14ac:dyDescent="0.2">
      <c r="GI2658" s="422"/>
    </row>
    <row r="2659" spans="191:191" x14ac:dyDescent="0.2">
      <c r="GI2659" s="422"/>
    </row>
    <row r="2660" spans="191:191" x14ac:dyDescent="0.2">
      <c r="GI2660" s="422"/>
    </row>
    <row r="2661" spans="191:191" x14ac:dyDescent="0.2">
      <c r="GI2661" s="422"/>
    </row>
    <row r="2662" spans="191:191" x14ac:dyDescent="0.2">
      <c r="GI2662" s="422"/>
    </row>
    <row r="2663" spans="191:191" x14ac:dyDescent="0.2">
      <c r="GI2663" s="422"/>
    </row>
    <row r="2664" spans="191:191" x14ac:dyDescent="0.2">
      <c r="GI2664" s="422"/>
    </row>
    <row r="2665" spans="191:191" x14ac:dyDescent="0.2">
      <c r="GI2665" s="422"/>
    </row>
    <row r="2666" spans="191:191" x14ac:dyDescent="0.2">
      <c r="GI2666" s="422"/>
    </row>
    <row r="2667" spans="191:191" x14ac:dyDescent="0.2">
      <c r="GI2667" s="422"/>
    </row>
    <row r="2668" spans="191:191" x14ac:dyDescent="0.2">
      <c r="GI2668" s="422"/>
    </row>
    <row r="2669" spans="191:191" x14ac:dyDescent="0.2">
      <c r="GI2669" s="422"/>
    </row>
    <row r="2670" spans="191:191" x14ac:dyDescent="0.2">
      <c r="GI2670" s="422"/>
    </row>
    <row r="2671" spans="191:191" x14ac:dyDescent="0.2">
      <c r="GI2671" s="422"/>
    </row>
    <row r="2672" spans="191:191" x14ac:dyDescent="0.2">
      <c r="GI2672" s="422"/>
    </row>
    <row r="2673" spans="191:191" x14ac:dyDescent="0.2">
      <c r="GI2673" s="422"/>
    </row>
    <row r="2674" spans="191:191" x14ac:dyDescent="0.2">
      <c r="GI2674" s="422"/>
    </row>
    <row r="2675" spans="191:191" x14ac:dyDescent="0.2">
      <c r="GI2675" s="422"/>
    </row>
    <row r="2676" spans="191:191" x14ac:dyDescent="0.2">
      <c r="GI2676" s="422"/>
    </row>
    <row r="2677" spans="191:191" x14ac:dyDescent="0.2">
      <c r="GI2677" s="422"/>
    </row>
    <row r="2678" spans="191:191" x14ac:dyDescent="0.2">
      <c r="GI2678" s="422"/>
    </row>
    <row r="2679" spans="191:191" x14ac:dyDescent="0.2">
      <c r="GI2679" s="422"/>
    </row>
    <row r="2680" spans="191:191" x14ac:dyDescent="0.2">
      <c r="GI2680" s="422"/>
    </row>
    <row r="2681" spans="191:191" x14ac:dyDescent="0.2">
      <c r="GI2681" s="422"/>
    </row>
    <row r="2682" spans="191:191" x14ac:dyDescent="0.2">
      <c r="GI2682" s="422"/>
    </row>
    <row r="2683" spans="191:191" x14ac:dyDescent="0.2">
      <c r="GI2683" s="422"/>
    </row>
    <row r="2684" spans="191:191" x14ac:dyDescent="0.2">
      <c r="GI2684" s="422"/>
    </row>
    <row r="2685" spans="191:191" x14ac:dyDescent="0.2">
      <c r="GI2685" s="422"/>
    </row>
    <row r="2686" spans="191:191" x14ac:dyDescent="0.2">
      <c r="GI2686" s="422"/>
    </row>
    <row r="2687" spans="191:191" x14ac:dyDescent="0.2">
      <c r="GI2687" s="422"/>
    </row>
    <row r="2688" spans="191:191" x14ac:dyDescent="0.2">
      <c r="GI2688" s="422"/>
    </row>
    <row r="2689" spans="191:191" x14ac:dyDescent="0.2">
      <c r="GI2689" s="422"/>
    </row>
    <row r="2690" spans="191:191" x14ac:dyDescent="0.2">
      <c r="GI2690" s="422"/>
    </row>
    <row r="2691" spans="191:191" x14ac:dyDescent="0.2">
      <c r="GI2691" s="422"/>
    </row>
    <row r="2692" spans="191:191" x14ac:dyDescent="0.2">
      <c r="GI2692" s="422"/>
    </row>
    <row r="2693" spans="191:191" x14ac:dyDescent="0.2">
      <c r="GI2693" s="422"/>
    </row>
    <row r="2694" spans="191:191" x14ac:dyDescent="0.2">
      <c r="GI2694" s="422"/>
    </row>
    <row r="2695" spans="191:191" x14ac:dyDescent="0.2">
      <c r="GI2695" s="422"/>
    </row>
    <row r="2696" spans="191:191" x14ac:dyDescent="0.2">
      <c r="GI2696" s="422"/>
    </row>
    <row r="2697" spans="191:191" x14ac:dyDescent="0.2">
      <c r="GI2697" s="422"/>
    </row>
    <row r="2698" spans="191:191" x14ac:dyDescent="0.2">
      <c r="GI2698" s="422"/>
    </row>
    <row r="2699" spans="191:191" x14ac:dyDescent="0.2">
      <c r="GI2699" s="422"/>
    </row>
    <row r="2700" spans="191:191" x14ac:dyDescent="0.2">
      <c r="GI2700" s="422"/>
    </row>
    <row r="2701" spans="191:191" x14ac:dyDescent="0.2">
      <c r="GI2701" s="422"/>
    </row>
    <row r="2702" spans="191:191" x14ac:dyDescent="0.2">
      <c r="GI2702" s="422"/>
    </row>
    <row r="2703" spans="191:191" x14ac:dyDescent="0.2">
      <c r="GI2703" s="422"/>
    </row>
    <row r="2704" spans="191:191" x14ac:dyDescent="0.2">
      <c r="GI2704" s="422"/>
    </row>
    <row r="2705" spans="191:191" x14ac:dyDescent="0.2">
      <c r="GI2705" s="422"/>
    </row>
    <row r="2706" spans="191:191" x14ac:dyDescent="0.2">
      <c r="GI2706" s="422"/>
    </row>
    <row r="2707" spans="191:191" x14ac:dyDescent="0.2">
      <c r="GI2707" s="422"/>
    </row>
    <row r="2708" spans="191:191" x14ac:dyDescent="0.2">
      <c r="GI2708" s="422"/>
    </row>
    <row r="2709" spans="191:191" x14ac:dyDescent="0.2">
      <c r="GI2709" s="422"/>
    </row>
    <row r="2710" spans="191:191" x14ac:dyDescent="0.2">
      <c r="GI2710" s="422"/>
    </row>
    <row r="2711" spans="191:191" x14ac:dyDescent="0.2">
      <c r="GI2711" s="422"/>
    </row>
    <row r="2712" spans="191:191" x14ac:dyDescent="0.2">
      <c r="GI2712" s="422"/>
    </row>
    <row r="2713" spans="191:191" x14ac:dyDescent="0.2">
      <c r="GI2713" s="422"/>
    </row>
    <row r="2714" spans="191:191" x14ac:dyDescent="0.2">
      <c r="GI2714" s="422"/>
    </row>
    <row r="2715" spans="191:191" x14ac:dyDescent="0.2">
      <c r="GI2715" s="422"/>
    </row>
    <row r="2716" spans="191:191" x14ac:dyDescent="0.2">
      <c r="GI2716" s="422"/>
    </row>
    <row r="2717" spans="191:191" x14ac:dyDescent="0.2">
      <c r="GI2717" s="422"/>
    </row>
    <row r="2718" spans="191:191" x14ac:dyDescent="0.2">
      <c r="GI2718" s="422"/>
    </row>
    <row r="2719" spans="191:191" x14ac:dyDescent="0.2">
      <c r="GI2719" s="422"/>
    </row>
    <row r="2720" spans="191:191" x14ac:dyDescent="0.2">
      <c r="GI2720" s="422"/>
    </row>
    <row r="2721" spans="191:191" x14ac:dyDescent="0.2">
      <c r="GI2721" s="422"/>
    </row>
    <row r="2722" spans="191:191" x14ac:dyDescent="0.2">
      <c r="GI2722" s="422"/>
    </row>
    <row r="2723" spans="191:191" x14ac:dyDescent="0.2">
      <c r="GI2723" s="422"/>
    </row>
    <row r="2724" spans="191:191" x14ac:dyDescent="0.2">
      <c r="GI2724" s="422"/>
    </row>
    <row r="2725" spans="191:191" x14ac:dyDescent="0.2">
      <c r="GI2725" s="422"/>
    </row>
    <row r="2726" spans="191:191" x14ac:dyDescent="0.2">
      <c r="GI2726" s="422"/>
    </row>
    <row r="2727" spans="191:191" x14ac:dyDescent="0.2">
      <c r="GI2727" s="422"/>
    </row>
    <row r="2728" spans="191:191" x14ac:dyDescent="0.2">
      <c r="GI2728" s="422"/>
    </row>
    <row r="2729" spans="191:191" x14ac:dyDescent="0.2">
      <c r="GI2729" s="422"/>
    </row>
    <row r="2730" spans="191:191" x14ac:dyDescent="0.2">
      <c r="GI2730" s="422"/>
    </row>
    <row r="2731" spans="191:191" x14ac:dyDescent="0.2">
      <c r="GI2731" s="422"/>
    </row>
    <row r="2732" spans="191:191" x14ac:dyDescent="0.2">
      <c r="GI2732" s="422"/>
    </row>
    <row r="2733" spans="191:191" x14ac:dyDescent="0.2">
      <c r="GI2733" s="422"/>
    </row>
    <row r="2734" spans="191:191" x14ac:dyDescent="0.2">
      <c r="GI2734" s="422"/>
    </row>
    <row r="2735" spans="191:191" x14ac:dyDescent="0.2">
      <c r="GI2735" s="422"/>
    </row>
    <row r="2736" spans="191:191" x14ac:dyDescent="0.2">
      <c r="GI2736" s="422"/>
    </row>
    <row r="2737" spans="191:191" x14ac:dyDescent="0.2">
      <c r="GI2737" s="422"/>
    </row>
    <row r="2738" spans="191:191" x14ac:dyDescent="0.2">
      <c r="GI2738" s="422"/>
    </row>
    <row r="2739" spans="191:191" x14ac:dyDescent="0.2">
      <c r="GI2739" s="422"/>
    </row>
    <row r="2740" spans="191:191" x14ac:dyDescent="0.2">
      <c r="GI2740" s="422"/>
    </row>
    <row r="2741" spans="191:191" x14ac:dyDescent="0.2">
      <c r="GI2741" s="422"/>
    </row>
    <row r="2742" spans="191:191" x14ac:dyDescent="0.2">
      <c r="GI2742" s="422"/>
    </row>
    <row r="2743" spans="191:191" x14ac:dyDescent="0.2">
      <c r="GI2743" s="422"/>
    </row>
    <row r="2744" spans="191:191" x14ac:dyDescent="0.2">
      <c r="GI2744" s="422"/>
    </row>
    <row r="2745" spans="191:191" x14ac:dyDescent="0.2">
      <c r="GI2745" s="422"/>
    </row>
    <row r="2746" spans="191:191" x14ac:dyDescent="0.2">
      <c r="GI2746" s="422"/>
    </row>
    <row r="2747" spans="191:191" x14ac:dyDescent="0.2">
      <c r="GI2747" s="422"/>
    </row>
    <row r="2748" spans="191:191" x14ac:dyDescent="0.2">
      <c r="GI2748" s="422"/>
    </row>
    <row r="2749" spans="191:191" x14ac:dyDescent="0.2">
      <c r="GI2749" s="422"/>
    </row>
    <row r="2750" spans="191:191" x14ac:dyDescent="0.2">
      <c r="GI2750" s="422"/>
    </row>
    <row r="2751" spans="191:191" x14ac:dyDescent="0.2">
      <c r="GI2751" s="422"/>
    </row>
    <row r="2752" spans="191:191" x14ac:dyDescent="0.2">
      <c r="GI2752" s="422"/>
    </row>
    <row r="2753" spans="191:191" x14ac:dyDescent="0.2">
      <c r="GI2753" s="422"/>
    </row>
    <row r="2754" spans="191:191" x14ac:dyDescent="0.2">
      <c r="GI2754" s="422"/>
    </row>
    <row r="2755" spans="191:191" x14ac:dyDescent="0.2">
      <c r="GI2755" s="422"/>
    </row>
    <row r="2756" spans="191:191" x14ac:dyDescent="0.2">
      <c r="GI2756" s="422"/>
    </row>
    <row r="2757" spans="191:191" x14ac:dyDescent="0.2">
      <c r="GI2757" s="422"/>
    </row>
    <row r="2758" spans="191:191" x14ac:dyDescent="0.2">
      <c r="GI2758" s="422"/>
    </row>
    <row r="2759" spans="191:191" x14ac:dyDescent="0.2">
      <c r="GI2759" s="422"/>
    </row>
    <row r="2760" spans="191:191" x14ac:dyDescent="0.2">
      <c r="GI2760" s="422"/>
    </row>
    <row r="2761" spans="191:191" x14ac:dyDescent="0.2">
      <c r="GI2761" s="422"/>
    </row>
    <row r="2762" spans="191:191" x14ac:dyDescent="0.2">
      <c r="GI2762" s="422"/>
    </row>
    <row r="2763" spans="191:191" x14ac:dyDescent="0.2">
      <c r="GI2763" s="422"/>
    </row>
    <row r="2764" spans="191:191" x14ac:dyDescent="0.2">
      <c r="GI2764" s="422"/>
    </row>
    <row r="2765" spans="191:191" x14ac:dyDescent="0.2">
      <c r="GI2765" s="422"/>
    </row>
    <row r="2766" spans="191:191" x14ac:dyDescent="0.2">
      <c r="GI2766" s="422"/>
    </row>
    <row r="2767" spans="191:191" x14ac:dyDescent="0.2">
      <c r="GI2767" s="422"/>
    </row>
    <row r="2768" spans="191:191" x14ac:dyDescent="0.2">
      <c r="GI2768" s="422"/>
    </row>
    <row r="2769" spans="191:191" x14ac:dyDescent="0.2">
      <c r="GI2769" s="422"/>
    </row>
    <row r="2770" spans="191:191" x14ac:dyDescent="0.2">
      <c r="GI2770" s="422"/>
    </row>
    <row r="2771" spans="191:191" x14ac:dyDescent="0.2">
      <c r="GI2771" s="422"/>
    </row>
    <row r="2772" spans="191:191" x14ac:dyDescent="0.2">
      <c r="GI2772" s="422"/>
    </row>
    <row r="2773" spans="191:191" x14ac:dyDescent="0.2">
      <c r="GI2773" s="422"/>
    </row>
    <row r="2774" spans="191:191" x14ac:dyDescent="0.2">
      <c r="GI2774" s="422"/>
    </row>
    <row r="2775" spans="191:191" x14ac:dyDescent="0.2">
      <c r="GI2775" s="422"/>
    </row>
    <row r="2776" spans="191:191" x14ac:dyDescent="0.2">
      <c r="GI2776" s="422"/>
    </row>
    <row r="2777" spans="191:191" x14ac:dyDescent="0.2">
      <c r="GI2777" s="422"/>
    </row>
    <row r="2778" spans="191:191" x14ac:dyDescent="0.2">
      <c r="GI2778" s="422"/>
    </row>
    <row r="2779" spans="191:191" x14ac:dyDescent="0.2">
      <c r="GI2779" s="422"/>
    </row>
    <row r="2780" spans="191:191" x14ac:dyDescent="0.2">
      <c r="GI2780" s="422"/>
    </row>
    <row r="2781" spans="191:191" x14ac:dyDescent="0.2">
      <c r="GI2781" s="422"/>
    </row>
    <row r="2782" spans="191:191" x14ac:dyDescent="0.2">
      <c r="GI2782" s="422"/>
    </row>
    <row r="2783" spans="191:191" x14ac:dyDescent="0.2">
      <c r="GI2783" s="422"/>
    </row>
    <row r="2784" spans="191:191" x14ac:dyDescent="0.2">
      <c r="GI2784" s="422"/>
    </row>
    <row r="2785" spans="191:191" x14ac:dyDescent="0.2">
      <c r="GI2785" s="422"/>
    </row>
    <row r="2786" spans="191:191" x14ac:dyDescent="0.2">
      <c r="GI2786" s="422"/>
    </row>
    <row r="2787" spans="191:191" x14ac:dyDescent="0.2">
      <c r="GI2787" s="422"/>
    </row>
    <row r="2788" spans="191:191" x14ac:dyDescent="0.2">
      <c r="GI2788" s="422"/>
    </row>
    <row r="2789" spans="191:191" x14ac:dyDescent="0.2">
      <c r="GI2789" s="422"/>
    </row>
    <row r="2790" spans="191:191" x14ac:dyDescent="0.2">
      <c r="GI2790" s="422"/>
    </row>
    <row r="2791" spans="191:191" x14ac:dyDescent="0.2">
      <c r="GI2791" s="422"/>
    </row>
    <row r="2792" spans="191:191" x14ac:dyDescent="0.2">
      <c r="GI2792" s="422"/>
    </row>
    <row r="2793" spans="191:191" x14ac:dyDescent="0.2">
      <c r="GI2793" s="422"/>
    </row>
    <row r="2794" spans="191:191" x14ac:dyDescent="0.2">
      <c r="GI2794" s="422"/>
    </row>
    <row r="2795" spans="191:191" x14ac:dyDescent="0.2">
      <c r="GI2795" s="422"/>
    </row>
    <row r="2796" spans="191:191" x14ac:dyDescent="0.2">
      <c r="GI2796" s="422"/>
    </row>
    <row r="2797" spans="191:191" x14ac:dyDescent="0.2">
      <c r="GI2797" s="422"/>
    </row>
    <row r="2798" spans="191:191" x14ac:dyDescent="0.2">
      <c r="GI2798" s="422"/>
    </row>
    <row r="2799" spans="191:191" x14ac:dyDescent="0.2">
      <c r="GI2799" s="422"/>
    </row>
    <row r="2800" spans="191:191" x14ac:dyDescent="0.2">
      <c r="GI2800" s="422"/>
    </row>
    <row r="2801" spans="191:191" x14ac:dyDescent="0.2">
      <c r="GI2801" s="422"/>
    </row>
    <row r="2802" spans="191:191" x14ac:dyDescent="0.2">
      <c r="GI2802" s="422"/>
    </row>
    <row r="2803" spans="191:191" x14ac:dyDescent="0.2">
      <c r="GI2803" s="422"/>
    </row>
    <row r="2804" spans="191:191" x14ac:dyDescent="0.2">
      <c r="GI2804" s="422"/>
    </row>
    <row r="2805" spans="191:191" x14ac:dyDescent="0.2">
      <c r="GI2805" s="422"/>
    </row>
    <row r="2806" spans="191:191" x14ac:dyDescent="0.2">
      <c r="GI2806" s="422"/>
    </row>
    <row r="2807" spans="191:191" x14ac:dyDescent="0.2">
      <c r="GI2807" s="422"/>
    </row>
    <row r="2808" spans="191:191" x14ac:dyDescent="0.2">
      <c r="GI2808" s="422"/>
    </row>
    <row r="2809" spans="191:191" x14ac:dyDescent="0.2">
      <c r="GI2809" s="422"/>
    </row>
    <row r="2810" spans="191:191" x14ac:dyDescent="0.2">
      <c r="GI2810" s="422"/>
    </row>
    <row r="2811" spans="191:191" x14ac:dyDescent="0.2">
      <c r="GI2811" s="422"/>
    </row>
    <row r="2812" spans="191:191" x14ac:dyDescent="0.2">
      <c r="GI2812" s="422"/>
    </row>
    <row r="2813" spans="191:191" x14ac:dyDescent="0.2">
      <c r="GI2813" s="422"/>
    </row>
    <row r="2814" spans="191:191" x14ac:dyDescent="0.2">
      <c r="GI2814" s="422"/>
    </row>
    <row r="2815" spans="191:191" x14ac:dyDescent="0.2">
      <c r="GI2815" s="422"/>
    </row>
    <row r="2816" spans="191:191" x14ac:dyDescent="0.2">
      <c r="GI2816" s="422"/>
    </row>
    <row r="2817" spans="191:191" x14ac:dyDescent="0.2">
      <c r="GI2817" s="422"/>
    </row>
    <row r="2818" spans="191:191" x14ac:dyDescent="0.2">
      <c r="GI2818" s="422"/>
    </row>
    <row r="2819" spans="191:191" x14ac:dyDescent="0.2">
      <c r="GI2819" s="422"/>
    </row>
    <row r="2820" spans="191:191" x14ac:dyDescent="0.2">
      <c r="GI2820" s="422"/>
    </row>
    <row r="2821" spans="191:191" x14ac:dyDescent="0.2">
      <c r="GI2821" s="422"/>
    </row>
    <row r="2822" spans="191:191" x14ac:dyDescent="0.2">
      <c r="GI2822" s="422"/>
    </row>
    <row r="2823" spans="191:191" x14ac:dyDescent="0.2">
      <c r="GI2823" s="422"/>
    </row>
    <row r="2824" spans="191:191" x14ac:dyDescent="0.2">
      <c r="GI2824" s="422"/>
    </row>
    <row r="2825" spans="191:191" x14ac:dyDescent="0.2">
      <c r="GI2825" s="422"/>
    </row>
    <row r="2826" spans="191:191" x14ac:dyDescent="0.2">
      <c r="GI2826" s="422"/>
    </row>
    <row r="2827" spans="191:191" x14ac:dyDescent="0.2">
      <c r="GI2827" s="422"/>
    </row>
    <row r="2828" spans="191:191" x14ac:dyDescent="0.2">
      <c r="GI2828" s="422"/>
    </row>
    <row r="2829" spans="191:191" x14ac:dyDescent="0.2">
      <c r="GI2829" s="422"/>
    </row>
    <row r="2830" spans="191:191" x14ac:dyDescent="0.2">
      <c r="GI2830" s="422"/>
    </row>
    <row r="2831" spans="191:191" x14ac:dyDescent="0.2">
      <c r="GI2831" s="422"/>
    </row>
    <row r="2832" spans="191:191" x14ac:dyDescent="0.2">
      <c r="GI2832" s="422"/>
    </row>
    <row r="2833" spans="191:191" x14ac:dyDescent="0.2">
      <c r="GI2833" s="422"/>
    </row>
    <row r="2834" spans="191:191" x14ac:dyDescent="0.2">
      <c r="GI2834" s="422"/>
    </row>
    <row r="2835" spans="191:191" x14ac:dyDescent="0.2">
      <c r="GI2835" s="422"/>
    </row>
    <row r="2836" spans="191:191" x14ac:dyDescent="0.2">
      <c r="GI2836" s="422"/>
    </row>
    <row r="2837" spans="191:191" x14ac:dyDescent="0.2">
      <c r="GI2837" s="422"/>
    </row>
    <row r="2838" spans="191:191" x14ac:dyDescent="0.2">
      <c r="GI2838" s="422"/>
    </row>
    <row r="2839" spans="191:191" x14ac:dyDescent="0.2">
      <c r="GI2839" s="422"/>
    </row>
    <row r="2840" spans="191:191" x14ac:dyDescent="0.2">
      <c r="GI2840" s="422"/>
    </row>
    <row r="2841" spans="191:191" x14ac:dyDescent="0.2">
      <c r="GI2841" s="422"/>
    </row>
    <row r="2842" spans="191:191" x14ac:dyDescent="0.2">
      <c r="GI2842" s="422"/>
    </row>
    <row r="2843" spans="191:191" x14ac:dyDescent="0.2">
      <c r="GI2843" s="422"/>
    </row>
    <row r="2844" spans="191:191" x14ac:dyDescent="0.2">
      <c r="GI2844" s="422"/>
    </row>
    <row r="2845" spans="191:191" x14ac:dyDescent="0.2">
      <c r="GI2845" s="422"/>
    </row>
    <row r="2846" spans="191:191" x14ac:dyDescent="0.2">
      <c r="GI2846" s="422"/>
    </row>
    <row r="2847" spans="191:191" x14ac:dyDescent="0.2">
      <c r="GI2847" s="422"/>
    </row>
    <row r="2848" spans="191:191" x14ac:dyDescent="0.2">
      <c r="GI2848" s="422"/>
    </row>
    <row r="2849" spans="191:191" x14ac:dyDescent="0.2">
      <c r="GI2849" s="422"/>
    </row>
    <row r="2850" spans="191:191" x14ac:dyDescent="0.2">
      <c r="GI2850" s="422"/>
    </row>
    <row r="2851" spans="191:191" x14ac:dyDescent="0.2">
      <c r="GI2851" s="422"/>
    </row>
    <row r="2852" spans="191:191" x14ac:dyDescent="0.2">
      <c r="GI2852" s="422"/>
    </row>
    <row r="2853" spans="191:191" x14ac:dyDescent="0.2">
      <c r="GI2853" s="422"/>
    </row>
    <row r="2854" spans="191:191" x14ac:dyDescent="0.2">
      <c r="GI2854" s="422"/>
    </row>
    <row r="2855" spans="191:191" x14ac:dyDescent="0.2">
      <c r="GI2855" s="422"/>
    </row>
    <row r="2856" spans="191:191" x14ac:dyDescent="0.2">
      <c r="GI2856" s="422"/>
    </row>
    <row r="2857" spans="191:191" x14ac:dyDescent="0.2">
      <c r="GI2857" s="422"/>
    </row>
    <row r="2858" spans="191:191" x14ac:dyDescent="0.2">
      <c r="GI2858" s="422"/>
    </row>
    <row r="2859" spans="191:191" x14ac:dyDescent="0.2">
      <c r="GI2859" s="422"/>
    </row>
    <row r="2860" spans="191:191" x14ac:dyDescent="0.2">
      <c r="GI2860" s="422"/>
    </row>
    <row r="2861" spans="191:191" x14ac:dyDescent="0.2">
      <c r="GI2861" s="422"/>
    </row>
    <row r="2862" spans="191:191" x14ac:dyDescent="0.2">
      <c r="GI2862" s="422"/>
    </row>
    <row r="2863" spans="191:191" x14ac:dyDescent="0.2">
      <c r="GI2863" s="422"/>
    </row>
    <row r="2864" spans="191:191" x14ac:dyDescent="0.2">
      <c r="GI2864" s="422"/>
    </row>
    <row r="2865" spans="191:191" x14ac:dyDescent="0.2">
      <c r="GI2865" s="422"/>
    </row>
    <row r="2866" spans="191:191" x14ac:dyDescent="0.2">
      <c r="GI2866" s="422"/>
    </row>
    <row r="2867" spans="191:191" x14ac:dyDescent="0.2">
      <c r="GI2867" s="422"/>
    </row>
    <row r="2868" spans="191:191" x14ac:dyDescent="0.2">
      <c r="GI2868" s="422"/>
    </row>
    <row r="2869" spans="191:191" x14ac:dyDescent="0.2">
      <c r="GI2869" s="422"/>
    </row>
    <row r="2870" spans="191:191" x14ac:dyDescent="0.2">
      <c r="GI2870" s="422"/>
    </row>
    <row r="2871" spans="191:191" x14ac:dyDescent="0.2">
      <c r="GI2871" s="422"/>
    </row>
    <row r="2872" spans="191:191" x14ac:dyDescent="0.2">
      <c r="GI2872" s="422"/>
    </row>
    <row r="2873" spans="191:191" x14ac:dyDescent="0.2">
      <c r="GI2873" s="422"/>
    </row>
    <row r="2874" spans="191:191" x14ac:dyDescent="0.2">
      <c r="GI2874" s="422"/>
    </row>
    <row r="2875" spans="191:191" x14ac:dyDescent="0.2">
      <c r="GI2875" s="422"/>
    </row>
    <row r="2876" spans="191:191" x14ac:dyDescent="0.2">
      <c r="GI2876" s="422"/>
    </row>
    <row r="2877" spans="191:191" x14ac:dyDescent="0.2">
      <c r="GI2877" s="422"/>
    </row>
    <row r="2878" spans="191:191" x14ac:dyDescent="0.2">
      <c r="GI2878" s="422"/>
    </row>
    <row r="2879" spans="191:191" x14ac:dyDescent="0.2">
      <c r="GI2879" s="422"/>
    </row>
    <row r="2880" spans="191:191" x14ac:dyDescent="0.2">
      <c r="GI2880" s="422"/>
    </row>
    <row r="2881" spans="191:191" x14ac:dyDescent="0.2">
      <c r="GI2881" s="422"/>
    </row>
    <row r="2882" spans="191:191" x14ac:dyDescent="0.2">
      <c r="GI2882" s="422"/>
    </row>
    <row r="2883" spans="191:191" x14ac:dyDescent="0.2">
      <c r="GI2883" s="422"/>
    </row>
    <row r="2884" spans="191:191" x14ac:dyDescent="0.2">
      <c r="GI2884" s="422"/>
    </row>
    <row r="2885" spans="191:191" x14ac:dyDescent="0.2">
      <c r="GI2885" s="422"/>
    </row>
    <row r="2886" spans="191:191" x14ac:dyDescent="0.2">
      <c r="GI2886" s="422"/>
    </row>
    <row r="2887" spans="191:191" x14ac:dyDescent="0.2">
      <c r="GI2887" s="422"/>
    </row>
    <row r="2888" spans="191:191" x14ac:dyDescent="0.2">
      <c r="GI2888" s="422"/>
    </row>
    <row r="2889" spans="191:191" x14ac:dyDescent="0.2">
      <c r="GI2889" s="422"/>
    </row>
    <row r="2890" spans="191:191" x14ac:dyDescent="0.2">
      <c r="GI2890" s="422"/>
    </row>
    <row r="2891" spans="191:191" x14ac:dyDescent="0.2">
      <c r="GI2891" s="422"/>
    </row>
    <row r="2892" spans="191:191" x14ac:dyDescent="0.2">
      <c r="GI2892" s="422"/>
    </row>
    <row r="2893" spans="191:191" x14ac:dyDescent="0.2">
      <c r="GI2893" s="422"/>
    </row>
    <row r="2894" spans="191:191" x14ac:dyDescent="0.2">
      <c r="GI2894" s="422"/>
    </row>
    <row r="2895" spans="191:191" x14ac:dyDescent="0.2">
      <c r="GI2895" s="422"/>
    </row>
    <row r="2896" spans="191:191" x14ac:dyDescent="0.2">
      <c r="GI2896" s="422"/>
    </row>
    <row r="2897" spans="191:191" x14ac:dyDescent="0.2">
      <c r="GI2897" s="422"/>
    </row>
    <row r="2898" spans="191:191" x14ac:dyDescent="0.2">
      <c r="GI2898" s="422"/>
    </row>
    <row r="2899" spans="191:191" x14ac:dyDescent="0.2">
      <c r="GI2899" s="422"/>
    </row>
    <row r="2900" spans="191:191" x14ac:dyDescent="0.2">
      <c r="GI2900" s="422"/>
    </row>
    <row r="2901" spans="191:191" x14ac:dyDescent="0.2">
      <c r="GI2901" s="422"/>
    </row>
    <row r="2902" spans="191:191" x14ac:dyDescent="0.2">
      <c r="GI2902" s="422"/>
    </row>
    <row r="2903" spans="191:191" x14ac:dyDescent="0.2">
      <c r="GI2903" s="422"/>
    </row>
    <row r="2904" spans="191:191" x14ac:dyDescent="0.2">
      <c r="GI2904" s="422"/>
    </row>
    <row r="2905" spans="191:191" x14ac:dyDescent="0.2">
      <c r="GI2905" s="422"/>
    </row>
    <row r="2906" spans="191:191" x14ac:dyDescent="0.2">
      <c r="GI2906" s="422"/>
    </row>
    <row r="2907" spans="191:191" x14ac:dyDescent="0.2">
      <c r="GI2907" s="422"/>
    </row>
    <row r="2908" spans="191:191" x14ac:dyDescent="0.2">
      <c r="GI2908" s="422"/>
    </row>
    <row r="2909" spans="191:191" x14ac:dyDescent="0.2">
      <c r="GI2909" s="422"/>
    </row>
    <row r="2910" spans="191:191" x14ac:dyDescent="0.2">
      <c r="GI2910" s="422"/>
    </row>
    <row r="2911" spans="191:191" x14ac:dyDescent="0.2">
      <c r="GI2911" s="422"/>
    </row>
    <row r="2912" spans="191:191" x14ac:dyDescent="0.2">
      <c r="GI2912" s="422"/>
    </row>
    <row r="2913" spans="191:191" x14ac:dyDescent="0.2">
      <c r="GI2913" s="422"/>
    </row>
    <row r="2914" spans="191:191" x14ac:dyDescent="0.2">
      <c r="GI2914" s="422"/>
    </row>
    <row r="2915" spans="191:191" x14ac:dyDescent="0.2">
      <c r="GI2915" s="422"/>
    </row>
    <row r="2916" spans="191:191" x14ac:dyDescent="0.2">
      <c r="GI2916" s="422"/>
    </row>
    <row r="2917" spans="191:191" x14ac:dyDescent="0.2">
      <c r="GI2917" s="422"/>
    </row>
    <row r="2918" spans="191:191" x14ac:dyDescent="0.2">
      <c r="GI2918" s="422"/>
    </row>
    <row r="2919" spans="191:191" x14ac:dyDescent="0.2">
      <c r="GI2919" s="422"/>
    </row>
    <row r="2920" spans="191:191" x14ac:dyDescent="0.2">
      <c r="GI2920" s="422"/>
    </row>
    <row r="2921" spans="191:191" x14ac:dyDescent="0.2">
      <c r="GI2921" s="422"/>
    </row>
    <row r="2922" spans="191:191" x14ac:dyDescent="0.2">
      <c r="GI2922" s="422"/>
    </row>
    <row r="2923" spans="191:191" x14ac:dyDescent="0.2">
      <c r="GI2923" s="422"/>
    </row>
    <row r="2924" spans="191:191" x14ac:dyDescent="0.2">
      <c r="GI2924" s="422"/>
    </row>
    <row r="2925" spans="191:191" x14ac:dyDescent="0.2">
      <c r="GI2925" s="422"/>
    </row>
    <row r="2926" spans="191:191" x14ac:dyDescent="0.2">
      <c r="GI2926" s="422"/>
    </row>
    <row r="2927" spans="191:191" x14ac:dyDescent="0.2">
      <c r="GI2927" s="422"/>
    </row>
    <row r="2928" spans="191:191" x14ac:dyDescent="0.2">
      <c r="GI2928" s="422"/>
    </row>
    <row r="2929" spans="191:191" x14ac:dyDescent="0.2">
      <c r="GI2929" s="422"/>
    </row>
    <row r="2930" spans="191:191" x14ac:dyDescent="0.2">
      <c r="GI2930" s="422"/>
    </row>
    <row r="2931" spans="191:191" x14ac:dyDescent="0.2">
      <c r="GI2931" s="422"/>
    </row>
    <row r="2932" spans="191:191" x14ac:dyDescent="0.2">
      <c r="GI2932" s="422"/>
    </row>
    <row r="2933" spans="191:191" x14ac:dyDescent="0.2">
      <c r="GI2933" s="422"/>
    </row>
    <row r="2934" spans="191:191" x14ac:dyDescent="0.2">
      <c r="GI2934" s="422"/>
    </row>
    <row r="2935" spans="191:191" x14ac:dyDescent="0.2">
      <c r="GI2935" s="422"/>
    </row>
    <row r="2936" spans="191:191" x14ac:dyDescent="0.2">
      <c r="GI2936" s="422"/>
    </row>
    <row r="2937" spans="191:191" x14ac:dyDescent="0.2">
      <c r="GI2937" s="422"/>
    </row>
    <row r="2938" spans="191:191" x14ac:dyDescent="0.2">
      <c r="GI2938" s="422"/>
    </row>
    <row r="2939" spans="191:191" x14ac:dyDescent="0.2">
      <c r="GI2939" s="422"/>
    </row>
    <row r="2940" spans="191:191" x14ac:dyDescent="0.2">
      <c r="GI2940" s="422"/>
    </row>
    <row r="2941" spans="191:191" x14ac:dyDescent="0.2">
      <c r="GI2941" s="422"/>
    </row>
    <row r="2942" spans="191:191" x14ac:dyDescent="0.2">
      <c r="GI2942" s="422"/>
    </row>
    <row r="2943" spans="191:191" x14ac:dyDescent="0.2">
      <c r="GI2943" s="422"/>
    </row>
    <row r="2944" spans="191:191" x14ac:dyDescent="0.2">
      <c r="GI2944" s="422"/>
    </row>
    <row r="2945" spans="191:191" x14ac:dyDescent="0.2">
      <c r="GI2945" s="422"/>
    </row>
    <row r="2946" spans="191:191" x14ac:dyDescent="0.2">
      <c r="GI2946" s="422"/>
    </row>
    <row r="2947" spans="191:191" x14ac:dyDescent="0.2">
      <c r="GI2947" s="422"/>
    </row>
    <row r="2948" spans="191:191" x14ac:dyDescent="0.2">
      <c r="GI2948" s="422"/>
    </row>
    <row r="2949" spans="191:191" x14ac:dyDescent="0.2">
      <c r="GI2949" s="422"/>
    </row>
    <row r="2950" spans="191:191" x14ac:dyDescent="0.2">
      <c r="GI2950" s="422"/>
    </row>
    <row r="2951" spans="191:191" x14ac:dyDescent="0.2">
      <c r="GI2951" s="422"/>
    </row>
    <row r="2952" spans="191:191" x14ac:dyDescent="0.2">
      <c r="GI2952" s="422"/>
    </row>
    <row r="2953" spans="191:191" x14ac:dyDescent="0.2">
      <c r="GI2953" s="422"/>
    </row>
    <row r="2954" spans="191:191" x14ac:dyDescent="0.2">
      <c r="GI2954" s="422"/>
    </row>
    <row r="2955" spans="191:191" x14ac:dyDescent="0.2">
      <c r="GI2955" s="422"/>
    </row>
    <row r="2956" spans="191:191" x14ac:dyDescent="0.2">
      <c r="GI2956" s="422"/>
    </row>
    <row r="2957" spans="191:191" x14ac:dyDescent="0.2">
      <c r="GI2957" s="422"/>
    </row>
    <row r="2958" spans="191:191" x14ac:dyDescent="0.2">
      <c r="GI2958" s="422"/>
    </row>
    <row r="2959" spans="191:191" x14ac:dyDescent="0.2">
      <c r="GI2959" s="422"/>
    </row>
    <row r="2960" spans="191:191" x14ac:dyDescent="0.2">
      <c r="GI2960" s="422"/>
    </row>
    <row r="2961" spans="191:191" x14ac:dyDescent="0.2">
      <c r="GI2961" s="422"/>
    </row>
    <row r="2962" spans="191:191" x14ac:dyDescent="0.2">
      <c r="GI2962" s="422"/>
    </row>
    <row r="2963" spans="191:191" x14ac:dyDescent="0.2">
      <c r="GI2963" s="422"/>
    </row>
    <row r="2964" spans="191:191" x14ac:dyDescent="0.2">
      <c r="GI2964" s="422"/>
    </row>
    <row r="2965" spans="191:191" x14ac:dyDescent="0.2">
      <c r="GI2965" s="422"/>
    </row>
    <row r="2966" spans="191:191" x14ac:dyDescent="0.2">
      <c r="GI2966" s="422"/>
    </row>
    <row r="2967" spans="191:191" x14ac:dyDescent="0.2">
      <c r="GI2967" s="422"/>
    </row>
    <row r="2968" spans="191:191" x14ac:dyDescent="0.2">
      <c r="GI2968" s="422"/>
    </row>
    <row r="2969" spans="191:191" x14ac:dyDescent="0.2">
      <c r="GI2969" s="422"/>
    </row>
    <row r="2970" spans="191:191" x14ac:dyDescent="0.2">
      <c r="GI2970" s="422"/>
    </row>
    <row r="2971" spans="191:191" x14ac:dyDescent="0.2">
      <c r="GI2971" s="422"/>
    </row>
    <row r="2972" spans="191:191" x14ac:dyDescent="0.2">
      <c r="GI2972" s="422"/>
    </row>
    <row r="2973" spans="191:191" x14ac:dyDescent="0.2">
      <c r="GI2973" s="422"/>
    </row>
    <row r="2974" spans="191:191" x14ac:dyDescent="0.2">
      <c r="GI2974" s="422"/>
    </row>
    <row r="2975" spans="191:191" x14ac:dyDescent="0.2">
      <c r="GI2975" s="422"/>
    </row>
    <row r="2976" spans="191:191" x14ac:dyDescent="0.2">
      <c r="GI2976" s="422"/>
    </row>
    <row r="2977" spans="191:191" x14ac:dyDescent="0.2">
      <c r="GI2977" s="422"/>
    </row>
    <row r="2978" spans="191:191" x14ac:dyDescent="0.2">
      <c r="GI2978" s="422"/>
    </row>
    <row r="2979" spans="191:191" x14ac:dyDescent="0.2">
      <c r="GI2979" s="422"/>
    </row>
    <row r="2980" spans="191:191" x14ac:dyDescent="0.2">
      <c r="GI2980" s="422"/>
    </row>
    <row r="2981" spans="191:191" x14ac:dyDescent="0.2">
      <c r="GI2981" s="422"/>
    </row>
    <row r="2982" spans="191:191" x14ac:dyDescent="0.2">
      <c r="GI2982" s="422"/>
    </row>
    <row r="2983" spans="191:191" x14ac:dyDescent="0.2">
      <c r="GI2983" s="422"/>
    </row>
    <row r="2984" spans="191:191" x14ac:dyDescent="0.2">
      <c r="GI2984" s="422"/>
    </row>
    <row r="2985" spans="191:191" x14ac:dyDescent="0.2">
      <c r="GI2985" s="422"/>
    </row>
    <row r="2986" spans="191:191" x14ac:dyDescent="0.2">
      <c r="GI2986" s="422"/>
    </row>
    <row r="2987" spans="191:191" x14ac:dyDescent="0.2">
      <c r="GI2987" s="422"/>
    </row>
    <row r="2988" spans="191:191" x14ac:dyDescent="0.2">
      <c r="GI2988" s="422"/>
    </row>
    <row r="2989" spans="191:191" x14ac:dyDescent="0.2">
      <c r="GI2989" s="422"/>
    </row>
    <row r="2990" spans="191:191" x14ac:dyDescent="0.2">
      <c r="GI2990" s="422"/>
    </row>
    <row r="2991" spans="191:191" x14ac:dyDescent="0.2">
      <c r="GI2991" s="422"/>
    </row>
    <row r="2992" spans="191:191" x14ac:dyDescent="0.2">
      <c r="GI2992" s="422"/>
    </row>
    <row r="2993" spans="191:191" x14ac:dyDescent="0.2">
      <c r="GI2993" s="422"/>
    </row>
    <row r="2994" spans="191:191" x14ac:dyDescent="0.2">
      <c r="GI2994" s="422"/>
    </row>
    <row r="2995" spans="191:191" x14ac:dyDescent="0.2">
      <c r="GI2995" s="422"/>
    </row>
    <row r="2996" spans="191:191" x14ac:dyDescent="0.2">
      <c r="GI2996" s="422"/>
    </row>
    <row r="2997" spans="191:191" x14ac:dyDescent="0.2">
      <c r="GI2997" s="422"/>
    </row>
    <row r="2998" spans="191:191" x14ac:dyDescent="0.2">
      <c r="GI2998" s="422"/>
    </row>
    <row r="2999" spans="191:191" x14ac:dyDescent="0.2">
      <c r="GI2999" s="422"/>
    </row>
    <row r="3000" spans="191:191" x14ac:dyDescent="0.2">
      <c r="GI3000" s="422"/>
    </row>
    <row r="3001" spans="191:191" x14ac:dyDescent="0.2">
      <c r="GI3001" s="422"/>
    </row>
    <row r="3002" spans="191:191" x14ac:dyDescent="0.2">
      <c r="GI3002" s="422"/>
    </row>
    <row r="3003" spans="191:191" x14ac:dyDescent="0.2">
      <c r="GI3003" s="422"/>
    </row>
    <row r="3004" spans="191:191" x14ac:dyDescent="0.2">
      <c r="GI3004" s="422"/>
    </row>
    <row r="3005" spans="191:191" x14ac:dyDescent="0.2">
      <c r="GI3005" s="422"/>
    </row>
    <row r="3006" spans="191:191" x14ac:dyDescent="0.2">
      <c r="GI3006" s="422"/>
    </row>
    <row r="3007" spans="191:191" x14ac:dyDescent="0.2">
      <c r="GI3007" s="422"/>
    </row>
    <row r="3008" spans="191:191" x14ac:dyDescent="0.2">
      <c r="GI3008" s="422"/>
    </row>
    <row r="3009" spans="191:191" x14ac:dyDescent="0.2">
      <c r="GI3009" s="422"/>
    </row>
    <row r="3010" spans="191:191" x14ac:dyDescent="0.2">
      <c r="GI3010" s="422"/>
    </row>
    <row r="3011" spans="191:191" x14ac:dyDescent="0.2">
      <c r="GI3011" s="422"/>
    </row>
    <row r="3012" spans="191:191" x14ac:dyDescent="0.2">
      <c r="GI3012" s="422"/>
    </row>
    <row r="3013" spans="191:191" x14ac:dyDescent="0.2">
      <c r="GI3013" s="422"/>
    </row>
    <row r="3014" spans="191:191" x14ac:dyDescent="0.2">
      <c r="GI3014" s="422"/>
    </row>
    <row r="3015" spans="191:191" x14ac:dyDescent="0.2">
      <c r="GI3015" s="422"/>
    </row>
    <row r="3016" spans="191:191" x14ac:dyDescent="0.2">
      <c r="GI3016" s="422"/>
    </row>
    <row r="3017" spans="191:191" x14ac:dyDescent="0.2">
      <c r="GI3017" s="422"/>
    </row>
    <row r="3018" spans="191:191" x14ac:dyDescent="0.2">
      <c r="GI3018" s="422"/>
    </row>
    <row r="3019" spans="191:191" x14ac:dyDescent="0.2">
      <c r="GI3019" s="422"/>
    </row>
    <row r="3020" spans="191:191" x14ac:dyDescent="0.2">
      <c r="GI3020" s="422"/>
    </row>
    <row r="3021" spans="191:191" x14ac:dyDescent="0.2">
      <c r="GI3021" s="422"/>
    </row>
    <row r="3022" spans="191:191" x14ac:dyDescent="0.2">
      <c r="GI3022" s="422"/>
    </row>
    <row r="3023" spans="191:191" x14ac:dyDescent="0.2">
      <c r="GI3023" s="422"/>
    </row>
    <row r="3024" spans="191:191" x14ac:dyDescent="0.2">
      <c r="GI3024" s="422"/>
    </row>
    <row r="3025" spans="191:191" x14ac:dyDescent="0.2">
      <c r="GI3025" s="422"/>
    </row>
    <row r="3026" spans="191:191" x14ac:dyDescent="0.2">
      <c r="GI3026" s="422"/>
    </row>
    <row r="3027" spans="191:191" x14ac:dyDescent="0.2">
      <c r="GI3027" s="422"/>
    </row>
    <row r="3028" spans="191:191" x14ac:dyDescent="0.2">
      <c r="GI3028" s="422"/>
    </row>
    <row r="3029" spans="191:191" x14ac:dyDescent="0.2">
      <c r="GI3029" s="422"/>
    </row>
    <row r="3030" spans="191:191" x14ac:dyDescent="0.2">
      <c r="GI3030" s="422"/>
    </row>
    <row r="3031" spans="191:191" x14ac:dyDescent="0.2">
      <c r="GI3031" s="422"/>
    </row>
    <row r="3032" spans="191:191" x14ac:dyDescent="0.2">
      <c r="GI3032" s="422"/>
    </row>
    <row r="3033" spans="191:191" x14ac:dyDescent="0.2">
      <c r="GI3033" s="422"/>
    </row>
    <row r="3034" spans="191:191" x14ac:dyDescent="0.2">
      <c r="GI3034" s="422"/>
    </row>
    <row r="3035" spans="191:191" x14ac:dyDescent="0.2">
      <c r="GI3035" s="422"/>
    </row>
    <row r="3036" spans="191:191" x14ac:dyDescent="0.2">
      <c r="GI3036" s="422"/>
    </row>
    <row r="3037" spans="191:191" x14ac:dyDescent="0.2">
      <c r="GI3037" s="422"/>
    </row>
    <row r="3038" spans="191:191" x14ac:dyDescent="0.2">
      <c r="GI3038" s="422"/>
    </row>
    <row r="3039" spans="191:191" x14ac:dyDescent="0.2">
      <c r="GI3039" s="422"/>
    </row>
    <row r="3040" spans="191:191" x14ac:dyDescent="0.2">
      <c r="GI3040" s="422"/>
    </row>
    <row r="3041" spans="191:191" x14ac:dyDescent="0.2">
      <c r="GI3041" s="422"/>
    </row>
    <row r="3042" spans="191:191" x14ac:dyDescent="0.2">
      <c r="GI3042" s="422"/>
    </row>
    <row r="3043" spans="191:191" x14ac:dyDescent="0.2">
      <c r="GI3043" s="422"/>
    </row>
    <row r="3044" spans="191:191" x14ac:dyDescent="0.2">
      <c r="GI3044" s="422"/>
    </row>
    <row r="3045" spans="191:191" x14ac:dyDescent="0.2">
      <c r="GI3045" s="422"/>
    </row>
    <row r="3046" spans="191:191" x14ac:dyDescent="0.2">
      <c r="GI3046" s="422"/>
    </row>
    <row r="3047" spans="191:191" x14ac:dyDescent="0.2">
      <c r="GI3047" s="422"/>
    </row>
    <row r="3048" spans="191:191" x14ac:dyDescent="0.2">
      <c r="GI3048" s="422"/>
    </row>
    <row r="3049" spans="191:191" x14ac:dyDescent="0.2">
      <c r="GI3049" s="422"/>
    </row>
    <row r="3050" spans="191:191" x14ac:dyDescent="0.2">
      <c r="GI3050" s="422"/>
    </row>
    <row r="3051" spans="191:191" x14ac:dyDescent="0.2">
      <c r="GI3051" s="422"/>
    </row>
    <row r="3052" spans="191:191" x14ac:dyDescent="0.2">
      <c r="GI3052" s="422"/>
    </row>
    <row r="3053" spans="191:191" x14ac:dyDescent="0.2">
      <c r="GI3053" s="422"/>
    </row>
    <row r="3054" spans="191:191" x14ac:dyDescent="0.2">
      <c r="GI3054" s="422"/>
    </row>
    <row r="3055" spans="191:191" x14ac:dyDescent="0.2">
      <c r="GI3055" s="422"/>
    </row>
    <row r="3056" spans="191:191" x14ac:dyDescent="0.2">
      <c r="GI3056" s="422"/>
    </row>
    <row r="3057" spans="191:191" x14ac:dyDescent="0.2">
      <c r="GI3057" s="422"/>
    </row>
    <row r="3058" spans="191:191" x14ac:dyDescent="0.2">
      <c r="GI3058" s="422"/>
    </row>
    <row r="3059" spans="191:191" x14ac:dyDescent="0.2">
      <c r="GI3059" s="422"/>
    </row>
    <row r="3060" spans="191:191" x14ac:dyDescent="0.2">
      <c r="GI3060" s="422"/>
    </row>
    <row r="3061" spans="191:191" x14ac:dyDescent="0.2">
      <c r="GI3061" s="422"/>
    </row>
    <row r="3062" spans="191:191" x14ac:dyDescent="0.2">
      <c r="GI3062" s="422"/>
    </row>
    <row r="3063" spans="191:191" x14ac:dyDescent="0.2">
      <c r="GI3063" s="422"/>
    </row>
    <row r="3064" spans="191:191" x14ac:dyDescent="0.2">
      <c r="GI3064" s="422"/>
    </row>
    <row r="3065" spans="191:191" x14ac:dyDescent="0.2">
      <c r="GI3065" s="422"/>
    </row>
    <row r="3066" spans="191:191" x14ac:dyDescent="0.2">
      <c r="GI3066" s="422"/>
    </row>
    <row r="3067" spans="191:191" x14ac:dyDescent="0.2">
      <c r="GI3067" s="422"/>
    </row>
    <row r="3068" spans="191:191" x14ac:dyDescent="0.2">
      <c r="GI3068" s="422"/>
    </row>
    <row r="3069" spans="191:191" x14ac:dyDescent="0.2">
      <c r="GI3069" s="422"/>
    </row>
    <row r="3070" spans="191:191" x14ac:dyDescent="0.2">
      <c r="GI3070" s="422"/>
    </row>
    <row r="3071" spans="191:191" x14ac:dyDescent="0.2">
      <c r="GI3071" s="422"/>
    </row>
    <row r="3072" spans="191:191" x14ac:dyDescent="0.2">
      <c r="GI3072" s="422"/>
    </row>
    <row r="3073" spans="191:191" x14ac:dyDescent="0.2">
      <c r="GI3073" s="422"/>
    </row>
    <row r="3074" spans="191:191" x14ac:dyDescent="0.2">
      <c r="GI3074" s="422"/>
    </row>
    <row r="3075" spans="191:191" x14ac:dyDescent="0.2">
      <c r="GI3075" s="422"/>
    </row>
    <row r="3076" spans="191:191" x14ac:dyDescent="0.2">
      <c r="GI3076" s="422"/>
    </row>
    <row r="3077" spans="191:191" x14ac:dyDescent="0.2">
      <c r="GI3077" s="422"/>
    </row>
    <row r="3078" spans="191:191" x14ac:dyDescent="0.2">
      <c r="GI3078" s="422"/>
    </row>
    <row r="3079" spans="191:191" x14ac:dyDescent="0.2">
      <c r="GI3079" s="422"/>
    </row>
    <row r="3080" spans="191:191" x14ac:dyDescent="0.2">
      <c r="GI3080" s="422"/>
    </row>
    <row r="3081" spans="191:191" x14ac:dyDescent="0.2">
      <c r="GI3081" s="422"/>
    </row>
    <row r="3082" spans="191:191" x14ac:dyDescent="0.2">
      <c r="GI3082" s="422"/>
    </row>
    <row r="3083" spans="191:191" x14ac:dyDescent="0.2">
      <c r="GI3083" s="422"/>
    </row>
    <row r="3084" spans="191:191" x14ac:dyDescent="0.2">
      <c r="GI3084" s="422"/>
    </row>
    <row r="3085" spans="191:191" x14ac:dyDescent="0.2">
      <c r="GI3085" s="422"/>
    </row>
    <row r="3086" spans="191:191" x14ac:dyDescent="0.2">
      <c r="GI3086" s="422"/>
    </row>
    <row r="3087" spans="191:191" x14ac:dyDescent="0.2">
      <c r="GI3087" s="422"/>
    </row>
    <row r="3088" spans="191:191" x14ac:dyDescent="0.2">
      <c r="GI3088" s="422"/>
    </row>
    <row r="3089" spans="191:191" x14ac:dyDescent="0.2">
      <c r="GI3089" s="422"/>
    </row>
    <row r="3090" spans="191:191" x14ac:dyDescent="0.2">
      <c r="GI3090" s="422"/>
    </row>
    <row r="3091" spans="191:191" x14ac:dyDescent="0.2">
      <c r="GI3091" s="422"/>
    </row>
    <row r="3092" spans="191:191" x14ac:dyDescent="0.2">
      <c r="GI3092" s="422"/>
    </row>
    <row r="3093" spans="191:191" x14ac:dyDescent="0.2">
      <c r="GI3093" s="422"/>
    </row>
    <row r="3094" spans="191:191" x14ac:dyDescent="0.2">
      <c r="GI3094" s="422"/>
    </row>
    <row r="3095" spans="191:191" x14ac:dyDescent="0.2">
      <c r="GI3095" s="422"/>
    </row>
    <row r="3096" spans="191:191" x14ac:dyDescent="0.2">
      <c r="GI3096" s="422"/>
    </row>
    <row r="3097" spans="191:191" x14ac:dyDescent="0.2">
      <c r="GI3097" s="422"/>
    </row>
    <row r="3098" spans="191:191" x14ac:dyDescent="0.2">
      <c r="GI3098" s="422"/>
    </row>
    <row r="3099" spans="191:191" x14ac:dyDescent="0.2">
      <c r="GI3099" s="422"/>
    </row>
    <row r="3100" spans="191:191" x14ac:dyDescent="0.2">
      <c r="GI3100" s="422"/>
    </row>
    <row r="3101" spans="191:191" x14ac:dyDescent="0.2">
      <c r="GI3101" s="422"/>
    </row>
    <row r="3102" spans="191:191" x14ac:dyDescent="0.2">
      <c r="GI3102" s="422"/>
    </row>
    <row r="3103" spans="191:191" x14ac:dyDescent="0.2">
      <c r="GI3103" s="422"/>
    </row>
    <row r="3104" spans="191:191" x14ac:dyDescent="0.2">
      <c r="GI3104" s="422"/>
    </row>
    <row r="3105" spans="191:191" x14ac:dyDescent="0.2">
      <c r="GI3105" s="422"/>
    </row>
    <row r="3106" spans="191:191" x14ac:dyDescent="0.2">
      <c r="GI3106" s="422"/>
    </row>
    <row r="3107" spans="191:191" x14ac:dyDescent="0.2">
      <c r="GI3107" s="422"/>
    </row>
    <row r="3108" spans="191:191" x14ac:dyDescent="0.2">
      <c r="GI3108" s="422"/>
    </row>
    <row r="3109" spans="191:191" x14ac:dyDescent="0.2">
      <c r="GI3109" s="422"/>
    </row>
    <row r="3110" spans="191:191" x14ac:dyDescent="0.2">
      <c r="GI3110" s="422"/>
    </row>
    <row r="3111" spans="191:191" x14ac:dyDescent="0.2">
      <c r="GI3111" s="422"/>
    </row>
    <row r="3112" spans="191:191" x14ac:dyDescent="0.2">
      <c r="GI3112" s="422"/>
    </row>
    <row r="3113" spans="191:191" x14ac:dyDescent="0.2">
      <c r="GI3113" s="422"/>
    </row>
    <row r="3114" spans="191:191" x14ac:dyDescent="0.2">
      <c r="GI3114" s="422"/>
    </row>
    <row r="3115" spans="191:191" x14ac:dyDescent="0.2">
      <c r="GI3115" s="422"/>
    </row>
    <row r="3116" spans="191:191" x14ac:dyDescent="0.2">
      <c r="GI3116" s="422"/>
    </row>
    <row r="3117" spans="191:191" x14ac:dyDescent="0.2">
      <c r="GI3117" s="422"/>
    </row>
    <row r="3118" spans="191:191" x14ac:dyDescent="0.2">
      <c r="GI3118" s="422"/>
    </row>
    <row r="3119" spans="191:191" x14ac:dyDescent="0.2">
      <c r="GI3119" s="422"/>
    </row>
    <row r="3120" spans="191:191" x14ac:dyDescent="0.2">
      <c r="GI3120" s="422"/>
    </row>
    <row r="3121" spans="191:191" x14ac:dyDescent="0.2">
      <c r="GI3121" s="422"/>
    </row>
    <row r="3122" spans="191:191" x14ac:dyDescent="0.2">
      <c r="GI3122" s="422"/>
    </row>
    <row r="3123" spans="191:191" x14ac:dyDescent="0.2">
      <c r="GI3123" s="422"/>
    </row>
    <row r="3124" spans="191:191" x14ac:dyDescent="0.2">
      <c r="GI3124" s="422"/>
    </row>
    <row r="3125" spans="191:191" x14ac:dyDescent="0.2">
      <c r="GI3125" s="422"/>
    </row>
    <row r="3126" spans="191:191" x14ac:dyDescent="0.2">
      <c r="GI3126" s="422"/>
    </row>
    <row r="3127" spans="191:191" x14ac:dyDescent="0.2">
      <c r="GI3127" s="422"/>
    </row>
    <row r="3128" spans="191:191" x14ac:dyDescent="0.2">
      <c r="GI3128" s="422"/>
    </row>
    <row r="3129" spans="191:191" x14ac:dyDescent="0.2">
      <c r="GI3129" s="422"/>
    </row>
    <row r="3130" spans="191:191" x14ac:dyDescent="0.2">
      <c r="GI3130" s="422"/>
    </row>
    <row r="3131" spans="191:191" x14ac:dyDescent="0.2">
      <c r="GI3131" s="422"/>
    </row>
    <row r="3132" spans="191:191" x14ac:dyDescent="0.2">
      <c r="GI3132" s="422"/>
    </row>
    <row r="3133" spans="191:191" x14ac:dyDescent="0.2">
      <c r="GI3133" s="422"/>
    </row>
    <row r="3134" spans="191:191" x14ac:dyDescent="0.2">
      <c r="GI3134" s="422"/>
    </row>
    <row r="3135" spans="191:191" x14ac:dyDescent="0.2">
      <c r="GI3135" s="422"/>
    </row>
    <row r="3136" spans="191:191" x14ac:dyDescent="0.2">
      <c r="GI3136" s="422"/>
    </row>
    <row r="3137" spans="191:191" x14ac:dyDescent="0.2">
      <c r="GI3137" s="422"/>
    </row>
    <row r="3138" spans="191:191" x14ac:dyDescent="0.2">
      <c r="GI3138" s="422"/>
    </row>
    <row r="3139" spans="191:191" x14ac:dyDescent="0.2">
      <c r="GI3139" s="422"/>
    </row>
    <row r="3140" spans="191:191" x14ac:dyDescent="0.2">
      <c r="GI3140" s="422"/>
    </row>
    <row r="3141" spans="191:191" x14ac:dyDescent="0.2">
      <c r="GI3141" s="422"/>
    </row>
    <row r="3142" spans="191:191" x14ac:dyDescent="0.2">
      <c r="GI3142" s="422"/>
    </row>
    <row r="3143" spans="191:191" x14ac:dyDescent="0.2">
      <c r="GI3143" s="422"/>
    </row>
    <row r="3144" spans="191:191" x14ac:dyDescent="0.2">
      <c r="GI3144" s="422"/>
    </row>
    <row r="3145" spans="191:191" x14ac:dyDescent="0.2">
      <c r="GI3145" s="422"/>
    </row>
    <row r="3146" spans="191:191" x14ac:dyDescent="0.2">
      <c r="GI3146" s="422"/>
    </row>
    <row r="3147" spans="191:191" x14ac:dyDescent="0.2">
      <c r="GI3147" s="422"/>
    </row>
    <row r="3148" spans="191:191" x14ac:dyDescent="0.2">
      <c r="GI3148" s="422"/>
    </row>
    <row r="3149" spans="191:191" x14ac:dyDescent="0.2">
      <c r="GI3149" s="422"/>
    </row>
    <row r="3150" spans="191:191" x14ac:dyDescent="0.2">
      <c r="GI3150" s="422"/>
    </row>
    <row r="3151" spans="191:191" x14ac:dyDescent="0.2">
      <c r="GI3151" s="422"/>
    </row>
    <row r="3152" spans="191:191" x14ac:dyDescent="0.2">
      <c r="GI3152" s="422"/>
    </row>
    <row r="3153" spans="191:191" x14ac:dyDescent="0.2">
      <c r="GI3153" s="422"/>
    </row>
    <row r="3154" spans="191:191" x14ac:dyDescent="0.2">
      <c r="GI3154" s="422"/>
    </row>
    <row r="3155" spans="191:191" x14ac:dyDescent="0.2">
      <c r="GI3155" s="422"/>
    </row>
    <row r="3156" spans="191:191" x14ac:dyDescent="0.2">
      <c r="GI3156" s="422"/>
    </row>
    <row r="3157" spans="191:191" x14ac:dyDescent="0.2">
      <c r="GI3157" s="422"/>
    </row>
    <row r="3158" spans="191:191" x14ac:dyDescent="0.2">
      <c r="GI3158" s="422"/>
    </row>
    <row r="3159" spans="191:191" x14ac:dyDescent="0.2">
      <c r="GI3159" s="422"/>
    </row>
    <row r="3160" spans="191:191" x14ac:dyDescent="0.2">
      <c r="GI3160" s="422"/>
    </row>
    <row r="3161" spans="191:191" x14ac:dyDescent="0.2">
      <c r="GI3161" s="422"/>
    </row>
    <row r="3162" spans="191:191" x14ac:dyDescent="0.2">
      <c r="GI3162" s="422"/>
    </row>
    <row r="3163" spans="191:191" x14ac:dyDescent="0.2">
      <c r="GI3163" s="422"/>
    </row>
    <row r="3164" spans="191:191" x14ac:dyDescent="0.2">
      <c r="GI3164" s="422"/>
    </row>
    <row r="3165" spans="191:191" x14ac:dyDescent="0.2">
      <c r="GI3165" s="422"/>
    </row>
    <row r="3166" spans="191:191" x14ac:dyDescent="0.2">
      <c r="GI3166" s="422"/>
    </row>
    <row r="3167" spans="191:191" x14ac:dyDescent="0.2">
      <c r="GI3167" s="422"/>
    </row>
    <row r="3168" spans="191:191" x14ac:dyDescent="0.2">
      <c r="GI3168" s="422"/>
    </row>
    <row r="3169" spans="191:191" x14ac:dyDescent="0.2">
      <c r="GI3169" s="422"/>
    </row>
    <row r="3170" spans="191:191" x14ac:dyDescent="0.2">
      <c r="GI3170" s="422"/>
    </row>
    <row r="3171" spans="191:191" x14ac:dyDescent="0.2">
      <c r="GI3171" s="422"/>
    </row>
    <row r="3172" spans="191:191" x14ac:dyDescent="0.2">
      <c r="GI3172" s="422"/>
    </row>
    <row r="3173" spans="191:191" x14ac:dyDescent="0.2">
      <c r="GI3173" s="422"/>
    </row>
    <row r="3174" spans="191:191" x14ac:dyDescent="0.2">
      <c r="GI3174" s="422"/>
    </row>
    <row r="3175" spans="191:191" x14ac:dyDescent="0.2">
      <c r="GI3175" s="422"/>
    </row>
    <row r="3176" spans="191:191" x14ac:dyDescent="0.2">
      <c r="GI3176" s="422"/>
    </row>
    <row r="3177" spans="191:191" x14ac:dyDescent="0.2">
      <c r="GI3177" s="422"/>
    </row>
    <row r="3178" spans="191:191" x14ac:dyDescent="0.2">
      <c r="GI3178" s="422"/>
    </row>
    <row r="3179" spans="191:191" x14ac:dyDescent="0.2">
      <c r="GI3179" s="422"/>
    </row>
    <row r="3180" spans="191:191" x14ac:dyDescent="0.2">
      <c r="GI3180" s="422"/>
    </row>
    <row r="3181" spans="191:191" x14ac:dyDescent="0.2">
      <c r="GI3181" s="422"/>
    </row>
    <row r="3182" spans="191:191" x14ac:dyDescent="0.2">
      <c r="GI3182" s="422"/>
    </row>
    <row r="3183" spans="191:191" x14ac:dyDescent="0.2">
      <c r="GI3183" s="422"/>
    </row>
    <row r="3184" spans="191:191" x14ac:dyDescent="0.2">
      <c r="GI3184" s="422"/>
    </row>
    <row r="3185" spans="191:191" x14ac:dyDescent="0.2">
      <c r="GI3185" s="422"/>
    </row>
    <row r="3186" spans="191:191" x14ac:dyDescent="0.2">
      <c r="GI3186" s="422"/>
    </row>
    <row r="3187" spans="191:191" x14ac:dyDescent="0.2">
      <c r="GI3187" s="422"/>
    </row>
    <row r="3188" spans="191:191" x14ac:dyDescent="0.2">
      <c r="GI3188" s="422"/>
    </row>
    <row r="3189" spans="191:191" x14ac:dyDescent="0.2">
      <c r="GI3189" s="422"/>
    </row>
    <row r="3190" spans="191:191" x14ac:dyDescent="0.2">
      <c r="GI3190" s="422"/>
    </row>
    <row r="3191" spans="191:191" x14ac:dyDescent="0.2">
      <c r="GI3191" s="422"/>
    </row>
    <row r="3192" spans="191:191" x14ac:dyDescent="0.2">
      <c r="GI3192" s="422"/>
    </row>
    <row r="3193" spans="191:191" x14ac:dyDescent="0.2">
      <c r="GI3193" s="422"/>
    </row>
    <row r="3194" spans="191:191" x14ac:dyDescent="0.2">
      <c r="GI3194" s="422"/>
    </row>
    <row r="3195" spans="191:191" x14ac:dyDescent="0.2">
      <c r="GI3195" s="422"/>
    </row>
    <row r="3196" spans="191:191" x14ac:dyDescent="0.2">
      <c r="GI3196" s="422"/>
    </row>
    <row r="3197" spans="191:191" x14ac:dyDescent="0.2">
      <c r="GI3197" s="422"/>
    </row>
    <row r="3198" spans="191:191" x14ac:dyDescent="0.2">
      <c r="GI3198" s="422"/>
    </row>
    <row r="3199" spans="191:191" x14ac:dyDescent="0.2">
      <c r="GI3199" s="422"/>
    </row>
    <row r="3200" spans="191:191" x14ac:dyDescent="0.2">
      <c r="GI3200" s="422"/>
    </row>
    <row r="3201" spans="191:191" x14ac:dyDescent="0.2">
      <c r="GI3201" s="422"/>
    </row>
    <row r="3202" spans="191:191" x14ac:dyDescent="0.2">
      <c r="GI3202" s="422"/>
    </row>
    <row r="3203" spans="191:191" x14ac:dyDescent="0.2">
      <c r="GI3203" s="422"/>
    </row>
    <row r="3204" spans="191:191" x14ac:dyDescent="0.2">
      <c r="GI3204" s="422"/>
    </row>
    <row r="3205" spans="191:191" x14ac:dyDescent="0.2">
      <c r="GI3205" s="422"/>
    </row>
    <row r="3206" spans="191:191" x14ac:dyDescent="0.2">
      <c r="GI3206" s="422"/>
    </row>
    <row r="3207" spans="191:191" x14ac:dyDescent="0.2">
      <c r="GI3207" s="422"/>
    </row>
    <row r="3208" spans="191:191" x14ac:dyDescent="0.2">
      <c r="GI3208" s="422"/>
    </row>
    <row r="3209" spans="191:191" x14ac:dyDescent="0.2">
      <c r="GI3209" s="422"/>
    </row>
    <row r="3210" spans="191:191" x14ac:dyDescent="0.2">
      <c r="GI3210" s="422"/>
    </row>
    <row r="3211" spans="191:191" x14ac:dyDescent="0.2">
      <c r="GI3211" s="422"/>
    </row>
    <row r="3212" spans="191:191" x14ac:dyDescent="0.2">
      <c r="GI3212" s="422"/>
    </row>
    <row r="3213" spans="191:191" x14ac:dyDescent="0.2">
      <c r="GI3213" s="422"/>
    </row>
    <row r="3214" spans="191:191" x14ac:dyDescent="0.2">
      <c r="GI3214" s="422"/>
    </row>
    <row r="3215" spans="191:191" x14ac:dyDescent="0.2">
      <c r="GI3215" s="422"/>
    </row>
    <row r="3216" spans="191:191" x14ac:dyDescent="0.2">
      <c r="GI3216" s="422"/>
    </row>
    <row r="3217" spans="191:191" x14ac:dyDescent="0.2">
      <c r="GI3217" s="422"/>
    </row>
    <row r="3218" spans="191:191" x14ac:dyDescent="0.2">
      <c r="GI3218" s="422"/>
    </row>
    <row r="3219" spans="191:191" x14ac:dyDescent="0.2">
      <c r="GI3219" s="422"/>
    </row>
    <row r="3220" spans="191:191" x14ac:dyDescent="0.2">
      <c r="GI3220" s="422"/>
    </row>
    <row r="3221" spans="191:191" x14ac:dyDescent="0.2">
      <c r="GI3221" s="422"/>
    </row>
    <row r="3222" spans="191:191" x14ac:dyDescent="0.2">
      <c r="GI3222" s="422"/>
    </row>
    <row r="3223" spans="191:191" x14ac:dyDescent="0.2">
      <c r="GI3223" s="422"/>
    </row>
    <row r="3224" spans="191:191" x14ac:dyDescent="0.2">
      <c r="GI3224" s="422"/>
    </row>
    <row r="3225" spans="191:191" x14ac:dyDescent="0.2">
      <c r="GI3225" s="422"/>
    </row>
    <row r="3226" spans="191:191" x14ac:dyDescent="0.2">
      <c r="GI3226" s="422"/>
    </row>
    <row r="3227" spans="191:191" x14ac:dyDescent="0.2">
      <c r="GI3227" s="422"/>
    </row>
    <row r="3228" spans="191:191" x14ac:dyDescent="0.2">
      <c r="GI3228" s="422"/>
    </row>
    <row r="3229" spans="191:191" x14ac:dyDescent="0.2">
      <c r="GI3229" s="422"/>
    </row>
    <row r="3230" spans="191:191" x14ac:dyDescent="0.2">
      <c r="GI3230" s="422"/>
    </row>
    <row r="3231" spans="191:191" x14ac:dyDescent="0.2">
      <c r="GI3231" s="422"/>
    </row>
    <row r="3232" spans="191:191" x14ac:dyDescent="0.2">
      <c r="GI3232" s="422"/>
    </row>
    <row r="3233" spans="191:191" x14ac:dyDescent="0.2">
      <c r="GI3233" s="422"/>
    </row>
    <row r="3234" spans="191:191" x14ac:dyDescent="0.2">
      <c r="GI3234" s="422"/>
    </row>
    <row r="3235" spans="191:191" x14ac:dyDescent="0.2">
      <c r="GI3235" s="422"/>
    </row>
    <row r="3236" spans="191:191" x14ac:dyDescent="0.2">
      <c r="GI3236" s="422"/>
    </row>
    <row r="3237" spans="191:191" x14ac:dyDescent="0.2">
      <c r="GI3237" s="422"/>
    </row>
    <row r="3238" spans="191:191" x14ac:dyDescent="0.2">
      <c r="GI3238" s="422"/>
    </row>
    <row r="3239" spans="191:191" x14ac:dyDescent="0.2">
      <c r="GI3239" s="422"/>
    </row>
    <row r="3240" spans="191:191" x14ac:dyDescent="0.2">
      <c r="GI3240" s="422"/>
    </row>
    <row r="3241" spans="191:191" x14ac:dyDescent="0.2">
      <c r="GI3241" s="422"/>
    </row>
    <row r="3242" spans="191:191" x14ac:dyDescent="0.2">
      <c r="GI3242" s="422"/>
    </row>
    <row r="3243" spans="191:191" x14ac:dyDescent="0.2">
      <c r="GI3243" s="422"/>
    </row>
    <row r="3244" spans="191:191" x14ac:dyDescent="0.2">
      <c r="GI3244" s="422"/>
    </row>
    <row r="3245" spans="191:191" x14ac:dyDescent="0.2">
      <c r="GI3245" s="422"/>
    </row>
    <row r="3246" spans="191:191" x14ac:dyDescent="0.2">
      <c r="GI3246" s="422"/>
    </row>
    <row r="3247" spans="191:191" x14ac:dyDescent="0.2">
      <c r="GI3247" s="422"/>
    </row>
    <row r="3248" spans="191:191" x14ac:dyDescent="0.2">
      <c r="GI3248" s="422"/>
    </row>
    <row r="3249" spans="191:191" x14ac:dyDescent="0.2">
      <c r="GI3249" s="422"/>
    </row>
    <row r="3250" spans="191:191" x14ac:dyDescent="0.2">
      <c r="GI3250" s="422"/>
    </row>
    <row r="3251" spans="191:191" x14ac:dyDescent="0.2">
      <c r="GI3251" s="422"/>
    </row>
    <row r="3252" spans="191:191" x14ac:dyDescent="0.2">
      <c r="GI3252" s="422"/>
    </row>
    <row r="3253" spans="191:191" x14ac:dyDescent="0.2">
      <c r="GI3253" s="422"/>
    </row>
    <row r="3254" spans="191:191" x14ac:dyDescent="0.2">
      <c r="GI3254" s="422"/>
    </row>
    <row r="3255" spans="191:191" x14ac:dyDescent="0.2">
      <c r="GI3255" s="422"/>
    </row>
    <row r="3256" spans="191:191" x14ac:dyDescent="0.2">
      <c r="GI3256" s="422"/>
    </row>
    <row r="3257" spans="191:191" x14ac:dyDescent="0.2">
      <c r="GI3257" s="422"/>
    </row>
    <row r="3258" spans="191:191" x14ac:dyDescent="0.2">
      <c r="GI3258" s="422"/>
    </row>
    <row r="3259" spans="191:191" x14ac:dyDescent="0.2">
      <c r="GI3259" s="422"/>
    </row>
    <row r="3260" spans="191:191" x14ac:dyDescent="0.2">
      <c r="GI3260" s="422"/>
    </row>
    <row r="3261" spans="191:191" x14ac:dyDescent="0.2">
      <c r="GI3261" s="422"/>
    </row>
    <row r="3262" spans="191:191" x14ac:dyDescent="0.2">
      <c r="GI3262" s="422"/>
    </row>
    <row r="3263" spans="191:191" x14ac:dyDescent="0.2">
      <c r="GI3263" s="422"/>
    </row>
    <row r="3264" spans="191:191" x14ac:dyDescent="0.2">
      <c r="GI3264" s="422"/>
    </row>
    <row r="3265" spans="191:191" x14ac:dyDescent="0.2">
      <c r="GI3265" s="422"/>
    </row>
    <row r="3266" spans="191:191" x14ac:dyDescent="0.2">
      <c r="GI3266" s="422"/>
    </row>
    <row r="3267" spans="191:191" x14ac:dyDescent="0.2">
      <c r="GI3267" s="422"/>
    </row>
    <row r="3268" spans="191:191" x14ac:dyDescent="0.2">
      <c r="GI3268" s="422"/>
    </row>
    <row r="3269" spans="191:191" x14ac:dyDescent="0.2">
      <c r="GI3269" s="422"/>
    </row>
    <row r="3270" spans="191:191" x14ac:dyDescent="0.2">
      <c r="GI3270" s="422"/>
    </row>
    <row r="3271" spans="191:191" x14ac:dyDescent="0.2">
      <c r="GI3271" s="422"/>
    </row>
    <row r="3272" spans="191:191" x14ac:dyDescent="0.2">
      <c r="GI3272" s="422"/>
    </row>
    <row r="3273" spans="191:191" x14ac:dyDescent="0.2">
      <c r="GI3273" s="422"/>
    </row>
    <row r="3274" spans="191:191" x14ac:dyDescent="0.2">
      <c r="GI3274" s="422"/>
    </row>
    <row r="3275" spans="191:191" x14ac:dyDescent="0.2">
      <c r="GI3275" s="422"/>
    </row>
    <row r="3276" spans="191:191" x14ac:dyDescent="0.2">
      <c r="GI3276" s="422"/>
    </row>
    <row r="3277" spans="191:191" x14ac:dyDescent="0.2">
      <c r="GI3277" s="422"/>
    </row>
    <row r="3278" spans="191:191" x14ac:dyDescent="0.2">
      <c r="GI3278" s="422"/>
    </row>
    <row r="3279" spans="191:191" x14ac:dyDescent="0.2">
      <c r="GI3279" s="422"/>
    </row>
    <row r="3280" spans="191:191" x14ac:dyDescent="0.2">
      <c r="GI3280" s="422"/>
    </row>
    <row r="3281" spans="191:191" x14ac:dyDescent="0.2">
      <c r="GI3281" s="422"/>
    </row>
    <row r="3282" spans="191:191" x14ac:dyDescent="0.2">
      <c r="GI3282" s="422"/>
    </row>
    <row r="3283" spans="191:191" x14ac:dyDescent="0.2">
      <c r="GI3283" s="422"/>
    </row>
    <row r="3284" spans="191:191" x14ac:dyDescent="0.2">
      <c r="GI3284" s="422"/>
    </row>
    <row r="3285" spans="191:191" x14ac:dyDescent="0.2">
      <c r="GI3285" s="422"/>
    </row>
    <row r="3286" spans="191:191" x14ac:dyDescent="0.2">
      <c r="GI3286" s="422"/>
    </row>
    <row r="3287" spans="191:191" x14ac:dyDescent="0.2">
      <c r="GI3287" s="422"/>
    </row>
    <row r="3288" spans="191:191" x14ac:dyDescent="0.2">
      <c r="GI3288" s="422"/>
    </row>
    <row r="3289" spans="191:191" x14ac:dyDescent="0.2">
      <c r="GI3289" s="422"/>
    </row>
    <row r="3290" spans="191:191" x14ac:dyDescent="0.2">
      <c r="GI3290" s="422"/>
    </row>
    <row r="3291" spans="191:191" x14ac:dyDescent="0.2">
      <c r="GI3291" s="422"/>
    </row>
    <row r="3292" spans="191:191" x14ac:dyDescent="0.2">
      <c r="GI3292" s="422"/>
    </row>
    <row r="3293" spans="191:191" x14ac:dyDescent="0.2">
      <c r="GI3293" s="422"/>
    </row>
    <row r="3294" spans="191:191" x14ac:dyDescent="0.2">
      <c r="GI3294" s="422"/>
    </row>
    <row r="3295" spans="191:191" x14ac:dyDescent="0.2">
      <c r="GI3295" s="422"/>
    </row>
    <row r="3296" spans="191:191" x14ac:dyDescent="0.2">
      <c r="GI3296" s="422"/>
    </row>
    <row r="3297" spans="191:191" x14ac:dyDescent="0.2">
      <c r="GI3297" s="422"/>
    </row>
    <row r="3298" spans="191:191" x14ac:dyDescent="0.2">
      <c r="GI3298" s="422"/>
    </row>
    <row r="3299" spans="191:191" x14ac:dyDescent="0.2">
      <c r="GI3299" s="422"/>
    </row>
    <row r="3300" spans="191:191" x14ac:dyDescent="0.2">
      <c r="GI3300" s="422"/>
    </row>
    <row r="3301" spans="191:191" x14ac:dyDescent="0.2">
      <c r="GI3301" s="422"/>
    </row>
    <row r="3302" spans="191:191" x14ac:dyDescent="0.2">
      <c r="GI3302" s="422"/>
    </row>
    <row r="3303" spans="191:191" x14ac:dyDescent="0.2">
      <c r="GI3303" s="422"/>
    </row>
    <row r="3304" spans="191:191" x14ac:dyDescent="0.2">
      <c r="GI3304" s="422"/>
    </row>
    <row r="3305" spans="191:191" x14ac:dyDescent="0.2">
      <c r="GI3305" s="422"/>
    </row>
    <row r="3306" spans="191:191" x14ac:dyDescent="0.2">
      <c r="GI3306" s="422"/>
    </row>
    <row r="3307" spans="191:191" x14ac:dyDescent="0.2">
      <c r="GI3307" s="422"/>
    </row>
    <row r="3308" spans="191:191" x14ac:dyDescent="0.2">
      <c r="GI3308" s="422"/>
    </row>
    <row r="3309" spans="191:191" x14ac:dyDescent="0.2">
      <c r="GI3309" s="422"/>
    </row>
    <row r="3310" spans="191:191" x14ac:dyDescent="0.2">
      <c r="GI3310" s="422"/>
    </row>
    <row r="3311" spans="191:191" x14ac:dyDescent="0.2">
      <c r="GI3311" s="422"/>
    </row>
    <row r="3312" spans="191:191" x14ac:dyDescent="0.2">
      <c r="GI3312" s="422"/>
    </row>
    <row r="3313" spans="191:191" x14ac:dyDescent="0.2">
      <c r="GI3313" s="422"/>
    </row>
    <row r="3314" spans="191:191" x14ac:dyDescent="0.2">
      <c r="GI3314" s="422"/>
    </row>
    <row r="3315" spans="191:191" x14ac:dyDescent="0.2">
      <c r="GI3315" s="422"/>
    </row>
    <row r="3316" spans="191:191" x14ac:dyDescent="0.2">
      <c r="GI3316" s="422"/>
    </row>
    <row r="3317" spans="191:191" x14ac:dyDescent="0.2">
      <c r="GI3317" s="422"/>
    </row>
    <row r="3318" spans="191:191" x14ac:dyDescent="0.2">
      <c r="GI3318" s="422"/>
    </row>
    <row r="3319" spans="191:191" x14ac:dyDescent="0.2">
      <c r="GI3319" s="422"/>
    </row>
    <row r="3320" spans="191:191" x14ac:dyDescent="0.2">
      <c r="GI3320" s="422"/>
    </row>
    <row r="3321" spans="191:191" x14ac:dyDescent="0.2">
      <c r="GI3321" s="422"/>
    </row>
    <row r="3322" spans="191:191" x14ac:dyDescent="0.2">
      <c r="GI3322" s="422"/>
    </row>
    <row r="3323" spans="191:191" x14ac:dyDescent="0.2">
      <c r="GI3323" s="422"/>
    </row>
    <row r="3324" spans="191:191" x14ac:dyDescent="0.2">
      <c r="GI3324" s="422"/>
    </row>
    <row r="3325" spans="191:191" x14ac:dyDescent="0.2">
      <c r="GI3325" s="422"/>
    </row>
    <row r="3326" spans="191:191" x14ac:dyDescent="0.2">
      <c r="GI3326" s="422"/>
    </row>
    <row r="3327" spans="191:191" x14ac:dyDescent="0.2">
      <c r="GI3327" s="422"/>
    </row>
    <row r="3328" spans="191:191" x14ac:dyDescent="0.2">
      <c r="GI3328" s="422"/>
    </row>
    <row r="3329" spans="191:191" x14ac:dyDescent="0.2">
      <c r="GI3329" s="422"/>
    </row>
    <row r="3330" spans="191:191" x14ac:dyDescent="0.2">
      <c r="GI3330" s="422"/>
    </row>
    <row r="3331" spans="191:191" x14ac:dyDescent="0.2">
      <c r="GI3331" s="422"/>
    </row>
    <row r="3332" spans="191:191" x14ac:dyDescent="0.2">
      <c r="GI3332" s="422"/>
    </row>
    <row r="3333" spans="191:191" x14ac:dyDescent="0.2">
      <c r="GI3333" s="422"/>
    </row>
    <row r="3334" spans="191:191" x14ac:dyDescent="0.2">
      <c r="GI3334" s="422"/>
    </row>
    <row r="3335" spans="191:191" x14ac:dyDescent="0.2">
      <c r="GI3335" s="422"/>
    </row>
    <row r="3336" spans="191:191" x14ac:dyDescent="0.2">
      <c r="GI3336" s="422"/>
    </row>
    <row r="3337" spans="191:191" x14ac:dyDescent="0.2">
      <c r="GI3337" s="422"/>
    </row>
    <row r="3338" spans="191:191" x14ac:dyDescent="0.2">
      <c r="GI3338" s="422"/>
    </row>
    <row r="3339" spans="191:191" x14ac:dyDescent="0.2">
      <c r="GI3339" s="422"/>
    </row>
    <row r="3340" spans="191:191" x14ac:dyDescent="0.2">
      <c r="GI3340" s="422"/>
    </row>
    <row r="3341" spans="191:191" x14ac:dyDescent="0.2">
      <c r="GI3341" s="422"/>
    </row>
    <row r="3342" spans="191:191" x14ac:dyDescent="0.2">
      <c r="GI3342" s="422"/>
    </row>
    <row r="3343" spans="191:191" x14ac:dyDescent="0.2">
      <c r="GI3343" s="422"/>
    </row>
    <row r="3344" spans="191:191" x14ac:dyDescent="0.2">
      <c r="GI3344" s="422"/>
    </row>
    <row r="3345" spans="191:191" x14ac:dyDescent="0.2">
      <c r="GI3345" s="422"/>
    </row>
    <row r="3346" spans="191:191" x14ac:dyDescent="0.2">
      <c r="GI3346" s="422"/>
    </row>
    <row r="3347" spans="191:191" x14ac:dyDescent="0.2">
      <c r="GI3347" s="422"/>
    </row>
    <row r="3348" spans="191:191" x14ac:dyDescent="0.2">
      <c r="GI3348" s="422"/>
    </row>
    <row r="3349" spans="191:191" x14ac:dyDescent="0.2">
      <c r="GI3349" s="422"/>
    </row>
    <row r="3350" spans="191:191" x14ac:dyDescent="0.2">
      <c r="GI3350" s="422"/>
    </row>
    <row r="3351" spans="191:191" x14ac:dyDescent="0.2">
      <c r="GI3351" s="422"/>
    </row>
    <row r="3352" spans="191:191" x14ac:dyDescent="0.2">
      <c r="GI3352" s="422"/>
    </row>
    <row r="3353" spans="191:191" x14ac:dyDescent="0.2">
      <c r="GI3353" s="422"/>
    </row>
    <row r="3354" spans="191:191" x14ac:dyDescent="0.2">
      <c r="GI3354" s="422"/>
    </row>
    <row r="3355" spans="191:191" x14ac:dyDescent="0.2">
      <c r="GI3355" s="422"/>
    </row>
    <row r="3356" spans="191:191" x14ac:dyDescent="0.2">
      <c r="GI3356" s="422"/>
    </row>
    <row r="3357" spans="191:191" x14ac:dyDescent="0.2">
      <c r="GI3357" s="422"/>
    </row>
    <row r="3358" spans="191:191" x14ac:dyDescent="0.2">
      <c r="GI3358" s="422"/>
    </row>
    <row r="3359" spans="191:191" x14ac:dyDescent="0.2">
      <c r="GI3359" s="422"/>
    </row>
    <row r="3360" spans="191:191" x14ac:dyDescent="0.2">
      <c r="GI3360" s="422"/>
    </row>
    <row r="3361" spans="191:191" x14ac:dyDescent="0.2">
      <c r="GI3361" s="422"/>
    </row>
    <row r="3362" spans="191:191" x14ac:dyDescent="0.2">
      <c r="GI3362" s="422"/>
    </row>
    <row r="3363" spans="191:191" x14ac:dyDescent="0.2">
      <c r="GI3363" s="422"/>
    </row>
    <row r="3364" spans="191:191" x14ac:dyDescent="0.2">
      <c r="GI3364" s="422"/>
    </row>
    <row r="3365" spans="191:191" x14ac:dyDescent="0.2">
      <c r="GI3365" s="422"/>
    </row>
    <row r="3366" spans="191:191" x14ac:dyDescent="0.2">
      <c r="GI3366" s="422"/>
    </row>
    <row r="3367" spans="191:191" x14ac:dyDescent="0.2">
      <c r="GI3367" s="422"/>
    </row>
    <row r="3368" spans="191:191" x14ac:dyDescent="0.2">
      <c r="GI3368" s="422"/>
    </row>
    <row r="3369" spans="191:191" x14ac:dyDescent="0.2">
      <c r="GI3369" s="422"/>
    </row>
    <row r="3370" spans="191:191" x14ac:dyDescent="0.2">
      <c r="GI3370" s="422"/>
    </row>
    <row r="3371" spans="191:191" x14ac:dyDescent="0.2">
      <c r="GI3371" s="422"/>
    </row>
    <row r="3372" spans="191:191" x14ac:dyDescent="0.2">
      <c r="GI3372" s="422"/>
    </row>
    <row r="3373" spans="191:191" x14ac:dyDescent="0.2">
      <c r="GI3373" s="422"/>
    </row>
    <row r="3374" spans="191:191" x14ac:dyDescent="0.2">
      <c r="GI3374" s="422"/>
    </row>
    <row r="3375" spans="191:191" x14ac:dyDescent="0.2">
      <c r="GI3375" s="422"/>
    </row>
    <row r="3376" spans="191:191" x14ac:dyDescent="0.2">
      <c r="GI3376" s="422"/>
    </row>
    <row r="3377" spans="191:191" x14ac:dyDescent="0.2">
      <c r="GI3377" s="422"/>
    </row>
    <row r="3378" spans="191:191" x14ac:dyDescent="0.2">
      <c r="GI3378" s="422"/>
    </row>
    <row r="3379" spans="191:191" x14ac:dyDescent="0.2">
      <c r="GI3379" s="422"/>
    </row>
    <row r="3380" spans="191:191" x14ac:dyDescent="0.2">
      <c r="GI3380" s="422"/>
    </row>
    <row r="3381" spans="191:191" x14ac:dyDescent="0.2">
      <c r="GI3381" s="422"/>
    </row>
    <row r="3382" spans="191:191" x14ac:dyDescent="0.2">
      <c r="GI3382" s="422"/>
    </row>
    <row r="3383" spans="191:191" x14ac:dyDescent="0.2">
      <c r="GI3383" s="422"/>
    </row>
    <row r="3384" spans="191:191" x14ac:dyDescent="0.2">
      <c r="GI3384" s="422"/>
    </row>
    <row r="3385" spans="191:191" x14ac:dyDescent="0.2">
      <c r="GI3385" s="422"/>
    </row>
    <row r="3386" spans="191:191" x14ac:dyDescent="0.2">
      <c r="GI3386" s="422"/>
    </row>
    <row r="3387" spans="191:191" x14ac:dyDescent="0.2">
      <c r="GI3387" s="422"/>
    </row>
    <row r="3388" spans="191:191" x14ac:dyDescent="0.2">
      <c r="GI3388" s="422"/>
    </row>
    <row r="3389" spans="191:191" x14ac:dyDescent="0.2">
      <c r="GI3389" s="422"/>
    </row>
    <row r="3390" spans="191:191" x14ac:dyDescent="0.2">
      <c r="GI3390" s="422"/>
    </row>
    <row r="3391" spans="191:191" x14ac:dyDescent="0.2">
      <c r="GI3391" s="422"/>
    </row>
    <row r="3392" spans="191:191" x14ac:dyDescent="0.2">
      <c r="GI3392" s="422"/>
    </row>
    <row r="3393" spans="191:191" x14ac:dyDescent="0.2">
      <c r="GI3393" s="422"/>
    </row>
    <row r="3394" spans="191:191" x14ac:dyDescent="0.2">
      <c r="GI3394" s="422"/>
    </row>
    <row r="3395" spans="191:191" x14ac:dyDescent="0.2">
      <c r="GI3395" s="422"/>
    </row>
    <row r="3396" spans="191:191" x14ac:dyDescent="0.2">
      <c r="GI3396" s="422"/>
    </row>
    <row r="3397" spans="191:191" x14ac:dyDescent="0.2">
      <c r="GI3397" s="422"/>
    </row>
    <row r="3398" spans="191:191" x14ac:dyDescent="0.2">
      <c r="GI3398" s="422"/>
    </row>
    <row r="3399" spans="191:191" x14ac:dyDescent="0.2">
      <c r="GI3399" s="422"/>
    </row>
    <row r="3400" spans="191:191" x14ac:dyDescent="0.2">
      <c r="GI3400" s="422"/>
    </row>
    <row r="3401" spans="191:191" x14ac:dyDescent="0.2">
      <c r="GI3401" s="422"/>
    </row>
    <row r="3402" spans="191:191" x14ac:dyDescent="0.2">
      <c r="GI3402" s="422"/>
    </row>
    <row r="3403" spans="191:191" x14ac:dyDescent="0.2">
      <c r="GI3403" s="422"/>
    </row>
    <row r="3404" spans="191:191" x14ac:dyDescent="0.2">
      <c r="GI3404" s="422"/>
    </row>
    <row r="3405" spans="191:191" x14ac:dyDescent="0.2">
      <c r="GI3405" s="422"/>
    </row>
    <row r="3406" spans="191:191" x14ac:dyDescent="0.2">
      <c r="GI3406" s="422"/>
    </row>
    <row r="3407" spans="191:191" x14ac:dyDescent="0.2">
      <c r="GI3407" s="422"/>
    </row>
    <row r="3408" spans="191:191" x14ac:dyDescent="0.2">
      <c r="GI3408" s="422"/>
    </row>
    <row r="3409" spans="191:191" x14ac:dyDescent="0.2">
      <c r="GI3409" s="422"/>
    </row>
    <row r="3410" spans="191:191" x14ac:dyDescent="0.2">
      <c r="GI3410" s="422"/>
    </row>
    <row r="3411" spans="191:191" x14ac:dyDescent="0.2">
      <c r="GI3411" s="422"/>
    </row>
    <row r="3412" spans="191:191" x14ac:dyDescent="0.2">
      <c r="GI3412" s="422"/>
    </row>
    <row r="3413" spans="191:191" x14ac:dyDescent="0.2">
      <c r="GI3413" s="422"/>
    </row>
    <row r="3414" spans="191:191" x14ac:dyDescent="0.2">
      <c r="GI3414" s="422"/>
    </row>
    <row r="3415" spans="191:191" x14ac:dyDescent="0.2">
      <c r="GI3415" s="422"/>
    </row>
    <row r="3416" spans="191:191" x14ac:dyDescent="0.2">
      <c r="GI3416" s="422"/>
    </row>
    <row r="3417" spans="191:191" x14ac:dyDescent="0.2">
      <c r="GI3417" s="422"/>
    </row>
    <row r="3418" spans="191:191" x14ac:dyDescent="0.2">
      <c r="GI3418" s="422"/>
    </row>
    <row r="3419" spans="191:191" x14ac:dyDescent="0.2">
      <c r="GI3419" s="422"/>
    </row>
    <row r="3420" spans="191:191" x14ac:dyDescent="0.2">
      <c r="GI3420" s="422"/>
    </row>
    <row r="3421" spans="191:191" x14ac:dyDescent="0.2">
      <c r="GI3421" s="422"/>
    </row>
    <row r="3422" spans="191:191" x14ac:dyDescent="0.2">
      <c r="GI3422" s="422"/>
    </row>
    <row r="3423" spans="191:191" x14ac:dyDescent="0.2">
      <c r="GI3423" s="422"/>
    </row>
    <row r="3424" spans="191:191" x14ac:dyDescent="0.2">
      <c r="GI3424" s="422"/>
    </row>
    <row r="3425" spans="191:191" x14ac:dyDescent="0.2">
      <c r="GI3425" s="422"/>
    </row>
    <row r="3426" spans="191:191" x14ac:dyDescent="0.2">
      <c r="GI3426" s="422"/>
    </row>
    <row r="3427" spans="191:191" x14ac:dyDescent="0.2">
      <c r="GI3427" s="422"/>
    </row>
    <row r="3428" spans="191:191" x14ac:dyDescent="0.2">
      <c r="GI3428" s="422"/>
    </row>
    <row r="3429" spans="191:191" x14ac:dyDescent="0.2">
      <c r="GI3429" s="422"/>
    </row>
    <row r="3430" spans="191:191" x14ac:dyDescent="0.2">
      <c r="GI3430" s="422"/>
    </row>
    <row r="3431" spans="191:191" x14ac:dyDescent="0.2">
      <c r="GI3431" s="422"/>
    </row>
    <row r="3432" spans="191:191" x14ac:dyDescent="0.2">
      <c r="GI3432" s="422"/>
    </row>
    <row r="3433" spans="191:191" x14ac:dyDescent="0.2">
      <c r="GI3433" s="422"/>
    </row>
    <row r="3434" spans="191:191" x14ac:dyDescent="0.2">
      <c r="GI3434" s="422"/>
    </row>
    <row r="3435" spans="191:191" x14ac:dyDescent="0.2">
      <c r="GI3435" s="422"/>
    </row>
    <row r="3436" spans="191:191" x14ac:dyDescent="0.2">
      <c r="GI3436" s="422"/>
    </row>
    <row r="3437" spans="191:191" x14ac:dyDescent="0.2">
      <c r="GI3437" s="422"/>
    </row>
    <row r="3438" spans="191:191" x14ac:dyDescent="0.2">
      <c r="GI3438" s="422"/>
    </row>
    <row r="3439" spans="191:191" x14ac:dyDescent="0.2">
      <c r="GI3439" s="422"/>
    </row>
    <row r="3440" spans="191:191" x14ac:dyDescent="0.2">
      <c r="GI3440" s="422"/>
    </row>
    <row r="3441" spans="191:191" x14ac:dyDescent="0.2">
      <c r="GI3441" s="422"/>
    </row>
    <row r="3442" spans="191:191" x14ac:dyDescent="0.2">
      <c r="GI3442" s="422"/>
    </row>
    <row r="3443" spans="191:191" x14ac:dyDescent="0.2">
      <c r="GI3443" s="422"/>
    </row>
    <row r="3444" spans="191:191" x14ac:dyDescent="0.2">
      <c r="GI3444" s="422"/>
    </row>
    <row r="3445" spans="191:191" x14ac:dyDescent="0.2">
      <c r="GI3445" s="422"/>
    </row>
    <row r="3446" spans="191:191" x14ac:dyDescent="0.2">
      <c r="GI3446" s="422"/>
    </row>
    <row r="3447" spans="191:191" x14ac:dyDescent="0.2">
      <c r="GI3447" s="422"/>
    </row>
    <row r="3448" spans="191:191" x14ac:dyDescent="0.2">
      <c r="GI3448" s="422"/>
    </row>
    <row r="3449" spans="191:191" x14ac:dyDescent="0.2">
      <c r="GI3449" s="422"/>
    </row>
    <row r="3450" spans="191:191" x14ac:dyDescent="0.2">
      <c r="GI3450" s="422"/>
    </row>
    <row r="3451" spans="191:191" x14ac:dyDescent="0.2">
      <c r="GI3451" s="422"/>
    </row>
    <row r="3452" spans="191:191" x14ac:dyDescent="0.2">
      <c r="GI3452" s="422"/>
    </row>
    <row r="3453" spans="191:191" x14ac:dyDescent="0.2">
      <c r="GI3453" s="422"/>
    </row>
    <row r="3454" spans="191:191" x14ac:dyDescent="0.2">
      <c r="GI3454" s="422"/>
    </row>
    <row r="3455" spans="191:191" x14ac:dyDescent="0.2">
      <c r="GI3455" s="422"/>
    </row>
    <row r="3456" spans="191:191" x14ac:dyDescent="0.2">
      <c r="GI3456" s="422"/>
    </row>
    <row r="3457" spans="191:191" x14ac:dyDescent="0.2">
      <c r="GI3457" s="422"/>
    </row>
    <row r="3458" spans="191:191" x14ac:dyDescent="0.2">
      <c r="GI3458" s="422"/>
    </row>
    <row r="3459" spans="191:191" x14ac:dyDescent="0.2">
      <c r="GI3459" s="422"/>
    </row>
    <row r="3460" spans="191:191" x14ac:dyDescent="0.2">
      <c r="GI3460" s="422"/>
    </row>
    <row r="3461" spans="191:191" x14ac:dyDescent="0.2">
      <c r="GI3461" s="422"/>
    </row>
    <row r="3462" spans="191:191" x14ac:dyDescent="0.2">
      <c r="GI3462" s="422"/>
    </row>
    <row r="3463" spans="191:191" x14ac:dyDescent="0.2">
      <c r="GI3463" s="422"/>
    </row>
    <row r="3464" spans="191:191" x14ac:dyDescent="0.2">
      <c r="GI3464" s="422"/>
    </row>
    <row r="3465" spans="191:191" x14ac:dyDescent="0.2">
      <c r="GI3465" s="422"/>
    </row>
    <row r="3466" spans="191:191" x14ac:dyDescent="0.2">
      <c r="GI3466" s="422"/>
    </row>
    <row r="3467" spans="191:191" x14ac:dyDescent="0.2">
      <c r="GI3467" s="422"/>
    </row>
    <row r="3468" spans="191:191" x14ac:dyDescent="0.2">
      <c r="GI3468" s="422"/>
    </row>
    <row r="3469" spans="191:191" x14ac:dyDescent="0.2">
      <c r="GI3469" s="422"/>
    </row>
    <row r="3470" spans="191:191" x14ac:dyDescent="0.2">
      <c r="GI3470" s="422"/>
    </row>
    <row r="3471" spans="191:191" x14ac:dyDescent="0.2">
      <c r="GI3471" s="422"/>
    </row>
    <row r="3472" spans="191:191" x14ac:dyDescent="0.2">
      <c r="GI3472" s="422"/>
    </row>
    <row r="3473" spans="191:191" x14ac:dyDescent="0.2">
      <c r="GI3473" s="422"/>
    </row>
    <row r="3474" spans="191:191" x14ac:dyDescent="0.2">
      <c r="GI3474" s="422"/>
    </row>
    <row r="3475" spans="191:191" x14ac:dyDescent="0.2">
      <c r="GI3475" s="422"/>
    </row>
    <row r="3476" spans="191:191" x14ac:dyDescent="0.2">
      <c r="GI3476" s="422"/>
    </row>
    <row r="3477" spans="191:191" x14ac:dyDescent="0.2">
      <c r="GI3477" s="422"/>
    </row>
    <row r="3478" spans="191:191" x14ac:dyDescent="0.2">
      <c r="GI3478" s="422"/>
    </row>
    <row r="3479" spans="191:191" x14ac:dyDescent="0.2">
      <c r="GI3479" s="422"/>
    </row>
    <row r="3480" spans="191:191" x14ac:dyDescent="0.2">
      <c r="GI3480" s="422"/>
    </row>
    <row r="3481" spans="191:191" x14ac:dyDescent="0.2">
      <c r="GI3481" s="422"/>
    </row>
    <row r="3482" spans="191:191" x14ac:dyDescent="0.2">
      <c r="GI3482" s="422"/>
    </row>
    <row r="3483" spans="191:191" x14ac:dyDescent="0.2">
      <c r="GI3483" s="422"/>
    </row>
    <row r="3484" spans="191:191" x14ac:dyDescent="0.2">
      <c r="GI3484" s="422"/>
    </row>
    <row r="3485" spans="191:191" x14ac:dyDescent="0.2">
      <c r="GI3485" s="422"/>
    </row>
    <row r="3486" spans="191:191" x14ac:dyDescent="0.2">
      <c r="GI3486" s="422"/>
    </row>
    <row r="3487" spans="191:191" x14ac:dyDescent="0.2">
      <c r="GI3487" s="422"/>
    </row>
    <row r="3488" spans="191:191" x14ac:dyDescent="0.2">
      <c r="GI3488" s="422"/>
    </row>
    <row r="3489" spans="191:191" x14ac:dyDescent="0.2">
      <c r="GI3489" s="422"/>
    </row>
    <row r="3490" spans="191:191" x14ac:dyDescent="0.2">
      <c r="GI3490" s="422"/>
    </row>
    <row r="3491" spans="191:191" x14ac:dyDescent="0.2">
      <c r="GI3491" s="422"/>
    </row>
    <row r="3492" spans="191:191" x14ac:dyDescent="0.2">
      <c r="GI3492" s="422"/>
    </row>
    <row r="3493" spans="191:191" x14ac:dyDescent="0.2">
      <c r="GI3493" s="422"/>
    </row>
    <row r="3494" spans="191:191" x14ac:dyDescent="0.2">
      <c r="GI3494" s="422"/>
    </row>
    <row r="3495" spans="191:191" x14ac:dyDescent="0.2">
      <c r="GI3495" s="422"/>
    </row>
    <row r="3496" spans="191:191" x14ac:dyDescent="0.2">
      <c r="GI3496" s="422"/>
    </row>
    <row r="3497" spans="191:191" x14ac:dyDescent="0.2">
      <c r="GI3497" s="422"/>
    </row>
    <row r="3498" spans="191:191" x14ac:dyDescent="0.2">
      <c r="GI3498" s="422"/>
    </row>
    <row r="3499" spans="191:191" x14ac:dyDescent="0.2">
      <c r="GI3499" s="422"/>
    </row>
    <row r="3500" spans="191:191" x14ac:dyDescent="0.2">
      <c r="GI3500" s="422"/>
    </row>
    <row r="3501" spans="191:191" x14ac:dyDescent="0.2">
      <c r="GI3501" s="422"/>
    </row>
    <row r="3502" spans="191:191" x14ac:dyDescent="0.2">
      <c r="GI3502" s="422"/>
    </row>
    <row r="3503" spans="191:191" x14ac:dyDescent="0.2">
      <c r="GI3503" s="422"/>
    </row>
    <row r="3504" spans="191:191" x14ac:dyDescent="0.2">
      <c r="GI3504" s="422"/>
    </row>
    <row r="3505" spans="191:191" x14ac:dyDescent="0.2">
      <c r="GI3505" s="422"/>
    </row>
    <row r="3506" spans="191:191" x14ac:dyDescent="0.2">
      <c r="GI3506" s="422"/>
    </row>
    <row r="3507" spans="191:191" x14ac:dyDescent="0.2">
      <c r="GI3507" s="422"/>
    </row>
    <row r="3508" spans="191:191" x14ac:dyDescent="0.2">
      <c r="GI3508" s="422"/>
    </row>
    <row r="3509" spans="191:191" x14ac:dyDescent="0.2">
      <c r="GI3509" s="422"/>
    </row>
    <row r="3510" spans="191:191" x14ac:dyDescent="0.2">
      <c r="GI3510" s="422"/>
    </row>
    <row r="3511" spans="191:191" x14ac:dyDescent="0.2">
      <c r="GI3511" s="422"/>
    </row>
    <row r="3512" spans="191:191" x14ac:dyDescent="0.2">
      <c r="GI3512" s="422"/>
    </row>
    <row r="3513" spans="191:191" x14ac:dyDescent="0.2">
      <c r="GI3513" s="422"/>
    </row>
    <row r="3514" spans="191:191" x14ac:dyDescent="0.2">
      <c r="GI3514" s="422"/>
    </row>
    <row r="3515" spans="191:191" x14ac:dyDescent="0.2">
      <c r="GI3515" s="422"/>
    </row>
    <row r="3516" spans="191:191" x14ac:dyDescent="0.2">
      <c r="GI3516" s="422"/>
    </row>
    <row r="3517" spans="191:191" x14ac:dyDescent="0.2">
      <c r="GI3517" s="422"/>
    </row>
    <row r="3518" spans="191:191" x14ac:dyDescent="0.2">
      <c r="GI3518" s="422"/>
    </row>
    <row r="3519" spans="191:191" x14ac:dyDescent="0.2">
      <c r="GI3519" s="422"/>
    </row>
    <row r="3520" spans="191:191" x14ac:dyDescent="0.2">
      <c r="GI3520" s="422"/>
    </row>
    <row r="3521" spans="191:191" x14ac:dyDescent="0.2">
      <c r="GI3521" s="422"/>
    </row>
    <row r="3522" spans="191:191" x14ac:dyDescent="0.2">
      <c r="GI3522" s="422"/>
    </row>
    <row r="3523" spans="191:191" x14ac:dyDescent="0.2">
      <c r="GI3523" s="422"/>
    </row>
    <row r="3524" spans="191:191" x14ac:dyDescent="0.2">
      <c r="GI3524" s="422"/>
    </row>
    <row r="3525" spans="191:191" x14ac:dyDescent="0.2">
      <c r="GI3525" s="422"/>
    </row>
    <row r="3526" spans="191:191" x14ac:dyDescent="0.2">
      <c r="GI3526" s="422"/>
    </row>
    <row r="3527" spans="191:191" x14ac:dyDescent="0.2">
      <c r="GI3527" s="422"/>
    </row>
    <row r="3528" spans="191:191" x14ac:dyDescent="0.2">
      <c r="GI3528" s="422"/>
    </row>
    <row r="3529" spans="191:191" x14ac:dyDescent="0.2">
      <c r="GI3529" s="422"/>
    </row>
    <row r="3530" spans="191:191" x14ac:dyDescent="0.2">
      <c r="GI3530" s="422"/>
    </row>
    <row r="3531" spans="191:191" x14ac:dyDescent="0.2">
      <c r="GI3531" s="422"/>
    </row>
    <row r="3532" spans="191:191" x14ac:dyDescent="0.2">
      <c r="GI3532" s="422"/>
    </row>
    <row r="3533" spans="191:191" x14ac:dyDescent="0.2">
      <c r="GI3533" s="422"/>
    </row>
    <row r="3534" spans="191:191" x14ac:dyDescent="0.2">
      <c r="GI3534" s="422"/>
    </row>
    <row r="3535" spans="191:191" x14ac:dyDescent="0.2">
      <c r="GI3535" s="422"/>
    </row>
    <row r="3536" spans="191:191" x14ac:dyDescent="0.2">
      <c r="GI3536" s="422"/>
    </row>
    <row r="3537" spans="191:191" x14ac:dyDescent="0.2">
      <c r="GI3537" s="422"/>
    </row>
    <row r="3538" spans="191:191" x14ac:dyDescent="0.2">
      <c r="GI3538" s="422"/>
    </row>
    <row r="3539" spans="191:191" x14ac:dyDescent="0.2">
      <c r="GI3539" s="422"/>
    </row>
    <row r="3540" spans="191:191" x14ac:dyDescent="0.2">
      <c r="GI3540" s="422"/>
    </row>
    <row r="3541" spans="191:191" x14ac:dyDescent="0.2">
      <c r="GI3541" s="422"/>
    </row>
    <row r="3542" spans="191:191" x14ac:dyDescent="0.2">
      <c r="GI3542" s="422"/>
    </row>
    <row r="3543" spans="191:191" x14ac:dyDescent="0.2">
      <c r="GI3543" s="422"/>
    </row>
    <row r="3544" spans="191:191" x14ac:dyDescent="0.2">
      <c r="GI3544" s="422"/>
    </row>
    <row r="3545" spans="191:191" x14ac:dyDescent="0.2">
      <c r="GI3545" s="422"/>
    </row>
    <row r="3546" spans="191:191" x14ac:dyDescent="0.2">
      <c r="GI3546" s="422"/>
    </row>
    <row r="3547" spans="191:191" x14ac:dyDescent="0.2">
      <c r="GI3547" s="422"/>
    </row>
    <row r="3548" spans="191:191" x14ac:dyDescent="0.2">
      <c r="GI3548" s="422"/>
    </row>
    <row r="3549" spans="191:191" x14ac:dyDescent="0.2">
      <c r="GI3549" s="422"/>
    </row>
    <row r="3550" spans="191:191" x14ac:dyDescent="0.2">
      <c r="GI3550" s="422"/>
    </row>
    <row r="3551" spans="191:191" x14ac:dyDescent="0.2">
      <c r="GI3551" s="422"/>
    </row>
    <row r="3552" spans="191:191" x14ac:dyDescent="0.2">
      <c r="GI3552" s="422"/>
    </row>
    <row r="3553" spans="191:191" x14ac:dyDescent="0.2">
      <c r="GI3553" s="422"/>
    </row>
    <row r="3554" spans="191:191" x14ac:dyDescent="0.2">
      <c r="GI3554" s="422"/>
    </row>
    <row r="3555" spans="191:191" x14ac:dyDescent="0.2">
      <c r="GI3555" s="422"/>
    </row>
    <row r="3556" spans="191:191" x14ac:dyDescent="0.2">
      <c r="GI3556" s="422"/>
    </row>
    <row r="3557" spans="191:191" x14ac:dyDescent="0.2">
      <c r="GI3557" s="422"/>
    </row>
    <row r="3558" spans="191:191" x14ac:dyDescent="0.2">
      <c r="GI3558" s="422"/>
    </row>
    <row r="3559" spans="191:191" x14ac:dyDescent="0.2">
      <c r="GI3559" s="422"/>
    </row>
    <row r="3560" spans="191:191" x14ac:dyDescent="0.2">
      <c r="GI3560" s="422"/>
    </row>
    <row r="3561" spans="191:191" x14ac:dyDescent="0.2">
      <c r="GI3561" s="422"/>
    </row>
    <row r="3562" spans="191:191" x14ac:dyDescent="0.2">
      <c r="GI3562" s="422"/>
    </row>
    <row r="3563" spans="191:191" x14ac:dyDescent="0.2">
      <c r="GI3563" s="422"/>
    </row>
    <row r="3564" spans="191:191" x14ac:dyDescent="0.2">
      <c r="GI3564" s="422"/>
    </row>
    <row r="3565" spans="191:191" x14ac:dyDescent="0.2">
      <c r="GI3565" s="422"/>
    </row>
    <row r="3566" spans="191:191" x14ac:dyDescent="0.2">
      <c r="GI3566" s="422"/>
    </row>
    <row r="3567" spans="191:191" x14ac:dyDescent="0.2">
      <c r="GI3567" s="422"/>
    </row>
    <row r="3568" spans="191:191" x14ac:dyDescent="0.2">
      <c r="GI3568" s="422"/>
    </row>
    <row r="3569" spans="191:191" x14ac:dyDescent="0.2">
      <c r="GI3569" s="422"/>
    </row>
    <row r="3570" spans="191:191" x14ac:dyDescent="0.2">
      <c r="GI3570" s="422"/>
    </row>
    <row r="3571" spans="191:191" x14ac:dyDescent="0.2">
      <c r="GI3571" s="422"/>
    </row>
    <row r="3572" spans="191:191" x14ac:dyDescent="0.2">
      <c r="GI3572" s="422"/>
    </row>
    <row r="3573" spans="191:191" x14ac:dyDescent="0.2">
      <c r="GI3573" s="422"/>
    </row>
    <row r="3574" spans="191:191" x14ac:dyDescent="0.2">
      <c r="GI3574" s="422"/>
    </row>
    <row r="3575" spans="191:191" x14ac:dyDescent="0.2">
      <c r="GI3575" s="422"/>
    </row>
    <row r="3576" spans="191:191" x14ac:dyDescent="0.2">
      <c r="GI3576" s="422"/>
    </row>
    <row r="3577" spans="191:191" x14ac:dyDescent="0.2">
      <c r="GI3577" s="422"/>
    </row>
    <row r="3578" spans="191:191" x14ac:dyDescent="0.2">
      <c r="GI3578" s="422"/>
    </row>
    <row r="3579" spans="191:191" x14ac:dyDescent="0.2">
      <c r="GI3579" s="422"/>
    </row>
    <row r="3580" spans="191:191" x14ac:dyDescent="0.2">
      <c r="GI3580" s="422"/>
    </row>
    <row r="3581" spans="191:191" x14ac:dyDescent="0.2">
      <c r="GI3581" s="422"/>
    </row>
    <row r="3582" spans="191:191" x14ac:dyDescent="0.2">
      <c r="GI3582" s="422"/>
    </row>
    <row r="3583" spans="191:191" x14ac:dyDescent="0.2">
      <c r="GI3583" s="422"/>
    </row>
    <row r="3584" spans="191:191" x14ac:dyDescent="0.2">
      <c r="GI3584" s="422"/>
    </row>
    <row r="3585" spans="191:191" x14ac:dyDescent="0.2">
      <c r="GI3585" s="422"/>
    </row>
    <row r="3586" spans="191:191" x14ac:dyDescent="0.2">
      <c r="GI3586" s="422"/>
    </row>
    <row r="3587" spans="191:191" x14ac:dyDescent="0.2">
      <c r="GI3587" s="422"/>
    </row>
    <row r="3588" spans="191:191" x14ac:dyDescent="0.2">
      <c r="GI3588" s="422"/>
    </row>
    <row r="3589" spans="191:191" x14ac:dyDescent="0.2">
      <c r="GI3589" s="422"/>
    </row>
    <row r="3590" spans="191:191" x14ac:dyDescent="0.2">
      <c r="GI3590" s="422"/>
    </row>
    <row r="3591" spans="191:191" x14ac:dyDescent="0.2">
      <c r="GI3591" s="422"/>
    </row>
    <row r="3592" spans="191:191" x14ac:dyDescent="0.2">
      <c r="GI3592" s="422"/>
    </row>
    <row r="3593" spans="191:191" x14ac:dyDescent="0.2">
      <c r="GI3593" s="422"/>
    </row>
    <row r="3594" spans="191:191" x14ac:dyDescent="0.2">
      <c r="GI3594" s="422"/>
    </row>
    <row r="3595" spans="191:191" x14ac:dyDescent="0.2">
      <c r="GI3595" s="422"/>
    </row>
    <row r="3596" spans="191:191" x14ac:dyDescent="0.2">
      <c r="GI3596" s="422"/>
    </row>
    <row r="3597" spans="191:191" x14ac:dyDescent="0.2">
      <c r="GI3597" s="422"/>
    </row>
    <row r="3598" spans="191:191" x14ac:dyDescent="0.2">
      <c r="GI3598" s="422"/>
    </row>
    <row r="3599" spans="191:191" x14ac:dyDescent="0.2">
      <c r="GI3599" s="422"/>
    </row>
    <row r="3600" spans="191:191" x14ac:dyDescent="0.2">
      <c r="GI3600" s="422"/>
    </row>
    <row r="3601" spans="191:191" x14ac:dyDescent="0.2">
      <c r="GI3601" s="422"/>
    </row>
    <row r="3602" spans="191:191" x14ac:dyDescent="0.2">
      <c r="GI3602" s="422"/>
    </row>
    <row r="3603" spans="191:191" x14ac:dyDescent="0.2">
      <c r="GI3603" s="422"/>
    </row>
    <row r="3604" spans="191:191" x14ac:dyDescent="0.2">
      <c r="GI3604" s="422"/>
    </row>
    <row r="3605" spans="191:191" x14ac:dyDescent="0.2">
      <c r="GI3605" s="422"/>
    </row>
    <row r="3606" spans="191:191" x14ac:dyDescent="0.2">
      <c r="GI3606" s="422"/>
    </row>
    <row r="3607" spans="191:191" x14ac:dyDescent="0.2">
      <c r="GI3607" s="422"/>
    </row>
    <row r="3608" spans="191:191" x14ac:dyDescent="0.2">
      <c r="GI3608" s="422"/>
    </row>
    <row r="3609" spans="191:191" x14ac:dyDescent="0.2">
      <c r="GI3609" s="422"/>
    </row>
    <row r="3610" spans="191:191" x14ac:dyDescent="0.2">
      <c r="GI3610" s="422"/>
    </row>
    <row r="3611" spans="191:191" x14ac:dyDescent="0.2">
      <c r="GI3611" s="422"/>
    </row>
    <row r="3612" spans="191:191" x14ac:dyDescent="0.2">
      <c r="GI3612" s="422"/>
    </row>
    <row r="3613" spans="191:191" x14ac:dyDescent="0.2">
      <c r="GI3613" s="422"/>
    </row>
    <row r="3614" spans="191:191" x14ac:dyDescent="0.2">
      <c r="GI3614" s="422"/>
    </row>
    <row r="3615" spans="191:191" x14ac:dyDescent="0.2">
      <c r="GI3615" s="422"/>
    </row>
    <row r="3616" spans="191:191" x14ac:dyDescent="0.2">
      <c r="GI3616" s="422"/>
    </row>
    <row r="3617" spans="191:191" x14ac:dyDescent="0.2">
      <c r="GI3617" s="422"/>
    </row>
    <row r="3618" spans="191:191" x14ac:dyDescent="0.2">
      <c r="GI3618" s="422"/>
    </row>
    <row r="3619" spans="191:191" x14ac:dyDescent="0.2">
      <c r="GI3619" s="422"/>
    </row>
    <row r="3620" spans="191:191" x14ac:dyDescent="0.2">
      <c r="GI3620" s="422"/>
    </row>
    <row r="3621" spans="191:191" x14ac:dyDescent="0.2">
      <c r="GI3621" s="422"/>
    </row>
    <row r="3622" spans="191:191" x14ac:dyDescent="0.2">
      <c r="GI3622" s="422"/>
    </row>
    <row r="3623" spans="191:191" x14ac:dyDescent="0.2">
      <c r="GI3623" s="422"/>
    </row>
    <row r="3624" spans="191:191" x14ac:dyDescent="0.2">
      <c r="GI3624" s="422"/>
    </row>
    <row r="3625" spans="191:191" x14ac:dyDescent="0.2">
      <c r="GI3625" s="422"/>
    </row>
    <row r="3626" spans="191:191" x14ac:dyDescent="0.2">
      <c r="GI3626" s="422"/>
    </row>
    <row r="3627" spans="191:191" x14ac:dyDescent="0.2">
      <c r="GI3627" s="422"/>
    </row>
    <row r="3628" spans="191:191" x14ac:dyDescent="0.2">
      <c r="GI3628" s="422"/>
    </row>
    <row r="3629" spans="191:191" x14ac:dyDescent="0.2">
      <c r="GI3629" s="422"/>
    </row>
    <row r="3630" spans="191:191" x14ac:dyDescent="0.2">
      <c r="GI3630" s="422"/>
    </row>
    <row r="3631" spans="191:191" x14ac:dyDescent="0.2">
      <c r="GI3631" s="422"/>
    </row>
    <row r="3632" spans="191:191" x14ac:dyDescent="0.2">
      <c r="GI3632" s="422"/>
    </row>
    <row r="3633" spans="191:191" x14ac:dyDescent="0.2">
      <c r="GI3633" s="422"/>
    </row>
    <row r="3634" spans="191:191" x14ac:dyDescent="0.2">
      <c r="GI3634" s="422"/>
    </row>
    <row r="3635" spans="191:191" x14ac:dyDescent="0.2">
      <c r="GI3635" s="422"/>
    </row>
    <row r="3636" spans="191:191" x14ac:dyDescent="0.2">
      <c r="GI3636" s="422"/>
    </row>
    <row r="3637" spans="191:191" x14ac:dyDescent="0.2">
      <c r="GI3637" s="422"/>
    </row>
    <row r="3638" spans="191:191" x14ac:dyDescent="0.2">
      <c r="GI3638" s="422"/>
    </row>
    <row r="3639" spans="191:191" x14ac:dyDescent="0.2">
      <c r="GI3639" s="422"/>
    </row>
    <row r="3640" spans="191:191" x14ac:dyDescent="0.2">
      <c r="GI3640" s="422"/>
    </row>
    <row r="3641" spans="191:191" x14ac:dyDescent="0.2">
      <c r="GI3641" s="422"/>
    </row>
    <row r="3642" spans="191:191" x14ac:dyDescent="0.2">
      <c r="GI3642" s="422"/>
    </row>
    <row r="3643" spans="191:191" x14ac:dyDescent="0.2">
      <c r="GI3643" s="422"/>
    </row>
    <row r="3644" spans="191:191" x14ac:dyDescent="0.2">
      <c r="GI3644" s="422"/>
    </row>
    <row r="3645" spans="191:191" x14ac:dyDescent="0.2">
      <c r="GI3645" s="422"/>
    </row>
    <row r="3646" spans="191:191" x14ac:dyDescent="0.2">
      <c r="GI3646" s="422"/>
    </row>
    <row r="3647" spans="191:191" x14ac:dyDescent="0.2">
      <c r="GI3647" s="422"/>
    </row>
    <row r="3648" spans="191:191" x14ac:dyDescent="0.2">
      <c r="GI3648" s="422"/>
    </row>
    <row r="3649" spans="191:191" x14ac:dyDescent="0.2">
      <c r="GI3649" s="422"/>
    </row>
    <row r="3650" spans="191:191" x14ac:dyDescent="0.2">
      <c r="GI3650" s="422"/>
    </row>
    <row r="3651" spans="191:191" x14ac:dyDescent="0.2">
      <c r="GI3651" s="422"/>
    </row>
    <row r="3652" spans="191:191" x14ac:dyDescent="0.2">
      <c r="GI3652" s="422"/>
    </row>
    <row r="3653" spans="191:191" x14ac:dyDescent="0.2">
      <c r="GI3653" s="422"/>
    </row>
    <row r="3654" spans="191:191" x14ac:dyDescent="0.2">
      <c r="GI3654" s="422"/>
    </row>
    <row r="3655" spans="191:191" x14ac:dyDescent="0.2">
      <c r="GI3655" s="422"/>
    </row>
    <row r="3656" spans="191:191" x14ac:dyDescent="0.2">
      <c r="GI3656" s="422"/>
    </row>
    <row r="3657" spans="191:191" x14ac:dyDescent="0.2">
      <c r="GI3657" s="422"/>
    </row>
    <row r="3658" spans="191:191" x14ac:dyDescent="0.2">
      <c r="GI3658" s="422"/>
    </row>
    <row r="3659" spans="191:191" x14ac:dyDescent="0.2">
      <c r="GI3659" s="422"/>
    </row>
    <row r="3660" spans="191:191" x14ac:dyDescent="0.2">
      <c r="GI3660" s="422"/>
    </row>
    <row r="3661" spans="191:191" x14ac:dyDescent="0.2">
      <c r="GI3661" s="422"/>
    </row>
    <row r="3662" spans="191:191" x14ac:dyDescent="0.2">
      <c r="GI3662" s="422"/>
    </row>
    <row r="3663" spans="191:191" x14ac:dyDescent="0.2">
      <c r="GI3663" s="422"/>
    </row>
    <row r="3664" spans="191:191" x14ac:dyDescent="0.2">
      <c r="GI3664" s="422"/>
    </row>
    <row r="3665" spans="191:191" x14ac:dyDescent="0.2">
      <c r="GI3665" s="422"/>
    </row>
    <row r="3666" spans="191:191" x14ac:dyDescent="0.2">
      <c r="GI3666" s="422"/>
    </row>
    <row r="3667" spans="191:191" x14ac:dyDescent="0.2">
      <c r="GI3667" s="422"/>
    </row>
    <row r="3668" spans="191:191" x14ac:dyDescent="0.2">
      <c r="GI3668" s="422"/>
    </row>
    <row r="3669" spans="191:191" x14ac:dyDescent="0.2">
      <c r="GI3669" s="422"/>
    </row>
    <row r="3670" spans="191:191" x14ac:dyDescent="0.2">
      <c r="GI3670" s="422"/>
    </row>
    <row r="3671" spans="191:191" x14ac:dyDescent="0.2">
      <c r="GI3671" s="422"/>
    </row>
    <row r="3672" spans="191:191" x14ac:dyDescent="0.2">
      <c r="GI3672" s="422"/>
    </row>
    <row r="3673" spans="191:191" x14ac:dyDescent="0.2">
      <c r="GI3673" s="422"/>
    </row>
    <row r="3674" spans="191:191" x14ac:dyDescent="0.2">
      <c r="GI3674" s="422"/>
    </row>
    <row r="3675" spans="191:191" x14ac:dyDescent="0.2">
      <c r="GI3675" s="422"/>
    </row>
    <row r="3676" spans="191:191" x14ac:dyDescent="0.2">
      <c r="GI3676" s="422"/>
    </row>
    <row r="3677" spans="191:191" x14ac:dyDescent="0.2">
      <c r="GI3677" s="422"/>
    </row>
    <row r="3678" spans="191:191" x14ac:dyDescent="0.2">
      <c r="GI3678" s="422"/>
    </row>
    <row r="3679" spans="191:191" x14ac:dyDescent="0.2">
      <c r="GI3679" s="422"/>
    </row>
    <row r="3680" spans="191:191" x14ac:dyDescent="0.2">
      <c r="GI3680" s="422"/>
    </row>
    <row r="3681" spans="191:191" x14ac:dyDescent="0.2">
      <c r="GI3681" s="422"/>
    </row>
    <row r="3682" spans="191:191" x14ac:dyDescent="0.2">
      <c r="GI3682" s="422"/>
    </row>
    <row r="3683" spans="191:191" x14ac:dyDescent="0.2">
      <c r="GI3683" s="422"/>
    </row>
    <row r="3684" spans="191:191" x14ac:dyDescent="0.2">
      <c r="GI3684" s="422"/>
    </row>
    <row r="3685" spans="191:191" x14ac:dyDescent="0.2">
      <c r="GI3685" s="422"/>
    </row>
    <row r="3686" spans="191:191" x14ac:dyDescent="0.2">
      <c r="GI3686" s="422"/>
    </row>
    <row r="3687" spans="191:191" x14ac:dyDescent="0.2">
      <c r="GI3687" s="422"/>
    </row>
    <row r="3688" spans="191:191" x14ac:dyDescent="0.2">
      <c r="GI3688" s="422"/>
    </row>
    <row r="3689" spans="191:191" x14ac:dyDescent="0.2">
      <c r="GI3689" s="422"/>
    </row>
    <row r="3690" spans="191:191" x14ac:dyDescent="0.2">
      <c r="GI3690" s="422"/>
    </row>
    <row r="3691" spans="191:191" x14ac:dyDescent="0.2">
      <c r="GI3691" s="422"/>
    </row>
    <row r="3692" spans="191:191" x14ac:dyDescent="0.2">
      <c r="GI3692" s="422"/>
    </row>
    <row r="3693" spans="191:191" x14ac:dyDescent="0.2">
      <c r="GI3693" s="422"/>
    </row>
    <row r="3694" spans="191:191" x14ac:dyDescent="0.2">
      <c r="GI3694" s="422"/>
    </row>
    <row r="3695" spans="191:191" x14ac:dyDescent="0.2">
      <c r="GI3695" s="422"/>
    </row>
    <row r="3696" spans="191:191" x14ac:dyDescent="0.2">
      <c r="GI3696" s="422"/>
    </row>
    <row r="3697" spans="191:191" x14ac:dyDescent="0.2">
      <c r="GI3697" s="422"/>
    </row>
    <row r="3698" spans="191:191" x14ac:dyDescent="0.2">
      <c r="GI3698" s="422"/>
    </row>
    <row r="3699" spans="191:191" x14ac:dyDescent="0.2">
      <c r="GI3699" s="422"/>
    </row>
    <row r="3700" spans="191:191" x14ac:dyDescent="0.2">
      <c r="GI3700" s="422"/>
    </row>
    <row r="3701" spans="191:191" x14ac:dyDescent="0.2">
      <c r="GI3701" s="422"/>
    </row>
    <row r="3702" spans="191:191" x14ac:dyDescent="0.2">
      <c r="GI3702" s="422"/>
    </row>
    <row r="3703" spans="191:191" x14ac:dyDescent="0.2">
      <c r="GI3703" s="422"/>
    </row>
    <row r="3704" spans="191:191" x14ac:dyDescent="0.2">
      <c r="GI3704" s="422"/>
    </row>
    <row r="3705" spans="191:191" x14ac:dyDescent="0.2">
      <c r="GI3705" s="422"/>
    </row>
    <row r="3706" spans="191:191" x14ac:dyDescent="0.2">
      <c r="GI3706" s="422"/>
    </row>
    <row r="3707" spans="191:191" x14ac:dyDescent="0.2">
      <c r="GI3707" s="422"/>
    </row>
    <row r="3708" spans="191:191" x14ac:dyDescent="0.2">
      <c r="GI3708" s="422"/>
    </row>
    <row r="3709" spans="191:191" x14ac:dyDescent="0.2">
      <c r="GI3709" s="422"/>
    </row>
    <row r="3710" spans="191:191" x14ac:dyDescent="0.2">
      <c r="GI3710" s="422"/>
    </row>
    <row r="3711" spans="191:191" x14ac:dyDescent="0.2">
      <c r="GI3711" s="422"/>
    </row>
    <row r="3712" spans="191:191" x14ac:dyDescent="0.2">
      <c r="GI3712" s="422"/>
    </row>
    <row r="3713" spans="191:191" x14ac:dyDescent="0.2">
      <c r="GI3713" s="422"/>
    </row>
    <row r="3714" spans="191:191" x14ac:dyDescent="0.2">
      <c r="GI3714" s="422"/>
    </row>
    <row r="3715" spans="191:191" x14ac:dyDescent="0.2">
      <c r="GI3715" s="422"/>
    </row>
    <row r="3716" spans="191:191" x14ac:dyDescent="0.2">
      <c r="GI3716" s="422"/>
    </row>
    <row r="3717" spans="191:191" x14ac:dyDescent="0.2">
      <c r="GI3717" s="422"/>
    </row>
    <row r="3718" spans="191:191" x14ac:dyDescent="0.2">
      <c r="GI3718" s="422"/>
    </row>
    <row r="3719" spans="191:191" x14ac:dyDescent="0.2">
      <c r="GI3719" s="422"/>
    </row>
    <row r="3720" spans="191:191" x14ac:dyDescent="0.2">
      <c r="GI3720" s="422"/>
    </row>
    <row r="3721" spans="191:191" x14ac:dyDescent="0.2">
      <c r="GI3721" s="422"/>
    </row>
    <row r="3722" spans="191:191" x14ac:dyDescent="0.2">
      <c r="GI3722" s="422"/>
    </row>
    <row r="3723" spans="191:191" x14ac:dyDescent="0.2">
      <c r="GI3723" s="422"/>
    </row>
    <row r="3724" spans="191:191" x14ac:dyDescent="0.2">
      <c r="GI3724" s="422"/>
    </row>
    <row r="3725" spans="191:191" x14ac:dyDescent="0.2">
      <c r="GI3725" s="422"/>
    </row>
    <row r="3726" spans="191:191" x14ac:dyDescent="0.2">
      <c r="GI3726" s="422"/>
    </row>
    <row r="3727" spans="191:191" x14ac:dyDescent="0.2">
      <c r="GI3727" s="422"/>
    </row>
    <row r="3728" spans="191:191" x14ac:dyDescent="0.2">
      <c r="GI3728" s="422"/>
    </row>
    <row r="3729" spans="191:191" x14ac:dyDescent="0.2">
      <c r="GI3729" s="422"/>
    </row>
    <row r="3730" spans="191:191" x14ac:dyDescent="0.2">
      <c r="GI3730" s="422"/>
    </row>
    <row r="3731" spans="191:191" x14ac:dyDescent="0.2">
      <c r="GI3731" s="422"/>
    </row>
    <row r="3732" spans="191:191" x14ac:dyDescent="0.2">
      <c r="GI3732" s="422"/>
    </row>
    <row r="3733" spans="191:191" x14ac:dyDescent="0.2">
      <c r="GI3733" s="422"/>
    </row>
    <row r="3734" spans="191:191" x14ac:dyDescent="0.2">
      <c r="GI3734" s="422"/>
    </row>
    <row r="3735" spans="191:191" x14ac:dyDescent="0.2">
      <c r="GI3735" s="422"/>
    </row>
    <row r="3736" spans="191:191" x14ac:dyDescent="0.2">
      <c r="GI3736" s="422"/>
    </row>
    <row r="3737" spans="191:191" x14ac:dyDescent="0.2">
      <c r="GI3737" s="422"/>
    </row>
    <row r="3738" spans="191:191" x14ac:dyDescent="0.2">
      <c r="GI3738" s="422"/>
    </row>
    <row r="3739" spans="191:191" x14ac:dyDescent="0.2">
      <c r="GI3739" s="422"/>
    </row>
    <row r="3740" spans="191:191" x14ac:dyDescent="0.2">
      <c r="GI3740" s="422"/>
    </row>
    <row r="3741" spans="191:191" x14ac:dyDescent="0.2">
      <c r="GI3741" s="422"/>
    </row>
    <row r="3742" spans="191:191" x14ac:dyDescent="0.2">
      <c r="GI3742" s="422"/>
    </row>
    <row r="3743" spans="191:191" x14ac:dyDescent="0.2">
      <c r="GI3743" s="422"/>
    </row>
    <row r="3744" spans="191:191" x14ac:dyDescent="0.2">
      <c r="GI3744" s="422"/>
    </row>
    <row r="3745" spans="191:191" x14ac:dyDescent="0.2">
      <c r="GI3745" s="422"/>
    </row>
    <row r="3746" spans="191:191" x14ac:dyDescent="0.2">
      <c r="GI3746" s="422"/>
    </row>
    <row r="3747" spans="191:191" x14ac:dyDescent="0.2">
      <c r="GI3747" s="422"/>
    </row>
    <row r="3748" spans="191:191" x14ac:dyDescent="0.2">
      <c r="GI3748" s="422"/>
    </row>
    <row r="3749" spans="191:191" x14ac:dyDescent="0.2">
      <c r="GI3749" s="422"/>
    </row>
    <row r="3750" spans="191:191" x14ac:dyDescent="0.2">
      <c r="GI3750" s="422"/>
    </row>
    <row r="3751" spans="191:191" x14ac:dyDescent="0.2">
      <c r="GI3751" s="422"/>
    </row>
    <row r="3752" spans="191:191" x14ac:dyDescent="0.2">
      <c r="GI3752" s="422"/>
    </row>
    <row r="3753" spans="191:191" x14ac:dyDescent="0.2">
      <c r="GI3753" s="422"/>
    </row>
    <row r="3754" spans="191:191" x14ac:dyDescent="0.2">
      <c r="GI3754" s="422"/>
    </row>
    <row r="3755" spans="191:191" x14ac:dyDescent="0.2">
      <c r="GI3755" s="422"/>
    </row>
    <row r="3756" spans="191:191" x14ac:dyDescent="0.2">
      <c r="GI3756" s="422"/>
    </row>
    <row r="3757" spans="191:191" x14ac:dyDescent="0.2">
      <c r="GI3757" s="422"/>
    </row>
    <row r="3758" spans="191:191" x14ac:dyDescent="0.2">
      <c r="GI3758" s="422"/>
    </row>
    <row r="3759" spans="191:191" x14ac:dyDescent="0.2">
      <c r="GI3759" s="422"/>
    </row>
    <row r="3760" spans="191:191" x14ac:dyDescent="0.2">
      <c r="GI3760" s="422"/>
    </row>
    <row r="3761" spans="191:191" x14ac:dyDescent="0.2">
      <c r="GI3761" s="422"/>
    </row>
    <row r="3762" spans="191:191" x14ac:dyDescent="0.2">
      <c r="GI3762" s="422"/>
    </row>
    <row r="3763" spans="191:191" x14ac:dyDescent="0.2">
      <c r="GI3763" s="422"/>
    </row>
    <row r="3764" spans="191:191" x14ac:dyDescent="0.2">
      <c r="GI3764" s="422"/>
    </row>
    <row r="3765" spans="191:191" x14ac:dyDescent="0.2">
      <c r="GI3765" s="422"/>
    </row>
    <row r="3766" spans="191:191" x14ac:dyDescent="0.2">
      <c r="GI3766" s="422"/>
    </row>
    <row r="3767" spans="191:191" x14ac:dyDescent="0.2">
      <c r="GI3767" s="422"/>
    </row>
    <row r="3768" spans="191:191" x14ac:dyDescent="0.2">
      <c r="GI3768" s="422"/>
    </row>
    <row r="3769" spans="191:191" x14ac:dyDescent="0.2">
      <c r="GI3769" s="422"/>
    </row>
    <row r="3770" spans="191:191" x14ac:dyDescent="0.2">
      <c r="GI3770" s="422"/>
    </row>
    <row r="3771" spans="191:191" x14ac:dyDescent="0.2">
      <c r="GI3771" s="422"/>
    </row>
    <row r="3772" spans="191:191" x14ac:dyDescent="0.2">
      <c r="GI3772" s="422"/>
    </row>
    <row r="3773" spans="191:191" x14ac:dyDescent="0.2">
      <c r="GI3773" s="422"/>
    </row>
    <row r="3774" spans="191:191" x14ac:dyDescent="0.2">
      <c r="GI3774" s="422"/>
    </row>
    <row r="3775" spans="191:191" x14ac:dyDescent="0.2">
      <c r="GI3775" s="422"/>
    </row>
    <row r="3776" spans="191:191" x14ac:dyDescent="0.2">
      <c r="GI3776" s="422"/>
    </row>
    <row r="3777" spans="191:191" x14ac:dyDescent="0.2">
      <c r="GI3777" s="422"/>
    </row>
    <row r="3778" spans="191:191" x14ac:dyDescent="0.2">
      <c r="GI3778" s="422"/>
    </row>
    <row r="3779" spans="191:191" x14ac:dyDescent="0.2">
      <c r="GI3779" s="422"/>
    </row>
    <row r="3780" spans="191:191" x14ac:dyDescent="0.2">
      <c r="GI3780" s="422"/>
    </row>
    <row r="3781" spans="191:191" x14ac:dyDescent="0.2">
      <c r="GI3781" s="422"/>
    </row>
    <row r="3782" spans="191:191" x14ac:dyDescent="0.2">
      <c r="GI3782" s="422"/>
    </row>
    <row r="3783" spans="191:191" x14ac:dyDescent="0.2">
      <c r="GI3783" s="422"/>
    </row>
    <row r="3784" spans="191:191" x14ac:dyDescent="0.2">
      <c r="GI3784" s="422"/>
    </row>
    <row r="3785" spans="191:191" x14ac:dyDescent="0.2">
      <c r="GI3785" s="422"/>
    </row>
    <row r="3786" spans="191:191" x14ac:dyDescent="0.2">
      <c r="GI3786" s="422"/>
    </row>
    <row r="3787" spans="191:191" x14ac:dyDescent="0.2">
      <c r="GI3787" s="422"/>
    </row>
    <row r="3788" spans="191:191" x14ac:dyDescent="0.2">
      <c r="GI3788" s="422"/>
    </row>
    <row r="3789" spans="191:191" x14ac:dyDescent="0.2">
      <c r="GI3789" s="422"/>
    </row>
    <row r="3790" spans="191:191" x14ac:dyDescent="0.2">
      <c r="GI3790" s="422"/>
    </row>
    <row r="3791" spans="191:191" x14ac:dyDescent="0.2">
      <c r="GI3791" s="422"/>
    </row>
    <row r="3792" spans="191:191" x14ac:dyDescent="0.2">
      <c r="GI3792" s="422"/>
    </row>
    <row r="3793" spans="191:191" x14ac:dyDescent="0.2">
      <c r="GI3793" s="422"/>
    </row>
    <row r="3794" spans="191:191" x14ac:dyDescent="0.2">
      <c r="GI3794" s="422"/>
    </row>
    <row r="3795" spans="191:191" x14ac:dyDescent="0.2">
      <c r="GI3795" s="422"/>
    </row>
    <row r="3796" spans="191:191" x14ac:dyDescent="0.2">
      <c r="GI3796" s="422"/>
    </row>
    <row r="3797" spans="191:191" x14ac:dyDescent="0.2">
      <c r="GI3797" s="422"/>
    </row>
    <row r="3798" spans="191:191" x14ac:dyDescent="0.2">
      <c r="GI3798" s="422"/>
    </row>
    <row r="3799" spans="191:191" x14ac:dyDescent="0.2">
      <c r="GI3799" s="422"/>
    </row>
    <row r="3800" spans="191:191" x14ac:dyDescent="0.2">
      <c r="GI3800" s="422"/>
    </row>
    <row r="3801" spans="191:191" x14ac:dyDescent="0.2">
      <c r="GI3801" s="422"/>
    </row>
    <row r="3802" spans="191:191" x14ac:dyDescent="0.2">
      <c r="GI3802" s="422"/>
    </row>
    <row r="3803" spans="191:191" x14ac:dyDescent="0.2">
      <c r="GI3803" s="422"/>
    </row>
    <row r="3804" spans="191:191" x14ac:dyDescent="0.2">
      <c r="GI3804" s="422"/>
    </row>
    <row r="3805" spans="191:191" x14ac:dyDescent="0.2">
      <c r="GI3805" s="422"/>
    </row>
    <row r="3806" spans="191:191" x14ac:dyDescent="0.2">
      <c r="GI3806" s="422"/>
    </row>
    <row r="3807" spans="191:191" x14ac:dyDescent="0.2">
      <c r="GI3807" s="422"/>
    </row>
    <row r="3808" spans="191:191" x14ac:dyDescent="0.2">
      <c r="GI3808" s="422"/>
    </row>
    <row r="3809" spans="191:191" x14ac:dyDescent="0.2">
      <c r="GI3809" s="422"/>
    </row>
    <row r="3810" spans="191:191" x14ac:dyDescent="0.2">
      <c r="GI3810" s="422"/>
    </row>
    <row r="3811" spans="191:191" x14ac:dyDescent="0.2">
      <c r="GI3811" s="422"/>
    </row>
    <row r="3812" spans="191:191" x14ac:dyDescent="0.2">
      <c r="GI3812" s="422"/>
    </row>
    <row r="3813" spans="191:191" x14ac:dyDescent="0.2">
      <c r="GI3813" s="422"/>
    </row>
    <row r="3814" spans="191:191" x14ac:dyDescent="0.2">
      <c r="GI3814" s="422"/>
    </row>
    <row r="3815" spans="191:191" x14ac:dyDescent="0.2">
      <c r="GI3815" s="422"/>
    </row>
    <row r="3816" spans="191:191" x14ac:dyDescent="0.2">
      <c r="GI3816" s="422"/>
    </row>
    <row r="3817" spans="191:191" x14ac:dyDescent="0.2">
      <c r="GI3817" s="422"/>
    </row>
    <row r="3818" spans="191:191" x14ac:dyDescent="0.2">
      <c r="GI3818" s="422"/>
    </row>
    <row r="3819" spans="191:191" x14ac:dyDescent="0.2">
      <c r="GI3819" s="422"/>
    </row>
    <row r="3820" spans="191:191" x14ac:dyDescent="0.2">
      <c r="GI3820" s="422"/>
    </row>
    <row r="3821" spans="191:191" x14ac:dyDescent="0.2">
      <c r="GI3821" s="422"/>
    </row>
    <row r="3822" spans="191:191" x14ac:dyDescent="0.2">
      <c r="GI3822" s="422"/>
    </row>
    <row r="3823" spans="191:191" x14ac:dyDescent="0.2">
      <c r="GI3823" s="422"/>
    </row>
    <row r="3824" spans="191:191" x14ac:dyDescent="0.2">
      <c r="GI3824" s="422"/>
    </row>
    <row r="3825" spans="191:191" x14ac:dyDescent="0.2">
      <c r="GI3825" s="422"/>
    </row>
    <row r="3826" spans="191:191" x14ac:dyDescent="0.2">
      <c r="GI3826" s="422"/>
    </row>
    <row r="3827" spans="191:191" x14ac:dyDescent="0.2">
      <c r="GI3827" s="422"/>
    </row>
    <row r="3828" spans="191:191" x14ac:dyDescent="0.2">
      <c r="GI3828" s="422"/>
    </row>
    <row r="3829" spans="191:191" x14ac:dyDescent="0.2">
      <c r="GI3829" s="422"/>
    </row>
    <row r="3830" spans="191:191" x14ac:dyDescent="0.2">
      <c r="GI3830" s="422"/>
    </row>
    <row r="3831" spans="191:191" x14ac:dyDescent="0.2">
      <c r="GI3831" s="422"/>
    </row>
    <row r="3832" spans="191:191" x14ac:dyDescent="0.2">
      <c r="GI3832" s="422"/>
    </row>
    <row r="3833" spans="191:191" x14ac:dyDescent="0.2">
      <c r="GI3833" s="422"/>
    </row>
    <row r="3834" spans="191:191" x14ac:dyDescent="0.2">
      <c r="GI3834" s="422"/>
    </row>
    <row r="3835" spans="191:191" x14ac:dyDescent="0.2">
      <c r="GI3835" s="422"/>
    </row>
    <row r="3836" spans="191:191" x14ac:dyDescent="0.2">
      <c r="GI3836" s="422"/>
    </row>
    <row r="3837" spans="191:191" x14ac:dyDescent="0.2">
      <c r="GI3837" s="422"/>
    </row>
    <row r="3838" spans="191:191" x14ac:dyDescent="0.2">
      <c r="GI3838" s="422"/>
    </row>
    <row r="3839" spans="191:191" x14ac:dyDescent="0.2">
      <c r="GI3839" s="422"/>
    </row>
    <row r="3840" spans="191:191" x14ac:dyDescent="0.2">
      <c r="GI3840" s="422"/>
    </row>
    <row r="3841" spans="191:191" x14ac:dyDescent="0.2">
      <c r="GI3841" s="422"/>
    </row>
    <row r="3842" spans="191:191" x14ac:dyDescent="0.2">
      <c r="GI3842" s="422"/>
    </row>
    <row r="3843" spans="191:191" x14ac:dyDescent="0.2">
      <c r="GI3843" s="422"/>
    </row>
    <row r="3844" spans="191:191" x14ac:dyDescent="0.2">
      <c r="GI3844" s="422"/>
    </row>
    <row r="3845" spans="191:191" x14ac:dyDescent="0.2">
      <c r="GI3845" s="422"/>
    </row>
    <row r="3846" spans="191:191" x14ac:dyDescent="0.2">
      <c r="GI3846" s="422"/>
    </row>
    <row r="3847" spans="191:191" x14ac:dyDescent="0.2">
      <c r="GI3847" s="422"/>
    </row>
    <row r="3848" spans="191:191" x14ac:dyDescent="0.2">
      <c r="GI3848" s="422"/>
    </row>
    <row r="3849" spans="191:191" x14ac:dyDescent="0.2">
      <c r="GI3849" s="422"/>
    </row>
    <row r="3850" spans="191:191" x14ac:dyDescent="0.2">
      <c r="GI3850" s="422"/>
    </row>
    <row r="3851" spans="191:191" x14ac:dyDescent="0.2">
      <c r="GI3851" s="422"/>
    </row>
    <row r="3852" spans="191:191" x14ac:dyDescent="0.2">
      <c r="GI3852" s="422"/>
    </row>
    <row r="3853" spans="191:191" x14ac:dyDescent="0.2">
      <c r="GI3853" s="422"/>
    </row>
    <row r="3854" spans="191:191" x14ac:dyDescent="0.2">
      <c r="GI3854" s="422"/>
    </row>
    <row r="3855" spans="191:191" x14ac:dyDescent="0.2">
      <c r="GI3855" s="422"/>
    </row>
    <row r="3856" spans="191:191" x14ac:dyDescent="0.2">
      <c r="GI3856" s="422"/>
    </row>
    <row r="3857" spans="191:191" x14ac:dyDescent="0.2">
      <c r="GI3857" s="422"/>
    </row>
    <row r="3858" spans="191:191" x14ac:dyDescent="0.2">
      <c r="GI3858" s="422"/>
    </row>
    <row r="3859" spans="191:191" x14ac:dyDescent="0.2">
      <c r="GI3859" s="422"/>
    </row>
    <row r="3860" spans="191:191" x14ac:dyDescent="0.2">
      <c r="GI3860" s="422"/>
    </row>
    <row r="3861" spans="191:191" x14ac:dyDescent="0.2">
      <c r="GI3861" s="422"/>
    </row>
    <row r="3862" spans="191:191" x14ac:dyDescent="0.2">
      <c r="GI3862" s="422"/>
    </row>
    <row r="3863" spans="191:191" x14ac:dyDescent="0.2">
      <c r="GI3863" s="422"/>
    </row>
    <row r="3864" spans="191:191" x14ac:dyDescent="0.2">
      <c r="GI3864" s="422"/>
    </row>
    <row r="3865" spans="191:191" x14ac:dyDescent="0.2">
      <c r="GI3865" s="422"/>
    </row>
    <row r="3866" spans="191:191" x14ac:dyDescent="0.2">
      <c r="GI3866" s="422"/>
    </row>
    <row r="3867" spans="191:191" x14ac:dyDescent="0.2">
      <c r="GI3867" s="422"/>
    </row>
    <row r="3868" spans="191:191" x14ac:dyDescent="0.2">
      <c r="GI3868" s="422"/>
    </row>
    <row r="3869" spans="191:191" x14ac:dyDescent="0.2">
      <c r="GI3869" s="422"/>
    </row>
    <row r="3870" spans="191:191" x14ac:dyDescent="0.2">
      <c r="GI3870" s="422"/>
    </row>
    <row r="3871" spans="191:191" x14ac:dyDescent="0.2">
      <c r="GI3871" s="422"/>
    </row>
    <row r="3872" spans="191:191" x14ac:dyDescent="0.2">
      <c r="GI3872" s="422"/>
    </row>
    <row r="3873" spans="191:191" x14ac:dyDescent="0.2">
      <c r="GI3873" s="422"/>
    </row>
    <row r="3874" spans="191:191" x14ac:dyDescent="0.2">
      <c r="GI3874" s="422"/>
    </row>
    <row r="3875" spans="191:191" x14ac:dyDescent="0.2">
      <c r="GI3875" s="422"/>
    </row>
    <row r="3876" spans="191:191" x14ac:dyDescent="0.2">
      <c r="GI3876" s="422"/>
    </row>
    <row r="3877" spans="191:191" x14ac:dyDescent="0.2">
      <c r="GI3877" s="422"/>
    </row>
    <row r="3878" spans="191:191" x14ac:dyDescent="0.2">
      <c r="GI3878" s="422"/>
    </row>
    <row r="3879" spans="191:191" x14ac:dyDescent="0.2">
      <c r="GI3879" s="422"/>
    </row>
    <row r="3880" spans="191:191" x14ac:dyDescent="0.2">
      <c r="GI3880" s="422"/>
    </row>
    <row r="3881" spans="191:191" x14ac:dyDescent="0.2">
      <c r="GI3881" s="422"/>
    </row>
    <row r="3882" spans="191:191" x14ac:dyDescent="0.2">
      <c r="GI3882" s="422"/>
    </row>
    <row r="3883" spans="191:191" x14ac:dyDescent="0.2">
      <c r="GI3883" s="422"/>
    </row>
    <row r="3884" spans="191:191" x14ac:dyDescent="0.2">
      <c r="GI3884" s="422"/>
    </row>
    <row r="3885" spans="191:191" x14ac:dyDescent="0.2">
      <c r="GI3885" s="422"/>
    </row>
    <row r="3886" spans="191:191" x14ac:dyDescent="0.2">
      <c r="GI3886" s="422"/>
    </row>
    <row r="3887" spans="191:191" x14ac:dyDescent="0.2">
      <c r="GI3887" s="422"/>
    </row>
    <row r="3888" spans="191:191" x14ac:dyDescent="0.2">
      <c r="GI3888" s="422"/>
    </row>
    <row r="3889" spans="191:191" x14ac:dyDescent="0.2">
      <c r="GI3889" s="422"/>
    </row>
    <row r="3890" spans="191:191" x14ac:dyDescent="0.2">
      <c r="GI3890" s="422"/>
    </row>
    <row r="3891" spans="191:191" x14ac:dyDescent="0.2">
      <c r="GI3891" s="422"/>
    </row>
    <row r="3892" spans="191:191" x14ac:dyDescent="0.2">
      <c r="GI3892" s="422"/>
    </row>
    <row r="3893" spans="191:191" x14ac:dyDescent="0.2">
      <c r="GI3893" s="422"/>
    </row>
    <row r="3894" spans="191:191" x14ac:dyDescent="0.2">
      <c r="GI3894" s="422"/>
    </row>
    <row r="3895" spans="191:191" x14ac:dyDescent="0.2">
      <c r="GI3895" s="422"/>
    </row>
    <row r="3896" spans="191:191" x14ac:dyDescent="0.2">
      <c r="GI3896" s="422"/>
    </row>
    <row r="3897" spans="191:191" x14ac:dyDescent="0.2">
      <c r="GI3897" s="422"/>
    </row>
    <row r="3898" spans="191:191" x14ac:dyDescent="0.2">
      <c r="GI3898" s="422"/>
    </row>
    <row r="3899" spans="191:191" x14ac:dyDescent="0.2">
      <c r="GI3899" s="422"/>
    </row>
    <row r="3900" spans="191:191" x14ac:dyDescent="0.2">
      <c r="GI3900" s="422"/>
    </row>
    <row r="3901" spans="191:191" x14ac:dyDescent="0.2">
      <c r="GI3901" s="422"/>
    </row>
    <row r="3902" spans="191:191" x14ac:dyDescent="0.2">
      <c r="GI3902" s="422"/>
    </row>
    <row r="3903" spans="191:191" x14ac:dyDescent="0.2">
      <c r="GI3903" s="422"/>
    </row>
    <row r="3904" spans="191:191" x14ac:dyDescent="0.2">
      <c r="GI3904" s="422"/>
    </row>
    <row r="3905" spans="191:191" x14ac:dyDescent="0.2">
      <c r="GI3905" s="422"/>
    </row>
    <row r="3906" spans="191:191" x14ac:dyDescent="0.2">
      <c r="GI3906" s="422"/>
    </row>
    <row r="3907" spans="191:191" x14ac:dyDescent="0.2">
      <c r="GI3907" s="422"/>
    </row>
    <row r="3908" spans="191:191" x14ac:dyDescent="0.2">
      <c r="GI3908" s="422"/>
    </row>
    <row r="3909" spans="191:191" x14ac:dyDescent="0.2">
      <c r="GI3909" s="422"/>
    </row>
    <row r="3910" spans="191:191" x14ac:dyDescent="0.2">
      <c r="GI3910" s="422"/>
    </row>
    <row r="3911" spans="191:191" x14ac:dyDescent="0.2">
      <c r="GI3911" s="422"/>
    </row>
    <row r="3912" spans="191:191" x14ac:dyDescent="0.2">
      <c r="GI3912" s="422"/>
    </row>
    <row r="3913" spans="191:191" x14ac:dyDescent="0.2">
      <c r="GI3913" s="422"/>
    </row>
    <row r="3914" spans="191:191" x14ac:dyDescent="0.2">
      <c r="GI3914" s="422"/>
    </row>
    <row r="3915" spans="191:191" x14ac:dyDescent="0.2">
      <c r="GI3915" s="422"/>
    </row>
    <row r="3916" spans="191:191" x14ac:dyDescent="0.2">
      <c r="GI3916" s="422"/>
    </row>
    <row r="3917" spans="191:191" x14ac:dyDescent="0.2">
      <c r="GI3917" s="422"/>
    </row>
    <row r="3918" spans="191:191" x14ac:dyDescent="0.2">
      <c r="GI3918" s="422"/>
    </row>
    <row r="3919" spans="191:191" x14ac:dyDescent="0.2">
      <c r="GI3919" s="422"/>
    </row>
    <row r="3920" spans="191:191" x14ac:dyDescent="0.2">
      <c r="GI3920" s="422"/>
    </row>
    <row r="3921" spans="191:191" x14ac:dyDescent="0.2">
      <c r="GI3921" s="422"/>
    </row>
    <row r="3922" spans="191:191" x14ac:dyDescent="0.2">
      <c r="GI3922" s="422"/>
    </row>
    <row r="3923" spans="191:191" x14ac:dyDescent="0.2">
      <c r="GI3923" s="422"/>
    </row>
    <row r="3924" spans="191:191" x14ac:dyDescent="0.2">
      <c r="GI3924" s="422"/>
    </row>
    <row r="3925" spans="191:191" x14ac:dyDescent="0.2">
      <c r="GI3925" s="422"/>
    </row>
    <row r="3926" spans="191:191" x14ac:dyDescent="0.2">
      <c r="GI3926" s="422"/>
    </row>
    <row r="3927" spans="191:191" x14ac:dyDescent="0.2">
      <c r="GI3927" s="422"/>
    </row>
    <row r="3928" spans="191:191" x14ac:dyDescent="0.2">
      <c r="GI3928" s="422"/>
    </row>
    <row r="3929" spans="191:191" x14ac:dyDescent="0.2">
      <c r="GI3929" s="422"/>
    </row>
    <row r="3930" spans="191:191" x14ac:dyDescent="0.2">
      <c r="GI3930" s="422"/>
    </row>
    <row r="3931" spans="191:191" x14ac:dyDescent="0.2">
      <c r="GI3931" s="422"/>
    </row>
    <row r="3932" spans="191:191" x14ac:dyDescent="0.2">
      <c r="GI3932" s="422"/>
    </row>
    <row r="3933" spans="191:191" x14ac:dyDescent="0.2">
      <c r="GI3933" s="422"/>
    </row>
    <row r="3934" spans="191:191" x14ac:dyDescent="0.2">
      <c r="GI3934" s="422"/>
    </row>
    <row r="3935" spans="191:191" x14ac:dyDescent="0.2">
      <c r="GI3935" s="422"/>
    </row>
    <row r="3936" spans="191:191" x14ac:dyDescent="0.2">
      <c r="GI3936" s="422"/>
    </row>
    <row r="3937" spans="191:191" x14ac:dyDescent="0.2">
      <c r="GI3937" s="422"/>
    </row>
    <row r="3938" spans="191:191" x14ac:dyDescent="0.2">
      <c r="GI3938" s="422"/>
    </row>
    <row r="3939" spans="191:191" x14ac:dyDescent="0.2">
      <c r="GI3939" s="422"/>
    </row>
    <row r="3940" spans="191:191" x14ac:dyDescent="0.2">
      <c r="GI3940" s="422"/>
    </row>
    <row r="3941" spans="191:191" x14ac:dyDescent="0.2">
      <c r="GI3941" s="422"/>
    </row>
    <row r="3942" spans="191:191" x14ac:dyDescent="0.2">
      <c r="GI3942" s="422"/>
    </row>
    <row r="3943" spans="191:191" x14ac:dyDescent="0.2">
      <c r="GI3943" s="422"/>
    </row>
    <row r="3944" spans="191:191" x14ac:dyDescent="0.2">
      <c r="GI3944" s="422"/>
    </row>
    <row r="3945" spans="191:191" x14ac:dyDescent="0.2">
      <c r="GI3945" s="422"/>
    </row>
    <row r="3946" spans="191:191" x14ac:dyDescent="0.2">
      <c r="GI3946" s="422"/>
    </row>
    <row r="3947" spans="191:191" x14ac:dyDescent="0.2">
      <c r="GI3947" s="422"/>
    </row>
    <row r="3948" spans="191:191" x14ac:dyDescent="0.2">
      <c r="GI3948" s="422"/>
    </row>
    <row r="3949" spans="191:191" x14ac:dyDescent="0.2">
      <c r="GI3949" s="422"/>
    </row>
    <row r="3950" spans="191:191" x14ac:dyDescent="0.2">
      <c r="GI3950" s="422"/>
    </row>
    <row r="3951" spans="191:191" x14ac:dyDescent="0.2">
      <c r="GI3951" s="422"/>
    </row>
    <row r="3952" spans="191:191" x14ac:dyDescent="0.2">
      <c r="GI3952" s="422"/>
    </row>
    <row r="3953" spans="191:191" x14ac:dyDescent="0.2">
      <c r="GI3953" s="422"/>
    </row>
    <row r="3954" spans="191:191" x14ac:dyDescent="0.2">
      <c r="GI3954" s="422"/>
    </row>
    <row r="3955" spans="191:191" x14ac:dyDescent="0.2">
      <c r="GI3955" s="422"/>
    </row>
    <row r="3956" spans="191:191" x14ac:dyDescent="0.2">
      <c r="GI3956" s="422"/>
    </row>
    <row r="3957" spans="191:191" x14ac:dyDescent="0.2">
      <c r="GI3957" s="422"/>
    </row>
    <row r="3958" spans="191:191" x14ac:dyDescent="0.2">
      <c r="GI3958" s="422"/>
    </row>
    <row r="3959" spans="191:191" x14ac:dyDescent="0.2">
      <c r="GI3959" s="422"/>
    </row>
    <row r="3960" spans="191:191" x14ac:dyDescent="0.2">
      <c r="GI3960" s="422"/>
    </row>
    <row r="3961" spans="191:191" x14ac:dyDescent="0.2">
      <c r="GI3961" s="422"/>
    </row>
    <row r="3962" spans="191:191" x14ac:dyDescent="0.2">
      <c r="GI3962" s="422"/>
    </row>
    <row r="3963" spans="191:191" x14ac:dyDescent="0.2">
      <c r="GI3963" s="422"/>
    </row>
    <row r="3964" spans="191:191" x14ac:dyDescent="0.2">
      <c r="GI3964" s="422"/>
    </row>
    <row r="3965" spans="191:191" x14ac:dyDescent="0.2">
      <c r="GI3965" s="422"/>
    </row>
    <row r="3966" spans="191:191" x14ac:dyDescent="0.2">
      <c r="GI3966" s="422"/>
    </row>
    <row r="3967" spans="191:191" x14ac:dyDescent="0.2">
      <c r="GI3967" s="422"/>
    </row>
    <row r="3968" spans="191:191" x14ac:dyDescent="0.2">
      <c r="GI3968" s="422"/>
    </row>
    <row r="3969" spans="191:191" x14ac:dyDescent="0.2">
      <c r="GI3969" s="422"/>
    </row>
    <row r="3970" spans="191:191" x14ac:dyDescent="0.2">
      <c r="GI3970" s="422"/>
    </row>
    <row r="3971" spans="191:191" x14ac:dyDescent="0.2">
      <c r="GI3971" s="422"/>
    </row>
    <row r="3972" spans="191:191" x14ac:dyDescent="0.2">
      <c r="GI3972" s="422"/>
    </row>
    <row r="3973" spans="191:191" x14ac:dyDescent="0.2">
      <c r="GI3973" s="422"/>
    </row>
    <row r="3974" spans="191:191" x14ac:dyDescent="0.2">
      <c r="GI3974" s="422"/>
    </row>
    <row r="3975" spans="191:191" x14ac:dyDescent="0.2">
      <c r="GI3975" s="422"/>
    </row>
    <row r="3976" spans="191:191" x14ac:dyDescent="0.2">
      <c r="GI3976" s="422"/>
    </row>
    <row r="3977" spans="191:191" x14ac:dyDescent="0.2">
      <c r="GI3977" s="422"/>
    </row>
    <row r="3978" spans="191:191" x14ac:dyDescent="0.2">
      <c r="GI3978" s="422"/>
    </row>
    <row r="3979" spans="191:191" x14ac:dyDescent="0.2">
      <c r="GI3979" s="422"/>
    </row>
    <row r="3980" spans="191:191" x14ac:dyDescent="0.2">
      <c r="GI3980" s="422"/>
    </row>
    <row r="3981" spans="191:191" x14ac:dyDescent="0.2">
      <c r="GI3981" s="422"/>
    </row>
    <row r="3982" spans="191:191" x14ac:dyDescent="0.2">
      <c r="GI3982" s="422"/>
    </row>
    <row r="3983" spans="191:191" x14ac:dyDescent="0.2">
      <c r="GI3983" s="422"/>
    </row>
    <row r="3984" spans="191:191" x14ac:dyDescent="0.2">
      <c r="GI3984" s="422"/>
    </row>
    <row r="3985" spans="191:191" x14ac:dyDescent="0.2">
      <c r="GI3985" s="422"/>
    </row>
    <row r="3986" spans="191:191" x14ac:dyDescent="0.2">
      <c r="GI3986" s="422"/>
    </row>
    <row r="3987" spans="191:191" x14ac:dyDescent="0.2">
      <c r="GI3987" s="422"/>
    </row>
    <row r="3988" spans="191:191" x14ac:dyDescent="0.2">
      <c r="GI3988" s="422"/>
    </row>
    <row r="3989" spans="191:191" x14ac:dyDescent="0.2">
      <c r="GI3989" s="422"/>
    </row>
    <row r="3990" spans="191:191" x14ac:dyDescent="0.2">
      <c r="GI3990" s="422"/>
    </row>
    <row r="3991" spans="191:191" x14ac:dyDescent="0.2">
      <c r="GI3991" s="422"/>
    </row>
    <row r="3992" spans="191:191" x14ac:dyDescent="0.2">
      <c r="GI3992" s="422"/>
    </row>
    <row r="3993" spans="191:191" x14ac:dyDescent="0.2">
      <c r="GI3993" s="422"/>
    </row>
    <row r="3994" spans="191:191" x14ac:dyDescent="0.2">
      <c r="GI3994" s="422"/>
    </row>
    <row r="3995" spans="191:191" x14ac:dyDescent="0.2">
      <c r="GI3995" s="422"/>
    </row>
    <row r="3996" spans="191:191" x14ac:dyDescent="0.2">
      <c r="GI3996" s="422"/>
    </row>
    <row r="3997" spans="191:191" x14ac:dyDescent="0.2">
      <c r="GI3997" s="422"/>
    </row>
    <row r="3998" spans="191:191" x14ac:dyDescent="0.2">
      <c r="GI3998" s="422"/>
    </row>
    <row r="3999" spans="191:191" x14ac:dyDescent="0.2">
      <c r="GI3999" s="422"/>
    </row>
    <row r="4000" spans="191:191" x14ac:dyDescent="0.2">
      <c r="GI4000" s="422"/>
    </row>
    <row r="4001" spans="191:191" x14ac:dyDescent="0.2">
      <c r="GI4001" s="422"/>
    </row>
    <row r="4002" spans="191:191" x14ac:dyDescent="0.2">
      <c r="GI4002" s="422"/>
    </row>
    <row r="4003" spans="191:191" x14ac:dyDescent="0.2">
      <c r="GI4003" s="422"/>
    </row>
    <row r="4004" spans="191:191" x14ac:dyDescent="0.2">
      <c r="GI4004" s="422"/>
    </row>
    <row r="4005" spans="191:191" x14ac:dyDescent="0.2">
      <c r="GI4005" s="422"/>
    </row>
    <row r="4006" spans="191:191" x14ac:dyDescent="0.2">
      <c r="GI4006" s="422"/>
    </row>
    <row r="4007" spans="191:191" x14ac:dyDescent="0.2">
      <c r="GI4007" s="422"/>
    </row>
    <row r="4008" spans="191:191" x14ac:dyDescent="0.2">
      <c r="GI4008" s="422"/>
    </row>
    <row r="4009" spans="191:191" x14ac:dyDescent="0.2">
      <c r="GI4009" s="422"/>
    </row>
    <row r="4010" spans="191:191" x14ac:dyDescent="0.2">
      <c r="GI4010" s="422"/>
    </row>
    <row r="4011" spans="191:191" x14ac:dyDescent="0.2">
      <c r="GI4011" s="422"/>
    </row>
    <row r="4012" spans="191:191" x14ac:dyDescent="0.2">
      <c r="GI4012" s="422"/>
    </row>
    <row r="4013" spans="191:191" x14ac:dyDescent="0.2">
      <c r="GI4013" s="422"/>
    </row>
    <row r="4014" spans="191:191" x14ac:dyDescent="0.2">
      <c r="GI4014" s="422"/>
    </row>
    <row r="4015" spans="191:191" x14ac:dyDescent="0.2">
      <c r="GI4015" s="422"/>
    </row>
    <row r="4016" spans="191:191" x14ac:dyDescent="0.2">
      <c r="GI4016" s="422"/>
    </row>
    <row r="4017" spans="191:191" x14ac:dyDescent="0.2">
      <c r="GI4017" s="422"/>
    </row>
    <row r="4018" spans="191:191" x14ac:dyDescent="0.2">
      <c r="GI4018" s="422"/>
    </row>
    <row r="4019" spans="191:191" x14ac:dyDescent="0.2">
      <c r="GI4019" s="422"/>
    </row>
    <row r="4020" spans="191:191" x14ac:dyDescent="0.2">
      <c r="GI4020" s="422"/>
    </row>
    <row r="4021" spans="191:191" x14ac:dyDescent="0.2">
      <c r="GI4021" s="422"/>
    </row>
    <row r="4022" spans="191:191" x14ac:dyDescent="0.2">
      <c r="GI4022" s="422"/>
    </row>
    <row r="4023" spans="191:191" x14ac:dyDescent="0.2">
      <c r="GI4023" s="422"/>
    </row>
    <row r="4024" spans="191:191" x14ac:dyDescent="0.2">
      <c r="GI4024" s="422"/>
    </row>
    <row r="4025" spans="191:191" x14ac:dyDescent="0.2">
      <c r="GI4025" s="422"/>
    </row>
    <row r="4026" spans="191:191" x14ac:dyDescent="0.2">
      <c r="GI4026" s="422"/>
    </row>
    <row r="4027" spans="191:191" x14ac:dyDescent="0.2">
      <c r="GI4027" s="422"/>
    </row>
    <row r="4028" spans="191:191" x14ac:dyDescent="0.2">
      <c r="GI4028" s="422"/>
    </row>
    <row r="4029" spans="191:191" x14ac:dyDescent="0.2">
      <c r="GI4029" s="422"/>
    </row>
    <row r="4030" spans="191:191" x14ac:dyDescent="0.2">
      <c r="GI4030" s="422"/>
    </row>
    <row r="4031" spans="191:191" x14ac:dyDescent="0.2">
      <c r="GI4031" s="422"/>
    </row>
    <row r="4032" spans="191:191" x14ac:dyDescent="0.2">
      <c r="GI4032" s="422"/>
    </row>
    <row r="4033" spans="191:191" x14ac:dyDescent="0.2">
      <c r="GI4033" s="422"/>
    </row>
    <row r="4034" spans="191:191" x14ac:dyDescent="0.2">
      <c r="GI4034" s="422"/>
    </row>
    <row r="4035" spans="191:191" x14ac:dyDescent="0.2">
      <c r="GI4035" s="422"/>
    </row>
    <row r="4036" spans="191:191" x14ac:dyDescent="0.2">
      <c r="GI4036" s="422"/>
    </row>
    <row r="4037" spans="191:191" x14ac:dyDescent="0.2">
      <c r="GI4037" s="422"/>
    </row>
    <row r="4038" spans="191:191" x14ac:dyDescent="0.2">
      <c r="GI4038" s="422"/>
    </row>
    <row r="4039" spans="191:191" x14ac:dyDescent="0.2">
      <c r="GI4039" s="422"/>
    </row>
    <row r="4040" spans="191:191" x14ac:dyDescent="0.2">
      <c r="GI4040" s="422"/>
    </row>
    <row r="4041" spans="191:191" x14ac:dyDescent="0.2">
      <c r="GI4041" s="422"/>
    </row>
    <row r="4042" spans="191:191" x14ac:dyDescent="0.2">
      <c r="GI4042" s="422"/>
    </row>
    <row r="4043" spans="191:191" x14ac:dyDescent="0.2">
      <c r="GI4043" s="422"/>
    </row>
    <row r="4044" spans="191:191" x14ac:dyDescent="0.2">
      <c r="GI4044" s="422"/>
    </row>
    <row r="4045" spans="191:191" x14ac:dyDescent="0.2">
      <c r="GI4045" s="422"/>
    </row>
    <row r="4046" spans="191:191" x14ac:dyDescent="0.2">
      <c r="GI4046" s="422"/>
    </row>
    <row r="4047" spans="191:191" x14ac:dyDescent="0.2">
      <c r="GI4047" s="422"/>
    </row>
    <row r="4048" spans="191:191" x14ac:dyDescent="0.2">
      <c r="GI4048" s="422"/>
    </row>
    <row r="4049" spans="191:191" x14ac:dyDescent="0.2">
      <c r="GI4049" s="422"/>
    </row>
    <row r="4050" spans="191:191" x14ac:dyDescent="0.2">
      <c r="GI4050" s="422"/>
    </row>
    <row r="4051" spans="191:191" x14ac:dyDescent="0.2">
      <c r="GI4051" s="422"/>
    </row>
    <row r="4052" spans="191:191" x14ac:dyDescent="0.2">
      <c r="GI4052" s="422"/>
    </row>
    <row r="4053" spans="191:191" x14ac:dyDescent="0.2">
      <c r="GI4053" s="422"/>
    </row>
    <row r="4054" spans="191:191" x14ac:dyDescent="0.2">
      <c r="GI4054" s="422"/>
    </row>
    <row r="4055" spans="191:191" x14ac:dyDescent="0.2">
      <c r="GI4055" s="422"/>
    </row>
    <row r="4056" spans="191:191" x14ac:dyDescent="0.2">
      <c r="GI4056" s="422"/>
    </row>
    <row r="4057" spans="191:191" x14ac:dyDescent="0.2">
      <c r="GI4057" s="422"/>
    </row>
    <row r="4058" spans="191:191" x14ac:dyDescent="0.2">
      <c r="GI4058" s="422"/>
    </row>
    <row r="4059" spans="191:191" x14ac:dyDescent="0.2">
      <c r="GI4059" s="422"/>
    </row>
    <row r="4060" spans="191:191" x14ac:dyDescent="0.2">
      <c r="GI4060" s="422"/>
    </row>
    <row r="4061" spans="191:191" x14ac:dyDescent="0.2">
      <c r="GI4061" s="422"/>
    </row>
    <row r="4062" spans="191:191" x14ac:dyDescent="0.2">
      <c r="GI4062" s="422"/>
    </row>
    <row r="4063" spans="191:191" x14ac:dyDescent="0.2">
      <c r="GI4063" s="422"/>
    </row>
    <row r="4064" spans="191:191" x14ac:dyDescent="0.2">
      <c r="GI4064" s="422"/>
    </row>
    <row r="4065" spans="191:191" x14ac:dyDescent="0.2">
      <c r="GI4065" s="422"/>
    </row>
    <row r="4066" spans="191:191" x14ac:dyDescent="0.2">
      <c r="GI4066" s="422"/>
    </row>
    <row r="4067" spans="191:191" x14ac:dyDescent="0.2">
      <c r="GI4067" s="422"/>
    </row>
    <row r="4068" spans="191:191" x14ac:dyDescent="0.2">
      <c r="GI4068" s="422"/>
    </row>
    <row r="4069" spans="191:191" x14ac:dyDescent="0.2">
      <c r="GI4069" s="422"/>
    </row>
    <row r="4070" spans="191:191" x14ac:dyDescent="0.2">
      <c r="GI4070" s="422"/>
    </row>
    <row r="4071" spans="191:191" x14ac:dyDescent="0.2">
      <c r="GI4071" s="422"/>
    </row>
    <row r="4072" spans="191:191" x14ac:dyDescent="0.2">
      <c r="GI4072" s="422"/>
    </row>
    <row r="4073" spans="191:191" x14ac:dyDescent="0.2">
      <c r="GI4073" s="422"/>
    </row>
    <row r="4074" spans="191:191" x14ac:dyDescent="0.2">
      <c r="GI4074" s="422"/>
    </row>
    <row r="4075" spans="191:191" x14ac:dyDescent="0.2">
      <c r="GI4075" s="422"/>
    </row>
    <row r="4076" spans="191:191" x14ac:dyDescent="0.2">
      <c r="GI4076" s="422"/>
    </row>
    <row r="4077" spans="191:191" x14ac:dyDescent="0.2">
      <c r="GI4077" s="422"/>
    </row>
    <row r="4078" spans="191:191" x14ac:dyDescent="0.2">
      <c r="GI4078" s="422"/>
    </row>
    <row r="4079" spans="191:191" x14ac:dyDescent="0.2">
      <c r="GI4079" s="422"/>
    </row>
    <row r="4080" spans="191:191" x14ac:dyDescent="0.2">
      <c r="GI4080" s="422"/>
    </row>
    <row r="4081" spans="191:191" x14ac:dyDescent="0.2">
      <c r="GI4081" s="422"/>
    </row>
    <row r="4082" spans="191:191" x14ac:dyDescent="0.2">
      <c r="GI4082" s="422"/>
    </row>
    <row r="4083" spans="191:191" x14ac:dyDescent="0.2">
      <c r="GI4083" s="422"/>
    </row>
    <row r="4084" spans="191:191" x14ac:dyDescent="0.2">
      <c r="GI4084" s="422"/>
    </row>
    <row r="4085" spans="191:191" x14ac:dyDescent="0.2">
      <c r="GI4085" s="422"/>
    </row>
    <row r="4086" spans="191:191" x14ac:dyDescent="0.2">
      <c r="GI4086" s="422"/>
    </row>
    <row r="4087" spans="191:191" x14ac:dyDescent="0.2">
      <c r="GI4087" s="422"/>
    </row>
    <row r="4088" spans="191:191" x14ac:dyDescent="0.2">
      <c r="GI4088" s="422"/>
    </row>
    <row r="4089" spans="191:191" x14ac:dyDescent="0.2">
      <c r="GI4089" s="422"/>
    </row>
    <row r="4090" spans="191:191" x14ac:dyDescent="0.2">
      <c r="GI4090" s="422"/>
    </row>
    <row r="4091" spans="191:191" x14ac:dyDescent="0.2">
      <c r="GI4091" s="422"/>
    </row>
    <row r="4092" spans="191:191" x14ac:dyDescent="0.2">
      <c r="GI4092" s="422"/>
    </row>
    <row r="4093" spans="191:191" x14ac:dyDescent="0.2">
      <c r="GI4093" s="422"/>
    </row>
    <row r="4094" spans="191:191" x14ac:dyDescent="0.2">
      <c r="GI4094" s="422"/>
    </row>
    <row r="4095" spans="191:191" x14ac:dyDescent="0.2">
      <c r="GI4095" s="422"/>
    </row>
    <row r="4096" spans="191:191" x14ac:dyDescent="0.2">
      <c r="GI4096" s="422"/>
    </row>
    <row r="4097" spans="191:191" x14ac:dyDescent="0.2">
      <c r="GI4097" s="422"/>
    </row>
    <row r="4098" spans="191:191" x14ac:dyDescent="0.2">
      <c r="GI4098" s="422"/>
    </row>
    <row r="4099" spans="191:191" x14ac:dyDescent="0.2">
      <c r="GI4099" s="422"/>
    </row>
    <row r="4100" spans="191:191" x14ac:dyDescent="0.2">
      <c r="GI4100" s="422"/>
    </row>
    <row r="4101" spans="191:191" x14ac:dyDescent="0.2">
      <c r="GI4101" s="422"/>
    </row>
    <row r="4102" spans="191:191" x14ac:dyDescent="0.2">
      <c r="GI4102" s="422"/>
    </row>
    <row r="4103" spans="191:191" x14ac:dyDescent="0.2">
      <c r="GI4103" s="422"/>
    </row>
    <row r="4104" spans="191:191" x14ac:dyDescent="0.2">
      <c r="GI4104" s="422"/>
    </row>
    <row r="4105" spans="191:191" x14ac:dyDescent="0.2">
      <c r="GI4105" s="422"/>
    </row>
    <row r="4106" spans="191:191" x14ac:dyDescent="0.2">
      <c r="GI4106" s="422"/>
    </row>
    <row r="4107" spans="191:191" x14ac:dyDescent="0.2">
      <c r="GI4107" s="422"/>
    </row>
    <row r="4108" spans="191:191" x14ac:dyDescent="0.2">
      <c r="GI4108" s="422"/>
    </row>
    <row r="4109" spans="191:191" x14ac:dyDescent="0.2">
      <c r="GI4109" s="422"/>
    </row>
    <row r="4110" spans="191:191" x14ac:dyDescent="0.2">
      <c r="GI4110" s="422"/>
    </row>
    <row r="4111" spans="191:191" x14ac:dyDescent="0.2">
      <c r="GI4111" s="422"/>
    </row>
    <row r="4112" spans="191:191" x14ac:dyDescent="0.2">
      <c r="GI4112" s="422"/>
    </row>
    <row r="4113" spans="191:191" x14ac:dyDescent="0.2">
      <c r="GI4113" s="422"/>
    </row>
    <row r="4114" spans="191:191" x14ac:dyDescent="0.2">
      <c r="GI4114" s="422"/>
    </row>
    <row r="4115" spans="191:191" x14ac:dyDescent="0.2">
      <c r="GI4115" s="422"/>
    </row>
    <row r="4116" spans="191:191" x14ac:dyDescent="0.2">
      <c r="GI4116" s="422"/>
    </row>
    <row r="4117" spans="191:191" x14ac:dyDescent="0.2">
      <c r="GI4117" s="422"/>
    </row>
    <row r="4118" spans="191:191" x14ac:dyDescent="0.2">
      <c r="GI4118" s="422"/>
    </row>
    <row r="4119" spans="191:191" x14ac:dyDescent="0.2">
      <c r="GI4119" s="422"/>
    </row>
    <row r="4120" spans="191:191" x14ac:dyDescent="0.2">
      <c r="GI4120" s="422"/>
    </row>
    <row r="4121" spans="191:191" x14ac:dyDescent="0.2">
      <c r="GI4121" s="422"/>
    </row>
    <row r="4122" spans="191:191" x14ac:dyDescent="0.2">
      <c r="GI4122" s="422"/>
    </row>
    <row r="4123" spans="191:191" x14ac:dyDescent="0.2">
      <c r="GI4123" s="422"/>
    </row>
    <row r="4124" spans="191:191" x14ac:dyDescent="0.2">
      <c r="GI4124" s="422"/>
    </row>
    <row r="4125" spans="191:191" x14ac:dyDescent="0.2">
      <c r="GI4125" s="422"/>
    </row>
    <row r="4126" spans="191:191" x14ac:dyDescent="0.2">
      <c r="GI4126" s="422"/>
    </row>
    <row r="4127" spans="191:191" x14ac:dyDescent="0.2">
      <c r="GI4127" s="422"/>
    </row>
    <row r="4128" spans="191:191" x14ac:dyDescent="0.2">
      <c r="GI4128" s="422"/>
    </row>
    <row r="4129" spans="191:191" x14ac:dyDescent="0.2">
      <c r="GI4129" s="422"/>
    </row>
    <row r="4130" spans="191:191" x14ac:dyDescent="0.2">
      <c r="GI4130" s="422"/>
    </row>
    <row r="4131" spans="191:191" x14ac:dyDescent="0.2">
      <c r="GI4131" s="422"/>
    </row>
    <row r="4132" spans="191:191" x14ac:dyDescent="0.2">
      <c r="GI4132" s="422"/>
    </row>
    <row r="4133" spans="191:191" x14ac:dyDescent="0.2">
      <c r="GI4133" s="422"/>
    </row>
    <row r="4134" spans="191:191" x14ac:dyDescent="0.2">
      <c r="GI4134" s="422"/>
    </row>
    <row r="4135" spans="191:191" x14ac:dyDescent="0.2">
      <c r="GI4135" s="422"/>
    </row>
    <row r="4136" spans="191:191" x14ac:dyDescent="0.2">
      <c r="GI4136" s="422"/>
    </row>
    <row r="4137" spans="191:191" x14ac:dyDescent="0.2">
      <c r="GI4137" s="422"/>
    </row>
    <row r="4138" spans="191:191" x14ac:dyDescent="0.2">
      <c r="GI4138" s="422"/>
    </row>
    <row r="4139" spans="191:191" x14ac:dyDescent="0.2">
      <c r="GI4139" s="422"/>
    </row>
    <row r="4140" spans="191:191" x14ac:dyDescent="0.2">
      <c r="GI4140" s="422"/>
    </row>
    <row r="4141" spans="191:191" x14ac:dyDescent="0.2">
      <c r="GI4141" s="422"/>
    </row>
    <row r="4142" spans="191:191" x14ac:dyDescent="0.2">
      <c r="GI4142" s="422"/>
    </row>
    <row r="4143" spans="191:191" x14ac:dyDescent="0.2">
      <c r="GI4143" s="422"/>
    </row>
    <row r="4144" spans="191:191" x14ac:dyDescent="0.2">
      <c r="GI4144" s="422"/>
    </row>
    <row r="4145" spans="191:191" x14ac:dyDescent="0.2">
      <c r="GI4145" s="422"/>
    </row>
    <row r="4146" spans="191:191" x14ac:dyDescent="0.2">
      <c r="GI4146" s="422"/>
    </row>
    <row r="4147" spans="191:191" x14ac:dyDescent="0.2">
      <c r="GI4147" s="422"/>
    </row>
    <row r="4148" spans="191:191" x14ac:dyDescent="0.2">
      <c r="GI4148" s="422"/>
    </row>
    <row r="4149" spans="191:191" x14ac:dyDescent="0.2">
      <c r="GI4149" s="422"/>
    </row>
    <row r="4150" spans="191:191" x14ac:dyDescent="0.2">
      <c r="GI4150" s="422"/>
    </row>
    <row r="4151" spans="191:191" x14ac:dyDescent="0.2">
      <c r="GI4151" s="422"/>
    </row>
    <row r="4152" spans="191:191" x14ac:dyDescent="0.2">
      <c r="GI4152" s="422"/>
    </row>
    <row r="4153" spans="191:191" x14ac:dyDescent="0.2">
      <c r="GI4153" s="422"/>
    </row>
    <row r="4154" spans="191:191" x14ac:dyDescent="0.2">
      <c r="GI4154" s="422"/>
    </row>
    <row r="4155" spans="191:191" x14ac:dyDescent="0.2">
      <c r="GI4155" s="422"/>
    </row>
    <row r="4156" spans="191:191" x14ac:dyDescent="0.2">
      <c r="GI4156" s="422"/>
    </row>
    <row r="4157" spans="191:191" x14ac:dyDescent="0.2">
      <c r="GI4157" s="422"/>
    </row>
    <row r="4158" spans="191:191" x14ac:dyDescent="0.2">
      <c r="GI4158" s="422"/>
    </row>
    <row r="4159" spans="191:191" x14ac:dyDescent="0.2">
      <c r="GI4159" s="422"/>
    </row>
    <row r="4160" spans="191:191" x14ac:dyDescent="0.2">
      <c r="GI4160" s="422"/>
    </row>
    <row r="4161" spans="191:191" x14ac:dyDescent="0.2">
      <c r="GI4161" s="422"/>
    </row>
    <row r="4162" spans="191:191" x14ac:dyDescent="0.2">
      <c r="GI4162" s="422"/>
    </row>
    <row r="4163" spans="191:191" x14ac:dyDescent="0.2">
      <c r="GI4163" s="422"/>
    </row>
    <row r="4164" spans="191:191" x14ac:dyDescent="0.2">
      <c r="GI4164" s="422"/>
    </row>
    <row r="4165" spans="191:191" x14ac:dyDescent="0.2">
      <c r="GI4165" s="422"/>
    </row>
    <row r="4166" spans="191:191" x14ac:dyDescent="0.2">
      <c r="GI4166" s="422"/>
    </row>
    <row r="4167" spans="191:191" x14ac:dyDescent="0.2">
      <c r="GI4167" s="422"/>
    </row>
    <row r="4168" spans="191:191" x14ac:dyDescent="0.2">
      <c r="GI4168" s="422"/>
    </row>
    <row r="4169" spans="191:191" x14ac:dyDescent="0.2">
      <c r="GI4169" s="422"/>
    </row>
    <row r="4170" spans="191:191" x14ac:dyDescent="0.2">
      <c r="GI4170" s="422"/>
    </row>
    <row r="4171" spans="191:191" x14ac:dyDescent="0.2">
      <c r="GI4171" s="422"/>
    </row>
    <row r="4172" spans="191:191" x14ac:dyDescent="0.2">
      <c r="GI4172" s="422"/>
    </row>
    <row r="4173" spans="191:191" x14ac:dyDescent="0.2">
      <c r="GI4173" s="422"/>
    </row>
    <row r="4174" spans="191:191" x14ac:dyDescent="0.2">
      <c r="GI4174" s="422"/>
    </row>
    <row r="4175" spans="191:191" x14ac:dyDescent="0.2">
      <c r="GI4175" s="422"/>
    </row>
    <row r="4176" spans="191:191" x14ac:dyDescent="0.2">
      <c r="GI4176" s="422"/>
    </row>
    <row r="4177" spans="191:191" x14ac:dyDescent="0.2">
      <c r="GI4177" s="422"/>
    </row>
    <row r="4178" spans="191:191" x14ac:dyDescent="0.2">
      <c r="GI4178" s="422"/>
    </row>
    <row r="4179" spans="191:191" x14ac:dyDescent="0.2">
      <c r="GI4179" s="422"/>
    </row>
    <row r="4180" spans="191:191" x14ac:dyDescent="0.2">
      <c r="GI4180" s="422"/>
    </row>
    <row r="4181" spans="191:191" x14ac:dyDescent="0.2">
      <c r="GI4181" s="422"/>
    </row>
    <row r="4182" spans="191:191" x14ac:dyDescent="0.2">
      <c r="GI4182" s="422"/>
    </row>
    <row r="4183" spans="191:191" x14ac:dyDescent="0.2">
      <c r="GI4183" s="422"/>
    </row>
    <row r="4184" spans="191:191" x14ac:dyDescent="0.2">
      <c r="GI4184" s="422"/>
    </row>
    <row r="4185" spans="191:191" x14ac:dyDescent="0.2">
      <c r="GI4185" s="422"/>
    </row>
    <row r="4186" spans="191:191" x14ac:dyDescent="0.2">
      <c r="GI4186" s="422"/>
    </row>
    <row r="4187" spans="191:191" x14ac:dyDescent="0.2">
      <c r="GI4187" s="422"/>
    </row>
    <row r="4188" spans="191:191" x14ac:dyDescent="0.2">
      <c r="GI4188" s="422"/>
    </row>
    <row r="4189" spans="191:191" x14ac:dyDescent="0.2">
      <c r="GI4189" s="422"/>
    </row>
    <row r="4190" spans="191:191" x14ac:dyDescent="0.2">
      <c r="GI4190" s="422"/>
    </row>
    <row r="4191" spans="191:191" x14ac:dyDescent="0.2">
      <c r="GI4191" s="422"/>
    </row>
    <row r="4192" spans="191:191" x14ac:dyDescent="0.2">
      <c r="GI4192" s="422"/>
    </row>
    <row r="4193" spans="191:191" x14ac:dyDescent="0.2">
      <c r="GI4193" s="422"/>
    </row>
    <row r="4194" spans="191:191" x14ac:dyDescent="0.2">
      <c r="GI4194" s="422"/>
    </row>
    <row r="4195" spans="191:191" x14ac:dyDescent="0.2">
      <c r="GI4195" s="422"/>
    </row>
    <row r="4196" spans="191:191" x14ac:dyDescent="0.2">
      <c r="GI4196" s="422"/>
    </row>
    <row r="4197" spans="191:191" x14ac:dyDescent="0.2">
      <c r="GI4197" s="422"/>
    </row>
    <row r="4198" spans="191:191" x14ac:dyDescent="0.2">
      <c r="GI4198" s="422"/>
    </row>
    <row r="4199" spans="191:191" x14ac:dyDescent="0.2">
      <c r="GI4199" s="422"/>
    </row>
    <row r="4200" spans="191:191" x14ac:dyDescent="0.2">
      <c r="GI4200" s="422"/>
    </row>
    <row r="4201" spans="191:191" x14ac:dyDescent="0.2">
      <c r="GI4201" s="422"/>
    </row>
    <row r="4202" spans="191:191" x14ac:dyDescent="0.2">
      <c r="GI4202" s="422"/>
    </row>
    <row r="4203" spans="191:191" x14ac:dyDescent="0.2">
      <c r="GI4203" s="422"/>
    </row>
    <row r="4204" spans="191:191" x14ac:dyDescent="0.2">
      <c r="GI4204" s="422"/>
    </row>
    <row r="4205" spans="191:191" x14ac:dyDescent="0.2">
      <c r="GI4205" s="422"/>
    </row>
    <row r="4206" spans="191:191" x14ac:dyDescent="0.2">
      <c r="GI4206" s="422"/>
    </row>
    <row r="4207" spans="191:191" x14ac:dyDescent="0.2">
      <c r="GI4207" s="422"/>
    </row>
    <row r="4208" spans="191:191" x14ac:dyDescent="0.2">
      <c r="GI4208" s="422"/>
    </row>
    <row r="4209" spans="191:191" x14ac:dyDescent="0.2">
      <c r="GI4209" s="422"/>
    </row>
    <row r="4210" spans="191:191" x14ac:dyDescent="0.2">
      <c r="GI4210" s="422"/>
    </row>
    <row r="4211" spans="191:191" x14ac:dyDescent="0.2">
      <c r="GI4211" s="422"/>
    </row>
    <row r="4212" spans="191:191" x14ac:dyDescent="0.2">
      <c r="GI4212" s="422"/>
    </row>
    <row r="4213" spans="191:191" x14ac:dyDescent="0.2">
      <c r="GI4213" s="422"/>
    </row>
    <row r="4214" spans="191:191" x14ac:dyDescent="0.2">
      <c r="GI4214" s="422"/>
    </row>
    <row r="4215" spans="191:191" x14ac:dyDescent="0.2">
      <c r="GI4215" s="422"/>
    </row>
    <row r="4216" spans="191:191" x14ac:dyDescent="0.2">
      <c r="GI4216" s="422"/>
    </row>
    <row r="4217" spans="191:191" x14ac:dyDescent="0.2">
      <c r="GI4217" s="422"/>
    </row>
    <row r="4218" spans="191:191" x14ac:dyDescent="0.2">
      <c r="GI4218" s="422"/>
    </row>
    <row r="4219" spans="191:191" x14ac:dyDescent="0.2">
      <c r="GI4219" s="422"/>
    </row>
    <row r="4220" spans="191:191" x14ac:dyDescent="0.2">
      <c r="GI4220" s="422"/>
    </row>
    <row r="4221" spans="191:191" x14ac:dyDescent="0.2">
      <c r="GI4221" s="422"/>
    </row>
    <row r="4222" spans="191:191" x14ac:dyDescent="0.2">
      <c r="GI4222" s="422"/>
    </row>
    <row r="4223" spans="191:191" x14ac:dyDescent="0.2">
      <c r="GI4223" s="422"/>
    </row>
    <row r="4224" spans="191:191" x14ac:dyDescent="0.2">
      <c r="GI4224" s="422"/>
    </row>
    <row r="4225" spans="191:191" x14ac:dyDescent="0.2">
      <c r="GI4225" s="422"/>
    </row>
    <row r="4226" spans="191:191" x14ac:dyDescent="0.2">
      <c r="GI4226" s="422"/>
    </row>
    <row r="4227" spans="191:191" x14ac:dyDescent="0.2">
      <c r="GI4227" s="422"/>
    </row>
    <row r="4228" spans="191:191" x14ac:dyDescent="0.2">
      <c r="GI4228" s="422"/>
    </row>
    <row r="4229" spans="191:191" x14ac:dyDescent="0.2">
      <c r="GI4229" s="422"/>
    </row>
    <row r="4230" spans="191:191" x14ac:dyDescent="0.2">
      <c r="GI4230" s="422"/>
    </row>
    <row r="4231" spans="191:191" x14ac:dyDescent="0.2">
      <c r="GI4231" s="422"/>
    </row>
    <row r="4232" spans="191:191" x14ac:dyDescent="0.2">
      <c r="GI4232" s="422"/>
    </row>
    <row r="4233" spans="191:191" x14ac:dyDescent="0.2">
      <c r="GI4233" s="422"/>
    </row>
    <row r="4234" spans="191:191" x14ac:dyDescent="0.2">
      <c r="GI4234" s="422"/>
    </row>
    <row r="4235" spans="191:191" x14ac:dyDescent="0.2">
      <c r="GI4235" s="422"/>
    </row>
    <row r="4236" spans="191:191" x14ac:dyDescent="0.2">
      <c r="GI4236" s="422"/>
    </row>
    <row r="4237" spans="191:191" x14ac:dyDescent="0.2">
      <c r="GI4237" s="422"/>
    </row>
    <row r="4238" spans="191:191" x14ac:dyDescent="0.2">
      <c r="GI4238" s="422"/>
    </row>
    <row r="4239" spans="191:191" x14ac:dyDescent="0.2">
      <c r="GI4239" s="422"/>
    </row>
    <row r="4240" spans="191:191" x14ac:dyDescent="0.2">
      <c r="GI4240" s="422"/>
    </row>
    <row r="4241" spans="191:191" x14ac:dyDescent="0.2">
      <c r="GI4241" s="422"/>
    </row>
    <row r="4242" spans="191:191" x14ac:dyDescent="0.2">
      <c r="GI4242" s="422"/>
    </row>
    <row r="4243" spans="191:191" x14ac:dyDescent="0.2">
      <c r="GI4243" s="422"/>
    </row>
    <row r="4244" spans="191:191" x14ac:dyDescent="0.2">
      <c r="GI4244" s="422"/>
    </row>
    <row r="4245" spans="191:191" x14ac:dyDescent="0.2">
      <c r="GI4245" s="422"/>
    </row>
    <row r="4246" spans="191:191" x14ac:dyDescent="0.2">
      <c r="GI4246" s="422"/>
    </row>
    <row r="4247" spans="191:191" x14ac:dyDescent="0.2">
      <c r="GI4247" s="422"/>
    </row>
    <row r="4248" spans="191:191" x14ac:dyDescent="0.2">
      <c r="GI4248" s="422"/>
    </row>
    <row r="4249" spans="191:191" x14ac:dyDescent="0.2">
      <c r="GI4249" s="422"/>
    </row>
    <row r="4250" spans="191:191" x14ac:dyDescent="0.2">
      <c r="GI4250" s="422"/>
    </row>
    <row r="4251" spans="191:191" x14ac:dyDescent="0.2">
      <c r="GI4251" s="422"/>
    </row>
    <row r="4252" spans="191:191" x14ac:dyDescent="0.2">
      <c r="GI4252" s="422"/>
    </row>
    <row r="4253" spans="191:191" x14ac:dyDescent="0.2">
      <c r="GI4253" s="422"/>
    </row>
    <row r="4254" spans="191:191" x14ac:dyDescent="0.2">
      <c r="GI4254" s="422"/>
    </row>
    <row r="4255" spans="191:191" x14ac:dyDescent="0.2">
      <c r="GI4255" s="422"/>
    </row>
    <row r="4256" spans="191:191" x14ac:dyDescent="0.2">
      <c r="GI4256" s="422"/>
    </row>
    <row r="4257" spans="191:191" x14ac:dyDescent="0.2">
      <c r="GI4257" s="422"/>
    </row>
    <row r="4258" spans="191:191" x14ac:dyDescent="0.2">
      <c r="GI4258" s="422"/>
    </row>
    <row r="4259" spans="191:191" x14ac:dyDescent="0.2">
      <c r="GI4259" s="422"/>
    </row>
    <row r="4260" spans="191:191" x14ac:dyDescent="0.2">
      <c r="GI4260" s="422"/>
    </row>
    <row r="4261" spans="191:191" x14ac:dyDescent="0.2">
      <c r="GI4261" s="422"/>
    </row>
    <row r="4262" spans="191:191" x14ac:dyDescent="0.2">
      <c r="GI4262" s="422"/>
    </row>
    <row r="4263" spans="191:191" x14ac:dyDescent="0.2">
      <c r="GI4263" s="422"/>
    </row>
    <row r="4264" spans="191:191" x14ac:dyDescent="0.2">
      <c r="GI4264" s="422"/>
    </row>
    <row r="4265" spans="191:191" x14ac:dyDescent="0.2">
      <c r="GI4265" s="422"/>
    </row>
    <row r="4266" spans="191:191" x14ac:dyDescent="0.2">
      <c r="GI4266" s="422"/>
    </row>
    <row r="4267" spans="191:191" x14ac:dyDescent="0.2">
      <c r="GI4267" s="422"/>
    </row>
    <row r="4268" spans="191:191" x14ac:dyDescent="0.2">
      <c r="GI4268" s="422"/>
    </row>
    <row r="4269" spans="191:191" x14ac:dyDescent="0.2">
      <c r="GI4269" s="422"/>
    </row>
    <row r="4270" spans="191:191" x14ac:dyDescent="0.2">
      <c r="GI4270" s="422"/>
    </row>
    <row r="4271" spans="191:191" x14ac:dyDescent="0.2">
      <c r="GI4271" s="422"/>
    </row>
    <row r="4272" spans="191:191" x14ac:dyDescent="0.2">
      <c r="GI4272" s="422"/>
    </row>
    <row r="4273" spans="191:191" x14ac:dyDescent="0.2">
      <c r="GI4273" s="422"/>
    </row>
    <row r="4274" spans="191:191" x14ac:dyDescent="0.2">
      <c r="GI4274" s="422"/>
    </row>
    <row r="4275" spans="191:191" x14ac:dyDescent="0.2">
      <c r="GI4275" s="422"/>
    </row>
    <row r="4276" spans="191:191" x14ac:dyDescent="0.2">
      <c r="GI4276" s="422"/>
    </row>
    <row r="4277" spans="191:191" x14ac:dyDescent="0.2">
      <c r="GI4277" s="422"/>
    </row>
    <row r="4278" spans="191:191" x14ac:dyDescent="0.2">
      <c r="GI4278" s="422"/>
    </row>
    <row r="4279" spans="191:191" x14ac:dyDescent="0.2">
      <c r="GI4279" s="422"/>
    </row>
    <row r="4280" spans="191:191" x14ac:dyDescent="0.2">
      <c r="GI4280" s="422"/>
    </row>
    <row r="4281" spans="191:191" x14ac:dyDescent="0.2">
      <c r="GI4281" s="422"/>
    </row>
    <row r="4282" spans="191:191" x14ac:dyDescent="0.2">
      <c r="GI4282" s="422"/>
    </row>
    <row r="4283" spans="191:191" x14ac:dyDescent="0.2">
      <c r="GI4283" s="422"/>
    </row>
    <row r="4284" spans="191:191" x14ac:dyDescent="0.2">
      <c r="GI4284" s="422"/>
    </row>
    <row r="4285" spans="191:191" x14ac:dyDescent="0.2">
      <c r="GI4285" s="422"/>
    </row>
    <row r="4286" spans="191:191" x14ac:dyDescent="0.2">
      <c r="GI4286" s="422"/>
    </row>
    <row r="4287" spans="191:191" x14ac:dyDescent="0.2">
      <c r="GI4287" s="422"/>
    </row>
    <row r="4288" spans="191:191" x14ac:dyDescent="0.2">
      <c r="GI4288" s="422"/>
    </row>
    <row r="4289" spans="191:191" x14ac:dyDescent="0.2">
      <c r="GI4289" s="422"/>
    </row>
    <row r="4290" spans="191:191" x14ac:dyDescent="0.2">
      <c r="GI4290" s="422"/>
    </row>
    <row r="4291" spans="191:191" x14ac:dyDescent="0.2">
      <c r="GI4291" s="422"/>
    </row>
    <row r="4292" spans="191:191" x14ac:dyDescent="0.2">
      <c r="GI4292" s="422"/>
    </row>
    <row r="4293" spans="191:191" x14ac:dyDescent="0.2">
      <c r="GI4293" s="422"/>
    </row>
    <row r="4294" spans="191:191" x14ac:dyDescent="0.2">
      <c r="GI4294" s="422"/>
    </row>
    <row r="4295" spans="191:191" x14ac:dyDescent="0.2">
      <c r="GI4295" s="422"/>
    </row>
    <row r="4296" spans="191:191" x14ac:dyDescent="0.2">
      <c r="GI4296" s="422"/>
    </row>
    <row r="4297" spans="191:191" x14ac:dyDescent="0.2">
      <c r="GI4297" s="422"/>
    </row>
    <row r="4298" spans="191:191" x14ac:dyDescent="0.2">
      <c r="GI4298" s="422"/>
    </row>
    <row r="4299" spans="191:191" x14ac:dyDescent="0.2">
      <c r="GI4299" s="422"/>
    </row>
    <row r="4300" spans="191:191" x14ac:dyDescent="0.2">
      <c r="GI4300" s="422"/>
    </row>
    <row r="4301" spans="191:191" x14ac:dyDescent="0.2">
      <c r="GI4301" s="422"/>
    </row>
    <row r="4302" spans="191:191" x14ac:dyDescent="0.2">
      <c r="GI4302" s="422"/>
    </row>
    <row r="4303" spans="191:191" x14ac:dyDescent="0.2">
      <c r="GI4303" s="422"/>
    </row>
    <row r="4304" spans="191:191" x14ac:dyDescent="0.2">
      <c r="GI4304" s="422"/>
    </row>
    <row r="4305" spans="191:191" x14ac:dyDescent="0.2">
      <c r="GI4305" s="422"/>
    </row>
    <row r="4306" spans="191:191" x14ac:dyDescent="0.2">
      <c r="GI4306" s="422"/>
    </row>
    <row r="4307" spans="191:191" x14ac:dyDescent="0.2">
      <c r="GI4307" s="422"/>
    </row>
    <row r="4308" spans="191:191" x14ac:dyDescent="0.2">
      <c r="GI4308" s="422"/>
    </row>
    <row r="4309" spans="191:191" x14ac:dyDescent="0.2">
      <c r="GI4309" s="422"/>
    </row>
    <row r="4310" spans="191:191" x14ac:dyDescent="0.2">
      <c r="GI4310" s="422"/>
    </row>
    <row r="4311" spans="191:191" x14ac:dyDescent="0.2">
      <c r="GI4311" s="422"/>
    </row>
    <row r="4312" spans="191:191" x14ac:dyDescent="0.2">
      <c r="GI4312" s="422"/>
    </row>
    <row r="4313" spans="191:191" x14ac:dyDescent="0.2">
      <c r="GI4313" s="422"/>
    </row>
    <row r="4314" spans="191:191" x14ac:dyDescent="0.2">
      <c r="GI4314" s="422"/>
    </row>
    <row r="4315" spans="191:191" x14ac:dyDescent="0.2">
      <c r="GI4315" s="422"/>
    </row>
    <row r="4316" spans="191:191" x14ac:dyDescent="0.2">
      <c r="GI4316" s="422"/>
    </row>
    <row r="4317" spans="191:191" x14ac:dyDescent="0.2">
      <c r="GI4317" s="422"/>
    </row>
    <row r="4318" spans="191:191" x14ac:dyDescent="0.2">
      <c r="GI4318" s="422"/>
    </row>
    <row r="4319" spans="191:191" x14ac:dyDescent="0.2">
      <c r="GI4319" s="422"/>
    </row>
    <row r="4320" spans="191:191" x14ac:dyDescent="0.2">
      <c r="GI4320" s="422"/>
    </row>
    <row r="4321" spans="191:191" x14ac:dyDescent="0.2">
      <c r="GI4321" s="422"/>
    </row>
    <row r="4322" spans="191:191" x14ac:dyDescent="0.2">
      <c r="GI4322" s="422"/>
    </row>
    <row r="4323" spans="191:191" x14ac:dyDescent="0.2">
      <c r="GI4323" s="422"/>
    </row>
    <row r="4324" spans="191:191" x14ac:dyDescent="0.2">
      <c r="GI4324" s="422"/>
    </row>
    <row r="4325" spans="191:191" x14ac:dyDescent="0.2">
      <c r="GI4325" s="422"/>
    </row>
    <row r="4326" spans="191:191" x14ac:dyDescent="0.2">
      <c r="GI4326" s="422"/>
    </row>
    <row r="4327" spans="191:191" x14ac:dyDescent="0.2">
      <c r="GI4327" s="422"/>
    </row>
    <row r="4328" spans="191:191" x14ac:dyDescent="0.2">
      <c r="GI4328" s="422"/>
    </row>
    <row r="4329" spans="191:191" x14ac:dyDescent="0.2">
      <c r="GI4329" s="422"/>
    </row>
    <row r="4330" spans="191:191" x14ac:dyDescent="0.2">
      <c r="GI4330" s="422"/>
    </row>
    <row r="4331" spans="191:191" x14ac:dyDescent="0.2">
      <c r="GI4331" s="422"/>
    </row>
    <row r="4332" spans="191:191" x14ac:dyDescent="0.2">
      <c r="GI4332" s="422"/>
    </row>
    <row r="4333" spans="191:191" x14ac:dyDescent="0.2">
      <c r="GI4333" s="422"/>
    </row>
    <row r="4334" spans="191:191" x14ac:dyDescent="0.2">
      <c r="GI4334" s="422"/>
    </row>
    <row r="4335" spans="191:191" x14ac:dyDescent="0.2">
      <c r="GI4335" s="422"/>
    </row>
    <row r="4336" spans="191:191" x14ac:dyDescent="0.2">
      <c r="GI4336" s="422"/>
    </row>
    <row r="4337" spans="191:191" x14ac:dyDescent="0.2">
      <c r="GI4337" s="422"/>
    </row>
    <row r="4338" spans="191:191" x14ac:dyDescent="0.2">
      <c r="GI4338" s="422"/>
    </row>
    <row r="4339" spans="191:191" x14ac:dyDescent="0.2">
      <c r="GI4339" s="422"/>
    </row>
    <row r="4340" spans="191:191" x14ac:dyDescent="0.2">
      <c r="GI4340" s="422"/>
    </row>
    <row r="4341" spans="191:191" x14ac:dyDescent="0.2">
      <c r="GI4341" s="422"/>
    </row>
    <row r="4342" spans="191:191" x14ac:dyDescent="0.2">
      <c r="GI4342" s="422"/>
    </row>
    <row r="4343" spans="191:191" x14ac:dyDescent="0.2">
      <c r="GI4343" s="422"/>
    </row>
    <row r="4344" spans="191:191" x14ac:dyDescent="0.2">
      <c r="GI4344" s="422"/>
    </row>
    <row r="4345" spans="191:191" x14ac:dyDescent="0.2">
      <c r="GI4345" s="422"/>
    </row>
    <row r="4346" spans="191:191" x14ac:dyDescent="0.2">
      <c r="GI4346" s="422"/>
    </row>
    <row r="4347" spans="191:191" x14ac:dyDescent="0.2">
      <c r="GI4347" s="422"/>
    </row>
    <row r="4348" spans="191:191" x14ac:dyDescent="0.2">
      <c r="GI4348" s="422"/>
    </row>
    <row r="4349" spans="191:191" x14ac:dyDescent="0.2">
      <c r="GI4349" s="422"/>
    </row>
    <row r="4350" spans="191:191" x14ac:dyDescent="0.2">
      <c r="GI4350" s="422"/>
    </row>
    <row r="4351" spans="191:191" x14ac:dyDescent="0.2">
      <c r="GI4351" s="422"/>
    </row>
    <row r="4352" spans="191:191" x14ac:dyDescent="0.2">
      <c r="GI4352" s="422"/>
    </row>
    <row r="4353" spans="191:191" x14ac:dyDescent="0.2">
      <c r="GI4353" s="422"/>
    </row>
    <row r="4354" spans="191:191" x14ac:dyDescent="0.2">
      <c r="GI4354" s="422"/>
    </row>
    <row r="4355" spans="191:191" x14ac:dyDescent="0.2">
      <c r="GI4355" s="422"/>
    </row>
    <row r="4356" spans="191:191" x14ac:dyDescent="0.2">
      <c r="GI4356" s="422"/>
    </row>
    <row r="4357" spans="191:191" x14ac:dyDescent="0.2">
      <c r="GI4357" s="422"/>
    </row>
    <row r="4358" spans="191:191" x14ac:dyDescent="0.2">
      <c r="GI4358" s="422"/>
    </row>
    <row r="4359" spans="191:191" x14ac:dyDescent="0.2">
      <c r="GI4359" s="422"/>
    </row>
    <row r="4360" spans="191:191" x14ac:dyDescent="0.2">
      <c r="GI4360" s="422"/>
    </row>
    <row r="4361" spans="191:191" x14ac:dyDescent="0.2">
      <c r="GI4361" s="422"/>
    </row>
    <row r="4362" spans="191:191" x14ac:dyDescent="0.2">
      <c r="GI4362" s="422"/>
    </row>
    <row r="4363" spans="191:191" x14ac:dyDescent="0.2">
      <c r="GI4363" s="422"/>
    </row>
    <row r="4364" spans="191:191" x14ac:dyDescent="0.2">
      <c r="GI4364" s="422"/>
    </row>
    <row r="4365" spans="191:191" x14ac:dyDescent="0.2">
      <c r="GI4365" s="422"/>
    </row>
    <row r="4366" spans="191:191" x14ac:dyDescent="0.2">
      <c r="GI4366" s="422"/>
    </row>
    <row r="4367" spans="191:191" x14ac:dyDescent="0.2">
      <c r="GI4367" s="422"/>
    </row>
    <row r="4368" spans="191:191" x14ac:dyDescent="0.2">
      <c r="GI4368" s="422"/>
    </row>
    <row r="4369" spans="191:191" x14ac:dyDescent="0.2">
      <c r="GI4369" s="422"/>
    </row>
    <row r="4370" spans="191:191" x14ac:dyDescent="0.2">
      <c r="GI4370" s="422"/>
    </row>
    <row r="4371" spans="191:191" x14ac:dyDescent="0.2">
      <c r="GI4371" s="422"/>
    </row>
    <row r="4372" spans="191:191" x14ac:dyDescent="0.2">
      <c r="GI4372" s="422"/>
    </row>
    <row r="4373" spans="191:191" x14ac:dyDescent="0.2">
      <c r="GI4373" s="422"/>
    </row>
    <row r="4374" spans="191:191" x14ac:dyDescent="0.2">
      <c r="GI4374" s="422"/>
    </row>
    <row r="4375" spans="191:191" x14ac:dyDescent="0.2">
      <c r="GI4375" s="422"/>
    </row>
    <row r="4376" spans="191:191" x14ac:dyDescent="0.2">
      <c r="GI4376" s="422"/>
    </row>
    <row r="4377" spans="191:191" x14ac:dyDescent="0.2">
      <c r="GI4377" s="422"/>
    </row>
    <row r="4378" spans="191:191" x14ac:dyDescent="0.2">
      <c r="GI4378" s="422"/>
    </row>
    <row r="4379" spans="191:191" x14ac:dyDescent="0.2">
      <c r="GI4379" s="422"/>
    </row>
    <row r="4380" spans="191:191" x14ac:dyDescent="0.2">
      <c r="GI4380" s="422"/>
    </row>
    <row r="4381" spans="191:191" x14ac:dyDescent="0.2">
      <c r="GI4381" s="422"/>
    </row>
    <row r="4382" spans="191:191" x14ac:dyDescent="0.2">
      <c r="GI4382" s="422"/>
    </row>
    <row r="4383" spans="191:191" x14ac:dyDescent="0.2">
      <c r="GI4383" s="422"/>
    </row>
    <row r="4384" spans="191:191" x14ac:dyDescent="0.2">
      <c r="GI4384" s="422"/>
    </row>
    <row r="4385" spans="191:191" x14ac:dyDescent="0.2">
      <c r="GI4385" s="422"/>
    </row>
    <row r="4386" spans="191:191" x14ac:dyDescent="0.2">
      <c r="GI4386" s="422"/>
    </row>
    <row r="4387" spans="191:191" x14ac:dyDescent="0.2">
      <c r="GI4387" s="422"/>
    </row>
    <row r="4388" spans="191:191" x14ac:dyDescent="0.2">
      <c r="GI4388" s="422"/>
    </row>
    <row r="4389" spans="191:191" x14ac:dyDescent="0.2">
      <c r="GI4389" s="422"/>
    </row>
    <row r="4390" spans="191:191" x14ac:dyDescent="0.2">
      <c r="GI4390" s="422"/>
    </row>
    <row r="4391" spans="191:191" x14ac:dyDescent="0.2">
      <c r="GI4391" s="422"/>
    </row>
    <row r="4392" spans="191:191" x14ac:dyDescent="0.2">
      <c r="GI4392" s="422"/>
    </row>
    <row r="4393" spans="191:191" x14ac:dyDescent="0.2">
      <c r="GI4393" s="422"/>
    </row>
    <row r="4394" spans="191:191" x14ac:dyDescent="0.2">
      <c r="GI4394" s="422"/>
    </row>
    <row r="4395" spans="191:191" x14ac:dyDescent="0.2">
      <c r="GI4395" s="422"/>
    </row>
    <row r="4396" spans="191:191" x14ac:dyDescent="0.2">
      <c r="GI4396" s="422"/>
    </row>
    <row r="4397" spans="191:191" x14ac:dyDescent="0.2">
      <c r="GI4397" s="422"/>
    </row>
    <row r="4398" spans="191:191" x14ac:dyDescent="0.2">
      <c r="GI4398" s="422"/>
    </row>
    <row r="4399" spans="191:191" x14ac:dyDescent="0.2">
      <c r="GI4399" s="422"/>
    </row>
    <row r="4400" spans="191:191" x14ac:dyDescent="0.2">
      <c r="GI4400" s="422"/>
    </row>
    <row r="4401" spans="191:191" x14ac:dyDescent="0.2">
      <c r="GI4401" s="422"/>
    </row>
    <row r="4402" spans="191:191" x14ac:dyDescent="0.2">
      <c r="GI4402" s="422"/>
    </row>
    <row r="4403" spans="191:191" x14ac:dyDescent="0.2">
      <c r="GI4403" s="422"/>
    </row>
    <row r="4404" spans="191:191" x14ac:dyDescent="0.2">
      <c r="GI4404" s="422"/>
    </row>
    <row r="4405" spans="191:191" x14ac:dyDescent="0.2">
      <c r="GI4405" s="422"/>
    </row>
    <row r="4406" spans="191:191" x14ac:dyDescent="0.2">
      <c r="GI4406" s="422"/>
    </row>
    <row r="4407" spans="191:191" x14ac:dyDescent="0.2">
      <c r="GI4407" s="422"/>
    </row>
    <row r="4408" spans="191:191" x14ac:dyDescent="0.2">
      <c r="GI4408" s="422"/>
    </row>
    <row r="4409" spans="191:191" x14ac:dyDescent="0.2">
      <c r="GI4409" s="422"/>
    </row>
    <row r="4410" spans="191:191" x14ac:dyDescent="0.2">
      <c r="GI4410" s="422"/>
    </row>
    <row r="4411" spans="191:191" x14ac:dyDescent="0.2">
      <c r="GI4411" s="422"/>
    </row>
    <row r="4412" spans="191:191" x14ac:dyDescent="0.2">
      <c r="GI4412" s="422"/>
    </row>
    <row r="4413" spans="191:191" x14ac:dyDescent="0.2">
      <c r="GI4413" s="422"/>
    </row>
    <row r="4414" spans="191:191" x14ac:dyDescent="0.2">
      <c r="GI4414" s="422"/>
    </row>
    <row r="4415" spans="191:191" x14ac:dyDescent="0.2">
      <c r="GI4415" s="422"/>
    </row>
    <row r="4416" spans="191:191" x14ac:dyDescent="0.2">
      <c r="GI4416" s="422"/>
    </row>
    <row r="4417" spans="191:191" x14ac:dyDescent="0.2">
      <c r="GI4417" s="422"/>
    </row>
    <row r="4418" spans="191:191" x14ac:dyDescent="0.2">
      <c r="GI4418" s="422"/>
    </row>
    <row r="4419" spans="191:191" x14ac:dyDescent="0.2">
      <c r="GI4419" s="422"/>
    </row>
    <row r="4420" spans="191:191" x14ac:dyDescent="0.2">
      <c r="GI4420" s="422"/>
    </row>
    <row r="4421" spans="191:191" x14ac:dyDescent="0.2">
      <c r="GI4421" s="422"/>
    </row>
    <row r="4422" spans="191:191" x14ac:dyDescent="0.2">
      <c r="GI4422" s="422"/>
    </row>
    <row r="4423" spans="191:191" x14ac:dyDescent="0.2">
      <c r="GI4423" s="422"/>
    </row>
    <row r="4424" spans="191:191" x14ac:dyDescent="0.2">
      <c r="GI4424" s="422"/>
    </row>
    <row r="4425" spans="191:191" x14ac:dyDescent="0.2">
      <c r="GI4425" s="422"/>
    </row>
    <row r="4426" spans="191:191" x14ac:dyDescent="0.2">
      <c r="GI4426" s="422"/>
    </row>
    <row r="4427" spans="191:191" x14ac:dyDescent="0.2">
      <c r="GI4427" s="422"/>
    </row>
    <row r="4428" spans="191:191" x14ac:dyDescent="0.2">
      <c r="GI4428" s="422"/>
    </row>
    <row r="4429" spans="191:191" x14ac:dyDescent="0.2">
      <c r="GI4429" s="422"/>
    </row>
    <row r="4430" spans="191:191" x14ac:dyDescent="0.2">
      <c r="GI4430" s="422"/>
    </row>
    <row r="4431" spans="191:191" x14ac:dyDescent="0.2">
      <c r="GI4431" s="422"/>
    </row>
    <row r="4432" spans="191:191" x14ac:dyDescent="0.2">
      <c r="GI4432" s="422"/>
    </row>
    <row r="4433" spans="191:191" x14ac:dyDescent="0.2">
      <c r="GI4433" s="422"/>
    </row>
    <row r="4434" spans="191:191" x14ac:dyDescent="0.2">
      <c r="GI4434" s="422"/>
    </row>
    <row r="4435" spans="191:191" x14ac:dyDescent="0.2">
      <c r="GI4435" s="422"/>
    </row>
    <row r="4436" spans="191:191" x14ac:dyDescent="0.2">
      <c r="GI4436" s="422"/>
    </row>
    <row r="4437" spans="191:191" x14ac:dyDescent="0.2">
      <c r="GI4437" s="422"/>
    </row>
    <row r="4438" spans="191:191" x14ac:dyDescent="0.2">
      <c r="GI4438" s="422"/>
    </row>
    <row r="4439" spans="191:191" x14ac:dyDescent="0.2">
      <c r="GI4439" s="422"/>
    </row>
    <row r="4440" spans="191:191" x14ac:dyDescent="0.2">
      <c r="GI4440" s="422"/>
    </row>
    <row r="4441" spans="191:191" x14ac:dyDescent="0.2">
      <c r="GI4441" s="422"/>
    </row>
    <row r="4442" spans="191:191" x14ac:dyDescent="0.2">
      <c r="GI4442" s="422"/>
    </row>
    <row r="4443" spans="191:191" x14ac:dyDescent="0.2">
      <c r="GI4443" s="422"/>
    </row>
    <row r="4444" spans="191:191" x14ac:dyDescent="0.2">
      <c r="GI4444" s="422"/>
    </row>
    <row r="4445" spans="191:191" x14ac:dyDescent="0.2">
      <c r="GI4445" s="422"/>
    </row>
    <row r="4446" spans="191:191" x14ac:dyDescent="0.2">
      <c r="GI4446" s="422"/>
    </row>
    <row r="4447" spans="191:191" x14ac:dyDescent="0.2">
      <c r="GI4447" s="422"/>
    </row>
    <row r="4448" spans="191:191" x14ac:dyDescent="0.2">
      <c r="GI4448" s="422"/>
    </row>
    <row r="4449" spans="191:191" x14ac:dyDescent="0.2">
      <c r="GI4449" s="422"/>
    </row>
    <row r="4450" spans="191:191" x14ac:dyDescent="0.2">
      <c r="GI4450" s="422"/>
    </row>
    <row r="4451" spans="191:191" x14ac:dyDescent="0.2">
      <c r="GI4451" s="422"/>
    </row>
    <row r="4452" spans="191:191" x14ac:dyDescent="0.2">
      <c r="GI4452" s="422"/>
    </row>
    <row r="4453" spans="191:191" x14ac:dyDescent="0.2">
      <c r="GI4453" s="422"/>
    </row>
    <row r="4454" spans="191:191" x14ac:dyDescent="0.2">
      <c r="GI4454" s="422"/>
    </row>
    <row r="4455" spans="191:191" x14ac:dyDescent="0.2">
      <c r="GI4455" s="422"/>
    </row>
    <row r="4456" spans="191:191" x14ac:dyDescent="0.2">
      <c r="GI4456" s="422"/>
    </row>
    <row r="4457" spans="191:191" x14ac:dyDescent="0.2">
      <c r="GI4457" s="422"/>
    </row>
    <row r="4458" spans="191:191" x14ac:dyDescent="0.2">
      <c r="GI4458" s="422"/>
    </row>
    <row r="4459" spans="191:191" x14ac:dyDescent="0.2">
      <c r="GI4459" s="422"/>
    </row>
    <row r="4460" spans="191:191" x14ac:dyDescent="0.2">
      <c r="GI4460" s="422"/>
    </row>
    <row r="4461" spans="191:191" x14ac:dyDescent="0.2">
      <c r="GI4461" s="422"/>
    </row>
    <row r="4462" spans="191:191" x14ac:dyDescent="0.2">
      <c r="GI4462" s="422"/>
    </row>
    <row r="4463" spans="191:191" x14ac:dyDescent="0.2">
      <c r="GI4463" s="422"/>
    </row>
    <row r="4464" spans="191:191" x14ac:dyDescent="0.2">
      <c r="GI4464" s="422"/>
    </row>
    <row r="4465" spans="191:191" x14ac:dyDescent="0.2">
      <c r="GI4465" s="422"/>
    </row>
    <row r="4466" spans="191:191" x14ac:dyDescent="0.2">
      <c r="GI4466" s="422"/>
    </row>
    <row r="4467" spans="191:191" x14ac:dyDescent="0.2">
      <c r="GI4467" s="422"/>
    </row>
    <row r="4468" spans="191:191" x14ac:dyDescent="0.2">
      <c r="GI4468" s="422"/>
    </row>
    <row r="4469" spans="191:191" x14ac:dyDescent="0.2">
      <c r="GI4469" s="422"/>
    </row>
    <row r="4470" spans="191:191" x14ac:dyDescent="0.2">
      <c r="GI4470" s="422"/>
    </row>
    <row r="4471" spans="191:191" x14ac:dyDescent="0.2">
      <c r="GI4471" s="422"/>
    </row>
    <row r="4472" spans="191:191" x14ac:dyDescent="0.2">
      <c r="GI4472" s="422"/>
    </row>
    <row r="4473" spans="191:191" x14ac:dyDescent="0.2">
      <c r="GI4473" s="422"/>
    </row>
    <row r="4474" spans="191:191" x14ac:dyDescent="0.2">
      <c r="GI4474" s="422"/>
    </row>
    <row r="4475" spans="191:191" x14ac:dyDescent="0.2">
      <c r="GI4475" s="422"/>
    </row>
    <row r="4476" spans="191:191" x14ac:dyDescent="0.2">
      <c r="GI4476" s="422"/>
    </row>
    <row r="4477" spans="191:191" x14ac:dyDescent="0.2">
      <c r="GI4477" s="422"/>
    </row>
    <row r="4478" spans="191:191" x14ac:dyDescent="0.2">
      <c r="GI4478" s="422"/>
    </row>
    <row r="4479" spans="191:191" x14ac:dyDescent="0.2">
      <c r="GI4479" s="422"/>
    </row>
    <row r="4480" spans="191:191" x14ac:dyDescent="0.2">
      <c r="GI4480" s="422"/>
    </row>
    <row r="4481" spans="191:191" x14ac:dyDescent="0.2">
      <c r="GI4481" s="422"/>
    </row>
    <row r="4482" spans="191:191" x14ac:dyDescent="0.2">
      <c r="GI4482" s="422"/>
    </row>
    <row r="4483" spans="191:191" x14ac:dyDescent="0.2">
      <c r="GI4483" s="422"/>
    </row>
    <row r="4484" spans="191:191" x14ac:dyDescent="0.2">
      <c r="GI4484" s="422"/>
    </row>
    <row r="4485" spans="191:191" x14ac:dyDescent="0.2">
      <c r="GI4485" s="422"/>
    </row>
    <row r="4486" spans="191:191" x14ac:dyDescent="0.2">
      <c r="GI4486" s="422"/>
    </row>
    <row r="4487" spans="191:191" x14ac:dyDescent="0.2">
      <c r="GI4487" s="422"/>
    </row>
    <row r="4488" spans="191:191" x14ac:dyDescent="0.2">
      <c r="GI4488" s="422"/>
    </row>
    <row r="4489" spans="191:191" x14ac:dyDescent="0.2">
      <c r="GI4489" s="422"/>
    </row>
    <row r="4490" spans="191:191" x14ac:dyDescent="0.2">
      <c r="GI4490" s="422"/>
    </row>
    <row r="4491" spans="191:191" x14ac:dyDescent="0.2">
      <c r="GI4491" s="422"/>
    </row>
    <row r="4492" spans="191:191" x14ac:dyDescent="0.2">
      <c r="GI4492" s="422"/>
    </row>
    <row r="4493" spans="191:191" x14ac:dyDescent="0.2">
      <c r="GI4493" s="422"/>
    </row>
    <row r="4494" spans="191:191" x14ac:dyDescent="0.2">
      <c r="GI4494" s="422"/>
    </row>
    <row r="4495" spans="191:191" x14ac:dyDescent="0.2">
      <c r="GI4495" s="422"/>
    </row>
    <row r="4496" spans="191:191" x14ac:dyDescent="0.2">
      <c r="GI4496" s="422"/>
    </row>
    <row r="4497" spans="191:191" x14ac:dyDescent="0.2">
      <c r="GI4497" s="422"/>
    </row>
    <row r="4498" spans="191:191" x14ac:dyDescent="0.2">
      <c r="GI4498" s="422"/>
    </row>
    <row r="4499" spans="191:191" x14ac:dyDescent="0.2">
      <c r="GI4499" s="422"/>
    </row>
    <row r="4500" spans="191:191" x14ac:dyDescent="0.2">
      <c r="GI4500" s="422"/>
    </row>
    <row r="4501" spans="191:191" x14ac:dyDescent="0.2">
      <c r="GI4501" s="422"/>
    </row>
    <row r="4502" spans="191:191" x14ac:dyDescent="0.2">
      <c r="GI4502" s="422"/>
    </row>
    <row r="4503" spans="191:191" x14ac:dyDescent="0.2">
      <c r="GI4503" s="422"/>
    </row>
    <row r="4504" spans="191:191" x14ac:dyDescent="0.2">
      <c r="GI4504" s="422"/>
    </row>
    <row r="4505" spans="191:191" x14ac:dyDescent="0.2">
      <c r="GI4505" s="422"/>
    </row>
    <row r="4506" spans="191:191" x14ac:dyDescent="0.2">
      <c r="GI4506" s="422"/>
    </row>
    <row r="4507" spans="191:191" x14ac:dyDescent="0.2">
      <c r="GI4507" s="422"/>
    </row>
    <row r="4508" spans="191:191" x14ac:dyDescent="0.2">
      <c r="GI4508" s="422"/>
    </row>
    <row r="4509" spans="191:191" x14ac:dyDescent="0.2">
      <c r="GI4509" s="422"/>
    </row>
    <row r="4510" spans="191:191" x14ac:dyDescent="0.2">
      <c r="GI4510" s="422"/>
    </row>
    <row r="4511" spans="191:191" x14ac:dyDescent="0.2">
      <c r="GI4511" s="422"/>
    </row>
    <row r="4512" spans="191:191" x14ac:dyDescent="0.2">
      <c r="GI4512" s="422"/>
    </row>
    <row r="4513" spans="191:191" x14ac:dyDescent="0.2">
      <c r="GI4513" s="422"/>
    </row>
    <row r="4514" spans="191:191" x14ac:dyDescent="0.2">
      <c r="GI4514" s="422"/>
    </row>
    <row r="4515" spans="191:191" x14ac:dyDescent="0.2">
      <c r="GI4515" s="422"/>
    </row>
    <row r="4516" spans="191:191" x14ac:dyDescent="0.2">
      <c r="GI4516" s="422"/>
    </row>
    <row r="4517" spans="191:191" x14ac:dyDescent="0.2">
      <c r="GI4517" s="422"/>
    </row>
    <row r="4518" spans="191:191" x14ac:dyDescent="0.2">
      <c r="GI4518" s="422"/>
    </row>
    <row r="4519" spans="191:191" x14ac:dyDescent="0.2">
      <c r="GI4519" s="422"/>
    </row>
    <row r="4520" spans="191:191" x14ac:dyDescent="0.2">
      <c r="GI4520" s="422"/>
    </row>
    <row r="4521" spans="191:191" x14ac:dyDescent="0.2">
      <c r="GI4521" s="422"/>
    </row>
    <row r="4522" spans="191:191" x14ac:dyDescent="0.2">
      <c r="GI4522" s="422"/>
    </row>
    <row r="4523" spans="191:191" x14ac:dyDescent="0.2">
      <c r="GI4523" s="422"/>
    </row>
    <row r="4524" spans="191:191" x14ac:dyDescent="0.2">
      <c r="GI4524" s="422"/>
    </row>
    <row r="4525" spans="191:191" x14ac:dyDescent="0.2">
      <c r="GI4525" s="422"/>
    </row>
    <row r="4526" spans="191:191" x14ac:dyDescent="0.2">
      <c r="GI4526" s="422"/>
    </row>
    <row r="4527" spans="191:191" x14ac:dyDescent="0.2">
      <c r="GI4527" s="422"/>
    </row>
    <row r="4528" spans="191:191" x14ac:dyDescent="0.2">
      <c r="GI4528" s="422"/>
    </row>
    <row r="4529" spans="191:191" x14ac:dyDescent="0.2">
      <c r="GI4529" s="422"/>
    </row>
    <row r="4530" spans="191:191" x14ac:dyDescent="0.2">
      <c r="GI4530" s="422"/>
    </row>
    <row r="4531" spans="191:191" x14ac:dyDescent="0.2">
      <c r="GI4531" s="422"/>
    </row>
    <row r="4532" spans="191:191" x14ac:dyDescent="0.2">
      <c r="GI4532" s="422"/>
    </row>
    <row r="4533" spans="191:191" x14ac:dyDescent="0.2">
      <c r="GI4533" s="422"/>
    </row>
    <row r="4534" spans="191:191" x14ac:dyDescent="0.2">
      <c r="GI4534" s="422"/>
    </row>
    <row r="4535" spans="191:191" x14ac:dyDescent="0.2">
      <c r="GI4535" s="422"/>
    </row>
    <row r="4536" spans="191:191" x14ac:dyDescent="0.2">
      <c r="GI4536" s="422"/>
    </row>
    <row r="4537" spans="191:191" x14ac:dyDescent="0.2">
      <c r="GI4537" s="422"/>
    </row>
    <row r="4538" spans="191:191" x14ac:dyDescent="0.2">
      <c r="GI4538" s="422"/>
    </row>
    <row r="4539" spans="191:191" x14ac:dyDescent="0.2">
      <c r="GI4539" s="422"/>
    </row>
    <row r="4540" spans="191:191" x14ac:dyDescent="0.2">
      <c r="GI4540" s="422"/>
    </row>
    <row r="4541" spans="191:191" x14ac:dyDescent="0.2">
      <c r="GI4541" s="422"/>
    </row>
    <row r="4542" spans="191:191" x14ac:dyDescent="0.2">
      <c r="GI4542" s="422"/>
    </row>
    <row r="4543" spans="191:191" x14ac:dyDescent="0.2">
      <c r="GI4543" s="422"/>
    </row>
    <row r="4544" spans="191:191" x14ac:dyDescent="0.2">
      <c r="GI4544" s="422"/>
    </row>
    <row r="4545" spans="191:191" x14ac:dyDescent="0.2">
      <c r="GI4545" s="422"/>
    </row>
    <row r="4546" spans="191:191" x14ac:dyDescent="0.2">
      <c r="GI4546" s="422"/>
    </row>
    <row r="4547" spans="191:191" x14ac:dyDescent="0.2">
      <c r="GI4547" s="422"/>
    </row>
    <row r="4548" spans="191:191" x14ac:dyDescent="0.2">
      <c r="GI4548" s="422"/>
    </row>
    <row r="4549" spans="191:191" x14ac:dyDescent="0.2">
      <c r="GI4549" s="422"/>
    </row>
    <row r="4550" spans="191:191" x14ac:dyDescent="0.2">
      <c r="GI4550" s="422"/>
    </row>
    <row r="4551" spans="191:191" x14ac:dyDescent="0.2">
      <c r="GI4551" s="422"/>
    </row>
    <row r="4552" spans="191:191" x14ac:dyDescent="0.2">
      <c r="GI4552" s="422"/>
    </row>
    <row r="4553" spans="191:191" x14ac:dyDescent="0.2">
      <c r="GI4553" s="422"/>
    </row>
    <row r="4554" spans="191:191" x14ac:dyDescent="0.2">
      <c r="GI4554" s="422"/>
    </row>
    <row r="4555" spans="191:191" x14ac:dyDescent="0.2">
      <c r="GI4555" s="422"/>
    </row>
    <row r="4556" spans="191:191" x14ac:dyDescent="0.2">
      <c r="GI4556" s="422"/>
    </row>
    <row r="4557" spans="191:191" x14ac:dyDescent="0.2">
      <c r="GI4557" s="422"/>
    </row>
    <row r="4558" spans="191:191" x14ac:dyDescent="0.2">
      <c r="GI4558" s="422"/>
    </row>
    <row r="4559" spans="191:191" x14ac:dyDescent="0.2">
      <c r="GI4559" s="422"/>
    </row>
    <row r="4560" spans="191:191" x14ac:dyDescent="0.2">
      <c r="GI4560" s="422"/>
    </row>
    <row r="4561" spans="191:191" x14ac:dyDescent="0.2">
      <c r="GI4561" s="422"/>
    </row>
    <row r="4562" spans="191:191" x14ac:dyDescent="0.2">
      <c r="GI4562" s="422"/>
    </row>
    <row r="4563" spans="191:191" x14ac:dyDescent="0.2">
      <c r="GI4563" s="422"/>
    </row>
    <row r="4564" spans="191:191" x14ac:dyDescent="0.2">
      <c r="GI4564" s="422"/>
    </row>
    <row r="4565" spans="191:191" x14ac:dyDescent="0.2">
      <c r="GI4565" s="422"/>
    </row>
    <row r="4566" spans="191:191" x14ac:dyDescent="0.2">
      <c r="GI4566" s="422"/>
    </row>
    <row r="4567" spans="191:191" x14ac:dyDescent="0.2">
      <c r="GI4567" s="422"/>
    </row>
    <row r="4568" spans="191:191" x14ac:dyDescent="0.2">
      <c r="GI4568" s="422"/>
    </row>
    <row r="4569" spans="191:191" x14ac:dyDescent="0.2">
      <c r="GI4569" s="422"/>
    </row>
    <row r="4570" spans="191:191" x14ac:dyDescent="0.2">
      <c r="GI4570" s="422"/>
    </row>
    <row r="4571" spans="191:191" x14ac:dyDescent="0.2">
      <c r="GI4571" s="422"/>
    </row>
    <row r="4572" spans="191:191" x14ac:dyDescent="0.2">
      <c r="GI4572" s="422"/>
    </row>
    <row r="4573" spans="191:191" x14ac:dyDescent="0.2">
      <c r="GI4573" s="422"/>
    </row>
    <row r="4574" spans="191:191" x14ac:dyDescent="0.2">
      <c r="GI4574" s="422"/>
    </row>
    <row r="4575" spans="191:191" x14ac:dyDescent="0.2">
      <c r="GI4575" s="422"/>
    </row>
    <row r="4576" spans="191:191" x14ac:dyDescent="0.2">
      <c r="GI4576" s="422"/>
    </row>
    <row r="4577" spans="191:191" x14ac:dyDescent="0.2">
      <c r="GI4577" s="422"/>
    </row>
    <row r="4578" spans="191:191" x14ac:dyDescent="0.2">
      <c r="GI4578" s="422"/>
    </row>
    <row r="4579" spans="191:191" x14ac:dyDescent="0.2">
      <c r="GI4579" s="422"/>
    </row>
    <row r="4580" spans="191:191" x14ac:dyDescent="0.2">
      <c r="GI4580" s="422"/>
    </row>
    <row r="4581" spans="191:191" x14ac:dyDescent="0.2">
      <c r="GI4581" s="422"/>
    </row>
    <row r="4582" spans="191:191" x14ac:dyDescent="0.2">
      <c r="GI4582" s="422"/>
    </row>
    <row r="4583" spans="191:191" x14ac:dyDescent="0.2">
      <c r="GI4583" s="422"/>
    </row>
    <row r="4584" spans="191:191" x14ac:dyDescent="0.2">
      <c r="GI4584" s="422"/>
    </row>
    <row r="4585" spans="191:191" x14ac:dyDescent="0.2">
      <c r="GI4585" s="422"/>
    </row>
    <row r="4586" spans="191:191" x14ac:dyDescent="0.2">
      <c r="GI4586" s="422"/>
    </row>
    <row r="4587" spans="191:191" x14ac:dyDescent="0.2">
      <c r="GI4587" s="422"/>
    </row>
    <row r="4588" spans="191:191" x14ac:dyDescent="0.2">
      <c r="GI4588" s="422"/>
    </row>
    <row r="4589" spans="191:191" x14ac:dyDescent="0.2">
      <c r="GI4589" s="422"/>
    </row>
    <row r="4590" spans="191:191" x14ac:dyDescent="0.2">
      <c r="GI4590" s="422"/>
    </row>
    <row r="4591" spans="191:191" x14ac:dyDescent="0.2">
      <c r="GI4591" s="422"/>
    </row>
    <row r="4592" spans="191:191" x14ac:dyDescent="0.2">
      <c r="GI4592" s="422"/>
    </row>
    <row r="4593" spans="191:191" x14ac:dyDescent="0.2">
      <c r="GI4593" s="422"/>
    </row>
    <row r="4594" spans="191:191" x14ac:dyDescent="0.2">
      <c r="GI4594" s="422"/>
    </row>
    <row r="4595" spans="191:191" x14ac:dyDescent="0.2">
      <c r="GI4595" s="422"/>
    </row>
    <row r="4596" spans="191:191" x14ac:dyDescent="0.2">
      <c r="GI4596" s="422"/>
    </row>
    <row r="4597" spans="191:191" x14ac:dyDescent="0.2">
      <c r="GI4597" s="422"/>
    </row>
    <row r="4598" spans="191:191" x14ac:dyDescent="0.2">
      <c r="GI4598" s="422"/>
    </row>
    <row r="4599" spans="191:191" x14ac:dyDescent="0.2">
      <c r="GI4599" s="422"/>
    </row>
    <row r="4600" spans="191:191" x14ac:dyDescent="0.2">
      <c r="GI4600" s="422"/>
    </row>
    <row r="4601" spans="191:191" x14ac:dyDescent="0.2">
      <c r="GI4601" s="422"/>
    </row>
    <row r="4602" spans="191:191" x14ac:dyDescent="0.2">
      <c r="GI4602" s="422"/>
    </row>
    <row r="4603" spans="191:191" x14ac:dyDescent="0.2">
      <c r="GI4603" s="422"/>
    </row>
    <row r="4604" spans="191:191" x14ac:dyDescent="0.2">
      <c r="GI4604" s="422"/>
    </row>
    <row r="4605" spans="191:191" x14ac:dyDescent="0.2">
      <c r="GI4605" s="422"/>
    </row>
    <row r="4606" spans="191:191" x14ac:dyDescent="0.2">
      <c r="GI4606" s="422"/>
    </row>
    <row r="4607" spans="191:191" x14ac:dyDescent="0.2">
      <c r="GI4607" s="422"/>
    </row>
    <row r="4608" spans="191:191" x14ac:dyDescent="0.2">
      <c r="GI4608" s="422"/>
    </row>
    <row r="4609" spans="191:191" x14ac:dyDescent="0.2">
      <c r="GI4609" s="422"/>
    </row>
    <row r="4610" spans="191:191" x14ac:dyDescent="0.2">
      <c r="GI4610" s="422"/>
    </row>
    <row r="4611" spans="191:191" x14ac:dyDescent="0.2">
      <c r="GI4611" s="422"/>
    </row>
    <row r="4612" spans="191:191" x14ac:dyDescent="0.2">
      <c r="GI4612" s="422"/>
    </row>
    <row r="4613" spans="191:191" x14ac:dyDescent="0.2">
      <c r="GI4613" s="422"/>
    </row>
    <row r="4614" spans="191:191" x14ac:dyDescent="0.2">
      <c r="GI4614" s="422"/>
    </row>
    <row r="4615" spans="191:191" x14ac:dyDescent="0.2">
      <c r="GI4615" s="422"/>
    </row>
    <row r="4616" spans="191:191" x14ac:dyDescent="0.2">
      <c r="GI4616" s="422"/>
    </row>
    <row r="4617" spans="191:191" x14ac:dyDescent="0.2">
      <c r="GI4617" s="422"/>
    </row>
    <row r="4618" spans="191:191" x14ac:dyDescent="0.2">
      <c r="GI4618" s="422"/>
    </row>
    <row r="4619" spans="191:191" x14ac:dyDescent="0.2">
      <c r="GI4619" s="422"/>
    </row>
    <row r="4620" spans="191:191" x14ac:dyDescent="0.2">
      <c r="GI4620" s="422"/>
    </row>
    <row r="4621" spans="191:191" x14ac:dyDescent="0.2">
      <c r="GI4621" s="422"/>
    </row>
    <row r="4622" spans="191:191" x14ac:dyDescent="0.2">
      <c r="GI4622" s="422"/>
    </row>
    <row r="4623" spans="191:191" x14ac:dyDescent="0.2">
      <c r="GI4623" s="422"/>
    </row>
    <row r="4624" spans="191:191" x14ac:dyDescent="0.2">
      <c r="GI4624" s="422"/>
    </row>
    <row r="4625" spans="191:191" x14ac:dyDescent="0.2">
      <c r="GI4625" s="422"/>
    </row>
    <row r="4626" spans="191:191" x14ac:dyDescent="0.2">
      <c r="GI4626" s="422"/>
    </row>
    <row r="4627" spans="191:191" x14ac:dyDescent="0.2">
      <c r="GI4627" s="422"/>
    </row>
    <row r="4628" spans="191:191" x14ac:dyDescent="0.2">
      <c r="GI4628" s="422"/>
    </row>
    <row r="4629" spans="191:191" x14ac:dyDescent="0.2">
      <c r="GI4629" s="422"/>
    </row>
    <row r="4630" spans="191:191" x14ac:dyDescent="0.2">
      <c r="GI4630" s="422"/>
    </row>
    <row r="4631" spans="191:191" x14ac:dyDescent="0.2">
      <c r="GI4631" s="422"/>
    </row>
    <row r="4632" spans="191:191" x14ac:dyDescent="0.2">
      <c r="GI4632" s="422"/>
    </row>
    <row r="4633" spans="191:191" x14ac:dyDescent="0.2">
      <c r="GI4633" s="422"/>
    </row>
    <row r="4634" spans="191:191" x14ac:dyDescent="0.2">
      <c r="GI4634" s="422"/>
    </row>
    <row r="4635" spans="191:191" x14ac:dyDescent="0.2">
      <c r="GI4635" s="422"/>
    </row>
    <row r="4636" spans="191:191" x14ac:dyDescent="0.2">
      <c r="GI4636" s="422"/>
    </row>
    <row r="4637" spans="191:191" x14ac:dyDescent="0.2">
      <c r="GI4637" s="422"/>
    </row>
    <row r="4638" spans="191:191" x14ac:dyDescent="0.2">
      <c r="GI4638" s="422"/>
    </row>
    <row r="4639" spans="191:191" x14ac:dyDescent="0.2">
      <c r="GI4639" s="422"/>
    </row>
    <row r="4640" spans="191:191" x14ac:dyDescent="0.2">
      <c r="GI4640" s="422"/>
    </row>
    <row r="4641" spans="191:191" x14ac:dyDescent="0.2">
      <c r="GI4641" s="422"/>
    </row>
    <row r="4642" spans="191:191" x14ac:dyDescent="0.2">
      <c r="GI4642" s="422"/>
    </row>
    <row r="4643" spans="191:191" x14ac:dyDescent="0.2">
      <c r="GI4643" s="422"/>
    </row>
    <row r="4644" spans="191:191" x14ac:dyDescent="0.2">
      <c r="GI4644" s="422"/>
    </row>
    <row r="4645" spans="191:191" x14ac:dyDescent="0.2">
      <c r="GI4645" s="422"/>
    </row>
    <row r="4646" spans="191:191" x14ac:dyDescent="0.2">
      <c r="GI4646" s="422"/>
    </row>
    <row r="4647" spans="191:191" x14ac:dyDescent="0.2">
      <c r="GI4647" s="422"/>
    </row>
    <row r="4648" spans="191:191" x14ac:dyDescent="0.2">
      <c r="GI4648" s="422"/>
    </row>
    <row r="4649" spans="191:191" x14ac:dyDescent="0.2">
      <c r="GI4649" s="422"/>
    </row>
    <row r="4650" spans="191:191" x14ac:dyDescent="0.2">
      <c r="GI4650" s="422"/>
    </row>
    <row r="4651" spans="191:191" x14ac:dyDescent="0.2">
      <c r="GI4651" s="422"/>
    </row>
    <row r="4652" spans="191:191" x14ac:dyDescent="0.2">
      <c r="GI4652" s="422"/>
    </row>
    <row r="4653" spans="191:191" x14ac:dyDescent="0.2">
      <c r="GI4653" s="422"/>
    </row>
    <row r="4654" spans="191:191" x14ac:dyDescent="0.2">
      <c r="GI4654" s="422"/>
    </row>
    <row r="4655" spans="191:191" x14ac:dyDescent="0.2">
      <c r="GI4655" s="422"/>
    </row>
    <row r="4656" spans="191:191" x14ac:dyDescent="0.2">
      <c r="GI4656" s="422"/>
    </row>
    <row r="4657" spans="191:191" x14ac:dyDescent="0.2">
      <c r="GI4657" s="422"/>
    </row>
    <row r="4658" spans="191:191" x14ac:dyDescent="0.2">
      <c r="GI4658" s="422"/>
    </row>
    <row r="4659" spans="191:191" x14ac:dyDescent="0.2">
      <c r="GI4659" s="422"/>
    </row>
    <row r="4660" spans="191:191" x14ac:dyDescent="0.2">
      <c r="GI4660" s="422"/>
    </row>
    <row r="4661" spans="191:191" x14ac:dyDescent="0.2">
      <c r="GI4661" s="422"/>
    </row>
    <row r="4662" spans="191:191" x14ac:dyDescent="0.2">
      <c r="GI4662" s="422"/>
    </row>
    <row r="4663" spans="191:191" x14ac:dyDescent="0.2">
      <c r="GI4663" s="422"/>
    </row>
    <row r="4664" spans="191:191" x14ac:dyDescent="0.2">
      <c r="GI4664" s="422"/>
    </row>
    <row r="4665" spans="191:191" x14ac:dyDescent="0.2">
      <c r="GI4665" s="422"/>
    </row>
    <row r="4666" spans="191:191" x14ac:dyDescent="0.2">
      <c r="GI4666" s="422"/>
    </row>
    <row r="4667" spans="191:191" x14ac:dyDescent="0.2">
      <c r="GI4667" s="422"/>
    </row>
    <row r="4668" spans="191:191" x14ac:dyDescent="0.2">
      <c r="GI4668" s="422"/>
    </row>
    <row r="4669" spans="191:191" x14ac:dyDescent="0.2">
      <c r="GI4669" s="422"/>
    </row>
    <row r="4670" spans="191:191" x14ac:dyDescent="0.2">
      <c r="GI4670" s="422"/>
    </row>
    <row r="4671" spans="191:191" x14ac:dyDescent="0.2">
      <c r="GI4671" s="422"/>
    </row>
    <row r="4672" spans="191:191" x14ac:dyDescent="0.2">
      <c r="GI4672" s="422"/>
    </row>
    <row r="4673" spans="191:191" x14ac:dyDescent="0.2">
      <c r="GI4673" s="422"/>
    </row>
    <row r="4674" spans="191:191" x14ac:dyDescent="0.2">
      <c r="GI4674" s="422"/>
    </row>
    <row r="4675" spans="191:191" x14ac:dyDescent="0.2">
      <c r="GI4675" s="422"/>
    </row>
    <row r="4676" spans="191:191" x14ac:dyDescent="0.2">
      <c r="GI4676" s="422"/>
    </row>
    <row r="4677" spans="191:191" x14ac:dyDescent="0.2">
      <c r="GI4677" s="422"/>
    </row>
    <row r="4678" spans="191:191" x14ac:dyDescent="0.2">
      <c r="GI4678" s="422"/>
    </row>
    <row r="4679" spans="191:191" x14ac:dyDescent="0.2">
      <c r="GI4679" s="422"/>
    </row>
    <row r="4680" spans="191:191" x14ac:dyDescent="0.2">
      <c r="GI4680" s="422"/>
    </row>
    <row r="4681" spans="191:191" x14ac:dyDescent="0.2">
      <c r="GI4681" s="422"/>
    </row>
    <row r="4682" spans="191:191" x14ac:dyDescent="0.2">
      <c r="GI4682" s="422"/>
    </row>
    <row r="4683" spans="191:191" x14ac:dyDescent="0.2">
      <c r="GI4683" s="422"/>
    </row>
    <row r="4684" spans="191:191" x14ac:dyDescent="0.2">
      <c r="GI4684" s="422"/>
    </row>
    <row r="4685" spans="191:191" x14ac:dyDescent="0.2">
      <c r="GI4685" s="422"/>
    </row>
    <row r="4686" spans="191:191" x14ac:dyDescent="0.2">
      <c r="GI4686" s="422"/>
    </row>
    <row r="4687" spans="191:191" x14ac:dyDescent="0.2">
      <c r="GI4687" s="422"/>
    </row>
    <row r="4688" spans="191:191" x14ac:dyDescent="0.2">
      <c r="GI4688" s="422"/>
    </row>
    <row r="4689" spans="191:191" x14ac:dyDescent="0.2">
      <c r="GI4689" s="422"/>
    </row>
    <row r="4690" spans="191:191" x14ac:dyDescent="0.2">
      <c r="GI4690" s="422"/>
    </row>
    <row r="4691" spans="191:191" x14ac:dyDescent="0.2">
      <c r="GI4691" s="422"/>
    </row>
    <row r="4692" spans="191:191" x14ac:dyDescent="0.2">
      <c r="GI4692" s="422"/>
    </row>
    <row r="4693" spans="191:191" x14ac:dyDescent="0.2">
      <c r="GI4693" s="422"/>
    </row>
    <row r="4694" spans="191:191" x14ac:dyDescent="0.2">
      <c r="GI4694" s="422"/>
    </row>
    <row r="4695" spans="191:191" x14ac:dyDescent="0.2">
      <c r="GI4695" s="422"/>
    </row>
    <row r="4696" spans="191:191" x14ac:dyDescent="0.2">
      <c r="GI4696" s="422"/>
    </row>
    <row r="4697" spans="191:191" x14ac:dyDescent="0.2">
      <c r="GI4697" s="422"/>
    </row>
    <row r="4698" spans="191:191" x14ac:dyDescent="0.2">
      <c r="GI4698" s="422"/>
    </row>
    <row r="4699" spans="191:191" x14ac:dyDescent="0.2">
      <c r="GI4699" s="422"/>
    </row>
    <row r="4700" spans="191:191" x14ac:dyDescent="0.2">
      <c r="GI4700" s="422"/>
    </row>
    <row r="4701" spans="191:191" x14ac:dyDescent="0.2">
      <c r="GI4701" s="422"/>
    </row>
    <row r="4702" spans="191:191" x14ac:dyDescent="0.2">
      <c r="GI4702" s="422"/>
    </row>
    <row r="4703" spans="191:191" x14ac:dyDescent="0.2">
      <c r="GI4703" s="422"/>
    </row>
    <row r="4704" spans="191:191" x14ac:dyDescent="0.2">
      <c r="GI4704" s="422"/>
    </row>
    <row r="4705" spans="191:191" x14ac:dyDescent="0.2">
      <c r="GI4705" s="422"/>
    </row>
    <row r="4706" spans="191:191" x14ac:dyDescent="0.2">
      <c r="GI4706" s="422"/>
    </row>
    <row r="4707" spans="191:191" x14ac:dyDescent="0.2">
      <c r="GI4707" s="422"/>
    </row>
    <row r="4708" spans="191:191" x14ac:dyDescent="0.2">
      <c r="GI4708" s="422"/>
    </row>
    <row r="4709" spans="191:191" x14ac:dyDescent="0.2">
      <c r="GI4709" s="422"/>
    </row>
    <row r="4710" spans="191:191" x14ac:dyDescent="0.2">
      <c r="GI4710" s="422"/>
    </row>
    <row r="4711" spans="191:191" x14ac:dyDescent="0.2">
      <c r="GI4711" s="422"/>
    </row>
    <row r="4712" spans="191:191" x14ac:dyDescent="0.2">
      <c r="GI4712" s="422"/>
    </row>
    <row r="4713" spans="191:191" x14ac:dyDescent="0.2">
      <c r="GI4713" s="422"/>
    </row>
    <row r="4714" spans="191:191" x14ac:dyDescent="0.2">
      <c r="GI4714" s="422"/>
    </row>
    <row r="4715" spans="191:191" x14ac:dyDescent="0.2">
      <c r="GI4715" s="422"/>
    </row>
    <row r="4716" spans="191:191" x14ac:dyDescent="0.2">
      <c r="GI4716" s="422"/>
    </row>
    <row r="4717" spans="191:191" x14ac:dyDescent="0.2">
      <c r="GI4717" s="422"/>
    </row>
    <row r="4718" spans="191:191" x14ac:dyDescent="0.2">
      <c r="GI4718" s="422"/>
    </row>
    <row r="4719" spans="191:191" x14ac:dyDescent="0.2">
      <c r="GI4719" s="422"/>
    </row>
    <row r="4720" spans="191:191" x14ac:dyDescent="0.2">
      <c r="GI4720" s="422"/>
    </row>
    <row r="4721" spans="191:191" x14ac:dyDescent="0.2">
      <c r="GI4721" s="422"/>
    </row>
    <row r="4722" spans="191:191" x14ac:dyDescent="0.2">
      <c r="GI4722" s="422"/>
    </row>
    <row r="4723" spans="191:191" x14ac:dyDescent="0.2">
      <c r="GI4723" s="422"/>
    </row>
    <row r="4724" spans="191:191" x14ac:dyDescent="0.2">
      <c r="GI4724" s="422"/>
    </row>
    <row r="4725" spans="191:191" x14ac:dyDescent="0.2">
      <c r="GI4725" s="422"/>
    </row>
    <row r="4726" spans="191:191" x14ac:dyDescent="0.2">
      <c r="GI4726" s="422"/>
    </row>
    <row r="4727" spans="191:191" x14ac:dyDescent="0.2">
      <c r="GI4727" s="422"/>
    </row>
    <row r="4728" spans="191:191" x14ac:dyDescent="0.2">
      <c r="GI4728" s="422"/>
    </row>
    <row r="4729" spans="191:191" x14ac:dyDescent="0.2">
      <c r="GI4729" s="422"/>
    </row>
    <row r="4730" spans="191:191" x14ac:dyDescent="0.2">
      <c r="GI4730" s="422"/>
    </row>
    <row r="4731" spans="191:191" x14ac:dyDescent="0.2">
      <c r="GI4731" s="422"/>
    </row>
    <row r="4732" spans="191:191" x14ac:dyDescent="0.2">
      <c r="GI4732" s="422"/>
    </row>
    <row r="4733" spans="191:191" x14ac:dyDescent="0.2">
      <c r="GI4733" s="422"/>
    </row>
    <row r="4734" spans="191:191" x14ac:dyDescent="0.2">
      <c r="GI4734" s="422"/>
    </row>
    <row r="4735" spans="191:191" x14ac:dyDescent="0.2">
      <c r="GI4735" s="422"/>
    </row>
    <row r="4736" spans="191:191" x14ac:dyDescent="0.2">
      <c r="GI4736" s="422"/>
    </row>
    <row r="4737" spans="191:191" x14ac:dyDescent="0.2">
      <c r="GI4737" s="422"/>
    </row>
    <row r="4738" spans="191:191" x14ac:dyDescent="0.2">
      <c r="GI4738" s="422"/>
    </row>
    <row r="4739" spans="191:191" x14ac:dyDescent="0.2">
      <c r="GI4739" s="422"/>
    </row>
    <row r="4740" spans="191:191" x14ac:dyDescent="0.2">
      <c r="GI4740" s="422"/>
    </row>
    <row r="4741" spans="191:191" x14ac:dyDescent="0.2">
      <c r="GI4741" s="422"/>
    </row>
    <row r="4742" spans="191:191" x14ac:dyDescent="0.2">
      <c r="GI4742" s="422"/>
    </row>
    <row r="4743" spans="191:191" x14ac:dyDescent="0.2">
      <c r="GI4743" s="422"/>
    </row>
    <row r="4744" spans="191:191" x14ac:dyDescent="0.2">
      <c r="GI4744" s="422"/>
    </row>
    <row r="4745" spans="191:191" x14ac:dyDescent="0.2">
      <c r="GI4745" s="422"/>
    </row>
    <row r="4746" spans="191:191" x14ac:dyDescent="0.2">
      <c r="GI4746" s="422"/>
    </row>
    <row r="4747" spans="191:191" x14ac:dyDescent="0.2">
      <c r="GI4747" s="422"/>
    </row>
    <row r="4748" spans="191:191" x14ac:dyDescent="0.2">
      <c r="GI4748" s="422"/>
    </row>
    <row r="4749" spans="191:191" x14ac:dyDescent="0.2">
      <c r="GI4749" s="422"/>
    </row>
    <row r="4750" spans="191:191" x14ac:dyDescent="0.2">
      <c r="GI4750" s="422"/>
    </row>
    <row r="4751" spans="191:191" x14ac:dyDescent="0.2">
      <c r="GI4751" s="422"/>
    </row>
    <row r="4752" spans="191:191" x14ac:dyDescent="0.2">
      <c r="GI4752" s="422"/>
    </row>
    <row r="4753" spans="191:191" x14ac:dyDescent="0.2">
      <c r="GI4753" s="422"/>
    </row>
    <row r="4754" spans="191:191" x14ac:dyDescent="0.2">
      <c r="GI4754" s="422"/>
    </row>
    <row r="4755" spans="191:191" x14ac:dyDescent="0.2">
      <c r="GI4755" s="422"/>
    </row>
    <row r="4756" spans="191:191" x14ac:dyDescent="0.2">
      <c r="GI4756" s="422"/>
    </row>
    <row r="4757" spans="191:191" x14ac:dyDescent="0.2">
      <c r="GI4757" s="422"/>
    </row>
    <row r="4758" spans="191:191" x14ac:dyDescent="0.2">
      <c r="GI4758" s="422"/>
    </row>
    <row r="4759" spans="191:191" x14ac:dyDescent="0.2">
      <c r="GI4759" s="422"/>
    </row>
    <row r="4760" spans="191:191" x14ac:dyDescent="0.2">
      <c r="GI4760" s="422"/>
    </row>
    <row r="4761" spans="191:191" x14ac:dyDescent="0.2">
      <c r="GI4761" s="422"/>
    </row>
    <row r="4762" spans="191:191" x14ac:dyDescent="0.2">
      <c r="GI4762" s="422"/>
    </row>
    <row r="4763" spans="191:191" x14ac:dyDescent="0.2">
      <c r="GI4763" s="422"/>
    </row>
    <row r="4764" spans="191:191" x14ac:dyDescent="0.2">
      <c r="GI4764" s="422"/>
    </row>
    <row r="4765" spans="191:191" x14ac:dyDescent="0.2">
      <c r="GI4765" s="422"/>
    </row>
    <row r="4766" spans="191:191" x14ac:dyDescent="0.2">
      <c r="GI4766" s="422"/>
    </row>
    <row r="4767" spans="191:191" x14ac:dyDescent="0.2">
      <c r="GI4767" s="422"/>
    </row>
    <row r="4768" spans="191:191" x14ac:dyDescent="0.2">
      <c r="GI4768" s="422"/>
    </row>
    <row r="4769" spans="191:191" x14ac:dyDescent="0.2">
      <c r="GI4769" s="422"/>
    </row>
    <row r="4770" spans="191:191" x14ac:dyDescent="0.2">
      <c r="GI4770" s="422"/>
    </row>
    <row r="4771" spans="191:191" x14ac:dyDescent="0.2">
      <c r="GI4771" s="422"/>
    </row>
    <row r="4772" spans="191:191" x14ac:dyDescent="0.2">
      <c r="GI4772" s="422"/>
    </row>
    <row r="4773" spans="191:191" x14ac:dyDescent="0.2">
      <c r="GI4773" s="422"/>
    </row>
    <row r="4774" spans="191:191" x14ac:dyDescent="0.2">
      <c r="GI4774" s="422"/>
    </row>
    <row r="4775" spans="191:191" x14ac:dyDescent="0.2">
      <c r="GI4775" s="422"/>
    </row>
    <row r="4776" spans="191:191" x14ac:dyDescent="0.2">
      <c r="GI4776" s="422"/>
    </row>
    <row r="4777" spans="191:191" x14ac:dyDescent="0.2">
      <c r="GI4777" s="422"/>
    </row>
    <row r="4778" spans="191:191" x14ac:dyDescent="0.2">
      <c r="GI4778" s="422"/>
    </row>
    <row r="4779" spans="191:191" x14ac:dyDescent="0.2">
      <c r="GI4779" s="422"/>
    </row>
    <row r="4780" spans="191:191" x14ac:dyDescent="0.2">
      <c r="GI4780" s="422"/>
    </row>
    <row r="4781" spans="191:191" x14ac:dyDescent="0.2">
      <c r="GI4781" s="422"/>
    </row>
    <row r="4782" spans="191:191" x14ac:dyDescent="0.2">
      <c r="GI4782" s="422"/>
    </row>
    <row r="4783" spans="191:191" x14ac:dyDescent="0.2">
      <c r="GI4783" s="422"/>
    </row>
    <row r="4784" spans="191:191" x14ac:dyDescent="0.2">
      <c r="GI4784" s="422"/>
    </row>
    <row r="4785" spans="191:191" x14ac:dyDescent="0.2">
      <c r="GI4785" s="422"/>
    </row>
    <row r="4786" spans="191:191" x14ac:dyDescent="0.2">
      <c r="GI4786" s="422"/>
    </row>
    <row r="4787" spans="191:191" x14ac:dyDescent="0.2">
      <c r="GI4787" s="422"/>
    </row>
    <row r="4788" spans="191:191" x14ac:dyDescent="0.2">
      <c r="GI4788" s="422"/>
    </row>
    <row r="4789" spans="191:191" x14ac:dyDescent="0.2">
      <c r="GI4789" s="422"/>
    </row>
    <row r="4790" spans="191:191" x14ac:dyDescent="0.2">
      <c r="GI4790" s="422"/>
    </row>
    <row r="4791" spans="191:191" x14ac:dyDescent="0.2">
      <c r="GI4791" s="422"/>
    </row>
    <row r="4792" spans="191:191" x14ac:dyDescent="0.2">
      <c r="GI4792" s="422"/>
    </row>
    <row r="4793" spans="191:191" x14ac:dyDescent="0.2">
      <c r="GI4793" s="422"/>
    </row>
    <row r="4794" spans="191:191" x14ac:dyDescent="0.2">
      <c r="GI4794" s="422"/>
    </row>
    <row r="4795" spans="191:191" x14ac:dyDescent="0.2">
      <c r="GI4795" s="422"/>
    </row>
    <row r="4796" spans="191:191" x14ac:dyDescent="0.2">
      <c r="GI4796" s="422"/>
    </row>
    <row r="4797" spans="191:191" x14ac:dyDescent="0.2">
      <c r="GI4797" s="422"/>
    </row>
    <row r="4798" spans="191:191" x14ac:dyDescent="0.2">
      <c r="GI4798" s="422"/>
    </row>
    <row r="4799" spans="191:191" x14ac:dyDescent="0.2">
      <c r="GI4799" s="422"/>
    </row>
    <row r="4800" spans="191:191" x14ac:dyDescent="0.2">
      <c r="GI4800" s="422"/>
    </row>
    <row r="4801" spans="191:191" x14ac:dyDescent="0.2">
      <c r="GI4801" s="422"/>
    </row>
    <row r="4802" spans="191:191" x14ac:dyDescent="0.2">
      <c r="GI4802" s="422"/>
    </row>
    <row r="4803" spans="191:191" x14ac:dyDescent="0.2">
      <c r="GI4803" s="422"/>
    </row>
    <row r="4804" spans="191:191" x14ac:dyDescent="0.2">
      <c r="GI4804" s="422"/>
    </row>
    <row r="4805" spans="191:191" x14ac:dyDescent="0.2">
      <c r="GI4805" s="422"/>
    </row>
    <row r="4806" spans="191:191" x14ac:dyDescent="0.2">
      <c r="GI4806" s="422"/>
    </row>
    <row r="4807" spans="191:191" x14ac:dyDescent="0.2">
      <c r="GI4807" s="422"/>
    </row>
    <row r="4808" spans="191:191" x14ac:dyDescent="0.2">
      <c r="GI4808" s="422"/>
    </row>
    <row r="4809" spans="191:191" x14ac:dyDescent="0.2">
      <c r="GI4809" s="422"/>
    </row>
    <row r="4810" spans="191:191" x14ac:dyDescent="0.2">
      <c r="GI4810" s="422"/>
    </row>
    <row r="4811" spans="191:191" x14ac:dyDescent="0.2">
      <c r="GI4811" s="422"/>
    </row>
    <row r="4812" spans="191:191" x14ac:dyDescent="0.2">
      <c r="GI4812" s="422"/>
    </row>
    <row r="4813" spans="191:191" x14ac:dyDescent="0.2">
      <c r="GI4813" s="422"/>
    </row>
    <row r="4814" spans="191:191" x14ac:dyDescent="0.2">
      <c r="GI4814" s="422"/>
    </row>
    <row r="4815" spans="191:191" x14ac:dyDescent="0.2">
      <c r="GI4815" s="422"/>
    </row>
    <row r="4816" spans="191:191" x14ac:dyDescent="0.2">
      <c r="GI4816" s="422"/>
    </row>
    <row r="4817" spans="191:191" x14ac:dyDescent="0.2">
      <c r="GI4817" s="422"/>
    </row>
    <row r="4818" spans="191:191" x14ac:dyDescent="0.2">
      <c r="GI4818" s="422"/>
    </row>
    <row r="4819" spans="191:191" x14ac:dyDescent="0.2">
      <c r="GI4819" s="422"/>
    </row>
    <row r="4820" spans="191:191" x14ac:dyDescent="0.2">
      <c r="GI4820" s="422"/>
    </row>
    <row r="4821" spans="191:191" x14ac:dyDescent="0.2">
      <c r="GI4821" s="422"/>
    </row>
    <row r="4822" spans="191:191" x14ac:dyDescent="0.2">
      <c r="GI4822" s="422"/>
    </row>
    <row r="4823" spans="191:191" x14ac:dyDescent="0.2">
      <c r="GI4823" s="422"/>
    </row>
    <row r="4824" spans="191:191" x14ac:dyDescent="0.2">
      <c r="GI4824" s="422"/>
    </row>
    <row r="4825" spans="191:191" x14ac:dyDescent="0.2">
      <c r="GI4825" s="422"/>
    </row>
    <row r="4826" spans="191:191" x14ac:dyDescent="0.2">
      <c r="GI4826" s="422"/>
    </row>
    <row r="4827" spans="191:191" x14ac:dyDescent="0.2">
      <c r="GI4827" s="422"/>
    </row>
    <row r="4828" spans="191:191" x14ac:dyDescent="0.2">
      <c r="GI4828" s="422"/>
    </row>
    <row r="4829" spans="191:191" x14ac:dyDescent="0.2">
      <c r="GI4829" s="422"/>
    </row>
    <row r="4830" spans="191:191" x14ac:dyDescent="0.2">
      <c r="GI4830" s="422"/>
    </row>
    <row r="4831" spans="191:191" x14ac:dyDescent="0.2">
      <c r="GI4831" s="422"/>
    </row>
    <row r="4832" spans="191:191" x14ac:dyDescent="0.2">
      <c r="GI4832" s="422"/>
    </row>
    <row r="4833" spans="191:191" x14ac:dyDescent="0.2">
      <c r="GI4833" s="422"/>
    </row>
    <row r="4834" spans="191:191" x14ac:dyDescent="0.2">
      <c r="GI4834" s="422"/>
    </row>
    <row r="4835" spans="191:191" x14ac:dyDescent="0.2">
      <c r="GI4835" s="422"/>
    </row>
    <row r="4836" spans="191:191" x14ac:dyDescent="0.2">
      <c r="GI4836" s="422"/>
    </row>
    <row r="4837" spans="191:191" x14ac:dyDescent="0.2">
      <c r="GI4837" s="422"/>
    </row>
    <row r="4838" spans="191:191" x14ac:dyDescent="0.2">
      <c r="GI4838" s="422"/>
    </row>
    <row r="4839" spans="191:191" x14ac:dyDescent="0.2">
      <c r="GI4839" s="422"/>
    </row>
    <row r="4840" spans="191:191" x14ac:dyDescent="0.2">
      <c r="GI4840" s="422"/>
    </row>
    <row r="4841" spans="191:191" x14ac:dyDescent="0.2">
      <c r="GI4841" s="422"/>
    </row>
    <row r="4842" spans="191:191" x14ac:dyDescent="0.2">
      <c r="GI4842" s="422"/>
    </row>
    <row r="4843" spans="191:191" x14ac:dyDescent="0.2">
      <c r="GI4843" s="422"/>
    </row>
    <row r="4844" spans="191:191" x14ac:dyDescent="0.2">
      <c r="GI4844" s="422"/>
    </row>
    <row r="4845" spans="191:191" x14ac:dyDescent="0.2">
      <c r="GI4845" s="422"/>
    </row>
    <row r="4846" spans="191:191" x14ac:dyDescent="0.2">
      <c r="GI4846" s="422"/>
    </row>
    <row r="4847" spans="191:191" x14ac:dyDescent="0.2">
      <c r="GI4847" s="422"/>
    </row>
    <row r="4848" spans="191:191" x14ac:dyDescent="0.2">
      <c r="GI4848" s="422"/>
    </row>
    <row r="4849" spans="191:191" x14ac:dyDescent="0.2">
      <c r="GI4849" s="422"/>
    </row>
    <row r="4850" spans="191:191" x14ac:dyDescent="0.2">
      <c r="GI4850" s="422"/>
    </row>
    <row r="4851" spans="191:191" x14ac:dyDescent="0.2">
      <c r="GI4851" s="422"/>
    </row>
    <row r="4852" spans="191:191" x14ac:dyDescent="0.2">
      <c r="GI4852" s="422"/>
    </row>
    <row r="4853" spans="191:191" x14ac:dyDescent="0.2">
      <c r="GI4853" s="422"/>
    </row>
    <row r="4854" spans="191:191" x14ac:dyDescent="0.2">
      <c r="GI4854" s="422"/>
    </row>
    <row r="4855" spans="191:191" x14ac:dyDescent="0.2">
      <c r="GI4855" s="422"/>
    </row>
    <row r="4856" spans="191:191" x14ac:dyDescent="0.2">
      <c r="GI4856" s="422"/>
    </row>
    <row r="4857" spans="191:191" x14ac:dyDescent="0.2">
      <c r="GI4857" s="422"/>
    </row>
    <row r="4858" spans="191:191" x14ac:dyDescent="0.2">
      <c r="GI4858" s="422"/>
    </row>
    <row r="4859" spans="191:191" x14ac:dyDescent="0.2">
      <c r="GI4859" s="422"/>
    </row>
    <row r="4860" spans="191:191" x14ac:dyDescent="0.2">
      <c r="GI4860" s="422"/>
    </row>
    <row r="4861" spans="191:191" x14ac:dyDescent="0.2">
      <c r="GI4861" s="422"/>
    </row>
    <row r="4862" spans="191:191" x14ac:dyDescent="0.2">
      <c r="GI4862" s="422"/>
    </row>
    <row r="4863" spans="191:191" x14ac:dyDescent="0.2">
      <c r="GI4863" s="422"/>
    </row>
    <row r="4864" spans="191:191" x14ac:dyDescent="0.2">
      <c r="GI4864" s="422"/>
    </row>
    <row r="4865" spans="191:191" x14ac:dyDescent="0.2">
      <c r="GI4865" s="422"/>
    </row>
    <row r="4866" spans="191:191" x14ac:dyDescent="0.2">
      <c r="GI4866" s="422"/>
    </row>
    <row r="4867" spans="191:191" x14ac:dyDescent="0.2">
      <c r="GI4867" s="422"/>
    </row>
    <row r="4868" spans="191:191" x14ac:dyDescent="0.2">
      <c r="GI4868" s="422"/>
    </row>
    <row r="4869" spans="191:191" x14ac:dyDescent="0.2">
      <c r="GI4869" s="422"/>
    </row>
    <row r="4870" spans="191:191" x14ac:dyDescent="0.2">
      <c r="GI4870" s="422"/>
    </row>
    <row r="4871" spans="191:191" x14ac:dyDescent="0.2">
      <c r="GI4871" s="422"/>
    </row>
    <row r="4872" spans="191:191" x14ac:dyDescent="0.2">
      <c r="GI4872" s="422"/>
    </row>
    <row r="4873" spans="191:191" x14ac:dyDescent="0.2">
      <c r="GI4873" s="422"/>
    </row>
    <row r="4874" spans="191:191" x14ac:dyDescent="0.2">
      <c r="GI4874" s="422"/>
    </row>
    <row r="4875" spans="191:191" x14ac:dyDescent="0.2">
      <c r="GI4875" s="422"/>
    </row>
    <row r="4876" spans="191:191" x14ac:dyDescent="0.2">
      <c r="GI4876" s="422"/>
    </row>
    <row r="4877" spans="191:191" x14ac:dyDescent="0.2">
      <c r="GI4877" s="422"/>
    </row>
    <row r="4878" spans="191:191" x14ac:dyDescent="0.2">
      <c r="GI4878" s="422"/>
    </row>
    <row r="4879" spans="191:191" x14ac:dyDescent="0.2">
      <c r="GI4879" s="422"/>
    </row>
    <row r="4880" spans="191:191" x14ac:dyDescent="0.2">
      <c r="GI4880" s="422"/>
    </row>
    <row r="4881" spans="191:191" x14ac:dyDescent="0.2">
      <c r="GI4881" s="422"/>
    </row>
    <row r="4882" spans="191:191" x14ac:dyDescent="0.2">
      <c r="GI4882" s="422"/>
    </row>
    <row r="4883" spans="191:191" x14ac:dyDescent="0.2">
      <c r="GI4883" s="422"/>
    </row>
    <row r="4884" spans="191:191" x14ac:dyDescent="0.2">
      <c r="GI4884" s="422"/>
    </row>
    <row r="4885" spans="191:191" x14ac:dyDescent="0.2">
      <c r="GI4885" s="422"/>
    </row>
    <row r="4886" spans="191:191" x14ac:dyDescent="0.2">
      <c r="GI4886" s="422"/>
    </row>
    <row r="4887" spans="191:191" x14ac:dyDescent="0.2">
      <c r="GI4887" s="422"/>
    </row>
    <row r="4888" spans="191:191" x14ac:dyDescent="0.2">
      <c r="GI4888" s="422"/>
    </row>
    <row r="4889" spans="191:191" x14ac:dyDescent="0.2">
      <c r="GI4889" s="422"/>
    </row>
    <row r="4890" spans="191:191" x14ac:dyDescent="0.2">
      <c r="GI4890" s="422"/>
    </row>
    <row r="4891" spans="191:191" x14ac:dyDescent="0.2">
      <c r="GI4891" s="422"/>
    </row>
    <row r="4892" spans="191:191" x14ac:dyDescent="0.2">
      <c r="GI4892" s="422"/>
    </row>
    <row r="4893" spans="191:191" x14ac:dyDescent="0.2">
      <c r="GI4893" s="422"/>
    </row>
    <row r="4894" spans="191:191" x14ac:dyDescent="0.2">
      <c r="GI4894" s="422"/>
    </row>
    <row r="4895" spans="191:191" x14ac:dyDescent="0.2">
      <c r="GI4895" s="422"/>
    </row>
    <row r="4896" spans="191:191" x14ac:dyDescent="0.2">
      <c r="GI4896" s="422"/>
    </row>
    <row r="4897" spans="191:191" x14ac:dyDescent="0.2">
      <c r="GI4897" s="422"/>
    </row>
    <row r="4898" spans="191:191" x14ac:dyDescent="0.2">
      <c r="GI4898" s="422"/>
    </row>
    <row r="4899" spans="191:191" x14ac:dyDescent="0.2">
      <c r="GI4899" s="422"/>
    </row>
    <row r="4900" spans="191:191" x14ac:dyDescent="0.2">
      <c r="GI4900" s="422"/>
    </row>
    <row r="4901" spans="191:191" x14ac:dyDescent="0.2">
      <c r="GI4901" s="422"/>
    </row>
    <row r="4902" spans="191:191" x14ac:dyDescent="0.2">
      <c r="GI4902" s="422"/>
    </row>
    <row r="4903" spans="191:191" x14ac:dyDescent="0.2">
      <c r="GI4903" s="422"/>
    </row>
    <row r="4904" spans="191:191" x14ac:dyDescent="0.2">
      <c r="GI4904" s="422"/>
    </row>
    <row r="4905" spans="191:191" x14ac:dyDescent="0.2">
      <c r="GI4905" s="422"/>
    </row>
    <row r="4906" spans="191:191" x14ac:dyDescent="0.2">
      <c r="GI4906" s="422"/>
    </row>
    <row r="4907" spans="191:191" x14ac:dyDescent="0.2">
      <c r="GI4907" s="422"/>
    </row>
    <row r="4908" spans="191:191" x14ac:dyDescent="0.2">
      <c r="GI4908" s="422"/>
    </row>
    <row r="4909" spans="191:191" x14ac:dyDescent="0.2">
      <c r="GI4909" s="422"/>
    </row>
    <row r="4910" spans="191:191" x14ac:dyDescent="0.2">
      <c r="GI4910" s="422"/>
    </row>
    <row r="4911" spans="191:191" x14ac:dyDescent="0.2">
      <c r="GI4911" s="422"/>
    </row>
    <row r="4912" spans="191:191" x14ac:dyDescent="0.2">
      <c r="GI4912" s="422"/>
    </row>
    <row r="4913" spans="191:191" x14ac:dyDescent="0.2">
      <c r="GI4913" s="422"/>
    </row>
    <row r="4914" spans="191:191" x14ac:dyDescent="0.2">
      <c r="GI4914" s="422"/>
    </row>
    <row r="4915" spans="191:191" x14ac:dyDescent="0.2">
      <c r="GI4915" s="422"/>
    </row>
    <row r="4916" spans="191:191" x14ac:dyDescent="0.2">
      <c r="GI4916" s="422"/>
    </row>
    <row r="4917" spans="191:191" x14ac:dyDescent="0.2">
      <c r="GI4917" s="422"/>
    </row>
    <row r="4918" spans="191:191" x14ac:dyDescent="0.2">
      <c r="GI4918" s="422"/>
    </row>
    <row r="4919" spans="191:191" x14ac:dyDescent="0.2">
      <c r="GI4919" s="422"/>
    </row>
    <row r="4920" spans="191:191" x14ac:dyDescent="0.2">
      <c r="GI4920" s="422"/>
    </row>
    <row r="4921" spans="191:191" x14ac:dyDescent="0.2">
      <c r="GI4921" s="422"/>
    </row>
    <row r="4922" spans="191:191" x14ac:dyDescent="0.2">
      <c r="GI4922" s="422"/>
    </row>
    <row r="4923" spans="191:191" x14ac:dyDescent="0.2">
      <c r="GI4923" s="422"/>
    </row>
    <row r="4924" spans="191:191" x14ac:dyDescent="0.2">
      <c r="GI4924" s="422"/>
    </row>
    <row r="4925" spans="191:191" x14ac:dyDescent="0.2">
      <c r="GI4925" s="422"/>
    </row>
    <row r="4926" spans="191:191" x14ac:dyDescent="0.2">
      <c r="GI4926" s="422"/>
    </row>
    <row r="4927" spans="191:191" x14ac:dyDescent="0.2">
      <c r="GI4927" s="422"/>
    </row>
    <row r="4928" spans="191:191" x14ac:dyDescent="0.2">
      <c r="GI4928" s="422"/>
    </row>
    <row r="4929" spans="191:191" x14ac:dyDescent="0.2">
      <c r="GI4929" s="422"/>
    </row>
    <row r="4930" spans="191:191" x14ac:dyDescent="0.2">
      <c r="GI4930" s="422"/>
    </row>
    <row r="4931" spans="191:191" x14ac:dyDescent="0.2">
      <c r="GI4931" s="422"/>
    </row>
    <row r="4932" spans="191:191" x14ac:dyDescent="0.2">
      <c r="GI4932" s="422"/>
    </row>
    <row r="4933" spans="191:191" x14ac:dyDescent="0.2">
      <c r="GI4933" s="422"/>
    </row>
    <row r="4934" spans="191:191" x14ac:dyDescent="0.2">
      <c r="GI4934" s="422"/>
    </row>
    <row r="4935" spans="191:191" x14ac:dyDescent="0.2">
      <c r="GI4935" s="422"/>
    </row>
    <row r="4936" spans="191:191" x14ac:dyDescent="0.2">
      <c r="GI4936" s="422"/>
    </row>
    <row r="4937" spans="191:191" x14ac:dyDescent="0.2">
      <c r="GI4937" s="422"/>
    </row>
    <row r="4938" spans="191:191" x14ac:dyDescent="0.2">
      <c r="GI4938" s="422"/>
    </row>
    <row r="4939" spans="191:191" x14ac:dyDescent="0.2">
      <c r="GI4939" s="422"/>
    </row>
    <row r="4940" spans="191:191" x14ac:dyDescent="0.2">
      <c r="GI4940" s="422"/>
    </row>
    <row r="4941" spans="191:191" x14ac:dyDescent="0.2">
      <c r="GI4941" s="422"/>
    </row>
    <row r="4942" spans="191:191" x14ac:dyDescent="0.2">
      <c r="GI4942" s="422"/>
    </row>
    <row r="4943" spans="191:191" x14ac:dyDescent="0.2">
      <c r="GI4943" s="422"/>
    </row>
    <row r="4944" spans="191:191" x14ac:dyDescent="0.2">
      <c r="GI4944" s="422"/>
    </row>
    <row r="4945" spans="191:191" x14ac:dyDescent="0.2">
      <c r="GI4945" s="422"/>
    </row>
    <row r="4946" spans="191:191" x14ac:dyDescent="0.2">
      <c r="GI4946" s="422"/>
    </row>
    <row r="4947" spans="191:191" x14ac:dyDescent="0.2">
      <c r="GI4947" s="422"/>
    </row>
    <row r="4948" spans="191:191" x14ac:dyDescent="0.2">
      <c r="GI4948" s="422"/>
    </row>
    <row r="4949" spans="191:191" x14ac:dyDescent="0.2">
      <c r="GI4949" s="422"/>
    </row>
    <row r="4950" spans="191:191" x14ac:dyDescent="0.2">
      <c r="GI4950" s="422"/>
    </row>
    <row r="4951" spans="191:191" x14ac:dyDescent="0.2">
      <c r="GI4951" s="422"/>
    </row>
    <row r="4952" spans="191:191" x14ac:dyDescent="0.2">
      <c r="GI4952" s="422"/>
    </row>
    <row r="4953" spans="191:191" x14ac:dyDescent="0.2">
      <c r="GI4953" s="422"/>
    </row>
    <row r="4954" spans="191:191" x14ac:dyDescent="0.2">
      <c r="GI4954" s="422"/>
    </row>
    <row r="4955" spans="191:191" x14ac:dyDescent="0.2">
      <c r="GI4955" s="422"/>
    </row>
    <row r="4956" spans="191:191" x14ac:dyDescent="0.2">
      <c r="GI4956" s="422"/>
    </row>
    <row r="4957" spans="191:191" x14ac:dyDescent="0.2">
      <c r="GI4957" s="422"/>
    </row>
    <row r="4958" spans="191:191" x14ac:dyDescent="0.2">
      <c r="GI4958" s="422"/>
    </row>
    <row r="4959" spans="191:191" x14ac:dyDescent="0.2">
      <c r="GI4959" s="422"/>
    </row>
    <row r="4960" spans="191:191" x14ac:dyDescent="0.2">
      <c r="GI4960" s="422"/>
    </row>
    <row r="4961" spans="191:191" x14ac:dyDescent="0.2">
      <c r="GI4961" s="422"/>
    </row>
    <row r="4962" spans="191:191" x14ac:dyDescent="0.2">
      <c r="GI4962" s="422"/>
    </row>
    <row r="4963" spans="191:191" x14ac:dyDescent="0.2">
      <c r="GI4963" s="422"/>
    </row>
    <row r="4964" spans="191:191" x14ac:dyDescent="0.2">
      <c r="GI4964" s="422"/>
    </row>
    <row r="4965" spans="191:191" x14ac:dyDescent="0.2">
      <c r="GI4965" s="422"/>
    </row>
    <row r="4966" spans="191:191" x14ac:dyDescent="0.2">
      <c r="GI4966" s="422"/>
    </row>
    <row r="4967" spans="191:191" x14ac:dyDescent="0.2">
      <c r="GI4967" s="422"/>
    </row>
    <row r="4968" spans="191:191" x14ac:dyDescent="0.2">
      <c r="GI4968" s="422"/>
    </row>
    <row r="4969" spans="191:191" x14ac:dyDescent="0.2">
      <c r="GI4969" s="422"/>
    </row>
    <row r="4970" spans="191:191" x14ac:dyDescent="0.2">
      <c r="GI4970" s="422"/>
    </row>
    <row r="4971" spans="191:191" x14ac:dyDescent="0.2">
      <c r="GI4971" s="422"/>
    </row>
    <row r="4972" spans="191:191" x14ac:dyDescent="0.2">
      <c r="GI4972" s="422"/>
    </row>
    <row r="4973" spans="191:191" x14ac:dyDescent="0.2">
      <c r="GI4973" s="422"/>
    </row>
    <row r="4974" spans="191:191" x14ac:dyDescent="0.2">
      <c r="GI4974" s="422"/>
    </row>
    <row r="4975" spans="191:191" x14ac:dyDescent="0.2">
      <c r="GI4975" s="422"/>
    </row>
    <row r="4976" spans="191:191" x14ac:dyDescent="0.2">
      <c r="GI4976" s="422"/>
    </row>
    <row r="4977" spans="191:191" x14ac:dyDescent="0.2">
      <c r="GI4977" s="422"/>
    </row>
    <row r="4978" spans="191:191" x14ac:dyDescent="0.2">
      <c r="GI4978" s="422"/>
    </row>
    <row r="4979" spans="191:191" x14ac:dyDescent="0.2">
      <c r="GI4979" s="422"/>
    </row>
    <row r="4980" spans="191:191" x14ac:dyDescent="0.2">
      <c r="GI4980" s="422"/>
    </row>
    <row r="4981" spans="191:191" x14ac:dyDescent="0.2">
      <c r="GI4981" s="422"/>
    </row>
    <row r="4982" spans="191:191" x14ac:dyDescent="0.2">
      <c r="GI4982" s="422"/>
    </row>
    <row r="4983" spans="191:191" x14ac:dyDescent="0.2">
      <c r="GI4983" s="422"/>
    </row>
    <row r="4984" spans="191:191" x14ac:dyDescent="0.2">
      <c r="GI4984" s="422"/>
    </row>
    <row r="4985" spans="191:191" x14ac:dyDescent="0.2">
      <c r="GI4985" s="422"/>
    </row>
    <row r="4986" spans="191:191" x14ac:dyDescent="0.2">
      <c r="GI4986" s="422"/>
    </row>
    <row r="4987" spans="191:191" x14ac:dyDescent="0.2">
      <c r="GI4987" s="422"/>
    </row>
    <row r="4988" spans="191:191" x14ac:dyDescent="0.2">
      <c r="GI4988" s="422"/>
    </row>
    <row r="4989" spans="191:191" x14ac:dyDescent="0.2">
      <c r="GI4989" s="422"/>
    </row>
    <row r="4990" spans="191:191" x14ac:dyDescent="0.2">
      <c r="GI4990" s="422"/>
    </row>
    <row r="4991" spans="191:191" x14ac:dyDescent="0.2">
      <c r="GI4991" s="422"/>
    </row>
    <row r="4992" spans="191:191" x14ac:dyDescent="0.2">
      <c r="GI4992" s="422"/>
    </row>
    <row r="4993" spans="191:191" x14ac:dyDescent="0.2">
      <c r="GI4993" s="422"/>
    </row>
    <row r="4994" spans="191:191" x14ac:dyDescent="0.2">
      <c r="GI4994" s="422"/>
    </row>
    <row r="4995" spans="191:191" x14ac:dyDescent="0.2">
      <c r="GI4995" s="422"/>
    </row>
    <row r="4996" spans="191:191" x14ac:dyDescent="0.2">
      <c r="GI4996" s="422"/>
    </row>
    <row r="4997" spans="191:191" x14ac:dyDescent="0.2">
      <c r="GI4997" s="422"/>
    </row>
    <row r="4998" spans="191:191" x14ac:dyDescent="0.2">
      <c r="GI4998" s="422"/>
    </row>
    <row r="4999" spans="191:191" x14ac:dyDescent="0.2">
      <c r="GI4999" s="422"/>
    </row>
    <row r="5000" spans="191:191" x14ac:dyDescent="0.2">
      <c r="GI5000" s="422"/>
    </row>
    <row r="5001" spans="191:191" x14ac:dyDescent="0.2">
      <c r="GI5001" s="422"/>
    </row>
    <row r="5002" spans="191:191" x14ac:dyDescent="0.2">
      <c r="GI5002" s="422"/>
    </row>
    <row r="5003" spans="191:191" x14ac:dyDescent="0.2">
      <c r="GI5003" s="422"/>
    </row>
    <row r="5004" spans="191:191" x14ac:dyDescent="0.2">
      <c r="GI5004" s="422"/>
    </row>
    <row r="5005" spans="191:191" x14ac:dyDescent="0.2">
      <c r="GI5005" s="422"/>
    </row>
    <row r="5006" spans="191:191" x14ac:dyDescent="0.2">
      <c r="GI5006" s="422"/>
    </row>
    <row r="5007" spans="191:191" x14ac:dyDescent="0.2">
      <c r="GI5007" s="422"/>
    </row>
    <row r="5008" spans="191:191" x14ac:dyDescent="0.2">
      <c r="GI5008" s="422"/>
    </row>
    <row r="5009" spans="191:191" x14ac:dyDescent="0.2">
      <c r="GI5009" s="422"/>
    </row>
    <row r="5010" spans="191:191" x14ac:dyDescent="0.2">
      <c r="GI5010" s="422"/>
    </row>
    <row r="5011" spans="191:191" x14ac:dyDescent="0.2">
      <c r="GI5011" s="422"/>
    </row>
    <row r="5012" spans="191:191" x14ac:dyDescent="0.2">
      <c r="GI5012" s="422"/>
    </row>
    <row r="5013" spans="191:191" x14ac:dyDescent="0.2">
      <c r="GI5013" s="422"/>
    </row>
    <row r="5014" spans="191:191" x14ac:dyDescent="0.2">
      <c r="GI5014" s="422"/>
    </row>
    <row r="5015" spans="191:191" x14ac:dyDescent="0.2">
      <c r="GI5015" s="422"/>
    </row>
    <row r="5016" spans="191:191" x14ac:dyDescent="0.2">
      <c r="GI5016" s="422"/>
    </row>
    <row r="5017" spans="191:191" x14ac:dyDescent="0.2">
      <c r="GI5017" s="422"/>
    </row>
    <row r="5018" spans="191:191" x14ac:dyDescent="0.2">
      <c r="GI5018" s="422"/>
    </row>
    <row r="5019" spans="191:191" x14ac:dyDescent="0.2">
      <c r="GI5019" s="422"/>
    </row>
    <row r="5020" spans="191:191" x14ac:dyDescent="0.2">
      <c r="GI5020" s="422"/>
    </row>
    <row r="5021" spans="191:191" x14ac:dyDescent="0.2">
      <c r="GI5021" s="422"/>
    </row>
    <row r="5022" spans="191:191" x14ac:dyDescent="0.2">
      <c r="GI5022" s="422"/>
    </row>
    <row r="5023" spans="191:191" x14ac:dyDescent="0.2">
      <c r="GI5023" s="422"/>
    </row>
    <row r="5024" spans="191:191" x14ac:dyDescent="0.2">
      <c r="GI5024" s="422"/>
    </row>
    <row r="5025" spans="191:191" x14ac:dyDescent="0.2">
      <c r="GI5025" s="422"/>
    </row>
    <row r="5026" spans="191:191" x14ac:dyDescent="0.2">
      <c r="GI5026" s="422"/>
    </row>
    <row r="5027" spans="191:191" x14ac:dyDescent="0.2">
      <c r="GI5027" s="422"/>
    </row>
    <row r="5028" spans="191:191" x14ac:dyDescent="0.2">
      <c r="GI5028" s="422"/>
    </row>
    <row r="5029" spans="191:191" x14ac:dyDescent="0.2">
      <c r="GI5029" s="422"/>
    </row>
    <row r="5030" spans="191:191" x14ac:dyDescent="0.2">
      <c r="GI5030" s="422"/>
    </row>
    <row r="5031" spans="191:191" x14ac:dyDescent="0.2">
      <c r="GI5031" s="422"/>
    </row>
    <row r="5032" spans="191:191" x14ac:dyDescent="0.2">
      <c r="GI5032" s="422"/>
    </row>
    <row r="5033" spans="191:191" x14ac:dyDescent="0.2">
      <c r="GI5033" s="422"/>
    </row>
    <row r="5034" spans="191:191" x14ac:dyDescent="0.2">
      <c r="GI5034" s="422"/>
    </row>
    <row r="5035" spans="191:191" x14ac:dyDescent="0.2">
      <c r="GI5035" s="422"/>
    </row>
    <row r="5036" spans="191:191" x14ac:dyDescent="0.2">
      <c r="GI5036" s="422"/>
    </row>
    <row r="5037" spans="191:191" x14ac:dyDescent="0.2">
      <c r="GI5037" s="422"/>
    </row>
    <row r="5038" spans="191:191" x14ac:dyDescent="0.2">
      <c r="GI5038" s="422"/>
    </row>
    <row r="5039" spans="191:191" x14ac:dyDescent="0.2">
      <c r="GI5039" s="422"/>
    </row>
    <row r="5040" spans="191:191" x14ac:dyDescent="0.2">
      <c r="GI5040" s="422"/>
    </row>
    <row r="5041" spans="191:191" x14ac:dyDescent="0.2">
      <c r="GI5041" s="422"/>
    </row>
    <row r="5042" spans="191:191" x14ac:dyDescent="0.2">
      <c r="GI5042" s="422"/>
    </row>
    <row r="5043" spans="191:191" x14ac:dyDescent="0.2">
      <c r="GI5043" s="422"/>
    </row>
    <row r="5044" spans="191:191" x14ac:dyDescent="0.2">
      <c r="GI5044" s="422"/>
    </row>
    <row r="5045" spans="191:191" x14ac:dyDescent="0.2">
      <c r="GI5045" s="422"/>
    </row>
    <row r="5046" spans="191:191" x14ac:dyDescent="0.2">
      <c r="GI5046" s="422"/>
    </row>
    <row r="5047" spans="191:191" x14ac:dyDescent="0.2">
      <c r="GI5047" s="422"/>
    </row>
    <row r="5048" spans="191:191" x14ac:dyDescent="0.2">
      <c r="GI5048" s="422"/>
    </row>
    <row r="5049" spans="191:191" x14ac:dyDescent="0.2">
      <c r="GI5049" s="422"/>
    </row>
    <row r="5050" spans="191:191" x14ac:dyDescent="0.2">
      <c r="GI5050" s="422"/>
    </row>
    <row r="5051" spans="191:191" x14ac:dyDescent="0.2">
      <c r="GI5051" s="422"/>
    </row>
    <row r="5052" spans="191:191" x14ac:dyDescent="0.2">
      <c r="GI5052" s="422"/>
    </row>
    <row r="5053" spans="191:191" x14ac:dyDescent="0.2">
      <c r="GI5053" s="422"/>
    </row>
    <row r="5054" spans="191:191" x14ac:dyDescent="0.2">
      <c r="GI5054" s="422"/>
    </row>
    <row r="5055" spans="191:191" x14ac:dyDescent="0.2">
      <c r="GI5055" s="422"/>
    </row>
    <row r="5056" spans="191:191" x14ac:dyDescent="0.2">
      <c r="GI5056" s="422"/>
    </row>
    <row r="5057" spans="191:191" x14ac:dyDescent="0.2">
      <c r="GI5057" s="422"/>
    </row>
    <row r="5058" spans="191:191" x14ac:dyDescent="0.2">
      <c r="GI5058" s="422"/>
    </row>
    <row r="5059" spans="191:191" x14ac:dyDescent="0.2">
      <c r="GI5059" s="422"/>
    </row>
    <row r="5060" spans="191:191" x14ac:dyDescent="0.2">
      <c r="GI5060" s="422"/>
    </row>
    <row r="5061" spans="191:191" x14ac:dyDescent="0.2">
      <c r="GI5061" s="422"/>
    </row>
    <row r="5062" spans="191:191" x14ac:dyDescent="0.2">
      <c r="GI5062" s="422"/>
    </row>
    <row r="5063" spans="191:191" x14ac:dyDescent="0.2">
      <c r="GI5063" s="422"/>
    </row>
    <row r="5064" spans="191:191" x14ac:dyDescent="0.2">
      <c r="GI5064" s="422"/>
    </row>
    <row r="5065" spans="191:191" x14ac:dyDescent="0.2">
      <c r="GI5065" s="422"/>
    </row>
    <row r="5066" spans="191:191" x14ac:dyDescent="0.2">
      <c r="GI5066" s="422"/>
    </row>
    <row r="5067" spans="191:191" x14ac:dyDescent="0.2">
      <c r="GI5067" s="422"/>
    </row>
    <row r="5068" spans="191:191" x14ac:dyDescent="0.2">
      <c r="GI5068" s="422"/>
    </row>
    <row r="5069" spans="191:191" x14ac:dyDescent="0.2">
      <c r="GI5069" s="422"/>
    </row>
    <row r="5070" spans="191:191" x14ac:dyDescent="0.2">
      <c r="GI5070" s="422"/>
    </row>
    <row r="5071" spans="191:191" x14ac:dyDescent="0.2">
      <c r="GI5071" s="422"/>
    </row>
    <row r="5072" spans="191:191" x14ac:dyDescent="0.2">
      <c r="GI5072" s="422"/>
    </row>
    <row r="5073" spans="191:191" x14ac:dyDescent="0.2">
      <c r="GI5073" s="422"/>
    </row>
    <row r="5074" spans="191:191" x14ac:dyDescent="0.2">
      <c r="GI5074" s="422"/>
    </row>
    <row r="5075" spans="191:191" x14ac:dyDescent="0.2">
      <c r="GI5075" s="422"/>
    </row>
    <row r="5076" spans="191:191" x14ac:dyDescent="0.2">
      <c r="GI5076" s="422"/>
    </row>
    <row r="5077" spans="191:191" x14ac:dyDescent="0.2">
      <c r="GI5077" s="422"/>
    </row>
    <row r="5078" spans="191:191" x14ac:dyDescent="0.2">
      <c r="GI5078" s="422"/>
    </row>
    <row r="5079" spans="191:191" x14ac:dyDescent="0.2">
      <c r="GI5079" s="422"/>
    </row>
    <row r="5080" spans="191:191" x14ac:dyDescent="0.2">
      <c r="GI5080" s="422"/>
    </row>
    <row r="5081" spans="191:191" x14ac:dyDescent="0.2">
      <c r="GI5081" s="422"/>
    </row>
    <row r="5082" spans="191:191" x14ac:dyDescent="0.2">
      <c r="GI5082" s="422"/>
    </row>
    <row r="5083" spans="191:191" x14ac:dyDescent="0.2">
      <c r="GI5083" s="422"/>
    </row>
    <row r="5084" spans="191:191" x14ac:dyDescent="0.2">
      <c r="GI5084" s="422"/>
    </row>
    <row r="5085" spans="191:191" x14ac:dyDescent="0.2">
      <c r="GI5085" s="422"/>
    </row>
    <row r="5086" spans="191:191" x14ac:dyDescent="0.2">
      <c r="GI5086" s="422"/>
    </row>
    <row r="5087" spans="191:191" x14ac:dyDescent="0.2">
      <c r="GI5087" s="422"/>
    </row>
    <row r="5088" spans="191:191" x14ac:dyDescent="0.2">
      <c r="GI5088" s="422"/>
    </row>
    <row r="5089" spans="191:191" x14ac:dyDescent="0.2">
      <c r="GI5089" s="422"/>
    </row>
    <row r="5090" spans="191:191" x14ac:dyDescent="0.2">
      <c r="GI5090" s="422"/>
    </row>
    <row r="5091" spans="191:191" x14ac:dyDescent="0.2">
      <c r="GI5091" s="422"/>
    </row>
    <row r="5092" spans="191:191" x14ac:dyDescent="0.2">
      <c r="GI5092" s="422"/>
    </row>
    <row r="5093" spans="191:191" x14ac:dyDescent="0.2">
      <c r="GI5093" s="422"/>
    </row>
    <row r="5094" spans="191:191" x14ac:dyDescent="0.2">
      <c r="GI5094" s="422"/>
    </row>
    <row r="5095" spans="191:191" x14ac:dyDescent="0.2">
      <c r="GI5095" s="422"/>
    </row>
    <row r="5096" spans="191:191" x14ac:dyDescent="0.2">
      <c r="GI5096" s="422"/>
    </row>
    <row r="5097" spans="191:191" x14ac:dyDescent="0.2">
      <c r="GI5097" s="422"/>
    </row>
    <row r="5098" spans="191:191" x14ac:dyDescent="0.2">
      <c r="GI5098" s="422"/>
    </row>
    <row r="5099" spans="191:191" x14ac:dyDescent="0.2">
      <c r="GI5099" s="422"/>
    </row>
    <row r="5100" spans="191:191" x14ac:dyDescent="0.2">
      <c r="GI5100" s="422"/>
    </row>
    <row r="5101" spans="191:191" x14ac:dyDescent="0.2">
      <c r="GI5101" s="422"/>
    </row>
    <row r="5102" spans="191:191" x14ac:dyDescent="0.2">
      <c r="GI5102" s="422"/>
    </row>
    <row r="5103" spans="191:191" x14ac:dyDescent="0.2">
      <c r="GI5103" s="422"/>
    </row>
    <row r="5104" spans="191:191" x14ac:dyDescent="0.2">
      <c r="GI5104" s="422"/>
    </row>
    <row r="5105" spans="191:191" x14ac:dyDescent="0.2">
      <c r="GI5105" s="422"/>
    </row>
    <row r="5106" spans="191:191" x14ac:dyDescent="0.2">
      <c r="GI5106" s="422"/>
    </row>
    <row r="5107" spans="191:191" x14ac:dyDescent="0.2">
      <c r="GI5107" s="422"/>
    </row>
    <row r="5108" spans="191:191" x14ac:dyDescent="0.2">
      <c r="GI5108" s="422"/>
    </row>
    <row r="5109" spans="191:191" x14ac:dyDescent="0.2">
      <c r="GI5109" s="422"/>
    </row>
    <row r="5110" spans="191:191" x14ac:dyDescent="0.2">
      <c r="GI5110" s="422"/>
    </row>
    <row r="5111" spans="191:191" x14ac:dyDescent="0.2">
      <c r="GI5111" s="422"/>
    </row>
    <row r="5112" spans="191:191" x14ac:dyDescent="0.2">
      <c r="GI5112" s="422"/>
    </row>
    <row r="5113" spans="191:191" x14ac:dyDescent="0.2">
      <c r="GI5113" s="422"/>
    </row>
    <row r="5114" spans="191:191" x14ac:dyDescent="0.2">
      <c r="GI5114" s="422"/>
    </row>
    <row r="5115" spans="191:191" x14ac:dyDescent="0.2">
      <c r="GI5115" s="422"/>
    </row>
    <row r="5116" spans="191:191" x14ac:dyDescent="0.2">
      <c r="GI5116" s="422"/>
    </row>
    <row r="5117" spans="191:191" x14ac:dyDescent="0.2">
      <c r="GI5117" s="422"/>
    </row>
    <row r="5118" spans="191:191" x14ac:dyDescent="0.2">
      <c r="GI5118" s="422"/>
    </row>
    <row r="5119" spans="191:191" x14ac:dyDescent="0.2">
      <c r="GI5119" s="422"/>
    </row>
    <row r="5120" spans="191:191" x14ac:dyDescent="0.2">
      <c r="GI5120" s="422"/>
    </row>
    <row r="5121" spans="191:191" x14ac:dyDescent="0.2">
      <c r="GI5121" s="422"/>
    </row>
    <row r="5122" spans="191:191" x14ac:dyDescent="0.2">
      <c r="GI5122" s="422"/>
    </row>
    <row r="5123" spans="191:191" x14ac:dyDescent="0.2">
      <c r="GI5123" s="422"/>
    </row>
    <row r="5124" spans="191:191" x14ac:dyDescent="0.2">
      <c r="GI5124" s="422"/>
    </row>
    <row r="5125" spans="191:191" x14ac:dyDescent="0.2">
      <c r="GI5125" s="422"/>
    </row>
    <row r="5126" spans="191:191" x14ac:dyDescent="0.2">
      <c r="GI5126" s="422"/>
    </row>
    <row r="5127" spans="191:191" x14ac:dyDescent="0.2">
      <c r="GI5127" s="422"/>
    </row>
    <row r="5128" spans="191:191" x14ac:dyDescent="0.2">
      <c r="GI5128" s="422"/>
    </row>
    <row r="5129" spans="191:191" x14ac:dyDescent="0.2">
      <c r="GI5129" s="422"/>
    </row>
    <row r="5130" spans="191:191" x14ac:dyDescent="0.2">
      <c r="GI5130" s="422"/>
    </row>
    <row r="5131" spans="191:191" x14ac:dyDescent="0.2">
      <c r="GI5131" s="422"/>
    </row>
    <row r="5132" spans="191:191" x14ac:dyDescent="0.2">
      <c r="GI5132" s="422"/>
    </row>
    <row r="5133" spans="191:191" x14ac:dyDescent="0.2">
      <c r="GI5133" s="422"/>
    </row>
    <row r="5134" spans="191:191" x14ac:dyDescent="0.2">
      <c r="GI5134" s="422"/>
    </row>
    <row r="5135" spans="191:191" x14ac:dyDescent="0.2">
      <c r="GI5135" s="422"/>
    </row>
    <row r="5136" spans="191:191" x14ac:dyDescent="0.2">
      <c r="GI5136" s="422"/>
    </row>
    <row r="5137" spans="191:191" x14ac:dyDescent="0.2">
      <c r="GI5137" s="422"/>
    </row>
    <row r="5138" spans="191:191" x14ac:dyDescent="0.2">
      <c r="GI5138" s="422"/>
    </row>
    <row r="5139" spans="191:191" x14ac:dyDescent="0.2">
      <c r="GI5139" s="422"/>
    </row>
    <row r="5140" spans="191:191" x14ac:dyDescent="0.2">
      <c r="GI5140" s="422"/>
    </row>
    <row r="5141" spans="191:191" x14ac:dyDescent="0.2">
      <c r="GI5141" s="422"/>
    </row>
    <row r="5142" spans="191:191" x14ac:dyDescent="0.2">
      <c r="GI5142" s="422"/>
    </row>
    <row r="5143" spans="191:191" x14ac:dyDescent="0.2">
      <c r="GI5143" s="422"/>
    </row>
    <row r="5144" spans="191:191" x14ac:dyDescent="0.2">
      <c r="GI5144" s="422"/>
    </row>
    <row r="5145" spans="191:191" x14ac:dyDescent="0.2">
      <c r="GI5145" s="422"/>
    </row>
    <row r="5146" spans="191:191" x14ac:dyDescent="0.2">
      <c r="GI5146" s="422"/>
    </row>
    <row r="5147" spans="191:191" x14ac:dyDescent="0.2">
      <c r="GI5147" s="422"/>
    </row>
    <row r="5148" spans="191:191" x14ac:dyDescent="0.2">
      <c r="GI5148" s="422"/>
    </row>
    <row r="5149" spans="191:191" x14ac:dyDescent="0.2">
      <c r="GI5149" s="422"/>
    </row>
    <row r="5150" spans="191:191" x14ac:dyDescent="0.2">
      <c r="GI5150" s="422"/>
    </row>
    <row r="5151" spans="191:191" x14ac:dyDescent="0.2">
      <c r="GI5151" s="422"/>
    </row>
    <row r="5152" spans="191:191" x14ac:dyDescent="0.2">
      <c r="GI5152" s="422"/>
    </row>
    <row r="5153" spans="191:191" x14ac:dyDescent="0.2">
      <c r="GI5153" s="422"/>
    </row>
    <row r="5154" spans="191:191" x14ac:dyDescent="0.2">
      <c r="GI5154" s="422"/>
    </row>
    <row r="5155" spans="191:191" x14ac:dyDescent="0.2">
      <c r="GI5155" s="422"/>
    </row>
    <row r="5156" spans="191:191" x14ac:dyDescent="0.2">
      <c r="GI5156" s="422"/>
    </row>
    <row r="5157" spans="191:191" x14ac:dyDescent="0.2">
      <c r="GI5157" s="422"/>
    </row>
    <row r="5158" spans="191:191" x14ac:dyDescent="0.2">
      <c r="GI5158" s="422"/>
    </row>
    <row r="5159" spans="191:191" x14ac:dyDescent="0.2">
      <c r="GI5159" s="422"/>
    </row>
    <row r="5160" spans="191:191" x14ac:dyDescent="0.2">
      <c r="GI5160" s="422"/>
    </row>
    <row r="5161" spans="191:191" x14ac:dyDescent="0.2">
      <c r="GI5161" s="422"/>
    </row>
    <row r="5162" spans="191:191" x14ac:dyDescent="0.2">
      <c r="GI5162" s="422"/>
    </row>
    <row r="5163" spans="191:191" x14ac:dyDescent="0.2">
      <c r="GI5163" s="422"/>
    </row>
    <row r="5164" spans="191:191" x14ac:dyDescent="0.2">
      <c r="GI5164" s="422"/>
    </row>
    <row r="5165" spans="191:191" x14ac:dyDescent="0.2">
      <c r="GI5165" s="422"/>
    </row>
    <row r="5166" spans="191:191" x14ac:dyDescent="0.2">
      <c r="GI5166" s="422"/>
    </row>
    <row r="5167" spans="191:191" x14ac:dyDescent="0.2">
      <c r="GI5167" s="422"/>
    </row>
    <row r="5168" spans="191:191" x14ac:dyDescent="0.2">
      <c r="GI5168" s="422"/>
    </row>
    <row r="5169" spans="191:191" x14ac:dyDescent="0.2">
      <c r="GI5169" s="422"/>
    </row>
    <row r="5170" spans="191:191" x14ac:dyDescent="0.2">
      <c r="GI5170" s="422"/>
    </row>
    <row r="5171" spans="191:191" x14ac:dyDescent="0.2">
      <c r="GI5171" s="422"/>
    </row>
    <row r="5172" spans="191:191" x14ac:dyDescent="0.2">
      <c r="GI5172" s="422"/>
    </row>
    <row r="5173" spans="191:191" x14ac:dyDescent="0.2">
      <c r="GI5173" s="422"/>
    </row>
    <row r="5174" spans="191:191" x14ac:dyDescent="0.2">
      <c r="GI5174" s="422"/>
    </row>
    <row r="5175" spans="191:191" x14ac:dyDescent="0.2">
      <c r="GI5175" s="422"/>
    </row>
    <row r="5176" spans="191:191" x14ac:dyDescent="0.2">
      <c r="GI5176" s="422"/>
    </row>
    <row r="5177" spans="191:191" x14ac:dyDescent="0.2">
      <c r="GI5177" s="422"/>
    </row>
    <row r="5178" spans="191:191" x14ac:dyDescent="0.2">
      <c r="GI5178" s="422"/>
    </row>
    <row r="5179" spans="191:191" x14ac:dyDescent="0.2">
      <c r="GI5179" s="422"/>
    </row>
    <row r="5180" spans="191:191" x14ac:dyDescent="0.2">
      <c r="GI5180" s="422"/>
    </row>
    <row r="5181" spans="191:191" x14ac:dyDescent="0.2">
      <c r="GI5181" s="422"/>
    </row>
    <row r="5182" spans="191:191" x14ac:dyDescent="0.2">
      <c r="GI5182" s="422"/>
    </row>
    <row r="5183" spans="191:191" x14ac:dyDescent="0.2">
      <c r="GI5183" s="422"/>
    </row>
    <row r="5184" spans="191:191" x14ac:dyDescent="0.2">
      <c r="GI5184" s="422"/>
    </row>
    <row r="5185" spans="191:191" x14ac:dyDescent="0.2">
      <c r="GI5185" s="422"/>
    </row>
    <row r="5186" spans="191:191" x14ac:dyDescent="0.2">
      <c r="GI5186" s="422"/>
    </row>
    <row r="5187" spans="191:191" x14ac:dyDescent="0.2">
      <c r="GI5187" s="422"/>
    </row>
    <row r="5188" spans="191:191" x14ac:dyDescent="0.2">
      <c r="GI5188" s="422"/>
    </row>
    <row r="5189" spans="191:191" x14ac:dyDescent="0.2">
      <c r="GI5189" s="422"/>
    </row>
    <row r="5190" spans="191:191" x14ac:dyDescent="0.2">
      <c r="GI5190" s="422"/>
    </row>
    <row r="5191" spans="191:191" x14ac:dyDescent="0.2">
      <c r="GI5191" s="422"/>
    </row>
    <row r="5192" spans="191:191" x14ac:dyDescent="0.2">
      <c r="GI5192" s="422"/>
    </row>
    <row r="5193" spans="191:191" x14ac:dyDescent="0.2">
      <c r="GI5193" s="422"/>
    </row>
    <row r="5194" spans="191:191" x14ac:dyDescent="0.2">
      <c r="GI5194" s="422"/>
    </row>
    <row r="5195" spans="191:191" x14ac:dyDescent="0.2">
      <c r="GI5195" s="422"/>
    </row>
    <row r="5196" spans="191:191" x14ac:dyDescent="0.2">
      <c r="GI5196" s="422"/>
    </row>
    <row r="5197" spans="191:191" x14ac:dyDescent="0.2">
      <c r="GI5197" s="422"/>
    </row>
    <row r="5198" spans="191:191" x14ac:dyDescent="0.2">
      <c r="GI5198" s="422"/>
    </row>
    <row r="5199" spans="191:191" x14ac:dyDescent="0.2">
      <c r="GI5199" s="422"/>
    </row>
    <row r="5200" spans="191:191" x14ac:dyDescent="0.2">
      <c r="GI5200" s="422"/>
    </row>
    <row r="5201" spans="191:191" x14ac:dyDescent="0.2">
      <c r="GI5201" s="422"/>
    </row>
    <row r="5202" spans="191:191" x14ac:dyDescent="0.2">
      <c r="GI5202" s="422"/>
    </row>
    <row r="5203" spans="191:191" x14ac:dyDescent="0.2">
      <c r="GI5203" s="422"/>
    </row>
    <row r="5204" spans="191:191" x14ac:dyDescent="0.2">
      <c r="GI5204" s="422"/>
    </row>
    <row r="5205" spans="191:191" x14ac:dyDescent="0.2">
      <c r="GI5205" s="422"/>
    </row>
    <row r="5206" spans="191:191" x14ac:dyDescent="0.2">
      <c r="GI5206" s="422"/>
    </row>
    <row r="5207" spans="191:191" x14ac:dyDescent="0.2">
      <c r="GI5207" s="422"/>
    </row>
    <row r="5208" spans="191:191" x14ac:dyDescent="0.2">
      <c r="GI5208" s="422"/>
    </row>
    <row r="5209" spans="191:191" x14ac:dyDescent="0.2">
      <c r="GI5209" s="422"/>
    </row>
    <row r="5210" spans="191:191" x14ac:dyDescent="0.2">
      <c r="GI5210" s="422"/>
    </row>
    <row r="5211" spans="191:191" x14ac:dyDescent="0.2">
      <c r="GI5211" s="422"/>
    </row>
    <row r="5212" spans="191:191" x14ac:dyDescent="0.2">
      <c r="GI5212" s="422"/>
    </row>
    <row r="5213" spans="191:191" x14ac:dyDescent="0.2">
      <c r="GI5213" s="422"/>
    </row>
    <row r="5214" spans="191:191" x14ac:dyDescent="0.2">
      <c r="GI5214" s="422"/>
    </row>
    <row r="5215" spans="191:191" x14ac:dyDescent="0.2">
      <c r="GI5215" s="422"/>
    </row>
    <row r="5216" spans="191:191" x14ac:dyDescent="0.2">
      <c r="GI5216" s="422"/>
    </row>
    <row r="5217" spans="191:191" x14ac:dyDescent="0.2">
      <c r="GI5217" s="422"/>
    </row>
    <row r="5218" spans="191:191" x14ac:dyDescent="0.2">
      <c r="GI5218" s="422"/>
    </row>
    <row r="5219" spans="191:191" x14ac:dyDescent="0.2">
      <c r="GI5219" s="422"/>
    </row>
    <row r="5220" spans="191:191" x14ac:dyDescent="0.2">
      <c r="GI5220" s="422"/>
    </row>
    <row r="5221" spans="191:191" x14ac:dyDescent="0.2">
      <c r="GI5221" s="422"/>
    </row>
    <row r="5222" spans="191:191" x14ac:dyDescent="0.2">
      <c r="GI5222" s="422"/>
    </row>
    <row r="5223" spans="191:191" x14ac:dyDescent="0.2">
      <c r="GI5223" s="422"/>
    </row>
    <row r="5224" spans="191:191" x14ac:dyDescent="0.2">
      <c r="GI5224" s="422"/>
    </row>
    <row r="5225" spans="191:191" x14ac:dyDescent="0.2">
      <c r="GI5225" s="422"/>
    </row>
    <row r="5226" spans="191:191" x14ac:dyDescent="0.2">
      <c r="GI5226" s="422"/>
    </row>
    <row r="5227" spans="191:191" x14ac:dyDescent="0.2">
      <c r="GI5227" s="422"/>
    </row>
    <row r="5228" spans="191:191" x14ac:dyDescent="0.2">
      <c r="GI5228" s="422"/>
    </row>
    <row r="5229" spans="191:191" x14ac:dyDescent="0.2">
      <c r="GI5229" s="422"/>
    </row>
    <row r="5230" spans="191:191" x14ac:dyDescent="0.2">
      <c r="GI5230" s="422"/>
    </row>
    <row r="5231" spans="191:191" x14ac:dyDescent="0.2">
      <c r="GI5231" s="422"/>
    </row>
    <row r="5232" spans="191:191" x14ac:dyDescent="0.2">
      <c r="GI5232" s="422"/>
    </row>
    <row r="5233" spans="191:191" x14ac:dyDescent="0.2">
      <c r="GI5233" s="422"/>
    </row>
    <row r="5234" spans="191:191" x14ac:dyDescent="0.2">
      <c r="GI5234" s="422"/>
    </row>
    <row r="5235" spans="191:191" x14ac:dyDescent="0.2">
      <c r="GI5235" s="422"/>
    </row>
    <row r="5236" spans="191:191" x14ac:dyDescent="0.2">
      <c r="GI5236" s="422"/>
    </row>
    <row r="5237" spans="191:191" x14ac:dyDescent="0.2">
      <c r="GI5237" s="422"/>
    </row>
    <row r="5238" spans="191:191" x14ac:dyDescent="0.2">
      <c r="GI5238" s="422"/>
    </row>
    <row r="5239" spans="191:191" x14ac:dyDescent="0.2">
      <c r="GI5239" s="422"/>
    </row>
    <row r="5240" spans="191:191" x14ac:dyDescent="0.2">
      <c r="GI5240" s="422"/>
    </row>
    <row r="5241" spans="191:191" x14ac:dyDescent="0.2">
      <c r="GI5241" s="422"/>
    </row>
    <row r="5242" spans="191:191" x14ac:dyDescent="0.2">
      <c r="GI5242" s="422"/>
    </row>
    <row r="5243" spans="191:191" x14ac:dyDescent="0.2">
      <c r="GI5243" s="422"/>
    </row>
    <row r="5244" spans="191:191" x14ac:dyDescent="0.2">
      <c r="GI5244" s="422"/>
    </row>
    <row r="5245" spans="191:191" x14ac:dyDescent="0.2">
      <c r="GI5245" s="422"/>
    </row>
    <row r="5246" spans="191:191" x14ac:dyDescent="0.2">
      <c r="GI5246" s="422"/>
    </row>
    <row r="5247" spans="191:191" x14ac:dyDescent="0.2">
      <c r="GI5247" s="422"/>
    </row>
    <row r="5248" spans="191:191" x14ac:dyDescent="0.2">
      <c r="GI5248" s="422"/>
    </row>
    <row r="5249" spans="191:191" x14ac:dyDescent="0.2">
      <c r="GI5249" s="422"/>
    </row>
    <row r="5250" spans="191:191" x14ac:dyDescent="0.2">
      <c r="GI5250" s="422"/>
    </row>
    <row r="5251" spans="191:191" x14ac:dyDescent="0.2">
      <c r="GI5251" s="422"/>
    </row>
    <row r="5252" spans="191:191" x14ac:dyDescent="0.2">
      <c r="GI5252" s="422"/>
    </row>
    <row r="5253" spans="191:191" x14ac:dyDescent="0.2">
      <c r="GI5253" s="422"/>
    </row>
    <row r="5254" spans="191:191" x14ac:dyDescent="0.2">
      <c r="GI5254" s="422"/>
    </row>
    <row r="5255" spans="191:191" x14ac:dyDescent="0.2">
      <c r="GI5255" s="422"/>
    </row>
    <row r="5256" spans="191:191" x14ac:dyDescent="0.2">
      <c r="GI5256" s="422"/>
    </row>
    <row r="5257" spans="191:191" x14ac:dyDescent="0.2">
      <c r="GI5257" s="422"/>
    </row>
    <row r="5258" spans="191:191" x14ac:dyDescent="0.2">
      <c r="GI5258" s="422"/>
    </row>
    <row r="5259" spans="191:191" x14ac:dyDescent="0.2">
      <c r="GI5259" s="422"/>
    </row>
    <row r="5260" spans="191:191" x14ac:dyDescent="0.2">
      <c r="GI5260" s="422"/>
    </row>
    <row r="5261" spans="191:191" x14ac:dyDescent="0.2">
      <c r="GI5261" s="422"/>
    </row>
    <row r="5262" spans="191:191" x14ac:dyDescent="0.2">
      <c r="GI5262" s="422"/>
    </row>
    <row r="5263" spans="191:191" x14ac:dyDescent="0.2">
      <c r="GI5263" s="422"/>
    </row>
    <row r="5264" spans="191:191" x14ac:dyDescent="0.2">
      <c r="GI5264" s="422"/>
    </row>
    <row r="5265" spans="191:191" x14ac:dyDescent="0.2">
      <c r="GI5265" s="422"/>
    </row>
    <row r="5266" spans="191:191" x14ac:dyDescent="0.2">
      <c r="GI5266" s="422"/>
    </row>
    <row r="5267" spans="191:191" x14ac:dyDescent="0.2">
      <c r="GI5267" s="422"/>
    </row>
    <row r="5268" spans="191:191" x14ac:dyDescent="0.2">
      <c r="GI5268" s="422"/>
    </row>
    <row r="5269" spans="191:191" x14ac:dyDescent="0.2">
      <c r="GI5269" s="422"/>
    </row>
    <row r="5270" spans="191:191" x14ac:dyDescent="0.2">
      <c r="GI5270" s="422"/>
    </row>
    <row r="5271" spans="191:191" x14ac:dyDescent="0.2">
      <c r="GI5271" s="422"/>
    </row>
    <row r="5272" spans="191:191" x14ac:dyDescent="0.2">
      <c r="GI5272" s="422"/>
    </row>
    <row r="5273" spans="191:191" x14ac:dyDescent="0.2">
      <c r="GI5273" s="422"/>
    </row>
    <row r="5274" spans="191:191" x14ac:dyDescent="0.2">
      <c r="GI5274" s="422"/>
    </row>
    <row r="5275" spans="191:191" x14ac:dyDescent="0.2">
      <c r="GI5275" s="422"/>
    </row>
    <row r="5276" spans="191:191" x14ac:dyDescent="0.2">
      <c r="GI5276" s="422"/>
    </row>
    <row r="5277" spans="191:191" x14ac:dyDescent="0.2">
      <c r="GI5277" s="422"/>
    </row>
    <row r="5278" spans="191:191" x14ac:dyDescent="0.2">
      <c r="GI5278" s="422"/>
    </row>
    <row r="5279" spans="191:191" x14ac:dyDescent="0.2">
      <c r="GI5279" s="422"/>
    </row>
    <row r="5280" spans="191:191" x14ac:dyDescent="0.2">
      <c r="GI5280" s="422"/>
    </row>
    <row r="5281" spans="191:191" x14ac:dyDescent="0.2">
      <c r="GI5281" s="422"/>
    </row>
    <row r="5282" spans="191:191" x14ac:dyDescent="0.2">
      <c r="GI5282" s="422"/>
    </row>
    <row r="5283" spans="191:191" x14ac:dyDescent="0.2">
      <c r="GI5283" s="422"/>
    </row>
    <row r="5284" spans="191:191" x14ac:dyDescent="0.2">
      <c r="GI5284" s="422"/>
    </row>
    <row r="5285" spans="191:191" x14ac:dyDescent="0.2">
      <c r="GI5285" s="422"/>
    </row>
    <row r="5286" spans="191:191" x14ac:dyDescent="0.2">
      <c r="GI5286" s="422"/>
    </row>
    <row r="5287" spans="191:191" x14ac:dyDescent="0.2">
      <c r="GI5287" s="422"/>
    </row>
    <row r="5288" spans="191:191" x14ac:dyDescent="0.2">
      <c r="GI5288" s="422"/>
    </row>
    <row r="5289" spans="191:191" x14ac:dyDescent="0.2">
      <c r="GI5289" s="422"/>
    </row>
    <row r="5290" spans="191:191" x14ac:dyDescent="0.2">
      <c r="GI5290" s="422"/>
    </row>
    <row r="5291" spans="191:191" x14ac:dyDescent="0.2">
      <c r="GI5291" s="422"/>
    </row>
    <row r="5292" spans="191:191" x14ac:dyDescent="0.2">
      <c r="GI5292" s="422"/>
    </row>
    <row r="5293" spans="191:191" x14ac:dyDescent="0.2">
      <c r="GI5293" s="422"/>
    </row>
    <row r="5294" spans="191:191" x14ac:dyDescent="0.2">
      <c r="GI5294" s="422"/>
    </row>
    <row r="5295" spans="191:191" x14ac:dyDescent="0.2">
      <c r="GI5295" s="422"/>
    </row>
    <row r="5296" spans="191:191" x14ac:dyDescent="0.2">
      <c r="GI5296" s="422"/>
    </row>
    <row r="5297" spans="191:191" x14ac:dyDescent="0.2">
      <c r="GI5297" s="422"/>
    </row>
    <row r="5298" spans="191:191" x14ac:dyDescent="0.2">
      <c r="GI5298" s="422"/>
    </row>
    <row r="5299" spans="191:191" x14ac:dyDescent="0.2">
      <c r="GI5299" s="422"/>
    </row>
    <row r="5300" spans="191:191" x14ac:dyDescent="0.2">
      <c r="GI5300" s="422"/>
    </row>
    <row r="5301" spans="191:191" x14ac:dyDescent="0.2">
      <c r="GI5301" s="422"/>
    </row>
    <row r="5302" spans="191:191" x14ac:dyDescent="0.2">
      <c r="GI5302" s="422"/>
    </row>
    <row r="5303" spans="191:191" x14ac:dyDescent="0.2">
      <c r="GI5303" s="422"/>
    </row>
    <row r="5304" spans="191:191" x14ac:dyDescent="0.2">
      <c r="GI5304" s="422"/>
    </row>
    <row r="5305" spans="191:191" x14ac:dyDescent="0.2">
      <c r="GI5305" s="422"/>
    </row>
    <row r="5306" spans="191:191" x14ac:dyDescent="0.2">
      <c r="GI5306" s="422"/>
    </row>
    <row r="5307" spans="191:191" x14ac:dyDescent="0.2">
      <c r="GI5307" s="422"/>
    </row>
    <row r="5308" spans="191:191" x14ac:dyDescent="0.2">
      <c r="GI5308" s="422"/>
    </row>
    <row r="5309" spans="191:191" x14ac:dyDescent="0.2">
      <c r="GI5309" s="422"/>
    </row>
    <row r="5310" spans="191:191" x14ac:dyDescent="0.2">
      <c r="GI5310" s="422"/>
    </row>
    <row r="5311" spans="191:191" x14ac:dyDescent="0.2">
      <c r="GI5311" s="422"/>
    </row>
    <row r="5312" spans="191:191" x14ac:dyDescent="0.2">
      <c r="GI5312" s="422"/>
    </row>
    <row r="5313" spans="191:191" x14ac:dyDescent="0.2">
      <c r="GI5313" s="422"/>
    </row>
    <row r="5314" spans="191:191" x14ac:dyDescent="0.2">
      <c r="GI5314" s="422"/>
    </row>
    <row r="5315" spans="191:191" x14ac:dyDescent="0.2">
      <c r="GI5315" s="422"/>
    </row>
    <row r="5316" spans="191:191" x14ac:dyDescent="0.2">
      <c r="GI5316" s="422"/>
    </row>
    <row r="5317" spans="191:191" x14ac:dyDescent="0.2">
      <c r="GI5317" s="422"/>
    </row>
    <row r="5318" spans="191:191" x14ac:dyDescent="0.2">
      <c r="GI5318" s="422"/>
    </row>
    <row r="5319" spans="191:191" x14ac:dyDescent="0.2">
      <c r="GI5319" s="422"/>
    </row>
    <row r="5320" spans="191:191" x14ac:dyDescent="0.2">
      <c r="GI5320" s="422"/>
    </row>
    <row r="5321" spans="191:191" x14ac:dyDescent="0.2">
      <c r="GI5321" s="422"/>
    </row>
    <row r="5322" spans="191:191" x14ac:dyDescent="0.2">
      <c r="GI5322" s="422"/>
    </row>
    <row r="5323" spans="191:191" x14ac:dyDescent="0.2">
      <c r="GI5323" s="422"/>
    </row>
    <row r="5324" spans="191:191" x14ac:dyDescent="0.2">
      <c r="GI5324" s="422"/>
    </row>
    <row r="5325" spans="191:191" x14ac:dyDescent="0.2">
      <c r="GI5325" s="422"/>
    </row>
    <row r="5326" spans="191:191" x14ac:dyDescent="0.2">
      <c r="GI5326" s="422"/>
    </row>
    <row r="5327" spans="191:191" x14ac:dyDescent="0.2">
      <c r="GI5327" s="422"/>
    </row>
    <row r="5328" spans="191:191" x14ac:dyDescent="0.2">
      <c r="GI5328" s="422"/>
    </row>
    <row r="5329" spans="191:191" x14ac:dyDescent="0.2">
      <c r="GI5329" s="422"/>
    </row>
    <row r="5330" spans="191:191" x14ac:dyDescent="0.2">
      <c r="GI5330" s="422"/>
    </row>
    <row r="5331" spans="191:191" x14ac:dyDescent="0.2">
      <c r="GI5331" s="422"/>
    </row>
    <row r="5332" spans="191:191" x14ac:dyDescent="0.2">
      <c r="GI5332" s="422"/>
    </row>
    <row r="5333" spans="191:191" x14ac:dyDescent="0.2">
      <c r="GI5333" s="422"/>
    </row>
    <row r="5334" spans="191:191" x14ac:dyDescent="0.2">
      <c r="GI5334" s="422"/>
    </row>
    <row r="5335" spans="191:191" x14ac:dyDescent="0.2">
      <c r="GI5335" s="422"/>
    </row>
    <row r="5336" spans="191:191" x14ac:dyDescent="0.2">
      <c r="GI5336" s="422"/>
    </row>
    <row r="5337" spans="191:191" x14ac:dyDescent="0.2">
      <c r="GI5337" s="422"/>
    </row>
    <row r="5338" spans="191:191" x14ac:dyDescent="0.2">
      <c r="GI5338" s="422"/>
    </row>
    <row r="5339" spans="191:191" x14ac:dyDescent="0.2">
      <c r="GI5339" s="422"/>
    </row>
    <row r="5340" spans="191:191" x14ac:dyDescent="0.2">
      <c r="GI5340" s="422"/>
    </row>
    <row r="5341" spans="191:191" x14ac:dyDescent="0.2">
      <c r="GI5341" s="422"/>
    </row>
    <row r="5342" spans="191:191" x14ac:dyDescent="0.2">
      <c r="GI5342" s="422"/>
    </row>
    <row r="5343" spans="191:191" x14ac:dyDescent="0.2">
      <c r="GI5343" s="422"/>
    </row>
    <row r="5344" spans="191:191" x14ac:dyDescent="0.2">
      <c r="GI5344" s="422"/>
    </row>
    <row r="5345" spans="191:191" x14ac:dyDescent="0.2">
      <c r="GI5345" s="422"/>
    </row>
    <row r="5346" spans="191:191" x14ac:dyDescent="0.2">
      <c r="GI5346" s="422"/>
    </row>
    <row r="5347" spans="191:191" x14ac:dyDescent="0.2">
      <c r="GI5347" s="422"/>
    </row>
    <row r="5348" spans="191:191" x14ac:dyDescent="0.2">
      <c r="GI5348" s="422"/>
    </row>
    <row r="5349" spans="191:191" x14ac:dyDescent="0.2">
      <c r="GI5349" s="422"/>
    </row>
    <row r="5350" spans="191:191" x14ac:dyDescent="0.2">
      <c r="GI5350" s="422"/>
    </row>
    <row r="5351" spans="191:191" x14ac:dyDescent="0.2">
      <c r="GI5351" s="422"/>
    </row>
    <row r="5352" spans="191:191" x14ac:dyDescent="0.2">
      <c r="GI5352" s="422"/>
    </row>
    <row r="5353" spans="191:191" x14ac:dyDescent="0.2">
      <c r="GI5353" s="422"/>
    </row>
    <row r="5354" spans="191:191" x14ac:dyDescent="0.2">
      <c r="GI5354" s="422"/>
    </row>
    <row r="5355" spans="191:191" x14ac:dyDescent="0.2">
      <c r="GI5355" s="422"/>
    </row>
    <row r="5356" spans="191:191" x14ac:dyDescent="0.2">
      <c r="GI5356" s="422"/>
    </row>
    <row r="5357" spans="191:191" x14ac:dyDescent="0.2">
      <c r="GI5357" s="422"/>
    </row>
    <row r="5358" spans="191:191" x14ac:dyDescent="0.2">
      <c r="GI5358" s="422"/>
    </row>
    <row r="5359" spans="191:191" x14ac:dyDescent="0.2">
      <c r="GI5359" s="422"/>
    </row>
    <row r="5360" spans="191:191" x14ac:dyDescent="0.2">
      <c r="GI5360" s="422"/>
    </row>
    <row r="5361" spans="191:191" x14ac:dyDescent="0.2">
      <c r="GI5361" s="422"/>
    </row>
    <row r="5362" spans="191:191" x14ac:dyDescent="0.2">
      <c r="GI5362" s="422"/>
    </row>
    <row r="5363" spans="191:191" x14ac:dyDescent="0.2">
      <c r="GI5363" s="422"/>
    </row>
    <row r="5364" spans="191:191" x14ac:dyDescent="0.2">
      <c r="GI5364" s="422"/>
    </row>
    <row r="5365" spans="191:191" x14ac:dyDescent="0.2">
      <c r="GI5365" s="422"/>
    </row>
    <row r="5366" spans="191:191" x14ac:dyDescent="0.2">
      <c r="GI5366" s="422"/>
    </row>
    <row r="5367" spans="191:191" x14ac:dyDescent="0.2">
      <c r="GI5367" s="422"/>
    </row>
    <row r="5368" spans="191:191" x14ac:dyDescent="0.2">
      <c r="GI5368" s="422"/>
    </row>
    <row r="5369" spans="191:191" x14ac:dyDescent="0.2">
      <c r="GI5369" s="422"/>
    </row>
    <row r="5370" spans="191:191" x14ac:dyDescent="0.2">
      <c r="GI5370" s="422"/>
    </row>
    <row r="5371" spans="191:191" x14ac:dyDescent="0.2">
      <c r="GI5371" s="422"/>
    </row>
    <row r="5372" spans="191:191" x14ac:dyDescent="0.2">
      <c r="GI5372" s="422"/>
    </row>
    <row r="5373" spans="191:191" x14ac:dyDescent="0.2">
      <c r="GI5373" s="422"/>
    </row>
    <row r="5374" spans="191:191" x14ac:dyDescent="0.2">
      <c r="GI5374" s="422"/>
    </row>
    <row r="5375" spans="191:191" x14ac:dyDescent="0.2">
      <c r="GI5375" s="422"/>
    </row>
    <row r="5376" spans="191:191" x14ac:dyDescent="0.2">
      <c r="GI5376" s="422"/>
    </row>
    <row r="5377" spans="191:191" x14ac:dyDescent="0.2">
      <c r="GI5377" s="422"/>
    </row>
    <row r="5378" spans="191:191" x14ac:dyDescent="0.2">
      <c r="GI5378" s="422"/>
    </row>
    <row r="5379" spans="191:191" x14ac:dyDescent="0.2">
      <c r="GI5379" s="422"/>
    </row>
    <row r="5380" spans="191:191" x14ac:dyDescent="0.2">
      <c r="GI5380" s="422"/>
    </row>
    <row r="5381" spans="191:191" x14ac:dyDescent="0.2">
      <c r="GI5381" s="422"/>
    </row>
    <row r="5382" spans="191:191" x14ac:dyDescent="0.2">
      <c r="GI5382" s="422"/>
    </row>
    <row r="5383" spans="191:191" x14ac:dyDescent="0.2">
      <c r="GI5383" s="422"/>
    </row>
    <row r="5384" spans="191:191" x14ac:dyDescent="0.2">
      <c r="GI5384" s="422"/>
    </row>
    <row r="5385" spans="191:191" x14ac:dyDescent="0.2">
      <c r="GI5385" s="422"/>
    </row>
    <row r="5386" spans="191:191" x14ac:dyDescent="0.2">
      <c r="GI5386" s="422"/>
    </row>
    <row r="5387" spans="191:191" x14ac:dyDescent="0.2">
      <c r="GI5387" s="422"/>
    </row>
    <row r="5388" spans="191:191" x14ac:dyDescent="0.2">
      <c r="GI5388" s="422"/>
    </row>
    <row r="5389" spans="191:191" x14ac:dyDescent="0.2">
      <c r="GI5389" s="422"/>
    </row>
    <row r="5390" spans="191:191" x14ac:dyDescent="0.2">
      <c r="GI5390" s="422"/>
    </row>
    <row r="5391" spans="191:191" x14ac:dyDescent="0.2">
      <c r="GI5391" s="422"/>
    </row>
    <row r="5392" spans="191:191" x14ac:dyDescent="0.2">
      <c r="GI5392" s="422"/>
    </row>
    <row r="5393" spans="191:191" x14ac:dyDescent="0.2">
      <c r="GI5393" s="422"/>
    </row>
    <row r="5394" spans="191:191" x14ac:dyDescent="0.2">
      <c r="GI5394" s="422"/>
    </row>
    <row r="5395" spans="191:191" x14ac:dyDescent="0.2">
      <c r="GI5395" s="422"/>
    </row>
    <row r="5396" spans="191:191" x14ac:dyDescent="0.2">
      <c r="GI5396" s="422"/>
    </row>
    <row r="5397" spans="191:191" x14ac:dyDescent="0.2">
      <c r="GI5397" s="422"/>
    </row>
    <row r="5398" spans="191:191" x14ac:dyDescent="0.2">
      <c r="GI5398" s="422"/>
    </row>
    <row r="5399" spans="191:191" x14ac:dyDescent="0.2">
      <c r="GI5399" s="422"/>
    </row>
    <row r="5400" spans="191:191" x14ac:dyDescent="0.2">
      <c r="GI5400" s="422"/>
    </row>
    <row r="5401" spans="191:191" x14ac:dyDescent="0.2">
      <c r="GI5401" s="422"/>
    </row>
    <row r="5402" spans="191:191" x14ac:dyDescent="0.2">
      <c r="GI5402" s="422"/>
    </row>
    <row r="5403" spans="191:191" x14ac:dyDescent="0.2">
      <c r="GI5403" s="422"/>
    </row>
    <row r="5404" spans="191:191" x14ac:dyDescent="0.2">
      <c r="GI5404" s="422"/>
    </row>
    <row r="5405" spans="191:191" x14ac:dyDescent="0.2">
      <c r="GI5405" s="422"/>
    </row>
    <row r="5406" spans="191:191" x14ac:dyDescent="0.2">
      <c r="GI5406" s="422"/>
    </row>
    <row r="5407" spans="191:191" x14ac:dyDescent="0.2">
      <c r="GI5407" s="422"/>
    </row>
    <row r="5408" spans="191:191" x14ac:dyDescent="0.2">
      <c r="GI5408" s="422"/>
    </row>
    <row r="5409" spans="191:191" x14ac:dyDescent="0.2">
      <c r="GI5409" s="422"/>
    </row>
    <row r="5410" spans="191:191" x14ac:dyDescent="0.2">
      <c r="GI5410" s="422"/>
    </row>
    <row r="5411" spans="191:191" x14ac:dyDescent="0.2">
      <c r="GI5411" s="422"/>
    </row>
    <row r="5412" spans="191:191" x14ac:dyDescent="0.2">
      <c r="GI5412" s="422"/>
    </row>
    <row r="5413" spans="191:191" x14ac:dyDescent="0.2">
      <c r="GI5413" s="422"/>
    </row>
    <row r="5414" spans="191:191" x14ac:dyDescent="0.2">
      <c r="GI5414" s="422"/>
    </row>
    <row r="5415" spans="191:191" x14ac:dyDescent="0.2">
      <c r="GI5415" s="422"/>
    </row>
    <row r="5416" spans="191:191" x14ac:dyDescent="0.2">
      <c r="GI5416" s="422"/>
    </row>
    <row r="5417" spans="191:191" x14ac:dyDescent="0.2">
      <c r="GI5417" s="422"/>
    </row>
    <row r="5418" spans="191:191" x14ac:dyDescent="0.2">
      <c r="GI5418" s="422"/>
    </row>
    <row r="5419" spans="191:191" x14ac:dyDescent="0.2">
      <c r="GI5419" s="422"/>
    </row>
    <row r="5420" spans="191:191" x14ac:dyDescent="0.2">
      <c r="GI5420" s="422"/>
    </row>
    <row r="5421" spans="191:191" x14ac:dyDescent="0.2">
      <c r="GI5421" s="422"/>
    </row>
    <row r="5422" spans="191:191" x14ac:dyDescent="0.2">
      <c r="GI5422" s="422"/>
    </row>
    <row r="5423" spans="191:191" x14ac:dyDescent="0.2">
      <c r="GI5423" s="422"/>
    </row>
    <row r="5424" spans="191:191" x14ac:dyDescent="0.2">
      <c r="GI5424" s="422"/>
    </row>
    <row r="5425" spans="191:191" x14ac:dyDescent="0.2">
      <c r="GI5425" s="422"/>
    </row>
    <row r="5426" spans="191:191" x14ac:dyDescent="0.2">
      <c r="GI5426" s="422"/>
    </row>
    <row r="5427" spans="191:191" x14ac:dyDescent="0.2">
      <c r="GI5427" s="422"/>
    </row>
    <row r="5428" spans="191:191" x14ac:dyDescent="0.2">
      <c r="GI5428" s="422"/>
    </row>
    <row r="5429" spans="191:191" x14ac:dyDescent="0.2">
      <c r="GI5429" s="422"/>
    </row>
    <row r="5430" spans="191:191" x14ac:dyDescent="0.2">
      <c r="GI5430" s="422"/>
    </row>
    <row r="5431" spans="191:191" x14ac:dyDescent="0.2">
      <c r="GI5431" s="422"/>
    </row>
    <row r="5432" spans="191:191" x14ac:dyDescent="0.2">
      <c r="GI5432" s="422"/>
    </row>
    <row r="5433" spans="191:191" x14ac:dyDescent="0.2">
      <c r="GI5433" s="422"/>
    </row>
    <row r="5434" spans="191:191" x14ac:dyDescent="0.2">
      <c r="GI5434" s="422"/>
    </row>
    <row r="5435" spans="191:191" x14ac:dyDescent="0.2">
      <c r="GI5435" s="422"/>
    </row>
    <row r="5436" spans="191:191" x14ac:dyDescent="0.2">
      <c r="GI5436" s="422"/>
    </row>
    <row r="5437" spans="191:191" x14ac:dyDescent="0.2">
      <c r="GI5437" s="422"/>
    </row>
    <row r="5438" spans="191:191" x14ac:dyDescent="0.2">
      <c r="GI5438" s="422"/>
    </row>
    <row r="5439" spans="191:191" x14ac:dyDescent="0.2">
      <c r="GI5439" s="422"/>
    </row>
    <row r="5440" spans="191:191" x14ac:dyDescent="0.2">
      <c r="GI5440" s="422"/>
    </row>
    <row r="5441" spans="191:191" x14ac:dyDescent="0.2">
      <c r="GI5441" s="422"/>
    </row>
    <row r="5442" spans="191:191" x14ac:dyDescent="0.2">
      <c r="GI5442" s="422"/>
    </row>
    <row r="5443" spans="191:191" x14ac:dyDescent="0.2">
      <c r="GI5443" s="422"/>
    </row>
    <row r="5444" spans="191:191" x14ac:dyDescent="0.2">
      <c r="GI5444" s="422"/>
    </row>
    <row r="5445" spans="191:191" x14ac:dyDescent="0.2">
      <c r="GI5445" s="422"/>
    </row>
    <row r="5446" spans="191:191" x14ac:dyDescent="0.2">
      <c r="GI5446" s="422"/>
    </row>
    <row r="5447" spans="191:191" x14ac:dyDescent="0.2">
      <c r="GI5447" s="422"/>
    </row>
    <row r="5448" spans="191:191" x14ac:dyDescent="0.2">
      <c r="GI5448" s="422"/>
    </row>
    <row r="5449" spans="191:191" x14ac:dyDescent="0.2">
      <c r="GI5449" s="422"/>
    </row>
    <row r="5450" spans="191:191" x14ac:dyDescent="0.2">
      <c r="GI5450" s="422"/>
    </row>
    <row r="5451" spans="191:191" x14ac:dyDescent="0.2">
      <c r="GI5451" s="422"/>
    </row>
    <row r="5452" spans="191:191" x14ac:dyDescent="0.2">
      <c r="GI5452" s="422"/>
    </row>
    <row r="5453" spans="191:191" x14ac:dyDescent="0.2">
      <c r="GI5453" s="422"/>
    </row>
    <row r="5454" spans="191:191" x14ac:dyDescent="0.2">
      <c r="GI5454" s="422"/>
    </row>
    <row r="5455" spans="191:191" x14ac:dyDescent="0.2">
      <c r="GI5455" s="422"/>
    </row>
    <row r="5456" spans="191:191" x14ac:dyDescent="0.2">
      <c r="GI5456" s="422"/>
    </row>
    <row r="5457" spans="191:191" x14ac:dyDescent="0.2">
      <c r="GI5457" s="422"/>
    </row>
    <row r="5458" spans="191:191" x14ac:dyDescent="0.2">
      <c r="GI5458" s="422"/>
    </row>
    <row r="5459" spans="191:191" x14ac:dyDescent="0.2">
      <c r="GI5459" s="422"/>
    </row>
    <row r="5460" spans="191:191" x14ac:dyDescent="0.2">
      <c r="GI5460" s="422"/>
    </row>
    <row r="5461" spans="191:191" x14ac:dyDescent="0.2">
      <c r="GI5461" s="422"/>
    </row>
    <row r="5462" spans="191:191" x14ac:dyDescent="0.2">
      <c r="GI5462" s="422"/>
    </row>
    <row r="5463" spans="191:191" x14ac:dyDescent="0.2">
      <c r="GI5463" s="422"/>
    </row>
    <row r="5464" spans="191:191" x14ac:dyDescent="0.2">
      <c r="GI5464" s="422"/>
    </row>
    <row r="5465" spans="191:191" x14ac:dyDescent="0.2">
      <c r="GI5465" s="422"/>
    </row>
    <row r="5466" spans="191:191" x14ac:dyDescent="0.2">
      <c r="GI5466" s="422"/>
    </row>
    <row r="5467" spans="191:191" x14ac:dyDescent="0.2">
      <c r="GI5467" s="422"/>
    </row>
    <row r="5468" spans="191:191" x14ac:dyDescent="0.2">
      <c r="GI5468" s="422"/>
    </row>
    <row r="5469" spans="191:191" x14ac:dyDescent="0.2">
      <c r="GI5469" s="422"/>
    </row>
    <row r="5470" spans="191:191" x14ac:dyDescent="0.2">
      <c r="GI5470" s="422"/>
    </row>
    <row r="5471" spans="191:191" x14ac:dyDescent="0.2">
      <c r="GI5471" s="422"/>
    </row>
    <row r="5472" spans="191:191" x14ac:dyDescent="0.2">
      <c r="GI5472" s="422"/>
    </row>
    <row r="5473" spans="191:191" x14ac:dyDescent="0.2">
      <c r="GI5473" s="422"/>
    </row>
    <row r="5474" spans="191:191" x14ac:dyDescent="0.2">
      <c r="GI5474" s="422"/>
    </row>
    <row r="5475" spans="191:191" x14ac:dyDescent="0.2">
      <c r="GI5475" s="422"/>
    </row>
    <row r="5476" spans="191:191" x14ac:dyDescent="0.2">
      <c r="GI5476" s="422"/>
    </row>
    <row r="5477" spans="191:191" x14ac:dyDescent="0.2">
      <c r="GI5477" s="422"/>
    </row>
    <row r="5478" spans="191:191" x14ac:dyDescent="0.2">
      <c r="GI5478" s="422"/>
    </row>
    <row r="5479" spans="191:191" x14ac:dyDescent="0.2">
      <c r="GI5479" s="422"/>
    </row>
    <row r="5480" spans="191:191" x14ac:dyDescent="0.2">
      <c r="GI5480" s="422"/>
    </row>
    <row r="5481" spans="191:191" x14ac:dyDescent="0.2">
      <c r="GI5481" s="422"/>
    </row>
    <row r="5482" spans="191:191" x14ac:dyDescent="0.2">
      <c r="GI5482" s="422"/>
    </row>
    <row r="5483" spans="191:191" x14ac:dyDescent="0.2">
      <c r="GI5483" s="422"/>
    </row>
    <row r="5484" spans="191:191" x14ac:dyDescent="0.2">
      <c r="GI5484" s="422"/>
    </row>
    <row r="5485" spans="191:191" x14ac:dyDescent="0.2">
      <c r="GI5485" s="422"/>
    </row>
    <row r="5486" spans="191:191" x14ac:dyDescent="0.2">
      <c r="GI5486" s="422"/>
    </row>
    <row r="5487" spans="191:191" x14ac:dyDescent="0.2">
      <c r="GI5487" s="422"/>
    </row>
    <row r="5488" spans="191:191" x14ac:dyDescent="0.2">
      <c r="GI5488" s="422"/>
    </row>
    <row r="5489" spans="191:191" x14ac:dyDescent="0.2">
      <c r="GI5489" s="422"/>
    </row>
    <row r="5490" spans="191:191" x14ac:dyDescent="0.2">
      <c r="GI5490" s="422"/>
    </row>
    <row r="5491" spans="191:191" x14ac:dyDescent="0.2">
      <c r="GI5491" s="422"/>
    </row>
    <row r="5492" spans="191:191" x14ac:dyDescent="0.2">
      <c r="GI5492" s="422"/>
    </row>
    <row r="5493" spans="191:191" x14ac:dyDescent="0.2">
      <c r="GI5493" s="422"/>
    </row>
    <row r="5494" spans="191:191" x14ac:dyDescent="0.2">
      <c r="GI5494" s="422"/>
    </row>
    <row r="5495" spans="191:191" x14ac:dyDescent="0.2">
      <c r="GI5495" s="422"/>
    </row>
    <row r="5496" spans="191:191" x14ac:dyDescent="0.2">
      <c r="GI5496" s="422"/>
    </row>
    <row r="5497" spans="191:191" x14ac:dyDescent="0.2">
      <c r="GI5497" s="422"/>
    </row>
    <row r="5498" spans="191:191" x14ac:dyDescent="0.2">
      <c r="GI5498" s="422"/>
    </row>
    <row r="5499" spans="191:191" x14ac:dyDescent="0.2">
      <c r="GI5499" s="422"/>
    </row>
    <row r="5500" spans="191:191" x14ac:dyDescent="0.2">
      <c r="GI5500" s="422"/>
    </row>
    <row r="5501" spans="191:191" x14ac:dyDescent="0.2">
      <c r="GI5501" s="422"/>
    </row>
    <row r="5502" spans="191:191" x14ac:dyDescent="0.2">
      <c r="GI5502" s="422"/>
    </row>
    <row r="5503" spans="191:191" x14ac:dyDescent="0.2">
      <c r="GI5503" s="422"/>
    </row>
    <row r="5504" spans="191:191" x14ac:dyDescent="0.2">
      <c r="GI5504" s="422"/>
    </row>
    <row r="5505" spans="191:191" x14ac:dyDescent="0.2">
      <c r="GI5505" s="422"/>
    </row>
    <row r="5506" spans="191:191" x14ac:dyDescent="0.2">
      <c r="GI5506" s="422"/>
    </row>
    <row r="5507" spans="191:191" x14ac:dyDescent="0.2">
      <c r="GI5507" s="422"/>
    </row>
    <row r="5508" spans="191:191" x14ac:dyDescent="0.2">
      <c r="GI5508" s="422"/>
    </row>
    <row r="5509" spans="191:191" x14ac:dyDescent="0.2">
      <c r="GI5509" s="422"/>
    </row>
    <row r="5510" spans="191:191" x14ac:dyDescent="0.2">
      <c r="GI5510" s="422"/>
    </row>
    <row r="5511" spans="191:191" x14ac:dyDescent="0.2">
      <c r="GI5511" s="422"/>
    </row>
    <row r="5512" spans="191:191" x14ac:dyDescent="0.2">
      <c r="GI5512" s="422"/>
    </row>
    <row r="5513" spans="191:191" x14ac:dyDescent="0.2">
      <c r="GI5513" s="422"/>
    </row>
    <row r="5514" spans="191:191" x14ac:dyDescent="0.2">
      <c r="GI5514" s="422"/>
    </row>
    <row r="5515" spans="191:191" x14ac:dyDescent="0.2">
      <c r="GI5515" s="422"/>
    </row>
    <row r="5516" spans="191:191" x14ac:dyDescent="0.2">
      <c r="GI5516" s="422"/>
    </row>
    <row r="5517" spans="191:191" x14ac:dyDescent="0.2">
      <c r="GI5517" s="422"/>
    </row>
    <row r="5518" spans="191:191" x14ac:dyDescent="0.2">
      <c r="GI5518" s="422"/>
    </row>
    <row r="5519" spans="191:191" x14ac:dyDescent="0.2">
      <c r="GI5519" s="422"/>
    </row>
    <row r="5520" spans="191:191" x14ac:dyDescent="0.2">
      <c r="GI5520" s="422"/>
    </row>
    <row r="5521" spans="191:191" x14ac:dyDescent="0.2">
      <c r="GI5521" s="422"/>
    </row>
    <row r="5522" spans="191:191" x14ac:dyDescent="0.2">
      <c r="GI5522" s="422"/>
    </row>
    <row r="5523" spans="191:191" x14ac:dyDescent="0.2">
      <c r="GI5523" s="422"/>
    </row>
    <row r="5524" spans="191:191" x14ac:dyDescent="0.2">
      <c r="GI5524" s="422"/>
    </row>
    <row r="5525" spans="191:191" x14ac:dyDescent="0.2">
      <c r="GI5525" s="422"/>
    </row>
    <row r="5526" spans="191:191" x14ac:dyDescent="0.2">
      <c r="GI5526" s="422"/>
    </row>
    <row r="5527" spans="191:191" x14ac:dyDescent="0.2">
      <c r="GI5527" s="422"/>
    </row>
    <row r="5528" spans="191:191" x14ac:dyDescent="0.2">
      <c r="GI5528" s="422"/>
    </row>
    <row r="5529" spans="191:191" x14ac:dyDescent="0.2">
      <c r="GI5529" s="422"/>
    </row>
    <row r="5530" spans="191:191" x14ac:dyDescent="0.2">
      <c r="GI5530" s="422"/>
    </row>
    <row r="5531" spans="191:191" x14ac:dyDescent="0.2">
      <c r="GI5531" s="422"/>
    </row>
    <row r="5532" spans="191:191" x14ac:dyDescent="0.2">
      <c r="GI5532" s="422"/>
    </row>
    <row r="5533" spans="191:191" x14ac:dyDescent="0.2">
      <c r="GI5533" s="422"/>
    </row>
    <row r="5534" spans="191:191" x14ac:dyDescent="0.2">
      <c r="GI5534" s="422"/>
    </row>
    <row r="5535" spans="191:191" x14ac:dyDescent="0.2">
      <c r="GI5535" s="422"/>
    </row>
    <row r="5536" spans="191:191" x14ac:dyDescent="0.2">
      <c r="GI5536" s="422"/>
    </row>
    <row r="5537" spans="191:191" x14ac:dyDescent="0.2">
      <c r="GI5537" s="422"/>
    </row>
    <row r="5538" spans="191:191" x14ac:dyDescent="0.2">
      <c r="GI5538" s="422"/>
    </row>
    <row r="5539" spans="191:191" x14ac:dyDescent="0.2">
      <c r="GI5539" s="422"/>
    </row>
    <row r="5540" spans="191:191" x14ac:dyDescent="0.2">
      <c r="GI5540" s="422"/>
    </row>
    <row r="5541" spans="191:191" x14ac:dyDescent="0.2">
      <c r="GI5541" s="422"/>
    </row>
    <row r="5542" spans="191:191" x14ac:dyDescent="0.2">
      <c r="GI5542" s="422"/>
    </row>
    <row r="5543" spans="191:191" x14ac:dyDescent="0.2">
      <c r="GI5543" s="422"/>
    </row>
    <row r="5544" spans="191:191" x14ac:dyDescent="0.2">
      <c r="GI5544" s="422"/>
    </row>
    <row r="5545" spans="191:191" x14ac:dyDescent="0.2">
      <c r="GI5545" s="422"/>
    </row>
    <row r="5546" spans="191:191" x14ac:dyDescent="0.2">
      <c r="GI5546" s="422"/>
    </row>
    <row r="5547" spans="191:191" x14ac:dyDescent="0.2">
      <c r="GI5547" s="422"/>
    </row>
    <row r="5548" spans="191:191" x14ac:dyDescent="0.2">
      <c r="GI5548" s="422"/>
    </row>
    <row r="5549" spans="191:191" x14ac:dyDescent="0.2">
      <c r="GI5549" s="422"/>
    </row>
    <row r="5550" spans="191:191" x14ac:dyDescent="0.2">
      <c r="GI5550" s="422"/>
    </row>
    <row r="5551" spans="191:191" x14ac:dyDescent="0.2">
      <c r="GI5551" s="422"/>
    </row>
    <row r="5552" spans="191:191" x14ac:dyDescent="0.2">
      <c r="GI5552" s="422"/>
    </row>
    <row r="5553" spans="191:191" x14ac:dyDescent="0.2">
      <c r="GI5553" s="422"/>
    </row>
    <row r="5554" spans="191:191" x14ac:dyDescent="0.2">
      <c r="GI5554" s="422"/>
    </row>
    <row r="5555" spans="191:191" x14ac:dyDescent="0.2">
      <c r="GI5555" s="422"/>
    </row>
    <row r="5556" spans="191:191" x14ac:dyDescent="0.2">
      <c r="GI5556" s="422"/>
    </row>
    <row r="5557" spans="191:191" x14ac:dyDescent="0.2">
      <c r="GI5557" s="422"/>
    </row>
    <row r="5558" spans="191:191" x14ac:dyDescent="0.2">
      <c r="GI5558" s="422"/>
    </row>
    <row r="5559" spans="191:191" x14ac:dyDescent="0.2">
      <c r="GI5559" s="422"/>
    </row>
    <row r="5560" spans="191:191" x14ac:dyDescent="0.2">
      <c r="GI5560" s="422"/>
    </row>
    <row r="5561" spans="191:191" x14ac:dyDescent="0.2">
      <c r="GI5561" s="422"/>
    </row>
    <row r="5562" spans="191:191" x14ac:dyDescent="0.2">
      <c r="GI5562" s="422"/>
    </row>
    <row r="5563" spans="191:191" x14ac:dyDescent="0.2">
      <c r="GI5563" s="422"/>
    </row>
    <row r="5564" spans="191:191" x14ac:dyDescent="0.2">
      <c r="GI5564" s="422"/>
    </row>
    <row r="5565" spans="191:191" x14ac:dyDescent="0.2">
      <c r="GI5565" s="422"/>
    </row>
    <row r="5566" spans="191:191" x14ac:dyDescent="0.2">
      <c r="GI5566" s="422"/>
    </row>
    <row r="5567" spans="191:191" x14ac:dyDescent="0.2">
      <c r="GI5567" s="422"/>
    </row>
    <row r="5568" spans="191:191" x14ac:dyDescent="0.2">
      <c r="GI5568" s="422"/>
    </row>
    <row r="5569" spans="191:191" x14ac:dyDescent="0.2">
      <c r="GI5569" s="422"/>
    </row>
    <row r="5570" spans="191:191" x14ac:dyDescent="0.2">
      <c r="GI5570" s="422"/>
    </row>
    <row r="5571" spans="191:191" x14ac:dyDescent="0.2">
      <c r="GI5571" s="422"/>
    </row>
    <row r="5572" spans="191:191" x14ac:dyDescent="0.2">
      <c r="GI5572" s="422"/>
    </row>
    <row r="5573" spans="191:191" x14ac:dyDescent="0.2">
      <c r="GI5573" s="422"/>
    </row>
    <row r="5574" spans="191:191" x14ac:dyDescent="0.2">
      <c r="GI5574" s="422"/>
    </row>
    <row r="5575" spans="191:191" x14ac:dyDescent="0.2">
      <c r="GI5575" s="422"/>
    </row>
    <row r="5576" spans="191:191" x14ac:dyDescent="0.2">
      <c r="GI5576" s="422"/>
    </row>
    <row r="5577" spans="191:191" x14ac:dyDescent="0.2">
      <c r="GI5577" s="422"/>
    </row>
    <row r="5578" spans="191:191" x14ac:dyDescent="0.2">
      <c r="GI5578" s="422"/>
    </row>
    <row r="5579" spans="191:191" x14ac:dyDescent="0.2">
      <c r="GI5579" s="422"/>
    </row>
    <row r="5580" spans="191:191" x14ac:dyDescent="0.2">
      <c r="GI5580" s="422"/>
    </row>
    <row r="5581" spans="191:191" x14ac:dyDescent="0.2">
      <c r="GI5581" s="422"/>
    </row>
    <row r="5582" spans="191:191" x14ac:dyDescent="0.2">
      <c r="GI5582" s="422"/>
    </row>
    <row r="5583" spans="191:191" x14ac:dyDescent="0.2">
      <c r="GI5583" s="422"/>
    </row>
    <row r="5584" spans="191:191" x14ac:dyDescent="0.2">
      <c r="GI5584" s="422"/>
    </row>
    <row r="5585" spans="191:191" x14ac:dyDescent="0.2">
      <c r="GI5585" s="422"/>
    </row>
    <row r="5586" spans="191:191" x14ac:dyDescent="0.2">
      <c r="GI5586" s="422"/>
    </row>
    <row r="5587" spans="191:191" x14ac:dyDescent="0.2">
      <c r="GI5587" s="422"/>
    </row>
    <row r="5588" spans="191:191" x14ac:dyDescent="0.2">
      <c r="GI5588" s="422"/>
    </row>
    <row r="5589" spans="191:191" x14ac:dyDescent="0.2">
      <c r="GI5589" s="422"/>
    </row>
    <row r="5590" spans="191:191" x14ac:dyDescent="0.2">
      <c r="GI5590" s="422"/>
    </row>
    <row r="5591" spans="191:191" x14ac:dyDescent="0.2">
      <c r="GI5591" s="422"/>
    </row>
    <row r="5592" spans="191:191" x14ac:dyDescent="0.2">
      <c r="GI5592" s="422"/>
    </row>
    <row r="5593" spans="191:191" x14ac:dyDescent="0.2">
      <c r="GI5593" s="422"/>
    </row>
    <row r="5594" spans="191:191" x14ac:dyDescent="0.2">
      <c r="GI5594" s="422"/>
    </row>
    <row r="5595" spans="191:191" x14ac:dyDescent="0.2">
      <c r="GI5595" s="422"/>
    </row>
    <row r="5596" spans="191:191" x14ac:dyDescent="0.2">
      <c r="GI5596" s="422"/>
    </row>
    <row r="5597" spans="191:191" x14ac:dyDescent="0.2">
      <c r="GI5597" s="422"/>
    </row>
    <row r="5598" spans="191:191" x14ac:dyDescent="0.2">
      <c r="GI5598" s="422"/>
    </row>
    <row r="5599" spans="191:191" x14ac:dyDescent="0.2">
      <c r="GI5599" s="422"/>
    </row>
    <row r="5600" spans="191:191" x14ac:dyDescent="0.2">
      <c r="GI5600" s="422"/>
    </row>
    <row r="5601" spans="191:191" x14ac:dyDescent="0.2">
      <c r="GI5601" s="422"/>
    </row>
    <row r="5602" spans="191:191" x14ac:dyDescent="0.2">
      <c r="GI5602" s="422"/>
    </row>
    <row r="5603" spans="191:191" x14ac:dyDescent="0.2">
      <c r="GI5603" s="422"/>
    </row>
    <row r="5604" spans="191:191" x14ac:dyDescent="0.2">
      <c r="GI5604" s="422"/>
    </row>
    <row r="5605" spans="191:191" x14ac:dyDescent="0.2">
      <c r="GI5605" s="422"/>
    </row>
    <row r="5606" spans="191:191" x14ac:dyDescent="0.2">
      <c r="GI5606" s="422"/>
    </row>
    <row r="5607" spans="191:191" x14ac:dyDescent="0.2">
      <c r="GI5607" s="422"/>
    </row>
    <row r="5608" spans="191:191" x14ac:dyDescent="0.2">
      <c r="GI5608" s="422"/>
    </row>
    <row r="5609" spans="191:191" x14ac:dyDescent="0.2">
      <c r="GI5609" s="422"/>
    </row>
    <row r="5610" spans="191:191" x14ac:dyDescent="0.2">
      <c r="GI5610" s="422"/>
    </row>
    <row r="5611" spans="191:191" x14ac:dyDescent="0.2">
      <c r="GI5611" s="422"/>
    </row>
    <row r="5612" spans="191:191" x14ac:dyDescent="0.2">
      <c r="GI5612" s="422"/>
    </row>
    <row r="5613" spans="191:191" x14ac:dyDescent="0.2">
      <c r="GI5613" s="422"/>
    </row>
    <row r="5614" spans="191:191" x14ac:dyDescent="0.2">
      <c r="GI5614" s="422"/>
    </row>
    <row r="5615" spans="191:191" x14ac:dyDescent="0.2">
      <c r="GI5615" s="422"/>
    </row>
    <row r="5616" spans="191:191" x14ac:dyDescent="0.2">
      <c r="GI5616" s="422"/>
    </row>
    <row r="5617" spans="191:191" x14ac:dyDescent="0.2">
      <c r="GI5617" s="422"/>
    </row>
    <row r="5618" spans="191:191" x14ac:dyDescent="0.2">
      <c r="GI5618" s="422"/>
    </row>
    <row r="5619" spans="191:191" x14ac:dyDescent="0.2">
      <c r="GI5619" s="422"/>
    </row>
    <row r="5620" spans="191:191" x14ac:dyDescent="0.2">
      <c r="GI5620" s="422"/>
    </row>
    <row r="5621" spans="191:191" x14ac:dyDescent="0.2">
      <c r="GI5621" s="422"/>
    </row>
    <row r="5622" spans="191:191" x14ac:dyDescent="0.2">
      <c r="GI5622" s="422"/>
    </row>
    <row r="5623" spans="191:191" x14ac:dyDescent="0.2">
      <c r="GI5623" s="422"/>
    </row>
    <row r="5624" spans="191:191" x14ac:dyDescent="0.2">
      <c r="GI5624" s="422"/>
    </row>
    <row r="5625" spans="191:191" x14ac:dyDescent="0.2">
      <c r="GI5625" s="422"/>
    </row>
    <row r="5626" spans="191:191" x14ac:dyDescent="0.2">
      <c r="GI5626" s="422"/>
    </row>
    <row r="5627" spans="191:191" x14ac:dyDescent="0.2">
      <c r="GI5627" s="422"/>
    </row>
    <row r="5628" spans="191:191" x14ac:dyDescent="0.2">
      <c r="GI5628" s="422"/>
    </row>
    <row r="5629" spans="191:191" x14ac:dyDescent="0.2">
      <c r="GI5629" s="422"/>
    </row>
    <row r="5630" spans="191:191" x14ac:dyDescent="0.2">
      <c r="GI5630" s="422"/>
    </row>
    <row r="5631" spans="191:191" x14ac:dyDescent="0.2">
      <c r="GI5631" s="422"/>
    </row>
    <row r="5632" spans="191:191" x14ac:dyDescent="0.2">
      <c r="GI5632" s="422"/>
    </row>
    <row r="5633" spans="191:191" x14ac:dyDescent="0.2">
      <c r="GI5633" s="422"/>
    </row>
    <row r="5634" spans="191:191" x14ac:dyDescent="0.2">
      <c r="GI5634" s="422"/>
    </row>
    <row r="5635" spans="191:191" x14ac:dyDescent="0.2">
      <c r="GI5635" s="422"/>
    </row>
    <row r="5636" spans="191:191" x14ac:dyDescent="0.2">
      <c r="GI5636" s="422"/>
    </row>
    <row r="5637" spans="191:191" x14ac:dyDescent="0.2">
      <c r="GI5637" s="422"/>
    </row>
    <row r="5638" spans="191:191" x14ac:dyDescent="0.2">
      <c r="GI5638" s="422"/>
    </row>
    <row r="5639" spans="191:191" x14ac:dyDescent="0.2">
      <c r="GI5639" s="422"/>
    </row>
    <row r="5640" spans="191:191" x14ac:dyDescent="0.2">
      <c r="GI5640" s="422"/>
    </row>
    <row r="5641" spans="191:191" x14ac:dyDescent="0.2">
      <c r="GI5641" s="422"/>
    </row>
    <row r="5642" spans="191:191" x14ac:dyDescent="0.2">
      <c r="GI5642" s="422"/>
    </row>
    <row r="5643" spans="191:191" x14ac:dyDescent="0.2">
      <c r="GI5643" s="422"/>
    </row>
    <row r="5644" spans="191:191" x14ac:dyDescent="0.2">
      <c r="GI5644" s="422"/>
    </row>
    <row r="5645" spans="191:191" x14ac:dyDescent="0.2">
      <c r="GI5645" s="422"/>
    </row>
    <row r="5646" spans="191:191" x14ac:dyDescent="0.2">
      <c r="GI5646" s="422"/>
    </row>
    <row r="5647" spans="191:191" x14ac:dyDescent="0.2">
      <c r="GI5647" s="422"/>
    </row>
    <row r="5648" spans="191:191" x14ac:dyDescent="0.2">
      <c r="GI5648" s="422"/>
    </row>
    <row r="5649" spans="191:191" x14ac:dyDescent="0.2">
      <c r="GI5649" s="422"/>
    </row>
    <row r="5650" spans="191:191" x14ac:dyDescent="0.2">
      <c r="GI5650" s="422"/>
    </row>
    <row r="5651" spans="191:191" x14ac:dyDescent="0.2">
      <c r="GI5651" s="422"/>
    </row>
    <row r="5652" spans="191:191" x14ac:dyDescent="0.2">
      <c r="GI5652" s="422"/>
    </row>
    <row r="5653" spans="191:191" x14ac:dyDescent="0.2">
      <c r="GI5653" s="422"/>
    </row>
    <row r="5654" spans="191:191" x14ac:dyDescent="0.2">
      <c r="GI5654" s="422"/>
    </row>
    <row r="5655" spans="191:191" x14ac:dyDescent="0.2">
      <c r="GI5655" s="422"/>
    </row>
    <row r="5656" spans="191:191" x14ac:dyDescent="0.2">
      <c r="GI5656" s="422"/>
    </row>
    <row r="5657" spans="191:191" x14ac:dyDescent="0.2">
      <c r="GI5657" s="422"/>
    </row>
    <row r="5658" spans="191:191" x14ac:dyDescent="0.2">
      <c r="GI5658" s="422"/>
    </row>
    <row r="5659" spans="191:191" x14ac:dyDescent="0.2">
      <c r="GI5659" s="422"/>
    </row>
    <row r="5660" spans="191:191" x14ac:dyDescent="0.2">
      <c r="GI5660" s="422"/>
    </row>
    <row r="5661" spans="191:191" x14ac:dyDescent="0.2">
      <c r="GI5661" s="422"/>
    </row>
    <row r="5662" spans="191:191" x14ac:dyDescent="0.2">
      <c r="GI5662" s="422"/>
    </row>
    <row r="5663" spans="191:191" x14ac:dyDescent="0.2">
      <c r="GI5663" s="422"/>
    </row>
    <row r="5664" spans="191:191" x14ac:dyDescent="0.2">
      <c r="GI5664" s="422"/>
    </row>
    <row r="5665" spans="191:191" x14ac:dyDescent="0.2">
      <c r="GI5665" s="422"/>
    </row>
    <row r="5666" spans="191:191" x14ac:dyDescent="0.2">
      <c r="GI5666" s="422"/>
    </row>
    <row r="5667" spans="191:191" x14ac:dyDescent="0.2">
      <c r="GI5667" s="422"/>
    </row>
    <row r="5668" spans="191:191" x14ac:dyDescent="0.2">
      <c r="GI5668" s="422"/>
    </row>
    <row r="5669" spans="191:191" x14ac:dyDescent="0.2">
      <c r="GI5669" s="422"/>
    </row>
    <row r="5670" spans="191:191" x14ac:dyDescent="0.2">
      <c r="GI5670" s="422"/>
    </row>
    <row r="5671" spans="191:191" x14ac:dyDescent="0.2">
      <c r="GI5671" s="422"/>
    </row>
    <row r="5672" spans="191:191" x14ac:dyDescent="0.2">
      <c r="GI5672" s="422"/>
    </row>
    <row r="5673" spans="191:191" x14ac:dyDescent="0.2">
      <c r="GI5673" s="422"/>
    </row>
    <row r="5674" spans="191:191" x14ac:dyDescent="0.2">
      <c r="GI5674" s="422"/>
    </row>
    <row r="5675" spans="191:191" x14ac:dyDescent="0.2">
      <c r="GI5675" s="422"/>
    </row>
    <row r="5676" spans="191:191" x14ac:dyDescent="0.2">
      <c r="GI5676" s="422"/>
    </row>
    <row r="5677" spans="191:191" x14ac:dyDescent="0.2">
      <c r="GI5677" s="422"/>
    </row>
    <row r="5678" spans="191:191" x14ac:dyDescent="0.2">
      <c r="GI5678" s="422"/>
    </row>
    <row r="5679" spans="191:191" x14ac:dyDescent="0.2">
      <c r="GI5679" s="422"/>
    </row>
    <row r="5680" spans="191:191" x14ac:dyDescent="0.2">
      <c r="GI5680" s="422"/>
    </row>
    <row r="5681" spans="191:191" x14ac:dyDescent="0.2">
      <c r="GI5681" s="422"/>
    </row>
    <row r="5682" spans="191:191" x14ac:dyDescent="0.2">
      <c r="GI5682" s="422"/>
    </row>
    <row r="5683" spans="191:191" x14ac:dyDescent="0.2">
      <c r="GI5683" s="422"/>
    </row>
    <row r="5684" spans="191:191" x14ac:dyDescent="0.2">
      <c r="GI5684" s="422"/>
    </row>
    <row r="5685" spans="191:191" x14ac:dyDescent="0.2">
      <c r="GI5685" s="422"/>
    </row>
    <row r="5686" spans="191:191" x14ac:dyDescent="0.2">
      <c r="GI5686" s="422"/>
    </row>
    <row r="5687" spans="191:191" x14ac:dyDescent="0.2">
      <c r="GI5687" s="422"/>
    </row>
    <row r="5688" spans="191:191" x14ac:dyDescent="0.2">
      <c r="GI5688" s="422"/>
    </row>
    <row r="5689" spans="191:191" x14ac:dyDescent="0.2">
      <c r="GI5689" s="422"/>
    </row>
    <row r="5690" spans="191:191" x14ac:dyDescent="0.2">
      <c r="GI5690" s="422"/>
    </row>
    <row r="5691" spans="191:191" x14ac:dyDescent="0.2">
      <c r="GI5691" s="422"/>
    </row>
    <row r="5692" spans="191:191" x14ac:dyDescent="0.2">
      <c r="GI5692" s="422"/>
    </row>
    <row r="5693" spans="191:191" x14ac:dyDescent="0.2">
      <c r="GI5693" s="422"/>
    </row>
    <row r="5694" spans="191:191" x14ac:dyDescent="0.2">
      <c r="GI5694" s="422"/>
    </row>
    <row r="5695" spans="191:191" x14ac:dyDescent="0.2">
      <c r="GI5695" s="422"/>
    </row>
    <row r="5696" spans="191:191" x14ac:dyDescent="0.2">
      <c r="GI5696" s="422"/>
    </row>
    <row r="5697" spans="191:191" x14ac:dyDescent="0.2">
      <c r="GI5697" s="422"/>
    </row>
    <row r="5698" spans="191:191" x14ac:dyDescent="0.2">
      <c r="GI5698" s="422"/>
    </row>
    <row r="5699" spans="191:191" x14ac:dyDescent="0.2">
      <c r="GI5699" s="422"/>
    </row>
    <row r="5700" spans="191:191" x14ac:dyDescent="0.2">
      <c r="GI5700" s="422"/>
    </row>
    <row r="5701" spans="191:191" x14ac:dyDescent="0.2">
      <c r="GI5701" s="422"/>
    </row>
    <row r="5702" spans="191:191" x14ac:dyDescent="0.2">
      <c r="GI5702" s="422"/>
    </row>
    <row r="5703" spans="191:191" x14ac:dyDescent="0.2">
      <c r="GI5703" s="422"/>
    </row>
    <row r="5704" spans="191:191" x14ac:dyDescent="0.2">
      <c r="GI5704" s="422"/>
    </row>
    <row r="5705" spans="191:191" x14ac:dyDescent="0.2">
      <c r="GI5705" s="422"/>
    </row>
    <row r="5706" spans="191:191" x14ac:dyDescent="0.2">
      <c r="GI5706" s="422"/>
    </row>
    <row r="5707" spans="191:191" x14ac:dyDescent="0.2">
      <c r="GI5707" s="422"/>
    </row>
    <row r="5708" spans="191:191" x14ac:dyDescent="0.2">
      <c r="GI5708" s="422"/>
    </row>
    <row r="5709" spans="191:191" x14ac:dyDescent="0.2">
      <c r="GI5709" s="422"/>
    </row>
    <row r="5710" spans="191:191" x14ac:dyDescent="0.2">
      <c r="GI5710" s="422"/>
    </row>
    <row r="5711" spans="191:191" x14ac:dyDescent="0.2">
      <c r="GI5711" s="422"/>
    </row>
    <row r="5712" spans="191:191" x14ac:dyDescent="0.2">
      <c r="GI5712" s="422"/>
    </row>
    <row r="5713" spans="191:191" x14ac:dyDescent="0.2">
      <c r="GI5713" s="422"/>
    </row>
    <row r="5714" spans="191:191" x14ac:dyDescent="0.2">
      <c r="GI5714" s="422"/>
    </row>
    <row r="5715" spans="191:191" x14ac:dyDescent="0.2">
      <c r="GI5715" s="422"/>
    </row>
    <row r="5716" spans="191:191" x14ac:dyDescent="0.2">
      <c r="GI5716" s="422"/>
    </row>
    <row r="5717" spans="191:191" x14ac:dyDescent="0.2">
      <c r="GI5717" s="422"/>
    </row>
    <row r="5718" spans="191:191" x14ac:dyDescent="0.2">
      <c r="GI5718" s="422"/>
    </row>
    <row r="5719" spans="191:191" x14ac:dyDescent="0.2">
      <c r="GI5719" s="422"/>
    </row>
    <row r="5720" spans="191:191" x14ac:dyDescent="0.2">
      <c r="GI5720" s="422"/>
    </row>
    <row r="5721" spans="191:191" x14ac:dyDescent="0.2">
      <c r="GI5721" s="422"/>
    </row>
    <row r="5722" spans="191:191" x14ac:dyDescent="0.2">
      <c r="GI5722" s="422"/>
    </row>
    <row r="5723" spans="191:191" x14ac:dyDescent="0.2">
      <c r="GI5723" s="422"/>
    </row>
    <row r="5724" spans="191:191" x14ac:dyDescent="0.2">
      <c r="GI5724" s="422"/>
    </row>
    <row r="5725" spans="191:191" x14ac:dyDescent="0.2">
      <c r="GI5725" s="422"/>
    </row>
    <row r="5726" spans="191:191" x14ac:dyDescent="0.2">
      <c r="GI5726" s="422"/>
    </row>
    <row r="5727" spans="191:191" x14ac:dyDescent="0.2">
      <c r="GI5727" s="422"/>
    </row>
    <row r="5728" spans="191:191" x14ac:dyDescent="0.2">
      <c r="GI5728" s="422"/>
    </row>
    <row r="5729" spans="191:191" x14ac:dyDescent="0.2">
      <c r="GI5729" s="422"/>
    </row>
    <row r="5730" spans="191:191" x14ac:dyDescent="0.2">
      <c r="GI5730" s="422"/>
    </row>
    <row r="5731" spans="191:191" x14ac:dyDescent="0.2">
      <c r="GI5731" s="422"/>
    </row>
    <row r="5732" spans="191:191" x14ac:dyDescent="0.2">
      <c r="GI5732" s="422"/>
    </row>
    <row r="5733" spans="191:191" x14ac:dyDescent="0.2">
      <c r="GI5733" s="422"/>
    </row>
    <row r="5734" spans="191:191" x14ac:dyDescent="0.2">
      <c r="GI5734" s="422"/>
    </row>
    <row r="5735" spans="191:191" x14ac:dyDescent="0.2">
      <c r="GI5735" s="422"/>
    </row>
    <row r="5736" spans="191:191" x14ac:dyDescent="0.2">
      <c r="GI5736" s="422"/>
    </row>
    <row r="5737" spans="191:191" x14ac:dyDescent="0.2">
      <c r="GI5737" s="422"/>
    </row>
    <row r="5738" spans="191:191" x14ac:dyDescent="0.2">
      <c r="GI5738" s="422"/>
    </row>
    <row r="5739" spans="191:191" x14ac:dyDescent="0.2">
      <c r="GI5739" s="422"/>
    </row>
    <row r="5740" spans="191:191" x14ac:dyDescent="0.2">
      <c r="GI5740" s="422"/>
    </row>
    <row r="5741" spans="191:191" x14ac:dyDescent="0.2">
      <c r="GI5741" s="422"/>
    </row>
    <row r="5742" spans="191:191" x14ac:dyDescent="0.2">
      <c r="GI5742" s="422"/>
    </row>
    <row r="5743" spans="191:191" x14ac:dyDescent="0.2">
      <c r="GI5743" s="422"/>
    </row>
    <row r="5744" spans="191:191" x14ac:dyDescent="0.2">
      <c r="GI5744" s="422"/>
    </row>
    <row r="5745" spans="191:191" x14ac:dyDescent="0.2">
      <c r="GI5745" s="422"/>
    </row>
    <row r="5746" spans="191:191" x14ac:dyDescent="0.2">
      <c r="GI5746" s="422"/>
    </row>
    <row r="5747" spans="191:191" x14ac:dyDescent="0.2">
      <c r="GI5747" s="422"/>
    </row>
    <row r="5748" spans="191:191" x14ac:dyDescent="0.2">
      <c r="GI5748" s="422"/>
    </row>
    <row r="5749" spans="191:191" x14ac:dyDescent="0.2">
      <c r="GI5749" s="422"/>
    </row>
    <row r="5750" spans="191:191" x14ac:dyDescent="0.2">
      <c r="GI5750" s="422"/>
    </row>
    <row r="5751" spans="191:191" x14ac:dyDescent="0.2">
      <c r="GI5751" s="422"/>
    </row>
    <row r="5752" spans="191:191" x14ac:dyDescent="0.2">
      <c r="GI5752" s="422"/>
    </row>
    <row r="5753" spans="191:191" x14ac:dyDescent="0.2">
      <c r="GI5753" s="422"/>
    </row>
    <row r="5754" spans="191:191" x14ac:dyDescent="0.2">
      <c r="GI5754" s="422"/>
    </row>
    <row r="5755" spans="191:191" x14ac:dyDescent="0.2">
      <c r="GI5755" s="422"/>
    </row>
    <row r="5756" spans="191:191" x14ac:dyDescent="0.2">
      <c r="GI5756" s="422"/>
    </row>
    <row r="5757" spans="191:191" x14ac:dyDescent="0.2">
      <c r="GI5757" s="422"/>
    </row>
    <row r="5758" spans="191:191" x14ac:dyDescent="0.2">
      <c r="GI5758" s="422"/>
    </row>
    <row r="5759" spans="191:191" x14ac:dyDescent="0.2">
      <c r="GI5759" s="422"/>
    </row>
    <row r="5760" spans="191:191" x14ac:dyDescent="0.2">
      <c r="GI5760" s="422"/>
    </row>
    <row r="5761" spans="191:191" x14ac:dyDescent="0.2">
      <c r="GI5761" s="422"/>
    </row>
    <row r="5762" spans="191:191" x14ac:dyDescent="0.2">
      <c r="GI5762" s="422"/>
    </row>
    <row r="5763" spans="191:191" x14ac:dyDescent="0.2">
      <c r="GI5763" s="422"/>
    </row>
    <row r="5764" spans="191:191" x14ac:dyDescent="0.2">
      <c r="GI5764" s="422"/>
    </row>
    <row r="5765" spans="191:191" x14ac:dyDescent="0.2">
      <c r="GI5765" s="422"/>
    </row>
    <row r="5766" spans="191:191" x14ac:dyDescent="0.2">
      <c r="GI5766" s="422"/>
    </row>
    <row r="5767" spans="191:191" x14ac:dyDescent="0.2">
      <c r="GI5767" s="422"/>
    </row>
    <row r="5768" spans="191:191" x14ac:dyDescent="0.2">
      <c r="GI5768" s="422"/>
    </row>
    <row r="5769" spans="191:191" x14ac:dyDescent="0.2">
      <c r="GI5769" s="422"/>
    </row>
    <row r="5770" spans="191:191" x14ac:dyDescent="0.2">
      <c r="GI5770" s="422"/>
    </row>
    <row r="5771" spans="191:191" x14ac:dyDescent="0.2">
      <c r="GI5771" s="422"/>
    </row>
    <row r="5772" spans="191:191" x14ac:dyDescent="0.2">
      <c r="GI5772" s="422"/>
    </row>
    <row r="5773" spans="191:191" x14ac:dyDescent="0.2">
      <c r="GI5773" s="422"/>
    </row>
    <row r="5774" spans="191:191" x14ac:dyDescent="0.2">
      <c r="GI5774" s="422"/>
    </row>
    <row r="5775" spans="191:191" x14ac:dyDescent="0.2">
      <c r="GI5775" s="422"/>
    </row>
    <row r="5776" spans="191:191" x14ac:dyDescent="0.2">
      <c r="GI5776" s="422"/>
    </row>
    <row r="5777" spans="191:191" x14ac:dyDescent="0.2">
      <c r="GI5777" s="422"/>
    </row>
    <row r="5778" spans="191:191" x14ac:dyDescent="0.2">
      <c r="GI5778" s="422"/>
    </row>
    <row r="5779" spans="191:191" x14ac:dyDescent="0.2">
      <c r="GI5779" s="422"/>
    </row>
    <row r="5780" spans="191:191" x14ac:dyDescent="0.2">
      <c r="GI5780" s="422"/>
    </row>
    <row r="5781" spans="191:191" x14ac:dyDescent="0.2">
      <c r="GI5781" s="422"/>
    </row>
    <row r="5782" spans="191:191" x14ac:dyDescent="0.2">
      <c r="GI5782" s="422"/>
    </row>
    <row r="5783" spans="191:191" x14ac:dyDescent="0.2">
      <c r="GI5783" s="422"/>
    </row>
    <row r="5784" spans="191:191" x14ac:dyDescent="0.2">
      <c r="GI5784" s="422"/>
    </row>
    <row r="5785" spans="191:191" x14ac:dyDescent="0.2">
      <c r="GI5785" s="422"/>
    </row>
    <row r="5786" spans="191:191" x14ac:dyDescent="0.2">
      <c r="GI5786" s="422"/>
    </row>
    <row r="5787" spans="191:191" x14ac:dyDescent="0.2">
      <c r="GI5787" s="422"/>
    </row>
    <row r="5788" spans="191:191" x14ac:dyDescent="0.2">
      <c r="GI5788" s="422"/>
    </row>
    <row r="5789" spans="191:191" x14ac:dyDescent="0.2">
      <c r="GI5789" s="422"/>
    </row>
    <row r="5790" spans="191:191" x14ac:dyDescent="0.2">
      <c r="GI5790" s="422"/>
    </row>
    <row r="5791" spans="191:191" x14ac:dyDescent="0.2">
      <c r="GI5791" s="422"/>
    </row>
    <row r="5792" spans="191:191" x14ac:dyDescent="0.2">
      <c r="GI5792" s="422"/>
    </row>
    <row r="5793" spans="191:191" x14ac:dyDescent="0.2">
      <c r="GI5793" s="422"/>
    </row>
    <row r="5794" spans="191:191" x14ac:dyDescent="0.2">
      <c r="GI5794" s="422"/>
    </row>
    <row r="5795" spans="191:191" x14ac:dyDescent="0.2">
      <c r="GI5795" s="422"/>
    </row>
    <row r="5796" spans="191:191" x14ac:dyDescent="0.2">
      <c r="GI5796" s="422"/>
    </row>
    <row r="5797" spans="191:191" x14ac:dyDescent="0.2">
      <c r="GI5797" s="422"/>
    </row>
    <row r="5798" spans="191:191" x14ac:dyDescent="0.2">
      <c r="GI5798" s="422"/>
    </row>
    <row r="5799" spans="191:191" x14ac:dyDescent="0.2">
      <c r="GI5799" s="422"/>
    </row>
    <row r="5800" spans="191:191" x14ac:dyDescent="0.2">
      <c r="GI5800" s="422"/>
    </row>
    <row r="5801" spans="191:191" x14ac:dyDescent="0.2">
      <c r="GI5801" s="422"/>
    </row>
    <row r="5802" spans="191:191" x14ac:dyDescent="0.2">
      <c r="GI5802" s="422"/>
    </row>
    <row r="5803" spans="191:191" x14ac:dyDescent="0.2">
      <c r="GI5803" s="422"/>
    </row>
    <row r="5804" spans="191:191" x14ac:dyDescent="0.2">
      <c r="GI5804" s="422"/>
    </row>
    <row r="5805" spans="191:191" x14ac:dyDescent="0.2">
      <c r="GI5805" s="422"/>
    </row>
    <row r="5806" spans="191:191" x14ac:dyDescent="0.2">
      <c r="GI5806" s="422"/>
    </row>
    <row r="5807" spans="191:191" x14ac:dyDescent="0.2">
      <c r="GI5807" s="422"/>
    </row>
    <row r="5808" spans="191:191" x14ac:dyDescent="0.2">
      <c r="GI5808" s="422"/>
    </row>
    <row r="5809" spans="191:191" x14ac:dyDescent="0.2">
      <c r="GI5809" s="422"/>
    </row>
    <row r="5810" spans="191:191" x14ac:dyDescent="0.2">
      <c r="GI5810" s="422"/>
    </row>
    <row r="5811" spans="191:191" x14ac:dyDescent="0.2">
      <c r="GI5811" s="422"/>
    </row>
    <row r="5812" spans="191:191" x14ac:dyDescent="0.2">
      <c r="GI5812" s="422"/>
    </row>
    <row r="5813" spans="191:191" x14ac:dyDescent="0.2">
      <c r="GI5813" s="422"/>
    </row>
    <row r="5814" spans="191:191" x14ac:dyDescent="0.2">
      <c r="GI5814" s="422"/>
    </row>
    <row r="5815" spans="191:191" x14ac:dyDescent="0.2">
      <c r="GI5815" s="422"/>
    </row>
    <row r="5816" spans="191:191" x14ac:dyDescent="0.2">
      <c r="GI5816" s="422"/>
    </row>
    <row r="5817" spans="191:191" x14ac:dyDescent="0.2">
      <c r="GI5817" s="422"/>
    </row>
    <row r="5818" spans="191:191" x14ac:dyDescent="0.2">
      <c r="GI5818" s="422"/>
    </row>
    <row r="5819" spans="191:191" x14ac:dyDescent="0.2">
      <c r="GI5819" s="422"/>
    </row>
    <row r="5820" spans="191:191" x14ac:dyDescent="0.2">
      <c r="GI5820" s="422"/>
    </row>
    <row r="5821" spans="191:191" x14ac:dyDescent="0.2">
      <c r="GI5821" s="422"/>
    </row>
    <row r="5822" spans="191:191" x14ac:dyDescent="0.2">
      <c r="GI5822" s="422"/>
    </row>
    <row r="5823" spans="191:191" x14ac:dyDescent="0.2">
      <c r="GI5823" s="422"/>
    </row>
    <row r="5824" spans="191:191" x14ac:dyDescent="0.2">
      <c r="GI5824" s="422"/>
    </row>
    <row r="5825" spans="191:191" x14ac:dyDescent="0.2">
      <c r="GI5825" s="422"/>
    </row>
    <row r="5826" spans="191:191" x14ac:dyDescent="0.2">
      <c r="GI5826" s="422"/>
    </row>
    <row r="5827" spans="191:191" x14ac:dyDescent="0.2">
      <c r="GI5827" s="422"/>
    </row>
    <row r="5828" spans="191:191" x14ac:dyDescent="0.2">
      <c r="GI5828" s="422"/>
    </row>
    <row r="5829" spans="191:191" x14ac:dyDescent="0.2">
      <c r="GI5829" s="422"/>
    </row>
    <row r="5830" spans="191:191" x14ac:dyDescent="0.2">
      <c r="GI5830" s="422"/>
    </row>
    <row r="5831" spans="191:191" x14ac:dyDescent="0.2">
      <c r="GI5831" s="422"/>
    </row>
    <row r="5832" spans="191:191" x14ac:dyDescent="0.2">
      <c r="GI5832" s="422"/>
    </row>
    <row r="5833" spans="191:191" x14ac:dyDescent="0.2">
      <c r="GI5833" s="422"/>
    </row>
    <row r="5834" spans="191:191" x14ac:dyDescent="0.2">
      <c r="GI5834" s="422"/>
    </row>
    <row r="5835" spans="191:191" x14ac:dyDescent="0.2">
      <c r="GI5835" s="422"/>
    </row>
    <row r="5836" spans="191:191" x14ac:dyDescent="0.2">
      <c r="GI5836" s="422"/>
    </row>
    <row r="5837" spans="191:191" x14ac:dyDescent="0.2">
      <c r="GI5837" s="422"/>
    </row>
    <row r="5838" spans="191:191" x14ac:dyDescent="0.2">
      <c r="GI5838" s="422"/>
    </row>
    <row r="5839" spans="191:191" x14ac:dyDescent="0.2">
      <c r="GI5839" s="422"/>
    </row>
    <row r="5840" spans="191:191" x14ac:dyDescent="0.2">
      <c r="GI5840" s="422"/>
    </row>
    <row r="5841" spans="191:191" x14ac:dyDescent="0.2">
      <c r="GI5841" s="422"/>
    </row>
    <row r="5842" spans="191:191" x14ac:dyDescent="0.2">
      <c r="GI5842" s="422"/>
    </row>
    <row r="5843" spans="191:191" x14ac:dyDescent="0.2">
      <c r="GI5843" s="422"/>
    </row>
    <row r="5844" spans="191:191" x14ac:dyDescent="0.2">
      <c r="GI5844" s="422"/>
    </row>
    <row r="5845" spans="191:191" x14ac:dyDescent="0.2">
      <c r="GI5845" s="422"/>
    </row>
    <row r="5846" spans="191:191" x14ac:dyDescent="0.2">
      <c r="GI5846" s="422"/>
    </row>
    <row r="5847" spans="191:191" x14ac:dyDescent="0.2">
      <c r="GI5847" s="422"/>
    </row>
    <row r="5848" spans="191:191" x14ac:dyDescent="0.2">
      <c r="GI5848" s="422"/>
    </row>
    <row r="5849" spans="191:191" x14ac:dyDescent="0.2">
      <c r="GI5849" s="422"/>
    </row>
    <row r="5850" spans="191:191" x14ac:dyDescent="0.2">
      <c r="GI5850" s="422"/>
    </row>
    <row r="5851" spans="191:191" x14ac:dyDescent="0.2">
      <c r="GI5851" s="422"/>
    </row>
    <row r="5852" spans="191:191" x14ac:dyDescent="0.2">
      <c r="GI5852" s="422"/>
    </row>
    <row r="5853" spans="191:191" x14ac:dyDescent="0.2">
      <c r="GI5853" s="422"/>
    </row>
    <row r="5854" spans="191:191" x14ac:dyDescent="0.2">
      <c r="GI5854" s="422"/>
    </row>
    <row r="5855" spans="191:191" x14ac:dyDescent="0.2">
      <c r="GI5855" s="422"/>
    </row>
    <row r="5856" spans="191:191" x14ac:dyDescent="0.2">
      <c r="GI5856" s="422"/>
    </row>
    <row r="5857" spans="191:191" x14ac:dyDescent="0.2">
      <c r="GI5857" s="422"/>
    </row>
    <row r="5858" spans="191:191" x14ac:dyDescent="0.2">
      <c r="GI5858" s="422"/>
    </row>
    <row r="5859" spans="191:191" x14ac:dyDescent="0.2">
      <c r="GI5859" s="422"/>
    </row>
    <row r="5860" spans="191:191" x14ac:dyDescent="0.2">
      <c r="GI5860" s="422"/>
    </row>
    <row r="5861" spans="191:191" x14ac:dyDescent="0.2">
      <c r="GI5861" s="422"/>
    </row>
    <row r="5862" spans="191:191" x14ac:dyDescent="0.2">
      <c r="GI5862" s="422"/>
    </row>
    <row r="5863" spans="191:191" x14ac:dyDescent="0.2">
      <c r="GI5863" s="422"/>
    </row>
    <row r="5864" spans="191:191" x14ac:dyDescent="0.2">
      <c r="GI5864" s="422"/>
    </row>
    <row r="5865" spans="191:191" x14ac:dyDescent="0.2">
      <c r="GI5865" s="422"/>
    </row>
    <row r="5866" spans="191:191" x14ac:dyDescent="0.2">
      <c r="GI5866" s="422"/>
    </row>
    <row r="5867" spans="191:191" x14ac:dyDescent="0.2">
      <c r="GI5867" s="422"/>
    </row>
    <row r="5868" spans="191:191" x14ac:dyDescent="0.2">
      <c r="GI5868" s="422"/>
    </row>
    <row r="5869" spans="191:191" x14ac:dyDescent="0.2">
      <c r="GI5869" s="422"/>
    </row>
    <row r="5870" spans="191:191" x14ac:dyDescent="0.2">
      <c r="GI5870" s="422"/>
    </row>
    <row r="5871" spans="191:191" x14ac:dyDescent="0.2">
      <c r="GI5871" s="422"/>
    </row>
    <row r="5872" spans="191:191" x14ac:dyDescent="0.2">
      <c r="GI5872" s="422"/>
    </row>
    <row r="5873" spans="191:191" x14ac:dyDescent="0.2">
      <c r="GI5873" s="422"/>
    </row>
    <row r="5874" spans="191:191" x14ac:dyDescent="0.2">
      <c r="GI5874" s="422"/>
    </row>
    <row r="5875" spans="191:191" x14ac:dyDescent="0.2">
      <c r="GI5875" s="422"/>
    </row>
    <row r="5876" spans="191:191" x14ac:dyDescent="0.2">
      <c r="GI5876" s="422"/>
    </row>
    <row r="5877" spans="191:191" x14ac:dyDescent="0.2">
      <c r="GI5877" s="422"/>
    </row>
    <row r="5878" spans="191:191" x14ac:dyDescent="0.2">
      <c r="GI5878" s="422"/>
    </row>
    <row r="5879" spans="191:191" x14ac:dyDescent="0.2">
      <c r="GI5879" s="422"/>
    </row>
    <row r="5880" spans="191:191" x14ac:dyDescent="0.2">
      <c r="GI5880" s="422"/>
    </row>
    <row r="5881" spans="191:191" x14ac:dyDescent="0.2">
      <c r="GI5881" s="422"/>
    </row>
    <row r="5882" spans="191:191" x14ac:dyDescent="0.2">
      <c r="GI5882" s="422"/>
    </row>
    <row r="5883" spans="191:191" x14ac:dyDescent="0.2">
      <c r="GI5883" s="422"/>
    </row>
    <row r="5884" spans="191:191" x14ac:dyDescent="0.2">
      <c r="GI5884" s="422"/>
    </row>
    <row r="5885" spans="191:191" x14ac:dyDescent="0.2">
      <c r="GI5885" s="422"/>
    </row>
    <row r="5886" spans="191:191" x14ac:dyDescent="0.2">
      <c r="GI5886" s="422"/>
    </row>
    <row r="5887" spans="191:191" x14ac:dyDescent="0.2">
      <c r="GI5887" s="422"/>
    </row>
    <row r="5888" spans="191:191" x14ac:dyDescent="0.2">
      <c r="GI5888" s="422"/>
    </row>
    <row r="5889" spans="191:191" x14ac:dyDescent="0.2">
      <c r="GI5889" s="422"/>
    </row>
    <row r="5890" spans="191:191" x14ac:dyDescent="0.2">
      <c r="GI5890" s="422"/>
    </row>
    <row r="5891" spans="191:191" x14ac:dyDescent="0.2">
      <c r="GI5891" s="422"/>
    </row>
    <row r="5892" spans="191:191" x14ac:dyDescent="0.2">
      <c r="GI5892" s="422"/>
    </row>
    <row r="5893" spans="191:191" x14ac:dyDescent="0.2">
      <c r="GI5893" s="422"/>
    </row>
    <row r="5894" spans="191:191" x14ac:dyDescent="0.2">
      <c r="GI5894" s="422"/>
    </row>
    <row r="5895" spans="191:191" x14ac:dyDescent="0.2">
      <c r="GI5895" s="422"/>
    </row>
    <row r="5896" spans="191:191" x14ac:dyDescent="0.2">
      <c r="GI5896" s="422"/>
    </row>
    <row r="5897" spans="191:191" x14ac:dyDescent="0.2">
      <c r="GI5897" s="422"/>
    </row>
    <row r="5898" spans="191:191" x14ac:dyDescent="0.2">
      <c r="GI5898" s="422"/>
    </row>
    <row r="5899" spans="191:191" x14ac:dyDescent="0.2">
      <c r="GI5899" s="422"/>
    </row>
    <row r="5900" spans="191:191" x14ac:dyDescent="0.2">
      <c r="GI5900" s="422"/>
    </row>
    <row r="5901" spans="191:191" x14ac:dyDescent="0.2">
      <c r="GI5901" s="422"/>
    </row>
    <row r="5902" spans="191:191" x14ac:dyDescent="0.2">
      <c r="GI5902" s="422"/>
    </row>
    <row r="5903" spans="191:191" x14ac:dyDescent="0.2">
      <c r="GI5903" s="422"/>
    </row>
    <row r="5904" spans="191:191" x14ac:dyDescent="0.2">
      <c r="GI5904" s="422"/>
    </row>
    <row r="5905" spans="191:191" x14ac:dyDescent="0.2">
      <c r="GI5905" s="422"/>
    </row>
    <row r="5906" spans="191:191" x14ac:dyDescent="0.2">
      <c r="GI5906" s="422"/>
    </row>
    <row r="5907" spans="191:191" x14ac:dyDescent="0.2">
      <c r="GI5907" s="422"/>
    </row>
    <row r="5908" spans="191:191" x14ac:dyDescent="0.2">
      <c r="GI5908" s="422"/>
    </row>
    <row r="5909" spans="191:191" x14ac:dyDescent="0.2">
      <c r="GI5909" s="422"/>
    </row>
    <row r="5910" spans="191:191" x14ac:dyDescent="0.2">
      <c r="GI5910" s="422"/>
    </row>
    <row r="5911" spans="191:191" x14ac:dyDescent="0.2">
      <c r="GI5911" s="422"/>
    </row>
    <row r="5912" spans="191:191" x14ac:dyDescent="0.2">
      <c r="GI5912" s="422"/>
    </row>
    <row r="5913" spans="191:191" x14ac:dyDescent="0.2">
      <c r="GI5913" s="422"/>
    </row>
    <row r="5914" spans="191:191" x14ac:dyDescent="0.2">
      <c r="GI5914" s="422"/>
    </row>
    <row r="5915" spans="191:191" x14ac:dyDescent="0.2">
      <c r="GI5915" s="422"/>
    </row>
    <row r="5916" spans="191:191" x14ac:dyDescent="0.2">
      <c r="GI5916" s="422"/>
    </row>
    <row r="5917" spans="191:191" x14ac:dyDescent="0.2">
      <c r="GI5917" s="422"/>
    </row>
    <row r="5918" spans="191:191" x14ac:dyDescent="0.2">
      <c r="GI5918" s="422"/>
    </row>
    <row r="5919" spans="191:191" x14ac:dyDescent="0.2">
      <c r="GI5919" s="422"/>
    </row>
    <row r="5920" spans="191:191" x14ac:dyDescent="0.2">
      <c r="GI5920" s="422"/>
    </row>
    <row r="5921" spans="191:191" x14ac:dyDescent="0.2">
      <c r="GI5921" s="422"/>
    </row>
    <row r="5922" spans="191:191" x14ac:dyDescent="0.2">
      <c r="GI5922" s="422"/>
    </row>
    <row r="5923" spans="191:191" x14ac:dyDescent="0.2">
      <c r="GI5923" s="422"/>
    </row>
    <row r="5924" spans="191:191" x14ac:dyDescent="0.2">
      <c r="GI5924" s="422"/>
    </row>
    <row r="5925" spans="191:191" x14ac:dyDescent="0.2">
      <c r="GI5925" s="422"/>
    </row>
    <row r="5926" spans="191:191" x14ac:dyDescent="0.2">
      <c r="GI5926" s="422"/>
    </row>
    <row r="5927" spans="191:191" x14ac:dyDescent="0.2">
      <c r="GI5927" s="422"/>
    </row>
    <row r="5928" spans="191:191" x14ac:dyDescent="0.2">
      <c r="GI5928" s="422"/>
    </row>
    <row r="5929" spans="191:191" x14ac:dyDescent="0.2">
      <c r="GI5929" s="422"/>
    </row>
    <row r="5930" spans="191:191" x14ac:dyDescent="0.2">
      <c r="GI5930" s="422"/>
    </row>
    <row r="5931" spans="191:191" x14ac:dyDescent="0.2">
      <c r="GI5931" s="422"/>
    </row>
    <row r="5932" spans="191:191" x14ac:dyDescent="0.2">
      <c r="GI5932" s="422"/>
    </row>
    <row r="5933" spans="191:191" x14ac:dyDescent="0.2">
      <c r="GI5933" s="422"/>
    </row>
    <row r="5934" spans="191:191" x14ac:dyDescent="0.2">
      <c r="GI5934" s="422"/>
    </row>
    <row r="5935" spans="191:191" x14ac:dyDescent="0.2">
      <c r="GI5935" s="422"/>
    </row>
    <row r="5936" spans="191:191" x14ac:dyDescent="0.2">
      <c r="GI5936" s="422"/>
    </row>
    <row r="5937" spans="191:191" x14ac:dyDescent="0.2">
      <c r="GI5937" s="422"/>
    </row>
    <row r="5938" spans="191:191" x14ac:dyDescent="0.2">
      <c r="GI5938" s="422"/>
    </row>
    <row r="5939" spans="191:191" x14ac:dyDescent="0.2">
      <c r="GI5939" s="422"/>
    </row>
    <row r="5940" spans="191:191" x14ac:dyDescent="0.2">
      <c r="GI5940" s="422"/>
    </row>
    <row r="5941" spans="191:191" x14ac:dyDescent="0.2">
      <c r="GI5941" s="422"/>
    </row>
    <row r="5942" spans="191:191" x14ac:dyDescent="0.2">
      <c r="GI5942" s="422"/>
    </row>
    <row r="5943" spans="191:191" x14ac:dyDescent="0.2">
      <c r="GI5943" s="422"/>
    </row>
    <row r="5944" spans="191:191" x14ac:dyDescent="0.2">
      <c r="GI5944" s="422"/>
    </row>
    <row r="5945" spans="191:191" x14ac:dyDescent="0.2">
      <c r="GI5945" s="422"/>
    </row>
    <row r="5946" spans="191:191" x14ac:dyDescent="0.2">
      <c r="GI5946" s="422"/>
    </row>
    <row r="5947" spans="191:191" x14ac:dyDescent="0.2">
      <c r="GI5947" s="422"/>
    </row>
    <row r="5948" spans="191:191" x14ac:dyDescent="0.2">
      <c r="GI5948" s="422"/>
    </row>
    <row r="5949" spans="191:191" x14ac:dyDescent="0.2">
      <c r="GI5949" s="422"/>
    </row>
    <row r="5950" spans="191:191" x14ac:dyDescent="0.2">
      <c r="GI5950" s="422"/>
    </row>
    <row r="5951" spans="191:191" x14ac:dyDescent="0.2">
      <c r="GI5951" s="422"/>
    </row>
    <row r="5952" spans="191:191" x14ac:dyDescent="0.2">
      <c r="GI5952" s="422"/>
    </row>
    <row r="5953" spans="191:191" x14ac:dyDescent="0.2">
      <c r="GI5953" s="422"/>
    </row>
    <row r="5954" spans="191:191" x14ac:dyDescent="0.2">
      <c r="GI5954" s="422"/>
    </row>
    <row r="5955" spans="191:191" x14ac:dyDescent="0.2">
      <c r="GI5955" s="422"/>
    </row>
    <row r="5956" spans="191:191" x14ac:dyDescent="0.2">
      <c r="GI5956" s="422"/>
    </row>
    <row r="5957" spans="191:191" x14ac:dyDescent="0.2">
      <c r="GI5957" s="422"/>
    </row>
    <row r="5958" spans="191:191" x14ac:dyDescent="0.2">
      <c r="GI5958" s="422"/>
    </row>
    <row r="5959" spans="191:191" x14ac:dyDescent="0.2">
      <c r="GI5959" s="422"/>
    </row>
    <row r="5960" spans="191:191" x14ac:dyDescent="0.2">
      <c r="GI5960" s="422"/>
    </row>
    <row r="5961" spans="191:191" x14ac:dyDescent="0.2">
      <c r="GI5961" s="422"/>
    </row>
    <row r="5962" spans="191:191" x14ac:dyDescent="0.2">
      <c r="GI5962" s="422"/>
    </row>
    <row r="5963" spans="191:191" x14ac:dyDescent="0.2">
      <c r="GI5963" s="422"/>
    </row>
    <row r="5964" spans="191:191" x14ac:dyDescent="0.2">
      <c r="GI5964" s="422"/>
    </row>
    <row r="5965" spans="191:191" x14ac:dyDescent="0.2">
      <c r="GI5965" s="422"/>
    </row>
    <row r="5966" spans="191:191" x14ac:dyDescent="0.2">
      <c r="GI5966" s="422"/>
    </row>
    <row r="5967" spans="191:191" x14ac:dyDescent="0.2">
      <c r="GI5967" s="422"/>
    </row>
    <row r="5968" spans="191:191" x14ac:dyDescent="0.2">
      <c r="GI5968" s="422"/>
    </row>
    <row r="5969" spans="191:191" x14ac:dyDescent="0.2">
      <c r="GI5969" s="422"/>
    </row>
    <row r="5970" spans="191:191" x14ac:dyDescent="0.2">
      <c r="GI5970" s="422"/>
    </row>
    <row r="5971" spans="191:191" x14ac:dyDescent="0.2">
      <c r="GI5971" s="422"/>
    </row>
    <row r="5972" spans="191:191" x14ac:dyDescent="0.2">
      <c r="GI5972" s="422"/>
    </row>
    <row r="5973" spans="191:191" x14ac:dyDescent="0.2">
      <c r="GI5973" s="422"/>
    </row>
    <row r="5974" spans="191:191" x14ac:dyDescent="0.2">
      <c r="GI5974" s="422"/>
    </row>
    <row r="5975" spans="191:191" x14ac:dyDescent="0.2">
      <c r="GI5975" s="422"/>
    </row>
    <row r="5976" spans="191:191" x14ac:dyDescent="0.2">
      <c r="GI5976" s="422"/>
    </row>
    <row r="5977" spans="191:191" x14ac:dyDescent="0.2">
      <c r="GI5977" s="422"/>
    </row>
    <row r="5978" spans="191:191" x14ac:dyDescent="0.2">
      <c r="GI5978" s="422"/>
    </row>
    <row r="5979" spans="191:191" x14ac:dyDescent="0.2">
      <c r="GI5979" s="422"/>
    </row>
    <row r="5980" spans="191:191" x14ac:dyDescent="0.2">
      <c r="GI5980" s="422"/>
    </row>
    <row r="5981" spans="191:191" x14ac:dyDescent="0.2">
      <c r="GI5981" s="422"/>
    </row>
    <row r="5982" spans="191:191" x14ac:dyDescent="0.2">
      <c r="GI5982" s="422"/>
    </row>
    <row r="5983" spans="191:191" x14ac:dyDescent="0.2">
      <c r="GI5983" s="422"/>
    </row>
    <row r="5984" spans="191:191" x14ac:dyDescent="0.2">
      <c r="GI5984" s="422"/>
    </row>
    <row r="5985" spans="191:191" x14ac:dyDescent="0.2">
      <c r="GI5985" s="422"/>
    </row>
    <row r="5986" spans="191:191" x14ac:dyDescent="0.2">
      <c r="GI5986" s="422"/>
    </row>
    <row r="5987" spans="191:191" x14ac:dyDescent="0.2">
      <c r="GI5987" s="422"/>
    </row>
    <row r="5988" spans="191:191" x14ac:dyDescent="0.2">
      <c r="GI5988" s="422"/>
    </row>
    <row r="5989" spans="191:191" x14ac:dyDescent="0.2">
      <c r="GI5989" s="422"/>
    </row>
    <row r="5990" spans="191:191" x14ac:dyDescent="0.2">
      <c r="GI5990" s="422"/>
    </row>
    <row r="5991" spans="191:191" x14ac:dyDescent="0.2">
      <c r="GI5991" s="422"/>
    </row>
    <row r="5992" spans="191:191" x14ac:dyDescent="0.2">
      <c r="GI5992" s="422"/>
    </row>
    <row r="5993" spans="191:191" x14ac:dyDescent="0.2">
      <c r="GI5993" s="422"/>
    </row>
    <row r="5994" spans="191:191" x14ac:dyDescent="0.2">
      <c r="GI5994" s="422"/>
    </row>
    <row r="5995" spans="191:191" x14ac:dyDescent="0.2">
      <c r="GI5995" s="422"/>
    </row>
    <row r="5996" spans="191:191" x14ac:dyDescent="0.2">
      <c r="GI5996" s="422"/>
    </row>
    <row r="5997" spans="191:191" x14ac:dyDescent="0.2">
      <c r="GI5997" s="422"/>
    </row>
    <row r="5998" spans="191:191" x14ac:dyDescent="0.2">
      <c r="GI5998" s="422"/>
    </row>
    <row r="5999" spans="191:191" x14ac:dyDescent="0.2">
      <c r="GI5999" s="422"/>
    </row>
    <row r="6000" spans="191:191" x14ac:dyDescent="0.2">
      <c r="GI6000" s="422"/>
    </row>
    <row r="6001" spans="191:191" x14ac:dyDescent="0.2">
      <c r="GI6001" s="422"/>
    </row>
    <row r="6002" spans="191:191" x14ac:dyDescent="0.2">
      <c r="GI6002" s="422"/>
    </row>
    <row r="6003" spans="191:191" x14ac:dyDescent="0.2">
      <c r="GI6003" s="422"/>
    </row>
    <row r="6004" spans="191:191" x14ac:dyDescent="0.2">
      <c r="GI6004" s="422"/>
    </row>
    <row r="6005" spans="191:191" x14ac:dyDescent="0.2">
      <c r="GI6005" s="422"/>
    </row>
    <row r="6006" spans="191:191" x14ac:dyDescent="0.2">
      <c r="GI6006" s="422"/>
    </row>
    <row r="6007" spans="191:191" x14ac:dyDescent="0.2">
      <c r="GI6007" s="422"/>
    </row>
    <row r="6008" spans="191:191" x14ac:dyDescent="0.2">
      <c r="GI6008" s="422"/>
    </row>
    <row r="6009" spans="191:191" x14ac:dyDescent="0.2">
      <c r="GI6009" s="422"/>
    </row>
    <row r="6010" spans="191:191" x14ac:dyDescent="0.2">
      <c r="GI6010" s="422"/>
    </row>
    <row r="6011" spans="191:191" x14ac:dyDescent="0.2">
      <c r="GI6011" s="422"/>
    </row>
    <row r="6012" spans="191:191" x14ac:dyDescent="0.2">
      <c r="GI6012" s="422"/>
    </row>
    <row r="6013" spans="191:191" x14ac:dyDescent="0.2">
      <c r="GI6013" s="422"/>
    </row>
    <row r="6014" spans="191:191" x14ac:dyDescent="0.2">
      <c r="GI6014" s="422"/>
    </row>
    <row r="6015" spans="191:191" x14ac:dyDescent="0.2">
      <c r="GI6015" s="422"/>
    </row>
    <row r="6016" spans="191:191" x14ac:dyDescent="0.2">
      <c r="GI6016" s="422"/>
    </row>
    <row r="6017" spans="191:191" x14ac:dyDescent="0.2">
      <c r="GI6017" s="422"/>
    </row>
    <row r="6018" spans="191:191" x14ac:dyDescent="0.2">
      <c r="GI6018" s="422"/>
    </row>
    <row r="6019" spans="191:191" x14ac:dyDescent="0.2">
      <c r="GI6019" s="422"/>
    </row>
    <row r="6020" spans="191:191" x14ac:dyDescent="0.2">
      <c r="GI6020" s="422"/>
    </row>
    <row r="6021" spans="191:191" x14ac:dyDescent="0.2">
      <c r="GI6021" s="422"/>
    </row>
    <row r="6022" spans="191:191" x14ac:dyDescent="0.2">
      <c r="GI6022" s="422"/>
    </row>
    <row r="6023" spans="191:191" x14ac:dyDescent="0.2">
      <c r="GI6023" s="422"/>
    </row>
    <row r="6024" spans="191:191" x14ac:dyDescent="0.2">
      <c r="GI6024" s="422"/>
    </row>
    <row r="6025" spans="191:191" x14ac:dyDescent="0.2">
      <c r="GI6025" s="422"/>
    </row>
    <row r="6026" spans="191:191" x14ac:dyDescent="0.2">
      <c r="GI6026" s="422"/>
    </row>
    <row r="6027" spans="191:191" x14ac:dyDescent="0.2">
      <c r="GI6027" s="422"/>
    </row>
    <row r="6028" spans="191:191" x14ac:dyDescent="0.2">
      <c r="GI6028" s="422"/>
    </row>
    <row r="6029" spans="191:191" x14ac:dyDescent="0.2">
      <c r="GI6029" s="422"/>
    </row>
    <row r="6030" spans="191:191" x14ac:dyDescent="0.2">
      <c r="GI6030" s="422"/>
    </row>
    <row r="6031" spans="191:191" x14ac:dyDescent="0.2">
      <c r="GI6031" s="422"/>
    </row>
    <row r="6032" spans="191:191" x14ac:dyDescent="0.2">
      <c r="GI6032" s="422"/>
    </row>
    <row r="6033" spans="191:191" x14ac:dyDescent="0.2">
      <c r="GI6033" s="422"/>
    </row>
    <row r="6034" spans="191:191" x14ac:dyDescent="0.2">
      <c r="GI6034" s="422"/>
    </row>
    <row r="6035" spans="191:191" x14ac:dyDescent="0.2">
      <c r="GI6035" s="422"/>
    </row>
    <row r="6036" spans="191:191" x14ac:dyDescent="0.2">
      <c r="GI6036" s="422"/>
    </row>
    <row r="6037" spans="191:191" x14ac:dyDescent="0.2">
      <c r="GI6037" s="422"/>
    </row>
    <row r="6038" spans="191:191" x14ac:dyDescent="0.2">
      <c r="GI6038" s="422"/>
    </row>
    <row r="6039" spans="191:191" x14ac:dyDescent="0.2">
      <c r="GI6039" s="422"/>
    </row>
    <row r="6040" spans="191:191" x14ac:dyDescent="0.2">
      <c r="GI6040" s="422"/>
    </row>
    <row r="6041" spans="191:191" x14ac:dyDescent="0.2">
      <c r="GI6041" s="422"/>
    </row>
    <row r="6042" spans="191:191" x14ac:dyDescent="0.2">
      <c r="GI6042" s="422"/>
    </row>
    <row r="6043" spans="191:191" x14ac:dyDescent="0.2">
      <c r="GI6043" s="422"/>
    </row>
    <row r="6044" spans="191:191" x14ac:dyDescent="0.2">
      <c r="GI6044" s="422"/>
    </row>
    <row r="6045" spans="191:191" x14ac:dyDescent="0.2">
      <c r="GI6045" s="422"/>
    </row>
    <row r="6046" spans="191:191" x14ac:dyDescent="0.2">
      <c r="GI6046" s="422"/>
    </row>
    <row r="6047" spans="191:191" x14ac:dyDescent="0.2">
      <c r="GI6047" s="422"/>
    </row>
    <row r="6048" spans="191:191" x14ac:dyDescent="0.2">
      <c r="GI6048" s="422"/>
    </row>
    <row r="6049" spans="191:191" x14ac:dyDescent="0.2">
      <c r="GI6049" s="422"/>
    </row>
    <row r="6050" spans="191:191" x14ac:dyDescent="0.2">
      <c r="GI6050" s="422"/>
    </row>
    <row r="6051" spans="191:191" x14ac:dyDescent="0.2">
      <c r="GI6051" s="422"/>
    </row>
    <row r="6052" spans="191:191" x14ac:dyDescent="0.2">
      <c r="GI6052" s="422"/>
    </row>
    <row r="6053" spans="191:191" x14ac:dyDescent="0.2">
      <c r="GI6053" s="422"/>
    </row>
    <row r="6054" spans="191:191" x14ac:dyDescent="0.2">
      <c r="GI6054" s="422"/>
    </row>
    <row r="6055" spans="191:191" x14ac:dyDescent="0.2">
      <c r="GI6055" s="422"/>
    </row>
    <row r="6056" spans="191:191" x14ac:dyDescent="0.2">
      <c r="GI6056" s="422"/>
    </row>
    <row r="6057" spans="191:191" x14ac:dyDescent="0.2">
      <c r="GI6057" s="422"/>
    </row>
    <row r="6058" spans="191:191" x14ac:dyDescent="0.2">
      <c r="GI6058" s="422"/>
    </row>
    <row r="6059" spans="191:191" x14ac:dyDescent="0.2">
      <c r="GI6059" s="422"/>
    </row>
    <row r="6060" spans="191:191" x14ac:dyDescent="0.2">
      <c r="GI6060" s="422"/>
    </row>
    <row r="6061" spans="191:191" x14ac:dyDescent="0.2">
      <c r="GI6061" s="422"/>
    </row>
    <row r="6062" spans="191:191" x14ac:dyDescent="0.2">
      <c r="GI6062" s="422"/>
    </row>
    <row r="6063" spans="191:191" x14ac:dyDescent="0.2">
      <c r="GI6063" s="422"/>
    </row>
    <row r="6064" spans="191:191" x14ac:dyDescent="0.2">
      <c r="GI6064" s="422"/>
    </row>
    <row r="6065" spans="191:191" x14ac:dyDescent="0.2">
      <c r="GI6065" s="422"/>
    </row>
    <row r="6066" spans="191:191" x14ac:dyDescent="0.2">
      <c r="GI6066" s="422"/>
    </row>
    <row r="6067" spans="191:191" x14ac:dyDescent="0.2">
      <c r="GI6067" s="422"/>
    </row>
    <row r="6068" spans="191:191" x14ac:dyDescent="0.2">
      <c r="GI6068" s="422"/>
    </row>
    <row r="6069" spans="191:191" x14ac:dyDescent="0.2">
      <c r="GI6069" s="422"/>
    </row>
    <row r="6070" spans="191:191" x14ac:dyDescent="0.2">
      <c r="GI6070" s="422"/>
    </row>
    <row r="6071" spans="191:191" x14ac:dyDescent="0.2">
      <c r="GI6071" s="422"/>
    </row>
    <row r="6072" spans="191:191" x14ac:dyDescent="0.2">
      <c r="GI6072" s="422"/>
    </row>
    <row r="6073" spans="191:191" x14ac:dyDescent="0.2">
      <c r="GI6073" s="422"/>
    </row>
    <row r="6074" spans="191:191" x14ac:dyDescent="0.2">
      <c r="GI6074" s="422"/>
    </row>
    <row r="6075" spans="191:191" x14ac:dyDescent="0.2">
      <c r="GI6075" s="422"/>
    </row>
    <row r="6076" spans="191:191" x14ac:dyDescent="0.2">
      <c r="GI6076" s="422"/>
    </row>
    <row r="6077" spans="191:191" x14ac:dyDescent="0.2">
      <c r="GI6077" s="422"/>
    </row>
    <row r="6078" spans="191:191" x14ac:dyDescent="0.2">
      <c r="GI6078" s="422"/>
    </row>
    <row r="6079" spans="191:191" x14ac:dyDescent="0.2">
      <c r="GI6079" s="422"/>
    </row>
    <row r="6080" spans="191:191" x14ac:dyDescent="0.2">
      <c r="GI6080" s="422"/>
    </row>
    <row r="6081" spans="191:191" x14ac:dyDescent="0.2">
      <c r="GI6081" s="422"/>
    </row>
    <row r="6082" spans="191:191" x14ac:dyDescent="0.2">
      <c r="GI6082" s="422"/>
    </row>
    <row r="6083" spans="191:191" x14ac:dyDescent="0.2">
      <c r="GI6083" s="422"/>
    </row>
    <row r="6084" spans="191:191" x14ac:dyDescent="0.2">
      <c r="GI6084" s="422"/>
    </row>
    <row r="6085" spans="191:191" x14ac:dyDescent="0.2">
      <c r="GI6085" s="422"/>
    </row>
    <row r="6086" spans="191:191" x14ac:dyDescent="0.2">
      <c r="GI6086" s="422"/>
    </row>
    <row r="6087" spans="191:191" x14ac:dyDescent="0.2">
      <c r="GI6087" s="422"/>
    </row>
    <row r="6088" spans="191:191" x14ac:dyDescent="0.2">
      <c r="GI6088" s="422"/>
    </row>
    <row r="6089" spans="191:191" x14ac:dyDescent="0.2">
      <c r="GI6089" s="422"/>
    </row>
    <row r="6090" spans="191:191" x14ac:dyDescent="0.2">
      <c r="GI6090" s="422"/>
    </row>
    <row r="6091" spans="191:191" x14ac:dyDescent="0.2">
      <c r="GI6091" s="422"/>
    </row>
    <row r="6092" spans="191:191" x14ac:dyDescent="0.2">
      <c r="GI6092" s="422"/>
    </row>
    <row r="6093" spans="191:191" x14ac:dyDescent="0.2">
      <c r="GI6093" s="422"/>
    </row>
    <row r="6094" spans="191:191" x14ac:dyDescent="0.2">
      <c r="GI6094" s="422"/>
    </row>
    <row r="6095" spans="191:191" x14ac:dyDescent="0.2">
      <c r="GI6095" s="422"/>
    </row>
    <row r="6096" spans="191:191" x14ac:dyDescent="0.2">
      <c r="GI6096" s="422"/>
    </row>
    <row r="6097" spans="191:191" x14ac:dyDescent="0.2">
      <c r="GI6097" s="422"/>
    </row>
    <row r="6098" spans="191:191" x14ac:dyDescent="0.2">
      <c r="GI6098" s="422"/>
    </row>
    <row r="6099" spans="191:191" x14ac:dyDescent="0.2">
      <c r="GI6099" s="422"/>
    </row>
    <row r="6100" spans="191:191" x14ac:dyDescent="0.2">
      <c r="GI6100" s="422"/>
    </row>
    <row r="6101" spans="191:191" x14ac:dyDescent="0.2">
      <c r="GI6101" s="422"/>
    </row>
    <row r="6102" spans="191:191" x14ac:dyDescent="0.2">
      <c r="GI6102" s="422"/>
    </row>
    <row r="6103" spans="191:191" x14ac:dyDescent="0.2">
      <c r="GI6103" s="422"/>
    </row>
    <row r="6104" spans="191:191" x14ac:dyDescent="0.2">
      <c r="GI6104" s="422"/>
    </row>
    <row r="6105" spans="191:191" x14ac:dyDescent="0.2">
      <c r="GI6105" s="422"/>
    </row>
    <row r="6106" spans="191:191" x14ac:dyDescent="0.2">
      <c r="GI6106" s="422"/>
    </row>
    <row r="6107" spans="191:191" x14ac:dyDescent="0.2">
      <c r="GI6107" s="422"/>
    </row>
    <row r="6108" spans="191:191" x14ac:dyDescent="0.2">
      <c r="GI6108" s="422"/>
    </row>
    <row r="6109" spans="191:191" x14ac:dyDescent="0.2">
      <c r="GI6109" s="422"/>
    </row>
    <row r="6110" spans="191:191" x14ac:dyDescent="0.2">
      <c r="GI6110" s="422"/>
    </row>
    <row r="6111" spans="191:191" x14ac:dyDescent="0.2">
      <c r="GI6111" s="422"/>
    </row>
    <row r="6112" spans="191:191" x14ac:dyDescent="0.2">
      <c r="GI6112" s="422"/>
    </row>
    <row r="6113" spans="191:191" x14ac:dyDescent="0.2">
      <c r="GI6113" s="422"/>
    </row>
    <row r="6114" spans="191:191" x14ac:dyDescent="0.2">
      <c r="GI6114" s="422"/>
    </row>
    <row r="6115" spans="191:191" x14ac:dyDescent="0.2">
      <c r="GI6115" s="422"/>
    </row>
    <row r="6116" spans="191:191" x14ac:dyDescent="0.2">
      <c r="GI6116" s="422"/>
    </row>
    <row r="6117" spans="191:191" x14ac:dyDescent="0.2">
      <c r="GI6117" s="422"/>
    </row>
    <row r="6118" spans="191:191" x14ac:dyDescent="0.2">
      <c r="GI6118" s="422"/>
    </row>
    <row r="6119" spans="191:191" x14ac:dyDescent="0.2">
      <c r="GI6119" s="422"/>
    </row>
    <row r="6120" spans="191:191" x14ac:dyDescent="0.2">
      <c r="GI6120" s="422"/>
    </row>
    <row r="6121" spans="191:191" x14ac:dyDescent="0.2">
      <c r="GI6121" s="422"/>
    </row>
    <row r="6122" spans="191:191" x14ac:dyDescent="0.2">
      <c r="GI6122" s="422"/>
    </row>
    <row r="6123" spans="191:191" x14ac:dyDescent="0.2">
      <c r="GI6123" s="422"/>
    </row>
    <row r="6124" spans="191:191" x14ac:dyDescent="0.2">
      <c r="GI6124" s="422"/>
    </row>
    <row r="6125" spans="191:191" x14ac:dyDescent="0.2">
      <c r="GI6125" s="422"/>
    </row>
    <row r="6126" spans="191:191" x14ac:dyDescent="0.2">
      <c r="GI6126" s="422"/>
    </row>
    <row r="6127" spans="191:191" x14ac:dyDescent="0.2">
      <c r="GI6127" s="422"/>
    </row>
    <row r="6128" spans="191:191" x14ac:dyDescent="0.2">
      <c r="GI6128" s="422"/>
    </row>
    <row r="6129" spans="191:191" x14ac:dyDescent="0.2">
      <c r="GI6129" s="422"/>
    </row>
    <row r="6130" spans="191:191" x14ac:dyDescent="0.2">
      <c r="GI6130" s="422"/>
    </row>
    <row r="6131" spans="191:191" x14ac:dyDescent="0.2">
      <c r="GI6131" s="422"/>
    </row>
    <row r="6132" spans="191:191" x14ac:dyDescent="0.2">
      <c r="GI6132" s="422"/>
    </row>
    <row r="6133" spans="191:191" x14ac:dyDescent="0.2">
      <c r="GI6133" s="422"/>
    </row>
    <row r="6134" spans="191:191" x14ac:dyDescent="0.2">
      <c r="GI6134" s="422"/>
    </row>
    <row r="6135" spans="191:191" x14ac:dyDescent="0.2">
      <c r="GI6135" s="422"/>
    </row>
    <row r="6136" spans="191:191" x14ac:dyDescent="0.2">
      <c r="GI6136" s="422"/>
    </row>
    <row r="6137" spans="191:191" x14ac:dyDescent="0.2">
      <c r="GI6137" s="422"/>
    </row>
    <row r="6138" spans="191:191" x14ac:dyDescent="0.2">
      <c r="GI6138" s="422"/>
    </row>
    <row r="6139" spans="191:191" x14ac:dyDescent="0.2">
      <c r="GI6139" s="422"/>
    </row>
    <row r="6140" spans="191:191" x14ac:dyDescent="0.2">
      <c r="GI6140" s="422"/>
    </row>
    <row r="6141" spans="191:191" x14ac:dyDescent="0.2">
      <c r="GI6141" s="422"/>
    </row>
    <row r="6142" spans="191:191" x14ac:dyDescent="0.2">
      <c r="GI6142" s="422"/>
    </row>
    <row r="6143" spans="191:191" x14ac:dyDescent="0.2">
      <c r="GI6143" s="422"/>
    </row>
    <row r="6144" spans="191:191" x14ac:dyDescent="0.2">
      <c r="GI6144" s="422"/>
    </row>
    <row r="6145" spans="191:191" x14ac:dyDescent="0.2">
      <c r="GI6145" s="422"/>
    </row>
    <row r="6146" spans="191:191" x14ac:dyDescent="0.2">
      <c r="GI6146" s="422"/>
    </row>
    <row r="6147" spans="191:191" x14ac:dyDescent="0.2">
      <c r="GI6147" s="422"/>
    </row>
    <row r="6148" spans="191:191" x14ac:dyDescent="0.2">
      <c r="GI6148" s="422"/>
    </row>
    <row r="6149" spans="191:191" x14ac:dyDescent="0.2">
      <c r="GI6149" s="422"/>
    </row>
    <row r="6150" spans="191:191" x14ac:dyDescent="0.2">
      <c r="GI6150" s="422"/>
    </row>
    <row r="6151" spans="191:191" x14ac:dyDescent="0.2">
      <c r="GI6151" s="422"/>
    </row>
    <row r="6152" spans="191:191" x14ac:dyDescent="0.2">
      <c r="GI6152" s="422"/>
    </row>
    <row r="6153" spans="191:191" x14ac:dyDescent="0.2">
      <c r="GI6153" s="422"/>
    </row>
    <row r="6154" spans="191:191" x14ac:dyDescent="0.2">
      <c r="GI6154" s="422"/>
    </row>
    <row r="6155" spans="191:191" x14ac:dyDescent="0.2">
      <c r="GI6155" s="422"/>
    </row>
    <row r="6156" spans="191:191" x14ac:dyDescent="0.2">
      <c r="GI6156" s="422"/>
    </row>
    <row r="6157" spans="191:191" x14ac:dyDescent="0.2">
      <c r="GI6157" s="422"/>
    </row>
    <row r="6158" spans="191:191" x14ac:dyDescent="0.2">
      <c r="GI6158" s="422"/>
    </row>
    <row r="6159" spans="191:191" x14ac:dyDescent="0.2">
      <c r="GI6159" s="422"/>
    </row>
    <row r="6160" spans="191:191" x14ac:dyDescent="0.2">
      <c r="GI6160" s="422"/>
    </row>
    <row r="6161" spans="191:191" x14ac:dyDescent="0.2">
      <c r="GI6161" s="422"/>
    </row>
    <row r="6162" spans="191:191" x14ac:dyDescent="0.2">
      <c r="GI6162" s="422"/>
    </row>
    <row r="6163" spans="191:191" x14ac:dyDescent="0.2">
      <c r="GI6163" s="422"/>
    </row>
    <row r="6164" spans="191:191" x14ac:dyDescent="0.2">
      <c r="GI6164" s="422"/>
    </row>
    <row r="6165" spans="191:191" x14ac:dyDescent="0.2">
      <c r="GI6165" s="422"/>
    </row>
    <row r="6166" spans="191:191" x14ac:dyDescent="0.2">
      <c r="GI6166" s="422"/>
    </row>
    <row r="6167" spans="191:191" x14ac:dyDescent="0.2">
      <c r="GI6167" s="422"/>
    </row>
    <row r="6168" spans="191:191" x14ac:dyDescent="0.2">
      <c r="GI6168" s="422"/>
    </row>
    <row r="6169" spans="191:191" x14ac:dyDescent="0.2">
      <c r="GI6169" s="422"/>
    </row>
    <row r="6170" spans="191:191" x14ac:dyDescent="0.2">
      <c r="GI6170" s="422"/>
    </row>
    <row r="6171" spans="191:191" x14ac:dyDescent="0.2">
      <c r="GI6171" s="422"/>
    </row>
    <row r="6172" spans="191:191" x14ac:dyDescent="0.2">
      <c r="GI6172" s="422"/>
    </row>
    <row r="6173" spans="191:191" x14ac:dyDescent="0.2">
      <c r="GI6173" s="422"/>
    </row>
    <row r="6174" spans="191:191" x14ac:dyDescent="0.2">
      <c r="GI6174" s="422"/>
    </row>
    <row r="6175" spans="191:191" x14ac:dyDescent="0.2">
      <c r="GI6175" s="422"/>
    </row>
    <row r="6176" spans="191:191" x14ac:dyDescent="0.2">
      <c r="GI6176" s="422"/>
    </row>
    <row r="6177" spans="191:191" x14ac:dyDescent="0.2">
      <c r="GI6177" s="422"/>
    </row>
    <row r="6178" spans="191:191" x14ac:dyDescent="0.2">
      <c r="GI6178" s="422"/>
    </row>
    <row r="6179" spans="191:191" x14ac:dyDescent="0.2">
      <c r="GI6179" s="422"/>
    </row>
    <row r="6180" spans="191:191" x14ac:dyDescent="0.2">
      <c r="GI6180" s="422"/>
    </row>
    <row r="6181" spans="191:191" x14ac:dyDescent="0.2">
      <c r="GI6181" s="422"/>
    </row>
    <row r="6182" spans="191:191" x14ac:dyDescent="0.2">
      <c r="GI6182" s="422"/>
    </row>
    <row r="6183" spans="191:191" x14ac:dyDescent="0.2">
      <c r="GI6183" s="422"/>
    </row>
    <row r="6184" spans="191:191" x14ac:dyDescent="0.2">
      <c r="GI6184" s="422"/>
    </row>
    <row r="6185" spans="191:191" x14ac:dyDescent="0.2">
      <c r="GI6185" s="422"/>
    </row>
    <row r="6186" spans="191:191" x14ac:dyDescent="0.2">
      <c r="GI6186" s="422"/>
    </row>
    <row r="6187" spans="191:191" x14ac:dyDescent="0.2">
      <c r="GI6187" s="422"/>
    </row>
    <row r="6188" spans="191:191" x14ac:dyDescent="0.2">
      <c r="GI6188" s="422"/>
    </row>
    <row r="6189" spans="191:191" x14ac:dyDescent="0.2">
      <c r="GI6189" s="422"/>
    </row>
    <row r="6190" spans="191:191" x14ac:dyDescent="0.2">
      <c r="GI6190" s="422"/>
    </row>
    <row r="6191" spans="191:191" x14ac:dyDescent="0.2">
      <c r="GI6191" s="422"/>
    </row>
    <row r="6192" spans="191:191" x14ac:dyDescent="0.2">
      <c r="GI6192" s="422"/>
    </row>
    <row r="6193" spans="191:191" x14ac:dyDescent="0.2">
      <c r="GI6193" s="422"/>
    </row>
    <row r="6194" spans="191:191" x14ac:dyDescent="0.2">
      <c r="GI6194" s="422"/>
    </row>
    <row r="6195" spans="191:191" x14ac:dyDescent="0.2">
      <c r="GI6195" s="422"/>
    </row>
    <row r="6196" spans="191:191" x14ac:dyDescent="0.2">
      <c r="GI6196" s="422"/>
    </row>
    <row r="6197" spans="191:191" x14ac:dyDescent="0.2">
      <c r="GI6197" s="422"/>
    </row>
    <row r="6198" spans="191:191" x14ac:dyDescent="0.2">
      <c r="GI6198" s="422"/>
    </row>
    <row r="6199" spans="191:191" x14ac:dyDescent="0.2">
      <c r="GI6199" s="422"/>
    </row>
    <row r="6200" spans="191:191" x14ac:dyDescent="0.2">
      <c r="GI6200" s="422"/>
    </row>
    <row r="6201" spans="191:191" x14ac:dyDescent="0.2">
      <c r="GI6201" s="422"/>
    </row>
    <row r="6202" spans="191:191" x14ac:dyDescent="0.2">
      <c r="GI6202" s="422"/>
    </row>
    <row r="6203" spans="191:191" x14ac:dyDescent="0.2">
      <c r="GI6203" s="422"/>
    </row>
    <row r="6204" spans="191:191" x14ac:dyDescent="0.2">
      <c r="GI6204" s="422"/>
    </row>
    <row r="6205" spans="191:191" x14ac:dyDescent="0.2">
      <c r="GI6205" s="422"/>
    </row>
    <row r="6206" spans="191:191" x14ac:dyDescent="0.2">
      <c r="GI6206" s="422"/>
    </row>
    <row r="6207" spans="191:191" x14ac:dyDescent="0.2">
      <c r="GI6207" s="422"/>
    </row>
    <row r="6208" spans="191:191" x14ac:dyDescent="0.2">
      <c r="GI6208" s="422"/>
    </row>
    <row r="6209" spans="191:191" x14ac:dyDescent="0.2">
      <c r="GI6209" s="422"/>
    </row>
    <row r="6210" spans="191:191" x14ac:dyDescent="0.2">
      <c r="GI6210" s="422"/>
    </row>
    <row r="6211" spans="191:191" x14ac:dyDescent="0.2">
      <c r="GI6211" s="422"/>
    </row>
    <row r="6212" spans="191:191" x14ac:dyDescent="0.2">
      <c r="GI6212" s="422"/>
    </row>
    <row r="6213" spans="191:191" x14ac:dyDescent="0.2">
      <c r="GI6213" s="422"/>
    </row>
    <row r="6214" spans="191:191" x14ac:dyDescent="0.2">
      <c r="GI6214" s="422"/>
    </row>
    <row r="6215" spans="191:191" x14ac:dyDescent="0.2">
      <c r="GI6215" s="422"/>
    </row>
    <row r="6216" spans="191:191" x14ac:dyDescent="0.2">
      <c r="GI6216" s="422"/>
    </row>
    <row r="6217" spans="191:191" x14ac:dyDescent="0.2">
      <c r="GI6217" s="422"/>
    </row>
    <row r="6218" spans="191:191" x14ac:dyDescent="0.2">
      <c r="GI6218" s="422"/>
    </row>
    <row r="6219" spans="191:191" x14ac:dyDescent="0.2">
      <c r="GI6219" s="422"/>
    </row>
    <row r="6220" spans="191:191" x14ac:dyDescent="0.2">
      <c r="GI6220" s="422"/>
    </row>
    <row r="6221" spans="191:191" x14ac:dyDescent="0.2">
      <c r="GI6221" s="422"/>
    </row>
    <row r="6222" spans="191:191" x14ac:dyDescent="0.2">
      <c r="GI6222" s="422"/>
    </row>
    <row r="6223" spans="191:191" x14ac:dyDescent="0.2">
      <c r="GI6223" s="422"/>
    </row>
    <row r="6224" spans="191:191" x14ac:dyDescent="0.2">
      <c r="GI6224" s="422"/>
    </row>
    <row r="6225" spans="191:191" x14ac:dyDescent="0.2">
      <c r="GI6225" s="422"/>
    </row>
    <row r="6226" spans="191:191" x14ac:dyDescent="0.2">
      <c r="GI6226" s="422"/>
    </row>
    <row r="6227" spans="191:191" x14ac:dyDescent="0.2">
      <c r="GI6227" s="422"/>
    </row>
    <row r="6228" spans="191:191" x14ac:dyDescent="0.2">
      <c r="GI6228" s="422"/>
    </row>
    <row r="6229" spans="191:191" x14ac:dyDescent="0.2">
      <c r="GI6229" s="422"/>
    </row>
    <row r="6230" spans="191:191" x14ac:dyDescent="0.2">
      <c r="GI6230" s="422"/>
    </row>
    <row r="6231" spans="191:191" x14ac:dyDescent="0.2">
      <c r="GI6231" s="422"/>
    </row>
    <row r="6232" spans="191:191" x14ac:dyDescent="0.2">
      <c r="GI6232" s="422"/>
    </row>
    <row r="6233" spans="191:191" x14ac:dyDescent="0.2">
      <c r="GI6233" s="422"/>
    </row>
    <row r="6234" spans="191:191" x14ac:dyDescent="0.2">
      <c r="GI6234" s="422"/>
    </row>
    <row r="6235" spans="191:191" x14ac:dyDescent="0.2">
      <c r="GI6235" s="422"/>
    </row>
    <row r="6236" spans="191:191" x14ac:dyDescent="0.2">
      <c r="GI6236" s="422"/>
    </row>
    <row r="6237" spans="191:191" x14ac:dyDescent="0.2">
      <c r="GI6237" s="422"/>
    </row>
    <row r="6238" spans="191:191" x14ac:dyDescent="0.2">
      <c r="GI6238" s="422"/>
    </row>
    <row r="6239" spans="191:191" x14ac:dyDescent="0.2">
      <c r="GI6239" s="422"/>
    </row>
    <row r="6240" spans="191:191" x14ac:dyDescent="0.2">
      <c r="GI6240" s="422"/>
    </row>
    <row r="6241" spans="191:191" x14ac:dyDescent="0.2">
      <c r="GI6241" s="422"/>
    </row>
    <row r="6242" spans="191:191" x14ac:dyDescent="0.2">
      <c r="GI6242" s="422"/>
    </row>
    <row r="6243" spans="191:191" x14ac:dyDescent="0.2">
      <c r="GI6243" s="422"/>
    </row>
    <row r="6244" spans="191:191" x14ac:dyDescent="0.2">
      <c r="GI6244" s="422"/>
    </row>
    <row r="6245" spans="191:191" x14ac:dyDescent="0.2">
      <c r="GI6245" s="422"/>
    </row>
    <row r="6246" spans="191:191" x14ac:dyDescent="0.2">
      <c r="GI6246" s="422"/>
    </row>
    <row r="6247" spans="191:191" x14ac:dyDescent="0.2">
      <c r="GI6247" s="422"/>
    </row>
    <row r="6248" spans="191:191" x14ac:dyDescent="0.2">
      <c r="GI6248" s="422"/>
    </row>
    <row r="6249" spans="191:191" x14ac:dyDescent="0.2">
      <c r="GI6249" s="422"/>
    </row>
    <row r="6250" spans="191:191" x14ac:dyDescent="0.2">
      <c r="GI6250" s="422"/>
    </row>
    <row r="6251" spans="191:191" x14ac:dyDescent="0.2">
      <c r="GI6251" s="422"/>
    </row>
    <row r="6252" spans="191:191" x14ac:dyDescent="0.2">
      <c r="GI6252" s="422"/>
    </row>
    <row r="6253" spans="191:191" x14ac:dyDescent="0.2">
      <c r="GI6253" s="422"/>
    </row>
    <row r="6254" spans="191:191" x14ac:dyDescent="0.2">
      <c r="GI6254" s="422"/>
    </row>
    <row r="6255" spans="191:191" x14ac:dyDescent="0.2">
      <c r="GI6255" s="422"/>
    </row>
    <row r="6256" spans="191:191" x14ac:dyDescent="0.2">
      <c r="GI6256" s="422"/>
    </row>
    <row r="6257" spans="191:191" x14ac:dyDescent="0.2">
      <c r="GI6257" s="422"/>
    </row>
    <row r="6258" spans="191:191" x14ac:dyDescent="0.2">
      <c r="GI6258" s="422"/>
    </row>
    <row r="6259" spans="191:191" x14ac:dyDescent="0.2">
      <c r="GI6259" s="422"/>
    </row>
    <row r="6260" spans="191:191" x14ac:dyDescent="0.2">
      <c r="GI6260" s="422"/>
    </row>
    <row r="6261" spans="191:191" x14ac:dyDescent="0.2">
      <c r="GI6261" s="422"/>
    </row>
    <row r="6262" spans="191:191" x14ac:dyDescent="0.2">
      <c r="GI6262" s="422"/>
    </row>
    <row r="6263" spans="191:191" x14ac:dyDescent="0.2">
      <c r="GI6263" s="422"/>
    </row>
    <row r="6264" spans="191:191" x14ac:dyDescent="0.2">
      <c r="GI6264" s="422"/>
    </row>
    <row r="6265" spans="191:191" x14ac:dyDescent="0.2">
      <c r="GI6265" s="422"/>
    </row>
    <row r="6266" spans="191:191" x14ac:dyDescent="0.2">
      <c r="GI6266" s="422"/>
    </row>
    <row r="6267" spans="191:191" x14ac:dyDescent="0.2">
      <c r="GI6267" s="422"/>
    </row>
    <row r="6268" spans="191:191" x14ac:dyDescent="0.2">
      <c r="GI6268" s="422"/>
    </row>
    <row r="6269" spans="191:191" x14ac:dyDescent="0.2">
      <c r="GI6269" s="422"/>
    </row>
    <row r="6270" spans="191:191" x14ac:dyDescent="0.2">
      <c r="GI6270" s="422"/>
    </row>
    <row r="6271" spans="191:191" x14ac:dyDescent="0.2">
      <c r="GI6271" s="422"/>
    </row>
    <row r="6272" spans="191:191" x14ac:dyDescent="0.2">
      <c r="GI6272" s="422"/>
    </row>
    <row r="6273" spans="191:191" x14ac:dyDescent="0.2">
      <c r="GI6273" s="422"/>
    </row>
    <row r="6274" spans="191:191" x14ac:dyDescent="0.2">
      <c r="GI6274" s="422"/>
    </row>
    <row r="6275" spans="191:191" x14ac:dyDescent="0.2">
      <c r="GI6275" s="422"/>
    </row>
    <row r="6276" spans="191:191" x14ac:dyDescent="0.2">
      <c r="GI6276" s="422"/>
    </row>
    <row r="6277" spans="191:191" x14ac:dyDescent="0.2">
      <c r="GI6277" s="422"/>
    </row>
    <row r="6278" spans="191:191" x14ac:dyDescent="0.2">
      <c r="GI6278" s="422"/>
    </row>
    <row r="6279" spans="191:191" x14ac:dyDescent="0.2">
      <c r="GI6279" s="422"/>
    </row>
    <row r="6280" spans="191:191" x14ac:dyDescent="0.2">
      <c r="GI6280" s="422"/>
    </row>
    <row r="6281" spans="191:191" x14ac:dyDescent="0.2">
      <c r="GI6281" s="422"/>
    </row>
    <row r="6282" spans="191:191" x14ac:dyDescent="0.2">
      <c r="GI6282" s="422"/>
    </row>
    <row r="6283" spans="191:191" x14ac:dyDescent="0.2">
      <c r="GI6283" s="422"/>
    </row>
    <row r="6284" spans="191:191" x14ac:dyDescent="0.2">
      <c r="GI6284" s="422"/>
    </row>
    <row r="6285" spans="191:191" x14ac:dyDescent="0.2">
      <c r="GI6285" s="422"/>
    </row>
    <row r="6286" spans="191:191" x14ac:dyDescent="0.2">
      <c r="GI6286" s="422"/>
    </row>
    <row r="6287" spans="191:191" x14ac:dyDescent="0.2">
      <c r="GI6287" s="422"/>
    </row>
    <row r="6288" spans="191:191" x14ac:dyDescent="0.2">
      <c r="GI6288" s="422"/>
    </row>
    <row r="6289" spans="191:191" x14ac:dyDescent="0.2">
      <c r="GI6289" s="422"/>
    </row>
    <row r="6290" spans="191:191" x14ac:dyDescent="0.2">
      <c r="GI6290" s="422"/>
    </row>
    <row r="6291" spans="191:191" x14ac:dyDescent="0.2">
      <c r="GI6291" s="422"/>
    </row>
    <row r="6292" spans="191:191" x14ac:dyDescent="0.2">
      <c r="GI6292" s="422"/>
    </row>
    <row r="6293" spans="191:191" x14ac:dyDescent="0.2">
      <c r="GI6293" s="422"/>
    </row>
    <row r="6294" spans="191:191" x14ac:dyDescent="0.2">
      <c r="GI6294" s="422"/>
    </row>
    <row r="6295" spans="191:191" x14ac:dyDescent="0.2">
      <c r="GI6295" s="422"/>
    </row>
    <row r="6296" spans="191:191" x14ac:dyDescent="0.2">
      <c r="GI6296" s="422"/>
    </row>
    <row r="6297" spans="191:191" x14ac:dyDescent="0.2">
      <c r="GI6297" s="422"/>
    </row>
    <row r="6298" spans="191:191" x14ac:dyDescent="0.2">
      <c r="GI6298" s="422"/>
    </row>
    <row r="6299" spans="191:191" x14ac:dyDescent="0.2">
      <c r="GI6299" s="422"/>
    </row>
    <row r="6300" spans="191:191" x14ac:dyDescent="0.2">
      <c r="GI6300" s="422"/>
    </row>
    <row r="6301" spans="191:191" x14ac:dyDescent="0.2">
      <c r="GI6301" s="422"/>
    </row>
    <row r="6302" spans="191:191" x14ac:dyDescent="0.2">
      <c r="GI6302" s="422"/>
    </row>
    <row r="6303" spans="191:191" x14ac:dyDescent="0.2">
      <c r="GI6303" s="422"/>
    </row>
    <row r="6304" spans="191:191" x14ac:dyDescent="0.2">
      <c r="GI6304" s="422"/>
    </row>
    <row r="6305" spans="191:191" x14ac:dyDescent="0.2">
      <c r="GI6305" s="422"/>
    </row>
    <row r="6306" spans="191:191" x14ac:dyDescent="0.2">
      <c r="GI6306" s="422"/>
    </row>
    <row r="6307" spans="191:191" x14ac:dyDescent="0.2">
      <c r="GI6307" s="422"/>
    </row>
    <row r="6308" spans="191:191" x14ac:dyDescent="0.2">
      <c r="GI6308" s="422"/>
    </row>
    <row r="6309" spans="191:191" x14ac:dyDescent="0.2">
      <c r="GI6309" s="422"/>
    </row>
    <row r="6310" spans="191:191" x14ac:dyDescent="0.2">
      <c r="GI6310" s="422"/>
    </row>
    <row r="6311" spans="191:191" x14ac:dyDescent="0.2">
      <c r="GI6311" s="422"/>
    </row>
    <row r="6312" spans="191:191" x14ac:dyDescent="0.2">
      <c r="GI6312" s="422"/>
    </row>
    <row r="6313" spans="191:191" x14ac:dyDescent="0.2">
      <c r="GI6313" s="422"/>
    </row>
    <row r="6314" spans="191:191" x14ac:dyDescent="0.2">
      <c r="GI6314" s="422"/>
    </row>
    <row r="6315" spans="191:191" x14ac:dyDescent="0.2">
      <c r="GI6315" s="422"/>
    </row>
    <row r="6316" spans="191:191" x14ac:dyDescent="0.2">
      <c r="GI6316" s="422"/>
    </row>
    <row r="6317" spans="191:191" x14ac:dyDescent="0.2">
      <c r="GI6317" s="422"/>
    </row>
    <row r="6318" spans="191:191" x14ac:dyDescent="0.2">
      <c r="GI6318" s="422"/>
    </row>
    <row r="6319" spans="191:191" x14ac:dyDescent="0.2">
      <c r="GI6319" s="422"/>
    </row>
    <row r="6320" spans="191:191" x14ac:dyDescent="0.2">
      <c r="GI6320" s="422"/>
    </row>
    <row r="6321" spans="191:191" x14ac:dyDescent="0.2">
      <c r="GI6321" s="422"/>
    </row>
    <row r="6322" spans="191:191" x14ac:dyDescent="0.2">
      <c r="GI6322" s="422"/>
    </row>
    <row r="6323" spans="191:191" x14ac:dyDescent="0.2">
      <c r="GI6323" s="422"/>
    </row>
    <row r="6324" spans="191:191" x14ac:dyDescent="0.2">
      <c r="GI6324" s="422"/>
    </row>
    <row r="6325" spans="191:191" x14ac:dyDescent="0.2">
      <c r="GI6325" s="422"/>
    </row>
    <row r="6326" spans="191:191" x14ac:dyDescent="0.2">
      <c r="GI6326" s="422"/>
    </row>
    <row r="6327" spans="191:191" x14ac:dyDescent="0.2">
      <c r="GI6327" s="422"/>
    </row>
    <row r="6328" spans="191:191" x14ac:dyDescent="0.2">
      <c r="GI6328" s="422"/>
    </row>
    <row r="6329" spans="191:191" x14ac:dyDescent="0.2">
      <c r="GI6329" s="422"/>
    </row>
    <row r="6330" spans="191:191" x14ac:dyDescent="0.2">
      <c r="GI6330" s="422"/>
    </row>
    <row r="6331" spans="191:191" x14ac:dyDescent="0.2">
      <c r="GI6331" s="422"/>
    </row>
    <row r="6332" spans="191:191" x14ac:dyDescent="0.2">
      <c r="GI6332" s="422"/>
    </row>
    <row r="6333" spans="191:191" x14ac:dyDescent="0.2">
      <c r="GI6333" s="422"/>
    </row>
    <row r="6334" spans="191:191" x14ac:dyDescent="0.2">
      <c r="GI6334" s="422"/>
    </row>
    <row r="6335" spans="191:191" x14ac:dyDescent="0.2">
      <c r="GI6335" s="422"/>
    </row>
    <row r="6336" spans="191:191" x14ac:dyDescent="0.2">
      <c r="GI6336" s="422"/>
    </row>
    <row r="6337" spans="191:191" x14ac:dyDescent="0.2">
      <c r="GI6337" s="422"/>
    </row>
    <row r="6338" spans="191:191" x14ac:dyDescent="0.2">
      <c r="GI6338" s="422"/>
    </row>
    <row r="6339" spans="191:191" x14ac:dyDescent="0.2">
      <c r="GI6339" s="422"/>
    </row>
    <row r="6340" spans="191:191" x14ac:dyDescent="0.2">
      <c r="GI6340" s="422"/>
    </row>
    <row r="6341" spans="191:191" x14ac:dyDescent="0.2">
      <c r="GI6341" s="422"/>
    </row>
    <row r="6342" spans="191:191" x14ac:dyDescent="0.2">
      <c r="GI6342" s="422"/>
    </row>
    <row r="6343" spans="191:191" x14ac:dyDescent="0.2">
      <c r="GI6343" s="422"/>
    </row>
    <row r="6344" spans="191:191" x14ac:dyDescent="0.2">
      <c r="GI6344" s="422"/>
    </row>
    <row r="6345" spans="191:191" x14ac:dyDescent="0.2">
      <c r="GI6345" s="422"/>
    </row>
    <row r="6346" spans="191:191" x14ac:dyDescent="0.2">
      <c r="GI6346" s="422"/>
    </row>
    <row r="6347" spans="191:191" x14ac:dyDescent="0.2">
      <c r="GI6347" s="422"/>
    </row>
    <row r="6348" spans="191:191" x14ac:dyDescent="0.2">
      <c r="GI6348" s="422"/>
    </row>
    <row r="6349" spans="191:191" x14ac:dyDescent="0.2">
      <c r="GI6349" s="422"/>
    </row>
    <row r="6350" spans="191:191" x14ac:dyDescent="0.2">
      <c r="GI6350" s="422"/>
    </row>
    <row r="6351" spans="191:191" x14ac:dyDescent="0.2">
      <c r="GI6351" s="422"/>
    </row>
    <row r="6352" spans="191:191" x14ac:dyDescent="0.2">
      <c r="GI6352" s="422"/>
    </row>
    <row r="6353" spans="191:191" x14ac:dyDescent="0.2">
      <c r="GI6353" s="422"/>
    </row>
    <row r="6354" spans="191:191" x14ac:dyDescent="0.2">
      <c r="GI6354" s="422"/>
    </row>
    <row r="6355" spans="191:191" x14ac:dyDescent="0.2">
      <c r="GI6355" s="422"/>
    </row>
    <row r="6356" spans="191:191" x14ac:dyDescent="0.2">
      <c r="GI6356" s="422"/>
    </row>
    <row r="6357" spans="191:191" x14ac:dyDescent="0.2">
      <c r="GI6357" s="422"/>
    </row>
    <row r="6358" spans="191:191" x14ac:dyDescent="0.2">
      <c r="GI6358" s="422"/>
    </row>
    <row r="6359" spans="191:191" x14ac:dyDescent="0.2">
      <c r="GI6359" s="422"/>
    </row>
    <row r="6360" spans="191:191" x14ac:dyDescent="0.2">
      <c r="GI6360" s="422"/>
    </row>
    <row r="6361" spans="191:191" x14ac:dyDescent="0.2">
      <c r="GI6361" s="422"/>
    </row>
    <row r="6362" spans="191:191" x14ac:dyDescent="0.2">
      <c r="GI6362" s="422"/>
    </row>
    <row r="6363" spans="191:191" x14ac:dyDescent="0.2">
      <c r="GI6363" s="422"/>
    </row>
    <row r="6364" spans="191:191" x14ac:dyDescent="0.2">
      <c r="GI6364" s="422"/>
    </row>
    <row r="6365" spans="191:191" x14ac:dyDescent="0.2">
      <c r="GI6365" s="422"/>
    </row>
    <row r="6366" spans="191:191" x14ac:dyDescent="0.2">
      <c r="GI6366" s="422"/>
    </row>
    <row r="6367" spans="191:191" x14ac:dyDescent="0.2">
      <c r="GI6367" s="422"/>
    </row>
    <row r="6368" spans="191:191" x14ac:dyDescent="0.2">
      <c r="GI6368" s="422"/>
    </row>
    <row r="6369" spans="191:191" x14ac:dyDescent="0.2">
      <c r="GI6369" s="422"/>
    </row>
    <row r="6370" spans="191:191" x14ac:dyDescent="0.2">
      <c r="GI6370" s="422"/>
    </row>
    <row r="6371" spans="191:191" x14ac:dyDescent="0.2">
      <c r="GI6371" s="422"/>
    </row>
    <row r="6372" spans="191:191" x14ac:dyDescent="0.2">
      <c r="GI6372" s="422"/>
    </row>
    <row r="6373" spans="191:191" x14ac:dyDescent="0.2">
      <c r="GI6373" s="422"/>
    </row>
    <row r="6374" spans="191:191" x14ac:dyDescent="0.2">
      <c r="GI6374" s="422"/>
    </row>
    <row r="6375" spans="191:191" x14ac:dyDescent="0.2">
      <c r="GI6375" s="422"/>
    </row>
    <row r="6376" spans="191:191" x14ac:dyDescent="0.2">
      <c r="GI6376" s="422"/>
    </row>
    <row r="6377" spans="191:191" x14ac:dyDescent="0.2">
      <c r="GI6377" s="422"/>
    </row>
    <row r="6378" spans="191:191" x14ac:dyDescent="0.2">
      <c r="GI6378" s="422"/>
    </row>
    <row r="6379" spans="191:191" x14ac:dyDescent="0.2">
      <c r="GI6379" s="422"/>
    </row>
    <row r="6380" spans="191:191" x14ac:dyDescent="0.2">
      <c r="GI6380" s="422"/>
    </row>
    <row r="6381" spans="191:191" x14ac:dyDescent="0.2">
      <c r="GI6381" s="422"/>
    </row>
    <row r="6382" spans="191:191" x14ac:dyDescent="0.2">
      <c r="GI6382" s="422"/>
    </row>
    <row r="6383" spans="191:191" x14ac:dyDescent="0.2">
      <c r="GI6383" s="422"/>
    </row>
    <row r="6384" spans="191:191" x14ac:dyDescent="0.2">
      <c r="GI6384" s="422"/>
    </row>
    <row r="6385" spans="191:191" x14ac:dyDescent="0.2">
      <c r="GI6385" s="422"/>
    </row>
    <row r="6386" spans="191:191" x14ac:dyDescent="0.2">
      <c r="GI6386" s="422"/>
    </row>
    <row r="6387" spans="191:191" x14ac:dyDescent="0.2">
      <c r="GI6387" s="422"/>
    </row>
    <row r="6388" spans="191:191" x14ac:dyDescent="0.2">
      <c r="GI6388" s="422"/>
    </row>
    <row r="6389" spans="191:191" x14ac:dyDescent="0.2">
      <c r="GI6389" s="422"/>
    </row>
    <row r="6390" spans="191:191" x14ac:dyDescent="0.2">
      <c r="GI6390" s="422"/>
    </row>
    <row r="6391" spans="191:191" x14ac:dyDescent="0.2">
      <c r="GI6391" s="422"/>
    </row>
    <row r="6392" spans="191:191" x14ac:dyDescent="0.2">
      <c r="GI6392" s="422"/>
    </row>
    <row r="6393" spans="191:191" x14ac:dyDescent="0.2">
      <c r="GI6393" s="422"/>
    </row>
    <row r="6394" spans="191:191" x14ac:dyDescent="0.2">
      <c r="GI6394" s="422"/>
    </row>
    <row r="6395" spans="191:191" x14ac:dyDescent="0.2">
      <c r="GI6395" s="422"/>
    </row>
    <row r="6396" spans="191:191" x14ac:dyDescent="0.2">
      <c r="GI6396" s="422"/>
    </row>
    <row r="6397" spans="191:191" x14ac:dyDescent="0.2">
      <c r="GI6397" s="422"/>
    </row>
    <row r="6398" spans="191:191" x14ac:dyDescent="0.2">
      <c r="GI6398" s="422"/>
    </row>
    <row r="6399" spans="191:191" x14ac:dyDescent="0.2">
      <c r="GI6399" s="422"/>
    </row>
    <row r="6400" spans="191:191" x14ac:dyDescent="0.2">
      <c r="GI6400" s="422"/>
    </row>
    <row r="6401" spans="191:191" x14ac:dyDescent="0.2">
      <c r="GI6401" s="422"/>
    </row>
    <row r="6402" spans="191:191" x14ac:dyDescent="0.2">
      <c r="GI6402" s="422"/>
    </row>
    <row r="6403" spans="191:191" x14ac:dyDescent="0.2">
      <c r="GI6403" s="422"/>
    </row>
    <row r="6404" spans="191:191" x14ac:dyDescent="0.2">
      <c r="GI6404" s="422"/>
    </row>
    <row r="6405" spans="191:191" x14ac:dyDescent="0.2">
      <c r="GI6405" s="422"/>
    </row>
    <row r="6406" spans="191:191" x14ac:dyDescent="0.2">
      <c r="GI6406" s="422"/>
    </row>
    <row r="6407" spans="191:191" x14ac:dyDescent="0.2">
      <c r="GI6407" s="422"/>
    </row>
    <row r="6408" spans="191:191" x14ac:dyDescent="0.2">
      <c r="GI6408" s="422"/>
    </row>
    <row r="6409" spans="191:191" x14ac:dyDescent="0.2">
      <c r="GI6409" s="422"/>
    </row>
    <row r="6410" spans="191:191" x14ac:dyDescent="0.2">
      <c r="GI6410" s="422"/>
    </row>
    <row r="6411" spans="191:191" x14ac:dyDescent="0.2">
      <c r="GI6411" s="422"/>
    </row>
    <row r="6412" spans="191:191" x14ac:dyDescent="0.2">
      <c r="GI6412" s="422"/>
    </row>
    <row r="6413" spans="191:191" x14ac:dyDescent="0.2">
      <c r="GI6413" s="422"/>
    </row>
    <row r="6414" spans="191:191" x14ac:dyDescent="0.2">
      <c r="GI6414" s="422"/>
    </row>
    <row r="6415" spans="191:191" x14ac:dyDescent="0.2">
      <c r="GI6415" s="422"/>
    </row>
    <row r="6416" spans="191:191" x14ac:dyDescent="0.2">
      <c r="GI6416" s="422"/>
    </row>
    <row r="6417" spans="191:191" x14ac:dyDescent="0.2">
      <c r="GI6417" s="422"/>
    </row>
    <row r="6418" spans="191:191" x14ac:dyDescent="0.2">
      <c r="GI6418" s="422"/>
    </row>
    <row r="6419" spans="191:191" x14ac:dyDescent="0.2">
      <c r="GI6419" s="422"/>
    </row>
    <row r="6420" spans="191:191" x14ac:dyDescent="0.2">
      <c r="GI6420" s="422"/>
    </row>
    <row r="6421" spans="191:191" x14ac:dyDescent="0.2">
      <c r="GI6421" s="422"/>
    </row>
    <row r="6422" spans="191:191" x14ac:dyDescent="0.2">
      <c r="GI6422" s="422"/>
    </row>
    <row r="6423" spans="191:191" x14ac:dyDescent="0.2">
      <c r="GI6423" s="422"/>
    </row>
    <row r="6424" spans="191:191" x14ac:dyDescent="0.2">
      <c r="GI6424" s="422"/>
    </row>
    <row r="6425" spans="191:191" x14ac:dyDescent="0.2">
      <c r="GI6425" s="422"/>
    </row>
    <row r="6426" spans="191:191" x14ac:dyDescent="0.2">
      <c r="GI6426" s="422"/>
    </row>
    <row r="6427" spans="191:191" x14ac:dyDescent="0.2">
      <c r="GI6427" s="422"/>
    </row>
    <row r="6428" spans="191:191" x14ac:dyDescent="0.2">
      <c r="GI6428" s="422"/>
    </row>
    <row r="6429" spans="191:191" x14ac:dyDescent="0.2">
      <c r="GI6429" s="422"/>
    </row>
    <row r="6430" spans="191:191" x14ac:dyDescent="0.2">
      <c r="GI6430" s="422"/>
    </row>
    <row r="6431" spans="191:191" x14ac:dyDescent="0.2">
      <c r="GI6431" s="422"/>
    </row>
    <row r="6432" spans="191:191" x14ac:dyDescent="0.2">
      <c r="GI6432" s="422"/>
    </row>
    <row r="6433" spans="191:191" x14ac:dyDescent="0.2">
      <c r="GI6433" s="422"/>
    </row>
    <row r="6434" spans="191:191" x14ac:dyDescent="0.2">
      <c r="GI6434" s="422"/>
    </row>
    <row r="6435" spans="191:191" x14ac:dyDescent="0.2">
      <c r="GI6435" s="422"/>
    </row>
    <row r="6436" spans="191:191" x14ac:dyDescent="0.2">
      <c r="GI6436" s="422"/>
    </row>
    <row r="6437" spans="191:191" x14ac:dyDescent="0.2">
      <c r="GI6437" s="422"/>
    </row>
    <row r="6438" spans="191:191" x14ac:dyDescent="0.2">
      <c r="GI6438" s="422"/>
    </row>
    <row r="6439" spans="191:191" x14ac:dyDescent="0.2">
      <c r="GI6439" s="422"/>
    </row>
    <row r="6440" spans="191:191" x14ac:dyDescent="0.2">
      <c r="GI6440" s="422"/>
    </row>
    <row r="6441" spans="191:191" x14ac:dyDescent="0.2">
      <c r="GI6441" s="422"/>
    </row>
    <row r="6442" spans="191:191" x14ac:dyDescent="0.2">
      <c r="GI6442" s="422"/>
    </row>
    <row r="6443" spans="191:191" x14ac:dyDescent="0.2">
      <c r="GI6443" s="422"/>
    </row>
    <row r="6444" spans="191:191" x14ac:dyDescent="0.2">
      <c r="GI6444" s="422"/>
    </row>
    <row r="6445" spans="191:191" x14ac:dyDescent="0.2">
      <c r="GI6445" s="422"/>
    </row>
    <row r="6446" spans="191:191" x14ac:dyDescent="0.2">
      <c r="GI6446" s="422"/>
    </row>
    <row r="6447" spans="191:191" x14ac:dyDescent="0.2">
      <c r="GI6447" s="422"/>
    </row>
    <row r="6448" spans="191:191" x14ac:dyDescent="0.2">
      <c r="GI6448" s="422"/>
    </row>
    <row r="6449" spans="191:191" x14ac:dyDescent="0.2">
      <c r="GI6449" s="422"/>
    </row>
    <row r="6450" spans="191:191" x14ac:dyDescent="0.2">
      <c r="GI6450" s="422"/>
    </row>
    <row r="6451" spans="191:191" x14ac:dyDescent="0.2">
      <c r="GI6451" s="422"/>
    </row>
    <row r="6452" spans="191:191" x14ac:dyDescent="0.2">
      <c r="GI6452" s="422"/>
    </row>
    <row r="6453" spans="191:191" x14ac:dyDescent="0.2">
      <c r="GI6453" s="422"/>
    </row>
    <row r="6454" spans="191:191" x14ac:dyDescent="0.2">
      <c r="GI6454" s="422"/>
    </row>
    <row r="6455" spans="191:191" x14ac:dyDescent="0.2">
      <c r="GI6455" s="422"/>
    </row>
    <row r="6456" spans="191:191" x14ac:dyDescent="0.2">
      <c r="GI6456" s="422"/>
    </row>
    <row r="6457" spans="191:191" x14ac:dyDescent="0.2">
      <c r="GI6457" s="422"/>
    </row>
    <row r="6458" spans="191:191" x14ac:dyDescent="0.2">
      <c r="GI6458" s="422"/>
    </row>
    <row r="6459" spans="191:191" x14ac:dyDescent="0.2">
      <c r="GI6459" s="422"/>
    </row>
    <row r="6460" spans="191:191" x14ac:dyDescent="0.2">
      <c r="GI6460" s="422"/>
    </row>
    <row r="6461" spans="191:191" x14ac:dyDescent="0.2">
      <c r="GI6461" s="422"/>
    </row>
    <row r="6462" spans="191:191" x14ac:dyDescent="0.2">
      <c r="GI6462" s="422"/>
    </row>
    <row r="6463" spans="191:191" x14ac:dyDescent="0.2">
      <c r="GI6463" s="422"/>
    </row>
    <row r="6464" spans="191:191" x14ac:dyDescent="0.2">
      <c r="GI6464" s="422"/>
    </row>
    <row r="6465" spans="191:191" x14ac:dyDescent="0.2">
      <c r="GI6465" s="422"/>
    </row>
    <row r="6466" spans="191:191" x14ac:dyDescent="0.2">
      <c r="GI6466" s="422"/>
    </row>
    <row r="6467" spans="191:191" x14ac:dyDescent="0.2">
      <c r="GI6467" s="422"/>
    </row>
    <row r="6468" spans="191:191" x14ac:dyDescent="0.2">
      <c r="GI6468" s="422"/>
    </row>
    <row r="6469" spans="191:191" x14ac:dyDescent="0.2">
      <c r="GI6469" s="422"/>
    </row>
    <row r="6470" spans="191:191" x14ac:dyDescent="0.2">
      <c r="GI6470" s="422"/>
    </row>
    <row r="6471" spans="191:191" x14ac:dyDescent="0.2">
      <c r="GI6471" s="422"/>
    </row>
    <row r="6472" spans="191:191" x14ac:dyDescent="0.2">
      <c r="GI6472" s="422"/>
    </row>
    <row r="6473" spans="191:191" x14ac:dyDescent="0.2">
      <c r="GI6473" s="422"/>
    </row>
    <row r="6474" spans="191:191" x14ac:dyDescent="0.2">
      <c r="GI6474" s="422"/>
    </row>
    <row r="6475" spans="191:191" x14ac:dyDescent="0.2">
      <c r="GI6475" s="422"/>
    </row>
    <row r="6476" spans="191:191" x14ac:dyDescent="0.2">
      <c r="GI6476" s="422"/>
    </row>
    <row r="6477" spans="191:191" x14ac:dyDescent="0.2">
      <c r="GI6477" s="422"/>
    </row>
    <row r="6478" spans="191:191" x14ac:dyDescent="0.2">
      <c r="GI6478" s="422"/>
    </row>
    <row r="6479" spans="191:191" x14ac:dyDescent="0.2">
      <c r="GI6479" s="422"/>
    </row>
    <row r="6480" spans="191:191" x14ac:dyDescent="0.2">
      <c r="GI6480" s="422"/>
    </row>
    <row r="6481" spans="191:191" x14ac:dyDescent="0.2">
      <c r="GI6481" s="422"/>
    </row>
    <row r="6482" spans="191:191" x14ac:dyDescent="0.2">
      <c r="GI6482" s="422"/>
    </row>
    <row r="6483" spans="191:191" x14ac:dyDescent="0.2">
      <c r="GI6483" s="422"/>
    </row>
    <row r="6484" spans="191:191" x14ac:dyDescent="0.2">
      <c r="GI6484" s="422"/>
    </row>
    <row r="6485" spans="191:191" x14ac:dyDescent="0.2">
      <c r="GI6485" s="422"/>
    </row>
    <row r="6486" spans="191:191" x14ac:dyDescent="0.2">
      <c r="GI6486" s="422"/>
    </row>
    <row r="6487" spans="191:191" x14ac:dyDescent="0.2">
      <c r="GI6487" s="422"/>
    </row>
    <row r="6488" spans="191:191" x14ac:dyDescent="0.2">
      <c r="GI6488" s="422"/>
    </row>
    <row r="6489" spans="191:191" x14ac:dyDescent="0.2">
      <c r="GI6489" s="422"/>
    </row>
    <row r="6490" spans="191:191" x14ac:dyDescent="0.2">
      <c r="GI6490" s="422"/>
    </row>
    <row r="6491" spans="191:191" x14ac:dyDescent="0.2">
      <c r="GI6491" s="422"/>
    </row>
    <row r="6492" spans="191:191" x14ac:dyDescent="0.2">
      <c r="GI6492" s="422"/>
    </row>
    <row r="6493" spans="191:191" x14ac:dyDescent="0.2">
      <c r="GI6493" s="422"/>
    </row>
    <row r="6494" spans="191:191" x14ac:dyDescent="0.2">
      <c r="GI6494" s="422"/>
    </row>
    <row r="6495" spans="191:191" x14ac:dyDescent="0.2">
      <c r="GI6495" s="422"/>
    </row>
    <row r="6496" spans="191:191" x14ac:dyDescent="0.2">
      <c r="GI6496" s="422"/>
    </row>
    <row r="6497" spans="191:191" x14ac:dyDescent="0.2">
      <c r="GI6497" s="422"/>
    </row>
    <row r="6498" spans="191:191" x14ac:dyDescent="0.2">
      <c r="GI6498" s="422"/>
    </row>
    <row r="6499" spans="191:191" x14ac:dyDescent="0.2">
      <c r="GI6499" s="422"/>
    </row>
    <row r="6500" spans="191:191" x14ac:dyDescent="0.2">
      <c r="GI6500" s="422"/>
    </row>
    <row r="6501" spans="191:191" x14ac:dyDescent="0.2">
      <c r="GI6501" s="422"/>
    </row>
    <row r="6502" spans="191:191" x14ac:dyDescent="0.2">
      <c r="GI6502" s="422"/>
    </row>
    <row r="6503" spans="191:191" x14ac:dyDescent="0.2">
      <c r="GI6503" s="422"/>
    </row>
    <row r="6504" spans="191:191" x14ac:dyDescent="0.2">
      <c r="GI6504" s="422"/>
    </row>
    <row r="6505" spans="191:191" x14ac:dyDescent="0.2">
      <c r="GI6505" s="422"/>
    </row>
    <row r="6506" spans="191:191" x14ac:dyDescent="0.2">
      <c r="GI6506" s="422"/>
    </row>
    <row r="6507" spans="191:191" x14ac:dyDescent="0.2">
      <c r="GI6507" s="422"/>
    </row>
    <row r="6508" spans="191:191" x14ac:dyDescent="0.2">
      <c r="GI6508" s="422"/>
    </row>
    <row r="6509" spans="191:191" x14ac:dyDescent="0.2">
      <c r="GI6509" s="422"/>
    </row>
    <row r="6510" spans="191:191" x14ac:dyDescent="0.2">
      <c r="GI6510" s="422"/>
    </row>
    <row r="6511" spans="191:191" x14ac:dyDescent="0.2">
      <c r="GI6511" s="422"/>
    </row>
    <row r="6512" spans="191:191" x14ac:dyDescent="0.2">
      <c r="GI6512" s="422"/>
    </row>
    <row r="6513" spans="191:191" x14ac:dyDescent="0.2">
      <c r="GI6513" s="422"/>
    </row>
    <row r="6514" spans="191:191" x14ac:dyDescent="0.2">
      <c r="GI6514" s="422"/>
    </row>
    <row r="6515" spans="191:191" x14ac:dyDescent="0.2">
      <c r="GI6515" s="422"/>
    </row>
    <row r="6516" spans="191:191" x14ac:dyDescent="0.2">
      <c r="GI6516" s="422"/>
    </row>
    <row r="6517" spans="191:191" x14ac:dyDescent="0.2">
      <c r="GI6517" s="422"/>
    </row>
    <row r="6518" spans="191:191" x14ac:dyDescent="0.2">
      <c r="GI6518" s="422"/>
    </row>
    <row r="6519" spans="191:191" x14ac:dyDescent="0.2">
      <c r="GI6519" s="422"/>
    </row>
    <row r="6520" spans="191:191" x14ac:dyDescent="0.2">
      <c r="GI6520" s="422"/>
    </row>
    <row r="6521" spans="191:191" x14ac:dyDescent="0.2">
      <c r="GI6521" s="422"/>
    </row>
    <row r="6522" spans="191:191" x14ac:dyDescent="0.2">
      <c r="GI6522" s="422"/>
    </row>
    <row r="6523" spans="191:191" x14ac:dyDescent="0.2">
      <c r="GI6523" s="422"/>
    </row>
    <row r="6524" spans="191:191" x14ac:dyDescent="0.2">
      <c r="GI6524" s="422"/>
    </row>
    <row r="6525" spans="191:191" x14ac:dyDescent="0.2">
      <c r="GI6525" s="422"/>
    </row>
    <row r="6526" spans="191:191" x14ac:dyDescent="0.2">
      <c r="GI6526" s="422"/>
    </row>
    <row r="6527" spans="191:191" x14ac:dyDescent="0.2">
      <c r="GI6527" s="422"/>
    </row>
    <row r="6528" spans="191:191" x14ac:dyDescent="0.2">
      <c r="GI6528" s="422"/>
    </row>
    <row r="6529" spans="191:191" x14ac:dyDescent="0.2">
      <c r="GI6529" s="422"/>
    </row>
    <row r="6530" spans="191:191" x14ac:dyDescent="0.2">
      <c r="GI6530" s="422"/>
    </row>
    <row r="6531" spans="191:191" x14ac:dyDescent="0.2">
      <c r="GI6531" s="422"/>
    </row>
    <row r="6532" spans="191:191" x14ac:dyDescent="0.2">
      <c r="GI6532" s="422"/>
    </row>
    <row r="6533" spans="191:191" x14ac:dyDescent="0.2">
      <c r="GI6533" s="422"/>
    </row>
    <row r="6534" spans="191:191" x14ac:dyDescent="0.2">
      <c r="GI6534" s="422"/>
    </row>
    <row r="6535" spans="191:191" x14ac:dyDescent="0.2">
      <c r="GI6535" s="422"/>
    </row>
    <row r="6536" spans="191:191" x14ac:dyDescent="0.2">
      <c r="GI6536" s="422"/>
    </row>
    <row r="6537" spans="191:191" x14ac:dyDescent="0.2">
      <c r="GI6537" s="422"/>
    </row>
    <row r="6538" spans="191:191" x14ac:dyDescent="0.2">
      <c r="GI6538" s="422"/>
    </row>
    <row r="6539" spans="191:191" x14ac:dyDescent="0.2">
      <c r="GI6539" s="422"/>
    </row>
    <row r="6540" spans="191:191" x14ac:dyDescent="0.2">
      <c r="GI6540" s="422"/>
    </row>
    <row r="6541" spans="191:191" x14ac:dyDescent="0.2">
      <c r="GI6541" s="422"/>
    </row>
    <row r="6542" spans="191:191" x14ac:dyDescent="0.2">
      <c r="GI6542" s="422"/>
    </row>
    <row r="6543" spans="191:191" x14ac:dyDescent="0.2">
      <c r="GI6543" s="422"/>
    </row>
    <row r="6544" spans="191:191" x14ac:dyDescent="0.2">
      <c r="GI6544" s="422"/>
    </row>
    <row r="6545" spans="191:191" x14ac:dyDescent="0.2">
      <c r="GI6545" s="422"/>
    </row>
    <row r="6546" spans="191:191" x14ac:dyDescent="0.2">
      <c r="GI6546" s="422"/>
    </row>
    <row r="6547" spans="191:191" x14ac:dyDescent="0.2">
      <c r="GI6547" s="422"/>
    </row>
    <row r="6548" spans="191:191" x14ac:dyDescent="0.2">
      <c r="GI6548" s="422"/>
    </row>
    <row r="6549" spans="191:191" x14ac:dyDescent="0.2">
      <c r="GI6549" s="422"/>
    </row>
    <row r="6550" spans="191:191" x14ac:dyDescent="0.2">
      <c r="GI6550" s="422"/>
    </row>
    <row r="6551" spans="191:191" x14ac:dyDescent="0.2">
      <c r="GI6551" s="422"/>
    </row>
    <row r="6552" spans="191:191" x14ac:dyDescent="0.2">
      <c r="GI6552" s="422"/>
    </row>
    <row r="6553" spans="191:191" x14ac:dyDescent="0.2">
      <c r="GI6553" s="422"/>
    </row>
    <row r="6554" spans="191:191" x14ac:dyDescent="0.2">
      <c r="GI6554" s="422"/>
    </row>
    <row r="6555" spans="191:191" x14ac:dyDescent="0.2">
      <c r="GI6555" s="422"/>
    </row>
    <row r="6556" spans="191:191" x14ac:dyDescent="0.2">
      <c r="GI6556" s="422"/>
    </row>
    <row r="6557" spans="191:191" x14ac:dyDescent="0.2">
      <c r="GI6557" s="422"/>
    </row>
    <row r="6558" spans="191:191" x14ac:dyDescent="0.2">
      <c r="GI6558" s="422"/>
    </row>
    <row r="6559" spans="191:191" x14ac:dyDescent="0.2">
      <c r="GI6559" s="422"/>
    </row>
    <row r="6560" spans="191:191" x14ac:dyDescent="0.2">
      <c r="GI6560" s="422"/>
    </row>
    <row r="6561" spans="191:191" x14ac:dyDescent="0.2">
      <c r="GI6561" s="422"/>
    </row>
    <row r="6562" spans="191:191" x14ac:dyDescent="0.2">
      <c r="GI6562" s="422"/>
    </row>
    <row r="6563" spans="191:191" x14ac:dyDescent="0.2">
      <c r="GI6563" s="422"/>
    </row>
    <row r="6564" spans="191:191" x14ac:dyDescent="0.2">
      <c r="GI6564" s="422"/>
    </row>
    <row r="6565" spans="191:191" x14ac:dyDescent="0.2">
      <c r="GI6565" s="422"/>
    </row>
    <row r="6566" spans="191:191" x14ac:dyDescent="0.2">
      <c r="GI6566" s="422"/>
    </row>
    <row r="6567" spans="191:191" x14ac:dyDescent="0.2">
      <c r="GI6567" s="422"/>
    </row>
    <row r="6568" spans="191:191" x14ac:dyDescent="0.2">
      <c r="GI6568" s="422"/>
    </row>
    <row r="6569" spans="191:191" x14ac:dyDescent="0.2">
      <c r="GI6569" s="422"/>
    </row>
    <row r="6570" spans="191:191" x14ac:dyDescent="0.2">
      <c r="GI6570" s="422"/>
    </row>
    <row r="6571" spans="191:191" x14ac:dyDescent="0.2">
      <c r="GI6571" s="422"/>
    </row>
    <row r="6572" spans="191:191" x14ac:dyDescent="0.2">
      <c r="GI6572" s="422"/>
    </row>
    <row r="6573" spans="191:191" x14ac:dyDescent="0.2">
      <c r="GI6573" s="422"/>
    </row>
    <row r="6574" spans="191:191" x14ac:dyDescent="0.2">
      <c r="GI6574" s="422"/>
    </row>
    <row r="6575" spans="191:191" x14ac:dyDescent="0.2">
      <c r="GI6575" s="422"/>
    </row>
    <row r="6576" spans="191:191" x14ac:dyDescent="0.2">
      <c r="GI6576" s="422"/>
    </row>
    <row r="6577" spans="191:191" x14ac:dyDescent="0.2">
      <c r="GI6577" s="422"/>
    </row>
    <row r="6578" spans="191:191" x14ac:dyDescent="0.2">
      <c r="GI6578" s="422"/>
    </row>
    <row r="6579" spans="191:191" x14ac:dyDescent="0.2">
      <c r="GI6579" s="422"/>
    </row>
    <row r="6580" spans="191:191" x14ac:dyDescent="0.2">
      <c r="GI6580" s="422"/>
    </row>
    <row r="6581" spans="191:191" x14ac:dyDescent="0.2">
      <c r="GI6581" s="422"/>
    </row>
    <row r="6582" spans="191:191" x14ac:dyDescent="0.2">
      <c r="GI6582" s="422"/>
    </row>
    <row r="6583" spans="191:191" x14ac:dyDescent="0.2">
      <c r="GI6583" s="422"/>
    </row>
    <row r="6584" spans="191:191" x14ac:dyDescent="0.2">
      <c r="GI6584" s="422"/>
    </row>
    <row r="6585" spans="191:191" x14ac:dyDescent="0.2">
      <c r="GI6585" s="422"/>
    </row>
    <row r="6586" spans="191:191" x14ac:dyDescent="0.2">
      <c r="GI6586" s="422"/>
    </row>
    <row r="6587" spans="191:191" x14ac:dyDescent="0.2">
      <c r="GI6587" s="422"/>
    </row>
    <row r="6588" spans="191:191" x14ac:dyDescent="0.2">
      <c r="GI6588" s="422"/>
    </row>
    <row r="6589" spans="191:191" x14ac:dyDescent="0.2">
      <c r="GI6589" s="422"/>
    </row>
    <row r="6590" spans="191:191" x14ac:dyDescent="0.2">
      <c r="GI6590" s="422"/>
    </row>
    <row r="6591" spans="191:191" x14ac:dyDescent="0.2">
      <c r="GI6591" s="422"/>
    </row>
    <row r="6592" spans="191:191" x14ac:dyDescent="0.2">
      <c r="GI6592" s="422"/>
    </row>
    <row r="6593" spans="191:191" x14ac:dyDescent="0.2">
      <c r="GI6593" s="422"/>
    </row>
    <row r="6594" spans="191:191" x14ac:dyDescent="0.2">
      <c r="GI6594" s="422"/>
    </row>
    <row r="6595" spans="191:191" x14ac:dyDescent="0.2">
      <c r="GI6595" s="422"/>
    </row>
    <row r="6596" spans="191:191" x14ac:dyDescent="0.2">
      <c r="GI6596" s="422"/>
    </row>
    <row r="6597" spans="191:191" x14ac:dyDescent="0.2">
      <c r="GI6597" s="422"/>
    </row>
    <row r="6598" spans="191:191" x14ac:dyDescent="0.2">
      <c r="GI6598" s="422"/>
    </row>
    <row r="6599" spans="191:191" x14ac:dyDescent="0.2">
      <c r="GI6599" s="422"/>
    </row>
    <row r="6600" spans="191:191" x14ac:dyDescent="0.2">
      <c r="GI6600" s="422"/>
    </row>
    <row r="6601" spans="191:191" x14ac:dyDescent="0.2">
      <c r="GI6601" s="422"/>
    </row>
    <row r="6602" spans="191:191" x14ac:dyDescent="0.2">
      <c r="GI6602" s="422"/>
    </row>
    <row r="6603" spans="191:191" x14ac:dyDescent="0.2">
      <c r="GI6603" s="422"/>
    </row>
    <row r="6604" spans="191:191" x14ac:dyDescent="0.2">
      <c r="GI6604" s="422"/>
    </row>
    <row r="6605" spans="191:191" x14ac:dyDescent="0.2">
      <c r="GI6605" s="422"/>
    </row>
    <row r="6606" spans="191:191" x14ac:dyDescent="0.2">
      <c r="GI6606" s="422"/>
    </row>
    <row r="6607" spans="191:191" x14ac:dyDescent="0.2">
      <c r="GI6607" s="422"/>
    </row>
    <row r="6608" spans="191:191" x14ac:dyDescent="0.2">
      <c r="GI6608" s="422"/>
    </row>
    <row r="6609" spans="191:191" x14ac:dyDescent="0.2">
      <c r="GI6609" s="422"/>
    </row>
    <row r="6610" spans="191:191" x14ac:dyDescent="0.2">
      <c r="GI6610" s="422"/>
    </row>
    <row r="6611" spans="191:191" x14ac:dyDescent="0.2">
      <c r="GI6611" s="422"/>
    </row>
    <row r="6612" spans="191:191" x14ac:dyDescent="0.2">
      <c r="GI6612" s="422"/>
    </row>
    <row r="6613" spans="191:191" x14ac:dyDescent="0.2">
      <c r="GI6613" s="422"/>
    </row>
    <row r="6614" spans="191:191" x14ac:dyDescent="0.2">
      <c r="GI6614" s="422"/>
    </row>
    <row r="6615" spans="191:191" x14ac:dyDescent="0.2">
      <c r="GI6615" s="422"/>
    </row>
    <row r="6616" spans="191:191" x14ac:dyDescent="0.2">
      <c r="GI6616" s="422"/>
    </row>
    <row r="6617" spans="191:191" x14ac:dyDescent="0.2">
      <c r="GI6617" s="422"/>
    </row>
    <row r="6618" spans="191:191" x14ac:dyDescent="0.2">
      <c r="GI6618" s="422"/>
    </row>
    <row r="6619" spans="191:191" x14ac:dyDescent="0.2">
      <c r="GI6619" s="422"/>
    </row>
    <row r="6620" spans="191:191" x14ac:dyDescent="0.2">
      <c r="GI6620" s="422"/>
    </row>
    <row r="6621" spans="191:191" x14ac:dyDescent="0.2">
      <c r="GI6621" s="422"/>
    </row>
    <row r="6622" spans="191:191" x14ac:dyDescent="0.2">
      <c r="GI6622" s="422"/>
    </row>
    <row r="6623" spans="191:191" x14ac:dyDescent="0.2">
      <c r="GI6623" s="422"/>
    </row>
    <row r="6624" spans="191:191" x14ac:dyDescent="0.2">
      <c r="GI6624" s="422"/>
    </row>
    <row r="6625" spans="191:191" x14ac:dyDescent="0.2">
      <c r="GI6625" s="422"/>
    </row>
    <row r="6626" spans="191:191" x14ac:dyDescent="0.2">
      <c r="GI6626" s="422"/>
    </row>
    <row r="6627" spans="191:191" x14ac:dyDescent="0.2">
      <c r="GI6627" s="422"/>
    </row>
    <row r="6628" spans="191:191" x14ac:dyDescent="0.2">
      <c r="GI6628" s="422"/>
    </row>
    <row r="6629" spans="191:191" x14ac:dyDescent="0.2">
      <c r="GI6629" s="422"/>
    </row>
    <row r="6630" spans="191:191" x14ac:dyDescent="0.2">
      <c r="GI6630" s="422"/>
    </row>
    <row r="6631" spans="191:191" x14ac:dyDescent="0.2">
      <c r="GI6631" s="422"/>
    </row>
    <row r="6632" spans="191:191" x14ac:dyDescent="0.2">
      <c r="GI6632" s="422"/>
    </row>
    <row r="6633" spans="191:191" x14ac:dyDescent="0.2">
      <c r="GI6633" s="422"/>
    </row>
    <row r="6634" spans="191:191" x14ac:dyDescent="0.2">
      <c r="GI6634" s="422"/>
    </row>
    <row r="6635" spans="191:191" x14ac:dyDescent="0.2">
      <c r="GI6635" s="422"/>
    </row>
    <row r="6636" spans="191:191" x14ac:dyDescent="0.2">
      <c r="GI6636" s="422"/>
    </row>
    <row r="6637" spans="191:191" x14ac:dyDescent="0.2">
      <c r="GI6637" s="422"/>
    </row>
    <row r="6638" spans="191:191" x14ac:dyDescent="0.2">
      <c r="GI6638" s="422"/>
    </row>
    <row r="6639" spans="191:191" x14ac:dyDescent="0.2">
      <c r="GI6639" s="422"/>
    </row>
    <row r="6640" spans="191:191" x14ac:dyDescent="0.2">
      <c r="GI6640" s="422"/>
    </row>
    <row r="6641" spans="191:191" x14ac:dyDescent="0.2">
      <c r="GI6641" s="422"/>
    </row>
    <row r="6642" spans="191:191" x14ac:dyDescent="0.2">
      <c r="GI6642" s="422"/>
    </row>
    <row r="6643" spans="191:191" x14ac:dyDescent="0.2">
      <c r="GI6643" s="422"/>
    </row>
    <row r="6644" spans="191:191" x14ac:dyDescent="0.2">
      <c r="GI6644" s="422"/>
    </row>
    <row r="6645" spans="191:191" x14ac:dyDescent="0.2">
      <c r="GI6645" s="422"/>
    </row>
    <row r="6646" spans="191:191" x14ac:dyDescent="0.2">
      <c r="GI6646" s="422"/>
    </row>
    <row r="6647" spans="191:191" x14ac:dyDescent="0.2">
      <c r="GI6647" s="422"/>
    </row>
    <row r="6648" spans="191:191" x14ac:dyDescent="0.2">
      <c r="GI6648" s="422"/>
    </row>
    <row r="6649" spans="191:191" x14ac:dyDescent="0.2">
      <c r="GI6649" s="422"/>
    </row>
    <row r="6650" spans="191:191" x14ac:dyDescent="0.2">
      <c r="GI6650" s="422"/>
    </row>
    <row r="6651" spans="191:191" x14ac:dyDescent="0.2">
      <c r="GI6651" s="422"/>
    </row>
    <row r="6652" spans="191:191" x14ac:dyDescent="0.2">
      <c r="GI6652" s="422"/>
    </row>
    <row r="6653" spans="191:191" x14ac:dyDescent="0.2">
      <c r="GI6653" s="422"/>
    </row>
    <row r="6654" spans="191:191" x14ac:dyDescent="0.2">
      <c r="GI6654" s="422"/>
    </row>
    <row r="6655" spans="191:191" x14ac:dyDescent="0.2">
      <c r="GI6655" s="422"/>
    </row>
    <row r="6656" spans="191:191" x14ac:dyDescent="0.2">
      <c r="GI6656" s="422"/>
    </row>
    <row r="6657" spans="191:191" x14ac:dyDescent="0.2">
      <c r="GI6657" s="422"/>
    </row>
    <row r="6658" spans="191:191" x14ac:dyDescent="0.2">
      <c r="GI6658" s="422"/>
    </row>
    <row r="6659" spans="191:191" x14ac:dyDescent="0.2">
      <c r="GI6659" s="422"/>
    </row>
    <row r="6660" spans="191:191" x14ac:dyDescent="0.2">
      <c r="GI6660" s="422"/>
    </row>
    <row r="6661" spans="191:191" x14ac:dyDescent="0.2">
      <c r="GI6661" s="422"/>
    </row>
    <row r="6662" spans="191:191" x14ac:dyDescent="0.2">
      <c r="GI6662" s="422"/>
    </row>
    <row r="6663" spans="191:191" x14ac:dyDescent="0.2">
      <c r="GI6663" s="422"/>
    </row>
    <row r="6664" spans="191:191" x14ac:dyDescent="0.2">
      <c r="GI6664" s="422"/>
    </row>
    <row r="6665" spans="191:191" x14ac:dyDescent="0.2">
      <c r="GI6665" s="422"/>
    </row>
    <row r="6666" spans="191:191" x14ac:dyDescent="0.2">
      <c r="GI6666" s="422"/>
    </row>
    <row r="6667" spans="191:191" x14ac:dyDescent="0.2">
      <c r="GI6667" s="422"/>
    </row>
    <row r="6668" spans="191:191" x14ac:dyDescent="0.2">
      <c r="GI6668" s="422"/>
    </row>
    <row r="6669" spans="191:191" x14ac:dyDescent="0.2">
      <c r="GI6669" s="422"/>
    </row>
    <row r="6670" spans="191:191" x14ac:dyDescent="0.2">
      <c r="GI6670" s="422"/>
    </row>
    <row r="6671" spans="191:191" x14ac:dyDescent="0.2">
      <c r="GI6671" s="422"/>
    </row>
    <row r="6672" spans="191:191" x14ac:dyDescent="0.2">
      <c r="GI6672" s="422"/>
    </row>
    <row r="6673" spans="191:191" x14ac:dyDescent="0.2">
      <c r="GI6673" s="422"/>
    </row>
    <row r="6674" spans="191:191" x14ac:dyDescent="0.2">
      <c r="GI6674" s="422"/>
    </row>
    <row r="6675" spans="191:191" x14ac:dyDescent="0.2">
      <c r="GI6675" s="422"/>
    </row>
    <row r="6676" spans="191:191" x14ac:dyDescent="0.2">
      <c r="GI6676" s="422"/>
    </row>
    <row r="6677" spans="191:191" x14ac:dyDescent="0.2">
      <c r="GI6677" s="422"/>
    </row>
    <row r="6678" spans="191:191" x14ac:dyDescent="0.2">
      <c r="GI6678" s="422"/>
    </row>
    <row r="6679" spans="191:191" x14ac:dyDescent="0.2">
      <c r="GI6679" s="422"/>
    </row>
    <row r="6680" spans="191:191" x14ac:dyDescent="0.2">
      <c r="GI6680" s="422"/>
    </row>
    <row r="6681" spans="191:191" x14ac:dyDescent="0.2">
      <c r="GI6681" s="422"/>
    </row>
    <row r="6682" spans="191:191" x14ac:dyDescent="0.2">
      <c r="GI6682" s="422"/>
    </row>
    <row r="6683" spans="191:191" x14ac:dyDescent="0.2">
      <c r="GI6683" s="422"/>
    </row>
    <row r="6684" spans="191:191" x14ac:dyDescent="0.2">
      <c r="GI6684" s="422"/>
    </row>
    <row r="6685" spans="191:191" x14ac:dyDescent="0.2">
      <c r="GI6685" s="422"/>
    </row>
    <row r="6686" spans="191:191" x14ac:dyDescent="0.2">
      <c r="GI6686" s="422"/>
    </row>
    <row r="6687" spans="191:191" x14ac:dyDescent="0.2">
      <c r="GI6687" s="422"/>
    </row>
    <row r="6688" spans="191:191" x14ac:dyDescent="0.2">
      <c r="GI6688" s="422"/>
    </row>
    <row r="6689" spans="191:191" x14ac:dyDescent="0.2">
      <c r="GI6689" s="422"/>
    </row>
    <row r="6690" spans="191:191" x14ac:dyDescent="0.2">
      <c r="GI6690" s="422"/>
    </row>
    <row r="6691" spans="191:191" x14ac:dyDescent="0.2">
      <c r="GI6691" s="422"/>
    </row>
    <row r="6692" spans="191:191" x14ac:dyDescent="0.2">
      <c r="GI6692" s="422"/>
    </row>
    <row r="6693" spans="191:191" x14ac:dyDescent="0.2">
      <c r="GI6693" s="422"/>
    </row>
    <row r="6694" spans="191:191" x14ac:dyDescent="0.2">
      <c r="GI6694" s="422"/>
    </row>
    <row r="6695" spans="191:191" x14ac:dyDescent="0.2">
      <c r="GI6695" s="422"/>
    </row>
    <row r="6696" spans="191:191" x14ac:dyDescent="0.2">
      <c r="GI6696" s="422"/>
    </row>
    <row r="6697" spans="191:191" x14ac:dyDescent="0.2">
      <c r="GI6697" s="422"/>
    </row>
    <row r="6698" spans="191:191" x14ac:dyDescent="0.2">
      <c r="GI6698" s="422"/>
    </row>
    <row r="6699" spans="191:191" x14ac:dyDescent="0.2">
      <c r="GI6699" s="422"/>
    </row>
    <row r="6700" spans="191:191" x14ac:dyDescent="0.2">
      <c r="GI6700" s="422"/>
    </row>
    <row r="6701" spans="191:191" x14ac:dyDescent="0.2">
      <c r="GI6701" s="422"/>
    </row>
    <row r="6702" spans="191:191" x14ac:dyDescent="0.2">
      <c r="GI6702" s="422"/>
    </row>
    <row r="6703" spans="191:191" x14ac:dyDescent="0.2">
      <c r="GI6703" s="422"/>
    </row>
    <row r="6704" spans="191:191" x14ac:dyDescent="0.2">
      <c r="GI6704" s="422"/>
    </row>
    <row r="6705" spans="191:191" x14ac:dyDescent="0.2">
      <c r="GI6705" s="422"/>
    </row>
    <row r="6706" spans="191:191" x14ac:dyDescent="0.2">
      <c r="GI6706" s="422"/>
    </row>
    <row r="6707" spans="191:191" x14ac:dyDescent="0.2">
      <c r="GI6707" s="422"/>
    </row>
    <row r="6708" spans="191:191" x14ac:dyDescent="0.2">
      <c r="GI6708" s="422"/>
    </row>
    <row r="6709" spans="191:191" x14ac:dyDescent="0.2">
      <c r="GI6709" s="422"/>
    </row>
    <row r="6710" spans="191:191" x14ac:dyDescent="0.2">
      <c r="GI6710" s="422"/>
    </row>
    <row r="6711" spans="191:191" x14ac:dyDescent="0.2">
      <c r="GI6711" s="422"/>
    </row>
    <row r="6712" spans="191:191" x14ac:dyDescent="0.2">
      <c r="GI6712" s="422"/>
    </row>
    <row r="6713" spans="191:191" x14ac:dyDescent="0.2">
      <c r="GI6713" s="422"/>
    </row>
    <row r="6714" spans="191:191" x14ac:dyDescent="0.2">
      <c r="GI6714" s="422"/>
    </row>
    <row r="6715" spans="191:191" x14ac:dyDescent="0.2">
      <c r="GI6715" s="422"/>
    </row>
    <row r="6716" spans="191:191" x14ac:dyDescent="0.2">
      <c r="GI6716" s="422"/>
    </row>
    <row r="6717" spans="191:191" x14ac:dyDescent="0.2">
      <c r="GI6717" s="422"/>
    </row>
    <row r="6718" spans="191:191" x14ac:dyDescent="0.2">
      <c r="GI6718" s="422"/>
    </row>
    <row r="6719" spans="191:191" x14ac:dyDescent="0.2">
      <c r="GI6719" s="422"/>
    </row>
    <row r="6720" spans="191:191" x14ac:dyDescent="0.2">
      <c r="GI6720" s="422"/>
    </row>
    <row r="6721" spans="191:191" x14ac:dyDescent="0.2">
      <c r="GI6721" s="422"/>
    </row>
    <row r="6722" spans="191:191" x14ac:dyDescent="0.2">
      <c r="GI6722" s="422"/>
    </row>
    <row r="6723" spans="191:191" x14ac:dyDescent="0.2">
      <c r="GI6723" s="422"/>
    </row>
    <row r="6724" spans="191:191" x14ac:dyDescent="0.2">
      <c r="GI6724" s="422"/>
    </row>
    <row r="6725" spans="191:191" x14ac:dyDescent="0.2">
      <c r="GI6725" s="422"/>
    </row>
    <row r="6726" spans="191:191" x14ac:dyDescent="0.2">
      <c r="GI6726" s="422"/>
    </row>
    <row r="6727" spans="191:191" x14ac:dyDescent="0.2">
      <c r="GI6727" s="422"/>
    </row>
    <row r="6728" spans="191:191" x14ac:dyDescent="0.2">
      <c r="GI6728" s="422"/>
    </row>
    <row r="6729" spans="191:191" x14ac:dyDescent="0.2">
      <c r="GI6729" s="422"/>
    </row>
    <row r="6730" spans="191:191" x14ac:dyDescent="0.2">
      <c r="GI6730" s="422"/>
    </row>
    <row r="6731" spans="191:191" x14ac:dyDescent="0.2">
      <c r="GI6731" s="422"/>
    </row>
    <row r="6732" spans="191:191" x14ac:dyDescent="0.2">
      <c r="GI6732" s="422"/>
    </row>
    <row r="6733" spans="191:191" x14ac:dyDescent="0.2">
      <c r="GI6733" s="422"/>
    </row>
    <row r="6734" spans="191:191" x14ac:dyDescent="0.2">
      <c r="GI6734" s="422"/>
    </row>
    <row r="6735" spans="191:191" x14ac:dyDescent="0.2">
      <c r="GI6735" s="422"/>
    </row>
    <row r="6736" spans="191:191" x14ac:dyDescent="0.2">
      <c r="GI6736" s="422"/>
    </row>
    <row r="6737" spans="191:191" x14ac:dyDescent="0.2">
      <c r="GI6737" s="422"/>
    </row>
    <row r="6738" spans="191:191" x14ac:dyDescent="0.2">
      <c r="GI6738" s="422"/>
    </row>
    <row r="6739" spans="191:191" x14ac:dyDescent="0.2">
      <c r="GI6739" s="422"/>
    </row>
    <row r="6740" spans="191:191" x14ac:dyDescent="0.2">
      <c r="GI6740" s="422"/>
    </row>
    <row r="6741" spans="191:191" x14ac:dyDescent="0.2">
      <c r="GI6741" s="422"/>
    </row>
    <row r="6742" spans="191:191" x14ac:dyDescent="0.2">
      <c r="GI6742" s="422"/>
    </row>
    <row r="6743" spans="191:191" x14ac:dyDescent="0.2">
      <c r="GI6743" s="422"/>
    </row>
    <row r="6744" spans="191:191" x14ac:dyDescent="0.2">
      <c r="GI6744" s="422"/>
    </row>
    <row r="6745" spans="191:191" x14ac:dyDescent="0.2">
      <c r="GI6745" s="422"/>
    </row>
    <row r="6746" spans="191:191" x14ac:dyDescent="0.2">
      <c r="GI6746" s="422"/>
    </row>
    <row r="6747" spans="191:191" x14ac:dyDescent="0.2">
      <c r="GI6747" s="422"/>
    </row>
    <row r="6748" spans="191:191" x14ac:dyDescent="0.2">
      <c r="GI6748" s="422"/>
    </row>
    <row r="6749" spans="191:191" x14ac:dyDescent="0.2">
      <c r="GI6749" s="422"/>
    </row>
    <row r="6750" spans="191:191" x14ac:dyDescent="0.2">
      <c r="GI6750" s="422"/>
    </row>
    <row r="6751" spans="191:191" x14ac:dyDescent="0.2">
      <c r="GI6751" s="422"/>
    </row>
    <row r="6752" spans="191:191" x14ac:dyDescent="0.2">
      <c r="GI6752" s="422"/>
    </row>
    <row r="6753" spans="191:191" x14ac:dyDescent="0.2">
      <c r="GI6753" s="422"/>
    </row>
    <row r="6754" spans="191:191" x14ac:dyDescent="0.2">
      <c r="GI6754" s="422"/>
    </row>
    <row r="6755" spans="191:191" x14ac:dyDescent="0.2">
      <c r="GI6755" s="422"/>
    </row>
    <row r="6756" spans="191:191" x14ac:dyDescent="0.2">
      <c r="GI6756" s="422"/>
    </row>
    <row r="6757" spans="191:191" x14ac:dyDescent="0.2">
      <c r="GI6757" s="422"/>
    </row>
    <row r="6758" spans="191:191" x14ac:dyDescent="0.2">
      <c r="GI6758" s="422"/>
    </row>
    <row r="6759" spans="191:191" x14ac:dyDescent="0.2">
      <c r="GI6759" s="422"/>
    </row>
    <row r="6760" spans="191:191" x14ac:dyDescent="0.2">
      <c r="GI6760" s="422"/>
    </row>
    <row r="6761" spans="191:191" x14ac:dyDescent="0.2">
      <c r="GI6761" s="422"/>
    </row>
    <row r="6762" spans="191:191" x14ac:dyDescent="0.2">
      <c r="GI6762" s="422"/>
    </row>
    <row r="6763" spans="191:191" x14ac:dyDescent="0.2">
      <c r="GI6763" s="422"/>
    </row>
    <row r="6764" spans="191:191" x14ac:dyDescent="0.2">
      <c r="GI6764" s="422"/>
    </row>
    <row r="6765" spans="191:191" x14ac:dyDescent="0.2">
      <c r="GI6765" s="422"/>
    </row>
    <row r="6766" spans="191:191" x14ac:dyDescent="0.2">
      <c r="GI6766" s="422"/>
    </row>
    <row r="6767" spans="191:191" x14ac:dyDescent="0.2">
      <c r="GI6767" s="422"/>
    </row>
    <row r="6768" spans="191:191" x14ac:dyDescent="0.2">
      <c r="GI6768" s="422"/>
    </row>
    <row r="6769" spans="191:191" x14ac:dyDescent="0.2">
      <c r="GI6769" s="422"/>
    </row>
    <row r="6770" spans="191:191" x14ac:dyDescent="0.2">
      <c r="GI6770" s="422"/>
    </row>
    <row r="6771" spans="191:191" x14ac:dyDescent="0.2">
      <c r="GI6771" s="422"/>
    </row>
    <row r="6772" spans="191:191" x14ac:dyDescent="0.2">
      <c r="GI6772" s="422"/>
    </row>
    <row r="6773" spans="191:191" x14ac:dyDescent="0.2">
      <c r="GI6773" s="422"/>
    </row>
    <row r="6774" spans="191:191" x14ac:dyDescent="0.2">
      <c r="GI6774" s="422"/>
    </row>
    <row r="6775" spans="191:191" x14ac:dyDescent="0.2">
      <c r="GI6775" s="422"/>
    </row>
    <row r="6776" spans="191:191" x14ac:dyDescent="0.2">
      <c r="GI6776" s="422"/>
    </row>
    <row r="6777" spans="191:191" x14ac:dyDescent="0.2">
      <c r="GI6777" s="422"/>
    </row>
    <row r="6778" spans="191:191" x14ac:dyDescent="0.2">
      <c r="GI6778" s="422"/>
    </row>
    <row r="6779" spans="191:191" x14ac:dyDescent="0.2">
      <c r="GI6779" s="422"/>
    </row>
    <row r="6780" spans="191:191" x14ac:dyDescent="0.2">
      <c r="GI6780" s="422"/>
    </row>
    <row r="6781" spans="191:191" x14ac:dyDescent="0.2">
      <c r="GI6781" s="422"/>
    </row>
    <row r="6782" spans="191:191" x14ac:dyDescent="0.2">
      <c r="GI6782" s="422"/>
    </row>
    <row r="6783" spans="191:191" x14ac:dyDescent="0.2">
      <c r="GI6783" s="422"/>
    </row>
    <row r="6784" spans="191:191" x14ac:dyDescent="0.2">
      <c r="GI6784" s="422"/>
    </row>
    <row r="6785" spans="191:191" x14ac:dyDescent="0.2">
      <c r="GI6785" s="422"/>
    </row>
    <row r="6786" spans="191:191" x14ac:dyDescent="0.2">
      <c r="GI6786" s="422"/>
    </row>
    <row r="6787" spans="191:191" x14ac:dyDescent="0.2">
      <c r="GI6787" s="422"/>
    </row>
    <row r="6788" spans="191:191" x14ac:dyDescent="0.2">
      <c r="GI6788" s="422"/>
    </row>
    <row r="6789" spans="191:191" x14ac:dyDescent="0.2">
      <c r="GI6789" s="422"/>
    </row>
    <row r="6790" spans="191:191" x14ac:dyDescent="0.2">
      <c r="GI6790" s="422"/>
    </row>
    <row r="6791" spans="191:191" x14ac:dyDescent="0.2">
      <c r="GI6791" s="422"/>
    </row>
    <row r="6792" spans="191:191" x14ac:dyDescent="0.2">
      <c r="GI6792" s="422"/>
    </row>
    <row r="6793" spans="191:191" x14ac:dyDescent="0.2">
      <c r="GI6793" s="422"/>
    </row>
    <row r="6794" spans="191:191" x14ac:dyDescent="0.2">
      <c r="GI6794" s="422"/>
    </row>
    <row r="6795" spans="191:191" x14ac:dyDescent="0.2">
      <c r="GI6795" s="422"/>
    </row>
    <row r="6796" spans="191:191" x14ac:dyDescent="0.2">
      <c r="GI6796" s="422"/>
    </row>
    <row r="6797" spans="191:191" x14ac:dyDescent="0.2">
      <c r="GI6797" s="422"/>
    </row>
    <row r="6798" spans="191:191" x14ac:dyDescent="0.2">
      <c r="GI6798" s="422"/>
    </row>
    <row r="6799" spans="191:191" x14ac:dyDescent="0.2">
      <c r="GI6799" s="422"/>
    </row>
    <row r="6800" spans="191:191" x14ac:dyDescent="0.2">
      <c r="GI6800" s="422"/>
    </row>
    <row r="6801" spans="191:191" x14ac:dyDescent="0.2">
      <c r="GI6801" s="422"/>
    </row>
    <row r="6802" spans="191:191" x14ac:dyDescent="0.2">
      <c r="GI6802" s="422"/>
    </row>
    <row r="6803" spans="191:191" x14ac:dyDescent="0.2">
      <c r="GI6803" s="422"/>
    </row>
    <row r="6804" spans="191:191" x14ac:dyDescent="0.2">
      <c r="GI6804" s="422"/>
    </row>
    <row r="6805" spans="191:191" x14ac:dyDescent="0.2">
      <c r="GI6805" s="422"/>
    </row>
    <row r="6806" spans="191:191" x14ac:dyDescent="0.2">
      <c r="GI6806" s="422"/>
    </row>
    <row r="6807" spans="191:191" x14ac:dyDescent="0.2">
      <c r="GI6807" s="422"/>
    </row>
    <row r="6808" spans="191:191" x14ac:dyDescent="0.2">
      <c r="GI6808" s="422"/>
    </row>
    <row r="6809" spans="191:191" x14ac:dyDescent="0.2">
      <c r="GI6809" s="422"/>
    </row>
    <row r="6810" spans="191:191" x14ac:dyDescent="0.2">
      <c r="GI6810" s="422"/>
    </row>
    <row r="6811" spans="191:191" x14ac:dyDescent="0.2">
      <c r="GI6811" s="422"/>
    </row>
    <row r="6812" spans="191:191" x14ac:dyDescent="0.2">
      <c r="GI6812" s="422"/>
    </row>
    <row r="6813" spans="191:191" x14ac:dyDescent="0.2">
      <c r="GI6813" s="422"/>
    </row>
    <row r="6814" spans="191:191" x14ac:dyDescent="0.2">
      <c r="GI6814" s="422"/>
    </row>
    <row r="6815" spans="191:191" x14ac:dyDescent="0.2">
      <c r="GI6815" s="422"/>
    </row>
    <row r="6816" spans="191:191" x14ac:dyDescent="0.2">
      <c r="GI6816" s="422"/>
    </row>
    <row r="6817" spans="191:191" x14ac:dyDescent="0.2">
      <c r="GI6817" s="422"/>
    </row>
    <row r="6818" spans="191:191" x14ac:dyDescent="0.2">
      <c r="GI6818" s="422"/>
    </row>
    <row r="6819" spans="191:191" x14ac:dyDescent="0.2">
      <c r="GI6819" s="422"/>
    </row>
    <row r="6820" spans="191:191" x14ac:dyDescent="0.2">
      <c r="GI6820" s="422"/>
    </row>
    <row r="6821" spans="191:191" x14ac:dyDescent="0.2">
      <c r="GI6821" s="422"/>
    </row>
    <row r="6822" spans="191:191" x14ac:dyDescent="0.2">
      <c r="GI6822" s="422"/>
    </row>
    <row r="6823" spans="191:191" x14ac:dyDescent="0.2">
      <c r="GI6823" s="422"/>
    </row>
    <row r="6824" spans="191:191" x14ac:dyDescent="0.2">
      <c r="GI6824" s="422"/>
    </row>
    <row r="6825" spans="191:191" x14ac:dyDescent="0.2">
      <c r="GI6825" s="422"/>
    </row>
    <row r="6826" spans="191:191" x14ac:dyDescent="0.2">
      <c r="GI6826" s="422"/>
    </row>
    <row r="6827" spans="191:191" x14ac:dyDescent="0.2">
      <c r="GI6827" s="422"/>
    </row>
    <row r="6828" spans="191:191" x14ac:dyDescent="0.2">
      <c r="GI6828" s="422"/>
    </row>
    <row r="6829" spans="191:191" x14ac:dyDescent="0.2">
      <c r="GI6829" s="422"/>
    </row>
    <row r="6830" spans="191:191" x14ac:dyDescent="0.2">
      <c r="GI6830" s="422"/>
    </row>
    <row r="6831" spans="191:191" x14ac:dyDescent="0.2">
      <c r="GI6831" s="422"/>
    </row>
    <row r="6832" spans="191:191" x14ac:dyDescent="0.2">
      <c r="GI6832" s="422"/>
    </row>
    <row r="6833" spans="191:191" x14ac:dyDescent="0.2">
      <c r="GI6833" s="422"/>
    </row>
    <row r="6834" spans="191:191" x14ac:dyDescent="0.2">
      <c r="GI6834" s="422"/>
    </row>
    <row r="6835" spans="191:191" x14ac:dyDescent="0.2">
      <c r="GI6835" s="422"/>
    </row>
    <row r="6836" spans="191:191" x14ac:dyDescent="0.2">
      <c r="GI6836" s="422"/>
    </row>
    <row r="6837" spans="191:191" x14ac:dyDescent="0.2">
      <c r="GI6837" s="422"/>
    </row>
    <row r="6838" spans="191:191" x14ac:dyDescent="0.2">
      <c r="GI6838" s="422"/>
    </row>
    <row r="6839" spans="191:191" x14ac:dyDescent="0.2">
      <c r="GI6839" s="422"/>
    </row>
    <row r="6840" spans="191:191" x14ac:dyDescent="0.2">
      <c r="GI6840" s="422"/>
    </row>
    <row r="6841" spans="191:191" x14ac:dyDescent="0.2">
      <c r="GI6841" s="422"/>
    </row>
    <row r="6842" spans="191:191" x14ac:dyDescent="0.2">
      <c r="GI6842" s="422"/>
    </row>
    <row r="6843" spans="191:191" x14ac:dyDescent="0.2">
      <c r="GI6843" s="422"/>
    </row>
    <row r="6844" spans="191:191" x14ac:dyDescent="0.2">
      <c r="GI6844" s="422"/>
    </row>
    <row r="6845" spans="191:191" x14ac:dyDescent="0.2">
      <c r="GI6845" s="422"/>
    </row>
    <row r="6846" spans="191:191" x14ac:dyDescent="0.2">
      <c r="GI6846" s="422"/>
    </row>
    <row r="6847" spans="191:191" x14ac:dyDescent="0.2">
      <c r="GI6847" s="422"/>
    </row>
    <row r="6848" spans="191:191" x14ac:dyDescent="0.2">
      <c r="GI6848" s="422"/>
    </row>
    <row r="6849" spans="191:191" x14ac:dyDescent="0.2">
      <c r="GI6849" s="422"/>
    </row>
    <row r="6850" spans="191:191" x14ac:dyDescent="0.2">
      <c r="GI6850" s="422"/>
    </row>
    <row r="6851" spans="191:191" x14ac:dyDescent="0.2">
      <c r="GI6851" s="422"/>
    </row>
    <row r="6852" spans="191:191" x14ac:dyDescent="0.2">
      <c r="GI6852" s="422"/>
    </row>
    <row r="6853" spans="191:191" x14ac:dyDescent="0.2">
      <c r="GI6853" s="422"/>
    </row>
    <row r="6854" spans="191:191" x14ac:dyDescent="0.2">
      <c r="GI6854" s="422"/>
    </row>
    <row r="6855" spans="191:191" x14ac:dyDescent="0.2">
      <c r="GI6855" s="422"/>
    </row>
    <row r="6856" spans="191:191" x14ac:dyDescent="0.2">
      <c r="GI6856" s="422"/>
    </row>
    <row r="6857" spans="191:191" x14ac:dyDescent="0.2">
      <c r="GI6857" s="422"/>
    </row>
    <row r="6858" spans="191:191" x14ac:dyDescent="0.2">
      <c r="GI6858" s="422"/>
    </row>
    <row r="6859" spans="191:191" x14ac:dyDescent="0.2">
      <c r="GI6859" s="422"/>
    </row>
    <row r="6860" spans="191:191" x14ac:dyDescent="0.2">
      <c r="GI6860" s="422"/>
    </row>
    <row r="6861" spans="191:191" x14ac:dyDescent="0.2">
      <c r="GI6861" s="422"/>
    </row>
    <row r="6862" spans="191:191" x14ac:dyDescent="0.2">
      <c r="GI6862" s="422"/>
    </row>
    <row r="6863" spans="191:191" x14ac:dyDescent="0.2">
      <c r="GI6863" s="422"/>
    </row>
    <row r="6864" spans="191:191" x14ac:dyDescent="0.2">
      <c r="GI6864" s="422"/>
    </row>
    <row r="6865" spans="191:191" x14ac:dyDescent="0.2">
      <c r="GI6865" s="422"/>
    </row>
    <row r="6866" spans="191:191" x14ac:dyDescent="0.2">
      <c r="GI6866" s="422"/>
    </row>
    <row r="6867" spans="191:191" x14ac:dyDescent="0.2">
      <c r="GI6867" s="422"/>
    </row>
    <row r="6868" spans="191:191" x14ac:dyDescent="0.2">
      <c r="GI6868" s="422"/>
    </row>
    <row r="6869" spans="191:191" x14ac:dyDescent="0.2">
      <c r="GI6869" s="422"/>
    </row>
    <row r="6870" spans="191:191" x14ac:dyDescent="0.2">
      <c r="GI6870" s="422"/>
    </row>
    <row r="6871" spans="191:191" x14ac:dyDescent="0.2">
      <c r="GI6871" s="422"/>
    </row>
    <row r="6872" spans="191:191" x14ac:dyDescent="0.2">
      <c r="GI6872" s="422"/>
    </row>
    <row r="6873" spans="191:191" x14ac:dyDescent="0.2">
      <c r="GI6873" s="422"/>
    </row>
    <row r="6874" spans="191:191" x14ac:dyDescent="0.2">
      <c r="GI6874" s="422"/>
    </row>
    <row r="6875" spans="191:191" x14ac:dyDescent="0.2">
      <c r="GI6875" s="422"/>
    </row>
    <row r="6876" spans="191:191" x14ac:dyDescent="0.2">
      <c r="GI6876" s="422"/>
    </row>
    <row r="6877" spans="191:191" x14ac:dyDescent="0.2">
      <c r="GI6877" s="422"/>
    </row>
    <row r="6878" spans="191:191" x14ac:dyDescent="0.2">
      <c r="GI6878" s="422"/>
    </row>
    <row r="6879" spans="191:191" x14ac:dyDescent="0.2">
      <c r="GI6879" s="422"/>
    </row>
    <row r="6880" spans="191:191" x14ac:dyDescent="0.2">
      <c r="GI6880" s="422"/>
    </row>
    <row r="6881" spans="191:191" x14ac:dyDescent="0.2">
      <c r="GI6881" s="422"/>
    </row>
    <row r="6882" spans="191:191" x14ac:dyDescent="0.2">
      <c r="GI6882" s="422"/>
    </row>
    <row r="6883" spans="191:191" x14ac:dyDescent="0.2">
      <c r="GI6883" s="422"/>
    </row>
    <row r="6884" spans="191:191" x14ac:dyDescent="0.2">
      <c r="GI6884" s="422"/>
    </row>
    <row r="6885" spans="191:191" x14ac:dyDescent="0.2">
      <c r="GI6885" s="422"/>
    </row>
    <row r="6886" spans="191:191" x14ac:dyDescent="0.2">
      <c r="GI6886" s="422"/>
    </row>
    <row r="6887" spans="191:191" x14ac:dyDescent="0.2">
      <c r="GI6887" s="422"/>
    </row>
    <row r="6888" spans="191:191" x14ac:dyDescent="0.2">
      <c r="GI6888" s="422"/>
    </row>
    <row r="6889" spans="191:191" x14ac:dyDescent="0.2">
      <c r="GI6889" s="422"/>
    </row>
    <row r="6890" spans="191:191" x14ac:dyDescent="0.2">
      <c r="GI6890" s="422"/>
    </row>
    <row r="6891" spans="191:191" x14ac:dyDescent="0.2">
      <c r="GI6891" s="422"/>
    </row>
    <row r="6892" spans="191:191" x14ac:dyDescent="0.2">
      <c r="GI6892" s="422"/>
    </row>
    <row r="6893" spans="191:191" x14ac:dyDescent="0.2">
      <c r="GI6893" s="422"/>
    </row>
    <row r="6894" spans="191:191" x14ac:dyDescent="0.2">
      <c r="GI6894" s="422"/>
    </row>
    <row r="6895" spans="191:191" x14ac:dyDescent="0.2">
      <c r="GI6895" s="422"/>
    </row>
    <row r="6896" spans="191:191" x14ac:dyDescent="0.2">
      <c r="GI6896" s="422"/>
    </row>
    <row r="6897" spans="191:191" x14ac:dyDescent="0.2">
      <c r="GI6897" s="422"/>
    </row>
    <row r="6898" spans="191:191" x14ac:dyDescent="0.2">
      <c r="GI6898" s="422"/>
    </row>
    <row r="6899" spans="191:191" x14ac:dyDescent="0.2">
      <c r="GI6899" s="422"/>
    </row>
    <row r="6900" spans="191:191" x14ac:dyDescent="0.2">
      <c r="GI6900" s="422"/>
    </row>
    <row r="6901" spans="191:191" x14ac:dyDescent="0.2">
      <c r="GI6901" s="422"/>
    </row>
    <row r="6902" spans="191:191" x14ac:dyDescent="0.2">
      <c r="GI6902" s="422"/>
    </row>
    <row r="6903" spans="191:191" x14ac:dyDescent="0.2">
      <c r="GI6903" s="422"/>
    </row>
    <row r="6904" spans="191:191" x14ac:dyDescent="0.2">
      <c r="GI6904" s="422"/>
    </row>
    <row r="6905" spans="191:191" x14ac:dyDescent="0.2">
      <c r="GI6905" s="422"/>
    </row>
    <row r="6906" spans="191:191" x14ac:dyDescent="0.2">
      <c r="GI6906" s="422"/>
    </row>
    <row r="6907" spans="191:191" x14ac:dyDescent="0.2">
      <c r="GI6907" s="422"/>
    </row>
    <row r="6908" spans="191:191" x14ac:dyDescent="0.2">
      <c r="GI6908" s="422"/>
    </row>
    <row r="6909" spans="191:191" x14ac:dyDescent="0.2">
      <c r="GI6909" s="422"/>
    </row>
    <row r="6910" spans="191:191" x14ac:dyDescent="0.2">
      <c r="GI6910" s="422"/>
    </row>
    <row r="6911" spans="191:191" x14ac:dyDescent="0.2">
      <c r="GI6911" s="422"/>
    </row>
    <row r="6912" spans="191:191" x14ac:dyDescent="0.2">
      <c r="GI6912" s="422"/>
    </row>
    <row r="6913" spans="191:191" x14ac:dyDescent="0.2">
      <c r="GI6913" s="422"/>
    </row>
    <row r="6914" spans="191:191" x14ac:dyDescent="0.2">
      <c r="GI6914" s="422"/>
    </row>
    <row r="6915" spans="191:191" x14ac:dyDescent="0.2">
      <c r="GI6915" s="422"/>
    </row>
    <row r="6916" spans="191:191" x14ac:dyDescent="0.2">
      <c r="GI6916" s="422"/>
    </row>
    <row r="6917" spans="191:191" x14ac:dyDescent="0.2">
      <c r="GI6917" s="422"/>
    </row>
    <row r="6918" spans="191:191" x14ac:dyDescent="0.2">
      <c r="GI6918" s="422"/>
    </row>
    <row r="6919" spans="191:191" x14ac:dyDescent="0.2">
      <c r="GI6919" s="422"/>
    </row>
    <row r="6920" spans="191:191" x14ac:dyDescent="0.2">
      <c r="GI6920" s="422"/>
    </row>
    <row r="6921" spans="191:191" x14ac:dyDescent="0.2">
      <c r="GI6921" s="422"/>
    </row>
    <row r="6922" spans="191:191" x14ac:dyDescent="0.2">
      <c r="GI6922" s="422"/>
    </row>
    <row r="6923" spans="191:191" x14ac:dyDescent="0.2">
      <c r="GI6923" s="422"/>
    </row>
    <row r="6924" spans="191:191" x14ac:dyDescent="0.2">
      <c r="GI6924" s="422"/>
    </row>
    <row r="6925" spans="191:191" x14ac:dyDescent="0.2">
      <c r="GI6925" s="422"/>
    </row>
    <row r="6926" spans="191:191" x14ac:dyDescent="0.2">
      <c r="GI6926" s="422"/>
    </row>
    <row r="6927" spans="191:191" x14ac:dyDescent="0.2">
      <c r="GI6927" s="422"/>
    </row>
    <row r="6928" spans="191:191" x14ac:dyDescent="0.2">
      <c r="GI6928" s="422"/>
    </row>
    <row r="6929" spans="191:191" x14ac:dyDescent="0.2">
      <c r="GI6929" s="422"/>
    </row>
    <row r="6930" spans="191:191" x14ac:dyDescent="0.2">
      <c r="GI6930" s="422"/>
    </row>
    <row r="6931" spans="191:191" x14ac:dyDescent="0.2">
      <c r="GI6931" s="422"/>
    </row>
    <row r="6932" spans="191:191" x14ac:dyDescent="0.2">
      <c r="GI6932" s="422"/>
    </row>
    <row r="6933" spans="191:191" x14ac:dyDescent="0.2">
      <c r="GI6933" s="422"/>
    </row>
    <row r="6934" spans="191:191" x14ac:dyDescent="0.2">
      <c r="GI6934" s="422"/>
    </row>
    <row r="6935" spans="191:191" x14ac:dyDescent="0.2">
      <c r="GI6935" s="422"/>
    </row>
    <row r="6936" spans="191:191" x14ac:dyDescent="0.2">
      <c r="GI6936" s="422"/>
    </row>
    <row r="6937" spans="191:191" x14ac:dyDescent="0.2">
      <c r="GI6937" s="422"/>
    </row>
    <row r="6938" spans="191:191" x14ac:dyDescent="0.2">
      <c r="GI6938" s="422"/>
    </row>
    <row r="6939" spans="191:191" x14ac:dyDescent="0.2">
      <c r="GI6939" s="422"/>
    </row>
    <row r="6940" spans="191:191" x14ac:dyDescent="0.2">
      <c r="GI6940" s="422"/>
    </row>
    <row r="6941" spans="191:191" x14ac:dyDescent="0.2">
      <c r="GI6941" s="422"/>
    </row>
    <row r="6942" spans="191:191" x14ac:dyDescent="0.2">
      <c r="GI6942" s="422"/>
    </row>
    <row r="6943" spans="191:191" x14ac:dyDescent="0.2">
      <c r="GI6943" s="422"/>
    </row>
    <row r="6944" spans="191:191" x14ac:dyDescent="0.2">
      <c r="GI6944" s="422"/>
    </row>
    <row r="6945" spans="191:191" x14ac:dyDescent="0.2">
      <c r="GI6945" s="422"/>
    </row>
    <row r="6946" spans="191:191" x14ac:dyDescent="0.2">
      <c r="GI6946" s="422"/>
    </row>
    <row r="6947" spans="191:191" x14ac:dyDescent="0.2">
      <c r="GI6947" s="422"/>
    </row>
    <row r="6948" spans="191:191" x14ac:dyDescent="0.2">
      <c r="GI6948" s="422"/>
    </row>
    <row r="6949" spans="191:191" x14ac:dyDescent="0.2">
      <c r="GI6949" s="422"/>
    </row>
    <row r="6950" spans="191:191" x14ac:dyDescent="0.2">
      <c r="GI6950" s="422"/>
    </row>
    <row r="6951" spans="191:191" x14ac:dyDescent="0.2">
      <c r="GI6951" s="422"/>
    </row>
    <row r="6952" spans="191:191" x14ac:dyDescent="0.2">
      <c r="GI6952" s="422"/>
    </row>
    <row r="6953" spans="191:191" x14ac:dyDescent="0.2">
      <c r="GI6953" s="422"/>
    </row>
    <row r="6954" spans="191:191" x14ac:dyDescent="0.2">
      <c r="GI6954" s="422"/>
    </row>
    <row r="6955" spans="191:191" x14ac:dyDescent="0.2">
      <c r="GI6955" s="422"/>
    </row>
    <row r="6956" spans="191:191" x14ac:dyDescent="0.2">
      <c r="GI6956" s="422"/>
    </row>
    <row r="6957" spans="191:191" x14ac:dyDescent="0.2">
      <c r="GI6957" s="422"/>
    </row>
    <row r="6958" spans="191:191" x14ac:dyDescent="0.2">
      <c r="GI6958" s="422"/>
    </row>
    <row r="6959" spans="191:191" x14ac:dyDescent="0.2">
      <c r="GI6959" s="422"/>
    </row>
    <row r="6960" spans="191:191" x14ac:dyDescent="0.2">
      <c r="GI6960" s="422"/>
    </row>
    <row r="6961" spans="191:191" x14ac:dyDescent="0.2">
      <c r="GI6961" s="422"/>
    </row>
    <row r="6962" spans="191:191" x14ac:dyDescent="0.2">
      <c r="GI6962" s="422"/>
    </row>
    <row r="6963" spans="191:191" x14ac:dyDescent="0.2">
      <c r="GI6963" s="422"/>
    </row>
    <row r="6964" spans="191:191" x14ac:dyDescent="0.2">
      <c r="GI6964" s="422"/>
    </row>
    <row r="6965" spans="191:191" x14ac:dyDescent="0.2">
      <c r="GI6965" s="422"/>
    </row>
    <row r="6966" spans="191:191" x14ac:dyDescent="0.2">
      <c r="GI6966" s="422"/>
    </row>
    <row r="6967" spans="191:191" x14ac:dyDescent="0.2">
      <c r="GI6967" s="422"/>
    </row>
    <row r="6968" spans="191:191" x14ac:dyDescent="0.2">
      <c r="GI6968" s="422"/>
    </row>
    <row r="6969" spans="191:191" x14ac:dyDescent="0.2">
      <c r="GI6969" s="422"/>
    </row>
    <row r="6970" spans="191:191" x14ac:dyDescent="0.2">
      <c r="GI6970" s="422"/>
    </row>
    <row r="6971" spans="191:191" x14ac:dyDescent="0.2">
      <c r="GI6971" s="422"/>
    </row>
    <row r="6972" spans="191:191" x14ac:dyDescent="0.2">
      <c r="GI6972" s="422"/>
    </row>
    <row r="6973" spans="191:191" x14ac:dyDescent="0.2">
      <c r="GI6973" s="422"/>
    </row>
    <row r="6974" spans="191:191" x14ac:dyDescent="0.2">
      <c r="GI6974" s="422"/>
    </row>
    <row r="6975" spans="191:191" x14ac:dyDescent="0.2">
      <c r="GI6975" s="422"/>
    </row>
    <row r="6976" spans="191:191" x14ac:dyDescent="0.2">
      <c r="GI6976" s="422"/>
    </row>
    <row r="6977" spans="191:191" x14ac:dyDescent="0.2">
      <c r="GI6977" s="422"/>
    </row>
    <row r="6978" spans="191:191" x14ac:dyDescent="0.2">
      <c r="GI6978" s="422"/>
    </row>
    <row r="6979" spans="191:191" x14ac:dyDescent="0.2">
      <c r="GI6979" s="422"/>
    </row>
    <row r="6980" spans="191:191" x14ac:dyDescent="0.2">
      <c r="GI6980" s="422"/>
    </row>
    <row r="6981" spans="191:191" x14ac:dyDescent="0.2">
      <c r="GI6981" s="422"/>
    </row>
    <row r="6982" spans="191:191" x14ac:dyDescent="0.2">
      <c r="GI6982" s="422"/>
    </row>
    <row r="6983" spans="191:191" x14ac:dyDescent="0.2">
      <c r="GI6983" s="422"/>
    </row>
    <row r="6984" spans="191:191" x14ac:dyDescent="0.2">
      <c r="GI6984" s="422"/>
    </row>
    <row r="6985" spans="191:191" x14ac:dyDescent="0.2">
      <c r="GI6985" s="422"/>
    </row>
    <row r="6986" spans="191:191" x14ac:dyDescent="0.2">
      <c r="GI6986" s="422"/>
    </row>
    <row r="6987" spans="191:191" x14ac:dyDescent="0.2">
      <c r="GI6987" s="422"/>
    </row>
    <row r="6988" spans="191:191" x14ac:dyDescent="0.2">
      <c r="GI6988" s="422"/>
    </row>
    <row r="6989" spans="191:191" x14ac:dyDescent="0.2">
      <c r="GI6989" s="422"/>
    </row>
    <row r="6990" spans="191:191" x14ac:dyDescent="0.2">
      <c r="GI6990" s="422"/>
    </row>
    <row r="6991" spans="191:191" x14ac:dyDescent="0.2">
      <c r="GI6991" s="422"/>
    </row>
    <row r="6992" spans="191:191" x14ac:dyDescent="0.2">
      <c r="GI6992" s="422"/>
    </row>
    <row r="6993" spans="191:191" x14ac:dyDescent="0.2">
      <c r="GI6993" s="422"/>
    </row>
    <row r="6994" spans="191:191" x14ac:dyDescent="0.2">
      <c r="GI6994" s="422"/>
    </row>
    <row r="6995" spans="191:191" x14ac:dyDescent="0.2">
      <c r="GI6995" s="422"/>
    </row>
    <row r="6996" spans="191:191" x14ac:dyDescent="0.2">
      <c r="GI6996" s="422"/>
    </row>
    <row r="6997" spans="191:191" x14ac:dyDescent="0.2">
      <c r="GI6997" s="422"/>
    </row>
    <row r="6998" spans="191:191" x14ac:dyDescent="0.2">
      <c r="GI6998" s="422"/>
    </row>
    <row r="6999" spans="191:191" x14ac:dyDescent="0.2">
      <c r="GI6999" s="422"/>
    </row>
    <row r="7000" spans="191:191" x14ac:dyDescent="0.2">
      <c r="GI7000" s="422"/>
    </row>
    <row r="7001" spans="191:191" x14ac:dyDescent="0.2">
      <c r="GI7001" s="422"/>
    </row>
    <row r="7002" spans="191:191" x14ac:dyDescent="0.2">
      <c r="GI7002" s="422"/>
    </row>
    <row r="7003" spans="191:191" x14ac:dyDescent="0.2">
      <c r="GI7003" s="422"/>
    </row>
    <row r="7004" spans="191:191" x14ac:dyDescent="0.2">
      <c r="GI7004" s="422"/>
    </row>
    <row r="7005" spans="191:191" x14ac:dyDescent="0.2">
      <c r="GI7005" s="422"/>
    </row>
    <row r="7006" spans="191:191" x14ac:dyDescent="0.2">
      <c r="GI7006" s="422"/>
    </row>
    <row r="7007" spans="191:191" x14ac:dyDescent="0.2">
      <c r="GI7007" s="422"/>
    </row>
    <row r="7008" spans="191:191" x14ac:dyDescent="0.2">
      <c r="GI7008" s="422"/>
    </row>
    <row r="7009" spans="191:191" x14ac:dyDescent="0.2">
      <c r="GI7009" s="422"/>
    </row>
    <row r="7010" spans="191:191" x14ac:dyDescent="0.2">
      <c r="GI7010" s="422"/>
    </row>
    <row r="7011" spans="191:191" x14ac:dyDescent="0.2">
      <c r="GI7011" s="422"/>
    </row>
    <row r="7012" spans="191:191" x14ac:dyDescent="0.2">
      <c r="GI7012" s="422"/>
    </row>
    <row r="7013" spans="191:191" x14ac:dyDescent="0.2">
      <c r="GI7013" s="422"/>
    </row>
    <row r="7014" spans="191:191" x14ac:dyDescent="0.2">
      <c r="GI7014" s="422"/>
    </row>
    <row r="7015" spans="191:191" x14ac:dyDescent="0.2">
      <c r="GI7015" s="422"/>
    </row>
    <row r="7016" spans="191:191" x14ac:dyDescent="0.2">
      <c r="GI7016" s="422"/>
    </row>
    <row r="7017" spans="191:191" x14ac:dyDescent="0.2">
      <c r="GI7017" s="422"/>
    </row>
    <row r="7018" spans="191:191" x14ac:dyDescent="0.2">
      <c r="GI7018" s="422"/>
    </row>
    <row r="7019" spans="191:191" x14ac:dyDescent="0.2">
      <c r="GI7019" s="422"/>
    </row>
    <row r="7020" spans="191:191" x14ac:dyDescent="0.2">
      <c r="GI7020" s="422"/>
    </row>
    <row r="7021" spans="191:191" x14ac:dyDescent="0.2">
      <c r="GI7021" s="422"/>
    </row>
    <row r="7022" spans="191:191" x14ac:dyDescent="0.2">
      <c r="GI7022" s="422"/>
    </row>
    <row r="7023" spans="191:191" x14ac:dyDescent="0.2">
      <c r="GI7023" s="422"/>
    </row>
    <row r="7024" spans="191:191" x14ac:dyDescent="0.2">
      <c r="GI7024" s="422"/>
    </row>
    <row r="7025" spans="191:191" x14ac:dyDescent="0.2">
      <c r="GI7025" s="422"/>
    </row>
    <row r="7026" spans="191:191" x14ac:dyDescent="0.2">
      <c r="GI7026" s="422"/>
    </row>
    <row r="7027" spans="191:191" x14ac:dyDescent="0.2">
      <c r="GI7027" s="422"/>
    </row>
    <row r="7028" spans="191:191" x14ac:dyDescent="0.2">
      <c r="GI7028" s="422"/>
    </row>
    <row r="7029" spans="191:191" x14ac:dyDescent="0.2">
      <c r="GI7029" s="422"/>
    </row>
    <row r="7030" spans="191:191" x14ac:dyDescent="0.2">
      <c r="GI7030" s="422"/>
    </row>
    <row r="7031" spans="191:191" x14ac:dyDescent="0.2">
      <c r="GI7031" s="422"/>
    </row>
    <row r="7032" spans="191:191" x14ac:dyDescent="0.2">
      <c r="GI7032" s="422"/>
    </row>
    <row r="7033" spans="191:191" x14ac:dyDescent="0.2">
      <c r="GI7033" s="422"/>
    </row>
    <row r="7034" spans="191:191" x14ac:dyDescent="0.2">
      <c r="GI7034" s="422"/>
    </row>
    <row r="7035" spans="191:191" x14ac:dyDescent="0.2">
      <c r="GI7035" s="422"/>
    </row>
    <row r="7036" spans="191:191" x14ac:dyDescent="0.2">
      <c r="GI7036" s="422"/>
    </row>
    <row r="7037" spans="191:191" x14ac:dyDescent="0.2">
      <c r="GI7037" s="422"/>
    </row>
    <row r="7038" spans="191:191" x14ac:dyDescent="0.2">
      <c r="GI7038" s="422"/>
    </row>
    <row r="7039" spans="191:191" x14ac:dyDescent="0.2">
      <c r="GI7039" s="422"/>
    </row>
    <row r="7040" spans="191:191" x14ac:dyDescent="0.2">
      <c r="GI7040" s="422"/>
    </row>
    <row r="7041" spans="191:191" x14ac:dyDescent="0.2">
      <c r="GI7041" s="422"/>
    </row>
    <row r="7042" spans="191:191" x14ac:dyDescent="0.2">
      <c r="GI7042" s="422"/>
    </row>
    <row r="7043" spans="191:191" x14ac:dyDescent="0.2">
      <c r="GI7043" s="422"/>
    </row>
    <row r="7044" spans="191:191" x14ac:dyDescent="0.2">
      <c r="GI7044" s="422"/>
    </row>
    <row r="7045" spans="191:191" x14ac:dyDescent="0.2">
      <c r="GI7045" s="422"/>
    </row>
    <row r="7046" spans="191:191" x14ac:dyDescent="0.2">
      <c r="GI7046" s="422"/>
    </row>
    <row r="7047" spans="191:191" x14ac:dyDescent="0.2">
      <c r="GI7047" s="422"/>
    </row>
    <row r="7048" spans="191:191" x14ac:dyDescent="0.2">
      <c r="GI7048" s="422"/>
    </row>
    <row r="7049" spans="191:191" x14ac:dyDescent="0.2">
      <c r="GI7049" s="422"/>
    </row>
    <row r="7050" spans="191:191" x14ac:dyDescent="0.2">
      <c r="GI7050" s="422"/>
    </row>
    <row r="7051" spans="191:191" x14ac:dyDescent="0.2">
      <c r="GI7051" s="422"/>
    </row>
    <row r="7052" spans="191:191" x14ac:dyDescent="0.2">
      <c r="GI7052" s="422"/>
    </row>
    <row r="7053" spans="191:191" x14ac:dyDescent="0.2">
      <c r="GI7053" s="422"/>
    </row>
    <row r="7054" spans="191:191" x14ac:dyDescent="0.2">
      <c r="GI7054" s="422"/>
    </row>
    <row r="7055" spans="191:191" x14ac:dyDescent="0.2">
      <c r="GI7055" s="422"/>
    </row>
    <row r="7056" spans="191:191" x14ac:dyDescent="0.2">
      <c r="GI7056" s="422"/>
    </row>
    <row r="7057" spans="191:191" x14ac:dyDescent="0.2">
      <c r="GI7057" s="422"/>
    </row>
    <row r="7058" spans="191:191" x14ac:dyDescent="0.2">
      <c r="GI7058" s="422"/>
    </row>
    <row r="7059" spans="191:191" x14ac:dyDescent="0.2">
      <c r="GI7059" s="422"/>
    </row>
    <row r="7060" spans="191:191" x14ac:dyDescent="0.2">
      <c r="GI7060" s="422"/>
    </row>
    <row r="7061" spans="191:191" x14ac:dyDescent="0.2">
      <c r="GI7061" s="422"/>
    </row>
    <row r="7062" spans="191:191" x14ac:dyDescent="0.2">
      <c r="GI7062" s="422"/>
    </row>
    <row r="7063" spans="191:191" x14ac:dyDescent="0.2">
      <c r="GI7063" s="422"/>
    </row>
    <row r="7064" spans="191:191" x14ac:dyDescent="0.2">
      <c r="GI7064" s="422"/>
    </row>
    <row r="7065" spans="191:191" x14ac:dyDescent="0.2">
      <c r="GI7065" s="422"/>
    </row>
    <row r="7066" spans="191:191" x14ac:dyDescent="0.2">
      <c r="GI7066" s="422"/>
    </row>
    <row r="7067" spans="191:191" x14ac:dyDescent="0.2">
      <c r="GI7067" s="422"/>
    </row>
    <row r="7068" spans="191:191" x14ac:dyDescent="0.2">
      <c r="GI7068" s="422"/>
    </row>
    <row r="7069" spans="191:191" x14ac:dyDescent="0.2">
      <c r="GI7069" s="422"/>
    </row>
    <row r="7070" spans="191:191" x14ac:dyDescent="0.2">
      <c r="GI7070" s="422"/>
    </row>
    <row r="7071" spans="191:191" x14ac:dyDescent="0.2">
      <c r="GI7071" s="422"/>
    </row>
    <row r="7072" spans="191:191" x14ac:dyDescent="0.2">
      <c r="GI7072" s="422"/>
    </row>
    <row r="7073" spans="191:191" x14ac:dyDescent="0.2">
      <c r="GI7073" s="422"/>
    </row>
    <row r="7074" spans="191:191" x14ac:dyDescent="0.2">
      <c r="GI7074" s="422"/>
    </row>
    <row r="7075" spans="191:191" x14ac:dyDescent="0.2">
      <c r="GI7075" s="422"/>
    </row>
    <row r="7076" spans="191:191" x14ac:dyDescent="0.2">
      <c r="GI7076" s="422"/>
    </row>
    <row r="7077" spans="191:191" x14ac:dyDescent="0.2">
      <c r="GI7077" s="422"/>
    </row>
    <row r="7078" spans="191:191" x14ac:dyDescent="0.2">
      <c r="GI7078" s="422"/>
    </row>
    <row r="7079" spans="191:191" x14ac:dyDescent="0.2">
      <c r="GI7079" s="422"/>
    </row>
    <row r="7080" spans="191:191" x14ac:dyDescent="0.2">
      <c r="GI7080" s="422"/>
    </row>
    <row r="7081" spans="191:191" x14ac:dyDescent="0.2">
      <c r="GI7081" s="422"/>
    </row>
    <row r="7082" spans="191:191" x14ac:dyDescent="0.2">
      <c r="GI7082" s="422"/>
    </row>
    <row r="7083" spans="191:191" x14ac:dyDescent="0.2">
      <c r="GI7083" s="422"/>
    </row>
    <row r="7084" spans="191:191" x14ac:dyDescent="0.2">
      <c r="GI7084" s="422"/>
    </row>
    <row r="7085" spans="191:191" x14ac:dyDescent="0.2">
      <c r="GI7085" s="422"/>
    </row>
    <row r="7086" spans="191:191" x14ac:dyDescent="0.2">
      <c r="GI7086" s="422"/>
    </row>
    <row r="7087" spans="191:191" x14ac:dyDescent="0.2">
      <c r="GI7087" s="422"/>
    </row>
    <row r="7088" spans="191:191" x14ac:dyDescent="0.2">
      <c r="GI7088" s="422"/>
    </row>
    <row r="7089" spans="191:191" x14ac:dyDescent="0.2">
      <c r="GI7089" s="422"/>
    </row>
    <row r="7090" spans="191:191" x14ac:dyDescent="0.2">
      <c r="GI7090" s="422"/>
    </row>
    <row r="7091" spans="191:191" x14ac:dyDescent="0.2">
      <c r="GI7091" s="422"/>
    </row>
    <row r="7092" spans="191:191" x14ac:dyDescent="0.2">
      <c r="GI7092" s="422"/>
    </row>
    <row r="7093" spans="191:191" x14ac:dyDescent="0.2">
      <c r="GI7093" s="422"/>
    </row>
    <row r="7094" spans="191:191" x14ac:dyDescent="0.2">
      <c r="GI7094" s="422"/>
    </row>
    <row r="7095" spans="191:191" x14ac:dyDescent="0.2">
      <c r="GI7095" s="422"/>
    </row>
    <row r="7096" spans="191:191" x14ac:dyDescent="0.2">
      <c r="GI7096" s="422"/>
    </row>
    <row r="7097" spans="191:191" x14ac:dyDescent="0.2">
      <c r="GI7097" s="422"/>
    </row>
    <row r="7098" spans="191:191" x14ac:dyDescent="0.2">
      <c r="GI7098" s="422"/>
    </row>
    <row r="7099" spans="191:191" x14ac:dyDescent="0.2">
      <c r="GI7099" s="422"/>
    </row>
    <row r="7100" spans="191:191" x14ac:dyDescent="0.2">
      <c r="GI7100" s="422"/>
    </row>
    <row r="7101" spans="191:191" x14ac:dyDescent="0.2">
      <c r="GI7101" s="422"/>
    </row>
    <row r="7102" spans="191:191" x14ac:dyDescent="0.2">
      <c r="GI7102" s="422"/>
    </row>
    <row r="7103" spans="191:191" x14ac:dyDescent="0.2">
      <c r="GI7103" s="422"/>
    </row>
    <row r="7104" spans="191:191" x14ac:dyDescent="0.2">
      <c r="GI7104" s="422"/>
    </row>
    <row r="7105" spans="191:191" x14ac:dyDescent="0.2">
      <c r="GI7105" s="422"/>
    </row>
    <row r="7106" spans="191:191" x14ac:dyDescent="0.2">
      <c r="GI7106" s="422"/>
    </row>
    <row r="7107" spans="191:191" x14ac:dyDescent="0.2">
      <c r="GI7107" s="422"/>
    </row>
    <row r="7108" spans="191:191" x14ac:dyDescent="0.2">
      <c r="GI7108" s="422"/>
    </row>
    <row r="7109" spans="191:191" x14ac:dyDescent="0.2">
      <c r="GI7109" s="422"/>
    </row>
    <row r="7110" spans="191:191" x14ac:dyDescent="0.2">
      <c r="GI7110" s="422"/>
    </row>
    <row r="7111" spans="191:191" x14ac:dyDescent="0.2">
      <c r="GI7111" s="422"/>
    </row>
    <row r="7112" spans="191:191" x14ac:dyDescent="0.2">
      <c r="GI7112" s="422"/>
    </row>
    <row r="7113" spans="191:191" x14ac:dyDescent="0.2">
      <c r="GI7113" s="422"/>
    </row>
    <row r="7114" spans="191:191" x14ac:dyDescent="0.2">
      <c r="GI7114" s="422"/>
    </row>
    <row r="7115" spans="191:191" x14ac:dyDescent="0.2">
      <c r="GI7115" s="422"/>
    </row>
    <row r="7116" spans="191:191" x14ac:dyDescent="0.2">
      <c r="GI7116" s="422"/>
    </row>
    <row r="7117" spans="191:191" x14ac:dyDescent="0.2">
      <c r="GI7117" s="422"/>
    </row>
    <row r="7118" spans="191:191" x14ac:dyDescent="0.2">
      <c r="GI7118" s="422"/>
    </row>
    <row r="7119" spans="191:191" x14ac:dyDescent="0.2">
      <c r="GI7119" s="422"/>
    </row>
    <row r="7120" spans="191:191" x14ac:dyDescent="0.2">
      <c r="GI7120" s="422"/>
    </row>
    <row r="7121" spans="191:191" x14ac:dyDescent="0.2">
      <c r="GI7121" s="422"/>
    </row>
    <row r="7122" spans="191:191" x14ac:dyDescent="0.2">
      <c r="GI7122" s="422"/>
    </row>
    <row r="7123" spans="191:191" x14ac:dyDescent="0.2">
      <c r="GI7123" s="422"/>
    </row>
    <row r="7124" spans="191:191" x14ac:dyDescent="0.2">
      <c r="GI7124" s="422"/>
    </row>
    <row r="7125" spans="191:191" x14ac:dyDescent="0.2">
      <c r="GI7125" s="422"/>
    </row>
    <row r="7126" spans="191:191" x14ac:dyDescent="0.2">
      <c r="GI7126" s="422"/>
    </row>
    <row r="7127" spans="191:191" x14ac:dyDescent="0.2">
      <c r="GI7127" s="422"/>
    </row>
    <row r="7128" spans="191:191" x14ac:dyDescent="0.2">
      <c r="GI7128" s="422"/>
    </row>
    <row r="7129" spans="191:191" x14ac:dyDescent="0.2">
      <c r="GI7129" s="422"/>
    </row>
    <row r="7130" spans="191:191" x14ac:dyDescent="0.2">
      <c r="GI7130" s="422"/>
    </row>
    <row r="7131" spans="191:191" x14ac:dyDescent="0.2">
      <c r="GI7131" s="422"/>
    </row>
    <row r="7132" spans="191:191" x14ac:dyDescent="0.2">
      <c r="GI7132" s="422"/>
    </row>
    <row r="7133" spans="191:191" x14ac:dyDescent="0.2">
      <c r="GI7133" s="422"/>
    </row>
    <row r="7134" spans="191:191" x14ac:dyDescent="0.2">
      <c r="GI7134" s="422"/>
    </row>
    <row r="7135" spans="191:191" x14ac:dyDescent="0.2">
      <c r="GI7135" s="422"/>
    </row>
    <row r="7136" spans="191:191" x14ac:dyDescent="0.2">
      <c r="GI7136" s="422"/>
    </row>
    <row r="7137" spans="191:191" x14ac:dyDescent="0.2">
      <c r="GI7137" s="422"/>
    </row>
    <row r="7138" spans="191:191" x14ac:dyDescent="0.2">
      <c r="GI7138" s="422"/>
    </row>
    <row r="7139" spans="191:191" x14ac:dyDescent="0.2">
      <c r="GI7139" s="422"/>
    </row>
    <row r="7140" spans="191:191" x14ac:dyDescent="0.2">
      <c r="GI7140" s="422"/>
    </row>
    <row r="7141" spans="191:191" x14ac:dyDescent="0.2">
      <c r="GI7141" s="422"/>
    </row>
    <row r="7142" spans="191:191" x14ac:dyDescent="0.2">
      <c r="GI7142" s="422"/>
    </row>
    <row r="7143" spans="191:191" x14ac:dyDescent="0.2">
      <c r="GI7143" s="422"/>
    </row>
    <row r="7144" spans="191:191" x14ac:dyDescent="0.2">
      <c r="GI7144" s="422"/>
    </row>
    <row r="7145" spans="191:191" x14ac:dyDescent="0.2">
      <c r="GI7145" s="422"/>
    </row>
    <row r="7146" spans="191:191" x14ac:dyDescent="0.2">
      <c r="GI7146" s="422"/>
    </row>
    <row r="7147" spans="191:191" x14ac:dyDescent="0.2">
      <c r="GI7147" s="422"/>
    </row>
    <row r="7148" spans="191:191" x14ac:dyDescent="0.2">
      <c r="GI7148" s="422"/>
    </row>
    <row r="7149" spans="191:191" x14ac:dyDescent="0.2">
      <c r="GI7149" s="422"/>
    </row>
    <row r="7150" spans="191:191" x14ac:dyDescent="0.2">
      <c r="GI7150" s="422"/>
    </row>
    <row r="7151" spans="191:191" x14ac:dyDescent="0.2">
      <c r="GI7151" s="422"/>
    </row>
    <row r="7152" spans="191:191" x14ac:dyDescent="0.2">
      <c r="GI7152" s="422"/>
    </row>
    <row r="7153" spans="191:191" x14ac:dyDescent="0.2">
      <c r="GI7153" s="422"/>
    </row>
    <row r="7154" spans="191:191" x14ac:dyDescent="0.2">
      <c r="GI7154" s="422"/>
    </row>
    <row r="7155" spans="191:191" x14ac:dyDescent="0.2">
      <c r="GI7155" s="422"/>
    </row>
    <row r="7156" spans="191:191" x14ac:dyDescent="0.2">
      <c r="GI7156" s="422"/>
    </row>
    <row r="7157" spans="191:191" x14ac:dyDescent="0.2">
      <c r="GI7157" s="422"/>
    </row>
    <row r="7158" spans="191:191" x14ac:dyDescent="0.2">
      <c r="GI7158" s="422"/>
    </row>
    <row r="7159" spans="191:191" x14ac:dyDescent="0.2">
      <c r="GI7159" s="422"/>
    </row>
    <row r="7160" spans="191:191" x14ac:dyDescent="0.2">
      <c r="GI7160" s="422"/>
    </row>
    <row r="7161" spans="191:191" x14ac:dyDescent="0.2">
      <c r="GI7161" s="422"/>
    </row>
    <row r="7162" spans="191:191" x14ac:dyDescent="0.2">
      <c r="GI7162" s="422"/>
    </row>
    <row r="7163" spans="191:191" x14ac:dyDescent="0.2">
      <c r="GI7163" s="422"/>
    </row>
    <row r="7164" spans="191:191" x14ac:dyDescent="0.2">
      <c r="GI7164" s="422"/>
    </row>
    <row r="7165" spans="191:191" x14ac:dyDescent="0.2">
      <c r="GI7165" s="422"/>
    </row>
    <row r="7166" spans="191:191" x14ac:dyDescent="0.2">
      <c r="GI7166" s="422"/>
    </row>
    <row r="7167" spans="191:191" x14ac:dyDescent="0.2">
      <c r="GI7167" s="422"/>
    </row>
    <row r="7168" spans="191:191" x14ac:dyDescent="0.2">
      <c r="GI7168" s="422"/>
    </row>
    <row r="7169" spans="191:191" x14ac:dyDescent="0.2">
      <c r="GI7169" s="422"/>
    </row>
    <row r="7170" spans="191:191" x14ac:dyDescent="0.2">
      <c r="GI7170" s="422"/>
    </row>
    <row r="7171" spans="191:191" x14ac:dyDescent="0.2">
      <c r="GI7171" s="422"/>
    </row>
    <row r="7172" spans="191:191" x14ac:dyDescent="0.2">
      <c r="GI7172" s="422"/>
    </row>
    <row r="7173" spans="191:191" x14ac:dyDescent="0.2">
      <c r="GI7173" s="422"/>
    </row>
    <row r="7174" spans="191:191" x14ac:dyDescent="0.2">
      <c r="GI7174" s="422"/>
    </row>
    <row r="7175" spans="191:191" x14ac:dyDescent="0.2">
      <c r="GI7175" s="422"/>
    </row>
    <row r="7176" spans="191:191" x14ac:dyDescent="0.2">
      <c r="GI7176" s="422"/>
    </row>
    <row r="7177" spans="191:191" x14ac:dyDescent="0.2">
      <c r="GI7177" s="422"/>
    </row>
    <row r="7178" spans="191:191" x14ac:dyDescent="0.2">
      <c r="GI7178" s="422"/>
    </row>
    <row r="7179" spans="191:191" x14ac:dyDescent="0.2">
      <c r="GI7179" s="422"/>
    </row>
    <row r="7180" spans="191:191" x14ac:dyDescent="0.2">
      <c r="GI7180" s="422"/>
    </row>
    <row r="7181" spans="191:191" x14ac:dyDescent="0.2">
      <c r="GI7181" s="422"/>
    </row>
    <row r="7182" spans="191:191" x14ac:dyDescent="0.2">
      <c r="GI7182" s="422"/>
    </row>
    <row r="7183" spans="191:191" x14ac:dyDescent="0.2">
      <c r="GI7183" s="422"/>
    </row>
    <row r="7184" spans="191:191" x14ac:dyDescent="0.2">
      <c r="GI7184" s="422"/>
    </row>
    <row r="7185" spans="191:191" x14ac:dyDescent="0.2">
      <c r="GI7185" s="422"/>
    </row>
    <row r="7186" spans="191:191" x14ac:dyDescent="0.2">
      <c r="GI7186" s="422"/>
    </row>
    <row r="7187" spans="191:191" x14ac:dyDescent="0.2">
      <c r="GI7187" s="422"/>
    </row>
    <row r="7188" spans="191:191" x14ac:dyDescent="0.2">
      <c r="GI7188" s="422"/>
    </row>
    <row r="7189" spans="191:191" x14ac:dyDescent="0.2">
      <c r="GI7189" s="422"/>
    </row>
    <row r="7190" spans="191:191" x14ac:dyDescent="0.2">
      <c r="GI7190" s="422"/>
    </row>
    <row r="7191" spans="191:191" x14ac:dyDescent="0.2">
      <c r="GI7191" s="422"/>
    </row>
    <row r="7192" spans="191:191" x14ac:dyDescent="0.2">
      <c r="GI7192" s="422"/>
    </row>
    <row r="7193" spans="191:191" x14ac:dyDescent="0.2">
      <c r="GI7193" s="422"/>
    </row>
    <row r="7194" spans="191:191" x14ac:dyDescent="0.2">
      <c r="GI7194" s="422"/>
    </row>
    <row r="7195" spans="191:191" x14ac:dyDescent="0.2">
      <c r="GI7195" s="422"/>
    </row>
    <row r="7196" spans="191:191" x14ac:dyDescent="0.2">
      <c r="GI7196" s="422"/>
    </row>
    <row r="7197" spans="191:191" x14ac:dyDescent="0.2">
      <c r="GI7197" s="422"/>
    </row>
    <row r="7198" spans="191:191" x14ac:dyDescent="0.2">
      <c r="GI7198" s="422"/>
    </row>
    <row r="7199" spans="191:191" x14ac:dyDescent="0.2">
      <c r="GI7199" s="422"/>
    </row>
    <row r="7200" spans="191:191" x14ac:dyDescent="0.2">
      <c r="GI7200" s="422"/>
    </row>
    <row r="7201" spans="191:191" x14ac:dyDescent="0.2">
      <c r="GI7201" s="422"/>
    </row>
    <row r="7202" spans="191:191" x14ac:dyDescent="0.2">
      <c r="GI7202" s="422"/>
    </row>
    <row r="7203" spans="191:191" x14ac:dyDescent="0.2">
      <c r="GI7203" s="422"/>
    </row>
    <row r="7204" spans="191:191" x14ac:dyDescent="0.2">
      <c r="GI7204" s="422"/>
    </row>
    <row r="7205" spans="191:191" x14ac:dyDescent="0.2">
      <c r="GI7205" s="422"/>
    </row>
    <row r="7206" spans="191:191" x14ac:dyDescent="0.2">
      <c r="GI7206" s="422"/>
    </row>
    <row r="7207" spans="191:191" x14ac:dyDescent="0.2">
      <c r="GI7207" s="422"/>
    </row>
    <row r="7208" spans="191:191" x14ac:dyDescent="0.2">
      <c r="GI7208" s="422"/>
    </row>
    <row r="7209" spans="191:191" x14ac:dyDescent="0.2">
      <c r="GI7209" s="422"/>
    </row>
    <row r="7210" spans="191:191" x14ac:dyDescent="0.2">
      <c r="GI7210" s="422"/>
    </row>
    <row r="7211" spans="191:191" x14ac:dyDescent="0.2">
      <c r="GI7211" s="422"/>
    </row>
    <row r="7212" spans="191:191" x14ac:dyDescent="0.2">
      <c r="GI7212" s="422"/>
    </row>
    <row r="7213" spans="191:191" x14ac:dyDescent="0.2">
      <c r="GI7213" s="422"/>
    </row>
    <row r="7214" spans="191:191" x14ac:dyDescent="0.2">
      <c r="GI7214" s="422"/>
    </row>
    <row r="7215" spans="191:191" x14ac:dyDescent="0.2">
      <c r="GI7215" s="422"/>
    </row>
    <row r="7216" spans="191:191" x14ac:dyDescent="0.2">
      <c r="GI7216" s="422"/>
    </row>
    <row r="7217" spans="191:191" x14ac:dyDescent="0.2">
      <c r="GI7217" s="422"/>
    </row>
    <row r="7218" spans="191:191" x14ac:dyDescent="0.2">
      <c r="GI7218" s="422"/>
    </row>
    <row r="7219" spans="191:191" x14ac:dyDescent="0.2">
      <c r="GI7219" s="422"/>
    </row>
    <row r="7220" spans="191:191" x14ac:dyDescent="0.2">
      <c r="GI7220" s="422"/>
    </row>
    <row r="7221" spans="191:191" x14ac:dyDescent="0.2">
      <c r="GI7221" s="422"/>
    </row>
    <row r="7222" spans="191:191" x14ac:dyDescent="0.2">
      <c r="GI7222" s="422"/>
    </row>
    <row r="7223" spans="191:191" x14ac:dyDescent="0.2">
      <c r="GI7223" s="422"/>
    </row>
    <row r="7224" spans="191:191" x14ac:dyDescent="0.2">
      <c r="GI7224" s="422"/>
    </row>
    <row r="7225" spans="191:191" x14ac:dyDescent="0.2">
      <c r="GI7225" s="422"/>
    </row>
    <row r="7226" spans="191:191" x14ac:dyDescent="0.2">
      <c r="GI7226" s="422"/>
    </row>
    <row r="7227" spans="191:191" x14ac:dyDescent="0.2">
      <c r="GI7227" s="422"/>
    </row>
    <row r="7228" spans="191:191" x14ac:dyDescent="0.2">
      <c r="GI7228" s="422"/>
    </row>
    <row r="7229" spans="191:191" x14ac:dyDescent="0.2">
      <c r="GI7229" s="422"/>
    </row>
    <row r="7230" spans="191:191" x14ac:dyDescent="0.2">
      <c r="GI7230" s="422"/>
    </row>
    <row r="7231" spans="191:191" x14ac:dyDescent="0.2">
      <c r="GI7231" s="422"/>
    </row>
    <row r="7232" spans="191:191" x14ac:dyDescent="0.2">
      <c r="GI7232" s="422"/>
    </row>
    <row r="7233" spans="191:191" x14ac:dyDescent="0.2">
      <c r="GI7233" s="422"/>
    </row>
    <row r="7234" spans="191:191" x14ac:dyDescent="0.2">
      <c r="GI7234" s="422"/>
    </row>
    <row r="7235" spans="191:191" x14ac:dyDescent="0.2">
      <c r="GI7235" s="422"/>
    </row>
    <row r="7236" spans="191:191" x14ac:dyDescent="0.2">
      <c r="GI7236" s="422"/>
    </row>
    <row r="7237" spans="191:191" x14ac:dyDescent="0.2">
      <c r="GI7237" s="422"/>
    </row>
    <row r="7238" spans="191:191" x14ac:dyDescent="0.2">
      <c r="GI7238" s="422"/>
    </row>
    <row r="7239" spans="191:191" x14ac:dyDescent="0.2">
      <c r="GI7239" s="422"/>
    </row>
    <row r="7240" spans="191:191" x14ac:dyDescent="0.2">
      <c r="GI7240" s="422"/>
    </row>
    <row r="7241" spans="191:191" x14ac:dyDescent="0.2">
      <c r="GI7241" s="422"/>
    </row>
    <row r="7242" spans="191:191" x14ac:dyDescent="0.2">
      <c r="GI7242" s="422"/>
    </row>
    <row r="7243" spans="191:191" x14ac:dyDescent="0.2">
      <c r="GI7243" s="422"/>
    </row>
    <row r="7244" spans="191:191" x14ac:dyDescent="0.2">
      <c r="GI7244" s="422"/>
    </row>
    <row r="7245" spans="191:191" x14ac:dyDescent="0.2">
      <c r="GI7245" s="422"/>
    </row>
    <row r="7246" spans="191:191" x14ac:dyDescent="0.2">
      <c r="GI7246" s="422"/>
    </row>
    <row r="7247" spans="191:191" x14ac:dyDescent="0.2">
      <c r="GI7247" s="422"/>
    </row>
    <row r="7248" spans="191:191" x14ac:dyDescent="0.2">
      <c r="GI7248" s="422"/>
    </row>
    <row r="7249" spans="191:191" x14ac:dyDescent="0.2">
      <c r="GI7249" s="422"/>
    </row>
    <row r="7250" spans="191:191" x14ac:dyDescent="0.2">
      <c r="GI7250" s="422"/>
    </row>
    <row r="7251" spans="191:191" x14ac:dyDescent="0.2">
      <c r="GI7251" s="422"/>
    </row>
    <row r="7252" spans="191:191" x14ac:dyDescent="0.2">
      <c r="GI7252" s="422"/>
    </row>
    <row r="7253" spans="191:191" x14ac:dyDescent="0.2">
      <c r="GI7253" s="422"/>
    </row>
    <row r="7254" spans="191:191" x14ac:dyDescent="0.2">
      <c r="GI7254" s="422"/>
    </row>
    <row r="7255" spans="191:191" x14ac:dyDescent="0.2">
      <c r="GI7255" s="422"/>
    </row>
    <row r="7256" spans="191:191" x14ac:dyDescent="0.2">
      <c r="GI7256" s="422"/>
    </row>
    <row r="7257" spans="191:191" x14ac:dyDescent="0.2">
      <c r="GI7257" s="422"/>
    </row>
    <row r="7258" spans="191:191" x14ac:dyDescent="0.2">
      <c r="GI7258" s="422"/>
    </row>
    <row r="7259" spans="191:191" x14ac:dyDescent="0.2">
      <c r="GI7259" s="422"/>
    </row>
    <row r="7260" spans="191:191" x14ac:dyDescent="0.2">
      <c r="GI7260" s="422"/>
    </row>
    <row r="7261" spans="191:191" x14ac:dyDescent="0.2">
      <c r="GI7261" s="422"/>
    </row>
    <row r="7262" spans="191:191" x14ac:dyDescent="0.2">
      <c r="GI7262" s="422"/>
    </row>
    <row r="7263" spans="191:191" x14ac:dyDescent="0.2">
      <c r="GI7263" s="422"/>
    </row>
    <row r="7264" spans="191:191" x14ac:dyDescent="0.2">
      <c r="GI7264" s="422"/>
    </row>
    <row r="7265" spans="191:191" x14ac:dyDescent="0.2">
      <c r="GI7265" s="422"/>
    </row>
    <row r="7266" spans="191:191" x14ac:dyDescent="0.2">
      <c r="GI7266" s="422"/>
    </row>
    <row r="7267" spans="191:191" x14ac:dyDescent="0.2">
      <c r="GI7267" s="422"/>
    </row>
    <row r="7268" spans="191:191" x14ac:dyDescent="0.2">
      <c r="GI7268" s="422"/>
    </row>
    <row r="7269" spans="191:191" x14ac:dyDescent="0.2">
      <c r="GI7269" s="422"/>
    </row>
    <row r="7270" spans="191:191" x14ac:dyDescent="0.2">
      <c r="GI7270" s="422"/>
    </row>
    <row r="7271" spans="191:191" x14ac:dyDescent="0.2">
      <c r="GI7271" s="422"/>
    </row>
    <row r="7272" spans="191:191" x14ac:dyDescent="0.2">
      <c r="GI7272" s="422"/>
    </row>
    <row r="7273" spans="191:191" x14ac:dyDescent="0.2">
      <c r="GI7273" s="422"/>
    </row>
    <row r="7274" spans="191:191" x14ac:dyDescent="0.2">
      <c r="GI7274" s="422"/>
    </row>
    <row r="7275" spans="191:191" x14ac:dyDescent="0.2">
      <c r="GI7275" s="422"/>
    </row>
    <row r="7276" spans="191:191" x14ac:dyDescent="0.2">
      <c r="GI7276" s="422"/>
    </row>
    <row r="7277" spans="191:191" x14ac:dyDescent="0.2">
      <c r="GI7277" s="422"/>
    </row>
    <row r="7278" spans="191:191" x14ac:dyDescent="0.2">
      <c r="GI7278" s="422"/>
    </row>
    <row r="7279" spans="191:191" x14ac:dyDescent="0.2">
      <c r="GI7279" s="422"/>
    </row>
    <row r="7280" spans="191:191" x14ac:dyDescent="0.2">
      <c r="GI7280" s="422"/>
    </row>
    <row r="7281" spans="191:191" x14ac:dyDescent="0.2">
      <c r="GI7281" s="422"/>
    </row>
    <row r="7282" spans="191:191" x14ac:dyDescent="0.2">
      <c r="GI7282" s="422"/>
    </row>
    <row r="7283" spans="191:191" x14ac:dyDescent="0.2">
      <c r="GI7283" s="422"/>
    </row>
    <row r="7284" spans="191:191" x14ac:dyDescent="0.2">
      <c r="GI7284" s="422"/>
    </row>
    <row r="7285" spans="191:191" x14ac:dyDescent="0.2">
      <c r="GI7285" s="422"/>
    </row>
    <row r="7286" spans="191:191" x14ac:dyDescent="0.2">
      <c r="GI7286" s="422"/>
    </row>
    <row r="7287" spans="191:191" x14ac:dyDescent="0.2">
      <c r="GI7287" s="422"/>
    </row>
    <row r="7288" spans="191:191" x14ac:dyDescent="0.2">
      <c r="GI7288" s="422"/>
    </row>
    <row r="7289" spans="191:191" x14ac:dyDescent="0.2">
      <c r="GI7289" s="422"/>
    </row>
    <row r="7290" spans="191:191" x14ac:dyDescent="0.2">
      <c r="GI7290" s="422"/>
    </row>
    <row r="7291" spans="191:191" x14ac:dyDescent="0.2">
      <c r="GI7291" s="422"/>
    </row>
    <row r="7292" spans="191:191" x14ac:dyDescent="0.2">
      <c r="GI7292" s="422"/>
    </row>
    <row r="7293" spans="191:191" x14ac:dyDescent="0.2">
      <c r="GI7293" s="422"/>
    </row>
    <row r="7294" spans="191:191" x14ac:dyDescent="0.2">
      <c r="GI7294" s="422"/>
    </row>
    <row r="7295" spans="191:191" x14ac:dyDescent="0.2">
      <c r="GI7295" s="422"/>
    </row>
    <row r="7296" spans="191:191" x14ac:dyDescent="0.2">
      <c r="GI7296" s="422"/>
    </row>
    <row r="7297" spans="191:191" x14ac:dyDescent="0.2">
      <c r="GI7297" s="422"/>
    </row>
    <row r="7298" spans="191:191" x14ac:dyDescent="0.2">
      <c r="GI7298" s="422"/>
    </row>
    <row r="7299" spans="191:191" x14ac:dyDescent="0.2">
      <c r="GI7299" s="422"/>
    </row>
    <row r="7300" spans="191:191" x14ac:dyDescent="0.2">
      <c r="GI7300" s="422"/>
    </row>
    <row r="7301" spans="191:191" x14ac:dyDescent="0.2">
      <c r="GI7301" s="422"/>
    </row>
    <row r="7302" spans="191:191" x14ac:dyDescent="0.2">
      <c r="GI7302" s="422"/>
    </row>
    <row r="7303" spans="191:191" x14ac:dyDescent="0.2">
      <c r="GI7303" s="422"/>
    </row>
    <row r="7304" spans="191:191" x14ac:dyDescent="0.2">
      <c r="GI7304" s="422"/>
    </row>
    <row r="7305" spans="191:191" x14ac:dyDescent="0.2">
      <c r="GI7305" s="422"/>
    </row>
    <row r="7306" spans="191:191" x14ac:dyDescent="0.2">
      <c r="GI7306" s="422"/>
    </row>
    <row r="7307" spans="191:191" x14ac:dyDescent="0.2">
      <c r="GI7307" s="422"/>
    </row>
    <row r="7308" spans="191:191" x14ac:dyDescent="0.2">
      <c r="GI7308" s="422"/>
    </row>
    <row r="7309" spans="191:191" x14ac:dyDescent="0.2">
      <c r="GI7309" s="422"/>
    </row>
    <row r="7310" spans="191:191" x14ac:dyDescent="0.2">
      <c r="GI7310" s="422"/>
    </row>
    <row r="7311" spans="191:191" x14ac:dyDescent="0.2">
      <c r="GI7311" s="422"/>
    </row>
    <row r="7312" spans="191:191" x14ac:dyDescent="0.2">
      <c r="GI7312" s="422"/>
    </row>
    <row r="7313" spans="191:191" x14ac:dyDescent="0.2">
      <c r="GI7313" s="422"/>
    </row>
    <row r="7314" spans="191:191" x14ac:dyDescent="0.2">
      <c r="GI7314" s="422"/>
    </row>
    <row r="7315" spans="191:191" x14ac:dyDescent="0.2">
      <c r="GI7315" s="422"/>
    </row>
    <row r="7316" spans="191:191" x14ac:dyDescent="0.2">
      <c r="GI7316" s="422"/>
    </row>
    <row r="7317" spans="191:191" x14ac:dyDescent="0.2">
      <c r="GI7317" s="422"/>
    </row>
    <row r="7318" spans="191:191" x14ac:dyDescent="0.2">
      <c r="GI7318" s="422"/>
    </row>
    <row r="7319" spans="191:191" x14ac:dyDescent="0.2">
      <c r="GI7319" s="422"/>
    </row>
    <row r="7320" spans="191:191" x14ac:dyDescent="0.2">
      <c r="GI7320" s="422"/>
    </row>
    <row r="7321" spans="191:191" x14ac:dyDescent="0.2">
      <c r="GI7321" s="422"/>
    </row>
    <row r="7322" spans="191:191" x14ac:dyDescent="0.2">
      <c r="GI7322" s="422"/>
    </row>
    <row r="7323" spans="191:191" x14ac:dyDescent="0.2">
      <c r="GI7323" s="422"/>
    </row>
    <row r="7324" spans="191:191" x14ac:dyDescent="0.2">
      <c r="GI7324" s="422"/>
    </row>
    <row r="7325" spans="191:191" x14ac:dyDescent="0.2">
      <c r="GI7325" s="422"/>
    </row>
    <row r="7326" spans="191:191" x14ac:dyDescent="0.2">
      <c r="GI7326" s="422"/>
    </row>
    <row r="7327" spans="191:191" x14ac:dyDescent="0.2">
      <c r="GI7327" s="422"/>
    </row>
    <row r="7328" spans="191:191" x14ac:dyDescent="0.2">
      <c r="GI7328" s="422"/>
    </row>
    <row r="7329" spans="191:191" x14ac:dyDescent="0.2">
      <c r="GI7329" s="422"/>
    </row>
    <row r="7330" spans="191:191" x14ac:dyDescent="0.2">
      <c r="GI7330" s="422"/>
    </row>
    <row r="7331" spans="191:191" x14ac:dyDescent="0.2">
      <c r="GI7331" s="422"/>
    </row>
    <row r="7332" spans="191:191" x14ac:dyDescent="0.2">
      <c r="GI7332" s="422"/>
    </row>
    <row r="7333" spans="191:191" x14ac:dyDescent="0.2">
      <c r="GI7333" s="422"/>
    </row>
    <row r="7334" spans="191:191" x14ac:dyDescent="0.2">
      <c r="GI7334" s="422"/>
    </row>
    <row r="7335" spans="191:191" x14ac:dyDescent="0.2">
      <c r="GI7335" s="422"/>
    </row>
    <row r="7336" spans="191:191" x14ac:dyDescent="0.2">
      <c r="GI7336" s="422"/>
    </row>
    <row r="7337" spans="191:191" x14ac:dyDescent="0.2">
      <c r="GI7337" s="422"/>
    </row>
    <row r="7338" spans="191:191" x14ac:dyDescent="0.2">
      <c r="GI7338" s="422"/>
    </row>
    <row r="7339" spans="191:191" x14ac:dyDescent="0.2">
      <c r="GI7339" s="422"/>
    </row>
    <row r="7340" spans="191:191" x14ac:dyDescent="0.2">
      <c r="GI7340" s="422"/>
    </row>
    <row r="7341" spans="191:191" x14ac:dyDescent="0.2">
      <c r="GI7341" s="422"/>
    </row>
    <row r="7342" spans="191:191" x14ac:dyDescent="0.2">
      <c r="GI7342" s="422"/>
    </row>
    <row r="7343" spans="191:191" x14ac:dyDescent="0.2">
      <c r="GI7343" s="422"/>
    </row>
    <row r="7344" spans="191:191" x14ac:dyDescent="0.2">
      <c r="GI7344" s="422"/>
    </row>
    <row r="7345" spans="191:191" x14ac:dyDescent="0.2">
      <c r="GI7345" s="422"/>
    </row>
    <row r="7346" spans="191:191" x14ac:dyDescent="0.2">
      <c r="GI7346" s="422"/>
    </row>
    <row r="7347" spans="191:191" x14ac:dyDescent="0.2">
      <c r="GI7347" s="422"/>
    </row>
    <row r="7348" spans="191:191" x14ac:dyDescent="0.2">
      <c r="GI7348" s="422"/>
    </row>
    <row r="7349" spans="191:191" x14ac:dyDescent="0.2">
      <c r="GI7349" s="422"/>
    </row>
    <row r="7350" spans="191:191" x14ac:dyDescent="0.2">
      <c r="GI7350" s="422"/>
    </row>
    <row r="7351" spans="191:191" x14ac:dyDescent="0.2">
      <c r="GI7351" s="422"/>
    </row>
    <row r="7352" spans="191:191" x14ac:dyDescent="0.2">
      <c r="GI7352" s="422"/>
    </row>
    <row r="7353" spans="191:191" x14ac:dyDescent="0.2">
      <c r="GI7353" s="422"/>
    </row>
    <row r="7354" spans="191:191" x14ac:dyDescent="0.2">
      <c r="GI7354" s="422"/>
    </row>
    <row r="7355" spans="191:191" x14ac:dyDescent="0.2">
      <c r="GI7355" s="422"/>
    </row>
    <row r="7356" spans="191:191" x14ac:dyDescent="0.2">
      <c r="GI7356" s="422"/>
    </row>
    <row r="7357" spans="191:191" x14ac:dyDescent="0.2">
      <c r="GI7357" s="422"/>
    </row>
    <row r="7358" spans="191:191" x14ac:dyDescent="0.2">
      <c r="GI7358" s="422"/>
    </row>
    <row r="7359" spans="191:191" x14ac:dyDescent="0.2">
      <c r="GI7359" s="422"/>
    </row>
    <row r="7360" spans="191:191" x14ac:dyDescent="0.2">
      <c r="GI7360" s="422"/>
    </row>
    <row r="7361" spans="191:191" x14ac:dyDescent="0.2">
      <c r="GI7361" s="422"/>
    </row>
    <row r="7362" spans="191:191" x14ac:dyDescent="0.2">
      <c r="GI7362" s="422"/>
    </row>
    <row r="7363" spans="191:191" x14ac:dyDescent="0.2">
      <c r="GI7363" s="422"/>
    </row>
    <row r="7364" spans="191:191" x14ac:dyDescent="0.2">
      <c r="GI7364" s="422"/>
    </row>
    <row r="7365" spans="191:191" x14ac:dyDescent="0.2">
      <c r="GI7365" s="422"/>
    </row>
    <row r="7366" spans="191:191" x14ac:dyDescent="0.2">
      <c r="GI7366" s="422"/>
    </row>
    <row r="7367" spans="191:191" x14ac:dyDescent="0.2">
      <c r="GI7367" s="422"/>
    </row>
    <row r="7368" spans="191:191" x14ac:dyDescent="0.2">
      <c r="GI7368" s="422"/>
    </row>
    <row r="7369" spans="191:191" x14ac:dyDescent="0.2">
      <c r="GI7369" s="422"/>
    </row>
    <row r="7370" spans="191:191" x14ac:dyDescent="0.2">
      <c r="GI7370" s="422"/>
    </row>
    <row r="7371" spans="191:191" x14ac:dyDescent="0.2">
      <c r="GI7371" s="422"/>
    </row>
    <row r="7372" spans="191:191" x14ac:dyDescent="0.2">
      <c r="GI7372" s="422"/>
    </row>
    <row r="7373" spans="191:191" x14ac:dyDescent="0.2">
      <c r="GI7373" s="422"/>
    </row>
    <row r="7374" spans="191:191" x14ac:dyDescent="0.2">
      <c r="GI7374" s="422"/>
    </row>
    <row r="7375" spans="191:191" x14ac:dyDescent="0.2">
      <c r="GI7375" s="422"/>
    </row>
    <row r="7376" spans="191:191" x14ac:dyDescent="0.2">
      <c r="GI7376" s="422"/>
    </row>
    <row r="7377" spans="191:191" x14ac:dyDescent="0.2">
      <c r="GI7377" s="422"/>
    </row>
    <row r="7378" spans="191:191" x14ac:dyDescent="0.2">
      <c r="GI7378" s="422"/>
    </row>
    <row r="7379" spans="191:191" x14ac:dyDescent="0.2">
      <c r="GI7379" s="422"/>
    </row>
    <row r="7380" spans="191:191" x14ac:dyDescent="0.2">
      <c r="GI7380" s="422"/>
    </row>
    <row r="7381" spans="191:191" x14ac:dyDescent="0.2">
      <c r="GI7381" s="422"/>
    </row>
    <row r="7382" spans="191:191" x14ac:dyDescent="0.2">
      <c r="GI7382" s="422"/>
    </row>
    <row r="7383" spans="191:191" x14ac:dyDescent="0.2">
      <c r="GI7383" s="422"/>
    </row>
    <row r="7384" spans="191:191" x14ac:dyDescent="0.2">
      <c r="GI7384" s="422"/>
    </row>
    <row r="7385" spans="191:191" x14ac:dyDescent="0.2">
      <c r="GI7385" s="422"/>
    </row>
    <row r="7386" spans="191:191" x14ac:dyDescent="0.2">
      <c r="GI7386" s="422"/>
    </row>
    <row r="7387" spans="191:191" x14ac:dyDescent="0.2">
      <c r="GI7387" s="422"/>
    </row>
    <row r="7388" spans="191:191" x14ac:dyDescent="0.2">
      <c r="GI7388" s="422"/>
    </row>
    <row r="7389" spans="191:191" x14ac:dyDescent="0.2">
      <c r="GI7389" s="422"/>
    </row>
    <row r="7390" spans="191:191" x14ac:dyDescent="0.2">
      <c r="GI7390" s="422"/>
    </row>
    <row r="7391" spans="191:191" x14ac:dyDescent="0.2">
      <c r="GI7391" s="422"/>
    </row>
    <row r="7392" spans="191:191" x14ac:dyDescent="0.2">
      <c r="GI7392" s="422"/>
    </row>
    <row r="7393" spans="191:191" x14ac:dyDescent="0.2">
      <c r="GI7393" s="422"/>
    </row>
    <row r="7394" spans="191:191" x14ac:dyDescent="0.2">
      <c r="GI7394" s="422"/>
    </row>
    <row r="7395" spans="191:191" x14ac:dyDescent="0.2">
      <c r="GI7395" s="422"/>
    </row>
    <row r="7396" spans="191:191" x14ac:dyDescent="0.2">
      <c r="GI7396" s="422"/>
    </row>
    <row r="7397" spans="191:191" x14ac:dyDescent="0.2">
      <c r="GI7397" s="422"/>
    </row>
    <row r="7398" spans="191:191" x14ac:dyDescent="0.2">
      <c r="GI7398" s="422"/>
    </row>
    <row r="7399" spans="191:191" x14ac:dyDescent="0.2">
      <c r="GI7399" s="422"/>
    </row>
    <row r="7400" spans="191:191" x14ac:dyDescent="0.2">
      <c r="GI7400" s="422"/>
    </row>
    <row r="7401" spans="191:191" x14ac:dyDescent="0.2">
      <c r="GI7401" s="422"/>
    </row>
    <row r="7402" spans="191:191" x14ac:dyDescent="0.2">
      <c r="GI7402" s="422"/>
    </row>
    <row r="7403" spans="191:191" x14ac:dyDescent="0.2">
      <c r="GI7403" s="422"/>
    </row>
    <row r="7404" spans="191:191" x14ac:dyDescent="0.2">
      <c r="GI7404" s="422"/>
    </row>
    <row r="7405" spans="191:191" x14ac:dyDescent="0.2">
      <c r="GI7405" s="422"/>
    </row>
    <row r="7406" spans="191:191" x14ac:dyDescent="0.2">
      <c r="GI7406" s="422"/>
    </row>
    <row r="7407" spans="191:191" x14ac:dyDescent="0.2">
      <c r="GI7407" s="422"/>
    </row>
    <row r="7408" spans="191:191" x14ac:dyDescent="0.2">
      <c r="GI7408" s="422"/>
    </row>
    <row r="7409" spans="191:191" x14ac:dyDescent="0.2">
      <c r="GI7409" s="422"/>
    </row>
    <row r="7410" spans="191:191" x14ac:dyDescent="0.2">
      <c r="GI7410" s="422"/>
    </row>
    <row r="7411" spans="191:191" x14ac:dyDescent="0.2">
      <c r="GI7411" s="422"/>
    </row>
    <row r="7412" spans="191:191" x14ac:dyDescent="0.2">
      <c r="GI7412" s="422"/>
    </row>
    <row r="7413" spans="191:191" x14ac:dyDescent="0.2">
      <c r="GI7413" s="422"/>
    </row>
    <row r="7414" spans="191:191" x14ac:dyDescent="0.2">
      <c r="GI7414" s="422"/>
    </row>
    <row r="7415" spans="191:191" x14ac:dyDescent="0.2">
      <c r="GI7415" s="422"/>
    </row>
    <row r="7416" spans="191:191" x14ac:dyDescent="0.2">
      <c r="GI7416" s="422"/>
    </row>
    <row r="7417" spans="191:191" x14ac:dyDescent="0.2">
      <c r="GI7417" s="422"/>
    </row>
    <row r="7418" spans="191:191" x14ac:dyDescent="0.2">
      <c r="GI7418" s="422"/>
    </row>
    <row r="7419" spans="191:191" x14ac:dyDescent="0.2">
      <c r="GI7419" s="422"/>
    </row>
    <row r="7420" spans="191:191" x14ac:dyDescent="0.2">
      <c r="GI7420" s="422"/>
    </row>
    <row r="7421" spans="191:191" x14ac:dyDescent="0.2">
      <c r="GI7421" s="422"/>
    </row>
    <row r="7422" spans="191:191" x14ac:dyDescent="0.2">
      <c r="GI7422" s="422"/>
    </row>
    <row r="7423" spans="191:191" x14ac:dyDescent="0.2">
      <c r="GI7423" s="422"/>
    </row>
    <row r="7424" spans="191:191" x14ac:dyDescent="0.2">
      <c r="GI7424" s="422"/>
    </row>
    <row r="7425" spans="191:191" x14ac:dyDescent="0.2">
      <c r="GI7425" s="422"/>
    </row>
    <row r="7426" spans="191:191" x14ac:dyDescent="0.2">
      <c r="GI7426" s="422"/>
    </row>
    <row r="7427" spans="191:191" x14ac:dyDescent="0.2">
      <c r="GI7427" s="422"/>
    </row>
    <row r="7428" spans="191:191" x14ac:dyDescent="0.2">
      <c r="GI7428" s="422"/>
    </row>
    <row r="7429" spans="191:191" x14ac:dyDescent="0.2">
      <c r="GI7429" s="422"/>
    </row>
    <row r="7430" spans="191:191" x14ac:dyDescent="0.2">
      <c r="GI7430" s="422"/>
    </row>
    <row r="7431" spans="191:191" x14ac:dyDescent="0.2">
      <c r="GI7431" s="422"/>
    </row>
    <row r="7432" spans="191:191" x14ac:dyDescent="0.2">
      <c r="GI7432" s="422"/>
    </row>
    <row r="7433" spans="191:191" x14ac:dyDescent="0.2">
      <c r="GI7433" s="422"/>
    </row>
    <row r="7434" spans="191:191" x14ac:dyDescent="0.2">
      <c r="GI7434" s="422"/>
    </row>
    <row r="7435" spans="191:191" x14ac:dyDescent="0.2">
      <c r="GI7435" s="422"/>
    </row>
    <row r="7436" spans="191:191" x14ac:dyDescent="0.2">
      <c r="GI7436" s="422"/>
    </row>
    <row r="7437" spans="191:191" x14ac:dyDescent="0.2">
      <c r="GI7437" s="422"/>
    </row>
    <row r="7438" spans="191:191" x14ac:dyDescent="0.2">
      <c r="GI7438" s="422"/>
    </row>
    <row r="7439" spans="191:191" x14ac:dyDescent="0.2">
      <c r="GI7439" s="422"/>
    </row>
    <row r="7440" spans="191:191" x14ac:dyDescent="0.2">
      <c r="GI7440" s="422"/>
    </row>
    <row r="7441" spans="191:191" x14ac:dyDescent="0.2">
      <c r="GI7441" s="422"/>
    </row>
    <row r="7442" spans="191:191" x14ac:dyDescent="0.2">
      <c r="GI7442" s="422"/>
    </row>
    <row r="7443" spans="191:191" x14ac:dyDescent="0.2">
      <c r="GI7443" s="422"/>
    </row>
    <row r="7444" spans="191:191" x14ac:dyDescent="0.2">
      <c r="GI7444" s="422"/>
    </row>
    <row r="7445" spans="191:191" x14ac:dyDescent="0.2">
      <c r="GI7445" s="422"/>
    </row>
    <row r="7446" spans="191:191" x14ac:dyDescent="0.2">
      <c r="GI7446" s="422"/>
    </row>
    <row r="7447" spans="191:191" x14ac:dyDescent="0.2">
      <c r="GI7447" s="422"/>
    </row>
    <row r="7448" spans="191:191" x14ac:dyDescent="0.2">
      <c r="GI7448" s="422"/>
    </row>
    <row r="7449" spans="191:191" x14ac:dyDescent="0.2">
      <c r="GI7449" s="422"/>
    </row>
    <row r="7450" spans="191:191" x14ac:dyDescent="0.2">
      <c r="GI7450" s="422"/>
    </row>
    <row r="7451" spans="191:191" x14ac:dyDescent="0.2">
      <c r="GI7451" s="422"/>
    </row>
    <row r="7452" spans="191:191" x14ac:dyDescent="0.2">
      <c r="GI7452" s="422"/>
    </row>
    <row r="7453" spans="191:191" x14ac:dyDescent="0.2">
      <c r="GI7453" s="422"/>
    </row>
    <row r="7454" spans="191:191" x14ac:dyDescent="0.2">
      <c r="GI7454" s="422"/>
    </row>
    <row r="7455" spans="191:191" x14ac:dyDescent="0.2">
      <c r="GI7455" s="422"/>
    </row>
    <row r="7456" spans="191:191" x14ac:dyDescent="0.2">
      <c r="GI7456" s="422"/>
    </row>
    <row r="7457" spans="191:191" x14ac:dyDescent="0.2">
      <c r="GI7457" s="422"/>
    </row>
    <row r="7458" spans="191:191" x14ac:dyDescent="0.2">
      <c r="GI7458" s="422"/>
    </row>
    <row r="7459" spans="191:191" x14ac:dyDescent="0.2">
      <c r="GI7459" s="422"/>
    </row>
    <row r="7460" spans="191:191" x14ac:dyDescent="0.2">
      <c r="GI7460" s="422"/>
    </row>
    <row r="7461" spans="191:191" x14ac:dyDescent="0.2">
      <c r="GI7461" s="422"/>
    </row>
    <row r="7462" spans="191:191" x14ac:dyDescent="0.2">
      <c r="GI7462" s="422"/>
    </row>
    <row r="7463" spans="191:191" x14ac:dyDescent="0.2">
      <c r="GI7463" s="422"/>
    </row>
    <row r="7464" spans="191:191" x14ac:dyDescent="0.2">
      <c r="GI7464" s="422"/>
    </row>
    <row r="7465" spans="191:191" x14ac:dyDescent="0.2">
      <c r="GI7465" s="422"/>
    </row>
    <row r="7466" spans="191:191" x14ac:dyDescent="0.2">
      <c r="GI7466" s="422"/>
    </row>
    <row r="7467" spans="191:191" x14ac:dyDescent="0.2">
      <c r="GI7467" s="422"/>
    </row>
    <row r="7468" spans="191:191" x14ac:dyDescent="0.2">
      <c r="GI7468" s="422"/>
    </row>
    <row r="7469" spans="191:191" x14ac:dyDescent="0.2">
      <c r="GI7469" s="422"/>
    </row>
    <row r="7470" spans="191:191" x14ac:dyDescent="0.2">
      <c r="GI7470" s="422"/>
    </row>
    <row r="7471" spans="191:191" x14ac:dyDescent="0.2">
      <c r="GI7471" s="422"/>
    </row>
    <row r="7472" spans="191:191" x14ac:dyDescent="0.2">
      <c r="GI7472" s="422"/>
    </row>
    <row r="7473" spans="191:191" x14ac:dyDescent="0.2">
      <c r="GI7473" s="422"/>
    </row>
    <row r="7474" spans="191:191" x14ac:dyDescent="0.2">
      <c r="GI7474" s="422"/>
    </row>
    <row r="7475" spans="191:191" x14ac:dyDescent="0.2">
      <c r="GI7475" s="422"/>
    </row>
    <row r="7476" spans="191:191" x14ac:dyDescent="0.2">
      <c r="GI7476" s="422"/>
    </row>
    <row r="7477" spans="191:191" x14ac:dyDescent="0.2">
      <c r="GI7477" s="422"/>
    </row>
    <row r="7478" spans="191:191" x14ac:dyDescent="0.2">
      <c r="GI7478" s="422"/>
    </row>
    <row r="7479" spans="191:191" x14ac:dyDescent="0.2">
      <c r="GI7479" s="422"/>
    </row>
    <row r="7480" spans="191:191" x14ac:dyDescent="0.2">
      <c r="GI7480" s="422"/>
    </row>
    <row r="7481" spans="191:191" x14ac:dyDescent="0.2">
      <c r="GI7481" s="422"/>
    </row>
    <row r="7482" spans="191:191" x14ac:dyDescent="0.2">
      <c r="GI7482" s="422"/>
    </row>
    <row r="7483" spans="191:191" x14ac:dyDescent="0.2">
      <c r="GI7483" s="422"/>
    </row>
    <row r="7484" spans="191:191" x14ac:dyDescent="0.2">
      <c r="GI7484" s="422"/>
    </row>
    <row r="7485" spans="191:191" x14ac:dyDescent="0.2">
      <c r="GI7485" s="422"/>
    </row>
    <row r="7486" spans="191:191" x14ac:dyDescent="0.2">
      <c r="GI7486" s="422"/>
    </row>
    <row r="7487" spans="191:191" x14ac:dyDescent="0.2">
      <c r="GI7487" s="422"/>
    </row>
    <row r="7488" spans="191:191" x14ac:dyDescent="0.2">
      <c r="GI7488" s="422"/>
    </row>
    <row r="7489" spans="191:191" x14ac:dyDescent="0.2">
      <c r="GI7489" s="422"/>
    </row>
    <row r="7490" spans="191:191" x14ac:dyDescent="0.2">
      <c r="GI7490" s="422"/>
    </row>
    <row r="7491" spans="191:191" x14ac:dyDescent="0.2">
      <c r="GI7491" s="422"/>
    </row>
    <row r="7492" spans="191:191" x14ac:dyDescent="0.2">
      <c r="GI7492" s="422"/>
    </row>
    <row r="7493" spans="191:191" x14ac:dyDescent="0.2">
      <c r="GI7493" s="422"/>
    </row>
    <row r="7494" spans="191:191" x14ac:dyDescent="0.2">
      <c r="GI7494" s="422"/>
    </row>
    <row r="7495" spans="191:191" x14ac:dyDescent="0.2">
      <c r="GI7495" s="422"/>
    </row>
    <row r="7496" spans="191:191" x14ac:dyDescent="0.2">
      <c r="GI7496" s="422"/>
    </row>
    <row r="7497" spans="191:191" x14ac:dyDescent="0.2">
      <c r="GI7497" s="422"/>
    </row>
    <row r="7498" spans="191:191" x14ac:dyDescent="0.2">
      <c r="GI7498" s="422"/>
    </row>
    <row r="7499" spans="191:191" x14ac:dyDescent="0.2">
      <c r="GI7499" s="422"/>
    </row>
    <row r="7500" spans="191:191" x14ac:dyDescent="0.2">
      <c r="GI7500" s="422"/>
    </row>
    <row r="7501" spans="191:191" x14ac:dyDescent="0.2">
      <c r="GI7501" s="422"/>
    </row>
    <row r="7502" spans="191:191" x14ac:dyDescent="0.2">
      <c r="GI7502" s="422"/>
    </row>
    <row r="7503" spans="191:191" x14ac:dyDescent="0.2">
      <c r="GI7503" s="422"/>
    </row>
    <row r="7504" spans="191:191" x14ac:dyDescent="0.2">
      <c r="GI7504" s="422"/>
    </row>
    <row r="7505" spans="191:191" x14ac:dyDescent="0.2">
      <c r="GI7505" s="422"/>
    </row>
    <row r="7506" spans="191:191" x14ac:dyDescent="0.2">
      <c r="GI7506" s="422"/>
    </row>
    <row r="7507" spans="191:191" x14ac:dyDescent="0.2">
      <c r="GI7507" s="422"/>
    </row>
    <row r="7508" spans="191:191" x14ac:dyDescent="0.2">
      <c r="GI7508" s="422"/>
    </row>
    <row r="7509" spans="191:191" x14ac:dyDescent="0.2">
      <c r="GI7509" s="422"/>
    </row>
    <row r="7510" spans="191:191" x14ac:dyDescent="0.2">
      <c r="GI7510" s="422"/>
    </row>
    <row r="7511" spans="191:191" x14ac:dyDescent="0.2">
      <c r="GI7511" s="422"/>
    </row>
    <row r="7512" spans="191:191" x14ac:dyDescent="0.2">
      <c r="GI7512" s="422"/>
    </row>
    <row r="7513" spans="191:191" x14ac:dyDescent="0.2">
      <c r="GI7513" s="422"/>
    </row>
    <row r="7514" spans="191:191" x14ac:dyDescent="0.2">
      <c r="GI7514" s="422"/>
    </row>
    <row r="7515" spans="191:191" x14ac:dyDescent="0.2">
      <c r="GI7515" s="422"/>
    </row>
    <row r="7516" spans="191:191" x14ac:dyDescent="0.2">
      <c r="GI7516" s="422"/>
    </row>
    <row r="7517" spans="191:191" x14ac:dyDescent="0.2">
      <c r="GI7517" s="422"/>
    </row>
    <row r="7518" spans="191:191" x14ac:dyDescent="0.2">
      <c r="GI7518" s="422"/>
    </row>
    <row r="7519" spans="191:191" x14ac:dyDescent="0.2">
      <c r="GI7519" s="422"/>
    </row>
    <row r="7520" spans="191:191" x14ac:dyDescent="0.2">
      <c r="GI7520" s="422"/>
    </row>
    <row r="7521" spans="191:191" x14ac:dyDescent="0.2">
      <c r="GI7521" s="422"/>
    </row>
    <row r="7522" spans="191:191" x14ac:dyDescent="0.2">
      <c r="GI7522" s="422"/>
    </row>
    <row r="7523" spans="191:191" x14ac:dyDescent="0.2">
      <c r="GI7523" s="422"/>
    </row>
    <row r="7524" spans="191:191" x14ac:dyDescent="0.2">
      <c r="GI7524" s="422"/>
    </row>
    <row r="7525" spans="191:191" x14ac:dyDescent="0.2">
      <c r="GI7525" s="422"/>
    </row>
    <row r="7526" spans="191:191" x14ac:dyDescent="0.2">
      <c r="GI7526" s="422"/>
    </row>
    <row r="7527" spans="191:191" x14ac:dyDescent="0.2">
      <c r="GI7527" s="422"/>
    </row>
    <row r="7528" spans="191:191" x14ac:dyDescent="0.2">
      <c r="GI7528" s="422"/>
    </row>
    <row r="7529" spans="191:191" x14ac:dyDescent="0.2">
      <c r="GI7529" s="422"/>
    </row>
    <row r="7530" spans="191:191" x14ac:dyDescent="0.2">
      <c r="GI7530" s="422"/>
    </row>
    <row r="7531" spans="191:191" x14ac:dyDescent="0.2">
      <c r="GI7531" s="422"/>
    </row>
    <row r="7532" spans="191:191" x14ac:dyDescent="0.2">
      <c r="GI7532" s="422"/>
    </row>
    <row r="7533" spans="191:191" x14ac:dyDescent="0.2">
      <c r="GI7533" s="422"/>
    </row>
    <row r="7534" spans="191:191" x14ac:dyDescent="0.2">
      <c r="GI7534" s="422"/>
    </row>
    <row r="7535" spans="191:191" x14ac:dyDescent="0.2">
      <c r="GI7535" s="422"/>
    </row>
    <row r="7536" spans="191:191" x14ac:dyDescent="0.2">
      <c r="GI7536" s="422"/>
    </row>
    <row r="7537" spans="191:191" x14ac:dyDescent="0.2">
      <c r="GI7537" s="422"/>
    </row>
    <row r="7538" spans="191:191" x14ac:dyDescent="0.2">
      <c r="GI7538" s="422"/>
    </row>
    <row r="7539" spans="191:191" x14ac:dyDescent="0.2">
      <c r="GI7539" s="422"/>
    </row>
    <row r="7540" spans="191:191" x14ac:dyDescent="0.2">
      <c r="GI7540" s="422"/>
    </row>
    <row r="7541" spans="191:191" x14ac:dyDescent="0.2">
      <c r="GI7541" s="422"/>
    </row>
    <row r="7542" spans="191:191" x14ac:dyDescent="0.2">
      <c r="GI7542" s="422"/>
    </row>
    <row r="7543" spans="191:191" x14ac:dyDescent="0.2">
      <c r="GI7543" s="422"/>
    </row>
    <row r="7544" spans="191:191" x14ac:dyDescent="0.2">
      <c r="GI7544" s="422"/>
    </row>
    <row r="7545" spans="191:191" x14ac:dyDescent="0.2">
      <c r="GI7545" s="422"/>
    </row>
    <row r="7546" spans="191:191" x14ac:dyDescent="0.2">
      <c r="GI7546" s="422"/>
    </row>
    <row r="7547" spans="191:191" x14ac:dyDescent="0.2">
      <c r="GI7547" s="422"/>
    </row>
    <row r="7548" spans="191:191" x14ac:dyDescent="0.2">
      <c r="GI7548" s="422"/>
    </row>
    <row r="7549" spans="191:191" x14ac:dyDescent="0.2">
      <c r="GI7549" s="422"/>
    </row>
    <row r="7550" spans="191:191" x14ac:dyDescent="0.2">
      <c r="GI7550" s="422"/>
    </row>
    <row r="7551" spans="191:191" x14ac:dyDescent="0.2">
      <c r="GI7551" s="422"/>
    </row>
    <row r="7552" spans="191:191" x14ac:dyDescent="0.2">
      <c r="GI7552" s="422"/>
    </row>
    <row r="7553" spans="191:191" x14ac:dyDescent="0.2">
      <c r="GI7553" s="422"/>
    </row>
    <row r="7554" spans="191:191" x14ac:dyDescent="0.2">
      <c r="GI7554" s="422"/>
    </row>
    <row r="7555" spans="191:191" x14ac:dyDescent="0.2">
      <c r="GI7555" s="422"/>
    </row>
    <row r="7556" spans="191:191" x14ac:dyDescent="0.2">
      <c r="GI7556" s="422"/>
    </row>
    <row r="7557" spans="191:191" x14ac:dyDescent="0.2">
      <c r="GI7557" s="422"/>
    </row>
    <row r="7558" spans="191:191" x14ac:dyDescent="0.2">
      <c r="GI7558" s="422"/>
    </row>
    <row r="7559" spans="191:191" x14ac:dyDescent="0.2">
      <c r="GI7559" s="422"/>
    </row>
    <row r="7560" spans="191:191" x14ac:dyDescent="0.2">
      <c r="GI7560" s="422"/>
    </row>
    <row r="7561" spans="191:191" x14ac:dyDescent="0.2">
      <c r="GI7561" s="422"/>
    </row>
    <row r="7562" spans="191:191" x14ac:dyDescent="0.2">
      <c r="GI7562" s="422"/>
    </row>
    <row r="7563" spans="191:191" x14ac:dyDescent="0.2">
      <c r="GI7563" s="422"/>
    </row>
    <row r="7564" spans="191:191" x14ac:dyDescent="0.2">
      <c r="GI7564" s="422"/>
    </row>
    <row r="7565" spans="191:191" x14ac:dyDescent="0.2">
      <c r="GI7565" s="422"/>
    </row>
    <row r="7566" spans="191:191" x14ac:dyDescent="0.2">
      <c r="GI7566" s="422"/>
    </row>
    <row r="7567" spans="191:191" x14ac:dyDescent="0.2">
      <c r="GI7567" s="422"/>
    </row>
    <row r="7568" spans="191:191" x14ac:dyDescent="0.2">
      <c r="GI7568" s="422"/>
    </row>
    <row r="7569" spans="191:191" x14ac:dyDescent="0.2">
      <c r="GI7569" s="422"/>
    </row>
    <row r="7570" spans="191:191" x14ac:dyDescent="0.2">
      <c r="GI7570" s="422"/>
    </row>
    <row r="7571" spans="191:191" x14ac:dyDescent="0.2">
      <c r="GI7571" s="422"/>
    </row>
    <row r="7572" spans="191:191" x14ac:dyDescent="0.2">
      <c r="GI7572" s="422"/>
    </row>
    <row r="7573" spans="191:191" x14ac:dyDescent="0.2">
      <c r="GI7573" s="422"/>
    </row>
    <row r="7574" spans="191:191" x14ac:dyDescent="0.2">
      <c r="GI7574" s="422"/>
    </row>
    <row r="7575" spans="191:191" x14ac:dyDescent="0.2">
      <c r="GI7575" s="422"/>
    </row>
    <row r="7576" spans="191:191" x14ac:dyDescent="0.2">
      <c r="GI7576" s="422"/>
    </row>
    <row r="7577" spans="191:191" x14ac:dyDescent="0.2">
      <c r="GI7577" s="422"/>
    </row>
    <row r="7578" spans="191:191" x14ac:dyDescent="0.2">
      <c r="GI7578" s="422"/>
    </row>
    <row r="7579" spans="191:191" x14ac:dyDescent="0.2">
      <c r="GI7579" s="422"/>
    </row>
    <row r="7580" spans="191:191" x14ac:dyDescent="0.2">
      <c r="GI7580" s="422"/>
    </row>
    <row r="7581" spans="191:191" x14ac:dyDescent="0.2">
      <c r="GI7581" s="422"/>
    </row>
    <row r="7582" spans="191:191" x14ac:dyDescent="0.2">
      <c r="GI7582" s="422"/>
    </row>
    <row r="7583" spans="191:191" x14ac:dyDescent="0.2">
      <c r="GI7583" s="422"/>
    </row>
    <row r="7584" spans="191:191" x14ac:dyDescent="0.2">
      <c r="GI7584" s="422"/>
    </row>
    <row r="7585" spans="191:191" x14ac:dyDescent="0.2">
      <c r="GI7585" s="422"/>
    </row>
    <row r="7586" spans="191:191" x14ac:dyDescent="0.2">
      <c r="GI7586" s="422"/>
    </row>
    <row r="7587" spans="191:191" x14ac:dyDescent="0.2">
      <c r="GI7587" s="422"/>
    </row>
    <row r="7588" spans="191:191" x14ac:dyDescent="0.2">
      <c r="GI7588" s="422"/>
    </row>
    <row r="7589" spans="191:191" x14ac:dyDescent="0.2">
      <c r="GI7589" s="422"/>
    </row>
    <row r="7590" spans="191:191" x14ac:dyDescent="0.2">
      <c r="GI7590" s="422"/>
    </row>
    <row r="7591" spans="191:191" x14ac:dyDescent="0.2">
      <c r="GI7591" s="422"/>
    </row>
    <row r="7592" spans="191:191" x14ac:dyDescent="0.2">
      <c r="GI7592" s="422"/>
    </row>
    <row r="7593" spans="191:191" x14ac:dyDescent="0.2">
      <c r="GI7593" s="422"/>
    </row>
    <row r="7594" spans="191:191" x14ac:dyDescent="0.2">
      <c r="GI7594" s="422"/>
    </row>
    <row r="7595" spans="191:191" x14ac:dyDescent="0.2">
      <c r="GI7595" s="422"/>
    </row>
    <row r="7596" spans="191:191" x14ac:dyDescent="0.2">
      <c r="GI7596" s="422"/>
    </row>
    <row r="7597" spans="191:191" x14ac:dyDescent="0.2">
      <c r="GI7597" s="422"/>
    </row>
    <row r="7598" spans="191:191" x14ac:dyDescent="0.2">
      <c r="GI7598" s="422"/>
    </row>
    <row r="7599" spans="191:191" x14ac:dyDescent="0.2">
      <c r="GI7599" s="422"/>
    </row>
    <row r="7600" spans="191:191" x14ac:dyDescent="0.2">
      <c r="GI7600" s="422"/>
    </row>
    <row r="7601" spans="191:191" x14ac:dyDescent="0.2">
      <c r="GI7601" s="422"/>
    </row>
    <row r="7602" spans="191:191" x14ac:dyDescent="0.2">
      <c r="GI7602" s="422"/>
    </row>
    <row r="7603" spans="191:191" x14ac:dyDescent="0.2">
      <c r="GI7603" s="422"/>
    </row>
    <row r="7604" spans="191:191" x14ac:dyDescent="0.2">
      <c r="GI7604" s="422"/>
    </row>
    <row r="7605" spans="191:191" x14ac:dyDescent="0.2">
      <c r="GI7605" s="422"/>
    </row>
    <row r="7606" spans="191:191" x14ac:dyDescent="0.2">
      <c r="GI7606" s="422"/>
    </row>
    <row r="7607" spans="191:191" x14ac:dyDescent="0.2">
      <c r="GI7607" s="422"/>
    </row>
    <row r="7608" spans="191:191" x14ac:dyDescent="0.2">
      <c r="GI7608" s="422"/>
    </row>
    <row r="7609" spans="191:191" x14ac:dyDescent="0.2">
      <c r="GI7609" s="422"/>
    </row>
    <row r="7610" spans="191:191" x14ac:dyDescent="0.2">
      <c r="GI7610" s="422"/>
    </row>
    <row r="7611" spans="191:191" x14ac:dyDescent="0.2">
      <c r="GI7611" s="422"/>
    </row>
    <row r="7612" spans="191:191" x14ac:dyDescent="0.2">
      <c r="GI7612" s="422"/>
    </row>
    <row r="7613" spans="191:191" x14ac:dyDescent="0.2">
      <c r="GI7613" s="422"/>
    </row>
    <row r="7614" spans="191:191" x14ac:dyDescent="0.2">
      <c r="GI7614" s="422"/>
    </row>
    <row r="7615" spans="191:191" x14ac:dyDescent="0.2">
      <c r="GI7615" s="422"/>
    </row>
    <row r="7616" spans="191:191" x14ac:dyDescent="0.2">
      <c r="GI7616" s="422"/>
    </row>
    <row r="7617" spans="191:191" x14ac:dyDescent="0.2">
      <c r="GI7617" s="422"/>
    </row>
    <row r="7618" spans="191:191" x14ac:dyDescent="0.2">
      <c r="GI7618" s="422"/>
    </row>
    <row r="7619" spans="191:191" x14ac:dyDescent="0.2">
      <c r="GI7619" s="422"/>
    </row>
    <row r="7620" spans="191:191" x14ac:dyDescent="0.2">
      <c r="GI7620" s="422"/>
    </row>
    <row r="7621" spans="191:191" x14ac:dyDescent="0.2">
      <c r="GI7621" s="422"/>
    </row>
    <row r="7622" spans="191:191" x14ac:dyDescent="0.2">
      <c r="GI7622" s="422"/>
    </row>
    <row r="7623" spans="191:191" x14ac:dyDescent="0.2">
      <c r="GI7623" s="422"/>
    </row>
    <row r="7624" spans="191:191" x14ac:dyDescent="0.2">
      <c r="GI7624" s="422"/>
    </row>
    <row r="7625" spans="191:191" x14ac:dyDescent="0.2">
      <c r="GI7625" s="422"/>
    </row>
    <row r="7626" spans="191:191" x14ac:dyDescent="0.2">
      <c r="GI7626" s="422"/>
    </row>
    <row r="7627" spans="191:191" x14ac:dyDescent="0.2">
      <c r="GI7627" s="422"/>
    </row>
    <row r="7628" spans="191:191" x14ac:dyDescent="0.2">
      <c r="GI7628" s="422"/>
    </row>
    <row r="7629" spans="191:191" x14ac:dyDescent="0.2">
      <c r="GI7629" s="422"/>
    </row>
    <row r="7630" spans="191:191" x14ac:dyDescent="0.2">
      <c r="GI7630" s="422"/>
    </row>
    <row r="7631" spans="191:191" x14ac:dyDescent="0.2">
      <c r="GI7631" s="422"/>
    </row>
    <row r="7632" spans="191:191" x14ac:dyDescent="0.2">
      <c r="GI7632" s="422"/>
    </row>
    <row r="7633" spans="191:191" x14ac:dyDescent="0.2">
      <c r="GI7633" s="422"/>
    </row>
    <row r="7634" spans="191:191" x14ac:dyDescent="0.2">
      <c r="GI7634" s="422"/>
    </row>
    <row r="7635" spans="191:191" x14ac:dyDescent="0.2">
      <c r="GI7635" s="422"/>
    </row>
    <row r="7636" spans="191:191" x14ac:dyDescent="0.2">
      <c r="GI7636" s="422"/>
    </row>
    <row r="7637" spans="191:191" x14ac:dyDescent="0.2">
      <c r="GI7637" s="422"/>
    </row>
    <row r="7638" spans="191:191" x14ac:dyDescent="0.2">
      <c r="GI7638" s="422"/>
    </row>
    <row r="7639" spans="191:191" x14ac:dyDescent="0.2">
      <c r="GI7639" s="422"/>
    </row>
    <row r="7640" spans="191:191" x14ac:dyDescent="0.2">
      <c r="GI7640" s="422"/>
    </row>
    <row r="7641" spans="191:191" x14ac:dyDescent="0.2">
      <c r="GI7641" s="422"/>
    </row>
    <row r="7642" spans="191:191" x14ac:dyDescent="0.2">
      <c r="GI7642" s="422"/>
    </row>
    <row r="7643" spans="191:191" x14ac:dyDescent="0.2">
      <c r="GI7643" s="422"/>
    </row>
    <row r="7644" spans="191:191" x14ac:dyDescent="0.2">
      <c r="GI7644" s="422"/>
    </row>
    <row r="7645" spans="191:191" x14ac:dyDescent="0.2">
      <c r="GI7645" s="422"/>
    </row>
    <row r="7646" spans="191:191" x14ac:dyDescent="0.2">
      <c r="GI7646" s="422"/>
    </row>
    <row r="7647" spans="191:191" x14ac:dyDescent="0.2">
      <c r="GI7647" s="422"/>
    </row>
    <row r="7648" spans="191:191" x14ac:dyDescent="0.2">
      <c r="GI7648" s="422"/>
    </row>
    <row r="7649" spans="191:191" x14ac:dyDescent="0.2">
      <c r="GI7649" s="422"/>
    </row>
    <row r="7650" spans="191:191" x14ac:dyDescent="0.2">
      <c r="GI7650" s="422"/>
    </row>
    <row r="7651" spans="191:191" x14ac:dyDescent="0.2">
      <c r="GI7651" s="422"/>
    </row>
    <row r="7652" spans="191:191" x14ac:dyDescent="0.2">
      <c r="GI7652" s="422"/>
    </row>
    <row r="7653" spans="191:191" x14ac:dyDescent="0.2">
      <c r="GI7653" s="422"/>
    </row>
    <row r="7654" spans="191:191" x14ac:dyDescent="0.2">
      <c r="GI7654" s="422"/>
    </row>
    <row r="7655" spans="191:191" x14ac:dyDescent="0.2">
      <c r="GI7655" s="422"/>
    </row>
    <row r="7656" spans="191:191" x14ac:dyDescent="0.2">
      <c r="GI7656" s="422"/>
    </row>
    <row r="7657" spans="191:191" x14ac:dyDescent="0.2">
      <c r="GI7657" s="422"/>
    </row>
    <row r="7658" spans="191:191" x14ac:dyDescent="0.2">
      <c r="GI7658" s="422"/>
    </row>
    <row r="7659" spans="191:191" x14ac:dyDescent="0.2">
      <c r="GI7659" s="422"/>
    </row>
    <row r="7660" spans="191:191" x14ac:dyDescent="0.2">
      <c r="GI7660" s="422"/>
    </row>
    <row r="7661" spans="191:191" x14ac:dyDescent="0.2">
      <c r="GI7661" s="422"/>
    </row>
    <row r="7662" spans="191:191" x14ac:dyDescent="0.2">
      <c r="GI7662" s="422"/>
    </row>
    <row r="7663" spans="191:191" x14ac:dyDescent="0.2">
      <c r="GI7663" s="422"/>
    </row>
    <row r="7664" spans="191:191" x14ac:dyDescent="0.2">
      <c r="GI7664" s="422"/>
    </row>
    <row r="7665" spans="191:191" x14ac:dyDescent="0.2">
      <c r="GI7665" s="422"/>
    </row>
    <row r="7666" spans="191:191" x14ac:dyDescent="0.2">
      <c r="GI7666" s="422"/>
    </row>
    <row r="7667" spans="191:191" x14ac:dyDescent="0.2">
      <c r="GI7667" s="422"/>
    </row>
    <row r="7668" spans="191:191" x14ac:dyDescent="0.2">
      <c r="GI7668" s="422"/>
    </row>
    <row r="7669" spans="191:191" x14ac:dyDescent="0.2">
      <c r="GI7669" s="422"/>
    </row>
    <row r="7670" spans="191:191" x14ac:dyDescent="0.2">
      <c r="GI7670" s="422"/>
    </row>
    <row r="7671" spans="191:191" x14ac:dyDescent="0.2">
      <c r="GI7671" s="422"/>
    </row>
    <row r="7672" spans="191:191" x14ac:dyDescent="0.2">
      <c r="GI7672" s="422"/>
    </row>
    <row r="7673" spans="191:191" x14ac:dyDescent="0.2">
      <c r="GI7673" s="422"/>
    </row>
    <row r="7674" spans="191:191" x14ac:dyDescent="0.2">
      <c r="GI7674" s="422"/>
    </row>
    <row r="7675" spans="191:191" x14ac:dyDescent="0.2">
      <c r="GI7675" s="422"/>
    </row>
    <row r="7676" spans="191:191" x14ac:dyDescent="0.2">
      <c r="GI7676" s="422"/>
    </row>
    <row r="7677" spans="191:191" x14ac:dyDescent="0.2">
      <c r="GI7677" s="422"/>
    </row>
    <row r="7678" spans="191:191" x14ac:dyDescent="0.2">
      <c r="GI7678" s="422"/>
    </row>
    <row r="7679" spans="191:191" x14ac:dyDescent="0.2">
      <c r="GI7679" s="422"/>
    </row>
    <row r="7680" spans="191:191" x14ac:dyDescent="0.2">
      <c r="GI7680" s="422"/>
    </row>
    <row r="7681" spans="191:191" x14ac:dyDescent="0.2">
      <c r="GI7681" s="422"/>
    </row>
    <row r="7682" spans="191:191" x14ac:dyDescent="0.2">
      <c r="GI7682" s="422"/>
    </row>
    <row r="7683" spans="191:191" x14ac:dyDescent="0.2">
      <c r="GI7683" s="422"/>
    </row>
    <row r="7684" spans="191:191" x14ac:dyDescent="0.2">
      <c r="GI7684" s="422"/>
    </row>
    <row r="7685" spans="191:191" x14ac:dyDescent="0.2">
      <c r="GI7685" s="422"/>
    </row>
    <row r="7686" spans="191:191" x14ac:dyDescent="0.2">
      <c r="GI7686" s="422"/>
    </row>
    <row r="7687" spans="191:191" x14ac:dyDescent="0.2">
      <c r="GI7687" s="422"/>
    </row>
    <row r="7688" spans="191:191" x14ac:dyDescent="0.2">
      <c r="GI7688" s="422"/>
    </row>
    <row r="7689" spans="191:191" x14ac:dyDescent="0.2">
      <c r="GI7689" s="422"/>
    </row>
    <row r="7690" spans="191:191" x14ac:dyDescent="0.2">
      <c r="GI7690" s="422"/>
    </row>
    <row r="7691" spans="191:191" x14ac:dyDescent="0.2">
      <c r="GI7691" s="422"/>
    </row>
    <row r="7692" spans="191:191" x14ac:dyDescent="0.2">
      <c r="GI7692" s="422"/>
    </row>
    <row r="7693" spans="191:191" x14ac:dyDescent="0.2">
      <c r="GI7693" s="422"/>
    </row>
    <row r="7694" spans="191:191" x14ac:dyDescent="0.2">
      <c r="GI7694" s="422"/>
    </row>
    <row r="7695" spans="191:191" x14ac:dyDescent="0.2">
      <c r="GI7695" s="422"/>
    </row>
    <row r="7696" spans="191:191" x14ac:dyDescent="0.2">
      <c r="GI7696" s="422"/>
    </row>
    <row r="7697" spans="191:191" x14ac:dyDescent="0.2">
      <c r="GI7697" s="422"/>
    </row>
    <row r="7698" spans="191:191" x14ac:dyDescent="0.2">
      <c r="GI7698" s="422"/>
    </row>
    <row r="7699" spans="191:191" x14ac:dyDescent="0.2">
      <c r="GI7699" s="422"/>
    </row>
    <row r="7700" spans="191:191" x14ac:dyDescent="0.2">
      <c r="GI7700" s="422"/>
    </row>
    <row r="7701" spans="191:191" x14ac:dyDescent="0.2">
      <c r="GI7701" s="422"/>
    </row>
    <row r="7702" spans="191:191" x14ac:dyDescent="0.2">
      <c r="GI7702" s="422"/>
    </row>
    <row r="7703" spans="191:191" x14ac:dyDescent="0.2">
      <c r="GI7703" s="422"/>
    </row>
    <row r="7704" spans="191:191" x14ac:dyDescent="0.2">
      <c r="GI7704" s="422"/>
    </row>
    <row r="7705" spans="191:191" x14ac:dyDescent="0.2">
      <c r="GI7705" s="422"/>
    </row>
    <row r="7706" spans="191:191" x14ac:dyDescent="0.2">
      <c r="GI7706" s="422"/>
    </row>
    <row r="7707" spans="191:191" x14ac:dyDescent="0.2">
      <c r="GI7707" s="422"/>
    </row>
    <row r="7708" spans="191:191" x14ac:dyDescent="0.2">
      <c r="GI7708" s="422"/>
    </row>
    <row r="7709" spans="191:191" x14ac:dyDescent="0.2">
      <c r="GI7709" s="422"/>
    </row>
    <row r="7710" spans="191:191" x14ac:dyDescent="0.2">
      <c r="GI7710" s="422"/>
    </row>
    <row r="7711" spans="191:191" x14ac:dyDescent="0.2">
      <c r="GI7711" s="422"/>
    </row>
    <row r="7712" spans="191:191" x14ac:dyDescent="0.2">
      <c r="GI7712" s="422"/>
    </row>
    <row r="7713" spans="191:191" x14ac:dyDescent="0.2">
      <c r="GI7713" s="422"/>
    </row>
    <row r="7714" spans="191:191" x14ac:dyDescent="0.2">
      <c r="GI7714" s="422"/>
    </row>
    <row r="7715" spans="191:191" x14ac:dyDescent="0.2">
      <c r="GI7715" s="422"/>
    </row>
    <row r="7716" spans="191:191" x14ac:dyDescent="0.2">
      <c r="GI7716" s="422"/>
    </row>
    <row r="7717" spans="191:191" x14ac:dyDescent="0.2">
      <c r="GI7717" s="422"/>
    </row>
    <row r="7718" spans="191:191" x14ac:dyDescent="0.2">
      <c r="GI7718" s="422"/>
    </row>
    <row r="7719" spans="191:191" x14ac:dyDescent="0.2">
      <c r="GI7719" s="422"/>
    </row>
    <row r="7720" spans="191:191" x14ac:dyDescent="0.2">
      <c r="GI7720" s="422"/>
    </row>
    <row r="7721" spans="191:191" x14ac:dyDescent="0.2">
      <c r="GI7721" s="422"/>
    </row>
    <row r="7722" spans="191:191" x14ac:dyDescent="0.2">
      <c r="GI7722" s="422"/>
    </row>
    <row r="7723" spans="191:191" x14ac:dyDescent="0.2">
      <c r="GI7723" s="422"/>
    </row>
    <row r="7724" spans="191:191" x14ac:dyDescent="0.2">
      <c r="GI7724" s="422"/>
    </row>
    <row r="7725" spans="191:191" x14ac:dyDescent="0.2">
      <c r="GI7725" s="422"/>
    </row>
    <row r="7726" spans="191:191" x14ac:dyDescent="0.2">
      <c r="GI7726" s="422"/>
    </row>
    <row r="7727" spans="191:191" x14ac:dyDescent="0.2">
      <c r="GI7727" s="422"/>
    </row>
    <row r="7728" spans="191:191" x14ac:dyDescent="0.2">
      <c r="GI7728" s="422"/>
    </row>
    <row r="7729" spans="191:191" x14ac:dyDescent="0.2">
      <c r="GI7729" s="422"/>
    </row>
    <row r="7730" spans="191:191" x14ac:dyDescent="0.2">
      <c r="GI7730" s="422"/>
    </row>
    <row r="7731" spans="191:191" x14ac:dyDescent="0.2">
      <c r="GI7731" s="422"/>
    </row>
    <row r="7732" spans="191:191" x14ac:dyDescent="0.2">
      <c r="GI7732" s="422"/>
    </row>
    <row r="7733" spans="191:191" x14ac:dyDescent="0.2">
      <c r="GI7733" s="422"/>
    </row>
    <row r="7734" spans="191:191" x14ac:dyDescent="0.2">
      <c r="GI7734" s="422"/>
    </row>
    <row r="7735" spans="191:191" x14ac:dyDescent="0.2">
      <c r="GI7735" s="422"/>
    </row>
    <row r="7736" spans="191:191" x14ac:dyDescent="0.2">
      <c r="GI7736" s="422"/>
    </row>
    <row r="7737" spans="191:191" x14ac:dyDescent="0.2">
      <c r="GI7737" s="422"/>
    </row>
    <row r="7738" spans="191:191" x14ac:dyDescent="0.2">
      <c r="GI7738" s="422"/>
    </row>
    <row r="7739" spans="191:191" x14ac:dyDescent="0.2">
      <c r="GI7739" s="422"/>
    </row>
    <row r="7740" spans="191:191" x14ac:dyDescent="0.2">
      <c r="GI7740" s="422"/>
    </row>
    <row r="7741" spans="191:191" x14ac:dyDescent="0.2">
      <c r="GI7741" s="422"/>
    </row>
    <row r="7742" spans="191:191" x14ac:dyDescent="0.2">
      <c r="GI7742" s="422"/>
    </row>
    <row r="7743" spans="191:191" x14ac:dyDescent="0.2">
      <c r="GI7743" s="422"/>
    </row>
    <row r="7744" spans="191:191" x14ac:dyDescent="0.2">
      <c r="GI7744" s="422"/>
    </row>
    <row r="7745" spans="191:191" x14ac:dyDescent="0.2">
      <c r="GI7745" s="422"/>
    </row>
    <row r="7746" spans="191:191" x14ac:dyDescent="0.2">
      <c r="GI7746" s="422"/>
    </row>
    <row r="7747" spans="191:191" x14ac:dyDescent="0.2">
      <c r="GI7747" s="422"/>
    </row>
    <row r="7748" spans="191:191" x14ac:dyDescent="0.2">
      <c r="GI7748" s="422"/>
    </row>
    <row r="7749" spans="191:191" x14ac:dyDescent="0.2">
      <c r="GI7749" s="422"/>
    </row>
    <row r="7750" spans="191:191" x14ac:dyDescent="0.2">
      <c r="GI7750" s="422"/>
    </row>
    <row r="7751" spans="191:191" x14ac:dyDescent="0.2">
      <c r="GI7751" s="422"/>
    </row>
    <row r="7752" spans="191:191" x14ac:dyDescent="0.2">
      <c r="GI7752" s="422"/>
    </row>
    <row r="7753" spans="191:191" x14ac:dyDescent="0.2">
      <c r="GI7753" s="422"/>
    </row>
    <row r="7754" spans="191:191" x14ac:dyDescent="0.2">
      <c r="GI7754" s="422"/>
    </row>
    <row r="7755" spans="191:191" x14ac:dyDescent="0.2">
      <c r="GI7755" s="422"/>
    </row>
    <row r="7756" spans="191:191" x14ac:dyDescent="0.2">
      <c r="GI7756" s="422"/>
    </row>
    <row r="7757" spans="191:191" x14ac:dyDescent="0.2">
      <c r="GI7757" s="422"/>
    </row>
    <row r="7758" spans="191:191" x14ac:dyDescent="0.2">
      <c r="GI7758" s="422"/>
    </row>
    <row r="7759" spans="191:191" x14ac:dyDescent="0.2">
      <c r="GI7759" s="422"/>
    </row>
    <row r="7760" spans="191:191" x14ac:dyDescent="0.2">
      <c r="GI7760" s="422"/>
    </row>
    <row r="7761" spans="191:191" x14ac:dyDescent="0.2">
      <c r="GI7761" s="422"/>
    </row>
    <row r="7762" spans="191:191" x14ac:dyDescent="0.2">
      <c r="GI7762" s="422"/>
    </row>
    <row r="7763" spans="191:191" x14ac:dyDescent="0.2">
      <c r="GI7763" s="422"/>
    </row>
    <row r="7764" spans="191:191" x14ac:dyDescent="0.2">
      <c r="GI7764" s="422"/>
    </row>
    <row r="7765" spans="191:191" x14ac:dyDescent="0.2">
      <c r="GI7765" s="422"/>
    </row>
    <row r="7766" spans="191:191" x14ac:dyDescent="0.2">
      <c r="GI7766" s="422"/>
    </row>
    <row r="7767" spans="191:191" x14ac:dyDescent="0.2">
      <c r="GI7767" s="422"/>
    </row>
    <row r="7768" spans="191:191" x14ac:dyDescent="0.2">
      <c r="GI7768" s="422"/>
    </row>
    <row r="7769" spans="191:191" x14ac:dyDescent="0.2">
      <c r="GI7769" s="422"/>
    </row>
    <row r="7770" spans="191:191" x14ac:dyDescent="0.2">
      <c r="GI7770" s="422"/>
    </row>
    <row r="7771" spans="191:191" x14ac:dyDescent="0.2">
      <c r="GI7771" s="422"/>
    </row>
    <row r="7772" spans="191:191" x14ac:dyDescent="0.2">
      <c r="GI7772" s="422"/>
    </row>
    <row r="7773" spans="191:191" x14ac:dyDescent="0.2">
      <c r="GI7773" s="422"/>
    </row>
    <row r="7774" spans="191:191" x14ac:dyDescent="0.2">
      <c r="GI7774" s="422"/>
    </row>
    <row r="7775" spans="191:191" x14ac:dyDescent="0.2">
      <c r="GI7775" s="422"/>
    </row>
    <row r="7776" spans="191:191" x14ac:dyDescent="0.2">
      <c r="GI7776" s="422"/>
    </row>
    <row r="7777" spans="191:191" x14ac:dyDescent="0.2">
      <c r="GI7777" s="422"/>
    </row>
    <row r="7778" spans="191:191" x14ac:dyDescent="0.2">
      <c r="GI7778" s="422"/>
    </row>
    <row r="7779" spans="191:191" x14ac:dyDescent="0.2">
      <c r="GI7779" s="422"/>
    </row>
    <row r="7780" spans="191:191" x14ac:dyDescent="0.2">
      <c r="GI7780" s="422"/>
    </row>
    <row r="7781" spans="191:191" x14ac:dyDescent="0.2">
      <c r="GI7781" s="422"/>
    </row>
    <row r="7782" spans="191:191" x14ac:dyDescent="0.2">
      <c r="GI7782" s="422"/>
    </row>
    <row r="7783" spans="191:191" x14ac:dyDescent="0.2">
      <c r="GI7783" s="422"/>
    </row>
    <row r="7784" spans="191:191" x14ac:dyDescent="0.2">
      <c r="GI7784" s="422"/>
    </row>
    <row r="7785" spans="191:191" x14ac:dyDescent="0.2">
      <c r="GI7785" s="422"/>
    </row>
    <row r="7786" spans="191:191" x14ac:dyDescent="0.2">
      <c r="GI7786" s="422"/>
    </row>
    <row r="7787" spans="191:191" x14ac:dyDescent="0.2">
      <c r="GI7787" s="422"/>
    </row>
    <row r="7788" spans="191:191" x14ac:dyDescent="0.2">
      <c r="GI7788" s="422"/>
    </row>
    <row r="7789" spans="191:191" x14ac:dyDescent="0.2">
      <c r="GI7789" s="422"/>
    </row>
    <row r="7790" spans="191:191" x14ac:dyDescent="0.2">
      <c r="GI7790" s="422"/>
    </row>
    <row r="7791" spans="191:191" x14ac:dyDescent="0.2">
      <c r="GI7791" s="422"/>
    </row>
    <row r="7792" spans="191:191" x14ac:dyDescent="0.2">
      <c r="GI7792" s="422"/>
    </row>
    <row r="7793" spans="191:191" x14ac:dyDescent="0.2">
      <c r="GI7793" s="422"/>
    </row>
    <row r="7794" spans="191:191" x14ac:dyDescent="0.2">
      <c r="GI7794" s="422"/>
    </row>
    <row r="7795" spans="191:191" x14ac:dyDescent="0.2">
      <c r="GI7795" s="422"/>
    </row>
    <row r="7796" spans="191:191" x14ac:dyDescent="0.2">
      <c r="GI7796" s="422"/>
    </row>
    <row r="7797" spans="191:191" x14ac:dyDescent="0.2">
      <c r="GI7797" s="422"/>
    </row>
    <row r="7798" spans="191:191" x14ac:dyDescent="0.2">
      <c r="GI7798" s="422"/>
    </row>
    <row r="7799" spans="191:191" x14ac:dyDescent="0.2">
      <c r="GI7799" s="422"/>
    </row>
    <row r="7800" spans="191:191" x14ac:dyDescent="0.2">
      <c r="GI7800" s="422"/>
    </row>
    <row r="7801" spans="191:191" x14ac:dyDescent="0.2">
      <c r="GI7801" s="422"/>
    </row>
    <row r="7802" spans="191:191" x14ac:dyDescent="0.2">
      <c r="GI7802" s="422"/>
    </row>
    <row r="7803" spans="191:191" x14ac:dyDescent="0.2">
      <c r="GI7803" s="422"/>
    </row>
    <row r="7804" spans="191:191" x14ac:dyDescent="0.2">
      <c r="GI7804" s="422"/>
    </row>
    <row r="7805" spans="191:191" x14ac:dyDescent="0.2">
      <c r="GI7805" s="422"/>
    </row>
    <row r="7806" spans="191:191" x14ac:dyDescent="0.2">
      <c r="GI7806" s="422"/>
    </row>
    <row r="7807" spans="191:191" x14ac:dyDescent="0.2">
      <c r="GI7807" s="422"/>
    </row>
    <row r="7808" spans="191:191" x14ac:dyDescent="0.2">
      <c r="GI7808" s="422"/>
    </row>
    <row r="7809" spans="191:191" x14ac:dyDescent="0.2">
      <c r="GI7809" s="422"/>
    </row>
    <row r="7810" spans="191:191" x14ac:dyDescent="0.2">
      <c r="GI7810" s="422"/>
    </row>
    <row r="7811" spans="191:191" x14ac:dyDescent="0.2">
      <c r="GI7811" s="422"/>
    </row>
    <row r="7812" spans="191:191" x14ac:dyDescent="0.2">
      <c r="GI7812" s="422"/>
    </row>
    <row r="7813" spans="191:191" x14ac:dyDescent="0.2">
      <c r="GI7813" s="422"/>
    </row>
    <row r="7814" spans="191:191" x14ac:dyDescent="0.2">
      <c r="GI7814" s="422"/>
    </row>
    <row r="7815" spans="191:191" x14ac:dyDescent="0.2">
      <c r="GI7815" s="422"/>
    </row>
    <row r="7816" spans="191:191" x14ac:dyDescent="0.2">
      <c r="GI7816" s="422"/>
    </row>
    <row r="7817" spans="191:191" x14ac:dyDescent="0.2">
      <c r="GI7817" s="422"/>
    </row>
    <row r="7818" spans="191:191" x14ac:dyDescent="0.2">
      <c r="GI7818" s="422"/>
    </row>
    <row r="7819" spans="191:191" x14ac:dyDescent="0.2">
      <c r="GI7819" s="422"/>
    </row>
    <row r="7820" spans="191:191" x14ac:dyDescent="0.2">
      <c r="GI7820" s="422"/>
    </row>
    <row r="7821" spans="191:191" x14ac:dyDescent="0.2">
      <c r="GI7821" s="422"/>
    </row>
    <row r="7822" spans="191:191" x14ac:dyDescent="0.2">
      <c r="GI7822" s="422"/>
    </row>
    <row r="7823" spans="191:191" x14ac:dyDescent="0.2">
      <c r="GI7823" s="422"/>
    </row>
    <row r="7824" spans="191:191" x14ac:dyDescent="0.2">
      <c r="GI7824" s="422"/>
    </row>
    <row r="7825" spans="191:191" x14ac:dyDescent="0.2">
      <c r="GI7825" s="422"/>
    </row>
    <row r="7826" spans="191:191" x14ac:dyDescent="0.2">
      <c r="GI7826" s="422"/>
    </row>
    <row r="7827" spans="191:191" x14ac:dyDescent="0.2">
      <c r="GI7827" s="422"/>
    </row>
    <row r="7828" spans="191:191" x14ac:dyDescent="0.2">
      <c r="GI7828" s="422"/>
    </row>
    <row r="7829" spans="191:191" x14ac:dyDescent="0.2">
      <c r="GI7829" s="422"/>
    </row>
    <row r="7830" spans="191:191" x14ac:dyDescent="0.2">
      <c r="GI7830" s="422"/>
    </row>
    <row r="7831" spans="191:191" x14ac:dyDescent="0.2">
      <c r="GI7831" s="422"/>
    </row>
    <row r="7832" spans="191:191" x14ac:dyDescent="0.2">
      <c r="GI7832" s="422"/>
    </row>
    <row r="7833" spans="191:191" x14ac:dyDescent="0.2">
      <c r="GI7833" s="422"/>
    </row>
    <row r="7834" spans="191:191" x14ac:dyDescent="0.2">
      <c r="GI7834" s="422"/>
    </row>
    <row r="7835" spans="191:191" x14ac:dyDescent="0.2">
      <c r="GI7835" s="422"/>
    </row>
    <row r="7836" spans="191:191" x14ac:dyDescent="0.2">
      <c r="GI7836" s="422"/>
    </row>
    <row r="7837" spans="191:191" x14ac:dyDescent="0.2">
      <c r="GI7837" s="422"/>
    </row>
    <row r="7838" spans="191:191" x14ac:dyDescent="0.2">
      <c r="GI7838" s="422"/>
    </row>
    <row r="7839" spans="191:191" x14ac:dyDescent="0.2">
      <c r="GI7839" s="422"/>
    </row>
    <row r="7840" spans="191:191" x14ac:dyDescent="0.2">
      <c r="GI7840" s="422"/>
    </row>
    <row r="7841" spans="191:191" x14ac:dyDescent="0.2">
      <c r="GI7841" s="422"/>
    </row>
    <row r="7842" spans="191:191" x14ac:dyDescent="0.2">
      <c r="GI7842" s="422"/>
    </row>
    <row r="7843" spans="191:191" x14ac:dyDescent="0.2">
      <c r="GI7843" s="422"/>
    </row>
    <row r="7844" spans="191:191" x14ac:dyDescent="0.2">
      <c r="GI7844" s="422"/>
    </row>
    <row r="7845" spans="191:191" x14ac:dyDescent="0.2">
      <c r="GI7845" s="422"/>
    </row>
    <row r="7846" spans="191:191" x14ac:dyDescent="0.2">
      <c r="GI7846" s="422"/>
    </row>
    <row r="7847" spans="191:191" x14ac:dyDescent="0.2">
      <c r="GI7847" s="422"/>
    </row>
    <row r="7848" spans="191:191" x14ac:dyDescent="0.2">
      <c r="GI7848" s="422"/>
    </row>
    <row r="7849" spans="191:191" x14ac:dyDescent="0.2">
      <c r="GI7849" s="422"/>
    </row>
    <row r="7850" spans="191:191" x14ac:dyDescent="0.2">
      <c r="GI7850" s="422"/>
    </row>
    <row r="7851" spans="191:191" x14ac:dyDescent="0.2">
      <c r="GI7851" s="422"/>
    </row>
    <row r="7852" spans="191:191" x14ac:dyDescent="0.2">
      <c r="GI7852" s="422"/>
    </row>
    <row r="7853" spans="191:191" x14ac:dyDescent="0.2">
      <c r="GI7853" s="422"/>
    </row>
    <row r="7854" spans="191:191" x14ac:dyDescent="0.2">
      <c r="GI7854" s="422"/>
    </row>
    <row r="7855" spans="191:191" x14ac:dyDescent="0.2">
      <c r="GI7855" s="422"/>
    </row>
    <row r="7856" spans="191:191" x14ac:dyDescent="0.2">
      <c r="GI7856" s="422"/>
    </row>
    <row r="7857" spans="191:191" x14ac:dyDescent="0.2">
      <c r="GI7857" s="422"/>
    </row>
    <row r="7858" spans="191:191" x14ac:dyDescent="0.2">
      <c r="GI7858" s="422"/>
    </row>
    <row r="7859" spans="191:191" x14ac:dyDescent="0.2">
      <c r="GI7859" s="422"/>
    </row>
    <row r="7860" spans="191:191" x14ac:dyDescent="0.2">
      <c r="GI7860" s="422"/>
    </row>
    <row r="7861" spans="191:191" x14ac:dyDescent="0.2">
      <c r="GI7861" s="422"/>
    </row>
    <row r="7862" spans="191:191" x14ac:dyDescent="0.2">
      <c r="GI7862" s="422"/>
    </row>
    <row r="7863" spans="191:191" x14ac:dyDescent="0.2">
      <c r="GI7863" s="422"/>
    </row>
    <row r="7864" spans="191:191" x14ac:dyDescent="0.2">
      <c r="GI7864" s="422"/>
    </row>
    <row r="7865" spans="191:191" x14ac:dyDescent="0.2">
      <c r="GI7865" s="422"/>
    </row>
    <row r="7866" spans="191:191" x14ac:dyDescent="0.2">
      <c r="GI7866" s="422"/>
    </row>
    <row r="7867" spans="191:191" x14ac:dyDescent="0.2">
      <c r="GI7867" s="422"/>
    </row>
    <row r="7868" spans="191:191" x14ac:dyDescent="0.2">
      <c r="GI7868" s="422"/>
    </row>
    <row r="7869" spans="191:191" x14ac:dyDescent="0.2">
      <c r="GI7869" s="422"/>
    </row>
    <row r="7870" spans="191:191" x14ac:dyDescent="0.2">
      <c r="GI7870" s="422"/>
    </row>
    <row r="7871" spans="191:191" x14ac:dyDescent="0.2">
      <c r="GI7871" s="422"/>
    </row>
    <row r="7872" spans="191:191" x14ac:dyDescent="0.2">
      <c r="GI7872" s="422"/>
    </row>
    <row r="7873" spans="191:191" x14ac:dyDescent="0.2">
      <c r="GI7873" s="422"/>
    </row>
    <row r="7874" spans="191:191" x14ac:dyDescent="0.2">
      <c r="GI7874" s="422"/>
    </row>
    <row r="7875" spans="191:191" x14ac:dyDescent="0.2">
      <c r="GI7875" s="422"/>
    </row>
    <row r="7876" spans="191:191" x14ac:dyDescent="0.2">
      <c r="GI7876" s="422"/>
    </row>
    <row r="7877" spans="191:191" x14ac:dyDescent="0.2">
      <c r="GI7877" s="422"/>
    </row>
    <row r="7878" spans="191:191" x14ac:dyDescent="0.2">
      <c r="GI7878" s="422"/>
    </row>
    <row r="7879" spans="191:191" x14ac:dyDescent="0.2">
      <c r="GI7879" s="422"/>
    </row>
    <row r="7880" spans="191:191" x14ac:dyDescent="0.2">
      <c r="GI7880" s="422"/>
    </row>
    <row r="7881" spans="191:191" x14ac:dyDescent="0.2">
      <c r="GI7881" s="422"/>
    </row>
    <row r="7882" spans="191:191" x14ac:dyDescent="0.2">
      <c r="GI7882" s="422"/>
    </row>
    <row r="7883" spans="191:191" x14ac:dyDescent="0.2">
      <c r="GI7883" s="422"/>
    </row>
    <row r="7884" spans="191:191" x14ac:dyDescent="0.2">
      <c r="GI7884" s="422"/>
    </row>
    <row r="7885" spans="191:191" x14ac:dyDescent="0.2">
      <c r="GI7885" s="422"/>
    </row>
    <row r="7886" spans="191:191" x14ac:dyDescent="0.2">
      <c r="GI7886" s="422"/>
    </row>
    <row r="7887" spans="191:191" x14ac:dyDescent="0.2">
      <c r="GI7887" s="422"/>
    </row>
    <row r="7888" spans="191:191" x14ac:dyDescent="0.2">
      <c r="GI7888" s="422"/>
    </row>
    <row r="7889" spans="191:191" x14ac:dyDescent="0.2">
      <c r="GI7889" s="422"/>
    </row>
    <row r="7890" spans="191:191" x14ac:dyDescent="0.2">
      <c r="GI7890" s="422"/>
    </row>
    <row r="7891" spans="191:191" x14ac:dyDescent="0.2">
      <c r="GI7891" s="422"/>
    </row>
    <row r="7892" spans="191:191" x14ac:dyDescent="0.2">
      <c r="GI7892" s="422"/>
    </row>
    <row r="7893" spans="191:191" x14ac:dyDescent="0.2">
      <c r="GI7893" s="422"/>
    </row>
    <row r="7894" spans="191:191" x14ac:dyDescent="0.2">
      <c r="GI7894" s="422"/>
    </row>
    <row r="7895" spans="191:191" x14ac:dyDescent="0.2">
      <c r="GI7895" s="422"/>
    </row>
    <row r="7896" spans="191:191" x14ac:dyDescent="0.2">
      <c r="GI7896" s="422"/>
    </row>
    <row r="7897" spans="191:191" x14ac:dyDescent="0.2">
      <c r="GI7897" s="422"/>
    </row>
    <row r="7898" spans="191:191" x14ac:dyDescent="0.2">
      <c r="GI7898" s="422"/>
    </row>
    <row r="7899" spans="191:191" x14ac:dyDescent="0.2">
      <c r="GI7899" s="422"/>
    </row>
    <row r="7900" spans="191:191" x14ac:dyDescent="0.2">
      <c r="GI7900" s="422"/>
    </row>
    <row r="7901" spans="191:191" x14ac:dyDescent="0.2">
      <c r="GI7901" s="422"/>
    </row>
    <row r="7902" spans="191:191" x14ac:dyDescent="0.2">
      <c r="GI7902" s="422"/>
    </row>
    <row r="7903" spans="191:191" x14ac:dyDescent="0.2">
      <c r="GI7903" s="422"/>
    </row>
    <row r="7904" spans="191:191" x14ac:dyDescent="0.2">
      <c r="GI7904" s="422"/>
    </row>
    <row r="7905" spans="191:191" x14ac:dyDescent="0.2">
      <c r="GI7905" s="422"/>
    </row>
    <row r="7906" spans="191:191" x14ac:dyDescent="0.2">
      <c r="GI7906" s="422"/>
    </row>
    <row r="7907" spans="191:191" x14ac:dyDescent="0.2">
      <c r="GI7907" s="422"/>
    </row>
    <row r="7908" spans="191:191" x14ac:dyDescent="0.2">
      <c r="GI7908" s="422"/>
    </row>
    <row r="7909" spans="191:191" x14ac:dyDescent="0.2">
      <c r="GI7909" s="422"/>
    </row>
    <row r="7910" spans="191:191" x14ac:dyDescent="0.2">
      <c r="GI7910" s="422"/>
    </row>
    <row r="7911" spans="191:191" x14ac:dyDescent="0.2">
      <c r="GI7911" s="422"/>
    </row>
    <row r="7912" spans="191:191" x14ac:dyDescent="0.2">
      <c r="GI7912" s="422"/>
    </row>
    <row r="7913" spans="191:191" x14ac:dyDescent="0.2">
      <c r="GI7913" s="422"/>
    </row>
    <row r="7914" spans="191:191" x14ac:dyDescent="0.2">
      <c r="GI7914" s="422"/>
    </row>
    <row r="7915" spans="191:191" x14ac:dyDescent="0.2">
      <c r="GI7915" s="422"/>
    </row>
    <row r="7916" spans="191:191" x14ac:dyDescent="0.2">
      <c r="GI7916" s="422"/>
    </row>
    <row r="7917" spans="191:191" x14ac:dyDescent="0.2">
      <c r="GI7917" s="422"/>
    </row>
    <row r="7918" spans="191:191" x14ac:dyDescent="0.2">
      <c r="GI7918" s="422"/>
    </row>
    <row r="7919" spans="191:191" x14ac:dyDescent="0.2">
      <c r="GI7919" s="422"/>
    </row>
    <row r="7920" spans="191:191" x14ac:dyDescent="0.2">
      <c r="GI7920" s="422"/>
    </row>
    <row r="7921" spans="191:191" x14ac:dyDescent="0.2">
      <c r="GI7921" s="422"/>
    </row>
    <row r="7922" spans="191:191" x14ac:dyDescent="0.2">
      <c r="GI7922" s="422"/>
    </row>
    <row r="7923" spans="191:191" x14ac:dyDescent="0.2">
      <c r="GI7923" s="422"/>
    </row>
    <row r="7924" spans="191:191" x14ac:dyDescent="0.2">
      <c r="GI7924" s="422"/>
    </row>
    <row r="7925" spans="191:191" x14ac:dyDescent="0.2">
      <c r="GI7925" s="422"/>
    </row>
    <row r="7926" spans="191:191" x14ac:dyDescent="0.2">
      <c r="GI7926" s="422"/>
    </row>
    <row r="7927" spans="191:191" x14ac:dyDescent="0.2">
      <c r="GI7927" s="422"/>
    </row>
    <row r="7928" spans="191:191" x14ac:dyDescent="0.2">
      <c r="GI7928" s="422"/>
    </row>
    <row r="7929" spans="191:191" x14ac:dyDescent="0.2">
      <c r="GI7929" s="422"/>
    </row>
    <row r="7930" spans="191:191" x14ac:dyDescent="0.2">
      <c r="GI7930" s="422"/>
    </row>
    <row r="7931" spans="191:191" x14ac:dyDescent="0.2">
      <c r="GI7931" s="422"/>
    </row>
    <row r="7932" spans="191:191" x14ac:dyDescent="0.2">
      <c r="GI7932" s="422"/>
    </row>
    <row r="7933" spans="191:191" x14ac:dyDescent="0.2">
      <c r="GI7933" s="422"/>
    </row>
    <row r="7934" spans="191:191" x14ac:dyDescent="0.2">
      <c r="GI7934" s="422"/>
    </row>
    <row r="7935" spans="191:191" x14ac:dyDescent="0.2">
      <c r="GI7935" s="422"/>
    </row>
    <row r="7936" spans="191:191" x14ac:dyDescent="0.2">
      <c r="GI7936" s="422"/>
    </row>
    <row r="7937" spans="191:191" x14ac:dyDescent="0.2">
      <c r="GI7937" s="422"/>
    </row>
    <row r="7938" spans="191:191" x14ac:dyDescent="0.2">
      <c r="GI7938" s="422"/>
    </row>
    <row r="7939" spans="191:191" x14ac:dyDescent="0.2">
      <c r="GI7939" s="422"/>
    </row>
    <row r="7940" spans="191:191" x14ac:dyDescent="0.2">
      <c r="GI7940" s="422"/>
    </row>
    <row r="7941" spans="191:191" x14ac:dyDescent="0.2">
      <c r="GI7941" s="422"/>
    </row>
    <row r="7942" spans="191:191" x14ac:dyDescent="0.2">
      <c r="GI7942" s="422"/>
    </row>
    <row r="7943" spans="191:191" x14ac:dyDescent="0.2">
      <c r="GI7943" s="422"/>
    </row>
    <row r="7944" spans="191:191" x14ac:dyDescent="0.2">
      <c r="GI7944" s="422"/>
    </row>
    <row r="7945" spans="191:191" x14ac:dyDescent="0.2">
      <c r="GI7945" s="422"/>
    </row>
    <row r="7946" spans="191:191" x14ac:dyDescent="0.2">
      <c r="GI7946" s="422"/>
    </row>
    <row r="7947" spans="191:191" x14ac:dyDescent="0.2">
      <c r="GI7947" s="422"/>
    </row>
    <row r="7948" spans="191:191" x14ac:dyDescent="0.2">
      <c r="GI7948" s="422"/>
    </row>
    <row r="7949" spans="191:191" x14ac:dyDescent="0.2">
      <c r="GI7949" s="422"/>
    </row>
    <row r="7950" spans="191:191" x14ac:dyDescent="0.2">
      <c r="GI7950" s="422"/>
    </row>
    <row r="7951" spans="191:191" x14ac:dyDescent="0.2">
      <c r="GI7951" s="422"/>
    </row>
    <row r="7952" spans="191:191" x14ac:dyDescent="0.2">
      <c r="GI7952" s="422"/>
    </row>
    <row r="7953" spans="191:191" x14ac:dyDescent="0.2">
      <c r="GI7953" s="422"/>
    </row>
    <row r="7954" spans="191:191" x14ac:dyDescent="0.2">
      <c r="GI7954" s="422"/>
    </row>
    <row r="7955" spans="191:191" x14ac:dyDescent="0.2">
      <c r="GI7955" s="422"/>
    </row>
    <row r="7956" spans="191:191" x14ac:dyDescent="0.2">
      <c r="GI7956" s="422"/>
    </row>
    <row r="7957" spans="191:191" x14ac:dyDescent="0.2">
      <c r="GI7957" s="422"/>
    </row>
    <row r="7958" spans="191:191" x14ac:dyDescent="0.2">
      <c r="GI7958" s="422"/>
    </row>
    <row r="7959" spans="191:191" x14ac:dyDescent="0.2">
      <c r="GI7959" s="422"/>
    </row>
    <row r="7960" spans="191:191" x14ac:dyDescent="0.2">
      <c r="GI7960" s="422"/>
    </row>
    <row r="7961" spans="191:191" x14ac:dyDescent="0.2">
      <c r="GI7961" s="422"/>
    </row>
    <row r="7962" spans="191:191" x14ac:dyDescent="0.2">
      <c r="GI7962" s="422"/>
    </row>
    <row r="7963" spans="191:191" x14ac:dyDescent="0.2">
      <c r="GI7963" s="422"/>
    </row>
    <row r="7964" spans="191:191" x14ac:dyDescent="0.2">
      <c r="GI7964" s="422"/>
    </row>
    <row r="7965" spans="191:191" x14ac:dyDescent="0.2">
      <c r="GI7965" s="422"/>
    </row>
    <row r="7966" spans="191:191" x14ac:dyDescent="0.2">
      <c r="GI7966" s="422"/>
    </row>
    <row r="7967" spans="191:191" x14ac:dyDescent="0.2">
      <c r="GI7967" s="422"/>
    </row>
    <row r="7968" spans="191:191" x14ac:dyDescent="0.2">
      <c r="GI7968" s="422"/>
    </row>
    <row r="7969" spans="191:191" x14ac:dyDescent="0.2">
      <c r="GI7969" s="422"/>
    </row>
    <row r="7970" spans="191:191" x14ac:dyDescent="0.2">
      <c r="GI7970" s="422"/>
    </row>
    <row r="7971" spans="191:191" x14ac:dyDescent="0.2">
      <c r="GI7971" s="422"/>
    </row>
    <row r="7972" spans="191:191" x14ac:dyDescent="0.2">
      <c r="GI7972" s="422"/>
    </row>
    <row r="7973" spans="191:191" x14ac:dyDescent="0.2">
      <c r="GI7973" s="422"/>
    </row>
    <row r="7974" spans="191:191" x14ac:dyDescent="0.2">
      <c r="GI7974" s="422"/>
    </row>
    <row r="7975" spans="191:191" x14ac:dyDescent="0.2">
      <c r="GI7975" s="422"/>
    </row>
    <row r="7976" spans="191:191" x14ac:dyDescent="0.2">
      <c r="GI7976" s="422"/>
    </row>
    <row r="7977" spans="191:191" x14ac:dyDescent="0.2">
      <c r="GI7977" s="422"/>
    </row>
    <row r="7978" spans="191:191" x14ac:dyDescent="0.2">
      <c r="GI7978" s="422"/>
    </row>
    <row r="7979" spans="191:191" x14ac:dyDescent="0.2">
      <c r="GI7979" s="422"/>
    </row>
    <row r="7980" spans="191:191" x14ac:dyDescent="0.2">
      <c r="GI7980" s="422"/>
    </row>
    <row r="7981" spans="191:191" x14ac:dyDescent="0.2">
      <c r="GI7981" s="422"/>
    </row>
    <row r="7982" spans="191:191" x14ac:dyDescent="0.2">
      <c r="GI7982" s="422"/>
    </row>
    <row r="7983" spans="191:191" x14ac:dyDescent="0.2">
      <c r="GI7983" s="422"/>
    </row>
    <row r="7984" spans="191:191" x14ac:dyDescent="0.2">
      <c r="GI7984" s="422"/>
    </row>
    <row r="7985" spans="191:191" x14ac:dyDescent="0.2">
      <c r="GI7985" s="422"/>
    </row>
    <row r="7986" spans="191:191" x14ac:dyDescent="0.2">
      <c r="GI7986" s="422"/>
    </row>
    <row r="7987" spans="191:191" x14ac:dyDescent="0.2">
      <c r="GI7987" s="422"/>
    </row>
    <row r="7988" spans="191:191" x14ac:dyDescent="0.2">
      <c r="GI7988" s="422"/>
    </row>
    <row r="7989" spans="191:191" x14ac:dyDescent="0.2">
      <c r="GI7989" s="422"/>
    </row>
    <row r="7990" spans="191:191" x14ac:dyDescent="0.2">
      <c r="GI7990" s="422"/>
    </row>
    <row r="7991" spans="191:191" x14ac:dyDescent="0.2">
      <c r="GI7991" s="422"/>
    </row>
    <row r="7992" spans="191:191" x14ac:dyDescent="0.2">
      <c r="GI7992" s="422"/>
    </row>
    <row r="7993" spans="191:191" x14ac:dyDescent="0.2">
      <c r="GI7993" s="422"/>
    </row>
    <row r="7994" spans="191:191" x14ac:dyDescent="0.2">
      <c r="GI7994" s="422"/>
    </row>
    <row r="7995" spans="191:191" x14ac:dyDescent="0.2">
      <c r="GI7995" s="422"/>
    </row>
    <row r="7996" spans="191:191" x14ac:dyDescent="0.2">
      <c r="GI7996" s="422"/>
    </row>
    <row r="7997" spans="191:191" x14ac:dyDescent="0.2">
      <c r="GI7997" s="422"/>
    </row>
    <row r="7998" spans="191:191" x14ac:dyDescent="0.2">
      <c r="GI7998" s="422"/>
    </row>
    <row r="7999" spans="191:191" x14ac:dyDescent="0.2">
      <c r="GI7999" s="422"/>
    </row>
    <row r="8000" spans="191:191" x14ac:dyDescent="0.2">
      <c r="GI8000" s="422"/>
    </row>
    <row r="8001" spans="191:191" x14ac:dyDescent="0.2">
      <c r="GI8001" s="422"/>
    </row>
    <row r="8002" spans="191:191" x14ac:dyDescent="0.2">
      <c r="GI8002" s="422"/>
    </row>
    <row r="8003" spans="191:191" x14ac:dyDescent="0.2">
      <c r="GI8003" s="422"/>
    </row>
    <row r="8004" spans="191:191" x14ac:dyDescent="0.2">
      <c r="GI8004" s="422"/>
    </row>
    <row r="8005" spans="191:191" x14ac:dyDescent="0.2">
      <c r="GI8005" s="422"/>
    </row>
    <row r="8006" spans="191:191" x14ac:dyDescent="0.2">
      <c r="GI8006" s="422"/>
    </row>
    <row r="8007" spans="191:191" x14ac:dyDescent="0.2">
      <c r="GI8007" s="422"/>
    </row>
    <row r="8008" spans="191:191" x14ac:dyDescent="0.2">
      <c r="GI8008" s="422"/>
    </row>
    <row r="8009" spans="191:191" x14ac:dyDescent="0.2">
      <c r="GI8009" s="422"/>
    </row>
    <row r="8010" spans="191:191" x14ac:dyDescent="0.2">
      <c r="GI8010" s="422"/>
    </row>
    <row r="8011" spans="191:191" x14ac:dyDescent="0.2">
      <c r="GI8011" s="422"/>
    </row>
    <row r="8012" spans="191:191" x14ac:dyDescent="0.2">
      <c r="GI8012" s="422"/>
    </row>
    <row r="8013" spans="191:191" x14ac:dyDescent="0.2">
      <c r="GI8013" s="422"/>
    </row>
    <row r="8014" spans="191:191" x14ac:dyDescent="0.2">
      <c r="GI8014" s="422"/>
    </row>
    <row r="8015" spans="191:191" x14ac:dyDescent="0.2">
      <c r="GI8015" s="422"/>
    </row>
    <row r="8016" spans="191:191" x14ac:dyDescent="0.2">
      <c r="GI8016" s="422"/>
    </row>
    <row r="8017" spans="191:191" x14ac:dyDescent="0.2">
      <c r="GI8017" s="422"/>
    </row>
    <row r="8018" spans="191:191" x14ac:dyDescent="0.2">
      <c r="GI8018" s="422"/>
    </row>
    <row r="8019" spans="191:191" x14ac:dyDescent="0.2">
      <c r="GI8019" s="422"/>
    </row>
    <row r="8020" spans="191:191" x14ac:dyDescent="0.2">
      <c r="GI8020" s="422"/>
    </row>
    <row r="8021" spans="191:191" x14ac:dyDescent="0.2">
      <c r="GI8021" s="422"/>
    </row>
    <row r="8022" spans="191:191" x14ac:dyDescent="0.2">
      <c r="GI8022" s="422"/>
    </row>
    <row r="8023" spans="191:191" x14ac:dyDescent="0.2">
      <c r="GI8023" s="422"/>
    </row>
    <row r="8024" spans="191:191" x14ac:dyDescent="0.2">
      <c r="GI8024" s="422"/>
    </row>
    <row r="8025" spans="191:191" x14ac:dyDescent="0.2">
      <c r="GI8025" s="422"/>
    </row>
    <row r="8026" spans="191:191" x14ac:dyDescent="0.2">
      <c r="GI8026" s="422"/>
    </row>
    <row r="8027" spans="191:191" x14ac:dyDescent="0.2">
      <c r="GI8027" s="422"/>
    </row>
    <row r="8028" spans="191:191" x14ac:dyDescent="0.2">
      <c r="GI8028" s="422"/>
    </row>
    <row r="8029" spans="191:191" x14ac:dyDescent="0.2">
      <c r="GI8029" s="422"/>
    </row>
    <row r="8030" spans="191:191" x14ac:dyDescent="0.2">
      <c r="GI8030" s="422"/>
    </row>
    <row r="8031" spans="191:191" x14ac:dyDescent="0.2">
      <c r="GI8031" s="422"/>
    </row>
    <row r="8032" spans="191:191" x14ac:dyDescent="0.2">
      <c r="GI8032" s="422"/>
    </row>
    <row r="8033" spans="191:191" x14ac:dyDescent="0.2">
      <c r="GI8033" s="422"/>
    </row>
    <row r="8034" spans="191:191" x14ac:dyDescent="0.2">
      <c r="GI8034" s="422"/>
    </row>
    <row r="8035" spans="191:191" x14ac:dyDescent="0.2">
      <c r="GI8035" s="422"/>
    </row>
    <row r="8036" spans="191:191" x14ac:dyDescent="0.2">
      <c r="GI8036" s="422"/>
    </row>
    <row r="8037" spans="191:191" x14ac:dyDescent="0.2">
      <c r="GI8037" s="422"/>
    </row>
    <row r="8038" spans="191:191" x14ac:dyDescent="0.2">
      <c r="GI8038" s="422"/>
    </row>
    <row r="8039" spans="191:191" x14ac:dyDescent="0.2">
      <c r="GI8039" s="422"/>
    </row>
    <row r="8040" spans="191:191" x14ac:dyDescent="0.2">
      <c r="GI8040" s="422"/>
    </row>
    <row r="8041" spans="191:191" x14ac:dyDescent="0.2">
      <c r="GI8041" s="422"/>
    </row>
    <row r="8042" spans="191:191" x14ac:dyDescent="0.2">
      <c r="GI8042" s="422"/>
    </row>
    <row r="8043" spans="191:191" x14ac:dyDescent="0.2">
      <c r="GI8043" s="422"/>
    </row>
    <row r="8044" spans="191:191" x14ac:dyDescent="0.2">
      <c r="GI8044" s="422"/>
    </row>
    <row r="8045" spans="191:191" x14ac:dyDescent="0.2">
      <c r="GI8045" s="422"/>
    </row>
    <row r="8046" spans="191:191" x14ac:dyDescent="0.2">
      <c r="GI8046" s="422"/>
    </row>
    <row r="8047" spans="191:191" x14ac:dyDescent="0.2">
      <c r="GI8047" s="422"/>
    </row>
    <row r="8048" spans="191:191" x14ac:dyDescent="0.2">
      <c r="GI8048" s="422"/>
    </row>
    <row r="8049" spans="191:191" x14ac:dyDescent="0.2">
      <c r="GI8049" s="422"/>
    </row>
    <row r="8050" spans="191:191" x14ac:dyDescent="0.2">
      <c r="GI8050" s="422"/>
    </row>
    <row r="8051" spans="191:191" x14ac:dyDescent="0.2">
      <c r="GI8051" s="422"/>
    </row>
    <row r="8052" spans="191:191" x14ac:dyDescent="0.2">
      <c r="GI8052" s="422"/>
    </row>
    <row r="8053" spans="191:191" x14ac:dyDescent="0.2">
      <c r="GI8053" s="422"/>
    </row>
    <row r="8054" spans="191:191" x14ac:dyDescent="0.2">
      <c r="GI8054" s="422"/>
    </row>
    <row r="8055" spans="191:191" x14ac:dyDescent="0.2">
      <c r="GI8055" s="422"/>
    </row>
    <row r="8056" spans="191:191" x14ac:dyDescent="0.2">
      <c r="GI8056" s="422"/>
    </row>
    <row r="8057" spans="191:191" x14ac:dyDescent="0.2">
      <c r="GI8057" s="422"/>
    </row>
    <row r="8058" spans="191:191" x14ac:dyDescent="0.2">
      <c r="GI8058" s="422"/>
    </row>
    <row r="8059" spans="191:191" x14ac:dyDescent="0.2">
      <c r="GI8059" s="422"/>
    </row>
    <row r="8060" spans="191:191" x14ac:dyDescent="0.2">
      <c r="GI8060" s="422"/>
    </row>
    <row r="8061" spans="191:191" x14ac:dyDescent="0.2">
      <c r="GI8061" s="422"/>
    </row>
    <row r="8062" spans="191:191" x14ac:dyDescent="0.2">
      <c r="GI8062" s="422"/>
    </row>
    <row r="8063" spans="191:191" x14ac:dyDescent="0.2">
      <c r="GI8063" s="422"/>
    </row>
    <row r="8064" spans="191:191" x14ac:dyDescent="0.2">
      <c r="GI8064" s="422"/>
    </row>
    <row r="8065" spans="191:191" x14ac:dyDescent="0.2">
      <c r="GI8065" s="422"/>
    </row>
    <row r="8066" spans="191:191" x14ac:dyDescent="0.2">
      <c r="GI8066" s="422"/>
    </row>
    <row r="8067" spans="191:191" x14ac:dyDescent="0.2">
      <c r="GI8067" s="422"/>
    </row>
    <row r="8068" spans="191:191" x14ac:dyDescent="0.2">
      <c r="GI8068" s="422"/>
    </row>
    <row r="8069" spans="191:191" x14ac:dyDescent="0.2">
      <c r="GI8069" s="422"/>
    </row>
    <row r="8070" spans="191:191" x14ac:dyDescent="0.2">
      <c r="GI8070" s="422"/>
    </row>
    <row r="8071" spans="191:191" x14ac:dyDescent="0.2">
      <c r="GI8071" s="422"/>
    </row>
    <row r="8072" spans="191:191" x14ac:dyDescent="0.2">
      <c r="GI8072" s="422"/>
    </row>
    <row r="8073" spans="191:191" x14ac:dyDescent="0.2">
      <c r="GI8073" s="422"/>
    </row>
    <row r="8074" spans="191:191" x14ac:dyDescent="0.2">
      <c r="GI8074" s="422"/>
    </row>
    <row r="8075" spans="191:191" x14ac:dyDescent="0.2">
      <c r="GI8075" s="422"/>
    </row>
    <row r="8076" spans="191:191" x14ac:dyDescent="0.2">
      <c r="GI8076" s="422"/>
    </row>
    <row r="8077" spans="191:191" x14ac:dyDescent="0.2">
      <c r="GI8077" s="422"/>
    </row>
    <row r="8078" spans="191:191" x14ac:dyDescent="0.2">
      <c r="GI8078" s="422"/>
    </row>
    <row r="8079" spans="191:191" x14ac:dyDescent="0.2">
      <c r="GI8079" s="422"/>
    </row>
    <row r="8080" spans="191:191" x14ac:dyDescent="0.2">
      <c r="GI8080" s="422"/>
    </row>
    <row r="8081" spans="191:191" x14ac:dyDescent="0.2">
      <c r="GI8081" s="422"/>
    </row>
    <row r="8082" spans="191:191" x14ac:dyDescent="0.2">
      <c r="GI8082" s="422"/>
    </row>
    <row r="8083" spans="191:191" x14ac:dyDescent="0.2">
      <c r="GI8083" s="422"/>
    </row>
    <row r="8084" spans="191:191" x14ac:dyDescent="0.2">
      <c r="GI8084" s="422"/>
    </row>
    <row r="8085" spans="191:191" x14ac:dyDescent="0.2">
      <c r="GI8085" s="422"/>
    </row>
    <row r="8086" spans="191:191" x14ac:dyDescent="0.2">
      <c r="GI8086" s="422"/>
    </row>
    <row r="8087" spans="191:191" x14ac:dyDescent="0.2">
      <c r="GI8087" s="422"/>
    </row>
    <row r="8088" spans="191:191" x14ac:dyDescent="0.2">
      <c r="GI8088" s="422"/>
    </row>
    <row r="8089" spans="191:191" x14ac:dyDescent="0.2">
      <c r="GI8089" s="422"/>
    </row>
    <row r="8090" spans="191:191" x14ac:dyDescent="0.2">
      <c r="GI8090" s="422"/>
    </row>
    <row r="8091" spans="191:191" x14ac:dyDescent="0.2">
      <c r="GI8091" s="422"/>
    </row>
    <row r="8092" spans="191:191" x14ac:dyDescent="0.2">
      <c r="GI8092" s="422"/>
    </row>
    <row r="8093" spans="191:191" x14ac:dyDescent="0.2">
      <c r="GI8093" s="422"/>
    </row>
    <row r="8094" spans="191:191" x14ac:dyDescent="0.2">
      <c r="GI8094" s="422"/>
    </row>
    <row r="8095" spans="191:191" x14ac:dyDescent="0.2">
      <c r="GI8095" s="422"/>
    </row>
    <row r="8096" spans="191:191" x14ac:dyDescent="0.2">
      <c r="GI8096" s="422"/>
    </row>
    <row r="8097" spans="191:191" x14ac:dyDescent="0.2">
      <c r="GI8097" s="422"/>
    </row>
    <row r="8098" spans="191:191" x14ac:dyDescent="0.2">
      <c r="GI8098" s="422"/>
    </row>
    <row r="8099" spans="191:191" x14ac:dyDescent="0.2">
      <c r="GI8099" s="422"/>
    </row>
    <row r="8100" spans="191:191" x14ac:dyDescent="0.2">
      <c r="GI8100" s="422"/>
    </row>
    <row r="8101" spans="191:191" x14ac:dyDescent="0.2">
      <c r="GI8101" s="422"/>
    </row>
    <row r="8102" spans="191:191" x14ac:dyDescent="0.2">
      <c r="GI8102" s="422"/>
    </row>
    <row r="8103" spans="191:191" x14ac:dyDescent="0.2">
      <c r="GI8103" s="422"/>
    </row>
    <row r="8104" spans="191:191" x14ac:dyDescent="0.2">
      <c r="GI8104" s="422"/>
    </row>
    <row r="8105" spans="191:191" x14ac:dyDescent="0.2">
      <c r="GI8105" s="422"/>
    </row>
    <row r="8106" spans="191:191" x14ac:dyDescent="0.2">
      <c r="GI8106" s="422"/>
    </row>
    <row r="8107" spans="191:191" x14ac:dyDescent="0.2">
      <c r="GI8107" s="422"/>
    </row>
    <row r="8108" spans="191:191" x14ac:dyDescent="0.2">
      <c r="GI8108" s="422"/>
    </row>
    <row r="8109" spans="191:191" x14ac:dyDescent="0.2">
      <c r="GI8109" s="422"/>
    </row>
    <row r="8110" spans="191:191" x14ac:dyDescent="0.2">
      <c r="GI8110" s="422"/>
    </row>
    <row r="8111" spans="191:191" x14ac:dyDescent="0.2">
      <c r="GI8111" s="422"/>
    </row>
    <row r="8112" spans="191:191" x14ac:dyDescent="0.2">
      <c r="GI8112" s="422"/>
    </row>
    <row r="8113" spans="191:191" x14ac:dyDescent="0.2">
      <c r="GI8113" s="422"/>
    </row>
    <row r="8114" spans="191:191" x14ac:dyDescent="0.2">
      <c r="GI8114" s="422"/>
    </row>
    <row r="8115" spans="191:191" x14ac:dyDescent="0.2">
      <c r="GI8115" s="422"/>
    </row>
    <row r="8116" spans="191:191" x14ac:dyDescent="0.2">
      <c r="GI8116" s="422"/>
    </row>
    <row r="8117" spans="191:191" x14ac:dyDescent="0.2">
      <c r="GI8117" s="422"/>
    </row>
    <row r="8118" spans="191:191" x14ac:dyDescent="0.2">
      <c r="GI8118" s="422"/>
    </row>
    <row r="8119" spans="191:191" x14ac:dyDescent="0.2">
      <c r="GI8119" s="422"/>
    </row>
    <row r="8120" spans="191:191" x14ac:dyDescent="0.2">
      <c r="GI8120" s="422"/>
    </row>
    <row r="8121" spans="191:191" x14ac:dyDescent="0.2">
      <c r="GI8121" s="422"/>
    </row>
    <row r="8122" spans="191:191" x14ac:dyDescent="0.2">
      <c r="GI8122" s="422"/>
    </row>
    <row r="8123" spans="191:191" x14ac:dyDescent="0.2">
      <c r="GI8123" s="422"/>
    </row>
    <row r="8124" spans="191:191" x14ac:dyDescent="0.2">
      <c r="GI8124" s="422"/>
    </row>
    <row r="8125" spans="191:191" x14ac:dyDescent="0.2">
      <c r="GI8125" s="422"/>
    </row>
    <row r="8126" spans="191:191" x14ac:dyDescent="0.2">
      <c r="GI8126" s="422"/>
    </row>
    <row r="8127" spans="191:191" x14ac:dyDescent="0.2">
      <c r="GI8127" s="422"/>
    </row>
    <row r="8128" spans="191:191" x14ac:dyDescent="0.2">
      <c r="GI8128" s="422"/>
    </row>
    <row r="8129" spans="191:191" x14ac:dyDescent="0.2">
      <c r="GI8129" s="422"/>
    </row>
    <row r="8130" spans="191:191" x14ac:dyDescent="0.2">
      <c r="GI8130" s="422"/>
    </row>
    <row r="8131" spans="191:191" x14ac:dyDescent="0.2">
      <c r="GI8131" s="422"/>
    </row>
    <row r="8132" spans="191:191" x14ac:dyDescent="0.2">
      <c r="GI8132" s="422"/>
    </row>
    <row r="8133" spans="191:191" x14ac:dyDescent="0.2">
      <c r="GI8133" s="422"/>
    </row>
    <row r="8134" spans="191:191" x14ac:dyDescent="0.2">
      <c r="GI8134" s="422"/>
    </row>
    <row r="8135" spans="191:191" x14ac:dyDescent="0.2">
      <c r="GI8135" s="422"/>
    </row>
    <row r="8136" spans="191:191" x14ac:dyDescent="0.2">
      <c r="GI8136" s="422"/>
    </row>
    <row r="8137" spans="191:191" x14ac:dyDescent="0.2">
      <c r="GI8137" s="422"/>
    </row>
    <row r="8138" spans="191:191" x14ac:dyDescent="0.2">
      <c r="GI8138" s="422"/>
    </row>
    <row r="8139" spans="191:191" x14ac:dyDescent="0.2">
      <c r="GI8139" s="422"/>
    </row>
    <row r="8140" spans="191:191" x14ac:dyDescent="0.2">
      <c r="GI8140" s="422"/>
    </row>
    <row r="8141" spans="191:191" x14ac:dyDescent="0.2">
      <c r="GI8141" s="422"/>
    </row>
    <row r="8142" spans="191:191" x14ac:dyDescent="0.2">
      <c r="GI8142" s="422"/>
    </row>
    <row r="8143" spans="191:191" x14ac:dyDescent="0.2">
      <c r="GI8143" s="422"/>
    </row>
    <row r="8144" spans="191:191" x14ac:dyDescent="0.2">
      <c r="GI8144" s="422"/>
    </row>
    <row r="8145" spans="191:191" x14ac:dyDescent="0.2">
      <c r="GI8145" s="422"/>
    </row>
    <row r="8146" spans="191:191" x14ac:dyDescent="0.2">
      <c r="GI8146" s="422"/>
    </row>
    <row r="8147" spans="191:191" x14ac:dyDescent="0.2">
      <c r="GI8147" s="422"/>
    </row>
    <row r="8148" spans="191:191" x14ac:dyDescent="0.2">
      <c r="GI8148" s="422"/>
    </row>
    <row r="8149" spans="191:191" x14ac:dyDescent="0.2">
      <c r="GI8149" s="422"/>
    </row>
    <row r="8150" spans="191:191" x14ac:dyDescent="0.2">
      <c r="GI8150" s="422"/>
    </row>
    <row r="8151" spans="191:191" x14ac:dyDescent="0.2">
      <c r="GI8151" s="422"/>
    </row>
    <row r="8152" spans="191:191" x14ac:dyDescent="0.2">
      <c r="GI8152" s="422"/>
    </row>
    <row r="8153" spans="191:191" x14ac:dyDescent="0.2">
      <c r="GI8153" s="422"/>
    </row>
    <row r="8154" spans="191:191" x14ac:dyDescent="0.2">
      <c r="GI8154" s="422"/>
    </row>
    <row r="8155" spans="191:191" x14ac:dyDescent="0.2">
      <c r="GI8155" s="422"/>
    </row>
    <row r="8156" spans="191:191" x14ac:dyDescent="0.2">
      <c r="GI8156" s="422"/>
    </row>
    <row r="8157" spans="191:191" x14ac:dyDescent="0.2">
      <c r="GI8157" s="422"/>
    </row>
    <row r="8158" spans="191:191" x14ac:dyDescent="0.2">
      <c r="GI8158" s="422"/>
    </row>
    <row r="8159" spans="191:191" x14ac:dyDescent="0.2">
      <c r="GI8159" s="422"/>
    </row>
    <row r="8160" spans="191:191" x14ac:dyDescent="0.2">
      <c r="GI8160" s="422"/>
    </row>
    <row r="8161" spans="191:191" x14ac:dyDescent="0.2">
      <c r="GI8161" s="422"/>
    </row>
    <row r="8162" spans="191:191" x14ac:dyDescent="0.2">
      <c r="GI8162" s="422"/>
    </row>
    <row r="8163" spans="191:191" x14ac:dyDescent="0.2">
      <c r="GI8163" s="422"/>
    </row>
    <row r="8164" spans="191:191" x14ac:dyDescent="0.2">
      <c r="GI8164" s="422"/>
    </row>
    <row r="8165" spans="191:191" x14ac:dyDescent="0.2">
      <c r="GI8165" s="422"/>
    </row>
    <row r="8166" spans="191:191" x14ac:dyDescent="0.2">
      <c r="GI8166" s="422"/>
    </row>
    <row r="8167" spans="191:191" x14ac:dyDescent="0.2">
      <c r="GI8167" s="422"/>
    </row>
    <row r="8168" spans="191:191" x14ac:dyDescent="0.2">
      <c r="GI8168" s="422"/>
    </row>
    <row r="8169" spans="191:191" x14ac:dyDescent="0.2">
      <c r="GI8169" s="422"/>
    </row>
    <row r="8170" spans="191:191" x14ac:dyDescent="0.2">
      <c r="GI8170" s="422"/>
    </row>
    <row r="8171" spans="191:191" x14ac:dyDescent="0.2">
      <c r="GI8171" s="422"/>
    </row>
    <row r="8172" spans="191:191" x14ac:dyDescent="0.2">
      <c r="GI8172" s="422"/>
    </row>
    <row r="8173" spans="191:191" x14ac:dyDescent="0.2">
      <c r="GI8173" s="422"/>
    </row>
    <row r="8174" spans="191:191" x14ac:dyDescent="0.2">
      <c r="GI8174" s="422"/>
    </row>
    <row r="8175" spans="191:191" x14ac:dyDescent="0.2">
      <c r="GI8175" s="422"/>
    </row>
    <row r="8176" spans="191:191" x14ac:dyDescent="0.2">
      <c r="GI8176" s="422"/>
    </row>
    <row r="8177" spans="191:191" x14ac:dyDescent="0.2">
      <c r="GI8177" s="422"/>
    </row>
    <row r="8178" spans="191:191" x14ac:dyDescent="0.2">
      <c r="GI8178" s="422"/>
    </row>
    <row r="8179" spans="191:191" x14ac:dyDescent="0.2">
      <c r="GI8179" s="422"/>
    </row>
    <row r="8180" spans="191:191" x14ac:dyDescent="0.2">
      <c r="GI8180" s="422"/>
    </row>
    <row r="8181" spans="191:191" x14ac:dyDescent="0.2">
      <c r="GI8181" s="422"/>
    </row>
    <row r="8182" spans="191:191" x14ac:dyDescent="0.2">
      <c r="GI8182" s="422"/>
    </row>
    <row r="8183" spans="191:191" x14ac:dyDescent="0.2">
      <c r="GI8183" s="422"/>
    </row>
    <row r="8184" spans="191:191" x14ac:dyDescent="0.2">
      <c r="GI8184" s="422"/>
    </row>
    <row r="8185" spans="191:191" x14ac:dyDescent="0.2">
      <c r="GI8185" s="422"/>
    </row>
    <row r="8186" spans="191:191" x14ac:dyDescent="0.2">
      <c r="GI8186" s="422"/>
    </row>
    <row r="8187" spans="191:191" x14ac:dyDescent="0.2">
      <c r="GI8187" s="422"/>
    </row>
    <row r="8188" spans="191:191" x14ac:dyDescent="0.2">
      <c r="GI8188" s="422"/>
    </row>
    <row r="8189" spans="191:191" x14ac:dyDescent="0.2">
      <c r="GI8189" s="422"/>
    </row>
    <row r="8190" spans="191:191" x14ac:dyDescent="0.2">
      <c r="GI8190" s="422"/>
    </row>
    <row r="8191" spans="191:191" x14ac:dyDescent="0.2">
      <c r="GI8191" s="422"/>
    </row>
    <row r="8192" spans="191:191" x14ac:dyDescent="0.2">
      <c r="GI8192" s="422"/>
    </row>
    <row r="8193" spans="191:191" x14ac:dyDescent="0.2">
      <c r="GI8193" s="422"/>
    </row>
    <row r="8194" spans="191:191" x14ac:dyDescent="0.2">
      <c r="GI8194" s="422"/>
    </row>
    <row r="8195" spans="191:191" x14ac:dyDescent="0.2">
      <c r="GI8195" s="422"/>
    </row>
    <row r="8196" spans="191:191" x14ac:dyDescent="0.2">
      <c r="GI8196" s="422"/>
    </row>
    <row r="8197" spans="191:191" x14ac:dyDescent="0.2">
      <c r="GI8197" s="422"/>
    </row>
    <row r="8198" spans="191:191" x14ac:dyDescent="0.2">
      <c r="GI8198" s="422"/>
    </row>
    <row r="8199" spans="191:191" x14ac:dyDescent="0.2">
      <c r="GI8199" s="422"/>
    </row>
    <row r="8200" spans="191:191" x14ac:dyDescent="0.2">
      <c r="GI8200" s="422"/>
    </row>
    <row r="8201" spans="191:191" x14ac:dyDescent="0.2">
      <c r="GI8201" s="422"/>
    </row>
    <row r="8202" spans="191:191" x14ac:dyDescent="0.2">
      <c r="GI8202" s="422"/>
    </row>
    <row r="8203" spans="191:191" x14ac:dyDescent="0.2">
      <c r="GI8203" s="422"/>
    </row>
    <row r="8204" spans="191:191" x14ac:dyDescent="0.2">
      <c r="GI8204" s="422"/>
    </row>
    <row r="8205" spans="191:191" x14ac:dyDescent="0.2">
      <c r="GI8205" s="422"/>
    </row>
    <row r="8206" spans="191:191" x14ac:dyDescent="0.2">
      <c r="GI8206" s="422"/>
    </row>
    <row r="8207" spans="191:191" x14ac:dyDescent="0.2">
      <c r="GI8207" s="422"/>
    </row>
    <row r="8208" spans="191:191" x14ac:dyDescent="0.2">
      <c r="GI8208" s="422"/>
    </row>
    <row r="8209" spans="191:191" x14ac:dyDescent="0.2">
      <c r="GI8209" s="422"/>
    </row>
    <row r="8210" spans="191:191" x14ac:dyDescent="0.2">
      <c r="GI8210" s="422"/>
    </row>
    <row r="8211" spans="191:191" x14ac:dyDescent="0.2">
      <c r="GI8211" s="422"/>
    </row>
    <row r="8212" spans="191:191" x14ac:dyDescent="0.2">
      <c r="GI8212" s="422"/>
    </row>
    <row r="8213" spans="191:191" x14ac:dyDescent="0.2">
      <c r="GI8213" s="422"/>
    </row>
    <row r="8214" spans="191:191" x14ac:dyDescent="0.2">
      <c r="GI8214" s="422"/>
    </row>
    <row r="8215" spans="191:191" x14ac:dyDescent="0.2">
      <c r="GI8215" s="422"/>
    </row>
    <row r="8216" spans="191:191" x14ac:dyDescent="0.2">
      <c r="GI8216" s="422"/>
    </row>
    <row r="8217" spans="191:191" x14ac:dyDescent="0.2">
      <c r="GI8217" s="422"/>
    </row>
    <row r="8218" spans="191:191" x14ac:dyDescent="0.2">
      <c r="GI8218" s="422"/>
    </row>
    <row r="8219" spans="191:191" x14ac:dyDescent="0.2">
      <c r="GI8219" s="422"/>
    </row>
    <row r="8220" spans="191:191" x14ac:dyDescent="0.2">
      <c r="GI8220" s="422"/>
    </row>
    <row r="8221" spans="191:191" x14ac:dyDescent="0.2">
      <c r="GI8221" s="422"/>
    </row>
    <row r="8222" spans="191:191" x14ac:dyDescent="0.2">
      <c r="GI8222" s="422"/>
    </row>
    <row r="8223" spans="191:191" x14ac:dyDescent="0.2">
      <c r="GI8223" s="422"/>
    </row>
    <row r="8224" spans="191:191" x14ac:dyDescent="0.2">
      <c r="GI8224" s="422"/>
    </row>
    <row r="8225" spans="191:191" x14ac:dyDescent="0.2">
      <c r="GI8225" s="422"/>
    </row>
    <row r="8226" spans="191:191" x14ac:dyDescent="0.2">
      <c r="GI8226" s="422"/>
    </row>
    <row r="8227" spans="191:191" x14ac:dyDescent="0.2">
      <c r="GI8227" s="422"/>
    </row>
    <row r="8228" spans="191:191" x14ac:dyDescent="0.2">
      <c r="GI8228" s="422"/>
    </row>
    <row r="8229" spans="191:191" x14ac:dyDescent="0.2">
      <c r="GI8229" s="422"/>
    </row>
    <row r="8230" spans="191:191" x14ac:dyDescent="0.2">
      <c r="GI8230" s="422"/>
    </row>
    <row r="8231" spans="191:191" x14ac:dyDescent="0.2">
      <c r="GI8231" s="422"/>
    </row>
    <row r="8232" spans="191:191" x14ac:dyDescent="0.2">
      <c r="GI8232" s="422"/>
    </row>
    <row r="8233" spans="191:191" x14ac:dyDescent="0.2">
      <c r="GI8233" s="422"/>
    </row>
    <row r="8234" spans="191:191" x14ac:dyDescent="0.2">
      <c r="GI8234" s="422"/>
    </row>
    <row r="8235" spans="191:191" x14ac:dyDescent="0.2">
      <c r="GI8235" s="422"/>
    </row>
    <row r="8236" spans="191:191" x14ac:dyDescent="0.2">
      <c r="GI8236" s="422"/>
    </row>
    <row r="8237" spans="191:191" x14ac:dyDescent="0.2">
      <c r="GI8237" s="422"/>
    </row>
    <row r="8238" spans="191:191" x14ac:dyDescent="0.2">
      <c r="GI8238" s="422"/>
    </row>
    <row r="8239" spans="191:191" x14ac:dyDescent="0.2">
      <c r="GI8239" s="422"/>
    </row>
    <row r="8240" spans="191:191" x14ac:dyDescent="0.2">
      <c r="GI8240" s="422"/>
    </row>
    <row r="8241" spans="191:191" x14ac:dyDescent="0.2">
      <c r="GI8241" s="422"/>
    </row>
    <row r="8242" spans="191:191" x14ac:dyDescent="0.2">
      <c r="GI8242" s="422"/>
    </row>
    <row r="8243" spans="191:191" x14ac:dyDescent="0.2">
      <c r="GI8243" s="422"/>
    </row>
    <row r="8244" spans="191:191" x14ac:dyDescent="0.2">
      <c r="GI8244" s="422"/>
    </row>
    <row r="8245" spans="191:191" x14ac:dyDescent="0.2">
      <c r="GI8245" s="422"/>
    </row>
    <row r="8246" spans="191:191" x14ac:dyDescent="0.2">
      <c r="GI8246" s="422"/>
    </row>
    <row r="8247" spans="191:191" x14ac:dyDescent="0.2">
      <c r="GI8247" s="422"/>
    </row>
    <row r="8248" spans="191:191" x14ac:dyDescent="0.2">
      <c r="GI8248" s="422"/>
    </row>
    <row r="8249" spans="191:191" x14ac:dyDescent="0.2">
      <c r="GI8249" s="422"/>
    </row>
    <row r="8250" spans="191:191" x14ac:dyDescent="0.2">
      <c r="GI8250" s="422"/>
    </row>
    <row r="8251" spans="191:191" x14ac:dyDescent="0.2">
      <c r="GI8251" s="422"/>
    </row>
    <row r="8252" spans="191:191" x14ac:dyDescent="0.2">
      <c r="GI8252" s="422"/>
    </row>
    <row r="8253" spans="191:191" x14ac:dyDescent="0.2">
      <c r="GI8253" s="422"/>
    </row>
    <row r="8254" spans="191:191" x14ac:dyDescent="0.2">
      <c r="GI8254" s="422"/>
    </row>
    <row r="8255" spans="191:191" x14ac:dyDescent="0.2">
      <c r="GI8255" s="422"/>
    </row>
    <row r="8256" spans="191:191" x14ac:dyDescent="0.2">
      <c r="GI8256" s="422"/>
    </row>
    <row r="8257" spans="191:191" x14ac:dyDescent="0.2">
      <c r="GI8257" s="422"/>
    </row>
    <row r="8258" spans="191:191" x14ac:dyDescent="0.2">
      <c r="GI8258" s="422"/>
    </row>
    <row r="8259" spans="191:191" x14ac:dyDescent="0.2">
      <c r="GI8259" s="422"/>
    </row>
    <row r="8260" spans="191:191" x14ac:dyDescent="0.2">
      <c r="GI8260" s="422"/>
    </row>
    <row r="8261" spans="191:191" x14ac:dyDescent="0.2">
      <c r="GI8261" s="422"/>
    </row>
    <row r="8262" spans="191:191" x14ac:dyDescent="0.2">
      <c r="GI8262" s="422"/>
    </row>
    <row r="8263" spans="191:191" x14ac:dyDescent="0.2">
      <c r="GI8263" s="422"/>
    </row>
    <row r="8264" spans="191:191" x14ac:dyDescent="0.2">
      <c r="GI8264" s="422"/>
    </row>
    <row r="8265" spans="191:191" x14ac:dyDescent="0.2">
      <c r="GI8265" s="422"/>
    </row>
    <row r="8266" spans="191:191" x14ac:dyDescent="0.2">
      <c r="GI8266" s="422"/>
    </row>
    <row r="8267" spans="191:191" x14ac:dyDescent="0.2">
      <c r="GI8267" s="422"/>
    </row>
    <row r="8268" spans="191:191" x14ac:dyDescent="0.2">
      <c r="GI8268" s="422"/>
    </row>
    <row r="8269" spans="191:191" x14ac:dyDescent="0.2">
      <c r="GI8269" s="422"/>
    </row>
    <row r="8270" spans="191:191" x14ac:dyDescent="0.2">
      <c r="GI8270" s="422"/>
    </row>
    <row r="8271" spans="191:191" x14ac:dyDescent="0.2">
      <c r="GI8271" s="422"/>
    </row>
    <row r="8272" spans="191:191" x14ac:dyDescent="0.2">
      <c r="GI8272" s="422"/>
    </row>
    <row r="8273" spans="191:191" x14ac:dyDescent="0.2">
      <c r="GI8273" s="422"/>
    </row>
    <row r="8274" spans="191:191" x14ac:dyDescent="0.2">
      <c r="GI8274" s="422"/>
    </row>
    <row r="8275" spans="191:191" x14ac:dyDescent="0.2">
      <c r="GI8275" s="422"/>
    </row>
    <row r="8276" spans="191:191" x14ac:dyDescent="0.2">
      <c r="GI8276" s="422"/>
    </row>
    <row r="8277" spans="191:191" x14ac:dyDescent="0.2">
      <c r="GI8277" s="422"/>
    </row>
    <row r="8278" spans="191:191" x14ac:dyDescent="0.2">
      <c r="GI8278" s="422"/>
    </row>
    <row r="8279" spans="191:191" x14ac:dyDescent="0.2">
      <c r="GI8279" s="422"/>
    </row>
    <row r="8280" spans="191:191" x14ac:dyDescent="0.2">
      <c r="GI8280" s="422"/>
    </row>
    <row r="8281" spans="191:191" x14ac:dyDescent="0.2">
      <c r="GI8281" s="422"/>
    </row>
    <row r="8282" spans="191:191" x14ac:dyDescent="0.2">
      <c r="GI8282" s="422"/>
    </row>
    <row r="8283" spans="191:191" x14ac:dyDescent="0.2">
      <c r="GI8283" s="422"/>
    </row>
    <row r="8284" spans="191:191" x14ac:dyDescent="0.2">
      <c r="GI8284" s="422"/>
    </row>
    <row r="8285" spans="191:191" x14ac:dyDescent="0.2">
      <c r="GI8285" s="422"/>
    </row>
    <row r="8286" spans="191:191" x14ac:dyDescent="0.2">
      <c r="GI8286" s="422"/>
    </row>
    <row r="8287" spans="191:191" x14ac:dyDescent="0.2">
      <c r="GI8287" s="422"/>
    </row>
    <row r="8288" spans="191:191" x14ac:dyDescent="0.2">
      <c r="GI8288" s="422"/>
    </row>
    <row r="8289" spans="191:191" x14ac:dyDescent="0.2">
      <c r="GI8289" s="422"/>
    </row>
    <row r="8290" spans="191:191" x14ac:dyDescent="0.2">
      <c r="GI8290" s="422"/>
    </row>
    <row r="8291" spans="191:191" x14ac:dyDescent="0.2">
      <c r="GI8291" s="422"/>
    </row>
    <row r="8292" spans="191:191" x14ac:dyDescent="0.2">
      <c r="GI8292" s="422"/>
    </row>
    <row r="8293" spans="191:191" x14ac:dyDescent="0.2">
      <c r="GI8293" s="422"/>
    </row>
    <row r="8294" spans="191:191" x14ac:dyDescent="0.2">
      <c r="GI8294" s="422"/>
    </row>
    <row r="8295" spans="191:191" x14ac:dyDescent="0.2">
      <c r="GI8295" s="422"/>
    </row>
    <row r="8296" spans="191:191" x14ac:dyDescent="0.2">
      <c r="GI8296" s="422"/>
    </row>
    <row r="8297" spans="191:191" x14ac:dyDescent="0.2">
      <c r="GI8297" s="422"/>
    </row>
    <row r="8298" spans="191:191" x14ac:dyDescent="0.2">
      <c r="GI8298" s="422"/>
    </row>
    <row r="8299" spans="191:191" x14ac:dyDescent="0.2">
      <c r="GI8299" s="422"/>
    </row>
    <row r="8300" spans="191:191" x14ac:dyDescent="0.2">
      <c r="GI8300" s="422"/>
    </row>
    <row r="8301" spans="191:191" x14ac:dyDescent="0.2">
      <c r="GI8301" s="422"/>
    </row>
    <row r="8302" spans="191:191" x14ac:dyDescent="0.2">
      <c r="GI8302" s="422"/>
    </row>
    <row r="8303" spans="191:191" x14ac:dyDescent="0.2">
      <c r="GI8303" s="422"/>
    </row>
    <row r="8304" spans="191:191" x14ac:dyDescent="0.2">
      <c r="GI8304" s="422"/>
    </row>
    <row r="8305" spans="191:191" x14ac:dyDescent="0.2">
      <c r="GI8305" s="422"/>
    </row>
    <row r="8306" spans="191:191" x14ac:dyDescent="0.2">
      <c r="GI8306" s="422"/>
    </row>
    <row r="8307" spans="191:191" x14ac:dyDescent="0.2">
      <c r="GI8307" s="422"/>
    </row>
    <row r="8308" spans="191:191" x14ac:dyDescent="0.2">
      <c r="GI8308" s="422"/>
    </row>
    <row r="8309" spans="191:191" x14ac:dyDescent="0.2">
      <c r="GI8309" s="422"/>
    </row>
    <row r="8310" spans="191:191" x14ac:dyDescent="0.2">
      <c r="GI8310" s="422"/>
    </row>
    <row r="8311" spans="191:191" x14ac:dyDescent="0.2">
      <c r="GI8311" s="422"/>
    </row>
    <row r="8312" spans="191:191" x14ac:dyDescent="0.2">
      <c r="GI8312" s="422"/>
    </row>
    <row r="8313" spans="191:191" x14ac:dyDescent="0.2">
      <c r="GI8313" s="422"/>
    </row>
    <row r="8314" spans="191:191" x14ac:dyDescent="0.2">
      <c r="GI8314" s="422"/>
    </row>
    <row r="8315" spans="191:191" x14ac:dyDescent="0.2">
      <c r="GI8315" s="422"/>
    </row>
    <row r="8316" spans="191:191" x14ac:dyDescent="0.2">
      <c r="GI8316" s="422"/>
    </row>
    <row r="8317" spans="191:191" x14ac:dyDescent="0.2">
      <c r="GI8317" s="422"/>
    </row>
    <row r="8318" spans="191:191" x14ac:dyDescent="0.2">
      <c r="GI8318" s="422"/>
    </row>
    <row r="8319" spans="191:191" x14ac:dyDescent="0.2">
      <c r="GI8319" s="422"/>
    </row>
    <row r="8320" spans="191:191" x14ac:dyDescent="0.2">
      <c r="GI8320" s="422"/>
    </row>
    <row r="8321" spans="191:191" x14ac:dyDescent="0.2">
      <c r="GI8321" s="422"/>
    </row>
    <row r="8322" spans="191:191" x14ac:dyDescent="0.2">
      <c r="GI8322" s="422"/>
    </row>
    <row r="8323" spans="191:191" x14ac:dyDescent="0.2">
      <c r="GI8323" s="422"/>
    </row>
    <row r="8324" spans="191:191" x14ac:dyDescent="0.2">
      <c r="GI8324" s="422"/>
    </row>
    <row r="8325" spans="191:191" x14ac:dyDescent="0.2">
      <c r="GI8325" s="422"/>
    </row>
    <row r="8326" spans="191:191" x14ac:dyDescent="0.2">
      <c r="GI8326" s="422"/>
    </row>
    <row r="8327" spans="191:191" x14ac:dyDescent="0.2">
      <c r="GI8327" s="422"/>
    </row>
    <row r="8328" spans="191:191" x14ac:dyDescent="0.2">
      <c r="GI8328" s="422"/>
    </row>
    <row r="8329" spans="191:191" x14ac:dyDescent="0.2">
      <c r="GI8329" s="422"/>
    </row>
    <row r="8330" spans="191:191" x14ac:dyDescent="0.2">
      <c r="GI8330" s="422"/>
    </row>
    <row r="8331" spans="191:191" x14ac:dyDescent="0.2">
      <c r="GI8331" s="422"/>
    </row>
    <row r="8332" spans="191:191" x14ac:dyDescent="0.2">
      <c r="GI8332" s="422"/>
    </row>
    <row r="8333" spans="191:191" x14ac:dyDescent="0.2">
      <c r="GI8333" s="422"/>
    </row>
    <row r="8334" spans="191:191" x14ac:dyDescent="0.2">
      <c r="GI8334" s="422"/>
    </row>
    <row r="8335" spans="191:191" x14ac:dyDescent="0.2">
      <c r="GI8335" s="422"/>
    </row>
    <row r="8336" spans="191:191" x14ac:dyDescent="0.2">
      <c r="GI8336" s="422"/>
    </row>
    <row r="8337" spans="191:191" x14ac:dyDescent="0.2">
      <c r="GI8337" s="422"/>
    </row>
    <row r="8338" spans="191:191" x14ac:dyDescent="0.2">
      <c r="GI8338" s="422"/>
    </row>
    <row r="8339" spans="191:191" x14ac:dyDescent="0.2">
      <c r="GI8339" s="422"/>
    </row>
    <row r="8340" spans="191:191" x14ac:dyDescent="0.2">
      <c r="GI8340" s="422"/>
    </row>
    <row r="8341" spans="191:191" x14ac:dyDescent="0.2">
      <c r="GI8341" s="422"/>
    </row>
    <row r="8342" spans="191:191" x14ac:dyDescent="0.2">
      <c r="GI8342" s="422"/>
    </row>
    <row r="8343" spans="191:191" x14ac:dyDescent="0.2">
      <c r="GI8343" s="422"/>
    </row>
    <row r="8344" spans="191:191" x14ac:dyDescent="0.2">
      <c r="GI8344" s="422"/>
    </row>
    <row r="8345" spans="191:191" x14ac:dyDescent="0.2">
      <c r="GI8345" s="422"/>
    </row>
    <row r="8346" spans="191:191" x14ac:dyDescent="0.2">
      <c r="GI8346" s="422"/>
    </row>
    <row r="8347" spans="191:191" x14ac:dyDescent="0.2">
      <c r="GI8347" s="422"/>
    </row>
    <row r="8348" spans="191:191" x14ac:dyDescent="0.2">
      <c r="GI8348" s="422"/>
    </row>
    <row r="8349" spans="191:191" x14ac:dyDescent="0.2">
      <c r="GI8349" s="422"/>
    </row>
    <row r="8350" spans="191:191" x14ac:dyDescent="0.2">
      <c r="GI8350" s="422"/>
    </row>
    <row r="8351" spans="191:191" x14ac:dyDescent="0.2">
      <c r="GI8351" s="422"/>
    </row>
    <row r="8352" spans="191:191" x14ac:dyDescent="0.2">
      <c r="GI8352" s="422"/>
    </row>
    <row r="8353" spans="191:191" x14ac:dyDescent="0.2">
      <c r="GI8353" s="422"/>
    </row>
    <row r="8354" spans="191:191" x14ac:dyDescent="0.2">
      <c r="GI8354" s="422"/>
    </row>
    <row r="8355" spans="191:191" x14ac:dyDescent="0.2">
      <c r="GI8355" s="422"/>
    </row>
    <row r="8356" spans="191:191" x14ac:dyDescent="0.2">
      <c r="GI8356" s="422"/>
    </row>
    <row r="8357" spans="191:191" x14ac:dyDescent="0.2">
      <c r="GI8357" s="422"/>
    </row>
    <row r="8358" spans="191:191" x14ac:dyDescent="0.2">
      <c r="GI8358" s="422"/>
    </row>
    <row r="8359" spans="191:191" x14ac:dyDescent="0.2">
      <c r="GI8359" s="422"/>
    </row>
    <row r="8360" spans="191:191" x14ac:dyDescent="0.2">
      <c r="GI8360" s="422"/>
    </row>
    <row r="8361" spans="191:191" x14ac:dyDescent="0.2">
      <c r="GI8361" s="422"/>
    </row>
    <row r="8362" spans="191:191" x14ac:dyDescent="0.2">
      <c r="GI8362" s="422"/>
    </row>
    <row r="8363" spans="191:191" x14ac:dyDescent="0.2">
      <c r="GI8363" s="422"/>
    </row>
    <row r="8364" spans="191:191" x14ac:dyDescent="0.2">
      <c r="GI8364" s="422"/>
    </row>
    <row r="8365" spans="191:191" x14ac:dyDescent="0.2">
      <c r="GI8365" s="422"/>
    </row>
    <row r="8366" spans="191:191" x14ac:dyDescent="0.2">
      <c r="GI8366" s="422"/>
    </row>
    <row r="8367" spans="191:191" x14ac:dyDescent="0.2">
      <c r="GI8367" s="422"/>
    </row>
    <row r="8368" spans="191:191" x14ac:dyDescent="0.2">
      <c r="GI8368" s="422"/>
    </row>
    <row r="8369" spans="191:191" x14ac:dyDescent="0.2">
      <c r="GI8369" s="422"/>
    </row>
    <row r="8370" spans="191:191" x14ac:dyDescent="0.2">
      <c r="GI8370" s="422"/>
    </row>
    <row r="8371" spans="191:191" x14ac:dyDescent="0.2">
      <c r="GI8371" s="422"/>
    </row>
    <row r="8372" spans="191:191" x14ac:dyDescent="0.2">
      <c r="GI8372" s="422"/>
    </row>
    <row r="8373" spans="191:191" x14ac:dyDescent="0.2">
      <c r="GI8373" s="422"/>
    </row>
    <row r="8374" spans="191:191" x14ac:dyDescent="0.2">
      <c r="GI8374" s="422"/>
    </row>
    <row r="8375" spans="191:191" x14ac:dyDescent="0.2">
      <c r="GI8375" s="422"/>
    </row>
    <row r="8376" spans="191:191" x14ac:dyDescent="0.2">
      <c r="GI8376" s="422"/>
    </row>
    <row r="8377" spans="191:191" x14ac:dyDescent="0.2">
      <c r="GI8377" s="422"/>
    </row>
    <row r="8378" spans="191:191" x14ac:dyDescent="0.2">
      <c r="GI8378" s="422"/>
    </row>
    <row r="8379" spans="191:191" x14ac:dyDescent="0.2">
      <c r="GI8379" s="422"/>
    </row>
    <row r="8380" spans="191:191" x14ac:dyDescent="0.2">
      <c r="GI8380" s="422"/>
    </row>
    <row r="8381" spans="191:191" x14ac:dyDescent="0.2">
      <c r="GI8381" s="422"/>
    </row>
    <row r="8382" spans="191:191" x14ac:dyDescent="0.2">
      <c r="GI8382" s="422"/>
    </row>
    <row r="8383" spans="191:191" x14ac:dyDescent="0.2">
      <c r="GI8383" s="422"/>
    </row>
    <row r="8384" spans="191:191" x14ac:dyDescent="0.2">
      <c r="GI8384" s="422"/>
    </row>
    <row r="8385" spans="191:191" x14ac:dyDescent="0.2">
      <c r="GI8385" s="422"/>
    </row>
    <row r="8386" spans="191:191" x14ac:dyDescent="0.2">
      <c r="GI8386" s="422"/>
    </row>
    <row r="8387" spans="191:191" x14ac:dyDescent="0.2">
      <c r="GI8387" s="422"/>
    </row>
    <row r="8388" spans="191:191" x14ac:dyDescent="0.2">
      <c r="GI8388" s="422"/>
    </row>
    <row r="8389" spans="191:191" x14ac:dyDescent="0.2">
      <c r="GI8389" s="422"/>
    </row>
    <row r="8390" spans="191:191" x14ac:dyDescent="0.2">
      <c r="GI8390" s="422"/>
    </row>
    <row r="8391" spans="191:191" x14ac:dyDescent="0.2">
      <c r="GI8391" s="422"/>
    </row>
    <row r="8392" spans="191:191" x14ac:dyDescent="0.2">
      <c r="GI8392" s="422"/>
    </row>
    <row r="8393" spans="191:191" x14ac:dyDescent="0.2">
      <c r="GI8393" s="422"/>
    </row>
    <row r="8394" spans="191:191" x14ac:dyDescent="0.2">
      <c r="GI8394" s="422"/>
    </row>
    <row r="8395" spans="191:191" x14ac:dyDescent="0.2">
      <c r="GI8395" s="422"/>
    </row>
    <row r="8396" spans="191:191" x14ac:dyDescent="0.2">
      <c r="GI8396" s="422"/>
    </row>
    <row r="8397" spans="191:191" x14ac:dyDescent="0.2">
      <c r="GI8397" s="422"/>
    </row>
    <row r="8398" spans="191:191" x14ac:dyDescent="0.2">
      <c r="GI8398" s="422"/>
    </row>
    <row r="8399" spans="191:191" x14ac:dyDescent="0.2">
      <c r="GI8399" s="422"/>
    </row>
    <row r="8400" spans="191:191" x14ac:dyDescent="0.2">
      <c r="GI8400" s="422"/>
    </row>
    <row r="8401" spans="191:191" x14ac:dyDescent="0.2">
      <c r="GI8401" s="422"/>
    </row>
    <row r="8402" spans="191:191" x14ac:dyDescent="0.2">
      <c r="GI8402" s="422"/>
    </row>
    <row r="8403" spans="191:191" x14ac:dyDescent="0.2">
      <c r="GI8403" s="422"/>
    </row>
    <row r="8404" spans="191:191" x14ac:dyDescent="0.2">
      <c r="GI8404" s="422"/>
    </row>
    <row r="8405" spans="191:191" x14ac:dyDescent="0.2">
      <c r="GI8405" s="422"/>
    </row>
    <row r="8406" spans="191:191" x14ac:dyDescent="0.2">
      <c r="GI8406" s="422"/>
    </row>
    <row r="8407" spans="191:191" x14ac:dyDescent="0.2">
      <c r="GI8407" s="422"/>
    </row>
    <row r="8408" spans="191:191" x14ac:dyDescent="0.2">
      <c r="GI8408" s="422"/>
    </row>
    <row r="8409" spans="191:191" x14ac:dyDescent="0.2">
      <c r="GI8409" s="422"/>
    </row>
    <row r="8410" spans="191:191" x14ac:dyDescent="0.2">
      <c r="GI8410" s="422"/>
    </row>
    <row r="8411" spans="191:191" x14ac:dyDescent="0.2">
      <c r="GI8411" s="422"/>
    </row>
    <row r="8412" spans="191:191" x14ac:dyDescent="0.2">
      <c r="GI8412" s="422"/>
    </row>
    <row r="8413" spans="191:191" x14ac:dyDescent="0.2">
      <c r="GI8413" s="422"/>
    </row>
    <row r="8414" spans="191:191" x14ac:dyDescent="0.2">
      <c r="GI8414" s="422"/>
    </row>
    <row r="8415" spans="191:191" x14ac:dyDescent="0.2">
      <c r="GI8415" s="422"/>
    </row>
    <row r="8416" spans="191:191" x14ac:dyDescent="0.2">
      <c r="GI8416" s="422"/>
    </row>
    <row r="8417" spans="191:191" x14ac:dyDescent="0.2">
      <c r="GI8417" s="422"/>
    </row>
    <row r="8418" spans="191:191" x14ac:dyDescent="0.2">
      <c r="GI8418" s="422"/>
    </row>
    <row r="8419" spans="191:191" x14ac:dyDescent="0.2">
      <c r="GI8419" s="422"/>
    </row>
    <row r="8420" spans="191:191" x14ac:dyDescent="0.2">
      <c r="GI8420" s="422"/>
    </row>
    <row r="8421" spans="191:191" x14ac:dyDescent="0.2">
      <c r="GI8421" s="422"/>
    </row>
    <row r="8422" spans="191:191" x14ac:dyDescent="0.2">
      <c r="GI8422" s="422"/>
    </row>
    <row r="8423" spans="191:191" x14ac:dyDescent="0.2">
      <c r="GI8423" s="422"/>
    </row>
    <row r="8424" spans="191:191" x14ac:dyDescent="0.2">
      <c r="GI8424" s="422"/>
    </row>
    <row r="8425" spans="191:191" x14ac:dyDescent="0.2">
      <c r="GI8425" s="422"/>
    </row>
    <row r="8426" spans="191:191" x14ac:dyDescent="0.2">
      <c r="GI8426" s="422"/>
    </row>
    <row r="8427" spans="191:191" x14ac:dyDescent="0.2">
      <c r="GI8427" s="422"/>
    </row>
    <row r="8428" spans="191:191" x14ac:dyDescent="0.2">
      <c r="GI8428" s="422"/>
    </row>
    <row r="8429" spans="191:191" x14ac:dyDescent="0.2">
      <c r="GI8429" s="422"/>
    </row>
    <row r="8430" spans="191:191" x14ac:dyDescent="0.2">
      <c r="GI8430" s="422"/>
    </row>
    <row r="8431" spans="191:191" x14ac:dyDescent="0.2">
      <c r="GI8431" s="422"/>
    </row>
    <row r="8432" spans="191:191" x14ac:dyDescent="0.2">
      <c r="GI8432" s="422"/>
    </row>
    <row r="8433" spans="191:191" x14ac:dyDescent="0.2">
      <c r="GI8433" s="422"/>
    </row>
    <row r="8434" spans="191:191" x14ac:dyDescent="0.2">
      <c r="GI8434" s="422"/>
    </row>
    <row r="8435" spans="191:191" x14ac:dyDescent="0.2">
      <c r="GI8435" s="422"/>
    </row>
    <row r="8436" spans="191:191" x14ac:dyDescent="0.2">
      <c r="GI8436" s="422"/>
    </row>
    <row r="8437" spans="191:191" x14ac:dyDescent="0.2">
      <c r="GI8437" s="422"/>
    </row>
    <row r="8438" spans="191:191" x14ac:dyDescent="0.2">
      <c r="GI8438" s="422"/>
    </row>
    <row r="8439" spans="191:191" x14ac:dyDescent="0.2">
      <c r="GI8439" s="422"/>
    </row>
    <row r="8440" spans="191:191" x14ac:dyDescent="0.2">
      <c r="GI8440" s="422"/>
    </row>
    <row r="8441" spans="191:191" x14ac:dyDescent="0.2">
      <c r="GI8441" s="422"/>
    </row>
    <row r="8442" spans="191:191" x14ac:dyDescent="0.2">
      <c r="GI8442" s="422"/>
    </row>
    <row r="8443" spans="191:191" x14ac:dyDescent="0.2">
      <c r="GI8443" s="422"/>
    </row>
    <row r="8444" spans="191:191" x14ac:dyDescent="0.2">
      <c r="GI8444" s="422"/>
    </row>
    <row r="8445" spans="191:191" x14ac:dyDescent="0.2">
      <c r="GI8445" s="422"/>
    </row>
    <row r="8446" spans="191:191" x14ac:dyDescent="0.2">
      <c r="GI8446" s="422"/>
    </row>
    <row r="8447" spans="191:191" x14ac:dyDescent="0.2">
      <c r="GI8447" s="422"/>
    </row>
    <row r="8448" spans="191:191" x14ac:dyDescent="0.2">
      <c r="GI8448" s="422"/>
    </row>
    <row r="8449" spans="191:191" x14ac:dyDescent="0.2">
      <c r="GI8449" s="422"/>
    </row>
    <row r="8450" spans="191:191" x14ac:dyDescent="0.2">
      <c r="GI8450" s="422"/>
    </row>
    <row r="8451" spans="191:191" x14ac:dyDescent="0.2">
      <c r="GI8451" s="422"/>
    </row>
    <row r="8452" spans="191:191" x14ac:dyDescent="0.2">
      <c r="GI8452" s="422"/>
    </row>
    <row r="8453" spans="191:191" x14ac:dyDescent="0.2">
      <c r="GI8453" s="422"/>
    </row>
    <row r="8454" spans="191:191" x14ac:dyDescent="0.2">
      <c r="GI8454" s="422"/>
    </row>
    <row r="8455" spans="191:191" x14ac:dyDescent="0.2">
      <c r="GI8455" s="422"/>
    </row>
    <row r="8456" spans="191:191" x14ac:dyDescent="0.2">
      <c r="GI8456" s="422"/>
    </row>
    <row r="8457" spans="191:191" x14ac:dyDescent="0.2">
      <c r="GI8457" s="422"/>
    </row>
    <row r="8458" spans="191:191" x14ac:dyDescent="0.2">
      <c r="GI8458" s="422"/>
    </row>
    <row r="8459" spans="191:191" x14ac:dyDescent="0.2">
      <c r="GI8459" s="422"/>
    </row>
    <row r="8460" spans="191:191" x14ac:dyDescent="0.2">
      <c r="GI8460" s="422"/>
    </row>
    <row r="8461" spans="191:191" x14ac:dyDescent="0.2">
      <c r="GI8461" s="422"/>
    </row>
    <row r="8462" spans="191:191" x14ac:dyDescent="0.2">
      <c r="GI8462" s="422"/>
    </row>
    <row r="8463" spans="191:191" x14ac:dyDescent="0.2">
      <c r="GI8463" s="422"/>
    </row>
    <row r="8464" spans="191:191" x14ac:dyDescent="0.2">
      <c r="GI8464" s="422"/>
    </row>
    <row r="8465" spans="191:191" x14ac:dyDescent="0.2">
      <c r="GI8465" s="422"/>
    </row>
    <row r="8466" spans="191:191" x14ac:dyDescent="0.2">
      <c r="GI8466" s="422"/>
    </row>
    <row r="8467" spans="191:191" x14ac:dyDescent="0.2">
      <c r="GI8467" s="422"/>
    </row>
    <row r="8468" spans="191:191" x14ac:dyDescent="0.2">
      <c r="GI8468" s="422"/>
    </row>
    <row r="8469" spans="191:191" x14ac:dyDescent="0.2">
      <c r="GI8469" s="422"/>
    </row>
    <row r="8470" spans="191:191" x14ac:dyDescent="0.2">
      <c r="GI8470" s="422"/>
    </row>
    <row r="8471" spans="191:191" x14ac:dyDescent="0.2">
      <c r="GI8471" s="422"/>
    </row>
    <row r="8472" spans="191:191" x14ac:dyDescent="0.2">
      <c r="GI8472" s="422"/>
    </row>
    <row r="8473" spans="191:191" x14ac:dyDescent="0.2">
      <c r="GI8473" s="422"/>
    </row>
    <row r="8474" spans="191:191" x14ac:dyDescent="0.2">
      <c r="GI8474" s="422"/>
    </row>
    <row r="8475" spans="191:191" x14ac:dyDescent="0.2">
      <c r="GI8475" s="422"/>
    </row>
    <row r="8476" spans="191:191" x14ac:dyDescent="0.2">
      <c r="GI8476" s="422"/>
    </row>
    <row r="8477" spans="191:191" x14ac:dyDescent="0.2">
      <c r="GI8477" s="422"/>
    </row>
    <row r="8478" spans="191:191" x14ac:dyDescent="0.2">
      <c r="GI8478" s="422"/>
    </row>
    <row r="8479" spans="191:191" x14ac:dyDescent="0.2">
      <c r="GI8479" s="422"/>
    </row>
    <row r="8480" spans="191:191" x14ac:dyDescent="0.2">
      <c r="GI8480" s="422"/>
    </row>
    <row r="8481" spans="191:191" x14ac:dyDescent="0.2">
      <c r="GI8481" s="422"/>
    </row>
    <row r="8482" spans="191:191" x14ac:dyDescent="0.2">
      <c r="GI8482" s="422"/>
    </row>
    <row r="8483" spans="191:191" x14ac:dyDescent="0.2">
      <c r="GI8483" s="422"/>
    </row>
    <row r="8484" spans="191:191" x14ac:dyDescent="0.2">
      <c r="GI8484" s="422"/>
    </row>
    <row r="8485" spans="191:191" x14ac:dyDescent="0.2">
      <c r="GI8485" s="422"/>
    </row>
    <row r="8486" spans="191:191" x14ac:dyDescent="0.2">
      <c r="GI8486" s="422"/>
    </row>
    <row r="8487" spans="191:191" x14ac:dyDescent="0.2">
      <c r="GI8487" s="422"/>
    </row>
    <row r="8488" spans="191:191" x14ac:dyDescent="0.2">
      <c r="GI8488" s="422"/>
    </row>
    <row r="8489" spans="191:191" x14ac:dyDescent="0.2">
      <c r="GI8489" s="422"/>
    </row>
    <row r="8490" spans="191:191" x14ac:dyDescent="0.2">
      <c r="GI8490" s="422"/>
    </row>
    <row r="8491" spans="191:191" x14ac:dyDescent="0.2">
      <c r="GI8491" s="422"/>
    </row>
    <row r="8492" spans="191:191" x14ac:dyDescent="0.2">
      <c r="GI8492" s="422"/>
    </row>
    <row r="8493" spans="191:191" x14ac:dyDescent="0.2">
      <c r="GI8493" s="422"/>
    </row>
    <row r="8494" spans="191:191" x14ac:dyDescent="0.2">
      <c r="GI8494" s="422"/>
    </row>
    <row r="8495" spans="191:191" x14ac:dyDescent="0.2">
      <c r="GI8495" s="422"/>
    </row>
    <row r="8496" spans="191:191" x14ac:dyDescent="0.2">
      <c r="GI8496" s="422"/>
    </row>
    <row r="8497" spans="191:191" x14ac:dyDescent="0.2">
      <c r="GI8497" s="422"/>
    </row>
    <row r="8498" spans="191:191" x14ac:dyDescent="0.2">
      <c r="GI8498" s="422"/>
    </row>
    <row r="8499" spans="191:191" x14ac:dyDescent="0.2">
      <c r="GI8499" s="422"/>
    </row>
    <row r="8500" spans="191:191" x14ac:dyDescent="0.2">
      <c r="GI8500" s="422"/>
    </row>
    <row r="8501" spans="191:191" x14ac:dyDescent="0.2">
      <c r="GI8501" s="422"/>
    </row>
    <row r="8502" spans="191:191" x14ac:dyDescent="0.2">
      <c r="GI8502" s="422"/>
    </row>
    <row r="8503" spans="191:191" x14ac:dyDescent="0.2">
      <c r="GI8503" s="422"/>
    </row>
    <row r="8504" spans="191:191" x14ac:dyDescent="0.2">
      <c r="GI8504" s="422"/>
    </row>
    <row r="8505" spans="191:191" x14ac:dyDescent="0.2">
      <c r="GI8505" s="422"/>
    </row>
    <row r="8506" spans="191:191" x14ac:dyDescent="0.2">
      <c r="GI8506" s="422"/>
    </row>
    <row r="8507" spans="191:191" x14ac:dyDescent="0.2">
      <c r="GI8507" s="422"/>
    </row>
    <row r="8508" spans="191:191" x14ac:dyDescent="0.2">
      <c r="GI8508" s="422"/>
    </row>
    <row r="8509" spans="191:191" x14ac:dyDescent="0.2">
      <c r="GI8509" s="422"/>
    </row>
    <row r="8510" spans="191:191" x14ac:dyDescent="0.2">
      <c r="GI8510" s="422"/>
    </row>
    <row r="8511" spans="191:191" x14ac:dyDescent="0.2">
      <c r="GI8511" s="422"/>
    </row>
    <row r="8512" spans="191:191" x14ac:dyDescent="0.2">
      <c r="GI8512" s="422"/>
    </row>
    <row r="8513" spans="191:191" x14ac:dyDescent="0.2">
      <c r="GI8513" s="422"/>
    </row>
    <row r="8514" spans="191:191" x14ac:dyDescent="0.2">
      <c r="GI8514" s="422"/>
    </row>
    <row r="8515" spans="191:191" x14ac:dyDescent="0.2">
      <c r="GI8515" s="422"/>
    </row>
    <row r="8516" spans="191:191" x14ac:dyDescent="0.2">
      <c r="GI8516" s="422"/>
    </row>
    <row r="8517" spans="191:191" x14ac:dyDescent="0.2">
      <c r="GI8517" s="422"/>
    </row>
    <row r="8518" spans="191:191" x14ac:dyDescent="0.2">
      <c r="GI8518" s="422"/>
    </row>
    <row r="8519" spans="191:191" x14ac:dyDescent="0.2">
      <c r="GI8519" s="422"/>
    </row>
    <row r="8520" spans="191:191" x14ac:dyDescent="0.2">
      <c r="GI8520" s="422"/>
    </row>
    <row r="8521" spans="191:191" x14ac:dyDescent="0.2">
      <c r="GI8521" s="422"/>
    </row>
    <row r="8522" spans="191:191" x14ac:dyDescent="0.2">
      <c r="GI8522" s="422"/>
    </row>
    <row r="8523" spans="191:191" x14ac:dyDescent="0.2">
      <c r="GI8523" s="422"/>
    </row>
    <row r="8524" spans="191:191" x14ac:dyDescent="0.2">
      <c r="GI8524" s="422"/>
    </row>
    <row r="8525" spans="191:191" x14ac:dyDescent="0.2">
      <c r="GI8525" s="422"/>
    </row>
    <row r="8526" spans="191:191" x14ac:dyDescent="0.2">
      <c r="GI8526" s="422"/>
    </row>
    <row r="8527" spans="191:191" x14ac:dyDescent="0.2">
      <c r="GI8527" s="422"/>
    </row>
    <row r="8528" spans="191:191" x14ac:dyDescent="0.2">
      <c r="GI8528" s="422"/>
    </row>
    <row r="8529" spans="191:191" x14ac:dyDescent="0.2">
      <c r="GI8529" s="422"/>
    </row>
    <row r="8530" spans="191:191" x14ac:dyDescent="0.2">
      <c r="GI8530" s="422"/>
    </row>
    <row r="8531" spans="191:191" x14ac:dyDescent="0.2">
      <c r="GI8531" s="422"/>
    </row>
    <row r="8532" spans="191:191" x14ac:dyDescent="0.2">
      <c r="GI8532" s="422"/>
    </row>
    <row r="8533" spans="191:191" x14ac:dyDescent="0.2">
      <c r="GI8533" s="422"/>
    </row>
    <row r="8534" spans="191:191" x14ac:dyDescent="0.2">
      <c r="GI8534" s="422"/>
    </row>
    <row r="8535" spans="191:191" x14ac:dyDescent="0.2">
      <c r="GI8535" s="422"/>
    </row>
    <row r="8536" spans="191:191" x14ac:dyDescent="0.2">
      <c r="GI8536" s="422"/>
    </row>
    <row r="8537" spans="191:191" x14ac:dyDescent="0.2">
      <c r="GI8537" s="422"/>
    </row>
    <row r="8538" spans="191:191" x14ac:dyDescent="0.2">
      <c r="GI8538" s="422"/>
    </row>
    <row r="8539" spans="191:191" x14ac:dyDescent="0.2">
      <c r="GI8539" s="422"/>
    </row>
    <row r="8540" spans="191:191" x14ac:dyDescent="0.2">
      <c r="GI8540" s="422"/>
    </row>
    <row r="8541" spans="191:191" x14ac:dyDescent="0.2">
      <c r="GI8541" s="422"/>
    </row>
    <row r="8542" spans="191:191" x14ac:dyDescent="0.2">
      <c r="GI8542" s="422"/>
    </row>
    <row r="8543" spans="191:191" x14ac:dyDescent="0.2">
      <c r="GI8543" s="422"/>
    </row>
    <row r="8544" spans="191:191" x14ac:dyDescent="0.2">
      <c r="GI8544" s="422"/>
    </row>
    <row r="8545" spans="191:191" x14ac:dyDescent="0.2">
      <c r="GI8545" s="422"/>
    </row>
    <row r="8546" spans="191:191" x14ac:dyDescent="0.2">
      <c r="GI8546" s="422"/>
    </row>
    <row r="8547" spans="191:191" x14ac:dyDescent="0.2">
      <c r="GI8547" s="422"/>
    </row>
    <row r="8548" spans="191:191" x14ac:dyDescent="0.2">
      <c r="GI8548" s="422"/>
    </row>
    <row r="8549" spans="191:191" x14ac:dyDescent="0.2">
      <c r="GI8549" s="422"/>
    </row>
    <row r="8550" spans="191:191" x14ac:dyDescent="0.2">
      <c r="GI8550" s="422"/>
    </row>
    <row r="8551" spans="191:191" x14ac:dyDescent="0.2">
      <c r="GI8551" s="422"/>
    </row>
    <row r="8552" spans="191:191" x14ac:dyDescent="0.2">
      <c r="GI8552" s="422"/>
    </row>
    <row r="8553" spans="191:191" x14ac:dyDescent="0.2">
      <c r="GI8553" s="422"/>
    </row>
    <row r="8554" spans="191:191" x14ac:dyDescent="0.2">
      <c r="GI8554" s="422"/>
    </row>
    <row r="8555" spans="191:191" x14ac:dyDescent="0.2">
      <c r="GI8555" s="422"/>
    </row>
    <row r="8556" spans="191:191" x14ac:dyDescent="0.2">
      <c r="GI8556" s="422"/>
    </row>
    <row r="8557" spans="191:191" x14ac:dyDescent="0.2">
      <c r="GI8557" s="422"/>
    </row>
    <row r="8558" spans="191:191" x14ac:dyDescent="0.2">
      <c r="GI8558" s="422"/>
    </row>
    <row r="8559" spans="191:191" x14ac:dyDescent="0.2">
      <c r="GI8559" s="422"/>
    </row>
    <row r="8560" spans="191:191" x14ac:dyDescent="0.2">
      <c r="GI8560" s="422"/>
    </row>
    <row r="8561" spans="191:191" x14ac:dyDescent="0.2">
      <c r="GI8561" s="422"/>
    </row>
    <row r="8562" spans="191:191" x14ac:dyDescent="0.2">
      <c r="GI8562" s="422"/>
    </row>
    <row r="8563" spans="191:191" x14ac:dyDescent="0.2">
      <c r="GI8563" s="422"/>
    </row>
    <row r="8564" spans="191:191" x14ac:dyDescent="0.2">
      <c r="GI8564" s="422"/>
    </row>
    <row r="8565" spans="191:191" x14ac:dyDescent="0.2">
      <c r="GI8565" s="422"/>
    </row>
    <row r="8566" spans="191:191" x14ac:dyDescent="0.2">
      <c r="GI8566" s="422"/>
    </row>
    <row r="8567" spans="191:191" x14ac:dyDescent="0.2">
      <c r="GI8567" s="422"/>
    </row>
    <row r="8568" spans="191:191" x14ac:dyDescent="0.2">
      <c r="GI8568" s="422"/>
    </row>
    <row r="8569" spans="191:191" x14ac:dyDescent="0.2">
      <c r="GI8569" s="422"/>
    </row>
    <row r="8570" spans="191:191" x14ac:dyDescent="0.2">
      <c r="GI8570" s="422"/>
    </row>
    <row r="8571" spans="191:191" x14ac:dyDescent="0.2">
      <c r="GI8571" s="422"/>
    </row>
    <row r="8572" spans="191:191" x14ac:dyDescent="0.2">
      <c r="GI8572" s="422"/>
    </row>
    <row r="8573" spans="191:191" x14ac:dyDescent="0.2">
      <c r="GI8573" s="422"/>
    </row>
    <row r="8574" spans="191:191" x14ac:dyDescent="0.2">
      <c r="GI8574" s="422"/>
    </row>
    <row r="8575" spans="191:191" x14ac:dyDescent="0.2">
      <c r="GI8575" s="422"/>
    </row>
    <row r="8576" spans="191:191" x14ac:dyDescent="0.2">
      <c r="GI8576" s="422"/>
    </row>
    <row r="8577" spans="191:191" x14ac:dyDescent="0.2">
      <c r="GI8577" s="422"/>
    </row>
    <row r="8578" spans="191:191" x14ac:dyDescent="0.2">
      <c r="GI8578" s="422"/>
    </row>
    <row r="8579" spans="191:191" x14ac:dyDescent="0.2">
      <c r="GI8579" s="422"/>
    </row>
    <row r="8580" spans="191:191" x14ac:dyDescent="0.2">
      <c r="GI8580" s="422"/>
    </row>
    <row r="8581" spans="191:191" x14ac:dyDescent="0.2">
      <c r="GI8581" s="422"/>
    </row>
    <row r="8582" spans="191:191" x14ac:dyDescent="0.2">
      <c r="GI8582" s="422"/>
    </row>
    <row r="8583" spans="191:191" x14ac:dyDescent="0.2">
      <c r="GI8583" s="422"/>
    </row>
    <row r="8584" spans="191:191" x14ac:dyDescent="0.2">
      <c r="GI8584" s="422"/>
    </row>
    <row r="8585" spans="191:191" x14ac:dyDescent="0.2">
      <c r="GI8585" s="422"/>
    </row>
    <row r="8586" spans="191:191" x14ac:dyDescent="0.2">
      <c r="GI8586" s="422"/>
    </row>
    <row r="8587" spans="191:191" x14ac:dyDescent="0.2">
      <c r="GI8587" s="422"/>
    </row>
    <row r="8588" spans="191:191" x14ac:dyDescent="0.2">
      <c r="GI8588" s="422"/>
    </row>
    <row r="8589" spans="191:191" x14ac:dyDescent="0.2">
      <c r="GI8589" s="422"/>
    </row>
    <row r="8590" spans="191:191" x14ac:dyDescent="0.2">
      <c r="GI8590" s="422"/>
    </row>
    <row r="8591" spans="191:191" x14ac:dyDescent="0.2">
      <c r="GI8591" s="422"/>
    </row>
    <row r="8592" spans="191:191" x14ac:dyDescent="0.2">
      <c r="GI8592" s="422"/>
    </row>
    <row r="8593" spans="191:191" x14ac:dyDescent="0.2">
      <c r="GI8593" s="422"/>
    </row>
    <row r="8594" spans="191:191" x14ac:dyDescent="0.2">
      <c r="GI8594" s="422"/>
    </row>
    <row r="8595" spans="191:191" x14ac:dyDescent="0.2">
      <c r="GI8595" s="422"/>
    </row>
    <row r="8596" spans="191:191" x14ac:dyDescent="0.2">
      <c r="GI8596" s="422"/>
    </row>
    <row r="8597" spans="191:191" x14ac:dyDescent="0.2">
      <c r="GI8597" s="422"/>
    </row>
    <row r="8598" spans="191:191" x14ac:dyDescent="0.2">
      <c r="GI8598" s="422"/>
    </row>
    <row r="8599" spans="191:191" x14ac:dyDescent="0.2">
      <c r="GI8599" s="422"/>
    </row>
    <row r="8600" spans="191:191" x14ac:dyDescent="0.2">
      <c r="GI8600" s="422"/>
    </row>
    <row r="8601" spans="191:191" x14ac:dyDescent="0.2">
      <c r="GI8601" s="422"/>
    </row>
    <row r="8602" spans="191:191" x14ac:dyDescent="0.2">
      <c r="GI8602" s="422"/>
    </row>
    <row r="8603" spans="191:191" x14ac:dyDescent="0.2">
      <c r="GI8603" s="422"/>
    </row>
    <row r="8604" spans="191:191" x14ac:dyDescent="0.2">
      <c r="GI8604" s="422"/>
    </row>
    <row r="8605" spans="191:191" x14ac:dyDescent="0.2">
      <c r="GI8605" s="422"/>
    </row>
    <row r="8606" spans="191:191" x14ac:dyDescent="0.2">
      <c r="GI8606" s="422"/>
    </row>
    <row r="8607" spans="191:191" x14ac:dyDescent="0.2">
      <c r="GI8607" s="422"/>
    </row>
    <row r="8608" spans="191:191" x14ac:dyDescent="0.2">
      <c r="GI8608" s="422"/>
    </row>
    <row r="8609" spans="191:191" x14ac:dyDescent="0.2">
      <c r="GI8609" s="422"/>
    </row>
    <row r="8610" spans="191:191" x14ac:dyDescent="0.2">
      <c r="GI8610" s="422"/>
    </row>
    <row r="8611" spans="191:191" x14ac:dyDescent="0.2">
      <c r="GI8611" s="422"/>
    </row>
    <row r="8612" spans="191:191" x14ac:dyDescent="0.2">
      <c r="GI8612" s="422"/>
    </row>
    <row r="8613" spans="191:191" x14ac:dyDescent="0.2">
      <c r="GI8613" s="422"/>
    </row>
    <row r="8614" spans="191:191" x14ac:dyDescent="0.2">
      <c r="GI8614" s="422"/>
    </row>
    <row r="8615" spans="191:191" x14ac:dyDescent="0.2">
      <c r="GI8615" s="422"/>
    </row>
    <row r="8616" spans="191:191" x14ac:dyDescent="0.2">
      <c r="GI8616" s="422"/>
    </row>
    <row r="8617" spans="191:191" x14ac:dyDescent="0.2">
      <c r="GI8617" s="422"/>
    </row>
    <row r="8618" spans="191:191" x14ac:dyDescent="0.2">
      <c r="GI8618" s="422"/>
    </row>
    <row r="8619" spans="191:191" x14ac:dyDescent="0.2">
      <c r="GI8619" s="422"/>
    </row>
    <row r="8620" spans="191:191" x14ac:dyDescent="0.2">
      <c r="GI8620" s="422"/>
    </row>
    <row r="8621" spans="191:191" x14ac:dyDescent="0.2">
      <c r="GI8621" s="422"/>
    </row>
    <row r="8622" spans="191:191" x14ac:dyDescent="0.2">
      <c r="GI8622" s="422"/>
    </row>
    <row r="8623" spans="191:191" x14ac:dyDescent="0.2">
      <c r="GI8623" s="422"/>
    </row>
    <row r="8624" spans="191:191" x14ac:dyDescent="0.2">
      <c r="GI8624" s="422"/>
    </row>
    <row r="8625" spans="191:191" x14ac:dyDescent="0.2">
      <c r="GI8625" s="422"/>
    </row>
    <row r="8626" spans="191:191" x14ac:dyDescent="0.2">
      <c r="GI8626" s="422"/>
    </row>
    <row r="8627" spans="191:191" x14ac:dyDescent="0.2">
      <c r="GI8627" s="422"/>
    </row>
    <row r="8628" spans="191:191" x14ac:dyDescent="0.2">
      <c r="GI8628" s="422"/>
    </row>
    <row r="8629" spans="191:191" x14ac:dyDescent="0.2">
      <c r="GI8629" s="422"/>
    </row>
    <row r="8630" spans="191:191" x14ac:dyDescent="0.2">
      <c r="GI8630" s="422"/>
    </row>
    <row r="8631" spans="191:191" x14ac:dyDescent="0.2">
      <c r="GI8631" s="422"/>
    </row>
    <row r="8632" spans="191:191" x14ac:dyDescent="0.2">
      <c r="GI8632" s="422"/>
    </row>
    <row r="8633" spans="191:191" x14ac:dyDescent="0.2">
      <c r="GI8633" s="422"/>
    </row>
    <row r="8634" spans="191:191" x14ac:dyDescent="0.2">
      <c r="GI8634" s="422"/>
    </row>
    <row r="8635" spans="191:191" x14ac:dyDescent="0.2">
      <c r="GI8635" s="422"/>
    </row>
    <row r="8636" spans="191:191" x14ac:dyDescent="0.2">
      <c r="GI8636" s="422"/>
    </row>
    <row r="8637" spans="191:191" x14ac:dyDescent="0.2">
      <c r="GI8637" s="422"/>
    </row>
    <row r="8638" spans="191:191" x14ac:dyDescent="0.2">
      <c r="GI8638" s="422"/>
    </row>
    <row r="8639" spans="191:191" x14ac:dyDescent="0.2">
      <c r="GI8639" s="422"/>
    </row>
    <row r="8640" spans="191:191" x14ac:dyDescent="0.2">
      <c r="GI8640" s="422"/>
    </row>
    <row r="8641" spans="191:191" x14ac:dyDescent="0.2">
      <c r="GI8641" s="422"/>
    </row>
    <row r="8642" spans="191:191" x14ac:dyDescent="0.2">
      <c r="GI8642" s="422"/>
    </row>
    <row r="8643" spans="191:191" x14ac:dyDescent="0.2">
      <c r="GI8643" s="422"/>
    </row>
    <row r="8644" spans="191:191" x14ac:dyDescent="0.2">
      <c r="GI8644" s="422"/>
    </row>
    <row r="8645" spans="191:191" x14ac:dyDescent="0.2">
      <c r="GI8645" s="422"/>
    </row>
    <row r="8646" spans="191:191" x14ac:dyDescent="0.2">
      <c r="GI8646" s="422"/>
    </row>
    <row r="8647" spans="191:191" x14ac:dyDescent="0.2">
      <c r="GI8647" s="422"/>
    </row>
    <row r="8648" spans="191:191" x14ac:dyDescent="0.2">
      <c r="GI8648" s="422"/>
    </row>
    <row r="8649" spans="191:191" x14ac:dyDescent="0.2">
      <c r="GI8649" s="422"/>
    </row>
    <row r="8650" spans="191:191" x14ac:dyDescent="0.2">
      <c r="GI8650" s="422"/>
    </row>
    <row r="8651" spans="191:191" x14ac:dyDescent="0.2">
      <c r="GI8651" s="422"/>
    </row>
    <row r="8652" spans="191:191" x14ac:dyDescent="0.2">
      <c r="GI8652" s="422"/>
    </row>
    <row r="8653" spans="191:191" x14ac:dyDescent="0.2">
      <c r="GI8653" s="422"/>
    </row>
    <row r="8654" spans="191:191" x14ac:dyDescent="0.2">
      <c r="GI8654" s="422"/>
    </row>
    <row r="8655" spans="191:191" x14ac:dyDescent="0.2">
      <c r="GI8655" s="422"/>
    </row>
    <row r="8656" spans="191:191" x14ac:dyDescent="0.2">
      <c r="GI8656" s="422"/>
    </row>
    <row r="8657" spans="191:191" x14ac:dyDescent="0.2">
      <c r="GI8657" s="422"/>
    </row>
    <row r="8658" spans="191:191" x14ac:dyDescent="0.2">
      <c r="GI8658" s="422"/>
    </row>
    <row r="8659" spans="191:191" x14ac:dyDescent="0.2">
      <c r="GI8659" s="422"/>
    </row>
    <row r="8660" spans="191:191" x14ac:dyDescent="0.2">
      <c r="GI8660" s="422"/>
    </row>
    <row r="8661" spans="191:191" x14ac:dyDescent="0.2">
      <c r="GI8661" s="422"/>
    </row>
    <row r="8662" spans="191:191" x14ac:dyDescent="0.2">
      <c r="GI8662" s="422"/>
    </row>
    <row r="8663" spans="191:191" x14ac:dyDescent="0.2">
      <c r="GI8663" s="422"/>
    </row>
    <row r="8664" spans="191:191" x14ac:dyDescent="0.2">
      <c r="GI8664" s="422"/>
    </row>
    <row r="8665" spans="191:191" x14ac:dyDescent="0.2">
      <c r="GI8665" s="422"/>
    </row>
    <row r="8666" spans="191:191" x14ac:dyDescent="0.2">
      <c r="GI8666" s="422"/>
    </row>
    <row r="8667" spans="191:191" x14ac:dyDescent="0.2">
      <c r="GI8667" s="422"/>
    </row>
    <row r="8668" spans="191:191" x14ac:dyDescent="0.2">
      <c r="GI8668" s="422"/>
    </row>
    <row r="8669" spans="191:191" x14ac:dyDescent="0.2">
      <c r="GI8669" s="422"/>
    </row>
    <row r="8670" spans="191:191" x14ac:dyDescent="0.2">
      <c r="GI8670" s="422"/>
    </row>
    <row r="8671" spans="191:191" x14ac:dyDescent="0.2">
      <c r="GI8671" s="422"/>
    </row>
    <row r="8672" spans="191:191" x14ac:dyDescent="0.2">
      <c r="GI8672" s="422"/>
    </row>
    <row r="8673" spans="191:191" x14ac:dyDescent="0.2">
      <c r="GI8673" s="422"/>
    </row>
    <row r="8674" spans="191:191" x14ac:dyDescent="0.2">
      <c r="GI8674" s="422"/>
    </row>
    <row r="8675" spans="191:191" x14ac:dyDescent="0.2">
      <c r="GI8675" s="422"/>
    </row>
    <row r="8676" spans="191:191" x14ac:dyDescent="0.2">
      <c r="GI8676" s="422"/>
    </row>
    <row r="8677" spans="191:191" x14ac:dyDescent="0.2">
      <c r="GI8677" s="422"/>
    </row>
    <row r="8678" spans="191:191" x14ac:dyDescent="0.2">
      <c r="GI8678" s="422"/>
    </row>
    <row r="8679" spans="191:191" x14ac:dyDescent="0.2">
      <c r="GI8679" s="422"/>
    </row>
    <row r="8680" spans="191:191" x14ac:dyDescent="0.2">
      <c r="GI8680" s="422"/>
    </row>
    <row r="8681" spans="191:191" x14ac:dyDescent="0.2">
      <c r="GI8681" s="422"/>
    </row>
    <row r="8682" spans="191:191" x14ac:dyDescent="0.2">
      <c r="GI8682" s="422"/>
    </row>
    <row r="8683" spans="191:191" x14ac:dyDescent="0.2">
      <c r="GI8683" s="422"/>
    </row>
    <row r="8684" spans="191:191" x14ac:dyDescent="0.2">
      <c r="GI8684" s="422"/>
    </row>
    <row r="8685" spans="191:191" x14ac:dyDescent="0.2">
      <c r="GI8685" s="422"/>
    </row>
    <row r="8686" spans="191:191" x14ac:dyDescent="0.2">
      <c r="GI8686" s="422"/>
    </row>
    <row r="8687" spans="191:191" x14ac:dyDescent="0.2">
      <c r="GI8687" s="422"/>
    </row>
    <row r="8688" spans="191:191" x14ac:dyDescent="0.2">
      <c r="GI8688" s="422"/>
    </row>
    <row r="8689" spans="191:191" x14ac:dyDescent="0.2">
      <c r="GI8689" s="422"/>
    </row>
    <row r="8690" spans="191:191" x14ac:dyDescent="0.2">
      <c r="GI8690" s="422"/>
    </row>
    <row r="8691" spans="191:191" x14ac:dyDescent="0.2">
      <c r="GI8691" s="422"/>
    </row>
    <row r="8692" spans="191:191" x14ac:dyDescent="0.2">
      <c r="GI8692" s="422"/>
    </row>
    <row r="8693" spans="191:191" x14ac:dyDescent="0.2">
      <c r="GI8693" s="422"/>
    </row>
    <row r="8694" spans="191:191" x14ac:dyDescent="0.2">
      <c r="GI8694" s="422"/>
    </row>
    <row r="8695" spans="191:191" x14ac:dyDescent="0.2">
      <c r="GI8695" s="422"/>
    </row>
    <row r="8696" spans="191:191" x14ac:dyDescent="0.2">
      <c r="GI8696" s="422"/>
    </row>
    <row r="8697" spans="191:191" x14ac:dyDescent="0.2">
      <c r="GI8697" s="422"/>
    </row>
    <row r="8698" spans="191:191" x14ac:dyDescent="0.2">
      <c r="GI8698" s="422"/>
    </row>
    <row r="8699" spans="191:191" x14ac:dyDescent="0.2">
      <c r="GI8699" s="422"/>
    </row>
    <row r="8700" spans="191:191" x14ac:dyDescent="0.2">
      <c r="GI8700" s="422"/>
    </row>
    <row r="8701" spans="191:191" x14ac:dyDescent="0.2">
      <c r="GI8701" s="422"/>
    </row>
    <row r="8702" spans="191:191" x14ac:dyDescent="0.2">
      <c r="GI8702" s="422"/>
    </row>
    <row r="8703" spans="191:191" x14ac:dyDescent="0.2">
      <c r="GI8703" s="422"/>
    </row>
    <row r="8704" spans="191:191" x14ac:dyDescent="0.2">
      <c r="GI8704" s="422"/>
    </row>
    <row r="8705" spans="191:191" x14ac:dyDescent="0.2">
      <c r="GI8705" s="422"/>
    </row>
    <row r="8706" spans="191:191" x14ac:dyDescent="0.2">
      <c r="GI8706" s="422"/>
    </row>
    <row r="8707" spans="191:191" x14ac:dyDescent="0.2">
      <c r="GI8707" s="422"/>
    </row>
    <row r="8708" spans="191:191" x14ac:dyDescent="0.2">
      <c r="GI8708" s="422"/>
    </row>
    <row r="8709" spans="191:191" x14ac:dyDescent="0.2">
      <c r="GI8709" s="422"/>
    </row>
    <row r="8710" spans="191:191" x14ac:dyDescent="0.2">
      <c r="GI8710" s="422"/>
    </row>
    <row r="8711" spans="191:191" x14ac:dyDescent="0.2">
      <c r="GI8711" s="422"/>
    </row>
    <row r="8712" spans="191:191" x14ac:dyDescent="0.2">
      <c r="GI8712" s="422"/>
    </row>
    <row r="8713" spans="191:191" x14ac:dyDescent="0.2">
      <c r="GI8713" s="422"/>
    </row>
    <row r="8714" spans="191:191" x14ac:dyDescent="0.2">
      <c r="GI8714" s="422"/>
    </row>
    <row r="8715" spans="191:191" x14ac:dyDescent="0.2">
      <c r="GI8715" s="422"/>
    </row>
    <row r="8716" spans="191:191" x14ac:dyDescent="0.2">
      <c r="GI8716" s="422"/>
    </row>
    <row r="8717" spans="191:191" x14ac:dyDescent="0.2">
      <c r="GI8717" s="422"/>
    </row>
    <row r="8718" spans="191:191" x14ac:dyDescent="0.2">
      <c r="GI8718" s="422"/>
    </row>
    <row r="8719" spans="191:191" x14ac:dyDescent="0.2">
      <c r="GI8719" s="422"/>
    </row>
    <row r="8720" spans="191:191" x14ac:dyDescent="0.2">
      <c r="GI8720" s="422"/>
    </row>
    <row r="8721" spans="191:191" x14ac:dyDescent="0.2">
      <c r="GI8721" s="422"/>
    </row>
    <row r="8722" spans="191:191" x14ac:dyDescent="0.2">
      <c r="GI8722" s="422"/>
    </row>
    <row r="8723" spans="191:191" x14ac:dyDescent="0.2">
      <c r="GI8723" s="422"/>
    </row>
    <row r="8724" spans="191:191" x14ac:dyDescent="0.2">
      <c r="GI8724" s="422"/>
    </row>
    <row r="8725" spans="191:191" x14ac:dyDescent="0.2">
      <c r="GI8725" s="422"/>
    </row>
    <row r="8726" spans="191:191" x14ac:dyDescent="0.2">
      <c r="GI8726" s="422"/>
    </row>
    <row r="8727" spans="191:191" x14ac:dyDescent="0.2">
      <c r="GI8727" s="422"/>
    </row>
    <row r="8728" spans="191:191" x14ac:dyDescent="0.2">
      <c r="GI8728" s="422"/>
    </row>
    <row r="8729" spans="191:191" x14ac:dyDescent="0.2">
      <c r="GI8729" s="422"/>
    </row>
    <row r="8730" spans="191:191" x14ac:dyDescent="0.2">
      <c r="GI8730" s="422"/>
    </row>
    <row r="8731" spans="191:191" x14ac:dyDescent="0.2">
      <c r="GI8731" s="422"/>
    </row>
    <row r="8732" spans="191:191" x14ac:dyDescent="0.2">
      <c r="GI8732" s="422"/>
    </row>
    <row r="8733" spans="191:191" x14ac:dyDescent="0.2">
      <c r="GI8733" s="422"/>
    </row>
    <row r="8734" spans="191:191" x14ac:dyDescent="0.2">
      <c r="GI8734" s="422"/>
    </row>
    <row r="8735" spans="191:191" x14ac:dyDescent="0.2">
      <c r="GI8735" s="422"/>
    </row>
    <row r="8736" spans="191:191" x14ac:dyDescent="0.2">
      <c r="GI8736" s="422"/>
    </row>
    <row r="8737" spans="191:191" x14ac:dyDescent="0.2">
      <c r="GI8737" s="422"/>
    </row>
    <row r="8738" spans="191:191" x14ac:dyDescent="0.2">
      <c r="GI8738" s="422"/>
    </row>
    <row r="8739" spans="191:191" x14ac:dyDescent="0.2">
      <c r="GI8739" s="422"/>
    </row>
    <row r="8740" spans="191:191" x14ac:dyDescent="0.2">
      <c r="GI8740" s="422"/>
    </row>
    <row r="8741" spans="191:191" x14ac:dyDescent="0.2">
      <c r="GI8741" s="422"/>
    </row>
    <row r="8742" spans="191:191" x14ac:dyDescent="0.2">
      <c r="GI8742" s="422"/>
    </row>
    <row r="8743" spans="191:191" x14ac:dyDescent="0.2">
      <c r="GI8743" s="422"/>
    </row>
    <row r="8744" spans="191:191" x14ac:dyDescent="0.2">
      <c r="GI8744" s="422"/>
    </row>
    <row r="8745" spans="191:191" x14ac:dyDescent="0.2">
      <c r="GI8745" s="422"/>
    </row>
    <row r="8746" spans="191:191" x14ac:dyDescent="0.2">
      <c r="GI8746" s="422"/>
    </row>
    <row r="8747" spans="191:191" x14ac:dyDescent="0.2">
      <c r="GI8747" s="422"/>
    </row>
    <row r="8748" spans="191:191" x14ac:dyDescent="0.2">
      <c r="GI8748" s="422"/>
    </row>
    <row r="8749" spans="191:191" x14ac:dyDescent="0.2">
      <c r="GI8749" s="422"/>
    </row>
    <row r="8750" spans="191:191" x14ac:dyDescent="0.2">
      <c r="GI8750" s="422"/>
    </row>
    <row r="8751" spans="191:191" x14ac:dyDescent="0.2">
      <c r="GI8751" s="422"/>
    </row>
    <row r="8752" spans="191:191" x14ac:dyDescent="0.2">
      <c r="GI8752" s="422"/>
    </row>
    <row r="8753" spans="191:191" x14ac:dyDescent="0.2">
      <c r="GI8753" s="422"/>
    </row>
    <row r="8754" spans="191:191" x14ac:dyDescent="0.2">
      <c r="GI8754" s="422"/>
    </row>
    <row r="8755" spans="191:191" x14ac:dyDescent="0.2">
      <c r="GI8755" s="422"/>
    </row>
    <row r="8756" spans="191:191" x14ac:dyDescent="0.2">
      <c r="GI8756" s="422"/>
    </row>
    <row r="8757" spans="191:191" x14ac:dyDescent="0.2">
      <c r="GI8757" s="422"/>
    </row>
    <row r="8758" spans="191:191" x14ac:dyDescent="0.2">
      <c r="GI8758" s="422"/>
    </row>
    <row r="8759" spans="191:191" x14ac:dyDescent="0.2">
      <c r="GI8759" s="422"/>
    </row>
    <row r="8760" spans="191:191" x14ac:dyDescent="0.2">
      <c r="GI8760" s="422"/>
    </row>
    <row r="8761" spans="191:191" x14ac:dyDescent="0.2">
      <c r="GI8761" s="422"/>
    </row>
    <row r="8762" spans="191:191" x14ac:dyDescent="0.2">
      <c r="GI8762" s="422"/>
    </row>
    <row r="8763" spans="191:191" x14ac:dyDescent="0.2">
      <c r="GI8763" s="422"/>
    </row>
    <row r="8764" spans="191:191" x14ac:dyDescent="0.2">
      <c r="GI8764" s="422"/>
    </row>
    <row r="8765" spans="191:191" x14ac:dyDescent="0.2">
      <c r="GI8765" s="422"/>
    </row>
    <row r="8766" spans="191:191" x14ac:dyDescent="0.2">
      <c r="GI8766" s="422"/>
    </row>
    <row r="8767" spans="191:191" x14ac:dyDescent="0.2">
      <c r="GI8767" s="422"/>
    </row>
    <row r="8768" spans="191:191" x14ac:dyDescent="0.2">
      <c r="GI8768" s="422"/>
    </row>
    <row r="8769" spans="191:191" x14ac:dyDescent="0.2">
      <c r="GI8769" s="422"/>
    </row>
    <row r="8770" spans="191:191" x14ac:dyDescent="0.2">
      <c r="GI8770" s="422"/>
    </row>
    <row r="8771" spans="191:191" x14ac:dyDescent="0.2">
      <c r="GI8771" s="422"/>
    </row>
    <row r="8772" spans="191:191" x14ac:dyDescent="0.2">
      <c r="GI8772" s="422"/>
    </row>
    <row r="8773" spans="191:191" x14ac:dyDescent="0.2">
      <c r="GI8773" s="422"/>
    </row>
    <row r="8774" spans="191:191" x14ac:dyDescent="0.2">
      <c r="GI8774" s="422"/>
    </row>
    <row r="8775" spans="191:191" x14ac:dyDescent="0.2">
      <c r="GI8775" s="422"/>
    </row>
    <row r="8776" spans="191:191" x14ac:dyDescent="0.2">
      <c r="GI8776" s="422"/>
    </row>
    <row r="8777" spans="191:191" x14ac:dyDescent="0.2">
      <c r="GI8777" s="422"/>
    </row>
    <row r="8778" spans="191:191" x14ac:dyDescent="0.2">
      <c r="GI8778" s="422"/>
    </row>
    <row r="8779" spans="191:191" x14ac:dyDescent="0.2">
      <c r="GI8779" s="422"/>
    </row>
    <row r="8780" spans="191:191" x14ac:dyDescent="0.2">
      <c r="GI8780" s="422"/>
    </row>
    <row r="8781" spans="191:191" x14ac:dyDescent="0.2">
      <c r="GI8781" s="422"/>
    </row>
    <row r="8782" spans="191:191" x14ac:dyDescent="0.2">
      <c r="GI8782" s="422"/>
    </row>
    <row r="8783" spans="191:191" x14ac:dyDescent="0.2">
      <c r="GI8783" s="422"/>
    </row>
    <row r="8784" spans="191:191" x14ac:dyDescent="0.2">
      <c r="GI8784" s="422"/>
    </row>
    <row r="8785" spans="191:191" x14ac:dyDescent="0.2">
      <c r="GI8785" s="422"/>
    </row>
    <row r="8786" spans="191:191" x14ac:dyDescent="0.2">
      <c r="GI8786" s="422"/>
    </row>
    <row r="8787" spans="191:191" x14ac:dyDescent="0.2">
      <c r="GI8787" s="422"/>
    </row>
    <row r="8788" spans="191:191" x14ac:dyDescent="0.2">
      <c r="GI8788" s="422"/>
    </row>
    <row r="8789" spans="191:191" x14ac:dyDescent="0.2">
      <c r="GI8789" s="422"/>
    </row>
    <row r="8790" spans="191:191" x14ac:dyDescent="0.2">
      <c r="GI8790" s="422"/>
    </row>
    <row r="8791" spans="191:191" x14ac:dyDescent="0.2">
      <c r="GI8791" s="422"/>
    </row>
    <row r="8792" spans="191:191" x14ac:dyDescent="0.2">
      <c r="GI8792" s="422"/>
    </row>
    <row r="8793" spans="191:191" x14ac:dyDescent="0.2">
      <c r="GI8793" s="422"/>
    </row>
    <row r="8794" spans="191:191" x14ac:dyDescent="0.2">
      <c r="GI8794" s="422"/>
    </row>
    <row r="8795" spans="191:191" x14ac:dyDescent="0.2">
      <c r="GI8795" s="422"/>
    </row>
    <row r="8796" spans="191:191" x14ac:dyDescent="0.2">
      <c r="GI8796" s="422"/>
    </row>
    <row r="8797" spans="191:191" x14ac:dyDescent="0.2">
      <c r="GI8797" s="422"/>
    </row>
    <row r="8798" spans="191:191" x14ac:dyDescent="0.2">
      <c r="GI8798" s="422"/>
    </row>
    <row r="8799" spans="191:191" x14ac:dyDescent="0.2">
      <c r="GI8799" s="422"/>
    </row>
    <row r="8800" spans="191:191" x14ac:dyDescent="0.2">
      <c r="GI8800" s="422"/>
    </row>
    <row r="8801" spans="191:191" x14ac:dyDescent="0.2">
      <c r="GI8801" s="422"/>
    </row>
    <row r="8802" spans="191:191" x14ac:dyDescent="0.2">
      <c r="GI8802" s="422"/>
    </row>
    <row r="8803" spans="191:191" x14ac:dyDescent="0.2">
      <c r="GI8803" s="422"/>
    </row>
    <row r="8804" spans="191:191" x14ac:dyDescent="0.2">
      <c r="GI8804" s="422"/>
    </row>
    <row r="8805" spans="191:191" x14ac:dyDescent="0.2">
      <c r="GI8805" s="422"/>
    </row>
    <row r="8806" spans="191:191" x14ac:dyDescent="0.2">
      <c r="GI8806" s="422"/>
    </row>
    <row r="8807" spans="191:191" x14ac:dyDescent="0.2">
      <c r="GI8807" s="422"/>
    </row>
    <row r="8808" spans="191:191" x14ac:dyDescent="0.2">
      <c r="GI8808" s="422"/>
    </row>
    <row r="8809" spans="191:191" x14ac:dyDescent="0.2">
      <c r="GI8809" s="422"/>
    </row>
    <row r="8810" spans="191:191" x14ac:dyDescent="0.2">
      <c r="GI8810" s="422"/>
    </row>
    <row r="8811" spans="191:191" x14ac:dyDescent="0.2">
      <c r="GI8811" s="422"/>
    </row>
    <row r="8812" spans="191:191" x14ac:dyDescent="0.2">
      <c r="GI8812" s="422"/>
    </row>
    <row r="8813" spans="191:191" x14ac:dyDescent="0.2">
      <c r="GI8813" s="422"/>
    </row>
    <row r="8814" spans="191:191" x14ac:dyDescent="0.2">
      <c r="GI8814" s="422"/>
    </row>
    <row r="8815" spans="191:191" x14ac:dyDescent="0.2">
      <c r="GI8815" s="422"/>
    </row>
    <row r="8816" spans="191:191" x14ac:dyDescent="0.2">
      <c r="GI8816" s="422"/>
    </row>
    <row r="8817" spans="191:191" x14ac:dyDescent="0.2">
      <c r="GI8817" s="422"/>
    </row>
    <row r="8818" spans="191:191" x14ac:dyDescent="0.2">
      <c r="GI8818" s="422"/>
    </row>
    <row r="8819" spans="191:191" x14ac:dyDescent="0.2">
      <c r="GI8819" s="422"/>
    </row>
    <row r="8820" spans="191:191" x14ac:dyDescent="0.2">
      <c r="GI8820" s="422"/>
    </row>
    <row r="8821" spans="191:191" x14ac:dyDescent="0.2">
      <c r="GI8821" s="422"/>
    </row>
    <row r="8822" spans="191:191" x14ac:dyDescent="0.2">
      <c r="GI8822" s="422"/>
    </row>
    <row r="8823" spans="191:191" x14ac:dyDescent="0.2">
      <c r="GI8823" s="422"/>
    </row>
    <row r="8824" spans="191:191" x14ac:dyDescent="0.2">
      <c r="GI8824" s="422"/>
    </row>
    <row r="8825" spans="191:191" x14ac:dyDescent="0.2">
      <c r="GI8825" s="422"/>
    </row>
    <row r="8826" spans="191:191" x14ac:dyDescent="0.2">
      <c r="GI8826" s="422"/>
    </row>
    <row r="8827" spans="191:191" x14ac:dyDescent="0.2">
      <c r="GI8827" s="422"/>
    </row>
    <row r="8828" spans="191:191" x14ac:dyDescent="0.2">
      <c r="GI8828" s="422"/>
    </row>
    <row r="8829" spans="191:191" x14ac:dyDescent="0.2">
      <c r="GI8829" s="422"/>
    </row>
    <row r="8830" spans="191:191" x14ac:dyDescent="0.2">
      <c r="GI8830" s="422"/>
    </row>
    <row r="8831" spans="191:191" x14ac:dyDescent="0.2">
      <c r="GI8831" s="422"/>
    </row>
    <row r="8832" spans="191:191" x14ac:dyDescent="0.2">
      <c r="GI8832" s="422"/>
    </row>
    <row r="8833" spans="191:191" x14ac:dyDescent="0.2">
      <c r="GI8833" s="422"/>
    </row>
    <row r="8834" spans="191:191" x14ac:dyDescent="0.2">
      <c r="GI8834" s="422"/>
    </row>
    <row r="8835" spans="191:191" x14ac:dyDescent="0.2">
      <c r="GI8835" s="422"/>
    </row>
    <row r="8836" spans="191:191" x14ac:dyDescent="0.2">
      <c r="GI8836" s="422"/>
    </row>
    <row r="8837" spans="191:191" x14ac:dyDescent="0.2">
      <c r="GI8837" s="422"/>
    </row>
    <row r="8838" spans="191:191" x14ac:dyDescent="0.2">
      <c r="GI8838" s="422"/>
    </row>
    <row r="8839" spans="191:191" x14ac:dyDescent="0.2">
      <c r="GI8839" s="422"/>
    </row>
    <row r="8840" spans="191:191" x14ac:dyDescent="0.2">
      <c r="GI8840" s="422"/>
    </row>
    <row r="8841" spans="191:191" x14ac:dyDescent="0.2">
      <c r="GI8841" s="422"/>
    </row>
    <row r="8842" spans="191:191" x14ac:dyDescent="0.2">
      <c r="GI8842" s="422"/>
    </row>
    <row r="8843" spans="191:191" x14ac:dyDescent="0.2">
      <c r="GI8843" s="422"/>
    </row>
    <row r="8844" spans="191:191" x14ac:dyDescent="0.2">
      <c r="GI8844" s="422"/>
    </row>
    <row r="8845" spans="191:191" x14ac:dyDescent="0.2">
      <c r="GI8845" s="422"/>
    </row>
    <row r="8846" spans="191:191" x14ac:dyDescent="0.2">
      <c r="GI8846" s="422"/>
    </row>
    <row r="8847" spans="191:191" x14ac:dyDescent="0.2">
      <c r="GI8847" s="422"/>
    </row>
    <row r="8848" spans="191:191" x14ac:dyDescent="0.2">
      <c r="GI8848" s="422"/>
    </row>
    <row r="8849" spans="191:191" x14ac:dyDescent="0.2">
      <c r="GI8849" s="422"/>
    </row>
    <row r="8850" spans="191:191" x14ac:dyDescent="0.2">
      <c r="GI8850" s="422"/>
    </row>
    <row r="8851" spans="191:191" x14ac:dyDescent="0.2">
      <c r="GI8851" s="422"/>
    </row>
    <row r="8852" spans="191:191" x14ac:dyDescent="0.2">
      <c r="GI8852" s="422"/>
    </row>
    <row r="8853" spans="191:191" x14ac:dyDescent="0.2">
      <c r="GI8853" s="422"/>
    </row>
    <row r="8854" spans="191:191" x14ac:dyDescent="0.2">
      <c r="GI8854" s="422"/>
    </row>
    <row r="8855" spans="191:191" x14ac:dyDescent="0.2">
      <c r="GI8855" s="422"/>
    </row>
    <row r="8856" spans="191:191" x14ac:dyDescent="0.2">
      <c r="GI8856" s="422"/>
    </row>
    <row r="8857" spans="191:191" x14ac:dyDescent="0.2">
      <c r="GI8857" s="422"/>
    </row>
    <row r="8858" spans="191:191" x14ac:dyDescent="0.2">
      <c r="GI8858" s="422"/>
    </row>
    <row r="8859" spans="191:191" x14ac:dyDescent="0.2">
      <c r="GI8859" s="422"/>
    </row>
    <row r="8860" spans="191:191" x14ac:dyDescent="0.2">
      <c r="GI8860" s="422"/>
    </row>
    <row r="8861" spans="191:191" x14ac:dyDescent="0.2">
      <c r="GI8861" s="422"/>
    </row>
    <row r="8862" spans="191:191" x14ac:dyDescent="0.2">
      <c r="GI8862" s="422"/>
    </row>
    <row r="8863" spans="191:191" x14ac:dyDescent="0.2">
      <c r="GI8863" s="422"/>
    </row>
    <row r="8864" spans="191:191" x14ac:dyDescent="0.2">
      <c r="GI8864" s="422"/>
    </row>
    <row r="8865" spans="191:191" x14ac:dyDescent="0.2">
      <c r="GI8865" s="422"/>
    </row>
    <row r="8866" spans="191:191" x14ac:dyDescent="0.2">
      <c r="GI8866" s="422"/>
    </row>
    <row r="8867" spans="191:191" x14ac:dyDescent="0.2">
      <c r="GI8867" s="422"/>
    </row>
    <row r="8868" spans="191:191" x14ac:dyDescent="0.2">
      <c r="GI8868" s="422"/>
    </row>
    <row r="8869" spans="191:191" x14ac:dyDescent="0.2">
      <c r="GI8869" s="422"/>
    </row>
    <row r="8870" spans="191:191" x14ac:dyDescent="0.2">
      <c r="GI8870" s="422"/>
    </row>
    <row r="8871" spans="191:191" x14ac:dyDescent="0.2">
      <c r="GI8871" s="422"/>
    </row>
    <row r="8872" spans="191:191" x14ac:dyDescent="0.2">
      <c r="GI8872" s="422"/>
    </row>
    <row r="8873" spans="191:191" x14ac:dyDescent="0.2">
      <c r="GI8873" s="422"/>
    </row>
    <row r="8874" spans="191:191" x14ac:dyDescent="0.2">
      <c r="GI8874" s="422"/>
    </row>
    <row r="8875" spans="191:191" x14ac:dyDescent="0.2">
      <c r="GI8875" s="422"/>
    </row>
    <row r="8876" spans="191:191" x14ac:dyDescent="0.2">
      <c r="GI8876" s="422"/>
    </row>
    <row r="8877" spans="191:191" x14ac:dyDescent="0.2">
      <c r="GI8877" s="422"/>
    </row>
    <row r="8878" spans="191:191" x14ac:dyDescent="0.2">
      <c r="GI8878" s="422"/>
    </row>
    <row r="8879" spans="191:191" x14ac:dyDescent="0.2">
      <c r="GI8879" s="422"/>
    </row>
    <row r="8880" spans="191:191" x14ac:dyDescent="0.2">
      <c r="GI8880" s="422"/>
    </row>
    <row r="8881" spans="191:191" x14ac:dyDescent="0.2">
      <c r="GI8881" s="422"/>
    </row>
    <row r="8882" spans="191:191" x14ac:dyDescent="0.2">
      <c r="GI8882" s="422"/>
    </row>
    <row r="8883" spans="191:191" x14ac:dyDescent="0.2">
      <c r="GI8883" s="422"/>
    </row>
    <row r="8884" spans="191:191" x14ac:dyDescent="0.2">
      <c r="GI8884" s="422"/>
    </row>
    <row r="8885" spans="191:191" x14ac:dyDescent="0.2">
      <c r="GI8885" s="422"/>
    </row>
    <row r="8886" spans="191:191" x14ac:dyDescent="0.2">
      <c r="GI8886" s="422"/>
    </row>
    <row r="8887" spans="191:191" x14ac:dyDescent="0.2">
      <c r="GI8887" s="422"/>
    </row>
    <row r="8888" spans="191:191" x14ac:dyDescent="0.2">
      <c r="GI8888" s="422"/>
    </row>
    <row r="8889" spans="191:191" x14ac:dyDescent="0.2">
      <c r="GI8889" s="422"/>
    </row>
    <row r="8890" spans="191:191" x14ac:dyDescent="0.2">
      <c r="GI8890" s="422"/>
    </row>
    <row r="8891" spans="191:191" x14ac:dyDescent="0.2">
      <c r="GI8891" s="422"/>
    </row>
    <row r="8892" spans="191:191" x14ac:dyDescent="0.2">
      <c r="GI8892" s="422"/>
    </row>
    <row r="8893" spans="191:191" x14ac:dyDescent="0.2">
      <c r="GI8893" s="422"/>
    </row>
    <row r="8894" spans="191:191" x14ac:dyDescent="0.2">
      <c r="GI8894" s="422"/>
    </row>
    <row r="8895" spans="191:191" x14ac:dyDescent="0.2">
      <c r="GI8895" s="422"/>
    </row>
    <row r="8896" spans="191:191" x14ac:dyDescent="0.2">
      <c r="GI8896" s="422"/>
    </row>
    <row r="8897" spans="191:191" x14ac:dyDescent="0.2">
      <c r="GI8897" s="422"/>
    </row>
    <row r="8898" spans="191:191" x14ac:dyDescent="0.2">
      <c r="GI8898" s="422"/>
    </row>
    <row r="8899" spans="191:191" x14ac:dyDescent="0.2">
      <c r="GI8899" s="422"/>
    </row>
    <row r="8900" spans="191:191" x14ac:dyDescent="0.2">
      <c r="GI8900" s="422"/>
    </row>
    <row r="8901" spans="191:191" x14ac:dyDescent="0.2">
      <c r="GI8901" s="422"/>
    </row>
    <row r="8902" spans="191:191" x14ac:dyDescent="0.2">
      <c r="GI8902" s="422"/>
    </row>
    <row r="8903" spans="191:191" x14ac:dyDescent="0.2">
      <c r="GI8903" s="422"/>
    </row>
    <row r="8904" spans="191:191" x14ac:dyDescent="0.2">
      <c r="GI8904" s="422"/>
    </row>
    <row r="8905" spans="191:191" x14ac:dyDescent="0.2">
      <c r="GI8905" s="422"/>
    </row>
    <row r="8906" spans="191:191" x14ac:dyDescent="0.2">
      <c r="GI8906" s="422"/>
    </row>
    <row r="8907" spans="191:191" x14ac:dyDescent="0.2">
      <c r="GI8907" s="422"/>
    </row>
    <row r="8908" spans="191:191" x14ac:dyDescent="0.2">
      <c r="GI8908" s="422"/>
    </row>
    <row r="8909" spans="191:191" x14ac:dyDescent="0.2">
      <c r="GI8909" s="422"/>
    </row>
    <row r="8910" spans="191:191" x14ac:dyDescent="0.2">
      <c r="GI8910" s="422"/>
    </row>
    <row r="8911" spans="191:191" x14ac:dyDescent="0.2">
      <c r="GI8911" s="422"/>
    </row>
    <row r="8912" spans="191:191" x14ac:dyDescent="0.2">
      <c r="GI8912" s="422"/>
    </row>
    <row r="8913" spans="191:191" x14ac:dyDescent="0.2">
      <c r="GI8913" s="422"/>
    </row>
    <row r="8914" spans="191:191" x14ac:dyDescent="0.2">
      <c r="GI8914" s="422"/>
    </row>
    <row r="8915" spans="191:191" x14ac:dyDescent="0.2">
      <c r="GI8915" s="422"/>
    </row>
    <row r="8916" spans="191:191" x14ac:dyDescent="0.2">
      <c r="GI8916" s="422"/>
    </row>
    <row r="8917" spans="191:191" x14ac:dyDescent="0.2">
      <c r="GI8917" s="422"/>
    </row>
    <row r="8918" spans="191:191" x14ac:dyDescent="0.2">
      <c r="GI8918" s="422"/>
    </row>
    <row r="8919" spans="191:191" x14ac:dyDescent="0.2">
      <c r="GI8919" s="422"/>
    </row>
    <row r="8920" spans="191:191" x14ac:dyDescent="0.2">
      <c r="GI8920" s="422"/>
    </row>
    <row r="8921" spans="191:191" x14ac:dyDescent="0.2">
      <c r="GI8921" s="422"/>
    </row>
    <row r="8922" spans="191:191" x14ac:dyDescent="0.2">
      <c r="GI8922" s="422"/>
    </row>
    <row r="8923" spans="191:191" x14ac:dyDescent="0.2">
      <c r="GI8923" s="422"/>
    </row>
    <row r="8924" spans="191:191" x14ac:dyDescent="0.2">
      <c r="GI8924" s="422"/>
    </row>
    <row r="8925" spans="191:191" x14ac:dyDescent="0.2">
      <c r="GI8925" s="422"/>
    </row>
    <row r="8926" spans="191:191" x14ac:dyDescent="0.2">
      <c r="GI8926" s="422"/>
    </row>
    <row r="8927" spans="191:191" x14ac:dyDescent="0.2">
      <c r="GI8927" s="422"/>
    </row>
    <row r="8928" spans="191:191" x14ac:dyDescent="0.2">
      <c r="GI8928" s="422"/>
    </row>
    <row r="8929" spans="191:191" x14ac:dyDescent="0.2">
      <c r="GI8929" s="422"/>
    </row>
    <row r="8930" spans="191:191" x14ac:dyDescent="0.2">
      <c r="GI8930" s="422"/>
    </row>
    <row r="8931" spans="191:191" x14ac:dyDescent="0.2">
      <c r="GI8931" s="422"/>
    </row>
    <row r="8932" spans="191:191" x14ac:dyDescent="0.2">
      <c r="GI8932" s="422"/>
    </row>
    <row r="8933" spans="191:191" x14ac:dyDescent="0.2">
      <c r="GI8933" s="422"/>
    </row>
    <row r="8934" spans="191:191" x14ac:dyDescent="0.2">
      <c r="GI8934" s="422"/>
    </row>
    <row r="8935" spans="191:191" x14ac:dyDescent="0.2">
      <c r="GI8935" s="422"/>
    </row>
    <row r="8936" spans="191:191" x14ac:dyDescent="0.2">
      <c r="GI8936" s="422"/>
    </row>
    <row r="8937" spans="191:191" x14ac:dyDescent="0.2">
      <c r="GI8937" s="422"/>
    </row>
    <row r="8938" spans="191:191" x14ac:dyDescent="0.2">
      <c r="GI8938" s="422"/>
    </row>
    <row r="8939" spans="191:191" x14ac:dyDescent="0.2">
      <c r="GI8939" s="422"/>
    </row>
    <row r="8940" spans="191:191" x14ac:dyDescent="0.2">
      <c r="GI8940" s="422"/>
    </row>
    <row r="8941" spans="191:191" x14ac:dyDescent="0.2">
      <c r="GI8941" s="422"/>
    </row>
    <row r="8942" spans="191:191" x14ac:dyDescent="0.2">
      <c r="GI8942" s="422"/>
    </row>
    <row r="8943" spans="191:191" x14ac:dyDescent="0.2">
      <c r="GI8943" s="422"/>
    </row>
    <row r="8944" spans="191:191" x14ac:dyDescent="0.2">
      <c r="GI8944" s="422"/>
    </row>
    <row r="8945" spans="191:191" x14ac:dyDescent="0.2">
      <c r="GI8945" s="422"/>
    </row>
    <row r="8946" spans="191:191" x14ac:dyDescent="0.2">
      <c r="GI8946" s="422"/>
    </row>
    <row r="8947" spans="191:191" x14ac:dyDescent="0.2">
      <c r="GI8947" s="422"/>
    </row>
    <row r="8948" spans="191:191" x14ac:dyDescent="0.2">
      <c r="GI8948" s="422"/>
    </row>
    <row r="8949" spans="191:191" x14ac:dyDescent="0.2">
      <c r="GI8949" s="422"/>
    </row>
    <row r="8950" spans="191:191" x14ac:dyDescent="0.2">
      <c r="GI8950" s="422"/>
    </row>
    <row r="8951" spans="191:191" x14ac:dyDescent="0.2">
      <c r="GI8951" s="422"/>
    </row>
    <row r="8952" spans="191:191" x14ac:dyDescent="0.2">
      <c r="GI8952" s="422"/>
    </row>
    <row r="8953" spans="191:191" x14ac:dyDescent="0.2">
      <c r="GI8953" s="422"/>
    </row>
    <row r="8954" spans="191:191" x14ac:dyDescent="0.2">
      <c r="GI8954" s="422"/>
    </row>
    <row r="8955" spans="191:191" x14ac:dyDescent="0.2">
      <c r="GI8955" s="422"/>
    </row>
    <row r="8956" spans="191:191" x14ac:dyDescent="0.2">
      <c r="GI8956" s="422"/>
    </row>
    <row r="8957" spans="191:191" x14ac:dyDescent="0.2">
      <c r="GI8957" s="422"/>
    </row>
    <row r="8958" spans="191:191" x14ac:dyDescent="0.2">
      <c r="GI8958" s="422"/>
    </row>
    <row r="8959" spans="191:191" x14ac:dyDescent="0.2">
      <c r="GI8959" s="422"/>
    </row>
    <row r="8960" spans="191:191" x14ac:dyDescent="0.2">
      <c r="GI8960" s="422"/>
    </row>
    <row r="8961" spans="191:191" x14ac:dyDescent="0.2">
      <c r="GI8961" s="422"/>
    </row>
    <row r="8962" spans="191:191" x14ac:dyDescent="0.2">
      <c r="GI8962" s="422"/>
    </row>
    <row r="8963" spans="191:191" x14ac:dyDescent="0.2">
      <c r="GI8963" s="422"/>
    </row>
    <row r="8964" spans="191:191" x14ac:dyDescent="0.2">
      <c r="GI8964" s="422"/>
    </row>
    <row r="8965" spans="191:191" x14ac:dyDescent="0.2">
      <c r="GI8965" s="422"/>
    </row>
    <row r="8966" spans="191:191" x14ac:dyDescent="0.2">
      <c r="GI8966" s="422"/>
    </row>
    <row r="8967" spans="191:191" x14ac:dyDescent="0.2">
      <c r="GI8967" s="422"/>
    </row>
    <row r="8968" spans="191:191" x14ac:dyDescent="0.2">
      <c r="GI8968" s="422"/>
    </row>
    <row r="8969" spans="191:191" x14ac:dyDescent="0.2">
      <c r="GI8969" s="422"/>
    </row>
    <row r="8970" spans="191:191" x14ac:dyDescent="0.2">
      <c r="GI8970" s="422"/>
    </row>
    <row r="8971" spans="191:191" x14ac:dyDescent="0.2">
      <c r="GI8971" s="422"/>
    </row>
    <row r="8972" spans="191:191" x14ac:dyDescent="0.2">
      <c r="GI8972" s="422"/>
    </row>
    <row r="8973" spans="191:191" x14ac:dyDescent="0.2">
      <c r="GI8973" s="422"/>
    </row>
    <row r="8974" spans="191:191" x14ac:dyDescent="0.2">
      <c r="GI8974" s="422"/>
    </row>
    <row r="8975" spans="191:191" x14ac:dyDescent="0.2">
      <c r="GI8975" s="422"/>
    </row>
    <row r="8976" spans="191:191" x14ac:dyDescent="0.2">
      <c r="GI8976" s="422"/>
    </row>
    <row r="8977" spans="191:191" x14ac:dyDescent="0.2">
      <c r="GI8977" s="422"/>
    </row>
    <row r="8978" spans="191:191" x14ac:dyDescent="0.2">
      <c r="GI8978" s="422"/>
    </row>
    <row r="8979" spans="191:191" x14ac:dyDescent="0.2">
      <c r="GI8979" s="422"/>
    </row>
    <row r="8980" spans="191:191" x14ac:dyDescent="0.2">
      <c r="GI8980" s="422"/>
    </row>
    <row r="8981" spans="191:191" x14ac:dyDescent="0.2">
      <c r="GI8981" s="422"/>
    </row>
    <row r="8982" spans="191:191" x14ac:dyDescent="0.2">
      <c r="GI8982" s="422"/>
    </row>
    <row r="8983" spans="191:191" x14ac:dyDescent="0.2">
      <c r="GI8983" s="422"/>
    </row>
    <row r="8984" spans="191:191" x14ac:dyDescent="0.2">
      <c r="GI8984" s="422"/>
    </row>
    <row r="8985" spans="191:191" x14ac:dyDescent="0.2">
      <c r="GI8985" s="422"/>
    </row>
    <row r="8986" spans="191:191" x14ac:dyDescent="0.2">
      <c r="GI8986" s="422"/>
    </row>
    <row r="8987" spans="191:191" x14ac:dyDescent="0.2">
      <c r="GI8987" s="422"/>
    </row>
    <row r="8988" spans="191:191" x14ac:dyDescent="0.2">
      <c r="GI8988" s="422"/>
    </row>
    <row r="8989" spans="191:191" x14ac:dyDescent="0.2">
      <c r="GI8989" s="422"/>
    </row>
    <row r="8990" spans="191:191" x14ac:dyDescent="0.2">
      <c r="GI8990" s="422"/>
    </row>
    <row r="8991" spans="191:191" x14ac:dyDescent="0.2">
      <c r="GI8991" s="422"/>
    </row>
    <row r="8992" spans="191:191" x14ac:dyDescent="0.2">
      <c r="GI8992" s="422"/>
    </row>
    <row r="8993" spans="191:191" x14ac:dyDescent="0.2">
      <c r="GI8993" s="422"/>
    </row>
    <row r="8994" spans="191:191" x14ac:dyDescent="0.2">
      <c r="GI8994" s="422"/>
    </row>
    <row r="8995" spans="191:191" x14ac:dyDescent="0.2">
      <c r="GI8995" s="422"/>
    </row>
    <row r="8996" spans="191:191" x14ac:dyDescent="0.2">
      <c r="GI8996" s="422"/>
    </row>
    <row r="8997" spans="191:191" x14ac:dyDescent="0.2">
      <c r="GI8997" s="422"/>
    </row>
    <row r="8998" spans="191:191" x14ac:dyDescent="0.2">
      <c r="GI8998" s="422"/>
    </row>
    <row r="8999" spans="191:191" x14ac:dyDescent="0.2">
      <c r="GI8999" s="422"/>
    </row>
    <row r="9000" spans="191:191" x14ac:dyDescent="0.2">
      <c r="GI9000" s="422"/>
    </row>
    <row r="9001" spans="191:191" x14ac:dyDescent="0.2">
      <c r="GI9001" s="422"/>
    </row>
    <row r="9002" spans="191:191" x14ac:dyDescent="0.2">
      <c r="GI9002" s="422"/>
    </row>
    <row r="9003" spans="191:191" x14ac:dyDescent="0.2">
      <c r="GI9003" s="422"/>
    </row>
    <row r="9004" spans="191:191" x14ac:dyDescent="0.2">
      <c r="GI9004" s="422"/>
    </row>
    <row r="9005" spans="191:191" x14ac:dyDescent="0.2">
      <c r="GI9005" s="422"/>
    </row>
    <row r="9006" spans="191:191" x14ac:dyDescent="0.2">
      <c r="GI9006" s="422"/>
    </row>
    <row r="9007" spans="191:191" x14ac:dyDescent="0.2">
      <c r="GI9007" s="422"/>
    </row>
    <row r="9008" spans="191:191" x14ac:dyDescent="0.2">
      <c r="GI9008" s="422"/>
    </row>
    <row r="9009" spans="191:191" x14ac:dyDescent="0.2">
      <c r="GI9009" s="422"/>
    </row>
    <row r="9010" spans="191:191" x14ac:dyDescent="0.2">
      <c r="GI9010" s="422"/>
    </row>
    <row r="9011" spans="191:191" x14ac:dyDescent="0.2">
      <c r="GI9011" s="422"/>
    </row>
    <row r="9012" spans="191:191" x14ac:dyDescent="0.2">
      <c r="GI9012" s="422"/>
    </row>
    <row r="9013" spans="191:191" x14ac:dyDescent="0.2">
      <c r="GI9013" s="422"/>
    </row>
    <row r="9014" spans="191:191" x14ac:dyDescent="0.2">
      <c r="GI9014" s="422"/>
    </row>
    <row r="9015" spans="191:191" x14ac:dyDescent="0.2">
      <c r="GI9015" s="422"/>
    </row>
    <row r="9016" spans="191:191" x14ac:dyDescent="0.2">
      <c r="GI9016" s="422"/>
    </row>
    <row r="9017" spans="191:191" x14ac:dyDescent="0.2">
      <c r="GI9017" s="422"/>
    </row>
    <row r="9018" spans="191:191" x14ac:dyDescent="0.2">
      <c r="GI9018" s="422"/>
    </row>
    <row r="9019" spans="191:191" x14ac:dyDescent="0.2">
      <c r="GI9019" s="422"/>
    </row>
    <row r="9020" spans="191:191" x14ac:dyDescent="0.2">
      <c r="GI9020" s="422"/>
    </row>
    <row r="9021" spans="191:191" x14ac:dyDescent="0.2">
      <c r="GI9021" s="422"/>
    </row>
    <row r="9022" spans="191:191" x14ac:dyDescent="0.2">
      <c r="GI9022" s="422"/>
    </row>
    <row r="9023" spans="191:191" x14ac:dyDescent="0.2">
      <c r="GI9023" s="422"/>
    </row>
    <row r="9024" spans="191:191" x14ac:dyDescent="0.2">
      <c r="GI9024" s="422"/>
    </row>
    <row r="9025" spans="191:191" x14ac:dyDescent="0.2">
      <c r="GI9025" s="422"/>
    </row>
    <row r="9026" spans="191:191" x14ac:dyDescent="0.2">
      <c r="GI9026" s="422"/>
    </row>
    <row r="9027" spans="191:191" x14ac:dyDescent="0.2">
      <c r="GI9027" s="422"/>
    </row>
    <row r="9028" spans="191:191" x14ac:dyDescent="0.2">
      <c r="GI9028" s="422"/>
    </row>
    <row r="9029" spans="191:191" x14ac:dyDescent="0.2">
      <c r="GI9029" s="422"/>
    </row>
    <row r="9030" spans="191:191" x14ac:dyDescent="0.2">
      <c r="GI9030" s="422"/>
    </row>
    <row r="9031" spans="191:191" x14ac:dyDescent="0.2">
      <c r="GI9031" s="422"/>
    </row>
    <row r="9032" spans="191:191" x14ac:dyDescent="0.2">
      <c r="GI9032" s="422"/>
    </row>
    <row r="9033" spans="191:191" x14ac:dyDescent="0.2">
      <c r="GI9033" s="422"/>
    </row>
    <row r="9034" spans="191:191" x14ac:dyDescent="0.2">
      <c r="GI9034" s="422"/>
    </row>
    <row r="9035" spans="191:191" x14ac:dyDescent="0.2">
      <c r="GI9035" s="422"/>
    </row>
    <row r="9036" spans="191:191" x14ac:dyDescent="0.2">
      <c r="GI9036" s="422"/>
    </row>
    <row r="9037" spans="191:191" x14ac:dyDescent="0.2">
      <c r="GI9037" s="422"/>
    </row>
    <row r="9038" spans="191:191" x14ac:dyDescent="0.2">
      <c r="GI9038" s="422"/>
    </row>
    <row r="9039" spans="191:191" x14ac:dyDescent="0.2">
      <c r="GI9039" s="422"/>
    </row>
    <row r="9040" spans="191:191" x14ac:dyDescent="0.2">
      <c r="GI9040" s="422"/>
    </row>
    <row r="9041" spans="191:191" x14ac:dyDescent="0.2">
      <c r="GI9041" s="422"/>
    </row>
    <row r="9042" spans="191:191" x14ac:dyDescent="0.2">
      <c r="GI9042" s="422"/>
    </row>
    <row r="9043" spans="191:191" x14ac:dyDescent="0.2">
      <c r="GI9043" s="422"/>
    </row>
    <row r="9044" spans="191:191" x14ac:dyDescent="0.2">
      <c r="GI9044" s="422"/>
    </row>
    <row r="9045" spans="191:191" x14ac:dyDescent="0.2">
      <c r="GI9045" s="422"/>
    </row>
    <row r="9046" spans="191:191" x14ac:dyDescent="0.2">
      <c r="GI9046" s="422"/>
    </row>
    <row r="9047" spans="191:191" x14ac:dyDescent="0.2">
      <c r="GI9047" s="422"/>
    </row>
    <row r="9048" spans="191:191" x14ac:dyDescent="0.2">
      <c r="GI9048" s="422"/>
    </row>
    <row r="9049" spans="191:191" x14ac:dyDescent="0.2">
      <c r="GI9049" s="422"/>
    </row>
    <row r="9050" spans="191:191" x14ac:dyDescent="0.2">
      <c r="GI9050" s="422"/>
    </row>
    <row r="9051" spans="191:191" x14ac:dyDescent="0.2">
      <c r="GI9051" s="422"/>
    </row>
    <row r="9052" spans="191:191" x14ac:dyDescent="0.2">
      <c r="GI9052" s="422"/>
    </row>
    <row r="9053" spans="191:191" x14ac:dyDescent="0.2">
      <c r="GI9053" s="422"/>
    </row>
    <row r="9054" spans="191:191" x14ac:dyDescent="0.2">
      <c r="GI9054" s="422"/>
    </row>
    <row r="9055" spans="191:191" x14ac:dyDescent="0.2">
      <c r="GI9055" s="422"/>
    </row>
    <row r="9056" spans="191:191" x14ac:dyDescent="0.2">
      <c r="GI9056" s="422"/>
    </row>
    <row r="9057" spans="191:191" x14ac:dyDescent="0.2">
      <c r="GI9057" s="422"/>
    </row>
    <row r="9058" spans="191:191" x14ac:dyDescent="0.2">
      <c r="GI9058" s="422"/>
    </row>
    <row r="9059" spans="191:191" x14ac:dyDescent="0.2">
      <c r="GI9059" s="422"/>
    </row>
    <row r="9060" spans="191:191" x14ac:dyDescent="0.2">
      <c r="GI9060" s="422"/>
    </row>
    <row r="9061" spans="191:191" x14ac:dyDescent="0.2">
      <c r="GI9061" s="422"/>
    </row>
    <row r="9062" spans="191:191" x14ac:dyDescent="0.2">
      <c r="GI9062" s="422"/>
    </row>
    <row r="9063" spans="191:191" x14ac:dyDescent="0.2">
      <c r="GI9063" s="422"/>
    </row>
    <row r="9064" spans="191:191" x14ac:dyDescent="0.2">
      <c r="GI9064" s="422"/>
    </row>
    <row r="9065" spans="191:191" x14ac:dyDescent="0.2">
      <c r="GI9065" s="422"/>
    </row>
    <row r="9066" spans="191:191" x14ac:dyDescent="0.2">
      <c r="GI9066" s="422"/>
    </row>
    <row r="9067" spans="191:191" x14ac:dyDescent="0.2">
      <c r="GI9067" s="422"/>
    </row>
    <row r="9068" spans="191:191" x14ac:dyDescent="0.2">
      <c r="GI9068" s="422"/>
    </row>
    <row r="9069" spans="191:191" x14ac:dyDescent="0.2">
      <c r="GI9069" s="422"/>
    </row>
    <row r="9070" spans="191:191" x14ac:dyDescent="0.2">
      <c r="GI9070" s="422"/>
    </row>
    <row r="9071" spans="191:191" x14ac:dyDescent="0.2">
      <c r="GI9071" s="422"/>
    </row>
    <row r="9072" spans="191:191" x14ac:dyDescent="0.2">
      <c r="GI9072" s="422"/>
    </row>
    <row r="9073" spans="191:191" x14ac:dyDescent="0.2">
      <c r="GI9073" s="422"/>
    </row>
    <row r="9074" spans="191:191" x14ac:dyDescent="0.2">
      <c r="GI9074" s="422"/>
    </row>
    <row r="9075" spans="191:191" x14ac:dyDescent="0.2">
      <c r="GI9075" s="422"/>
    </row>
    <row r="9076" spans="191:191" x14ac:dyDescent="0.2">
      <c r="GI9076" s="422"/>
    </row>
    <row r="9077" spans="191:191" x14ac:dyDescent="0.2">
      <c r="GI9077" s="422"/>
    </row>
    <row r="9078" spans="191:191" x14ac:dyDescent="0.2">
      <c r="GI9078" s="422"/>
    </row>
    <row r="9079" spans="191:191" x14ac:dyDescent="0.2">
      <c r="GI9079" s="422"/>
    </row>
    <row r="9080" spans="191:191" x14ac:dyDescent="0.2">
      <c r="GI9080" s="422"/>
    </row>
    <row r="9081" spans="191:191" x14ac:dyDescent="0.2">
      <c r="GI9081" s="422"/>
    </row>
    <row r="9082" spans="191:191" x14ac:dyDescent="0.2">
      <c r="GI9082" s="422"/>
    </row>
    <row r="9083" spans="191:191" x14ac:dyDescent="0.2">
      <c r="GI9083" s="422"/>
    </row>
    <row r="9084" spans="191:191" x14ac:dyDescent="0.2">
      <c r="GI9084" s="422"/>
    </row>
    <row r="9085" spans="191:191" x14ac:dyDescent="0.2">
      <c r="GI9085" s="422"/>
    </row>
    <row r="9086" spans="191:191" x14ac:dyDescent="0.2">
      <c r="GI9086" s="422"/>
    </row>
    <row r="9087" spans="191:191" x14ac:dyDescent="0.2">
      <c r="GI9087" s="422"/>
    </row>
    <row r="9088" spans="191:191" x14ac:dyDescent="0.2">
      <c r="GI9088" s="422"/>
    </row>
    <row r="9089" spans="191:191" x14ac:dyDescent="0.2">
      <c r="GI9089" s="422"/>
    </row>
    <row r="9090" spans="191:191" x14ac:dyDescent="0.2">
      <c r="GI9090" s="422"/>
    </row>
    <row r="9091" spans="191:191" x14ac:dyDescent="0.2">
      <c r="GI9091" s="422"/>
    </row>
    <row r="9092" spans="191:191" x14ac:dyDescent="0.2">
      <c r="GI9092" s="422"/>
    </row>
    <row r="9093" spans="191:191" x14ac:dyDescent="0.2">
      <c r="GI9093" s="422"/>
    </row>
    <row r="9094" spans="191:191" x14ac:dyDescent="0.2">
      <c r="GI9094" s="422"/>
    </row>
    <row r="9095" spans="191:191" x14ac:dyDescent="0.2">
      <c r="GI9095" s="422"/>
    </row>
    <row r="9096" spans="191:191" x14ac:dyDescent="0.2">
      <c r="GI9096" s="422"/>
    </row>
    <row r="9097" spans="191:191" x14ac:dyDescent="0.2">
      <c r="GI9097" s="422"/>
    </row>
    <row r="9098" spans="191:191" x14ac:dyDescent="0.2">
      <c r="GI9098" s="422"/>
    </row>
    <row r="9099" spans="191:191" x14ac:dyDescent="0.2">
      <c r="GI9099" s="422"/>
    </row>
    <row r="9100" spans="191:191" x14ac:dyDescent="0.2">
      <c r="GI9100" s="422"/>
    </row>
    <row r="9101" spans="191:191" x14ac:dyDescent="0.2">
      <c r="GI9101" s="422"/>
    </row>
    <row r="9102" spans="191:191" x14ac:dyDescent="0.2">
      <c r="GI9102" s="422"/>
    </row>
    <row r="9103" spans="191:191" x14ac:dyDescent="0.2">
      <c r="GI9103" s="422"/>
    </row>
    <row r="9104" spans="191:191" x14ac:dyDescent="0.2">
      <c r="GI9104" s="422"/>
    </row>
    <row r="9105" spans="191:191" x14ac:dyDescent="0.2">
      <c r="GI9105" s="422"/>
    </row>
    <row r="9106" spans="191:191" x14ac:dyDescent="0.2">
      <c r="GI9106" s="422"/>
    </row>
    <row r="9107" spans="191:191" x14ac:dyDescent="0.2">
      <c r="GI9107" s="422"/>
    </row>
    <row r="9108" spans="191:191" x14ac:dyDescent="0.2">
      <c r="GI9108" s="422"/>
    </row>
    <row r="9109" spans="191:191" x14ac:dyDescent="0.2">
      <c r="GI9109" s="422"/>
    </row>
    <row r="9110" spans="191:191" x14ac:dyDescent="0.2">
      <c r="GI9110" s="422"/>
    </row>
    <row r="9111" spans="191:191" x14ac:dyDescent="0.2">
      <c r="GI9111" s="422"/>
    </row>
    <row r="9112" spans="191:191" x14ac:dyDescent="0.2">
      <c r="GI9112" s="422"/>
    </row>
    <row r="9113" spans="191:191" x14ac:dyDescent="0.2">
      <c r="GI9113" s="422"/>
    </row>
    <row r="9114" spans="191:191" x14ac:dyDescent="0.2">
      <c r="GI9114" s="422"/>
    </row>
    <row r="9115" spans="191:191" x14ac:dyDescent="0.2">
      <c r="GI9115" s="422"/>
    </row>
    <row r="9116" spans="191:191" x14ac:dyDescent="0.2">
      <c r="GI9116" s="422"/>
    </row>
    <row r="9117" spans="191:191" x14ac:dyDescent="0.2">
      <c r="GI9117" s="422"/>
    </row>
    <row r="9118" spans="191:191" x14ac:dyDescent="0.2">
      <c r="GI9118" s="422"/>
    </row>
    <row r="9119" spans="191:191" x14ac:dyDescent="0.2">
      <c r="GI9119" s="422"/>
    </row>
    <row r="9120" spans="191:191" x14ac:dyDescent="0.2">
      <c r="GI9120" s="422"/>
    </row>
    <row r="9121" spans="191:191" x14ac:dyDescent="0.2">
      <c r="GI9121" s="422"/>
    </row>
    <row r="9122" spans="191:191" x14ac:dyDescent="0.2">
      <c r="GI9122" s="422"/>
    </row>
    <row r="9123" spans="191:191" x14ac:dyDescent="0.2">
      <c r="GI9123" s="422"/>
    </row>
    <row r="9124" spans="191:191" x14ac:dyDescent="0.2">
      <c r="GI9124" s="422"/>
    </row>
    <row r="9125" spans="191:191" x14ac:dyDescent="0.2">
      <c r="GI9125" s="422"/>
    </row>
    <row r="9126" spans="191:191" x14ac:dyDescent="0.2">
      <c r="GI9126" s="422"/>
    </row>
    <row r="9127" spans="191:191" x14ac:dyDescent="0.2">
      <c r="GI9127" s="422"/>
    </row>
    <row r="9128" spans="191:191" x14ac:dyDescent="0.2">
      <c r="GI9128" s="422"/>
    </row>
    <row r="9129" spans="191:191" x14ac:dyDescent="0.2">
      <c r="GI9129" s="422"/>
    </row>
    <row r="9130" spans="191:191" x14ac:dyDescent="0.2">
      <c r="GI9130" s="422"/>
    </row>
    <row r="9131" spans="191:191" x14ac:dyDescent="0.2">
      <c r="GI9131" s="422"/>
    </row>
    <row r="9132" spans="191:191" x14ac:dyDescent="0.2">
      <c r="GI9132" s="422"/>
    </row>
    <row r="9133" spans="191:191" x14ac:dyDescent="0.2">
      <c r="GI9133" s="422"/>
    </row>
    <row r="9134" spans="191:191" x14ac:dyDescent="0.2">
      <c r="GI9134" s="422"/>
    </row>
    <row r="9135" spans="191:191" x14ac:dyDescent="0.2">
      <c r="GI9135" s="422"/>
    </row>
    <row r="9136" spans="191:191" x14ac:dyDescent="0.2">
      <c r="GI9136" s="422"/>
    </row>
    <row r="9137" spans="191:191" x14ac:dyDescent="0.2">
      <c r="GI9137" s="422"/>
    </row>
    <row r="9138" spans="191:191" x14ac:dyDescent="0.2">
      <c r="GI9138" s="422"/>
    </row>
    <row r="9139" spans="191:191" x14ac:dyDescent="0.2">
      <c r="GI9139" s="422"/>
    </row>
    <row r="9140" spans="191:191" x14ac:dyDescent="0.2">
      <c r="GI9140" s="422"/>
    </row>
    <row r="9141" spans="191:191" x14ac:dyDescent="0.2">
      <c r="GI9141" s="422"/>
    </row>
    <row r="9142" spans="191:191" x14ac:dyDescent="0.2">
      <c r="GI9142" s="422"/>
    </row>
    <row r="9143" spans="191:191" x14ac:dyDescent="0.2">
      <c r="GI9143" s="422"/>
    </row>
    <row r="9144" spans="191:191" x14ac:dyDescent="0.2">
      <c r="GI9144" s="422"/>
    </row>
    <row r="9145" spans="191:191" x14ac:dyDescent="0.2">
      <c r="GI9145" s="422"/>
    </row>
    <row r="9146" spans="191:191" x14ac:dyDescent="0.2">
      <c r="GI9146" s="422"/>
    </row>
    <row r="9147" spans="191:191" x14ac:dyDescent="0.2">
      <c r="GI9147" s="422"/>
    </row>
    <row r="9148" spans="191:191" x14ac:dyDescent="0.2">
      <c r="GI9148" s="422"/>
    </row>
    <row r="9149" spans="191:191" x14ac:dyDescent="0.2">
      <c r="GI9149" s="422"/>
    </row>
    <row r="9150" spans="191:191" x14ac:dyDescent="0.2">
      <c r="GI9150" s="422"/>
    </row>
    <row r="9151" spans="191:191" x14ac:dyDescent="0.2">
      <c r="GI9151" s="422"/>
    </row>
    <row r="9152" spans="191:191" x14ac:dyDescent="0.2">
      <c r="GI9152" s="422"/>
    </row>
    <row r="9153" spans="191:191" x14ac:dyDescent="0.2">
      <c r="GI9153" s="422"/>
    </row>
    <row r="9154" spans="191:191" x14ac:dyDescent="0.2">
      <c r="GI9154" s="422"/>
    </row>
    <row r="9155" spans="191:191" x14ac:dyDescent="0.2">
      <c r="GI9155" s="422"/>
    </row>
    <row r="9156" spans="191:191" x14ac:dyDescent="0.2">
      <c r="GI9156" s="422"/>
    </row>
    <row r="9157" spans="191:191" x14ac:dyDescent="0.2">
      <c r="GI9157" s="422"/>
    </row>
    <row r="9158" spans="191:191" x14ac:dyDescent="0.2">
      <c r="GI9158" s="422"/>
    </row>
    <row r="9159" spans="191:191" x14ac:dyDescent="0.2">
      <c r="GI9159" s="422"/>
    </row>
    <row r="9160" spans="191:191" x14ac:dyDescent="0.2">
      <c r="GI9160" s="422"/>
    </row>
    <row r="9161" spans="191:191" x14ac:dyDescent="0.2">
      <c r="GI9161" s="422"/>
    </row>
    <row r="9162" spans="191:191" x14ac:dyDescent="0.2">
      <c r="GI9162" s="422"/>
    </row>
    <row r="9163" spans="191:191" x14ac:dyDescent="0.2">
      <c r="GI9163" s="422"/>
    </row>
    <row r="9164" spans="191:191" x14ac:dyDescent="0.2">
      <c r="GI9164" s="422"/>
    </row>
    <row r="9165" spans="191:191" x14ac:dyDescent="0.2">
      <c r="GI9165" s="422"/>
    </row>
    <row r="9166" spans="191:191" x14ac:dyDescent="0.2">
      <c r="GI9166" s="422"/>
    </row>
    <row r="9167" spans="191:191" x14ac:dyDescent="0.2">
      <c r="GI9167" s="422"/>
    </row>
    <row r="9168" spans="191:191" x14ac:dyDescent="0.2">
      <c r="GI9168" s="422"/>
    </row>
    <row r="9169" spans="191:191" x14ac:dyDescent="0.2">
      <c r="GI9169" s="422"/>
    </row>
    <row r="9170" spans="191:191" x14ac:dyDescent="0.2">
      <c r="GI9170" s="422"/>
    </row>
    <row r="9171" spans="191:191" x14ac:dyDescent="0.2">
      <c r="GI9171" s="422"/>
    </row>
    <row r="9172" spans="191:191" x14ac:dyDescent="0.2">
      <c r="GI9172" s="422"/>
    </row>
    <row r="9173" spans="191:191" x14ac:dyDescent="0.2">
      <c r="GI9173" s="422"/>
    </row>
    <row r="9174" spans="191:191" x14ac:dyDescent="0.2">
      <c r="GI9174" s="422"/>
    </row>
    <row r="9175" spans="191:191" x14ac:dyDescent="0.2">
      <c r="GI9175" s="422"/>
    </row>
    <row r="9176" spans="191:191" x14ac:dyDescent="0.2">
      <c r="GI9176" s="422"/>
    </row>
    <row r="9177" spans="191:191" x14ac:dyDescent="0.2">
      <c r="GI9177" s="422"/>
    </row>
    <row r="9178" spans="191:191" x14ac:dyDescent="0.2">
      <c r="GI9178" s="422"/>
    </row>
    <row r="9179" spans="191:191" x14ac:dyDescent="0.2">
      <c r="GI9179" s="422"/>
    </row>
    <row r="9180" spans="191:191" x14ac:dyDescent="0.2">
      <c r="GI9180" s="422"/>
    </row>
    <row r="9181" spans="191:191" x14ac:dyDescent="0.2">
      <c r="GI9181" s="422"/>
    </row>
    <row r="9182" spans="191:191" x14ac:dyDescent="0.2">
      <c r="GI9182" s="422"/>
    </row>
    <row r="9183" spans="191:191" x14ac:dyDescent="0.2">
      <c r="GI9183" s="422"/>
    </row>
    <row r="9184" spans="191:191" x14ac:dyDescent="0.2">
      <c r="GI9184" s="422"/>
    </row>
    <row r="9185" spans="191:191" x14ac:dyDescent="0.2">
      <c r="GI9185" s="422"/>
    </row>
    <row r="9186" spans="191:191" x14ac:dyDescent="0.2">
      <c r="GI9186" s="422"/>
    </row>
    <row r="9187" spans="191:191" x14ac:dyDescent="0.2">
      <c r="GI9187" s="422"/>
    </row>
    <row r="9188" spans="191:191" x14ac:dyDescent="0.2">
      <c r="GI9188" s="422"/>
    </row>
    <row r="9189" spans="191:191" x14ac:dyDescent="0.2">
      <c r="GI9189" s="422"/>
    </row>
    <row r="9190" spans="191:191" x14ac:dyDescent="0.2">
      <c r="GI9190" s="422"/>
    </row>
    <row r="9191" spans="191:191" x14ac:dyDescent="0.2">
      <c r="GI9191" s="422"/>
    </row>
    <row r="9192" spans="191:191" x14ac:dyDescent="0.2">
      <c r="GI9192" s="422"/>
    </row>
    <row r="9193" spans="191:191" x14ac:dyDescent="0.2">
      <c r="GI9193" s="422"/>
    </row>
    <row r="9194" spans="191:191" x14ac:dyDescent="0.2">
      <c r="GI9194" s="422"/>
    </row>
    <row r="9195" spans="191:191" x14ac:dyDescent="0.2">
      <c r="GI9195" s="422"/>
    </row>
    <row r="9196" spans="191:191" x14ac:dyDescent="0.2">
      <c r="GI9196" s="422"/>
    </row>
    <row r="9197" spans="191:191" x14ac:dyDescent="0.2">
      <c r="GI9197" s="422"/>
    </row>
    <row r="9198" spans="191:191" x14ac:dyDescent="0.2">
      <c r="GI9198" s="422"/>
    </row>
    <row r="9199" spans="191:191" x14ac:dyDescent="0.2">
      <c r="GI9199" s="422"/>
    </row>
    <row r="9200" spans="191:191" x14ac:dyDescent="0.2">
      <c r="GI9200" s="422"/>
    </row>
    <row r="9201" spans="191:191" x14ac:dyDescent="0.2">
      <c r="GI9201" s="422"/>
    </row>
    <row r="9202" spans="191:191" x14ac:dyDescent="0.2">
      <c r="GI9202" s="422"/>
    </row>
    <row r="9203" spans="191:191" x14ac:dyDescent="0.2">
      <c r="GI9203" s="422"/>
    </row>
    <row r="9204" spans="191:191" x14ac:dyDescent="0.2">
      <c r="GI9204" s="422"/>
    </row>
    <row r="9205" spans="191:191" x14ac:dyDescent="0.2">
      <c r="GI9205" s="422"/>
    </row>
    <row r="9206" spans="191:191" x14ac:dyDescent="0.2">
      <c r="GI9206" s="422"/>
    </row>
    <row r="9207" spans="191:191" x14ac:dyDescent="0.2">
      <c r="GI9207" s="422"/>
    </row>
    <row r="9208" spans="191:191" x14ac:dyDescent="0.2">
      <c r="GI9208" s="422"/>
    </row>
    <row r="9209" spans="191:191" x14ac:dyDescent="0.2">
      <c r="GI9209" s="422"/>
    </row>
    <row r="9210" spans="191:191" x14ac:dyDescent="0.2">
      <c r="GI9210" s="422"/>
    </row>
    <row r="9211" spans="191:191" x14ac:dyDescent="0.2">
      <c r="GI9211" s="422"/>
    </row>
    <row r="9212" spans="191:191" x14ac:dyDescent="0.2">
      <c r="GI9212" s="422"/>
    </row>
    <row r="9213" spans="191:191" x14ac:dyDescent="0.2">
      <c r="GI9213" s="422"/>
    </row>
    <row r="9214" spans="191:191" x14ac:dyDescent="0.2">
      <c r="GI9214" s="422"/>
    </row>
    <row r="9215" spans="191:191" x14ac:dyDescent="0.2">
      <c r="GI9215" s="422"/>
    </row>
    <row r="9216" spans="191:191" x14ac:dyDescent="0.2">
      <c r="GI9216" s="422"/>
    </row>
    <row r="9217" spans="191:191" x14ac:dyDescent="0.2">
      <c r="GI9217" s="422"/>
    </row>
    <row r="9218" spans="191:191" x14ac:dyDescent="0.2">
      <c r="GI9218" s="422"/>
    </row>
    <row r="9219" spans="191:191" x14ac:dyDescent="0.2">
      <c r="GI9219" s="422"/>
    </row>
    <row r="9220" spans="191:191" x14ac:dyDescent="0.2">
      <c r="GI9220" s="422"/>
    </row>
    <row r="9221" spans="191:191" x14ac:dyDescent="0.2">
      <c r="GI9221" s="422"/>
    </row>
    <row r="9222" spans="191:191" x14ac:dyDescent="0.2">
      <c r="GI9222" s="422"/>
    </row>
    <row r="9223" spans="191:191" x14ac:dyDescent="0.2">
      <c r="GI9223" s="422"/>
    </row>
    <row r="9224" spans="191:191" x14ac:dyDescent="0.2">
      <c r="GI9224" s="422"/>
    </row>
    <row r="9225" spans="191:191" x14ac:dyDescent="0.2">
      <c r="GI9225" s="422"/>
    </row>
    <row r="9226" spans="191:191" x14ac:dyDescent="0.2">
      <c r="GI9226" s="422"/>
    </row>
    <row r="9227" spans="191:191" x14ac:dyDescent="0.2">
      <c r="GI9227" s="422"/>
    </row>
    <row r="9228" spans="191:191" x14ac:dyDescent="0.2">
      <c r="GI9228" s="422"/>
    </row>
    <row r="9229" spans="191:191" x14ac:dyDescent="0.2">
      <c r="GI9229" s="422"/>
    </row>
    <row r="9230" spans="191:191" x14ac:dyDescent="0.2">
      <c r="GI9230" s="422"/>
    </row>
    <row r="9231" spans="191:191" x14ac:dyDescent="0.2">
      <c r="GI9231" s="422"/>
    </row>
    <row r="9232" spans="191:191" x14ac:dyDescent="0.2">
      <c r="GI9232" s="422"/>
    </row>
    <row r="9233" spans="191:191" x14ac:dyDescent="0.2">
      <c r="GI9233" s="422"/>
    </row>
    <row r="9234" spans="191:191" x14ac:dyDescent="0.2">
      <c r="GI9234" s="422"/>
    </row>
    <row r="9235" spans="191:191" x14ac:dyDescent="0.2">
      <c r="GI9235" s="422"/>
    </row>
    <row r="9236" spans="191:191" x14ac:dyDescent="0.2">
      <c r="GI9236" s="422"/>
    </row>
    <row r="9237" spans="191:191" x14ac:dyDescent="0.2">
      <c r="GI9237" s="422"/>
    </row>
    <row r="9238" spans="191:191" x14ac:dyDescent="0.2">
      <c r="GI9238" s="422"/>
    </row>
    <row r="9239" spans="191:191" x14ac:dyDescent="0.2">
      <c r="GI9239" s="422"/>
    </row>
    <row r="9240" spans="191:191" x14ac:dyDescent="0.2">
      <c r="GI9240" s="422"/>
    </row>
    <row r="9241" spans="191:191" x14ac:dyDescent="0.2">
      <c r="GI9241" s="422"/>
    </row>
    <row r="9242" spans="191:191" x14ac:dyDescent="0.2">
      <c r="GI9242" s="422"/>
    </row>
    <row r="9243" spans="191:191" x14ac:dyDescent="0.2">
      <c r="GI9243" s="422"/>
    </row>
    <row r="9244" spans="191:191" x14ac:dyDescent="0.2">
      <c r="GI9244" s="422"/>
    </row>
    <row r="9245" spans="191:191" x14ac:dyDescent="0.2">
      <c r="GI9245" s="422"/>
    </row>
    <row r="9246" spans="191:191" x14ac:dyDescent="0.2">
      <c r="GI9246" s="422"/>
    </row>
    <row r="9247" spans="191:191" x14ac:dyDescent="0.2">
      <c r="GI9247" s="422"/>
    </row>
    <row r="9248" spans="191:191" x14ac:dyDescent="0.2">
      <c r="GI9248" s="422"/>
    </row>
    <row r="9249" spans="191:191" x14ac:dyDescent="0.2">
      <c r="GI9249" s="422"/>
    </row>
    <row r="9250" spans="191:191" x14ac:dyDescent="0.2">
      <c r="GI9250" s="422"/>
    </row>
    <row r="9251" spans="191:191" x14ac:dyDescent="0.2">
      <c r="GI9251" s="422"/>
    </row>
    <row r="9252" spans="191:191" x14ac:dyDescent="0.2">
      <c r="GI9252" s="422"/>
    </row>
    <row r="9253" spans="191:191" x14ac:dyDescent="0.2">
      <c r="GI9253" s="422"/>
    </row>
    <row r="9254" spans="191:191" x14ac:dyDescent="0.2">
      <c r="GI9254" s="422"/>
    </row>
    <row r="9255" spans="191:191" x14ac:dyDescent="0.2">
      <c r="GI9255" s="422"/>
    </row>
    <row r="9256" spans="191:191" x14ac:dyDescent="0.2">
      <c r="GI9256" s="422"/>
    </row>
    <row r="9257" spans="191:191" x14ac:dyDescent="0.2">
      <c r="GI9257" s="422"/>
    </row>
    <row r="9258" spans="191:191" x14ac:dyDescent="0.2">
      <c r="GI9258" s="422"/>
    </row>
    <row r="9259" spans="191:191" x14ac:dyDescent="0.2">
      <c r="GI9259" s="422"/>
    </row>
    <row r="9260" spans="191:191" x14ac:dyDescent="0.2">
      <c r="GI9260" s="422"/>
    </row>
    <row r="9261" spans="191:191" x14ac:dyDescent="0.2">
      <c r="GI9261" s="422"/>
    </row>
    <row r="9262" spans="191:191" x14ac:dyDescent="0.2">
      <c r="GI9262" s="422"/>
    </row>
    <row r="9263" spans="191:191" x14ac:dyDescent="0.2">
      <c r="GI9263" s="422"/>
    </row>
    <row r="9264" spans="191:191" x14ac:dyDescent="0.2">
      <c r="GI9264" s="422"/>
    </row>
    <row r="9265" spans="191:191" x14ac:dyDescent="0.2">
      <c r="GI9265" s="422"/>
    </row>
    <row r="9266" spans="191:191" x14ac:dyDescent="0.2">
      <c r="GI9266" s="422"/>
    </row>
    <row r="9267" spans="191:191" x14ac:dyDescent="0.2">
      <c r="GI9267" s="422"/>
    </row>
    <row r="9268" spans="191:191" x14ac:dyDescent="0.2">
      <c r="GI9268" s="422"/>
    </row>
    <row r="9269" spans="191:191" x14ac:dyDescent="0.2">
      <c r="GI9269" s="422"/>
    </row>
    <row r="9270" spans="191:191" x14ac:dyDescent="0.2">
      <c r="GI9270" s="422"/>
    </row>
    <row r="9271" spans="191:191" x14ac:dyDescent="0.2">
      <c r="GI9271" s="422"/>
    </row>
    <row r="9272" spans="191:191" x14ac:dyDescent="0.2">
      <c r="GI9272" s="422"/>
    </row>
    <row r="9273" spans="191:191" x14ac:dyDescent="0.2">
      <c r="GI9273" s="422"/>
    </row>
    <row r="9274" spans="191:191" x14ac:dyDescent="0.2">
      <c r="GI9274" s="422"/>
    </row>
    <row r="9275" spans="191:191" x14ac:dyDescent="0.2">
      <c r="GI9275" s="422"/>
    </row>
    <row r="9276" spans="191:191" x14ac:dyDescent="0.2">
      <c r="GI9276" s="422"/>
    </row>
    <row r="9277" spans="191:191" x14ac:dyDescent="0.2">
      <c r="GI9277" s="422"/>
    </row>
    <row r="9278" spans="191:191" x14ac:dyDescent="0.2">
      <c r="GI9278" s="422"/>
    </row>
    <row r="9279" spans="191:191" x14ac:dyDescent="0.2">
      <c r="GI9279" s="422"/>
    </row>
    <row r="9280" spans="191:191" x14ac:dyDescent="0.2">
      <c r="GI9280" s="422"/>
    </row>
    <row r="9281" spans="191:191" x14ac:dyDescent="0.2">
      <c r="GI9281" s="422"/>
    </row>
    <row r="9282" spans="191:191" x14ac:dyDescent="0.2">
      <c r="GI9282" s="422"/>
    </row>
    <row r="9283" spans="191:191" x14ac:dyDescent="0.2">
      <c r="GI9283" s="422"/>
    </row>
    <row r="9284" spans="191:191" x14ac:dyDescent="0.2">
      <c r="GI9284" s="422"/>
    </row>
    <row r="9285" spans="191:191" x14ac:dyDescent="0.2">
      <c r="GI9285" s="422"/>
    </row>
    <row r="9286" spans="191:191" x14ac:dyDescent="0.2">
      <c r="GI9286" s="422"/>
    </row>
    <row r="9287" spans="191:191" x14ac:dyDescent="0.2">
      <c r="GI9287" s="422"/>
    </row>
    <row r="9288" spans="191:191" x14ac:dyDescent="0.2">
      <c r="GI9288" s="422"/>
    </row>
    <row r="9289" spans="191:191" x14ac:dyDescent="0.2">
      <c r="GI9289" s="422"/>
    </row>
    <row r="9290" spans="191:191" x14ac:dyDescent="0.2">
      <c r="GI9290" s="422"/>
    </row>
    <row r="9291" spans="191:191" x14ac:dyDescent="0.2">
      <c r="GI9291" s="422"/>
    </row>
    <row r="9292" spans="191:191" x14ac:dyDescent="0.2">
      <c r="GI9292" s="422"/>
    </row>
    <row r="9293" spans="191:191" x14ac:dyDescent="0.2">
      <c r="GI9293" s="422"/>
    </row>
    <row r="9294" spans="191:191" x14ac:dyDescent="0.2">
      <c r="GI9294" s="422"/>
    </row>
    <row r="9295" spans="191:191" x14ac:dyDescent="0.2">
      <c r="GI9295" s="422"/>
    </row>
    <row r="9296" spans="191:191" x14ac:dyDescent="0.2">
      <c r="GI9296" s="422"/>
    </row>
    <row r="9297" spans="191:191" x14ac:dyDescent="0.2">
      <c r="GI9297" s="422"/>
    </row>
    <row r="9298" spans="191:191" x14ac:dyDescent="0.2">
      <c r="GI9298" s="422"/>
    </row>
    <row r="9299" spans="191:191" x14ac:dyDescent="0.2">
      <c r="GI9299" s="422"/>
    </row>
    <row r="9300" spans="191:191" x14ac:dyDescent="0.2">
      <c r="GI9300" s="422"/>
    </row>
    <row r="9301" spans="191:191" x14ac:dyDescent="0.2">
      <c r="GI9301" s="422"/>
    </row>
    <row r="9302" spans="191:191" x14ac:dyDescent="0.2">
      <c r="GI9302" s="422"/>
    </row>
    <row r="9303" spans="191:191" x14ac:dyDescent="0.2">
      <c r="GI9303" s="422"/>
    </row>
    <row r="9304" spans="191:191" x14ac:dyDescent="0.2">
      <c r="GI9304" s="422"/>
    </row>
    <row r="9305" spans="191:191" x14ac:dyDescent="0.2">
      <c r="GI9305" s="422"/>
    </row>
    <row r="9306" spans="191:191" x14ac:dyDescent="0.2">
      <c r="GI9306" s="422"/>
    </row>
    <row r="9307" spans="191:191" x14ac:dyDescent="0.2">
      <c r="GI9307" s="422"/>
    </row>
    <row r="9308" spans="191:191" x14ac:dyDescent="0.2">
      <c r="GI9308" s="422"/>
    </row>
    <row r="9309" spans="191:191" x14ac:dyDescent="0.2">
      <c r="GI9309" s="422"/>
    </row>
    <row r="9310" spans="191:191" x14ac:dyDescent="0.2">
      <c r="GI9310" s="422"/>
    </row>
    <row r="9311" spans="191:191" x14ac:dyDescent="0.2">
      <c r="GI9311" s="422"/>
    </row>
    <row r="9312" spans="191:191" x14ac:dyDescent="0.2">
      <c r="GI9312" s="422"/>
    </row>
    <row r="9313" spans="191:191" x14ac:dyDescent="0.2">
      <c r="GI9313" s="422"/>
    </row>
    <row r="9314" spans="191:191" x14ac:dyDescent="0.2">
      <c r="GI9314" s="422"/>
    </row>
    <row r="9315" spans="191:191" x14ac:dyDescent="0.2">
      <c r="GI9315" s="422"/>
    </row>
    <row r="9316" spans="191:191" x14ac:dyDescent="0.2">
      <c r="GI9316" s="422"/>
    </row>
    <row r="9317" spans="191:191" x14ac:dyDescent="0.2">
      <c r="GI9317" s="422"/>
    </row>
    <row r="9318" spans="191:191" x14ac:dyDescent="0.2">
      <c r="GI9318" s="422"/>
    </row>
    <row r="9319" spans="191:191" x14ac:dyDescent="0.2">
      <c r="GI9319" s="422"/>
    </row>
    <row r="9320" spans="191:191" x14ac:dyDescent="0.2">
      <c r="GI9320" s="422"/>
    </row>
    <row r="9321" spans="191:191" x14ac:dyDescent="0.2">
      <c r="GI9321" s="422"/>
    </row>
    <row r="9322" spans="191:191" x14ac:dyDescent="0.2">
      <c r="GI9322" s="422"/>
    </row>
    <row r="9323" spans="191:191" x14ac:dyDescent="0.2">
      <c r="GI9323" s="422"/>
    </row>
    <row r="9324" spans="191:191" x14ac:dyDescent="0.2">
      <c r="GI9324" s="422"/>
    </row>
    <row r="9325" spans="191:191" x14ac:dyDescent="0.2">
      <c r="GI9325" s="422"/>
    </row>
    <row r="9326" spans="191:191" x14ac:dyDescent="0.2">
      <c r="GI9326" s="422"/>
    </row>
    <row r="9327" spans="191:191" x14ac:dyDescent="0.2">
      <c r="GI9327" s="422"/>
    </row>
    <row r="9328" spans="191:191" x14ac:dyDescent="0.2">
      <c r="GI9328" s="422"/>
    </row>
    <row r="9329" spans="191:191" x14ac:dyDescent="0.2">
      <c r="GI9329" s="422"/>
    </row>
    <row r="9330" spans="191:191" x14ac:dyDescent="0.2">
      <c r="GI9330" s="422"/>
    </row>
    <row r="9331" spans="191:191" x14ac:dyDescent="0.2">
      <c r="GI9331" s="422"/>
    </row>
    <row r="9332" spans="191:191" x14ac:dyDescent="0.2">
      <c r="GI9332" s="422"/>
    </row>
    <row r="9333" spans="191:191" x14ac:dyDescent="0.2">
      <c r="GI9333" s="422"/>
    </row>
    <row r="9334" spans="191:191" x14ac:dyDescent="0.2">
      <c r="GI9334" s="422"/>
    </row>
    <row r="9335" spans="191:191" x14ac:dyDescent="0.2">
      <c r="GI9335" s="422"/>
    </row>
    <row r="9336" spans="191:191" x14ac:dyDescent="0.2">
      <c r="GI9336" s="422"/>
    </row>
    <row r="9337" spans="191:191" x14ac:dyDescent="0.2">
      <c r="GI9337" s="422"/>
    </row>
    <row r="9338" spans="191:191" x14ac:dyDescent="0.2">
      <c r="GI9338" s="422"/>
    </row>
    <row r="9339" spans="191:191" x14ac:dyDescent="0.2">
      <c r="GI9339" s="422"/>
    </row>
    <row r="9340" spans="191:191" x14ac:dyDescent="0.2">
      <c r="GI9340" s="422"/>
    </row>
    <row r="9341" spans="191:191" x14ac:dyDescent="0.2">
      <c r="GI9341" s="422"/>
    </row>
    <row r="9342" spans="191:191" x14ac:dyDescent="0.2">
      <c r="GI9342" s="422"/>
    </row>
    <row r="9343" spans="191:191" x14ac:dyDescent="0.2">
      <c r="GI9343" s="422"/>
    </row>
    <row r="9344" spans="191:191" x14ac:dyDescent="0.2">
      <c r="GI9344" s="422"/>
    </row>
    <row r="9345" spans="191:191" x14ac:dyDescent="0.2">
      <c r="GI9345" s="422"/>
    </row>
    <row r="9346" spans="191:191" x14ac:dyDescent="0.2">
      <c r="GI9346" s="422"/>
    </row>
    <row r="9347" spans="191:191" x14ac:dyDescent="0.2">
      <c r="GI9347" s="422"/>
    </row>
    <row r="9348" spans="191:191" x14ac:dyDescent="0.2">
      <c r="GI9348" s="422"/>
    </row>
    <row r="9349" spans="191:191" x14ac:dyDescent="0.2">
      <c r="GI9349" s="422"/>
    </row>
    <row r="9350" spans="191:191" x14ac:dyDescent="0.2">
      <c r="GI9350" s="422"/>
    </row>
    <row r="9351" spans="191:191" x14ac:dyDescent="0.2">
      <c r="GI9351" s="422"/>
    </row>
    <row r="9352" spans="191:191" x14ac:dyDescent="0.2">
      <c r="GI9352" s="422"/>
    </row>
    <row r="9353" spans="191:191" x14ac:dyDescent="0.2">
      <c r="GI9353" s="422"/>
    </row>
    <row r="9354" spans="191:191" x14ac:dyDescent="0.2">
      <c r="GI9354" s="422"/>
    </row>
    <row r="9355" spans="191:191" x14ac:dyDescent="0.2">
      <c r="GI9355" s="422"/>
    </row>
    <row r="9356" spans="191:191" x14ac:dyDescent="0.2">
      <c r="GI9356" s="422"/>
    </row>
    <row r="9357" spans="191:191" x14ac:dyDescent="0.2">
      <c r="GI9357" s="422"/>
    </row>
    <row r="9358" spans="191:191" x14ac:dyDescent="0.2">
      <c r="GI9358" s="422"/>
    </row>
    <row r="9359" spans="191:191" x14ac:dyDescent="0.2">
      <c r="GI9359" s="422"/>
    </row>
    <row r="9360" spans="191:191" x14ac:dyDescent="0.2">
      <c r="GI9360" s="422"/>
    </row>
    <row r="9361" spans="191:191" x14ac:dyDescent="0.2">
      <c r="GI9361" s="422"/>
    </row>
    <row r="9362" spans="191:191" x14ac:dyDescent="0.2">
      <c r="GI9362" s="422"/>
    </row>
    <row r="9363" spans="191:191" x14ac:dyDescent="0.2">
      <c r="GI9363" s="422"/>
    </row>
    <row r="9364" spans="191:191" x14ac:dyDescent="0.2">
      <c r="GI9364" s="422"/>
    </row>
    <row r="9365" spans="191:191" x14ac:dyDescent="0.2">
      <c r="GI9365" s="422"/>
    </row>
    <row r="9366" spans="191:191" x14ac:dyDescent="0.2">
      <c r="GI9366" s="422"/>
    </row>
    <row r="9367" spans="191:191" x14ac:dyDescent="0.2">
      <c r="GI9367" s="422"/>
    </row>
    <row r="9368" spans="191:191" x14ac:dyDescent="0.2">
      <c r="GI9368" s="422"/>
    </row>
    <row r="9369" spans="191:191" x14ac:dyDescent="0.2">
      <c r="GI9369" s="422"/>
    </row>
    <row r="9370" spans="191:191" x14ac:dyDescent="0.2">
      <c r="GI9370" s="422"/>
    </row>
    <row r="9371" spans="191:191" x14ac:dyDescent="0.2">
      <c r="GI9371" s="422"/>
    </row>
    <row r="9372" spans="191:191" x14ac:dyDescent="0.2">
      <c r="GI9372" s="422"/>
    </row>
    <row r="9373" spans="191:191" x14ac:dyDescent="0.2">
      <c r="GI9373" s="422"/>
    </row>
    <row r="9374" spans="191:191" x14ac:dyDescent="0.2">
      <c r="GI9374" s="422"/>
    </row>
    <row r="9375" spans="191:191" x14ac:dyDescent="0.2">
      <c r="GI9375" s="422"/>
    </row>
    <row r="9376" spans="191:191" x14ac:dyDescent="0.2">
      <c r="GI9376" s="422"/>
    </row>
    <row r="9377" spans="191:191" x14ac:dyDescent="0.2">
      <c r="GI9377" s="422"/>
    </row>
    <row r="9378" spans="191:191" x14ac:dyDescent="0.2">
      <c r="GI9378" s="422"/>
    </row>
    <row r="9379" spans="191:191" x14ac:dyDescent="0.2">
      <c r="GI9379" s="422"/>
    </row>
    <row r="9380" spans="191:191" x14ac:dyDescent="0.2">
      <c r="GI9380" s="422"/>
    </row>
    <row r="9381" spans="191:191" x14ac:dyDescent="0.2">
      <c r="GI9381" s="422"/>
    </row>
    <row r="9382" spans="191:191" x14ac:dyDescent="0.2">
      <c r="GI9382" s="422"/>
    </row>
    <row r="9383" spans="191:191" x14ac:dyDescent="0.2">
      <c r="GI9383" s="422"/>
    </row>
    <row r="9384" spans="191:191" x14ac:dyDescent="0.2">
      <c r="GI9384" s="422"/>
    </row>
    <row r="9385" spans="191:191" x14ac:dyDescent="0.2">
      <c r="GI9385" s="422"/>
    </row>
    <row r="9386" spans="191:191" x14ac:dyDescent="0.2">
      <c r="GI9386" s="422"/>
    </row>
    <row r="9387" spans="191:191" x14ac:dyDescent="0.2">
      <c r="GI9387" s="422"/>
    </row>
    <row r="9388" spans="191:191" x14ac:dyDescent="0.2">
      <c r="GI9388" s="422"/>
    </row>
    <row r="9389" spans="191:191" x14ac:dyDescent="0.2">
      <c r="GI9389" s="422"/>
    </row>
    <row r="9390" spans="191:191" x14ac:dyDescent="0.2">
      <c r="GI9390" s="422"/>
    </row>
    <row r="9391" spans="191:191" x14ac:dyDescent="0.2">
      <c r="GI9391" s="422"/>
    </row>
    <row r="9392" spans="191:191" x14ac:dyDescent="0.2">
      <c r="GI9392" s="422"/>
    </row>
    <row r="9393" spans="191:191" x14ac:dyDescent="0.2">
      <c r="GI9393" s="422"/>
    </row>
    <row r="9394" spans="191:191" x14ac:dyDescent="0.2">
      <c r="GI9394" s="422"/>
    </row>
    <row r="9395" spans="191:191" x14ac:dyDescent="0.2">
      <c r="GI9395" s="422"/>
    </row>
    <row r="9396" spans="191:191" x14ac:dyDescent="0.2">
      <c r="GI9396" s="422"/>
    </row>
    <row r="9397" spans="191:191" x14ac:dyDescent="0.2">
      <c r="GI9397" s="422"/>
    </row>
    <row r="9398" spans="191:191" x14ac:dyDescent="0.2">
      <c r="GI9398" s="422"/>
    </row>
    <row r="9399" spans="191:191" x14ac:dyDescent="0.2">
      <c r="GI9399" s="422"/>
    </row>
    <row r="9400" spans="191:191" x14ac:dyDescent="0.2">
      <c r="GI9400" s="422"/>
    </row>
    <row r="9401" spans="191:191" x14ac:dyDescent="0.2">
      <c r="GI9401" s="422"/>
    </row>
    <row r="9402" spans="191:191" x14ac:dyDescent="0.2">
      <c r="GI9402" s="422"/>
    </row>
    <row r="9403" spans="191:191" x14ac:dyDescent="0.2">
      <c r="GI9403" s="422"/>
    </row>
    <row r="9404" spans="191:191" x14ac:dyDescent="0.2">
      <c r="GI9404" s="422"/>
    </row>
    <row r="9405" spans="191:191" x14ac:dyDescent="0.2">
      <c r="GI9405" s="422"/>
    </row>
    <row r="9406" spans="191:191" x14ac:dyDescent="0.2">
      <c r="GI9406" s="422"/>
    </row>
    <row r="9407" spans="191:191" x14ac:dyDescent="0.2">
      <c r="GI9407" s="422"/>
    </row>
    <row r="9408" spans="191:191" x14ac:dyDescent="0.2">
      <c r="GI9408" s="422"/>
    </row>
    <row r="9409" spans="191:191" x14ac:dyDescent="0.2">
      <c r="GI9409" s="422"/>
    </row>
    <row r="9410" spans="191:191" x14ac:dyDescent="0.2">
      <c r="GI9410" s="422"/>
    </row>
    <row r="9411" spans="191:191" x14ac:dyDescent="0.2">
      <c r="GI9411" s="422"/>
    </row>
    <row r="9412" spans="191:191" x14ac:dyDescent="0.2">
      <c r="GI9412" s="422"/>
    </row>
    <row r="9413" spans="191:191" x14ac:dyDescent="0.2">
      <c r="GI9413" s="422"/>
    </row>
    <row r="9414" spans="191:191" x14ac:dyDescent="0.2">
      <c r="GI9414" s="422"/>
    </row>
    <row r="9415" spans="191:191" x14ac:dyDescent="0.2">
      <c r="GI9415" s="422"/>
    </row>
    <row r="9416" spans="191:191" x14ac:dyDescent="0.2">
      <c r="GI9416" s="422"/>
    </row>
    <row r="9417" spans="191:191" x14ac:dyDescent="0.2">
      <c r="GI9417" s="422"/>
    </row>
    <row r="9418" spans="191:191" x14ac:dyDescent="0.2">
      <c r="GI9418" s="422"/>
    </row>
    <row r="9419" spans="191:191" x14ac:dyDescent="0.2">
      <c r="GI9419" s="422"/>
    </row>
    <row r="9420" spans="191:191" x14ac:dyDescent="0.2">
      <c r="GI9420" s="422"/>
    </row>
    <row r="9421" spans="191:191" x14ac:dyDescent="0.2">
      <c r="GI9421" s="422"/>
    </row>
    <row r="9422" spans="191:191" x14ac:dyDescent="0.2">
      <c r="GI9422" s="422"/>
    </row>
    <row r="9423" spans="191:191" x14ac:dyDescent="0.2">
      <c r="GI9423" s="422"/>
    </row>
    <row r="9424" spans="191:191" x14ac:dyDescent="0.2">
      <c r="GI9424" s="422"/>
    </row>
    <row r="9425" spans="191:191" x14ac:dyDescent="0.2">
      <c r="GI9425" s="422"/>
    </row>
    <row r="9426" spans="191:191" x14ac:dyDescent="0.2">
      <c r="GI9426" s="422"/>
    </row>
    <row r="9427" spans="191:191" x14ac:dyDescent="0.2">
      <c r="GI9427" s="422"/>
    </row>
    <row r="9428" spans="191:191" x14ac:dyDescent="0.2">
      <c r="GI9428" s="422"/>
    </row>
    <row r="9429" spans="191:191" x14ac:dyDescent="0.2">
      <c r="GI9429" s="422"/>
    </row>
    <row r="9430" spans="191:191" x14ac:dyDescent="0.2">
      <c r="GI9430" s="422"/>
    </row>
    <row r="9431" spans="191:191" x14ac:dyDescent="0.2">
      <c r="GI9431" s="422"/>
    </row>
    <row r="9432" spans="191:191" x14ac:dyDescent="0.2">
      <c r="GI9432" s="422"/>
    </row>
    <row r="9433" spans="191:191" x14ac:dyDescent="0.2">
      <c r="GI9433" s="422"/>
    </row>
    <row r="9434" spans="191:191" x14ac:dyDescent="0.2">
      <c r="GI9434" s="422"/>
    </row>
    <row r="9435" spans="191:191" x14ac:dyDescent="0.2">
      <c r="GI9435" s="422"/>
    </row>
    <row r="9436" spans="191:191" x14ac:dyDescent="0.2">
      <c r="GI9436" s="422"/>
    </row>
    <row r="9437" spans="191:191" x14ac:dyDescent="0.2">
      <c r="GI9437" s="422"/>
    </row>
    <row r="9438" spans="191:191" x14ac:dyDescent="0.2">
      <c r="GI9438" s="422"/>
    </row>
    <row r="9439" spans="191:191" x14ac:dyDescent="0.2">
      <c r="GI9439" s="422"/>
    </row>
    <row r="9440" spans="191:191" x14ac:dyDescent="0.2">
      <c r="GI9440" s="422"/>
    </row>
    <row r="9441" spans="191:191" x14ac:dyDescent="0.2">
      <c r="GI9441" s="422"/>
    </row>
    <row r="9442" spans="191:191" x14ac:dyDescent="0.2">
      <c r="GI9442" s="422"/>
    </row>
    <row r="9443" spans="191:191" x14ac:dyDescent="0.2">
      <c r="GI9443" s="422"/>
    </row>
    <row r="9444" spans="191:191" x14ac:dyDescent="0.2">
      <c r="GI9444" s="422"/>
    </row>
    <row r="9445" spans="191:191" x14ac:dyDescent="0.2">
      <c r="GI9445" s="422"/>
    </row>
    <row r="9446" spans="191:191" x14ac:dyDescent="0.2">
      <c r="GI9446" s="422"/>
    </row>
    <row r="9447" spans="191:191" x14ac:dyDescent="0.2">
      <c r="GI9447" s="422"/>
    </row>
    <row r="9448" spans="191:191" x14ac:dyDescent="0.2">
      <c r="GI9448" s="422"/>
    </row>
    <row r="9449" spans="191:191" x14ac:dyDescent="0.2">
      <c r="GI9449" s="422"/>
    </row>
    <row r="9450" spans="191:191" x14ac:dyDescent="0.2">
      <c r="GI9450" s="422"/>
    </row>
    <row r="9451" spans="191:191" x14ac:dyDescent="0.2">
      <c r="GI9451" s="422"/>
    </row>
    <row r="9452" spans="191:191" x14ac:dyDescent="0.2">
      <c r="GI9452" s="422"/>
    </row>
    <row r="9453" spans="191:191" x14ac:dyDescent="0.2">
      <c r="GI9453" s="422"/>
    </row>
    <row r="9454" spans="191:191" x14ac:dyDescent="0.2">
      <c r="GI9454" s="422"/>
    </row>
    <row r="9455" spans="191:191" x14ac:dyDescent="0.2">
      <c r="GI9455" s="422"/>
    </row>
    <row r="9456" spans="191:191" x14ac:dyDescent="0.2">
      <c r="GI9456" s="422"/>
    </row>
    <row r="9457" spans="191:191" x14ac:dyDescent="0.2">
      <c r="GI9457" s="422"/>
    </row>
    <row r="9458" spans="191:191" x14ac:dyDescent="0.2">
      <c r="GI9458" s="422"/>
    </row>
    <row r="9459" spans="191:191" x14ac:dyDescent="0.2">
      <c r="GI9459" s="422"/>
    </row>
    <row r="9460" spans="191:191" x14ac:dyDescent="0.2">
      <c r="GI9460" s="422"/>
    </row>
    <row r="9461" spans="191:191" x14ac:dyDescent="0.2">
      <c r="GI9461" s="422"/>
    </row>
    <row r="9462" spans="191:191" x14ac:dyDescent="0.2">
      <c r="GI9462" s="422"/>
    </row>
    <row r="9463" spans="191:191" x14ac:dyDescent="0.2">
      <c r="GI9463" s="422"/>
    </row>
    <row r="9464" spans="191:191" x14ac:dyDescent="0.2">
      <c r="GI9464" s="422"/>
    </row>
    <row r="9465" spans="191:191" x14ac:dyDescent="0.2">
      <c r="GI9465" s="422"/>
    </row>
    <row r="9466" spans="191:191" x14ac:dyDescent="0.2">
      <c r="GI9466" s="422"/>
    </row>
    <row r="9467" spans="191:191" x14ac:dyDescent="0.2">
      <c r="GI9467" s="422"/>
    </row>
    <row r="9468" spans="191:191" x14ac:dyDescent="0.2">
      <c r="GI9468" s="422"/>
    </row>
    <row r="9469" spans="191:191" x14ac:dyDescent="0.2">
      <c r="GI9469" s="422"/>
    </row>
    <row r="9470" spans="191:191" x14ac:dyDescent="0.2">
      <c r="GI9470" s="422"/>
    </row>
    <row r="9471" spans="191:191" x14ac:dyDescent="0.2">
      <c r="GI9471" s="422"/>
    </row>
    <row r="9472" spans="191:191" x14ac:dyDescent="0.2">
      <c r="GI9472" s="422"/>
    </row>
    <row r="9473" spans="191:191" x14ac:dyDescent="0.2">
      <c r="GI9473" s="422"/>
    </row>
    <row r="9474" spans="191:191" x14ac:dyDescent="0.2">
      <c r="GI9474" s="422"/>
    </row>
    <row r="9475" spans="191:191" x14ac:dyDescent="0.2">
      <c r="GI9475" s="422"/>
    </row>
    <row r="9476" spans="191:191" x14ac:dyDescent="0.2">
      <c r="GI9476" s="422"/>
    </row>
    <row r="9477" spans="191:191" x14ac:dyDescent="0.2">
      <c r="GI9477" s="422"/>
    </row>
    <row r="9478" spans="191:191" x14ac:dyDescent="0.2">
      <c r="GI9478" s="422"/>
    </row>
    <row r="9479" spans="191:191" x14ac:dyDescent="0.2">
      <c r="GI9479" s="422"/>
    </row>
    <row r="9480" spans="191:191" x14ac:dyDescent="0.2">
      <c r="GI9480" s="422"/>
    </row>
    <row r="9481" spans="191:191" x14ac:dyDescent="0.2">
      <c r="GI9481" s="422"/>
    </row>
    <row r="9482" spans="191:191" x14ac:dyDescent="0.2">
      <c r="GI9482" s="422"/>
    </row>
    <row r="9483" spans="191:191" x14ac:dyDescent="0.2">
      <c r="GI9483" s="422"/>
    </row>
    <row r="9484" spans="191:191" x14ac:dyDescent="0.2">
      <c r="GI9484" s="422"/>
    </row>
    <row r="9485" spans="191:191" x14ac:dyDescent="0.2">
      <c r="GI9485" s="422"/>
    </row>
    <row r="9486" spans="191:191" x14ac:dyDescent="0.2">
      <c r="GI9486" s="422"/>
    </row>
    <row r="9487" spans="191:191" x14ac:dyDescent="0.2">
      <c r="GI9487" s="422"/>
    </row>
    <row r="9488" spans="191:191" x14ac:dyDescent="0.2">
      <c r="GI9488" s="422"/>
    </row>
    <row r="9489" spans="191:191" x14ac:dyDescent="0.2">
      <c r="GI9489" s="422"/>
    </row>
    <row r="9490" spans="191:191" x14ac:dyDescent="0.2">
      <c r="GI9490" s="422"/>
    </row>
    <row r="9491" spans="191:191" x14ac:dyDescent="0.2">
      <c r="GI9491" s="422"/>
    </row>
    <row r="9492" spans="191:191" x14ac:dyDescent="0.2">
      <c r="GI9492" s="422"/>
    </row>
    <row r="9493" spans="191:191" x14ac:dyDescent="0.2">
      <c r="GI9493" s="422"/>
    </row>
    <row r="9494" spans="191:191" x14ac:dyDescent="0.2">
      <c r="GI9494" s="422"/>
    </row>
    <row r="9495" spans="191:191" x14ac:dyDescent="0.2">
      <c r="GI9495" s="422"/>
    </row>
    <row r="9496" spans="191:191" x14ac:dyDescent="0.2">
      <c r="GI9496" s="422"/>
    </row>
    <row r="9497" spans="191:191" x14ac:dyDescent="0.2">
      <c r="GI9497" s="422"/>
    </row>
    <row r="9498" spans="191:191" x14ac:dyDescent="0.2">
      <c r="GI9498" s="422"/>
    </row>
    <row r="9499" spans="191:191" x14ac:dyDescent="0.2">
      <c r="GI9499" s="422"/>
    </row>
    <row r="9500" spans="191:191" x14ac:dyDescent="0.2">
      <c r="GI9500" s="422"/>
    </row>
    <row r="9501" spans="191:191" x14ac:dyDescent="0.2">
      <c r="GI9501" s="422"/>
    </row>
    <row r="9502" spans="191:191" x14ac:dyDescent="0.2">
      <c r="GI9502" s="422"/>
    </row>
    <row r="9503" spans="191:191" x14ac:dyDescent="0.2">
      <c r="GI9503" s="422"/>
    </row>
    <row r="9504" spans="191:191" x14ac:dyDescent="0.2">
      <c r="GI9504" s="422"/>
    </row>
    <row r="9505" spans="191:191" x14ac:dyDescent="0.2">
      <c r="GI9505" s="422"/>
    </row>
    <row r="9506" spans="191:191" x14ac:dyDescent="0.2">
      <c r="GI9506" s="422"/>
    </row>
    <row r="9507" spans="191:191" x14ac:dyDescent="0.2">
      <c r="GI9507" s="422"/>
    </row>
    <row r="9508" spans="191:191" x14ac:dyDescent="0.2">
      <c r="GI9508" s="422"/>
    </row>
    <row r="9509" spans="191:191" x14ac:dyDescent="0.2">
      <c r="GI9509" s="422"/>
    </row>
    <row r="9510" spans="191:191" x14ac:dyDescent="0.2">
      <c r="GI9510" s="422"/>
    </row>
    <row r="9511" spans="191:191" x14ac:dyDescent="0.2">
      <c r="GI9511" s="422"/>
    </row>
    <row r="9512" spans="191:191" x14ac:dyDescent="0.2">
      <c r="GI9512" s="422"/>
    </row>
    <row r="9513" spans="191:191" x14ac:dyDescent="0.2">
      <c r="GI9513" s="422"/>
    </row>
    <row r="9514" spans="191:191" x14ac:dyDescent="0.2">
      <c r="GI9514" s="422"/>
    </row>
    <row r="9515" spans="191:191" x14ac:dyDescent="0.2">
      <c r="GI9515" s="422"/>
    </row>
    <row r="9516" spans="191:191" x14ac:dyDescent="0.2">
      <c r="GI9516" s="422"/>
    </row>
    <row r="9517" spans="191:191" x14ac:dyDescent="0.2">
      <c r="GI9517" s="422"/>
    </row>
    <row r="9518" spans="191:191" x14ac:dyDescent="0.2">
      <c r="GI9518" s="422"/>
    </row>
    <row r="9519" spans="191:191" x14ac:dyDescent="0.2">
      <c r="GI9519" s="422"/>
    </row>
    <row r="9520" spans="191:191" x14ac:dyDescent="0.2">
      <c r="GI9520" s="422"/>
    </row>
    <row r="9521" spans="191:191" x14ac:dyDescent="0.2">
      <c r="GI9521" s="422"/>
    </row>
    <row r="9522" spans="191:191" x14ac:dyDescent="0.2">
      <c r="GI9522" s="422"/>
    </row>
    <row r="9523" spans="191:191" x14ac:dyDescent="0.2">
      <c r="GI9523" s="422"/>
    </row>
    <row r="9524" spans="191:191" x14ac:dyDescent="0.2">
      <c r="GI9524" s="422"/>
    </row>
    <row r="9525" spans="191:191" x14ac:dyDescent="0.2">
      <c r="GI9525" s="422"/>
    </row>
    <row r="9526" spans="191:191" x14ac:dyDescent="0.2">
      <c r="GI9526" s="422"/>
    </row>
    <row r="9527" spans="191:191" x14ac:dyDescent="0.2">
      <c r="GI9527" s="422"/>
    </row>
    <row r="9528" spans="191:191" x14ac:dyDescent="0.2">
      <c r="GI9528" s="422"/>
    </row>
    <row r="9529" spans="191:191" x14ac:dyDescent="0.2">
      <c r="GI9529" s="422"/>
    </row>
    <row r="9530" spans="191:191" x14ac:dyDescent="0.2">
      <c r="GI9530" s="422"/>
    </row>
    <row r="9531" spans="191:191" x14ac:dyDescent="0.2">
      <c r="GI9531" s="422"/>
    </row>
    <row r="9532" spans="191:191" x14ac:dyDescent="0.2">
      <c r="GI9532" s="422"/>
    </row>
    <row r="9533" spans="191:191" x14ac:dyDescent="0.2">
      <c r="GI9533" s="422"/>
    </row>
    <row r="9534" spans="191:191" x14ac:dyDescent="0.2">
      <c r="GI9534" s="422"/>
    </row>
    <row r="9535" spans="191:191" x14ac:dyDescent="0.2">
      <c r="GI9535" s="422"/>
    </row>
    <row r="9536" spans="191:191" x14ac:dyDescent="0.2">
      <c r="GI9536" s="422"/>
    </row>
    <row r="9537" spans="191:191" x14ac:dyDescent="0.2">
      <c r="GI9537" s="422"/>
    </row>
    <row r="9538" spans="191:191" x14ac:dyDescent="0.2">
      <c r="GI9538" s="422"/>
    </row>
    <row r="9539" spans="191:191" x14ac:dyDescent="0.2">
      <c r="GI9539" s="422"/>
    </row>
    <row r="9540" spans="191:191" x14ac:dyDescent="0.2">
      <c r="GI9540" s="422"/>
    </row>
    <row r="9541" spans="191:191" x14ac:dyDescent="0.2">
      <c r="GI9541" s="422"/>
    </row>
    <row r="9542" spans="191:191" x14ac:dyDescent="0.2">
      <c r="GI9542" s="422"/>
    </row>
    <row r="9543" spans="191:191" x14ac:dyDescent="0.2">
      <c r="GI9543" s="422"/>
    </row>
    <row r="9544" spans="191:191" x14ac:dyDescent="0.2">
      <c r="GI9544" s="422"/>
    </row>
    <row r="9545" spans="191:191" x14ac:dyDescent="0.2">
      <c r="GI9545" s="422"/>
    </row>
    <row r="9546" spans="191:191" x14ac:dyDescent="0.2">
      <c r="GI9546" s="422"/>
    </row>
    <row r="9547" spans="191:191" x14ac:dyDescent="0.2">
      <c r="GI9547" s="422"/>
    </row>
    <row r="9548" spans="191:191" x14ac:dyDescent="0.2">
      <c r="GI9548" s="422"/>
    </row>
    <row r="9549" spans="191:191" x14ac:dyDescent="0.2">
      <c r="GI9549" s="422"/>
    </row>
    <row r="9550" spans="191:191" x14ac:dyDescent="0.2">
      <c r="GI9550" s="422"/>
    </row>
    <row r="9551" spans="191:191" x14ac:dyDescent="0.2">
      <c r="GI9551" s="422"/>
    </row>
    <row r="9552" spans="191:191" x14ac:dyDescent="0.2">
      <c r="GI9552" s="422"/>
    </row>
    <row r="9553" spans="191:191" x14ac:dyDescent="0.2">
      <c r="GI9553" s="422"/>
    </row>
    <row r="9554" spans="191:191" x14ac:dyDescent="0.2">
      <c r="GI9554" s="422"/>
    </row>
    <row r="9555" spans="191:191" x14ac:dyDescent="0.2">
      <c r="GI9555" s="422"/>
    </row>
    <row r="9556" spans="191:191" x14ac:dyDescent="0.2">
      <c r="GI9556" s="422"/>
    </row>
    <row r="9557" spans="191:191" x14ac:dyDescent="0.2">
      <c r="GI9557" s="422"/>
    </row>
    <row r="9558" spans="191:191" x14ac:dyDescent="0.2">
      <c r="GI9558" s="422"/>
    </row>
    <row r="9559" spans="191:191" x14ac:dyDescent="0.2">
      <c r="GI9559" s="422"/>
    </row>
    <row r="9560" spans="191:191" x14ac:dyDescent="0.2">
      <c r="GI9560" s="422"/>
    </row>
    <row r="9561" spans="191:191" x14ac:dyDescent="0.2">
      <c r="GI9561" s="422"/>
    </row>
    <row r="9562" spans="191:191" x14ac:dyDescent="0.2">
      <c r="GI9562" s="422"/>
    </row>
    <row r="9563" spans="191:191" x14ac:dyDescent="0.2">
      <c r="GI9563" s="422"/>
    </row>
    <row r="9564" spans="191:191" x14ac:dyDescent="0.2">
      <c r="GI9564" s="422"/>
    </row>
    <row r="9565" spans="191:191" x14ac:dyDescent="0.2">
      <c r="GI9565" s="422"/>
    </row>
    <row r="9566" spans="191:191" x14ac:dyDescent="0.2">
      <c r="GI9566" s="422"/>
    </row>
    <row r="9567" spans="191:191" x14ac:dyDescent="0.2">
      <c r="GI9567" s="422"/>
    </row>
    <row r="9568" spans="191:191" x14ac:dyDescent="0.2">
      <c r="GI9568" s="422"/>
    </row>
    <row r="9569" spans="191:191" x14ac:dyDescent="0.2">
      <c r="GI9569" s="422"/>
    </row>
    <row r="9570" spans="191:191" x14ac:dyDescent="0.2">
      <c r="GI9570" s="422"/>
    </row>
    <row r="9571" spans="191:191" x14ac:dyDescent="0.2">
      <c r="GI9571" s="422"/>
    </row>
    <row r="9572" spans="191:191" x14ac:dyDescent="0.2">
      <c r="GI9572" s="422"/>
    </row>
    <row r="9573" spans="191:191" x14ac:dyDescent="0.2">
      <c r="GI9573" s="422"/>
    </row>
    <row r="9574" spans="191:191" x14ac:dyDescent="0.2">
      <c r="GI9574" s="422"/>
    </row>
    <row r="9575" spans="191:191" x14ac:dyDescent="0.2">
      <c r="GI9575" s="422"/>
    </row>
    <row r="9576" spans="191:191" x14ac:dyDescent="0.2">
      <c r="GI9576" s="422"/>
    </row>
    <row r="9577" spans="191:191" x14ac:dyDescent="0.2">
      <c r="GI9577" s="422"/>
    </row>
    <row r="9578" spans="191:191" x14ac:dyDescent="0.2">
      <c r="GI9578" s="422"/>
    </row>
    <row r="9579" spans="191:191" x14ac:dyDescent="0.2">
      <c r="GI9579" s="422"/>
    </row>
    <row r="9580" spans="191:191" x14ac:dyDescent="0.2">
      <c r="GI9580" s="422"/>
    </row>
    <row r="9581" spans="191:191" x14ac:dyDescent="0.2">
      <c r="GI9581" s="422"/>
    </row>
    <row r="9582" spans="191:191" x14ac:dyDescent="0.2">
      <c r="GI9582" s="422"/>
    </row>
    <row r="9583" spans="191:191" x14ac:dyDescent="0.2">
      <c r="GI9583" s="422"/>
    </row>
    <row r="9584" spans="191:191" x14ac:dyDescent="0.2">
      <c r="GI9584" s="422"/>
    </row>
    <row r="9585" spans="191:191" x14ac:dyDescent="0.2">
      <c r="GI9585" s="422"/>
    </row>
    <row r="9586" spans="191:191" x14ac:dyDescent="0.2">
      <c r="GI9586" s="422"/>
    </row>
    <row r="9587" spans="191:191" x14ac:dyDescent="0.2">
      <c r="GI9587" s="422"/>
    </row>
    <row r="9588" spans="191:191" x14ac:dyDescent="0.2">
      <c r="GI9588" s="422"/>
    </row>
    <row r="9589" spans="191:191" x14ac:dyDescent="0.2">
      <c r="GI9589" s="422"/>
    </row>
    <row r="9590" spans="191:191" x14ac:dyDescent="0.2">
      <c r="GI9590" s="422"/>
    </row>
    <row r="9591" spans="191:191" x14ac:dyDescent="0.2">
      <c r="GI9591" s="422"/>
    </row>
    <row r="9592" spans="191:191" x14ac:dyDescent="0.2">
      <c r="GI9592" s="422"/>
    </row>
    <row r="9593" spans="191:191" x14ac:dyDescent="0.2">
      <c r="GI9593" s="422"/>
    </row>
    <row r="9594" spans="191:191" x14ac:dyDescent="0.2">
      <c r="GI9594" s="422"/>
    </row>
    <row r="9595" spans="191:191" x14ac:dyDescent="0.2">
      <c r="GI9595" s="422"/>
    </row>
    <row r="9596" spans="191:191" x14ac:dyDescent="0.2">
      <c r="GI9596" s="422"/>
    </row>
    <row r="9597" spans="191:191" x14ac:dyDescent="0.2">
      <c r="GI9597" s="422"/>
    </row>
    <row r="9598" spans="191:191" x14ac:dyDescent="0.2">
      <c r="GI9598" s="422"/>
    </row>
    <row r="9599" spans="191:191" x14ac:dyDescent="0.2">
      <c r="GI9599" s="422"/>
    </row>
    <row r="9600" spans="191:191" x14ac:dyDescent="0.2">
      <c r="GI9600" s="422"/>
    </row>
    <row r="9601" spans="191:191" x14ac:dyDescent="0.2">
      <c r="GI9601" s="422"/>
    </row>
    <row r="9602" spans="191:191" x14ac:dyDescent="0.2">
      <c r="GI9602" s="422"/>
    </row>
    <row r="9603" spans="191:191" x14ac:dyDescent="0.2">
      <c r="GI9603" s="422"/>
    </row>
    <row r="9604" spans="191:191" x14ac:dyDescent="0.2">
      <c r="GI9604" s="422"/>
    </row>
    <row r="9605" spans="191:191" x14ac:dyDescent="0.2">
      <c r="GI9605" s="422"/>
    </row>
    <row r="9606" spans="191:191" x14ac:dyDescent="0.2">
      <c r="GI9606" s="422"/>
    </row>
    <row r="9607" spans="191:191" x14ac:dyDescent="0.2">
      <c r="GI9607" s="422"/>
    </row>
    <row r="9608" spans="191:191" x14ac:dyDescent="0.2">
      <c r="GI9608" s="422"/>
    </row>
    <row r="9609" spans="191:191" x14ac:dyDescent="0.2">
      <c r="GI9609" s="422"/>
    </row>
    <row r="9610" spans="191:191" x14ac:dyDescent="0.2">
      <c r="GI9610" s="422"/>
    </row>
    <row r="9611" spans="191:191" x14ac:dyDescent="0.2">
      <c r="GI9611" s="422"/>
    </row>
    <row r="9612" spans="191:191" x14ac:dyDescent="0.2">
      <c r="GI9612" s="422"/>
    </row>
    <row r="9613" spans="191:191" x14ac:dyDescent="0.2">
      <c r="GI9613" s="422"/>
    </row>
    <row r="9614" spans="191:191" x14ac:dyDescent="0.2">
      <c r="GI9614" s="422"/>
    </row>
    <row r="9615" spans="191:191" x14ac:dyDescent="0.2">
      <c r="GI9615" s="422"/>
    </row>
    <row r="9616" spans="191:191" x14ac:dyDescent="0.2">
      <c r="GI9616" s="422"/>
    </row>
    <row r="9617" spans="191:191" x14ac:dyDescent="0.2">
      <c r="GI9617" s="422"/>
    </row>
    <row r="9618" spans="191:191" x14ac:dyDescent="0.2">
      <c r="GI9618" s="422"/>
    </row>
    <row r="9619" spans="191:191" x14ac:dyDescent="0.2">
      <c r="GI9619" s="422"/>
    </row>
    <row r="9620" spans="191:191" x14ac:dyDescent="0.2">
      <c r="GI9620" s="422"/>
    </row>
    <row r="9621" spans="191:191" x14ac:dyDescent="0.2">
      <c r="GI9621" s="422"/>
    </row>
    <row r="9622" spans="191:191" x14ac:dyDescent="0.2">
      <c r="GI9622" s="422"/>
    </row>
    <row r="9623" spans="191:191" x14ac:dyDescent="0.2">
      <c r="GI9623" s="422"/>
    </row>
    <row r="9624" spans="191:191" x14ac:dyDescent="0.2">
      <c r="GI9624" s="422"/>
    </row>
    <row r="9625" spans="191:191" x14ac:dyDescent="0.2">
      <c r="GI9625" s="422"/>
    </row>
    <row r="9626" spans="191:191" x14ac:dyDescent="0.2">
      <c r="GI9626" s="422"/>
    </row>
    <row r="9627" spans="191:191" x14ac:dyDescent="0.2">
      <c r="GI9627" s="422"/>
    </row>
    <row r="9628" spans="191:191" x14ac:dyDescent="0.2">
      <c r="GI9628" s="422"/>
    </row>
    <row r="9629" spans="191:191" x14ac:dyDescent="0.2">
      <c r="GI9629" s="422"/>
    </row>
    <row r="9630" spans="191:191" x14ac:dyDescent="0.2">
      <c r="GI9630" s="422"/>
    </row>
    <row r="9631" spans="191:191" x14ac:dyDescent="0.2">
      <c r="GI9631" s="422"/>
    </row>
    <row r="9632" spans="191:191" x14ac:dyDescent="0.2">
      <c r="GI9632" s="422"/>
    </row>
    <row r="9633" spans="191:191" x14ac:dyDescent="0.2">
      <c r="GI9633" s="422"/>
    </row>
    <row r="9634" spans="191:191" x14ac:dyDescent="0.2">
      <c r="GI9634" s="422"/>
    </row>
    <row r="9635" spans="191:191" x14ac:dyDescent="0.2">
      <c r="GI9635" s="422"/>
    </row>
    <row r="9636" spans="191:191" x14ac:dyDescent="0.2">
      <c r="GI9636" s="422"/>
    </row>
    <row r="9637" spans="191:191" x14ac:dyDescent="0.2">
      <c r="GI9637" s="422"/>
    </row>
    <row r="9638" spans="191:191" x14ac:dyDescent="0.2">
      <c r="GI9638" s="422"/>
    </row>
    <row r="9639" spans="191:191" x14ac:dyDescent="0.2">
      <c r="GI9639" s="422"/>
    </row>
    <row r="9640" spans="191:191" x14ac:dyDescent="0.2">
      <c r="GI9640" s="422"/>
    </row>
    <row r="9641" spans="191:191" x14ac:dyDescent="0.2">
      <c r="GI9641" s="422"/>
    </row>
    <row r="9642" spans="191:191" x14ac:dyDescent="0.2">
      <c r="GI9642" s="422"/>
    </row>
    <row r="9643" spans="191:191" x14ac:dyDescent="0.2">
      <c r="GI9643" s="422"/>
    </row>
    <row r="9644" spans="191:191" x14ac:dyDescent="0.2">
      <c r="GI9644" s="422"/>
    </row>
    <row r="9645" spans="191:191" x14ac:dyDescent="0.2">
      <c r="GI9645" s="422"/>
    </row>
    <row r="9646" spans="191:191" x14ac:dyDescent="0.2">
      <c r="GI9646" s="422"/>
    </row>
    <row r="9647" spans="191:191" x14ac:dyDescent="0.2">
      <c r="GI9647" s="422"/>
    </row>
    <row r="9648" spans="191:191" x14ac:dyDescent="0.2">
      <c r="GI9648" s="422"/>
    </row>
    <row r="9649" spans="191:191" x14ac:dyDescent="0.2">
      <c r="GI9649" s="422"/>
    </row>
    <row r="9650" spans="191:191" x14ac:dyDescent="0.2">
      <c r="GI9650" s="422"/>
    </row>
    <row r="9651" spans="191:191" x14ac:dyDescent="0.2">
      <c r="GI9651" s="422"/>
    </row>
    <row r="9652" spans="191:191" x14ac:dyDescent="0.2">
      <c r="GI9652" s="422"/>
    </row>
    <row r="9653" spans="191:191" x14ac:dyDescent="0.2">
      <c r="GI9653" s="422"/>
    </row>
    <row r="9654" spans="191:191" x14ac:dyDescent="0.2">
      <c r="GI9654" s="422"/>
    </row>
    <row r="9655" spans="191:191" x14ac:dyDescent="0.2">
      <c r="GI9655" s="422"/>
    </row>
    <row r="9656" spans="191:191" x14ac:dyDescent="0.2">
      <c r="GI9656" s="422"/>
    </row>
    <row r="9657" spans="191:191" x14ac:dyDescent="0.2">
      <c r="GI9657" s="422"/>
    </row>
    <row r="9658" spans="191:191" x14ac:dyDescent="0.2">
      <c r="GI9658" s="422"/>
    </row>
    <row r="9659" spans="191:191" x14ac:dyDescent="0.2">
      <c r="GI9659" s="422"/>
    </row>
    <row r="9660" spans="191:191" x14ac:dyDescent="0.2">
      <c r="GI9660" s="422"/>
    </row>
    <row r="9661" spans="191:191" x14ac:dyDescent="0.2">
      <c r="GI9661" s="422"/>
    </row>
    <row r="9662" spans="191:191" x14ac:dyDescent="0.2">
      <c r="GI9662" s="422"/>
    </row>
    <row r="9663" spans="191:191" x14ac:dyDescent="0.2">
      <c r="GI9663" s="422"/>
    </row>
    <row r="9664" spans="191:191" x14ac:dyDescent="0.2">
      <c r="GI9664" s="422"/>
    </row>
    <row r="9665" spans="191:191" x14ac:dyDescent="0.2">
      <c r="GI9665" s="422"/>
    </row>
    <row r="9666" spans="191:191" x14ac:dyDescent="0.2">
      <c r="GI9666" s="422"/>
    </row>
    <row r="9667" spans="191:191" x14ac:dyDescent="0.2">
      <c r="GI9667" s="422"/>
    </row>
    <row r="9668" spans="191:191" x14ac:dyDescent="0.2">
      <c r="GI9668" s="422"/>
    </row>
    <row r="9669" spans="191:191" x14ac:dyDescent="0.2">
      <c r="GI9669" s="422"/>
    </row>
    <row r="9670" spans="191:191" x14ac:dyDescent="0.2">
      <c r="GI9670" s="422"/>
    </row>
    <row r="9671" spans="191:191" x14ac:dyDescent="0.2">
      <c r="GI9671" s="422"/>
    </row>
    <row r="9672" spans="191:191" x14ac:dyDescent="0.2">
      <c r="GI9672" s="422"/>
    </row>
    <row r="9673" spans="191:191" x14ac:dyDescent="0.2">
      <c r="GI9673" s="422"/>
    </row>
    <row r="9674" spans="191:191" x14ac:dyDescent="0.2">
      <c r="GI9674" s="422"/>
    </row>
    <row r="9675" spans="191:191" x14ac:dyDescent="0.2">
      <c r="GI9675" s="422"/>
    </row>
    <row r="9676" spans="191:191" x14ac:dyDescent="0.2">
      <c r="GI9676" s="422"/>
    </row>
    <row r="9677" spans="191:191" x14ac:dyDescent="0.2">
      <c r="GI9677" s="422"/>
    </row>
    <row r="9678" spans="191:191" x14ac:dyDescent="0.2">
      <c r="GI9678" s="422"/>
    </row>
    <row r="9679" spans="191:191" x14ac:dyDescent="0.2">
      <c r="GI9679" s="422"/>
    </row>
    <row r="9680" spans="191:191" x14ac:dyDescent="0.2">
      <c r="GI9680" s="422"/>
    </row>
    <row r="9681" spans="191:191" x14ac:dyDescent="0.2">
      <c r="GI9681" s="422"/>
    </row>
    <row r="9682" spans="191:191" x14ac:dyDescent="0.2">
      <c r="GI9682" s="422"/>
    </row>
    <row r="9683" spans="191:191" x14ac:dyDescent="0.2">
      <c r="GI9683" s="422"/>
    </row>
    <row r="9684" spans="191:191" x14ac:dyDescent="0.2">
      <c r="GI9684" s="422"/>
    </row>
    <row r="9685" spans="191:191" x14ac:dyDescent="0.2">
      <c r="GI9685" s="422"/>
    </row>
    <row r="9686" spans="191:191" x14ac:dyDescent="0.2">
      <c r="GI9686" s="422"/>
    </row>
    <row r="9687" spans="191:191" x14ac:dyDescent="0.2">
      <c r="GI9687" s="422"/>
    </row>
    <row r="9688" spans="191:191" x14ac:dyDescent="0.2">
      <c r="GI9688" s="422"/>
    </row>
    <row r="9689" spans="191:191" x14ac:dyDescent="0.2">
      <c r="GI9689" s="422"/>
    </row>
    <row r="9690" spans="191:191" x14ac:dyDescent="0.2">
      <c r="GI9690" s="422"/>
    </row>
    <row r="9691" spans="191:191" x14ac:dyDescent="0.2">
      <c r="GI9691" s="422"/>
    </row>
    <row r="9692" spans="191:191" x14ac:dyDescent="0.2">
      <c r="GI9692" s="422"/>
    </row>
    <row r="9693" spans="191:191" x14ac:dyDescent="0.2">
      <c r="GI9693" s="422"/>
    </row>
    <row r="9694" spans="191:191" x14ac:dyDescent="0.2">
      <c r="GI9694" s="422"/>
    </row>
    <row r="9695" spans="191:191" x14ac:dyDescent="0.2">
      <c r="GI9695" s="422"/>
    </row>
    <row r="9696" spans="191:191" x14ac:dyDescent="0.2">
      <c r="GI9696" s="422"/>
    </row>
    <row r="9697" spans="191:191" x14ac:dyDescent="0.2">
      <c r="GI9697" s="422"/>
    </row>
    <row r="9698" spans="191:191" x14ac:dyDescent="0.2">
      <c r="GI9698" s="422"/>
    </row>
    <row r="9699" spans="191:191" x14ac:dyDescent="0.2">
      <c r="GI9699" s="422"/>
    </row>
    <row r="9700" spans="191:191" x14ac:dyDescent="0.2">
      <c r="GI9700" s="422"/>
    </row>
    <row r="9701" spans="191:191" x14ac:dyDescent="0.2">
      <c r="GI9701" s="422"/>
    </row>
    <row r="9702" spans="191:191" x14ac:dyDescent="0.2">
      <c r="GI9702" s="422"/>
    </row>
    <row r="9703" spans="191:191" x14ac:dyDescent="0.2">
      <c r="GI9703" s="422"/>
    </row>
    <row r="9704" spans="191:191" x14ac:dyDescent="0.2">
      <c r="GI9704" s="422"/>
    </row>
    <row r="9705" spans="191:191" x14ac:dyDescent="0.2">
      <c r="GI9705" s="422"/>
    </row>
    <row r="9706" spans="191:191" x14ac:dyDescent="0.2">
      <c r="GI9706" s="422"/>
    </row>
    <row r="9707" spans="191:191" x14ac:dyDescent="0.2">
      <c r="GI9707" s="422"/>
    </row>
    <row r="9708" spans="191:191" x14ac:dyDescent="0.2">
      <c r="GI9708" s="422"/>
    </row>
    <row r="9709" spans="191:191" x14ac:dyDescent="0.2">
      <c r="GI9709" s="422"/>
    </row>
    <row r="9710" spans="191:191" x14ac:dyDescent="0.2">
      <c r="GI9710" s="422"/>
    </row>
    <row r="9711" spans="191:191" x14ac:dyDescent="0.2">
      <c r="GI9711" s="422"/>
    </row>
    <row r="9712" spans="191:191" x14ac:dyDescent="0.2">
      <c r="GI9712" s="422"/>
    </row>
    <row r="9713" spans="191:191" x14ac:dyDescent="0.2">
      <c r="GI9713" s="422"/>
    </row>
    <row r="9714" spans="191:191" x14ac:dyDescent="0.2">
      <c r="GI9714" s="422"/>
    </row>
    <row r="9715" spans="191:191" x14ac:dyDescent="0.2">
      <c r="GI9715" s="422"/>
    </row>
    <row r="9716" spans="191:191" x14ac:dyDescent="0.2">
      <c r="GI9716" s="422"/>
    </row>
    <row r="9717" spans="191:191" x14ac:dyDescent="0.2">
      <c r="GI9717" s="422"/>
    </row>
    <row r="9718" spans="191:191" x14ac:dyDescent="0.2">
      <c r="GI9718" s="422"/>
    </row>
    <row r="9719" spans="191:191" x14ac:dyDescent="0.2">
      <c r="GI9719" s="422"/>
    </row>
    <row r="9720" spans="191:191" x14ac:dyDescent="0.2">
      <c r="GI9720" s="422"/>
    </row>
    <row r="9721" spans="191:191" x14ac:dyDescent="0.2">
      <c r="GI9721" s="422"/>
    </row>
    <row r="9722" spans="191:191" x14ac:dyDescent="0.2">
      <c r="GI9722" s="422"/>
    </row>
    <row r="9723" spans="191:191" x14ac:dyDescent="0.2">
      <c r="GI9723" s="422"/>
    </row>
    <row r="9724" spans="191:191" x14ac:dyDescent="0.2">
      <c r="GI9724" s="422"/>
    </row>
    <row r="9725" spans="191:191" x14ac:dyDescent="0.2">
      <c r="GI9725" s="422"/>
    </row>
    <row r="9726" spans="191:191" x14ac:dyDescent="0.2">
      <c r="GI9726" s="422"/>
    </row>
    <row r="9727" spans="191:191" x14ac:dyDescent="0.2">
      <c r="GI9727" s="422"/>
    </row>
    <row r="9728" spans="191:191" x14ac:dyDescent="0.2">
      <c r="GI9728" s="422"/>
    </row>
    <row r="9729" spans="191:191" x14ac:dyDescent="0.2">
      <c r="GI9729" s="422"/>
    </row>
    <row r="9730" spans="191:191" x14ac:dyDescent="0.2">
      <c r="GI9730" s="422"/>
    </row>
    <row r="9731" spans="191:191" x14ac:dyDescent="0.2">
      <c r="GI9731" s="422"/>
    </row>
    <row r="9732" spans="191:191" x14ac:dyDescent="0.2">
      <c r="GI9732" s="422"/>
    </row>
    <row r="9733" spans="191:191" x14ac:dyDescent="0.2">
      <c r="GI9733" s="422"/>
    </row>
    <row r="9734" spans="191:191" x14ac:dyDescent="0.2">
      <c r="GI9734" s="422"/>
    </row>
    <row r="9735" spans="191:191" x14ac:dyDescent="0.2">
      <c r="GI9735" s="422"/>
    </row>
    <row r="9736" spans="191:191" x14ac:dyDescent="0.2">
      <c r="GI9736" s="422"/>
    </row>
    <row r="9737" spans="191:191" x14ac:dyDescent="0.2">
      <c r="GI9737" s="422"/>
    </row>
    <row r="9738" spans="191:191" x14ac:dyDescent="0.2">
      <c r="GI9738" s="422"/>
    </row>
    <row r="9739" spans="191:191" x14ac:dyDescent="0.2">
      <c r="GI9739" s="422"/>
    </row>
    <row r="9740" spans="191:191" x14ac:dyDescent="0.2">
      <c r="GI9740" s="422"/>
    </row>
    <row r="9741" spans="191:191" x14ac:dyDescent="0.2">
      <c r="GI9741" s="422"/>
    </row>
    <row r="9742" spans="191:191" x14ac:dyDescent="0.2">
      <c r="GI9742" s="422"/>
    </row>
    <row r="9743" spans="191:191" x14ac:dyDescent="0.2">
      <c r="GI9743" s="422"/>
    </row>
    <row r="9744" spans="191:191" x14ac:dyDescent="0.2">
      <c r="GI9744" s="422"/>
    </row>
    <row r="9745" spans="191:191" x14ac:dyDescent="0.2">
      <c r="GI9745" s="422"/>
    </row>
    <row r="9746" spans="191:191" x14ac:dyDescent="0.2">
      <c r="GI9746" s="422"/>
    </row>
    <row r="9747" spans="191:191" x14ac:dyDescent="0.2">
      <c r="GI9747" s="422"/>
    </row>
    <row r="9748" spans="191:191" x14ac:dyDescent="0.2">
      <c r="GI9748" s="422"/>
    </row>
    <row r="9749" spans="191:191" x14ac:dyDescent="0.2">
      <c r="GI9749" s="422"/>
    </row>
    <row r="9750" spans="191:191" x14ac:dyDescent="0.2">
      <c r="GI9750" s="422"/>
    </row>
    <row r="9751" spans="191:191" x14ac:dyDescent="0.2">
      <c r="GI9751" s="422"/>
    </row>
    <row r="9752" spans="191:191" x14ac:dyDescent="0.2">
      <c r="GI9752" s="422"/>
    </row>
    <row r="9753" spans="191:191" x14ac:dyDescent="0.2">
      <c r="GI9753" s="422"/>
    </row>
    <row r="9754" spans="191:191" x14ac:dyDescent="0.2">
      <c r="GI9754" s="422"/>
    </row>
    <row r="9755" spans="191:191" x14ac:dyDescent="0.2">
      <c r="GI9755" s="422"/>
    </row>
    <row r="9756" spans="191:191" x14ac:dyDescent="0.2">
      <c r="GI9756" s="422"/>
    </row>
    <row r="9757" spans="191:191" x14ac:dyDescent="0.2">
      <c r="GI9757" s="422"/>
    </row>
    <row r="9758" spans="191:191" x14ac:dyDescent="0.2">
      <c r="GI9758" s="422"/>
    </row>
    <row r="9759" spans="191:191" x14ac:dyDescent="0.2">
      <c r="GI9759" s="422"/>
    </row>
    <row r="9760" spans="191:191" x14ac:dyDescent="0.2">
      <c r="GI9760" s="422"/>
    </row>
    <row r="9761" spans="191:191" x14ac:dyDescent="0.2">
      <c r="GI9761" s="422"/>
    </row>
    <row r="9762" spans="191:191" x14ac:dyDescent="0.2">
      <c r="GI9762" s="422"/>
    </row>
    <row r="9763" spans="191:191" x14ac:dyDescent="0.2">
      <c r="GI9763" s="422"/>
    </row>
    <row r="9764" spans="191:191" x14ac:dyDescent="0.2">
      <c r="GI9764" s="422"/>
    </row>
    <row r="9765" spans="191:191" x14ac:dyDescent="0.2">
      <c r="GI9765" s="422"/>
    </row>
    <row r="9766" spans="191:191" x14ac:dyDescent="0.2">
      <c r="GI9766" s="422"/>
    </row>
    <row r="9767" spans="191:191" x14ac:dyDescent="0.2">
      <c r="GI9767" s="422"/>
    </row>
    <row r="9768" spans="191:191" x14ac:dyDescent="0.2">
      <c r="GI9768" s="422"/>
    </row>
    <row r="9769" spans="191:191" x14ac:dyDescent="0.2">
      <c r="GI9769" s="422"/>
    </row>
    <row r="9770" spans="191:191" x14ac:dyDescent="0.2">
      <c r="GI9770" s="422"/>
    </row>
    <row r="9771" spans="191:191" x14ac:dyDescent="0.2">
      <c r="GI9771" s="422"/>
    </row>
    <row r="9772" spans="191:191" x14ac:dyDescent="0.2">
      <c r="GI9772" s="422"/>
    </row>
    <row r="9773" spans="191:191" x14ac:dyDescent="0.2">
      <c r="GI9773" s="422"/>
    </row>
    <row r="9774" spans="191:191" x14ac:dyDescent="0.2">
      <c r="GI9774" s="422"/>
    </row>
    <row r="9775" spans="191:191" x14ac:dyDescent="0.2">
      <c r="GI9775" s="422"/>
    </row>
    <row r="9776" spans="191:191" x14ac:dyDescent="0.2">
      <c r="GI9776" s="422"/>
    </row>
    <row r="9777" spans="191:191" x14ac:dyDescent="0.2">
      <c r="GI9777" s="422"/>
    </row>
    <row r="9778" spans="191:191" x14ac:dyDescent="0.2">
      <c r="GI9778" s="422"/>
    </row>
    <row r="9779" spans="191:191" x14ac:dyDescent="0.2">
      <c r="GI9779" s="422"/>
    </row>
    <row r="9780" spans="191:191" x14ac:dyDescent="0.2">
      <c r="GI9780" s="422"/>
    </row>
    <row r="9781" spans="191:191" x14ac:dyDescent="0.2">
      <c r="GI9781" s="422"/>
    </row>
    <row r="9782" spans="191:191" x14ac:dyDescent="0.2">
      <c r="GI9782" s="422"/>
    </row>
    <row r="9783" spans="191:191" x14ac:dyDescent="0.2">
      <c r="GI9783" s="422"/>
    </row>
    <row r="9784" spans="191:191" x14ac:dyDescent="0.2">
      <c r="GI9784" s="422"/>
    </row>
    <row r="9785" spans="191:191" x14ac:dyDescent="0.2">
      <c r="GI9785" s="422"/>
    </row>
    <row r="9786" spans="191:191" x14ac:dyDescent="0.2">
      <c r="GI9786" s="422"/>
    </row>
    <row r="9787" spans="191:191" x14ac:dyDescent="0.2">
      <c r="GI9787" s="422"/>
    </row>
    <row r="9788" spans="191:191" x14ac:dyDescent="0.2">
      <c r="GI9788" s="422"/>
    </row>
    <row r="9789" spans="191:191" x14ac:dyDescent="0.2">
      <c r="GI9789" s="422"/>
    </row>
    <row r="9790" spans="191:191" x14ac:dyDescent="0.2">
      <c r="GI9790" s="422"/>
    </row>
    <row r="9791" spans="191:191" x14ac:dyDescent="0.2">
      <c r="GI9791" s="422"/>
    </row>
    <row r="9792" spans="191:191" x14ac:dyDescent="0.2">
      <c r="GI9792" s="422"/>
    </row>
    <row r="9793" spans="191:191" x14ac:dyDescent="0.2">
      <c r="GI9793" s="422"/>
    </row>
    <row r="9794" spans="191:191" x14ac:dyDescent="0.2">
      <c r="GI9794" s="422"/>
    </row>
    <row r="9795" spans="191:191" x14ac:dyDescent="0.2">
      <c r="GI9795" s="422"/>
    </row>
    <row r="9796" spans="191:191" x14ac:dyDescent="0.2">
      <c r="GI9796" s="422"/>
    </row>
    <row r="9797" spans="191:191" x14ac:dyDescent="0.2">
      <c r="GI9797" s="422"/>
    </row>
    <row r="9798" spans="191:191" x14ac:dyDescent="0.2">
      <c r="GI9798" s="422"/>
    </row>
    <row r="9799" spans="191:191" x14ac:dyDescent="0.2">
      <c r="GI9799" s="422"/>
    </row>
    <row r="9800" spans="191:191" x14ac:dyDescent="0.2">
      <c r="GI9800" s="422"/>
    </row>
    <row r="9801" spans="191:191" x14ac:dyDescent="0.2">
      <c r="GI9801" s="422"/>
    </row>
    <row r="9802" spans="191:191" x14ac:dyDescent="0.2">
      <c r="GI9802" s="422"/>
    </row>
    <row r="9803" spans="191:191" x14ac:dyDescent="0.2">
      <c r="GI9803" s="422"/>
    </row>
    <row r="9804" spans="191:191" x14ac:dyDescent="0.2">
      <c r="GI9804" s="422"/>
    </row>
    <row r="9805" spans="191:191" x14ac:dyDescent="0.2">
      <c r="GI9805" s="422"/>
    </row>
    <row r="9806" spans="191:191" x14ac:dyDescent="0.2">
      <c r="GI9806" s="422"/>
    </row>
    <row r="9807" spans="191:191" x14ac:dyDescent="0.2">
      <c r="GI9807" s="422"/>
    </row>
    <row r="9808" spans="191:191" x14ac:dyDescent="0.2">
      <c r="GI9808" s="422"/>
    </row>
    <row r="9809" spans="191:191" x14ac:dyDescent="0.2">
      <c r="GI9809" s="422"/>
    </row>
    <row r="9810" spans="191:191" x14ac:dyDescent="0.2">
      <c r="GI9810" s="422"/>
    </row>
    <row r="9811" spans="191:191" x14ac:dyDescent="0.2">
      <c r="GI9811" s="422"/>
    </row>
    <row r="9812" spans="191:191" x14ac:dyDescent="0.2">
      <c r="GI9812" s="422"/>
    </row>
    <row r="9813" spans="191:191" x14ac:dyDescent="0.2">
      <c r="GI9813" s="422"/>
    </row>
    <row r="9814" spans="191:191" x14ac:dyDescent="0.2">
      <c r="GI9814" s="422"/>
    </row>
    <row r="9815" spans="191:191" x14ac:dyDescent="0.2">
      <c r="GI9815" s="422"/>
    </row>
    <row r="9816" spans="191:191" x14ac:dyDescent="0.2">
      <c r="GI9816" s="422"/>
    </row>
    <row r="9817" spans="191:191" x14ac:dyDescent="0.2">
      <c r="GI9817" s="422"/>
    </row>
    <row r="9818" spans="191:191" x14ac:dyDescent="0.2">
      <c r="GI9818" s="422"/>
    </row>
    <row r="9819" spans="191:191" x14ac:dyDescent="0.2">
      <c r="GI9819" s="422"/>
    </row>
    <row r="9820" spans="191:191" x14ac:dyDescent="0.2">
      <c r="GI9820" s="422"/>
    </row>
    <row r="9821" spans="191:191" x14ac:dyDescent="0.2">
      <c r="GI9821" s="422"/>
    </row>
    <row r="9822" spans="191:191" x14ac:dyDescent="0.2">
      <c r="GI9822" s="422"/>
    </row>
    <row r="9823" spans="191:191" x14ac:dyDescent="0.2">
      <c r="GI9823" s="422"/>
    </row>
    <row r="9824" spans="191:191" x14ac:dyDescent="0.2">
      <c r="GI9824" s="422"/>
    </row>
    <row r="9825" spans="191:191" x14ac:dyDescent="0.2">
      <c r="GI9825" s="422"/>
    </row>
    <row r="9826" spans="191:191" x14ac:dyDescent="0.2">
      <c r="GI9826" s="422"/>
    </row>
    <row r="9827" spans="191:191" x14ac:dyDescent="0.2">
      <c r="GI9827" s="422"/>
    </row>
    <row r="9828" spans="191:191" x14ac:dyDescent="0.2">
      <c r="GI9828" s="422"/>
    </row>
    <row r="9829" spans="191:191" x14ac:dyDescent="0.2">
      <c r="GI9829" s="422"/>
    </row>
    <row r="9830" spans="191:191" x14ac:dyDescent="0.2">
      <c r="GI9830" s="422"/>
    </row>
    <row r="9831" spans="191:191" x14ac:dyDescent="0.2">
      <c r="GI9831" s="422"/>
    </row>
    <row r="9832" spans="191:191" x14ac:dyDescent="0.2">
      <c r="GI9832" s="422"/>
    </row>
    <row r="9833" spans="191:191" x14ac:dyDescent="0.2">
      <c r="GI9833" s="422"/>
    </row>
    <row r="9834" spans="191:191" x14ac:dyDescent="0.2">
      <c r="GI9834" s="422"/>
    </row>
    <row r="9835" spans="191:191" x14ac:dyDescent="0.2">
      <c r="GI9835" s="422"/>
    </row>
    <row r="9836" spans="191:191" x14ac:dyDescent="0.2">
      <c r="GI9836" s="422"/>
    </row>
    <row r="9837" spans="191:191" x14ac:dyDescent="0.2">
      <c r="GI9837" s="422"/>
    </row>
    <row r="9838" spans="191:191" x14ac:dyDescent="0.2">
      <c r="GI9838" s="422"/>
    </row>
    <row r="9839" spans="191:191" x14ac:dyDescent="0.2">
      <c r="GI9839" s="422"/>
    </row>
    <row r="9840" spans="191:191" x14ac:dyDescent="0.2">
      <c r="GI9840" s="422"/>
    </row>
    <row r="9841" spans="191:191" x14ac:dyDescent="0.2">
      <c r="GI9841" s="422"/>
    </row>
    <row r="9842" spans="191:191" x14ac:dyDescent="0.2">
      <c r="GI9842" s="422"/>
    </row>
    <row r="9843" spans="191:191" x14ac:dyDescent="0.2">
      <c r="GI9843" s="422"/>
    </row>
    <row r="9844" spans="191:191" x14ac:dyDescent="0.2">
      <c r="GI9844" s="422"/>
    </row>
    <row r="9845" spans="191:191" x14ac:dyDescent="0.2">
      <c r="GI9845" s="422"/>
    </row>
    <row r="9846" spans="191:191" x14ac:dyDescent="0.2">
      <c r="GI9846" s="422"/>
    </row>
    <row r="9847" spans="191:191" x14ac:dyDescent="0.2">
      <c r="GI9847" s="422"/>
    </row>
    <row r="9848" spans="191:191" x14ac:dyDescent="0.2">
      <c r="GI9848" s="422"/>
    </row>
    <row r="9849" spans="191:191" x14ac:dyDescent="0.2">
      <c r="GI9849" s="422"/>
    </row>
    <row r="9850" spans="191:191" x14ac:dyDescent="0.2">
      <c r="GI9850" s="422"/>
    </row>
    <row r="9851" spans="191:191" x14ac:dyDescent="0.2">
      <c r="GI9851" s="422"/>
    </row>
    <row r="9852" spans="191:191" x14ac:dyDescent="0.2">
      <c r="GI9852" s="422"/>
    </row>
    <row r="9853" spans="191:191" x14ac:dyDescent="0.2">
      <c r="GI9853" s="422"/>
    </row>
    <row r="9854" spans="191:191" x14ac:dyDescent="0.2">
      <c r="GI9854" s="422"/>
    </row>
    <row r="9855" spans="191:191" x14ac:dyDescent="0.2">
      <c r="GI9855" s="422"/>
    </row>
    <row r="9856" spans="191:191" x14ac:dyDescent="0.2">
      <c r="GI9856" s="422"/>
    </row>
    <row r="9857" spans="191:191" x14ac:dyDescent="0.2">
      <c r="GI9857" s="422"/>
    </row>
    <row r="9858" spans="191:191" x14ac:dyDescent="0.2">
      <c r="GI9858" s="422"/>
    </row>
    <row r="9859" spans="191:191" x14ac:dyDescent="0.2">
      <c r="GI9859" s="422"/>
    </row>
    <row r="9860" spans="191:191" x14ac:dyDescent="0.2">
      <c r="GI9860" s="422"/>
    </row>
    <row r="9861" spans="191:191" x14ac:dyDescent="0.2">
      <c r="GI9861" s="422"/>
    </row>
    <row r="9862" spans="191:191" x14ac:dyDescent="0.2">
      <c r="GI9862" s="422"/>
    </row>
    <row r="9863" spans="191:191" x14ac:dyDescent="0.2">
      <c r="GI9863" s="422"/>
    </row>
    <row r="9864" spans="191:191" x14ac:dyDescent="0.2">
      <c r="GI9864" s="422"/>
    </row>
    <row r="9865" spans="191:191" x14ac:dyDescent="0.2">
      <c r="GI9865" s="422"/>
    </row>
    <row r="9866" spans="191:191" x14ac:dyDescent="0.2">
      <c r="GI9866" s="422"/>
    </row>
    <row r="9867" spans="191:191" x14ac:dyDescent="0.2">
      <c r="GI9867" s="422"/>
    </row>
    <row r="9868" spans="191:191" x14ac:dyDescent="0.2">
      <c r="GI9868" s="422"/>
    </row>
    <row r="9869" spans="191:191" x14ac:dyDescent="0.2">
      <c r="GI9869" s="422"/>
    </row>
    <row r="9870" spans="191:191" x14ac:dyDescent="0.2">
      <c r="GI9870" s="422"/>
    </row>
    <row r="9871" spans="191:191" x14ac:dyDescent="0.2">
      <c r="GI9871" s="422"/>
    </row>
    <row r="9872" spans="191:191" x14ac:dyDescent="0.2">
      <c r="GI9872" s="422"/>
    </row>
    <row r="9873" spans="191:191" x14ac:dyDescent="0.2">
      <c r="GI9873" s="422"/>
    </row>
    <row r="9874" spans="191:191" x14ac:dyDescent="0.2">
      <c r="GI9874" s="422"/>
    </row>
    <row r="9875" spans="191:191" x14ac:dyDescent="0.2">
      <c r="GI9875" s="422"/>
    </row>
    <row r="9876" spans="191:191" x14ac:dyDescent="0.2">
      <c r="GI9876" s="422"/>
    </row>
    <row r="9877" spans="191:191" x14ac:dyDescent="0.2">
      <c r="GI9877" s="422"/>
    </row>
    <row r="9878" spans="191:191" x14ac:dyDescent="0.2">
      <c r="GI9878" s="422"/>
    </row>
    <row r="9879" spans="191:191" x14ac:dyDescent="0.2">
      <c r="GI9879" s="422"/>
    </row>
    <row r="9880" spans="191:191" x14ac:dyDescent="0.2">
      <c r="GI9880" s="422"/>
    </row>
    <row r="9881" spans="191:191" x14ac:dyDescent="0.2">
      <c r="GI9881" s="422"/>
    </row>
    <row r="9882" spans="191:191" x14ac:dyDescent="0.2">
      <c r="GI9882" s="422"/>
    </row>
    <row r="9883" spans="191:191" x14ac:dyDescent="0.2">
      <c r="GI9883" s="422"/>
    </row>
    <row r="9884" spans="191:191" x14ac:dyDescent="0.2">
      <c r="GI9884" s="422"/>
    </row>
    <row r="9885" spans="191:191" x14ac:dyDescent="0.2">
      <c r="GI9885" s="422"/>
    </row>
    <row r="9886" spans="191:191" x14ac:dyDescent="0.2">
      <c r="GI9886" s="422"/>
    </row>
    <row r="9887" spans="191:191" x14ac:dyDescent="0.2">
      <c r="GI9887" s="422"/>
    </row>
    <row r="9888" spans="191:191" x14ac:dyDescent="0.2">
      <c r="GI9888" s="422"/>
    </row>
    <row r="9889" spans="191:191" x14ac:dyDescent="0.2">
      <c r="GI9889" s="422"/>
    </row>
    <row r="9890" spans="191:191" x14ac:dyDescent="0.2">
      <c r="GI9890" s="422"/>
    </row>
    <row r="9891" spans="191:191" x14ac:dyDescent="0.2">
      <c r="GI9891" s="422"/>
    </row>
    <row r="9892" spans="191:191" x14ac:dyDescent="0.2">
      <c r="GI9892" s="422"/>
    </row>
    <row r="9893" spans="191:191" x14ac:dyDescent="0.2">
      <c r="GI9893" s="422"/>
    </row>
    <row r="9894" spans="191:191" x14ac:dyDescent="0.2">
      <c r="GI9894" s="422"/>
    </row>
    <row r="9895" spans="191:191" x14ac:dyDescent="0.2">
      <c r="GI9895" s="422"/>
    </row>
    <row r="9896" spans="191:191" x14ac:dyDescent="0.2">
      <c r="GI9896" s="422"/>
    </row>
    <row r="9897" spans="191:191" x14ac:dyDescent="0.2">
      <c r="GI9897" s="422"/>
    </row>
    <row r="9898" spans="191:191" x14ac:dyDescent="0.2">
      <c r="GI9898" s="422"/>
    </row>
    <row r="9899" spans="191:191" x14ac:dyDescent="0.2">
      <c r="GI9899" s="422"/>
    </row>
    <row r="9900" spans="191:191" x14ac:dyDescent="0.2">
      <c r="GI9900" s="422"/>
    </row>
    <row r="9901" spans="191:191" x14ac:dyDescent="0.2">
      <c r="GI9901" s="422"/>
    </row>
    <row r="9902" spans="191:191" x14ac:dyDescent="0.2">
      <c r="GI9902" s="422"/>
    </row>
    <row r="9903" spans="191:191" x14ac:dyDescent="0.2">
      <c r="GI9903" s="422"/>
    </row>
    <row r="9904" spans="191:191" x14ac:dyDescent="0.2">
      <c r="GI9904" s="422"/>
    </row>
    <row r="9905" spans="191:191" x14ac:dyDescent="0.2">
      <c r="GI9905" s="422"/>
    </row>
    <row r="9906" spans="191:191" x14ac:dyDescent="0.2">
      <c r="GI9906" s="422"/>
    </row>
    <row r="9907" spans="191:191" x14ac:dyDescent="0.2">
      <c r="GI9907" s="422"/>
    </row>
    <row r="9908" spans="191:191" x14ac:dyDescent="0.2">
      <c r="GI9908" s="422"/>
    </row>
    <row r="9909" spans="191:191" x14ac:dyDescent="0.2">
      <c r="GI9909" s="422"/>
    </row>
    <row r="9910" spans="191:191" x14ac:dyDescent="0.2">
      <c r="GI9910" s="422"/>
    </row>
    <row r="9911" spans="191:191" x14ac:dyDescent="0.2">
      <c r="GI9911" s="422"/>
    </row>
    <row r="9912" spans="191:191" x14ac:dyDescent="0.2">
      <c r="GI9912" s="422"/>
    </row>
    <row r="9913" spans="191:191" x14ac:dyDescent="0.2">
      <c r="GI9913" s="422"/>
    </row>
    <row r="9914" spans="191:191" x14ac:dyDescent="0.2">
      <c r="GI9914" s="422"/>
    </row>
    <row r="9915" spans="191:191" x14ac:dyDescent="0.2">
      <c r="GI9915" s="422"/>
    </row>
    <row r="9916" spans="191:191" x14ac:dyDescent="0.2">
      <c r="GI9916" s="422"/>
    </row>
    <row r="9917" spans="191:191" x14ac:dyDescent="0.2">
      <c r="GI9917" s="422"/>
    </row>
    <row r="9918" spans="191:191" x14ac:dyDescent="0.2">
      <c r="GI9918" s="422"/>
    </row>
    <row r="9919" spans="191:191" x14ac:dyDescent="0.2">
      <c r="GI9919" s="422"/>
    </row>
    <row r="9920" spans="191:191" x14ac:dyDescent="0.2">
      <c r="GI9920" s="422"/>
    </row>
    <row r="9921" spans="191:191" x14ac:dyDescent="0.2">
      <c r="GI9921" s="422"/>
    </row>
    <row r="9922" spans="191:191" x14ac:dyDescent="0.2">
      <c r="GI9922" s="422"/>
    </row>
    <row r="9923" spans="191:191" x14ac:dyDescent="0.2">
      <c r="GI9923" s="422"/>
    </row>
    <row r="9924" spans="191:191" x14ac:dyDescent="0.2">
      <c r="GI9924" s="422"/>
    </row>
    <row r="9925" spans="191:191" x14ac:dyDescent="0.2">
      <c r="GI9925" s="422"/>
    </row>
    <row r="9926" spans="191:191" x14ac:dyDescent="0.2">
      <c r="GI9926" s="422"/>
    </row>
    <row r="9927" spans="191:191" x14ac:dyDescent="0.2">
      <c r="GI9927" s="422"/>
    </row>
    <row r="9928" spans="191:191" x14ac:dyDescent="0.2">
      <c r="GI9928" s="422"/>
    </row>
    <row r="9929" spans="191:191" x14ac:dyDescent="0.2">
      <c r="GI9929" s="422"/>
    </row>
    <row r="9930" spans="191:191" x14ac:dyDescent="0.2">
      <c r="GI9930" s="422"/>
    </row>
    <row r="9931" spans="191:191" x14ac:dyDescent="0.2">
      <c r="GI9931" s="422"/>
    </row>
    <row r="9932" spans="191:191" x14ac:dyDescent="0.2">
      <c r="GI9932" s="422"/>
    </row>
    <row r="9933" spans="191:191" x14ac:dyDescent="0.2">
      <c r="GI9933" s="422"/>
    </row>
    <row r="9934" spans="191:191" x14ac:dyDescent="0.2">
      <c r="GI9934" s="422"/>
    </row>
    <row r="9935" spans="191:191" x14ac:dyDescent="0.2">
      <c r="GI9935" s="422"/>
    </row>
    <row r="9936" spans="191:191" x14ac:dyDescent="0.2">
      <c r="GI9936" s="422"/>
    </row>
    <row r="9937" spans="191:191" x14ac:dyDescent="0.2">
      <c r="GI9937" s="422"/>
    </row>
    <row r="9938" spans="191:191" x14ac:dyDescent="0.2">
      <c r="GI9938" s="422"/>
    </row>
    <row r="9939" spans="191:191" x14ac:dyDescent="0.2">
      <c r="GI9939" s="422"/>
    </row>
    <row r="9940" spans="191:191" x14ac:dyDescent="0.2">
      <c r="GI9940" s="422"/>
    </row>
    <row r="9941" spans="191:191" x14ac:dyDescent="0.2">
      <c r="GI9941" s="422"/>
    </row>
    <row r="9942" spans="191:191" x14ac:dyDescent="0.2">
      <c r="GI9942" s="422"/>
    </row>
    <row r="9943" spans="191:191" x14ac:dyDescent="0.2">
      <c r="GI9943" s="422"/>
    </row>
    <row r="9944" spans="191:191" x14ac:dyDescent="0.2">
      <c r="GI9944" s="422"/>
    </row>
    <row r="9945" spans="191:191" x14ac:dyDescent="0.2">
      <c r="GI9945" s="422"/>
    </row>
    <row r="9946" spans="191:191" x14ac:dyDescent="0.2">
      <c r="GI9946" s="422"/>
    </row>
    <row r="9947" spans="191:191" x14ac:dyDescent="0.2">
      <c r="GI9947" s="422"/>
    </row>
    <row r="9948" spans="191:191" x14ac:dyDescent="0.2">
      <c r="GI9948" s="422"/>
    </row>
    <row r="9949" spans="191:191" x14ac:dyDescent="0.2">
      <c r="GI9949" s="422"/>
    </row>
    <row r="9950" spans="191:191" x14ac:dyDescent="0.2">
      <c r="GI9950" s="422"/>
    </row>
    <row r="9951" spans="191:191" x14ac:dyDescent="0.2">
      <c r="GI9951" s="422"/>
    </row>
    <row r="9952" spans="191:191" x14ac:dyDescent="0.2">
      <c r="GI9952" s="422"/>
    </row>
    <row r="9953" spans="191:191" x14ac:dyDescent="0.2">
      <c r="GI9953" s="422"/>
    </row>
    <row r="9954" spans="191:191" x14ac:dyDescent="0.2">
      <c r="GI9954" s="422"/>
    </row>
    <row r="9955" spans="191:191" x14ac:dyDescent="0.2">
      <c r="GI9955" s="422"/>
    </row>
    <row r="9956" spans="191:191" x14ac:dyDescent="0.2">
      <c r="GI9956" s="422"/>
    </row>
    <row r="9957" spans="191:191" x14ac:dyDescent="0.2">
      <c r="GI9957" s="422"/>
    </row>
    <row r="9958" spans="191:191" x14ac:dyDescent="0.2">
      <c r="GI9958" s="422"/>
    </row>
    <row r="9959" spans="191:191" x14ac:dyDescent="0.2">
      <c r="GI9959" s="422"/>
    </row>
    <row r="9960" spans="191:191" x14ac:dyDescent="0.2">
      <c r="GI9960" s="422"/>
    </row>
    <row r="9961" spans="191:191" x14ac:dyDescent="0.2">
      <c r="GI9961" s="422"/>
    </row>
    <row r="9962" spans="191:191" x14ac:dyDescent="0.2">
      <c r="GI9962" s="422"/>
    </row>
    <row r="9963" spans="191:191" x14ac:dyDescent="0.2">
      <c r="GI9963" s="422"/>
    </row>
    <row r="9964" spans="191:191" x14ac:dyDescent="0.2">
      <c r="GI9964" s="422"/>
    </row>
    <row r="9965" spans="191:191" x14ac:dyDescent="0.2">
      <c r="GI9965" s="422"/>
    </row>
    <row r="9966" spans="191:191" x14ac:dyDescent="0.2">
      <c r="GI9966" s="422"/>
    </row>
    <row r="9967" spans="191:191" x14ac:dyDescent="0.2">
      <c r="GI9967" s="422"/>
    </row>
    <row r="9968" spans="191:191" x14ac:dyDescent="0.2">
      <c r="GI9968" s="422"/>
    </row>
    <row r="9969" spans="191:191" x14ac:dyDescent="0.2">
      <c r="GI9969" s="422"/>
    </row>
    <row r="9970" spans="191:191" x14ac:dyDescent="0.2">
      <c r="GI9970" s="422"/>
    </row>
    <row r="9971" spans="191:191" x14ac:dyDescent="0.2">
      <c r="GI9971" s="422"/>
    </row>
    <row r="9972" spans="191:191" x14ac:dyDescent="0.2">
      <c r="GI9972" s="422"/>
    </row>
    <row r="9973" spans="191:191" x14ac:dyDescent="0.2">
      <c r="GI9973" s="422"/>
    </row>
    <row r="9974" spans="191:191" x14ac:dyDescent="0.2">
      <c r="GI9974" s="422"/>
    </row>
    <row r="9975" spans="191:191" x14ac:dyDescent="0.2">
      <c r="GI9975" s="422"/>
    </row>
    <row r="9976" spans="191:191" x14ac:dyDescent="0.2">
      <c r="GI9976" s="422"/>
    </row>
    <row r="9977" spans="191:191" x14ac:dyDescent="0.2">
      <c r="GI9977" s="422"/>
    </row>
    <row r="9978" spans="191:191" x14ac:dyDescent="0.2">
      <c r="GI9978" s="422"/>
    </row>
    <row r="9979" spans="191:191" x14ac:dyDescent="0.2">
      <c r="GI9979" s="422"/>
    </row>
    <row r="9980" spans="191:191" x14ac:dyDescent="0.2">
      <c r="GI9980" s="422"/>
    </row>
    <row r="9981" spans="191:191" x14ac:dyDescent="0.2">
      <c r="GI9981" s="422"/>
    </row>
    <row r="9982" spans="191:191" x14ac:dyDescent="0.2">
      <c r="GI9982" s="422"/>
    </row>
    <row r="9983" spans="191:191" x14ac:dyDescent="0.2">
      <c r="GI9983" s="422"/>
    </row>
    <row r="9984" spans="191:191" x14ac:dyDescent="0.2">
      <c r="GI9984" s="422"/>
    </row>
    <row r="9985" spans="191:191" x14ac:dyDescent="0.2">
      <c r="GI9985" s="422"/>
    </row>
    <row r="9986" spans="191:191" x14ac:dyDescent="0.2">
      <c r="GI9986" s="422"/>
    </row>
    <row r="9987" spans="191:191" x14ac:dyDescent="0.2">
      <c r="GI9987" s="422"/>
    </row>
    <row r="9988" spans="191:191" x14ac:dyDescent="0.2">
      <c r="GI9988" s="422"/>
    </row>
    <row r="9989" spans="191:191" x14ac:dyDescent="0.2">
      <c r="GI9989" s="422"/>
    </row>
    <row r="9990" spans="191:191" x14ac:dyDescent="0.2">
      <c r="GI9990" s="422"/>
    </row>
    <row r="9991" spans="191:191" x14ac:dyDescent="0.2">
      <c r="GI9991" s="422"/>
    </row>
    <row r="9992" spans="191:191" x14ac:dyDescent="0.2">
      <c r="GI9992" s="422"/>
    </row>
    <row r="9993" spans="191:191" x14ac:dyDescent="0.2">
      <c r="GI9993" s="422"/>
    </row>
    <row r="9994" spans="191:191" x14ac:dyDescent="0.2">
      <c r="GI9994" s="422"/>
    </row>
    <row r="9995" spans="191:191" x14ac:dyDescent="0.2">
      <c r="GI9995" s="422"/>
    </row>
    <row r="9996" spans="191:191" x14ac:dyDescent="0.2">
      <c r="GI9996" s="422"/>
    </row>
    <row r="9997" spans="191:191" x14ac:dyDescent="0.2">
      <c r="GI9997" s="422"/>
    </row>
    <row r="9998" spans="191:191" x14ac:dyDescent="0.2">
      <c r="GI9998" s="422"/>
    </row>
    <row r="9999" spans="191:191" x14ac:dyDescent="0.2">
      <c r="GI9999" s="422"/>
    </row>
    <row r="10000" spans="191:191" x14ac:dyDescent="0.2">
      <c r="GI10000" s="422"/>
    </row>
    <row r="10001" spans="191:191" x14ac:dyDescent="0.2">
      <c r="GI10001" s="422"/>
    </row>
    <row r="10002" spans="191:191" x14ac:dyDescent="0.2">
      <c r="GI10002" s="422"/>
    </row>
    <row r="10003" spans="191:191" x14ac:dyDescent="0.2">
      <c r="GI10003" s="422"/>
    </row>
    <row r="10004" spans="191:191" x14ac:dyDescent="0.2">
      <c r="GI10004" s="422"/>
    </row>
    <row r="10005" spans="191:191" x14ac:dyDescent="0.2">
      <c r="GI10005" s="422"/>
    </row>
    <row r="10006" spans="191:191" x14ac:dyDescent="0.2">
      <c r="GI10006" s="422"/>
    </row>
    <row r="10007" spans="191:191" x14ac:dyDescent="0.2">
      <c r="GI10007" s="422"/>
    </row>
    <row r="10008" spans="191:191" x14ac:dyDescent="0.2">
      <c r="GI10008" s="422"/>
    </row>
    <row r="10009" spans="191:191" x14ac:dyDescent="0.2">
      <c r="GI10009" s="422"/>
    </row>
    <row r="10010" spans="191:191" x14ac:dyDescent="0.2">
      <c r="GI10010" s="422"/>
    </row>
    <row r="10011" spans="191:191" x14ac:dyDescent="0.2">
      <c r="GI10011" s="422"/>
    </row>
    <row r="10012" spans="191:191" x14ac:dyDescent="0.2">
      <c r="GI10012" s="422"/>
    </row>
    <row r="10013" spans="191:191" x14ac:dyDescent="0.2">
      <c r="GI10013" s="422"/>
    </row>
    <row r="10014" spans="191:191" x14ac:dyDescent="0.2">
      <c r="GI10014" s="422"/>
    </row>
    <row r="10015" spans="191:191" x14ac:dyDescent="0.2">
      <c r="GI10015" s="422"/>
    </row>
    <row r="10016" spans="191:191" x14ac:dyDescent="0.2">
      <c r="GI10016" s="422"/>
    </row>
    <row r="10017" spans="191:191" x14ac:dyDescent="0.2">
      <c r="GI10017" s="422"/>
    </row>
    <row r="10018" spans="191:191" x14ac:dyDescent="0.2">
      <c r="GI10018" s="422"/>
    </row>
    <row r="10019" spans="191:191" x14ac:dyDescent="0.2">
      <c r="GI10019" s="422"/>
    </row>
    <row r="10020" spans="191:191" x14ac:dyDescent="0.2">
      <c r="GI10020" s="422"/>
    </row>
    <row r="10021" spans="191:191" x14ac:dyDescent="0.2">
      <c r="GI10021" s="422"/>
    </row>
    <row r="10022" spans="191:191" x14ac:dyDescent="0.2">
      <c r="GI10022" s="422"/>
    </row>
    <row r="10023" spans="191:191" x14ac:dyDescent="0.2">
      <c r="GI10023" s="422"/>
    </row>
    <row r="10024" spans="191:191" x14ac:dyDescent="0.2">
      <c r="GI10024" s="422"/>
    </row>
    <row r="10025" spans="191:191" x14ac:dyDescent="0.2">
      <c r="GI10025" s="422"/>
    </row>
    <row r="10026" spans="191:191" x14ac:dyDescent="0.2">
      <c r="GI10026" s="422"/>
    </row>
    <row r="10027" spans="191:191" x14ac:dyDescent="0.2">
      <c r="GI10027" s="422"/>
    </row>
    <row r="10028" spans="191:191" x14ac:dyDescent="0.2">
      <c r="GI10028" s="422"/>
    </row>
    <row r="10029" spans="191:191" x14ac:dyDescent="0.2">
      <c r="GI10029" s="422"/>
    </row>
    <row r="10030" spans="191:191" x14ac:dyDescent="0.2">
      <c r="GI10030" s="422"/>
    </row>
    <row r="10031" spans="191:191" x14ac:dyDescent="0.2">
      <c r="GI10031" s="422"/>
    </row>
    <row r="10032" spans="191:191" x14ac:dyDescent="0.2">
      <c r="GI10032" s="422"/>
    </row>
    <row r="10033" spans="191:191" x14ac:dyDescent="0.2">
      <c r="GI10033" s="422"/>
    </row>
    <row r="10034" spans="191:191" x14ac:dyDescent="0.2">
      <c r="GI10034" s="422"/>
    </row>
    <row r="10035" spans="191:191" x14ac:dyDescent="0.2">
      <c r="GI10035" s="422"/>
    </row>
    <row r="10036" spans="191:191" x14ac:dyDescent="0.2">
      <c r="GI10036" s="422"/>
    </row>
    <row r="10037" spans="191:191" x14ac:dyDescent="0.2">
      <c r="GI10037" s="422"/>
    </row>
    <row r="10038" spans="191:191" x14ac:dyDescent="0.2">
      <c r="GI10038" s="422"/>
    </row>
    <row r="10039" spans="191:191" x14ac:dyDescent="0.2">
      <c r="GI10039" s="422"/>
    </row>
    <row r="10040" spans="191:191" x14ac:dyDescent="0.2">
      <c r="GI10040" s="422"/>
    </row>
    <row r="10041" spans="191:191" x14ac:dyDescent="0.2">
      <c r="GI10041" s="422"/>
    </row>
    <row r="10042" spans="191:191" x14ac:dyDescent="0.2">
      <c r="GI10042" s="422"/>
    </row>
    <row r="10043" spans="191:191" x14ac:dyDescent="0.2">
      <c r="GI10043" s="422"/>
    </row>
    <row r="10044" spans="191:191" x14ac:dyDescent="0.2">
      <c r="GI10044" s="422"/>
    </row>
    <row r="10045" spans="191:191" x14ac:dyDescent="0.2">
      <c r="GI10045" s="422"/>
    </row>
    <row r="10046" spans="191:191" x14ac:dyDescent="0.2">
      <c r="GI10046" s="422"/>
    </row>
    <row r="10047" spans="191:191" x14ac:dyDescent="0.2">
      <c r="GI10047" s="422"/>
    </row>
    <row r="10048" spans="191:191" x14ac:dyDescent="0.2">
      <c r="GI10048" s="422"/>
    </row>
    <row r="10049" spans="191:191" x14ac:dyDescent="0.2">
      <c r="GI10049" s="422"/>
    </row>
    <row r="10050" spans="191:191" x14ac:dyDescent="0.2">
      <c r="GI10050" s="422"/>
    </row>
    <row r="10051" spans="191:191" x14ac:dyDescent="0.2">
      <c r="GI10051" s="422"/>
    </row>
    <row r="10052" spans="191:191" x14ac:dyDescent="0.2">
      <c r="GI10052" s="422"/>
    </row>
    <row r="10053" spans="191:191" x14ac:dyDescent="0.2">
      <c r="GI10053" s="422"/>
    </row>
    <row r="10054" spans="191:191" x14ac:dyDescent="0.2">
      <c r="GI10054" s="422"/>
    </row>
    <row r="10055" spans="191:191" x14ac:dyDescent="0.2">
      <c r="GI10055" s="422"/>
    </row>
    <row r="10056" spans="191:191" x14ac:dyDescent="0.2">
      <c r="GI10056" s="422"/>
    </row>
    <row r="10057" spans="191:191" x14ac:dyDescent="0.2">
      <c r="GI10057" s="422"/>
    </row>
    <row r="10058" spans="191:191" x14ac:dyDescent="0.2">
      <c r="GI10058" s="422"/>
    </row>
    <row r="10059" spans="191:191" x14ac:dyDescent="0.2">
      <c r="GI10059" s="422"/>
    </row>
    <row r="10060" spans="191:191" x14ac:dyDescent="0.2">
      <c r="GI10060" s="422"/>
    </row>
    <row r="10061" spans="191:191" x14ac:dyDescent="0.2">
      <c r="GI10061" s="422"/>
    </row>
    <row r="10062" spans="191:191" x14ac:dyDescent="0.2">
      <c r="GI10062" s="422"/>
    </row>
    <row r="10063" spans="191:191" x14ac:dyDescent="0.2">
      <c r="GI10063" s="422"/>
    </row>
    <row r="10064" spans="191:191" x14ac:dyDescent="0.2">
      <c r="GI10064" s="422"/>
    </row>
    <row r="10065" spans="191:191" x14ac:dyDescent="0.2">
      <c r="GI10065" s="422"/>
    </row>
    <row r="10066" spans="191:191" x14ac:dyDescent="0.2">
      <c r="GI10066" s="422"/>
    </row>
    <row r="10067" spans="191:191" x14ac:dyDescent="0.2">
      <c r="GI10067" s="422"/>
    </row>
    <row r="10068" spans="191:191" x14ac:dyDescent="0.2">
      <c r="GI10068" s="422"/>
    </row>
    <row r="10069" spans="191:191" x14ac:dyDescent="0.2">
      <c r="GI10069" s="422"/>
    </row>
    <row r="10070" spans="191:191" x14ac:dyDescent="0.2">
      <c r="GI10070" s="422"/>
    </row>
    <row r="10071" spans="191:191" x14ac:dyDescent="0.2">
      <c r="GI10071" s="422"/>
    </row>
    <row r="10072" spans="191:191" x14ac:dyDescent="0.2">
      <c r="GI10072" s="422"/>
    </row>
    <row r="10073" spans="191:191" x14ac:dyDescent="0.2">
      <c r="GI10073" s="422"/>
    </row>
    <row r="10074" spans="191:191" x14ac:dyDescent="0.2">
      <c r="GI10074" s="422"/>
    </row>
    <row r="10075" spans="191:191" x14ac:dyDescent="0.2">
      <c r="GI10075" s="422"/>
    </row>
    <row r="10076" spans="191:191" x14ac:dyDescent="0.2">
      <c r="GI10076" s="422"/>
    </row>
    <row r="10077" spans="191:191" x14ac:dyDescent="0.2">
      <c r="GI10077" s="422"/>
    </row>
    <row r="10078" spans="191:191" x14ac:dyDescent="0.2">
      <c r="GI10078" s="422"/>
    </row>
    <row r="10079" spans="191:191" x14ac:dyDescent="0.2">
      <c r="GI10079" s="422"/>
    </row>
    <row r="10080" spans="191:191" x14ac:dyDescent="0.2">
      <c r="GI10080" s="422"/>
    </row>
    <row r="10081" spans="191:191" x14ac:dyDescent="0.2">
      <c r="GI10081" s="422"/>
    </row>
    <row r="10082" spans="191:191" x14ac:dyDescent="0.2">
      <c r="GI10082" s="422"/>
    </row>
    <row r="10083" spans="191:191" x14ac:dyDescent="0.2">
      <c r="GI10083" s="422"/>
    </row>
    <row r="10084" spans="191:191" x14ac:dyDescent="0.2">
      <c r="GI10084" s="422"/>
    </row>
    <row r="10085" spans="191:191" x14ac:dyDescent="0.2">
      <c r="GI10085" s="422"/>
    </row>
    <row r="10086" spans="191:191" x14ac:dyDescent="0.2">
      <c r="GI10086" s="422"/>
    </row>
    <row r="10087" spans="191:191" x14ac:dyDescent="0.2">
      <c r="GI10087" s="422"/>
    </row>
    <row r="10088" spans="191:191" x14ac:dyDescent="0.2">
      <c r="GI10088" s="422"/>
    </row>
    <row r="10089" spans="191:191" x14ac:dyDescent="0.2">
      <c r="GI10089" s="422"/>
    </row>
    <row r="10090" spans="191:191" x14ac:dyDescent="0.2">
      <c r="GI10090" s="422"/>
    </row>
    <row r="10091" spans="191:191" x14ac:dyDescent="0.2">
      <c r="GI10091" s="422"/>
    </row>
    <row r="10092" spans="191:191" x14ac:dyDescent="0.2">
      <c r="GI10092" s="422"/>
    </row>
    <row r="10093" spans="191:191" x14ac:dyDescent="0.2">
      <c r="GI10093" s="422"/>
    </row>
    <row r="10094" spans="191:191" x14ac:dyDescent="0.2">
      <c r="GI10094" s="422"/>
    </row>
    <row r="10095" spans="191:191" x14ac:dyDescent="0.2">
      <c r="GI10095" s="422"/>
    </row>
    <row r="10096" spans="191:191" x14ac:dyDescent="0.2">
      <c r="GI10096" s="422"/>
    </row>
    <row r="10097" spans="191:191" x14ac:dyDescent="0.2">
      <c r="GI10097" s="422"/>
    </row>
    <row r="10098" spans="191:191" x14ac:dyDescent="0.2">
      <c r="GI10098" s="422"/>
    </row>
    <row r="10099" spans="191:191" x14ac:dyDescent="0.2">
      <c r="GI10099" s="422"/>
    </row>
    <row r="10100" spans="191:191" x14ac:dyDescent="0.2">
      <c r="GI10100" s="422"/>
    </row>
    <row r="10101" spans="191:191" x14ac:dyDescent="0.2">
      <c r="GI10101" s="422"/>
    </row>
    <row r="10102" spans="191:191" x14ac:dyDescent="0.2">
      <c r="GI10102" s="422"/>
    </row>
    <row r="10103" spans="191:191" x14ac:dyDescent="0.2">
      <c r="GI10103" s="422"/>
    </row>
    <row r="10104" spans="191:191" x14ac:dyDescent="0.2">
      <c r="GI10104" s="422"/>
    </row>
    <row r="10105" spans="191:191" x14ac:dyDescent="0.2">
      <c r="GI10105" s="422"/>
    </row>
    <row r="10106" spans="191:191" x14ac:dyDescent="0.2">
      <c r="GI10106" s="422"/>
    </row>
    <row r="10107" spans="191:191" x14ac:dyDescent="0.2">
      <c r="GI10107" s="422"/>
    </row>
    <row r="10108" spans="191:191" x14ac:dyDescent="0.2">
      <c r="GI10108" s="422"/>
    </row>
    <row r="10109" spans="191:191" x14ac:dyDescent="0.2">
      <c r="GI10109" s="422"/>
    </row>
    <row r="10110" spans="191:191" x14ac:dyDescent="0.2">
      <c r="GI10110" s="422"/>
    </row>
    <row r="10111" spans="191:191" x14ac:dyDescent="0.2">
      <c r="GI10111" s="422"/>
    </row>
    <row r="10112" spans="191:191" x14ac:dyDescent="0.2">
      <c r="GI10112" s="422"/>
    </row>
    <row r="10113" spans="191:191" x14ac:dyDescent="0.2">
      <c r="GI10113" s="422"/>
    </row>
    <row r="10114" spans="191:191" x14ac:dyDescent="0.2">
      <c r="GI10114" s="422"/>
    </row>
    <row r="10115" spans="191:191" x14ac:dyDescent="0.2">
      <c r="GI10115" s="422"/>
    </row>
    <row r="10116" spans="191:191" x14ac:dyDescent="0.2">
      <c r="GI10116" s="422"/>
    </row>
    <row r="10117" spans="191:191" x14ac:dyDescent="0.2">
      <c r="GI10117" s="422"/>
    </row>
    <row r="10118" spans="191:191" x14ac:dyDescent="0.2">
      <c r="GI10118" s="422"/>
    </row>
    <row r="10119" spans="191:191" x14ac:dyDescent="0.2">
      <c r="GI10119" s="422"/>
    </row>
    <row r="10120" spans="191:191" x14ac:dyDescent="0.2">
      <c r="GI10120" s="422"/>
    </row>
    <row r="10121" spans="191:191" x14ac:dyDescent="0.2">
      <c r="GI10121" s="422"/>
    </row>
    <row r="10122" spans="191:191" x14ac:dyDescent="0.2">
      <c r="GI10122" s="422"/>
    </row>
    <row r="10123" spans="191:191" x14ac:dyDescent="0.2">
      <c r="GI10123" s="422"/>
    </row>
    <row r="10124" spans="191:191" x14ac:dyDescent="0.2">
      <c r="GI10124" s="422"/>
    </row>
    <row r="10125" spans="191:191" x14ac:dyDescent="0.2">
      <c r="GI10125" s="422"/>
    </row>
    <row r="10126" spans="191:191" x14ac:dyDescent="0.2">
      <c r="GI10126" s="422"/>
    </row>
    <row r="10127" spans="191:191" x14ac:dyDescent="0.2">
      <c r="GI10127" s="422"/>
    </row>
    <row r="10128" spans="191:191" x14ac:dyDescent="0.2">
      <c r="GI10128" s="422"/>
    </row>
    <row r="10129" spans="191:191" x14ac:dyDescent="0.2">
      <c r="GI10129" s="422"/>
    </row>
    <row r="10130" spans="191:191" x14ac:dyDescent="0.2">
      <c r="GI10130" s="422"/>
    </row>
    <row r="10131" spans="191:191" x14ac:dyDescent="0.2">
      <c r="GI10131" s="422"/>
    </row>
    <row r="10132" spans="191:191" x14ac:dyDescent="0.2">
      <c r="GI10132" s="422"/>
    </row>
    <row r="10133" spans="191:191" x14ac:dyDescent="0.2">
      <c r="GI10133" s="422"/>
    </row>
    <row r="10134" spans="191:191" x14ac:dyDescent="0.2">
      <c r="GI10134" s="422"/>
    </row>
    <row r="10135" spans="191:191" x14ac:dyDescent="0.2">
      <c r="GI10135" s="422"/>
    </row>
    <row r="10136" spans="191:191" x14ac:dyDescent="0.2">
      <c r="GI10136" s="422"/>
    </row>
    <row r="10137" spans="191:191" x14ac:dyDescent="0.2">
      <c r="GI10137" s="422"/>
    </row>
    <row r="10138" spans="191:191" x14ac:dyDescent="0.2">
      <c r="GI10138" s="422"/>
    </row>
    <row r="10139" spans="191:191" x14ac:dyDescent="0.2">
      <c r="GI10139" s="422"/>
    </row>
    <row r="10140" spans="191:191" x14ac:dyDescent="0.2">
      <c r="GI10140" s="422"/>
    </row>
    <row r="10141" spans="191:191" x14ac:dyDescent="0.2">
      <c r="GI10141" s="422"/>
    </row>
    <row r="10142" spans="191:191" x14ac:dyDescent="0.2">
      <c r="GI10142" s="422"/>
    </row>
    <row r="10143" spans="191:191" x14ac:dyDescent="0.2">
      <c r="GI10143" s="422"/>
    </row>
    <row r="10144" spans="191:191" x14ac:dyDescent="0.2">
      <c r="GI10144" s="422"/>
    </row>
    <row r="10145" spans="191:191" x14ac:dyDescent="0.2">
      <c r="GI10145" s="422"/>
    </row>
    <row r="10146" spans="191:191" x14ac:dyDescent="0.2">
      <c r="GI10146" s="422"/>
    </row>
    <row r="10147" spans="191:191" x14ac:dyDescent="0.2">
      <c r="GI10147" s="422"/>
    </row>
    <row r="10148" spans="191:191" x14ac:dyDescent="0.2">
      <c r="GI10148" s="422"/>
    </row>
    <row r="10149" spans="191:191" x14ac:dyDescent="0.2">
      <c r="GI10149" s="422"/>
    </row>
    <row r="10150" spans="191:191" x14ac:dyDescent="0.2">
      <c r="GI10150" s="422"/>
    </row>
    <row r="10151" spans="191:191" x14ac:dyDescent="0.2">
      <c r="GI10151" s="422"/>
    </row>
    <row r="10152" spans="191:191" x14ac:dyDescent="0.2">
      <c r="GI10152" s="422"/>
    </row>
    <row r="10153" spans="191:191" x14ac:dyDescent="0.2">
      <c r="GI10153" s="422"/>
    </row>
    <row r="10154" spans="191:191" x14ac:dyDescent="0.2">
      <c r="GI10154" s="422"/>
    </row>
    <row r="10155" spans="191:191" x14ac:dyDescent="0.2">
      <c r="GI10155" s="422"/>
    </row>
    <row r="10156" spans="191:191" x14ac:dyDescent="0.2">
      <c r="GI10156" s="422"/>
    </row>
    <row r="10157" spans="191:191" x14ac:dyDescent="0.2">
      <c r="GI10157" s="422"/>
    </row>
    <row r="10158" spans="191:191" x14ac:dyDescent="0.2">
      <c r="GI10158" s="422"/>
    </row>
    <row r="10159" spans="191:191" x14ac:dyDescent="0.2">
      <c r="GI10159" s="422"/>
    </row>
    <row r="10160" spans="191:191" x14ac:dyDescent="0.2">
      <c r="GI10160" s="422"/>
    </row>
    <row r="10161" spans="191:191" x14ac:dyDescent="0.2">
      <c r="GI10161" s="422"/>
    </row>
    <row r="10162" spans="191:191" x14ac:dyDescent="0.2">
      <c r="GI10162" s="422"/>
    </row>
    <row r="10163" spans="191:191" x14ac:dyDescent="0.2">
      <c r="GI10163" s="422"/>
    </row>
    <row r="10164" spans="191:191" x14ac:dyDescent="0.2">
      <c r="GI10164" s="422"/>
    </row>
    <row r="10165" spans="191:191" x14ac:dyDescent="0.2">
      <c r="GI10165" s="422"/>
    </row>
    <row r="10166" spans="191:191" x14ac:dyDescent="0.2">
      <c r="GI10166" s="422"/>
    </row>
    <row r="10167" spans="191:191" x14ac:dyDescent="0.2">
      <c r="GI10167" s="422"/>
    </row>
    <row r="10168" spans="191:191" x14ac:dyDescent="0.2">
      <c r="GI10168" s="422"/>
    </row>
    <row r="10169" spans="191:191" x14ac:dyDescent="0.2">
      <c r="GI10169" s="422"/>
    </row>
    <row r="10170" spans="191:191" x14ac:dyDescent="0.2">
      <c r="GI10170" s="422"/>
    </row>
    <row r="10171" spans="191:191" x14ac:dyDescent="0.2">
      <c r="GI10171" s="422"/>
    </row>
    <row r="10172" spans="191:191" x14ac:dyDescent="0.2">
      <c r="GI10172" s="422"/>
    </row>
    <row r="10173" spans="191:191" x14ac:dyDescent="0.2">
      <c r="GI10173" s="422"/>
    </row>
    <row r="10174" spans="191:191" x14ac:dyDescent="0.2">
      <c r="GI10174" s="422"/>
    </row>
    <row r="10175" spans="191:191" x14ac:dyDescent="0.2">
      <c r="GI10175" s="422"/>
    </row>
    <row r="10176" spans="191:191" x14ac:dyDescent="0.2">
      <c r="GI10176" s="422"/>
    </row>
    <row r="10177" spans="191:191" x14ac:dyDescent="0.2">
      <c r="GI10177" s="422"/>
    </row>
    <row r="10178" spans="191:191" x14ac:dyDescent="0.2">
      <c r="GI10178" s="422"/>
    </row>
    <row r="10179" spans="191:191" x14ac:dyDescent="0.2">
      <c r="GI10179" s="422"/>
    </row>
    <row r="10180" spans="191:191" x14ac:dyDescent="0.2">
      <c r="GI10180" s="422"/>
    </row>
    <row r="10181" spans="191:191" x14ac:dyDescent="0.2">
      <c r="GI10181" s="422"/>
    </row>
    <row r="10182" spans="191:191" x14ac:dyDescent="0.2">
      <c r="GI10182" s="422"/>
    </row>
    <row r="10183" spans="191:191" x14ac:dyDescent="0.2">
      <c r="GI10183" s="422"/>
    </row>
    <row r="10184" spans="191:191" x14ac:dyDescent="0.2">
      <c r="GI10184" s="422"/>
    </row>
    <row r="10185" spans="191:191" x14ac:dyDescent="0.2">
      <c r="GI10185" s="422"/>
    </row>
    <row r="10186" spans="191:191" x14ac:dyDescent="0.2">
      <c r="GI10186" s="422"/>
    </row>
    <row r="10187" spans="191:191" x14ac:dyDescent="0.2">
      <c r="GI10187" s="422"/>
    </row>
    <row r="10188" spans="191:191" x14ac:dyDescent="0.2">
      <c r="GI10188" s="422"/>
    </row>
    <row r="10189" spans="191:191" x14ac:dyDescent="0.2">
      <c r="GI10189" s="422"/>
    </row>
    <row r="10190" spans="191:191" x14ac:dyDescent="0.2">
      <c r="GI10190" s="422"/>
    </row>
    <row r="10191" spans="191:191" x14ac:dyDescent="0.2">
      <c r="GI10191" s="422"/>
    </row>
    <row r="10192" spans="191:191" x14ac:dyDescent="0.2">
      <c r="GI10192" s="422"/>
    </row>
    <row r="10193" spans="191:191" x14ac:dyDescent="0.2">
      <c r="GI10193" s="422"/>
    </row>
    <row r="10194" spans="191:191" x14ac:dyDescent="0.2">
      <c r="GI10194" s="422"/>
    </row>
    <row r="10195" spans="191:191" x14ac:dyDescent="0.2">
      <c r="GI10195" s="422"/>
    </row>
    <row r="10196" spans="191:191" x14ac:dyDescent="0.2">
      <c r="GI10196" s="422"/>
    </row>
    <row r="10197" spans="191:191" x14ac:dyDescent="0.2">
      <c r="GI10197" s="422"/>
    </row>
    <row r="10198" spans="191:191" x14ac:dyDescent="0.2">
      <c r="GI10198" s="422"/>
    </row>
    <row r="10199" spans="191:191" x14ac:dyDescent="0.2">
      <c r="GI10199" s="422"/>
    </row>
    <row r="10200" spans="191:191" x14ac:dyDescent="0.2">
      <c r="GI10200" s="422"/>
    </row>
    <row r="10201" spans="191:191" x14ac:dyDescent="0.2">
      <c r="GI10201" s="422"/>
    </row>
    <row r="10202" spans="191:191" x14ac:dyDescent="0.2">
      <c r="GI10202" s="422"/>
    </row>
    <row r="10203" spans="191:191" x14ac:dyDescent="0.2">
      <c r="GI10203" s="422"/>
    </row>
    <row r="10204" spans="191:191" x14ac:dyDescent="0.2">
      <c r="GI10204" s="422"/>
    </row>
    <row r="10205" spans="191:191" x14ac:dyDescent="0.2">
      <c r="GI10205" s="422"/>
    </row>
    <row r="10206" spans="191:191" x14ac:dyDescent="0.2">
      <c r="GI10206" s="422"/>
    </row>
    <row r="10207" spans="191:191" x14ac:dyDescent="0.2">
      <c r="GI10207" s="422"/>
    </row>
    <row r="10208" spans="191:191" x14ac:dyDescent="0.2">
      <c r="GI10208" s="422"/>
    </row>
    <row r="10209" spans="191:191" x14ac:dyDescent="0.2">
      <c r="GI10209" s="422"/>
    </row>
    <row r="10210" spans="191:191" x14ac:dyDescent="0.2">
      <c r="GI10210" s="422"/>
    </row>
    <row r="10211" spans="191:191" x14ac:dyDescent="0.2">
      <c r="GI10211" s="422"/>
    </row>
    <row r="10212" spans="191:191" x14ac:dyDescent="0.2">
      <c r="GI10212" s="422"/>
    </row>
    <row r="10213" spans="191:191" x14ac:dyDescent="0.2">
      <c r="GI10213" s="422"/>
    </row>
    <row r="10214" spans="191:191" x14ac:dyDescent="0.2">
      <c r="GI10214" s="422"/>
    </row>
    <row r="10215" spans="191:191" x14ac:dyDescent="0.2">
      <c r="GI10215" s="422"/>
    </row>
    <row r="10216" spans="191:191" x14ac:dyDescent="0.2">
      <c r="GI10216" s="422"/>
    </row>
    <row r="10217" spans="191:191" x14ac:dyDescent="0.2">
      <c r="GI10217" s="422"/>
    </row>
    <row r="10218" spans="191:191" x14ac:dyDescent="0.2">
      <c r="GI10218" s="422"/>
    </row>
    <row r="10219" spans="191:191" x14ac:dyDescent="0.2">
      <c r="GI10219" s="422"/>
    </row>
    <row r="10220" spans="191:191" x14ac:dyDescent="0.2">
      <c r="GI10220" s="422"/>
    </row>
    <row r="10221" spans="191:191" x14ac:dyDescent="0.2">
      <c r="GI10221" s="422"/>
    </row>
    <row r="10222" spans="191:191" x14ac:dyDescent="0.2">
      <c r="GI10222" s="422"/>
    </row>
    <row r="10223" spans="191:191" x14ac:dyDescent="0.2">
      <c r="GI10223" s="422"/>
    </row>
    <row r="10224" spans="191:191" x14ac:dyDescent="0.2">
      <c r="GI10224" s="422"/>
    </row>
    <row r="10225" spans="191:191" x14ac:dyDescent="0.2">
      <c r="GI10225" s="422"/>
    </row>
    <row r="10226" spans="191:191" x14ac:dyDescent="0.2">
      <c r="GI10226" s="422"/>
    </row>
    <row r="10227" spans="191:191" x14ac:dyDescent="0.2">
      <c r="GI10227" s="422"/>
    </row>
    <row r="10228" spans="191:191" x14ac:dyDescent="0.2">
      <c r="GI10228" s="422"/>
    </row>
    <row r="10229" spans="191:191" x14ac:dyDescent="0.2">
      <c r="GI10229" s="422"/>
    </row>
    <row r="10230" spans="191:191" x14ac:dyDescent="0.2">
      <c r="GI10230" s="422"/>
    </row>
    <row r="10231" spans="191:191" x14ac:dyDescent="0.2">
      <c r="GI10231" s="422"/>
    </row>
    <row r="10232" spans="191:191" x14ac:dyDescent="0.2">
      <c r="GI10232" s="422"/>
    </row>
    <row r="10233" spans="191:191" x14ac:dyDescent="0.2">
      <c r="GI10233" s="422"/>
    </row>
    <row r="10234" spans="191:191" x14ac:dyDescent="0.2">
      <c r="GI10234" s="422"/>
    </row>
    <row r="10235" spans="191:191" x14ac:dyDescent="0.2">
      <c r="GI10235" s="422"/>
    </row>
    <row r="10236" spans="191:191" x14ac:dyDescent="0.2">
      <c r="GI10236" s="422"/>
    </row>
    <row r="10237" spans="191:191" x14ac:dyDescent="0.2">
      <c r="GI10237" s="422"/>
    </row>
    <row r="10238" spans="191:191" x14ac:dyDescent="0.2">
      <c r="GI10238" s="422"/>
    </row>
    <row r="10239" spans="191:191" x14ac:dyDescent="0.2">
      <c r="GI10239" s="422"/>
    </row>
    <row r="10240" spans="191:191" x14ac:dyDescent="0.2">
      <c r="GI10240" s="422"/>
    </row>
    <row r="10241" spans="191:191" x14ac:dyDescent="0.2">
      <c r="GI10241" s="422"/>
    </row>
    <row r="10242" spans="191:191" x14ac:dyDescent="0.2">
      <c r="GI10242" s="422"/>
    </row>
    <row r="10243" spans="191:191" x14ac:dyDescent="0.2">
      <c r="GI10243" s="422"/>
    </row>
    <row r="10244" spans="191:191" x14ac:dyDescent="0.2">
      <c r="GI10244" s="422"/>
    </row>
    <row r="10245" spans="191:191" x14ac:dyDescent="0.2">
      <c r="GI10245" s="422"/>
    </row>
    <row r="10246" spans="191:191" x14ac:dyDescent="0.2">
      <c r="GI10246" s="422"/>
    </row>
    <row r="10247" spans="191:191" x14ac:dyDescent="0.2">
      <c r="GI10247" s="422"/>
    </row>
    <row r="10248" spans="191:191" x14ac:dyDescent="0.2">
      <c r="GI10248" s="422"/>
    </row>
    <row r="10249" spans="191:191" x14ac:dyDescent="0.2">
      <c r="GI10249" s="422"/>
    </row>
    <row r="10250" spans="191:191" x14ac:dyDescent="0.2">
      <c r="GI10250" s="422"/>
    </row>
    <row r="10251" spans="191:191" x14ac:dyDescent="0.2">
      <c r="GI10251" s="422"/>
    </row>
    <row r="10252" spans="191:191" x14ac:dyDescent="0.2">
      <c r="GI10252" s="422"/>
    </row>
    <row r="10253" spans="191:191" x14ac:dyDescent="0.2">
      <c r="GI10253" s="422"/>
    </row>
    <row r="10254" spans="191:191" x14ac:dyDescent="0.2">
      <c r="GI10254" s="422"/>
    </row>
    <row r="10255" spans="191:191" x14ac:dyDescent="0.2">
      <c r="GI10255" s="422"/>
    </row>
    <row r="10256" spans="191:191" x14ac:dyDescent="0.2">
      <c r="GI10256" s="422"/>
    </row>
    <row r="10257" spans="191:191" x14ac:dyDescent="0.2">
      <c r="GI10257" s="422"/>
    </row>
    <row r="10258" spans="191:191" x14ac:dyDescent="0.2">
      <c r="GI10258" s="422"/>
    </row>
    <row r="10259" spans="191:191" x14ac:dyDescent="0.2">
      <c r="GI10259" s="422"/>
    </row>
    <row r="10260" spans="191:191" x14ac:dyDescent="0.2">
      <c r="GI10260" s="422"/>
    </row>
    <row r="10261" spans="191:191" x14ac:dyDescent="0.2">
      <c r="GI10261" s="422"/>
    </row>
    <row r="10262" spans="191:191" x14ac:dyDescent="0.2">
      <c r="GI10262" s="422"/>
    </row>
    <row r="10263" spans="191:191" x14ac:dyDescent="0.2">
      <c r="GI10263" s="422"/>
    </row>
    <row r="10264" spans="191:191" x14ac:dyDescent="0.2">
      <c r="GI10264" s="422"/>
    </row>
    <row r="10265" spans="191:191" x14ac:dyDescent="0.2">
      <c r="GI10265" s="422"/>
    </row>
    <row r="10266" spans="191:191" x14ac:dyDescent="0.2">
      <c r="GI10266" s="422"/>
    </row>
    <row r="10267" spans="191:191" x14ac:dyDescent="0.2">
      <c r="GI10267" s="422"/>
    </row>
    <row r="10268" spans="191:191" x14ac:dyDescent="0.2">
      <c r="GI10268" s="422"/>
    </row>
    <row r="10269" spans="191:191" x14ac:dyDescent="0.2">
      <c r="GI10269" s="422"/>
    </row>
    <row r="10270" spans="191:191" x14ac:dyDescent="0.2">
      <c r="GI10270" s="422"/>
    </row>
    <row r="10271" spans="191:191" x14ac:dyDescent="0.2">
      <c r="GI10271" s="422"/>
    </row>
    <row r="10272" spans="191:191" x14ac:dyDescent="0.2">
      <c r="GI10272" s="422"/>
    </row>
    <row r="10273" spans="191:191" x14ac:dyDescent="0.2">
      <c r="GI10273" s="422"/>
    </row>
    <row r="10274" spans="191:191" x14ac:dyDescent="0.2">
      <c r="GI10274" s="422"/>
    </row>
    <row r="10275" spans="191:191" x14ac:dyDescent="0.2">
      <c r="GI10275" s="422"/>
    </row>
    <row r="10276" spans="191:191" x14ac:dyDescent="0.2">
      <c r="GI10276" s="422"/>
    </row>
    <row r="10277" spans="191:191" x14ac:dyDescent="0.2">
      <c r="GI10277" s="422"/>
    </row>
    <row r="10278" spans="191:191" x14ac:dyDescent="0.2">
      <c r="GI10278" s="422"/>
    </row>
    <row r="10279" spans="191:191" x14ac:dyDescent="0.2">
      <c r="GI10279" s="422"/>
    </row>
    <row r="10280" spans="191:191" x14ac:dyDescent="0.2">
      <c r="GI10280" s="422"/>
    </row>
    <row r="10281" spans="191:191" x14ac:dyDescent="0.2">
      <c r="GI10281" s="422"/>
    </row>
    <row r="10282" spans="191:191" x14ac:dyDescent="0.2">
      <c r="GI10282" s="422"/>
    </row>
    <row r="10283" spans="191:191" x14ac:dyDescent="0.2">
      <c r="GI10283" s="422"/>
    </row>
    <row r="10284" spans="191:191" x14ac:dyDescent="0.2">
      <c r="GI10284" s="422"/>
    </row>
    <row r="10285" spans="191:191" x14ac:dyDescent="0.2">
      <c r="GI10285" s="422"/>
    </row>
    <row r="10286" spans="191:191" x14ac:dyDescent="0.2">
      <c r="GI10286" s="422"/>
    </row>
    <row r="10287" spans="191:191" x14ac:dyDescent="0.2">
      <c r="GI10287" s="422"/>
    </row>
    <row r="10288" spans="191:191" x14ac:dyDescent="0.2">
      <c r="GI10288" s="422"/>
    </row>
    <row r="10289" spans="191:191" x14ac:dyDescent="0.2">
      <c r="GI10289" s="422"/>
    </row>
    <row r="10290" spans="191:191" x14ac:dyDescent="0.2">
      <c r="GI10290" s="422"/>
    </row>
    <row r="10291" spans="191:191" x14ac:dyDescent="0.2">
      <c r="GI10291" s="422"/>
    </row>
    <row r="10292" spans="191:191" x14ac:dyDescent="0.2">
      <c r="GI10292" s="422"/>
    </row>
    <row r="10293" spans="191:191" x14ac:dyDescent="0.2">
      <c r="GI10293" s="422"/>
    </row>
    <row r="10294" spans="191:191" x14ac:dyDescent="0.2">
      <c r="GI10294" s="422"/>
    </row>
    <row r="10295" spans="191:191" x14ac:dyDescent="0.2">
      <c r="GI10295" s="422"/>
    </row>
    <row r="10296" spans="191:191" x14ac:dyDescent="0.2">
      <c r="GI10296" s="422"/>
    </row>
    <row r="10297" spans="191:191" x14ac:dyDescent="0.2">
      <c r="GI10297" s="422"/>
    </row>
    <row r="10298" spans="191:191" x14ac:dyDescent="0.2">
      <c r="GI10298" s="422"/>
    </row>
    <row r="10299" spans="191:191" x14ac:dyDescent="0.2">
      <c r="GI10299" s="422"/>
    </row>
    <row r="10300" spans="191:191" x14ac:dyDescent="0.2">
      <c r="GI10300" s="422"/>
    </row>
    <row r="10301" spans="191:191" x14ac:dyDescent="0.2">
      <c r="GI10301" s="422"/>
    </row>
    <row r="10302" spans="191:191" x14ac:dyDescent="0.2">
      <c r="GI10302" s="422"/>
    </row>
    <row r="10303" spans="191:191" x14ac:dyDescent="0.2">
      <c r="GI10303" s="422"/>
    </row>
    <row r="10304" spans="191:191" x14ac:dyDescent="0.2">
      <c r="GI10304" s="422"/>
    </row>
    <row r="10305" spans="191:191" x14ac:dyDescent="0.2">
      <c r="GI10305" s="422"/>
    </row>
    <row r="10306" spans="191:191" x14ac:dyDescent="0.2">
      <c r="GI10306" s="422"/>
    </row>
    <row r="10307" spans="191:191" x14ac:dyDescent="0.2">
      <c r="GI10307" s="422"/>
    </row>
    <row r="10308" spans="191:191" x14ac:dyDescent="0.2">
      <c r="GI10308" s="422"/>
    </row>
    <row r="10309" spans="191:191" x14ac:dyDescent="0.2">
      <c r="GI10309" s="422"/>
    </row>
    <row r="10310" spans="191:191" x14ac:dyDescent="0.2">
      <c r="GI10310" s="422"/>
    </row>
    <row r="10311" spans="191:191" x14ac:dyDescent="0.2">
      <c r="GI10311" s="422"/>
    </row>
    <row r="10312" spans="191:191" x14ac:dyDescent="0.2">
      <c r="GI10312" s="422"/>
    </row>
    <row r="10313" spans="191:191" x14ac:dyDescent="0.2">
      <c r="GI10313" s="422"/>
    </row>
    <row r="10314" spans="191:191" x14ac:dyDescent="0.2">
      <c r="GI10314" s="422"/>
    </row>
    <row r="10315" spans="191:191" x14ac:dyDescent="0.2">
      <c r="GI10315" s="422"/>
    </row>
    <row r="10316" spans="191:191" x14ac:dyDescent="0.2">
      <c r="GI10316" s="422"/>
    </row>
    <row r="10317" spans="191:191" x14ac:dyDescent="0.2">
      <c r="GI10317" s="422"/>
    </row>
    <row r="10318" spans="191:191" x14ac:dyDescent="0.2">
      <c r="GI10318" s="422"/>
    </row>
    <row r="10319" spans="191:191" x14ac:dyDescent="0.2">
      <c r="GI10319" s="422"/>
    </row>
    <row r="10320" spans="191:191" x14ac:dyDescent="0.2">
      <c r="GI10320" s="422"/>
    </row>
    <row r="10321" spans="191:191" x14ac:dyDescent="0.2">
      <c r="GI10321" s="422"/>
    </row>
    <row r="10322" spans="191:191" x14ac:dyDescent="0.2">
      <c r="GI10322" s="422"/>
    </row>
    <row r="10323" spans="191:191" x14ac:dyDescent="0.2">
      <c r="GI10323" s="422"/>
    </row>
    <row r="10324" spans="191:191" x14ac:dyDescent="0.2">
      <c r="GI10324" s="422"/>
    </row>
    <row r="10325" spans="191:191" x14ac:dyDescent="0.2">
      <c r="GI10325" s="422"/>
    </row>
    <row r="10326" spans="191:191" x14ac:dyDescent="0.2">
      <c r="GI10326" s="422"/>
    </row>
    <row r="10327" spans="191:191" x14ac:dyDescent="0.2">
      <c r="GI10327" s="422"/>
    </row>
    <row r="10328" spans="191:191" x14ac:dyDescent="0.2">
      <c r="GI10328" s="422"/>
    </row>
    <row r="10329" spans="191:191" x14ac:dyDescent="0.2">
      <c r="GI10329" s="422"/>
    </row>
    <row r="10330" spans="191:191" x14ac:dyDescent="0.2">
      <c r="GI10330" s="422"/>
    </row>
    <row r="10331" spans="191:191" x14ac:dyDescent="0.2">
      <c r="GI10331" s="422"/>
    </row>
    <row r="10332" spans="191:191" x14ac:dyDescent="0.2">
      <c r="GI10332" s="422"/>
    </row>
    <row r="10333" spans="191:191" x14ac:dyDescent="0.2">
      <c r="GI10333" s="422"/>
    </row>
    <row r="10334" spans="191:191" x14ac:dyDescent="0.2">
      <c r="GI10334" s="422"/>
    </row>
    <row r="10335" spans="191:191" x14ac:dyDescent="0.2">
      <c r="GI10335" s="422"/>
    </row>
    <row r="10336" spans="191:191" x14ac:dyDescent="0.2">
      <c r="GI10336" s="422"/>
    </row>
    <row r="10337" spans="191:191" x14ac:dyDescent="0.2">
      <c r="GI10337" s="422"/>
    </row>
    <row r="10338" spans="191:191" x14ac:dyDescent="0.2">
      <c r="GI10338" s="422"/>
    </row>
    <row r="10339" spans="191:191" x14ac:dyDescent="0.2">
      <c r="GI10339" s="422"/>
    </row>
    <row r="10340" spans="191:191" x14ac:dyDescent="0.2">
      <c r="GI10340" s="422"/>
    </row>
    <row r="10341" spans="191:191" x14ac:dyDescent="0.2">
      <c r="GI10341" s="422"/>
    </row>
    <row r="10342" spans="191:191" x14ac:dyDescent="0.2">
      <c r="GI10342" s="422"/>
    </row>
    <row r="10343" spans="191:191" x14ac:dyDescent="0.2">
      <c r="GI10343" s="422"/>
    </row>
    <row r="10344" spans="191:191" x14ac:dyDescent="0.2">
      <c r="GI10344" s="422"/>
    </row>
    <row r="10345" spans="191:191" x14ac:dyDescent="0.2">
      <c r="GI10345" s="422"/>
    </row>
    <row r="10346" spans="191:191" x14ac:dyDescent="0.2">
      <c r="GI10346" s="422"/>
    </row>
    <row r="10347" spans="191:191" x14ac:dyDescent="0.2">
      <c r="GI10347" s="422"/>
    </row>
    <row r="10348" spans="191:191" x14ac:dyDescent="0.2">
      <c r="GI10348" s="422"/>
    </row>
    <row r="10349" spans="191:191" x14ac:dyDescent="0.2">
      <c r="GI10349" s="422"/>
    </row>
    <row r="10350" spans="191:191" x14ac:dyDescent="0.2">
      <c r="GI10350" s="422"/>
    </row>
    <row r="10351" spans="191:191" x14ac:dyDescent="0.2">
      <c r="GI10351" s="422"/>
    </row>
    <row r="10352" spans="191:191" x14ac:dyDescent="0.2">
      <c r="GI10352" s="422"/>
    </row>
    <row r="10353" spans="191:191" x14ac:dyDescent="0.2">
      <c r="GI10353" s="422"/>
    </row>
    <row r="10354" spans="191:191" x14ac:dyDescent="0.2">
      <c r="GI10354" s="422"/>
    </row>
    <row r="10355" spans="191:191" x14ac:dyDescent="0.2">
      <c r="GI10355" s="422"/>
    </row>
    <row r="10356" spans="191:191" x14ac:dyDescent="0.2">
      <c r="GI10356" s="422"/>
    </row>
    <row r="10357" spans="191:191" x14ac:dyDescent="0.2">
      <c r="GI10357" s="422"/>
    </row>
    <row r="10358" spans="191:191" x14ac:dyDescent="0.2">
      <c r="GI10358" s="422"/>
    </row>
    <row r="10359" spans="191:191" x14ac:dyDescent="0.2">
      <c r="GI10359" s="422"/>
    </row>
    <row r="10360" spans="191:191" x14ac:dyDescent="0.2">
      <c r="GI10360" s="422"/>
    </row>
    <row r="10361" spans="191:191" x14ac:dyDescent="0.2">
      <c r="GI10361" s="422"/>
    </row>
    <row r="10362" spans="191:191" x14ac:dyDescent="0.2">
      <c r="GI10362" s="422"/>
    </row>
    <row r="10363" spans="191:191" x14ac:dyDescent="0.2">
      <c r="GI10363" s="422"/>
    </row>
    <row r="10364" spans="191:191" x14ac:dyDescent="0.2">
      <c r="GI10364" s="422"/>
    </row>
    <row r="10365" spans="191:191" x14ac:dyDescent="0.2">
      <c r="GI10365" s="422"/>
    </row>
    <row r="10366" spans="191:191" x14ac:dyDescent="0.2">
      <c r="GI10366" s="422"/>
    </row>
    <row r="10367" spans="191:191" x14ac:dyDescent="0.2">
      <c r="GI10367" s="422"/>
    </row>
    <row r="10368" spans="191:191" x14ac:dyDescent="0.2">
      <c r="GI10368" s="422"/>
    </row>
    <row r="10369" spans="191:191" x14ac:dyDescent="0.2">
      <c r="GI10369" s="422"/>
    </row>
    <row r="10370" spans="191:191" x14ac:dyDescent="0.2">
      <c r="GI10370" s="422"/>
    </row>
    <row r="10371" spans="191:191" x14ac:dyDescent="0.2">
      <c r="GI10371" s="422"/>
    </row>
    <row r="10372" spans="191:191" x14ac:dyDescent="0.2">
      <c r="GI10372" s="422"/>
    </row>
    <row r="10373" spans="191:191" x14ac:dyDescent="0.2">
      <c r="GI10373" s="422"/>
    </row>
    <row r="10374" spans="191:191" x14ac:dyDescent="0.2">
      <c r="GI10374" s="422"/>
    </row>
    <row r="10375" spans="191:191" x14ac:dyDescent="0.2">
      <c r="GI10375" s="422"/>
    </row>
    <row r="10376" spans="191:191" x14ac:dyDescent="0.2">
      <c r="GI10376" s="422"/>
    </row>
    <row r="10377" spans="191:191" x14ac:dyDescent="0.2">
      <c r="GI10377" s="422"/>
    </row>
    <row r="10378" spans="191:191" x14ac:dyDescent="0.2">
      <c r="GI10378" s="422"/>
    </row>
    <row r="10379" spans="191:191" x14ac:dyDescent="0.2">
      <c r="GI10379" s="422"/>
    </row>
    <row r="10380" spans="191:191" x14ac:dyDescent="0.2">
      <c r="GI10380" s="422"/>
    </row>
    <row r="10381" spans="191:191" x14ac:dyDescent="0.2">
      <c r="GI10381" s="422"/>
    </row>
    <row r="10382" spans="191:191" x14ac:dyDescent="0.2">
      <c r="GI10382" s="422"/>
    </row>
    <row r="10383" spans="191:191" x14ac:dyDescent="0.2">
      <c r="GI10383" s="422"/>
    </row>
    <row r="10384" spans="191:191" x14ac:dyDescent="0.2">
      <c r="GI10384" s="422"/>
    </row>
    <row r="10385" spans="191:191" x14ac:dyDescent="0.2">
      <c r="GI10385" s="422"/>
    </row>
    <row r="10386" spans="191:191" x14ac:dyDescent="0.2">
      <c r="GI10386" s="422"/>
    </row>
    <row r="10387" spans="191:191" x14ac:dyDescent="0.2">
      <c r="GI10387" s="422"/>
    </row>
    <row r="10388" spans="191:191" x14ac:dyDescent="0.2">
      <c r="GI10388" s="422"/>
    </row>
    <row r="10389" spans="191:191" x14ac:dyDescent="0.2">
      <c r="GI10389" s="422"/>
    </row>
    <row r="10390" spans="191:191" x14ac:dyDescent="0.2">
      <c r="GI10390" s="422"/>
    </row>
    <row r="10391" spans="191:191" x14ac:dyDescent="0.2">
      <c r="GI10391" s="422"/>
    </row>
    <row r="10392" spans="191:191" x14ac:dyDescent="0.2">
      <c r="GI10392" s="422"/>
    </row>
    <row r="10393" spans="191:191" x14ac:dyDescent="0.2">
      <c r="GI10393" s="422"/>
    </row>
    <row r="10394" spans="191:191" x14ac:dyDescent="0.2">
      <c r="GI10394" s="422"/>
    </row>
    <row r="10395" spans="191:191" x14ac:dyDescent="0.2">
      <c r="GI10395" s="422"/>
    </row>
    <row r="10396" spans="191:191" x14ac:dyDescent="0.2">
      <c r="GI10396" s="422"/>
    </row>
    <row r="10397" spans="191:191" x14ac:dyDescent="0.2">
      <c r="GI10397" s="422"/>
    </row>
    <row r="10398" spans="191:191" x14ac:dyDescent="0.2">
      <c r="GI10398" s="422"/>
    </row>
    <row r="10399" spans="191:191" x14ac:dyDescent="0.2">
      <c r="GI10399" s="422"/>
    </row>
    <row r="10400" spans="191:191" x14ac:dyDescent="0.2">
      <c r="GI10400" s="422"/>
    </row>
    <row r="10401" spans="191:191" x14ac:dyDescent="0.2">
      <c r="GI10401" s="422"/>
    </row>
    <row r="10402" spans="191:191" x14ac:dyDescent="0.2">
      <c r="GI10402" s="422"/>
    </row>
    <row r="10403" spans="191:191" x14ac:dyDescent="0.2">
      <c r="GI10403" s="422"/>
    </row>
    <row r="10404" spans="191:191" x14ac:dyDescent="0.2">
      <c r="GI10404" s="422"/>
    </row>
    <row r="10405" spans="191:191" x14ac:dyDescent="0.2">
      <c r="GI10405" s="422"/>
    </row>
    <row r="10406" spans="191:191" x14ac:dyDescent="0.2">
      <c r="GI10406" s="422"/>
    </row>
    <row r="10407" spans="191:191" x14ac:dyDescent="0.2">
      <c r="GI10407" s="422"/>
    </row>
    <row r="10408" spans="191:191" x14ac:dyDescent="0.2">
      <c r="GI10408" s="422"/>
    </row>
    <row r="10409" spans="191:191" x14ac:dyDescent="0.2">
      <c r="GI10409" s="422"/>
    </row>
    <row r="10410" spans="191:191" x14ac:dyDescent="0.2">
      <c r="GI10410" s="422"/>
    </row>
    <row r="10411" spans="191:191" x14ac:dyDescent="0.2">
      <c r="GI10411" s="422"/>
    </row>
    <row r="10412" spans="191:191" x14ac:dyDescent="0.2">
      <c r="GI10412" s="422"/>
    </row>
    <row r="10413" spans="191:191" x14ac:dyDescent="0.2">
      <c r="GI10413" s="422"/>
    </row>
    <row r="10414" spans="191:191" x14ac:dyDescent="0.2">
      <c r="GI10414" s="422"/>
    </row>
    <row r="10415" spans="191:191" x14ac:dyDescent="0.2">
      <c r="GI10415" s="422"/>
    </row>
    <row r="10416" spans="191:191" x14ac:dyDescent="0.2">
      <c r="GI10416" s="422"/>
    </row>
    <row r="10417" spans="191:191" x14ac:dyDescent="0.2">
      <c r="GI10417" s="422"/>
    </row>
    <row r="10418" spans="191:191" x14ac:dyDescent="0.2">
      <c r="GI10418" s="422"/>
    </row>
    <row r="10419" spans="191:191" x14ac:dyDescent="0.2">
      <c r="GI10419" s="422"/>
    </row>
    <row r="10420" spans="191:191" x14ac:dyDescent="0.2">
      <c r="GI10420" s="422"/>
    </row>
    <row r="10421" spans="191:191" x14ac:dyDescent="0.2">
      <c r="GI10421" s="422"/>
    </row>
    <row r="10422" spans="191:191" x14ac:dyDescent="0.2">
      <c r="GI10422" s="422"/>
    </row>
    <row r="10423" spans="191:191" x14ac:dyDescent="0.2">
      <c r="GI10423" s="422"/>
    </row>
    <row r="10424" spans="191:191" x14ac:dyDescent="0.2">
      <c r="GI10424" s="422"/>
    </row>
    <row r="10425" spans="191:191" x14ac:dyDescent="0.2">
      <c r="GI10425" s="422"/>
    </row>
    <row r="10426" spans="191:191" x14ac:dyDescent="0.2">
      <c r="GI10426" s="422"/>
    </row>
    <row r="10427" spans="191:191" x14ac:dyDescent="0.2">
      <c r="GI10427" s="422"/>
    </row>
    <row r="10428" spans="191:191" x14ac:dyDescent="0.2">
      <c r="GI10428" s="422"/>
    </row>
    <row r="10429" spans="191:191" x14ac:dyDescent="0.2">
      <c r="GI10429" s="422"/>
    </row>
    <row r="10430" spans="191:191" x14ac:dyDescent="0.2">
      <c r="GI10430" s="422"/>
    </row>
    <row r="10431" spans="191:191" x14ac:dyDescent="0.2">
      <c r="GI10431" s="422"/>
    </row>
    <row r="10432" spans="191:191" x14ac:dyDescent="0.2">
      <c r="GI10432" s="422"/>
    </row>
    <row r="10433" spans="191:191" x14ac:dyDescent="0.2">
      <c r="GI10433" s="422"/>
    </row>
    <row r="10434" spans="191:191" x14ac:dyDescent="0.2">
      <c r="GI10434" s="422"/>
    </row>
    <row r="10435" spans="191:191" x14ac:dyDescent="0.2">
      <c r="GI10435" s="422"/>
    </row>
    <row r="10436" spans="191:191" x14ac:dyDescent="0.2">
      <c r="GI10436" s="422"/>
    </row>
    <row r="10437" spans="191:191" x14ac:dyDescent="0.2">
      <c r="GI10437" s="422"/>
    </row>
    <row r="10438" spans="191:191" x14ac:dyDescent="0.2">
      <c r="GI10438" s="422"/>
    </row>
    <row r="10439" spans="191:191" x14ac:dyDescent="0.2">
      <c r="GI10439" s="422"/>
    </row>
    <row r="10440" spans="191:191" x14ac:dyDescent="0.2">
      <c r="GI10440" s="422"/>
    </row>
    <row r="10441" spans="191:191" x14ac:dyDescent="0.2">
      <c r="GI10441" s="422"/>
    </row>
    <row r="10442" spans="191:191" x14ac:dyDescent="0.2">
      <c r="GI10442" s="422"/>
    </row>
    <row r="10443" spans="191:191" x14ac:dyDescent="0.2">
      <c r="GI10443" s="422"/>
    </row>
    <row r="10444" spans="191:191" x14ac:dyDescent="0.2">
      <c r="GI10444" s="422"/>
    </row>
    <row r="10445" spans="191:191" x14ac:dyDescent="0.2">
      <c r="GI10445" s="422"/>
    </row>
    <row r="10446" spans="191:191" x14ac:dyDescent="0.2">
      <c r="GI10446" s="422"/>
    </row>
    <row r="10447" spans="191:191" x14ac:dyDescent="0.2">
      <c r="GI10447" s="422"/>
    </row>
    <row r="10448" spans="191:191" x14ac:dyDescent="0.2">
      <c r="GI10448" s="422"/>
    </row>
    <row r="10449" spans="191:191" x14ac:dyDescent="0.2">
      <c r="GI10449" s="422"/>
    </row>
    <row r="10450" spans="191:191" x14ac:dyDescent="0.2">
      <c r="GI10450" s="422"/>
    </row>
    <row r="10451" spans="191:191" x14ac:dyDescent="0.2">
      <c r="GI10451" s="422"/>
    </row>
    <row r="10452" spans="191:191" x14ac:dyDescent="0.2">
      <c r="GI10452" s="422"/>
    </row>
    <row r="10453" spans="191:191" x14ac:dyDescent="0.2">
      <c r="GI10453" s="422"/>
    </row>
    <row r="10454" spans="191:191" x14ac:dyDescent="0.2">
      <c r="GI10454" s="422"/>
    </row>
    <row r="10455" spans="191:191" x14ac:dyDescent="0.2">
      <c r="GI10455" s="422"/>
    </row>
    <row r="10456" spans="191:191" x14ac:dyDescent="0.2">
      <c r="GI10456" s="422"/>
    </row>
    <row r="10457" spans="191:191" x14ac:dyDescent="0.2">
      <c r="GI10457" s="422"/>
    </row>
    <row r="10458" spans="191:191" x14ac:dyDescent="0.2">
      <c r="GI10458" s="422"/>
    </row>
    <row r="10459" spans="191:191" x14ac:dyDescent="0.2">
      <c r="GI10459" s="422"/>
    </row>
    <row r="10460" spans="191:191" x14ac:dyDescent="0.2">
      <c r="GI10460" s="422"/>
    </row>
    <row r="10461" spans="191:191" x14ac:dyDescent="0.2">
      <c r="GI10461" s="422"/>
    </row>
    <row r="10462" spans="191:191" x14ac:dyDescent="0.2">
      <c r="GI10462" s="422"/>
    </row>
    <row r="10463" spans="191:191" x14ac:dyDescent="0.2">
      <c r="GI10463" s="422"/>
    </row>
    <row r="10464" spans="191:191" x14ac:dyDescent="0.2">
      <c r="GI10464" s="422"/>
    </row>
    <row r="10465" spans="191:191" x14ac:dyDescent="0.2">
      <c r="GI10465" s="422"/>
    </row>
    <row r="10466" spans="191:191" x14ac:dyDescent="0.2">
      <c r="GI10466" s="422"/>
    </row>
    <row r="10467" spans="191:191" x14ac:dyDescent="0.2">
      <c r="GI10467" s="422"/>
    </row>
    <row r="10468" spans="191:191" x14ac:dyDescent="0.2">
      <c r="GI10468" s="422"/>
    </row>
    <row r="10469" spans="191:191" x14ac:dyDescent="0.2">
      <c r="GI10469" s="422"/>
    </row>
    <row r="10470" spans="191:191" x14ac:dyDescent="0.2">
      <c r="GI10470" s="422"/>
    </row>
    <row r="10471" spans="191:191" x14ac:dyDescent="0.2">
      <c r="GI10471" s="422"/>
    </row>
    <row r="10472" spans="191:191" x14ac:dyDescent="0.2">
      <c r="GI10472" s="422"/>
    </row>
    <row r="10473" spans="191:191" x14ac:dyDescent="0.2">
      <c r="GI10473" s="422"/>
    </row>
    <row r="10474" spans="191:191" x14ac:dyDescent="0.2">
      <c r="GI10474" s="422"/>
    </row>
    <row r="10475" spans="191:191" x14ac:dyDescent="0.2">
      <c r="GI10475" s="422"/>
    </row>
    <row r="10476" spans="191:191" x14ac:dyDescent="0.2">
      <c r="GI10476" s="422"/>
    </row>
    <row r="10477" spans="191:191" x14ac:dyDescent="0.2">
      <c r="GI10477" s="422"/>
    </row>
    <row r="10478" spans="191:191" x14ac:dyDescent="0.2">
      <c r="GI10478" s="422"/>
    </row>
    <row r="10479" spans="191:191" x14ac:dyDescent="0.2">
      <c r="GI10479" s="422"/>
    </row>
    <row r="10480" spans="191:191" x14ac:dyDescent="0.2">
      <c r="GI10480" s="422"/>
    </row>
    <row r="10481" spans="191:191" x14ac:dyDescent="0.2">
      <c r="GI10481" s="422"/>
    </row>
    <row r="10482" spans="191:191" x14ac:dyDescent="0.2">
      <c r="GI10482" s="422"/>
    </row>
    <row r="10483" spans="191:191" x14ac:dyDescent="0.2">
      <c r="GI10483" s="422"/>
    </row>
    <row r="10484" spans="191:191" x14ac:dyDescent="0.2">
      <c r="GI10484" s="422"/>
    </row>
    <row r="10485" spans="191:191" x14ac:dyDescent="0.2">
      <c r="GI10485" s="422"/>
    </row>
    <row r="10486" spans="191:191" x14ac:dyDescent="0.2">
      <c r="GI10486" s="422"/>
    </row>
    <row r="10487" spans="191:191" x14ac:dyDescent="0.2">
      <c r="GI10487" s="422"/>
    </row>
    <row r="10488" spans="191:191" x14ac:dyDescent="0.2">
      <c r="GI10488" s="422"/>
    </row>
    <row r="10489" spans="191:191" x14ac:dyDescent="0.2">
      <c r="GI10489" s="422"/>
    </row>
    <row r="10490" spans="191:191" x14ac:dyDescent="0.2">
      <c r="GI10490" s="422"/>
    </row>
    <row r="10491" spans="191:191" x14ac:dyDescent="0.2">
      <c r="GI10491" s="422"/>
    </row>
    <row r="10492" spans="191:191" x14ac:dyDescent="0.2">
      <c r="GI10492" s="422"/>
    </row>
    <row r="10493" spans="191:191" x14ac:dyDescent="0.2">
      <c r="GI10493" s="422"/>
    </row>
    <row r="10494" spans="191:191" x14ac:dyDescent="0.2">
      <c r="GI10494" s="422"/>
    </row>
    <row r="10495" spans="191:191" x14ac:dyDescent="0.2">
      <c r="GI10495" s="422"/>
    </row>
    <row r="10496" spans="191:191" x14ac:dyDescent="0.2">
      <c r="GI10496" s="422"/>
    </row>
    <row r="10497" spans="191:191" x14ac:dyDescent="0.2">
      <c r="GI10497" s="422"/>
    </row>
    <row r="10498" spans="191:191" x14ac:dyDescent="0.2">
      <c r="GI10498" s="422"/>
    </row>
    <row r="10499" spans="191:191" x14ac:dyDescent="0.2">
      <c r="GI10499" s="422"/>
    </row>
    <row r="10500" spans="191:191" x14ac:dyDescent="0.2">
      <c r="GI10500" s="422"/>
    </row>
    <row r="10501" spans="191:191" x14ac:dyDescent="0.2">
      <c r="GI10501" s="422"/>
    </row>
    <row r="10502" spans="191:191" x14ac:dyDescent="0.2">
      <c r="GI10502" s="422"/>
    </row>
    <row r="10503" spans="191:191" x14ac:dyDescent="0.2">
      <c r="GI10503" s="422"/>
    </row>
    <row r="10504" spans="191:191" x14ac:dyDescent="0.2">
      <c r="GI10504" s="422"/>
    </row>
    <row r="10505" spans="191:191" x14ac:dyDescent="0.2">
      <c r="GI10505" s="422"/>
    </row>
    <row r="10506" spans="191:191" x14ac:dyDescent="0.2">
      <c r="GI10506" s="422"/>
    </row>
    <row r="10507" spans="191:191" x14ac:dyDescent="0.2">
      <c r="GI10507" s="422"/>
    </row>
    <row r="10508" spans="191:191" x14ac:dyDescent="0.2">
      <c r="GI10508" s="422"/>
    </row>
    <row r="10509" spans="191:191" x14ac:dyDescent="0.2">
      <c r="GI10509" s="422"/>
    </row>
    <row r="10510" spans="191:191" x14ac:dyDescent="0.2">
      <c r="GI10510" s="422"/>
    </row>
    <row r="10511" spans="191:191" x14ac:dyDescent="0.2">
      <c r="GI10511" s="422"/>
    </row>
    <row r="10512" spans="191:191" x14ac:dyDescent="0.2">
      <c r="GI10512" s="422"/>
    </row>
    <row r="10513" spans="191:191" x14ac:dyDescent="0.2">
      <c r="GI10513" s="422"/>
    </row>
    <row r="10514" spans="191:191" x14ac:dyDescent="0.2">
      <c r="GI10514" s="422"/>
    </row>
    <row r="10515" spans="191:191" x14ac:dyDescent="0.2">
      <c r="GI10515" s="422"/>
    </row>
    <row r="10516" spans="191:191" x14ac:dyDescent="0.2">
      <c r="GI10516" s="422"/>
    </row>
    <row r="10517" spans="191:191" x14ac:dyDescent="0.2">
      <c r="GI10517" s="422"/>
    </row>
    <row r="10518" spans="191:191" x14ac:dyDescent="0.2">
      <c r="GI10518" s="422"/>
    </row>
    <row r="10519" spans="191:191" x14ac:dyDescent="0.2">
      <c r="GI10519" s="422"/>
    </row>
    <row r="10520" spans="191:191" x14ac:dyDescent="0.2">
      <c r="GI10520" s="422"/>
    </row>
    <row r="10521" spans="191:191" x14ac:dyDescent="0.2">
      <c r="GI10521" s="422"/>
    </row>
    <row r="10522" spans="191:191" x14ac:dyDescent="0.2">
      <c r="GI10522" s="422"/>
    </row>
    <row r="10523" spans="191:191" x14ac:dyDescent="0.2">
      <c r="GI10523" s="422"/>
    </row>
    <row r="10524" spans="191:191" x14ac:dyDescent="0.2">
      <c r="GI10524" s="422"/>
    </row>
    <row r="10525" spans="191:191" x14ac:dyDescent="0.2">
      <c r="GI10525" s="422"/>
    </row>
    <row r="10526" spans="191:191" x14ac:dyDescent="0.2">
      <c r="GI10526" s="422"/>
    </row>
    <row r="10527" spans="191:191" x14ac:dyDescent="0.2">
      <c r="GI10527" s="422"/>
    </row>
    <row r="10528" spans="191:191" x14ac:dyDescent="0.2">
      <c r="GI10528" s="422"/>
    </row>
    <row r="10529" spans="191:191" x14ac:dyDescent="0.2">
      <c r="GI10529" s="422"/>
    </row>
    <row r="10530" spans="191:191" x14ac:dyDescent="0.2">
      <c r="GI10530" s="422"/>
    </row>
    <row r="10531" spans="191:191" x14ac:dyDescent="0.2">
      <c r="GI10531" s="422"/>
    </row>
    <row r="10532" spans="191:191" x14ac:dyDescent="0.2">
      <c r="GI10532" s="422"/>
    </row>
    <row r="10533" spans="191:191" x14ac:dyDescent="0.2">
      <c r="GI10533" s="422"/>
    </row>
    <row r="10534" spans="191:191" x14ac:dyDescent="0.2">
      <c r="GI10534" s="422"/>
    </row>
    <row r="10535" spans="191:191" x14ac:dyDescent="0.2">
      <c r="GI10535" s="422"/>
    </row>
    <row r="10536" spans="191:191" x14ac:dyDescent="0.2">
      <c r="GI10536" s="422"/>
    </row>
    <row r="10537" spans="191:191" x14ac:dyDescent="0.2">
      <c r="GI10537" s="422"/>
    </row>
    <row r="10538" spans="191:191" x14ac:dyDescent="0.2">
      <c r="GI10538" s="422"/>
    </row>
    <row r="10539" spans="191:191" x14ac:dyDescent="0.2">
      <c r="GI10539" s="422"/>
    </row>
    <row r="10540" spans="191:191" x14ac:dyDescent="0.2">
      <c r="GI10540" s="422"/>
    </row>
    <row r="10541" spans="191:191" x14ac:dyDescent="0.2">
      <c r="GI10541" s="422"/>
    </row>
    <row r="10542" spans="191:191" x14ac:dyDescent="0.2">
      <c r="GI10542" s="422"/>
    </row>
    <row r="10543" spans="191:191" x14ac:dyDescent="0.2">
      <c r="GI10543" s="422"/>
    </row>
    <row r="10544" spans="191:191" x14ac:dyDescent="0.2">
      <c r="GI10544" s="422"/>
    </row>
    <row r="10545" spans="191:191" x14ac:dyDescent="0.2">
      <c r="GI10545" s="422"/>
    </row>
    <row r="10546" spans="191:191" x14ac:dyDescent="0.2">
      <c r="GI10546" s="422"/>
    </row>
    <row r="10547" spans="191:191" x14ac:dyDescent="0.2">
      <c r="GI10547" s="422"/>
    </row>
    <row r="10548" spans="191:191" x14ac:dyDescent="0.2">
      <c r="GI10548" s="422"/>
    </row>
    <row r="10549" spans="191:191" x14ac:dyDescent="0.2">
      <c r="GI10549" s="422"/>
    </row>
    <row r="10550" spans="191:191" x14ac:dyDescent="0.2">
      <c r="GI10550" s="422"/>
    </row>
    <row r="10551" spans="191:191" x14ac:dyDescent="0.2">
      <c r="GI10551" s="422"/>
    </row>
    <row r="10552" spans="191:191" x14ac:dyDescent="0.2">
      <c r="GI10552" s="422"/>
    </row>
    <row r="10553" spans="191:191" x14ac:dyDescent="0.2">
      <c r="GI10553" s="422"/>
    </row>
    <row r="10554" spans="191:191" x14ac:dyDescent="0.2">
      <c r="GI10554" s="422"/>
    </row>
    <row r="10555" spans="191:191" x14ac:dyDescent="0.2">
      <c r="GI10555" s="422"/>
    </row>
    <row r="10556" spans="191:191" x14ac:dyDescent="0.2">
      <c r="GI10556" s="422"/>
    </row>
    <row r="10557" spans="191:191" x14ac:dyDescent="0.2">
      <c r="GI10557" s="422"/>
    </row>
    <row r="10558" spans="191:191" x14ac:dyDescent="0.2">
      <c r="GI10558" s="422"/>
    </row>
    <row r="10559" spans="191:191" x14ac:dyDescent="0.2">
      <c r="GI10559" s="422"/>
    </row>
    <row r="10560" spans="191:191" x14ac:dyDescent="0.2">
      <c r="GI10560" s="422"/>
    </row>
    <row r="10561" spans="191:191" x14ac:dyDescent="0.2">
      <c r="GI10561" s="422"/>
    </row>
    <row r="10562" spans="191:191" x14ac:dyDescent="0.2">
      <c r="GI10562" s="422"/>
    </row>
    <row r="10563" spans="191:191" x14ac:dyDescent="0.2">
      <c r="GI10563" s="422"/>
    </row>
    <row r="10564" spans="191:191" x14ac:dyDescent="0.2">
      <c r="GI10564" s="422"/>
    </row>
    <row r="10565" spans="191:191" x14ac:dyDescent="0.2">
      <c r="GI10565" s="422"/>
    </row>
    <row r="10566" spans="191:191" x14ac:dyDescent="0.2">
      <c r="GI10566" s="422"/>
    </row>
    <row r="10567" spans="191:191" x14ac:dyDescent="0.2">
      <c r="GI10567" s="422"/>
    </row>
    <row r="10568" spans="191:191" x14ac:dyDescent="0.2">
      <c r="GI10568" s="422"/>
    </row>
    <row r="10569" spans="191:191" x14ac:dyDescent="0.2">
      <c r="GI10569" s="422"/>
    </row>
    <row r="10570" spans="191:191" x14ac:dyDescent="0.2">
      <c r="GI10570" s="422"/>
    </row>
    <row r="10571" spans="191:191" x14ac:dyDescent="0.2">
      <c r="GI10571" s="422"/>
    </row>
    <row r="10572" spans="191:191" x14ac:dyDescent="0.2">
      <c r="GI10572" s="422"/>
    </row>
    <row r="10573" spans="191:191" x14ac:dyDescent="0.2">
      <c r="GI10573" s="422"/>
    </row>
    <row r="10574" spans="191:191" x14ac:dyDescent="0.2">
      <c r="GI10574" s="422"/>
    </row>
    <row r="10575" spans="191:191" x14ac:dyDescent="0.2">
      <c r="GI10575" s="422"/>
    </row>
    <row r="10576" spans="191:191" x14ac:dyDescent="0.2">
      <c r="GI10576" s="422"/>
    </row>
    <row r="10577" spans="191:191" x14ac:dyDescent="0.2">
      <c r="GI10577" s="422"/>
    </row>
    <row r="10578" spans="191:191" x14ac:dyDescent="0.2">
      <c r="GI10578" s="422"/>
    </row>
    <row r="10579" spans="191:191" x14ac:dyDescent="0.2">
      <c r="GI10579" s="422"/>
    </row>
    <row r="10580" spans="191:191" x14ac:dyDescent="0.2">
      <c r="GI10580" s="422"/>
    </row>
    <row r="10581" spans="191:191" x14ac:dyDescent="0.2">
      <c r="GI10581" s="422"/>
    </row>
    <row r="10582" spans="191:191" x14ac:dyDescent="0.2">
      <c r="GI10582" s="422"/>
    </row>
    <row r="10583" spans="191:191" x14ac:dyDescent="0.2">
      <c r="GI10583" s="422"/>
    </row>
    <row r="10584" spans="191:191" x14ac:dyDescent="0.2">
      <c r="GI10584" s="422"/>
    </row>
    <row r="10585" spans="191:191" x14ac:dyDescent="0.2">
      <c r="GI10585" s="422"/>
    </row>
    <row r="10586" spans="191:191" x14ac:dyDescent="0.2">
      <c r="GI10586" s="422"/>
    </row>
    <row r="10587" spans="191:191" x14ac:dyDescent="0.2">
      <c r="GI10587" s="422"/>
    </row>
    <row r="10588" spans="191:191" x14ac:dyDescent="0.2">
      <c r="GI10588" s="422"/>
    </row>
    <row r="10589" spans="191:191" x14ac:dyDescent="0.2">
      <c r="GI10589" s="422"/>
    </row>
    <row r="10590" spans="191:191" x14ac:dyDescent="0.2">
      <c r="GI10590" s="422"/>
    </row>
    <row r="10591" spans="191:191" x14ac:dyDescent="0.2">
      <c r="GI10591" s="422"/>
    </row>
    <row r="10592" spans="191:191" x14ac:dyDescent="0.2">
      <c r="GI10592" s="422"/>
    </row>
    <row r="10593" spans="191:191" x14ac:dyDescent="0.2">
      <c r="GI10593" s="422"/>
    </row>
    <row r="10594" spans="191:191" x14ac:dyDescent="0.2">
      <c r="GI10594" s="422"/>
    </row>
    <row r="10595" spans="191:191" x14ac:dyDescent="0.2">
      <c r="GI10595" s="422"/>
    </row>
    <row r="10596" spans="191:191" x14ac:dyDescent="0.2">
      <c r="GI10596" s="422"/>
    </row>
    <row r="10597" spans="191:191" x14ac:dyDescent="0.2">
      <c r="GI10597" s="422"/>
    </row>
    <row r="10598" spans="191:191" x14ac:dyDescent="0.2">
      <c r="GI10598" s="422"/>
    </row>
    <row r="10599" spans="191:191" x14ac:dyDescent="0.2">
      <c r="GI10599" s="422"/>
    </row>
    <row r="10600" spans="191:191" x14ac:dyDescent="0.2">
      <c r="GI10600" s="422"/>
    </row>
    <row r="10601" spans="191:191" x14ac:dyDescent="0.2">
      <c r="GI10601" s="422"/>
    </row>
    <row r="10602" spans="191:191" x14ac:dyDescent="0.2">
      <c r="GI10602" s="422"/>
    </row>
    <row r="10603" spans="191:191" x14ac:dyDescent="0.2">
      <c r="GI10603" s="422"/>
    </row>
    <row r="10604" spans="191:191" x14ac:dyDescent="0.2">
      <c r="GI10604" s="422"/>
    </row>
    <row r="10605" spans="191:191" x14ac:dyDescent="0.2">
      <c r="GI10605" s="422"/>
    </row>
    <row r="10606" spans="191:191" x14ac:dyDescent="0.2">
      <c r="GI10606" s="422"/>
    </row>
    <row r="10607" spans="191:191" x14ac:dyDescent="0.2">
      <c r="GI10607" s="422"/>
    </row>
    <row r="10608" spans="191:191" x14ac:dyDescent="0.2">
      <c r="GI10608" s="422"/>
    </row>
    <row r="10609" spans="191:191" x14ac:dyDescent="0.2">
      <c r="GI10609" s="422"/>
    </row>
    <row r="10610" spans="191:191" x14ac:dyDescent="0.2">
      <c r="GI10610" s="422"/>
    </row>
    <row r="10611" spans="191:191" x14ac:dyDescent="0.2">
      <c r="GI10611" s="422"/>
    </row>
    <row r="10612" spans="191:191" x14ac:dyDescent="0.2">
      <c r="GI10612" s="422"/>
    </row>
    <row r="10613" spans="191:191" x14ac:dyDescent="0.2">
      <c r="GI10613" s="422"/>
    </row>
    <row r="10614" spans="191:191" x14ac:dyDescent="0.2">
      <c r="GI10614" s="422"/>
    </row>
    <row r="10615" spans="191:191" x14ac:dyDescent="0.2">
      <c r="GI10615" s="422"/>
    </row>
    <row r="10616" spans="191:191" x14ac:dyDescent="0.2">
      <c r="GI10616" s="422"/>
    </row>
    <row r="10617" spans="191:191" x14ac:dyDescent="0.2">
      <c r="GI10617" s="422"/>
    </row>
    <row r="10618" spans="191:191" x14ac:dyDescent="0.2">
      <c r="GI10618" s="422"/>
    </row>
    <row r="10619" spans="191:191" x14ac:dyDescent="0.2">
      <c r="GI10619" s="422"/>
    </row>
    <row r="10620" spans="191:191" x14ac:dyDescent="0.2">
      <c r="GI10620" s="422"/>
    </row>
    <row r="10621" spans="191:191" x14ac:dyDescent="0.2">
      <c r="GI10621" s="422"/>
    </row>
    <row r="10622" spans="191:191" x14ac:dyDescent="0.2">
      <c r="GI10622" s="422"/>
    </row>
    <row r="10623" spans="191:191" x14ac:dyDescent="0.2">
      <c r="GI10623" s="422"/>
    </row>
    <row r="10624" spans="191:191" x14ac:dyDescent="0.2">
      <c r="GI10624" s="422"/>
    </row>
    <row r="10625" spans="191:191" x14ac:dyDescent="0.2">
      <c r="GI10625" s="422"/>
    </row>
    <row r="10626" spans="191:191" x14ac:dyDescent="0.2">
      <c r="GI10626" s="422"/>
    </row>
    <row r="10627" spans="191:191" x14ac:dyDescent="0.2">
      <c r="GI10627" s="422"/>
    </row>
    <row r="10628" spans="191:191" x14ac:dyDescent="0.2">
      <c r="GI10628" s="422"/>
    </row>
    <row r="10629" spans="191:191" x14ac:dyDescent="0.2">
      <c r="GI10629" s="422"/>
    </row>
    <row r="10630" spans="191:191" x14ac:dyDescent="0.2">
      <c r="GI10630" s="422"/>
    </row>
    <row r="10631" spans="191:191" x14ac:dyDescent="0.2">
      <c r="GI10631" s="422"/>
    </row>
    <row r="10632" spans="191:191" x14ac:dyDescent="0.2">
      <c r="GI10632" s="422"/>
    </row>
    <row r="10633" spans="191:191" x14ac:dyDescent="0.2">
      <c r="GI10633" s="422"/>
    </row>
    <row r="10634" spans="191:191" x14ac:dyDescent="0.2">
      <c r="GI10634" s="422"/>
    </row>
    <row r="10635" spans="191:191" x14ac:dyDescent="0.2">
      <c r="GI10635" s="422"/>
    </row>
    <row r="10636" spans="191:191" x14ac:dyDescent="0.2">
      <c r="GI10636" s="422"/>
    </row>
    <row r="10637" spans="191:191" x14ac:dyDescent="0.2">
      <c r="GI10637" s="422"/>
    </row>
    <row r="10638" spans="191:191" x14ac:dyDescent="0.2">
      <c r="GI10638" s="422"/>
    </row>
    <row r="10639" spans="191:191" x14ac:dyDescent="0.2">
      <c r="GI10639" s="422"/>
    </row>
    <row r="10640" spans="191:191" x14ac:dyDescent="0.2">
      <c r="GI10640" s="422"/>
    </row>
    <row r="10641" spans="191:191" x14ac:dyDescent="0.2">
      <c r="GI10641" s="422"/>
    </row>
    <row r="10642" spans="191:191" x14ac:dyDescent="0.2">
      <c r="GI10642" s="422"/>
    </row>
    <row r="10643" spans="191:191" x14ac:dyDescent="0.2">
      <c r="GI10643" s="422"/>
    </row>
    <row r="10644" spans="191:191" x14ac:dyDescent="0.2">
      <c r="GI10644" s="422"/>
    </row>
    <row r="10645" spans="191:191" x14ac:dyDescent="0.2">
      <c r="GI10645" s="422"/>
    </row>
    <row r="10646" spans="191:191" x14ac:dyDescent="0.2">
      <c r="GI10646" s="422"/>
    </row>
    <row r="10647" spans="191:191" x14ac:dyDescent="0.2">
      <c r="GI10647" s="422"/>
    </row>
    <row r="10648" spans="191:191" x14ac:dyDescent="0.2">
      <c r="GI10648" s="422"/>
    </row>
    <row r="10649" spans="191:191" x14ac:dyDescent="0.2">
      <c r="GI10649" s="422"/>
    </row>
    <row r="10650" spans="191:191" x14ac:dyDescent="0.2">
      <c r="GI10650" s="422"/>
    </row>
    <row r="10651" spans="191:191" x14ac:dyDescent="0.2">
      <c r="GI10651" s="422"/>
    </row>
    <row r="10652" spans="191:191" x14ac:dyDescent="0.2">
      <c r="GI10652" s="422"/>
    </row>
    <row r="10653" spans="191:191" x14ac:dyDescent="0.2">
      <c r="GI10653" s="422"/>
    </row>
    <row r="10654" spans="191:191" x14ac:dyDescent="0.2">
      <c r="GI10654" s="422"/>
    </row>
    <row r="10655" spans="191:191" x14ac:dyDescent="0.2">
      <c r="GI10655" s="422"/>
    </row>
    <row r="10656" spans="191:191" x14ac:dyDescent="0.2">
      <c r="GI10656" s="422"/>
    </row>
    <row r="10657" spans="191:191" x14ac:dyDescent="0.2">
      <c r="GI10657" s="422"/>
    </row>
    <row r="10658" spans="191:191" x14ac:dyDescent="0.2">
      <c r="GI10658" s="422"/>
    </row>
    <row r="10659" spans="191:191" x14ac:dyDescent="0.2">
      <c r="GI10659" s="422"/>
    </row>
    <row r="10660" spans="191:191" x14ac:dyDescent="0.2">
      <c r="GI10660" s="422"/>
    </row>
    <row r="10661" spans="191:191" x14ac:dyDescent="0.2">
      <c r="GI10661" s="422"/>
    </row>
    <row r="10662" spans="191:191" x14ac:dyDescent="0.2">
      <c r="GI10662" s="422"/>
    </row>
    <row r="10663" spans="191:191" x14ac:dyDescent="0.2">
      <c r="GI10663" s="422"/>
    </row>
    <row r="10664" spans="191:191" x14ac:dyDescent="0.2">
      <c r="GI10664" s="422"/>
    </row>
    <row r="10665" spans="191:191" x14ac:dyDescent="0.2">
      <c r="GI10665" s="422"/>
    </row>
    <row r="10666" spans="191:191" x14ac:dyDescent="0.2">
      <c r="GI10666" s="422"/>
    </row>
    <row r="10667" spans="191:191" x14ac:dyDescent="0.2">
      <c r="GI10667" s="422"/>
    </row>
    <row r="10668" spans="191:191" x14ac:dyDescent="0.2">
      <c r="GI10668" s="422"/>
    </row>
    <row r="10669" spans="191:191" x14ac:dyDescent="0.2">
      <c r="GI10669" s="422"/>
    </row>
    <row r="10670" spans="191:191" x14ac:dyDescent="0.2">
      <c r="GI10670" s="422"/>
    </row>
    <row r="10671" spans="191:191" x14ac:dyDescent="0.2">
      <c r="GI10671" s="422"/>
    </row>
    <row r="10672" spans="191:191" x14ac:dyDescent="0.2">
      <c r="GI10672" s="422"/>
    </row>
    <row r="10673" spans="191:191" x14ac:dyDescent="0.2">
      <c r="GI10673" s="422"/>
    </row>
    <row r="10674" spans="191:191" x14ac:dyDescent="0.2">
      <c r="GI10674" s="422"/>
    </row>
    <row r="10675" spans="191:191" x14ac:dyDescent="0.2">
      <c r="GI10675" s="422"/>
    </row>
    <row r="10676" spans="191:191" x14ac:dyDescent="0.2">
      <c r="GI10676" s="422"/>
    </row>
    <row r="10677" spans="191:191" x14ac:dyDescent="0.2">
      <c r="GI10677" s="422"/>
    </row>
    <row r="10678" spans="191:191" x14ac:dyDescent="0.2">
      <c r="GI10678" s="422"/>
    </row>
    <row r="10679" spans="191:191" x14ac:dyDescent="0.2">
      <c r="GI10679" s="422"/>
    </row>
    <row r="10680" spans="191:191" x14ac:dyDescent="0.2">
      <c r="GI10680" s="422"/>
    </row>
    <row r="10681" spans="191:191" x14ac:dyDescent="0.2">
      <c r="GI10681" s="422"/>
    </row>
    <row r="10682" spans="191:191" x14ac:dyDescent="0.2">
      <c r="GI10682" s="422"/>
    </row>
    <row r="10683" spans="191:191" x14ac:dyDescent="0.2">
      <c r="GI10683" s="422"/>
    </row>
    <row r="10684" spans="191:191" x14ac:dyDescent="0.2">
      <c r="GI10684" s="422"/>
    </row>
    <row r="10685" spans="191:191" x14ac:dyDescent="0.2">
      <c r="GI10685" s="422"/>
    </row>
    <row r="10686" spans="191:191" x14ac:dyDescent="0.2">
      <c r="GI10686" s="422"/>
    </row>
    <row r="10687" spans="191:191" x14ac:dyDescent="0.2">
      <c r="GI10687" s="422"/>
    </row>
    <row r="10688" spans="191:191" x14ac:dyDescent="0.2">
      <c r="GI10688" s="422"/>
    </row>
    <row r="10689" spans="191:191" x14ac:dyDescent="0.2">
      <c r="GI10689" s="422"/>
    </row>
    <row r="10690" spans="191:191" x14ac:dyDescent="0.2">
      <c r="GI10690" s="422"/>
    </row>
    <row r="10691" spans="191:191" x14ac:dyDescent="0.2">
      <c r="GI10691" s="422"/>
    </row>
    <row r="10692" spans="191:191" x14ac:dyDescent="0.2">
      <c r="GI10692" s="422"/>
    </row>
    <row r="10693" spans="191:191" x14ac:dyDescent="0.2">
      <c r="GI10693" s="422"/>
    </row>
    <row r="10694" spans="191:191" x14ac:dyDescent="0.2">
      <c r="GI10694" s="422"/>
    </row>
    <row r="10695" spans="191:191" x14ac:dyDescent="0.2">
      <c r="GI10695" s="422"/>
    </row>
    <row r="10696" spans="191:191" x14ac:dyDescent="0.2">
      <c r="GI10696" s="422"/>
    </row>
    <row r="10697" spans="191:191" x14ac:dyDescent="0.2">
      <c r="GI10697" s="422"/>
    </row>
    <row r="10698" spans="191:191" x14ac:dyDescent="0.2">
      <c r="GI10698" s="422"/>
    </row>
    <row r="10699" spans="191:191" x14ac:dyDescent="0.2">
      <c r="GI10699" s="422"/>
    </row>
    <row r="10700" spans="191:191" x14ac:dyDescent="0.2">
      <c r="GI10700" s="422"/>
    </row>
    <row r="10701" spans="191:191" x14ac:dyDescent="0.2">
      <c r="GI10701" s="422"/>
    </row>
    <row r="10702" spans="191:191" x14ac:dyDescent="0.2">
      <c r="GI10702" s="422"/>
    </row>
    <row r="10703" spans="191:191" x14ac:dyDescent="0.2">
      <c r="GI10703" s="422"/>
    </row>
    <row r="10704" spans="191:191" x14ac:dyDescent="0.2">
      <c r="GI10704" s="422"/>
    </row>
    <row r="10705" spans="191:191" x14ac:dyDescent="0.2">
      <c r="GI10705" s="422"/>
    </row>
    <row r="10706" spans="191:191" x14ac:dyDescent="0.2">
      <c r="GI10706" s="422"/>
    </row>
    <row r="10707" spans="191:191" x14ac:dyDescent="0.2">
      <c r="GI10707" s="422"/>
    </row>
    <row r="10708" spans="191:191" x14ac:dyDescent="0.2">
      <c r="GI10708" s="422"/>
    </row>
    <row r="10709" spans="191:191" x14ac:dyDescent="0.2">
      <c r="GI10709" s="422"/>
    </row>
    <row r="10710" spans="191:191" x14ac:dyDescent="0.2">
      <c r="GI10710" s="422"/>
    </row>
    <row r="10711" spans="191:191" x14ac:dyDescent="0.2">
      <c r="GI10711" s="422"/>
    </row>
    <row r="10712" spans="191:191" x14ac:dyDescent="0.2">
      <c r="GI10712" s="422"/>
    </row>
    <row r="10713" spans="191:191" x14ac:dyDescent="0.2">
      <c r="GI10713" s="422"/>
    </row>
    <row r="10714" spans="191:191" x14ac:dyDescent="0.2">
      <c r="GI10714" s="422"/>
    </row>
    <row r="10715" spans="191:191" x14ac:dyDescent="0.2">
      <c r="GI10715" s="422"/>
    </row>
    <row r="10716" spans="191:191" x14ac:dyDescent="0.2">
      <c r="GI10716" s="422"/>
    </row>
    <row r="10717" spans="191:191" x14ac:dyDescent="0.2">
      <c r="GI10717" s="422"/>
    </row>
    <row r="10718" spans="191:191" x14ac:dyDescent="0.2">
      <c r="GI10718" s="422"/>
    </row>
    <row r="10719" spans="191:191" x14ac:dyDescent="0.2">
      <c r="GI10719" s="422"/>
    </row>
    <row r="10720" spans="191:191" x14ac:dyDescent="0.2">
      <c r="GI10720" s="422"/>
    </row>
    <row r="10721" spans="191:191" x14ac:dyDescent="0.2">
      <c r="GI10721" s="422"/>
    </row>
    <row r="10722" spans="191:191" x14ac:dyDescent="0.2">
      <c r="GI10722" s="422"/>
    </row>
    <row r="10723" spans="191:191" x14ac:dyDescent="0.2">
      <c r="GI10723" s="422"/>
    </row>
    <row r="10724" spans="191:191" x14ac:dyDescent="0.2">
      <c r="GI10724" s="422"/>
    </row>
    <row r="10725" spans="191:191" x14ac:dyDescent="0.2">
      <c r="GI10725" s="422"/>
    </row>
    <row r="10726" spans="191:191" x14ac:dyDescent="0.2">
      <c r="GI10726" s="422"/>
    </row>
    <row r="10727" spans="191:191" x14ac:dyDescent="0.2">
      <c r="GI10727" s="422"/>
    </row>
    <row r="10728" spans="191:191" x14ac:dyDescent="0.2">
      <c r="GI10728" s="422"/>
    </row>
    <row r="10729" spans="191:191" x14ac:dyDescent="0.2">
      <c r="GI10729" s="422"/>
    </row>
    <row r="10730" spans="191:191" x14ac:dyDescent="0.2">
      <c r="GI10730" s="422"/>
    </row>
    <row r="10731" spans="191:191" x14ac:dyDescent="0.2">
      <c r="GI10731" s="422"/>
    </row>
    <row r="10732" spans="191:191" x14ac:dyDescent="0.2">
      <c r="GI10732" s="422"/>
    </row>
    <row r="10733" spans="191:191" x14ac:dyDescent="0.2">
      <c r="GI10733" s="422"/>
    </row>
    <row r="10734" spans="191:191" x14ac:dyDescent="0.2">
      <c r="GI10734" s="422"/>
    </row>
    <row r="10735" spans="191:191" x14ac:dyDescent="0.2">
      <c r="GI10735" s="422"/>
    </row>
    <row r="10736" spans="191:191" x14ac:dyDescent="0.2">
      <c r="GI10736" s="422"/>
    </row>
    <row r="10737" spans="191:191" x14ac:dyDescent="0.2">
      <c r="GI10737" s="422"/>
    </row>
    <row r="10738" spans="191:191" x14ac:dyDescent="0.2">
      <c r="GI10738" s="422"/>
    </row>
    <row r="10739" spans="191:191" x14ac:dyDescent="0.2">
      <c r="GI10739" s="422"/>
    </row>
    <row r="10740" spans="191:191" x14ac:dyDescent="0.2">
      <c r="GI10740" s="422"/>
    </row>
    <row r="10741" spans="191:191" x14ac:dyDescent="0.2">
      <c r="GI10741" s="422"/>
    </row>
    <row r="10742" spans="191:191" x14ac:dyDescent="0.2">
      <c r="GI10742" s="422"/>
    </row>
    <row r="10743" spans="191:191" x14ac:dyDescent="0.2">
      <c r="GI10743" s="422"/>
    </row>
    <row r="10744" spans="191:191" x14ac:dyDescent="0.2">
      <c r="GI10744" s="422"/>
    </row>
    <row r="10745" spans="191:191" x14ac:dyDescent="0.2">
      <c r="GI10745" s="422"/>
    </row>
    <row r="10746" spans="191:191" x14ac:dyDescent="0.2">
      <c r="GI10746" s="422"/>
    </row>
    <row r="10747" spans="191:191" x14ac:dyDescent="0.2">
      <c r="GI10747" s="422"/>
    </row>
    <row r="10748" spans="191:191" x14ac:dyDescent="0.2">
      <c r="GI10748" s="422"/>
    </row>
    <row r="10749" spans="191:191" x14ac:dyDescent="0.2">
      <c r="GI10749" s="422"/>
    </row>
    <row r="10750" spans="191:191" x14ac:dyDescent="0.2">
      <c r="GI10750" s="422"/>
    </row>
    <row r="10751" spans="191:191" x14ac:dyDescent="0.2">
      <c r="GI10751" s="422"/>
    </row>
    <row r="10752" spans="191:191" x14ac:dyDescent="0.2">
      <c r="GI10752" s="422"/>
    </row>
    <row r="10753" spans="191:191" x14ac:dyDescent="0.2">
      <c r="GI10753" s="422"/>
    </row>
    <row r="10754" spans="191:191" x14ac:dyDescent="0.2">
      <c r="GI10754" s="422"/>
    </row>
    <row r="10755" spans="191:191" x14ac:dyDescent="0.2">
      <c r="GI10755" s="422"/>
    </row>
    <row r="10756" spans="191:191" x14ac:dyDescent="0.2">
      <c r="GI10756" s="422"/>
    </row>
    <row r="10757" spans="191:191" x14ac:dyDescent="0.2">
      <c r="GI10757" s="422"/>
    </row>
    <row r="10758" spans="191:191" x14ac:dyDescent="0.2">
      <c r="GI10758" s="422"/>
    </row>
    <row r="10759" spans="191:191" x14ac:dyDescent="0.2">
      <c r="GI10759" s="422"/>
    </row>
    <row r="10760" spans="191:191" x14ac:dyDescent="0.2">
      <c r="GI10760" s="422"/>
    </row>
    <row r="10761" spans="191:191" x14ac:dyDescent="0.2">
      <c r="GI10761" s="422"/>
    </row>
    <row r="10762" spans="191:191" x14ac:dyDescent="0.2">
      <c r="GI10762" s="422"/>
    </row>
    <row r="10763" spans="191:191" x14ac:dyDescent="0.2">
      <c r="GI10763" s="422"/>
    </row>
    <row r="10764" spans="191:191" x14ac:dyDescent="0.2">
      <c r="GI10764" s="422"/>
    </row>
    <row r="10765" spans="191:191" x14ac:dyDescent="0.2">
      <c r="GI10765" s="422"/>
    </row>
    <row r="10766" spans="191:191" x14ac:dyDescent="0.2">
      <c r="GI10766" s="422"/>
    </row>
    <row r="10767" spans="191:191" x14ac:dyDescent="0.2">
      <c r="GI10767" s="422"/>
    </row>
    <row r="10768" spans="191:191" x14ac:dyDescent="0.2">
      <c r="GI10768" s="422"/>
    </row>
    <row r="10769" spans="191:191" x14ac:dyDescent="0.2">
      <c r="GI10769" s="422"/>
    </row>
    <row r="10770" spans="191:191" x14ac:dyDescent="0.2">
      <c r="GI10770" s="422"/>
    </row>
    <row r="10771" spans="191:191" x14ac:dyDescent="0.2">
      <c r="GI10771" s="422"/>
    </row>
    <row r="10772" spans="191:191" x14ac:dyDescent="0.2">
      <c r="GI10772" s="422"/>
    </row>
    <row r="10773" spans="191:191" x14ac:dyDescent="0.2">
      <c r="GI10773" s="422"/>
    </row>
    <row r="10774" spans="191:191" x14ac:dyDescent="0.2">
      <c r="GI10774" s="422"/>
    </row>
    <row r="10775" spans="191:191" x14ac:dyDescent="0.2">
      <c r="GI10775" s="422"/>
    </row>
    <row r="10776" spans="191:191" x14ac:dyDescent="0.2">
      <c r="GI10776" s="422"/>
    </row>
    <row r="10777" spans="191:191" x14ac:dyDescent="0.2">
      <c r="GI10777" s="422"/>
    </row>
    <row r="10778" spans="191:191" x14ac:dyDescent="0.2">
      <c r="GI10778" s="422"/>
    </row>
    <row r="10779" spans="191:191" x14ac:dyDescent="0.2">
      <c r="GI10779" s="422"/>
    </row>
    <row r="10780" spans="191:191" x14ac:dyDescent="0.2">
      <c r="GI10780" s="422"/>
    </row>
    <row r="10781" spans="191:191" x14ac:dyDescent="0.2">
      <c r="GI10781" s="422"/>
    </row>
    <row r="10782" spans="191:191" x14ac:dyDescent="0.2">
      <c r="GI10782" s="422"/>
    </row>
    <row r="10783" spans="191:191" x14ac:dyDescent="0.2">
      <c r="GI10783" s="422"/>
    </row>
    <row r="10784" spans="191:191" x14ac:dyDescent="0.2">
      <c r="GI10784" s="422"/>
    </row>
    <row r="10785" spans="191:191" x14ac:dyDescent="0.2">
      <c r="GI10785" s="422"/>
    </row>
    <row r="10786" spans="191:191" x14ac:dyDescent="0.2">
      <c r="GI10786" s="422"/>
    </row>
    <row r="10787" spans="191:191" x14ac:dyDescent="0.2">
      <c r="GI10787" s="422"/>
    </row>
    <row r="10788" spans="191:191" x14ac:dyDescent="0.2">
      <c r="GI10788" s="422"/>
    </row>
    <row r="10789" spans="191:191" x14ac:dyDescent="0.2">
      <c r="GI10789" s="422"/>
    </row>
    <row r="10790" spans="191:191" x14ac:dyDescent="0.2">
      <c r="GI10790" s="422"/>
    </row>
    <row r="10791" spans="191:191" x14ac:dyDescent="0.2">
      <c r="GI10791" s="422"/>
    </row>
    <row r="10792" spans="191:191" x14ac:dyDescent="0.2">
      <c r="GI10792" s="422"/>
    </row>
    <row r="10793" spans="191:191" x14ac:dyDescent="0.2">
      <c r="GI10793" s="422"/>
    </row>
    <row r="10794" spans="191:191" x14ac:dyDescent="0.2">
      <c r="GI10794" s="422"/>
    </row>
    <row r="10795" spans="191:191" x14ac:dyDescent="0.2">
      <c r="GI10795" s="422"/>
    </row>
    <row r="10796" spans="191:191" x14ac:dyDescent="0.2">
      <c r="GI10796" s="422"/>
    </row>
    <row r="10797" spans="191:191" x14ac:dyDescent="0.2">
      <c r="GI10797" s="422"/>
    </row>
    <row r="10798" spans="191:191" x14ac:dyDescent="0.2">
      <c r="GI10798" s="422"/>
    </row>
    <row r="10799" spans="191:191" x14ac:dyDescent="0.2">
      <c r="GI10799" s="422"/>
    </row>
    <row r="10800" spans="191:191" x14ac:dyDescent="0.2">
      <c r="GI10800" s="422"/>
    </row>
    <row r="10801" spans="191:191" x14ac:dyDescent="0.2">
      <c r="GI10801" s="422"/>
    </row>
    <row r="10802" spans="191:191" x14ac:dyDescent="0.2">
      <c r="GI10802" s="422"/>
    </row>
    <row r="10803" spans="191:191" x14ac:dyDescent="0.2">
      <c r="GI10803" s="422"/>
    </row>
    <row r="10804" spans="191:191" x14ac:dyDescent="0.2">
      <c r="GI10804" s="422"/>
    </row>
    <row r="10805" spans="191:191" x14ac:dyDescent="0.2">
      <c r="GI10805" s="422"/>
    </row>
    <row r="10806" spans="191:191" x14ac:dyDescent="0.2">
      <c r="GI10806" s="422"/>
    </row>
    <row r="10807" spans="191:191" x14ac:dyDescent="0.2">
      <c r="GI10807" s="422"/>
    </row>
    <row r="10808" spans="191:191" x14ac:dyDescent="0.2">
      <c r="GI10808" s="422"/>
    </row>
    <row r="10809" spans="191:191" x14ac:dyDescent="0.2">
      <c r="GI10809" s="422"/>
    </row>
    <row r="10810" spans="191:191" x14ac:dyDescent="0.2">
      <c r="GI10810" s="422"/>
    </row>
    <row r="10811" spans="191:191" x14ac:dyDescent="0.2">
      <c r="GI10811" s="422"/>
    </row>
    <row r="10812" spans="191:191" x14ac:dyDescent="0.2">
      <c r="GI10812" s="422"/>
    </row>
    <row r="10813" spans="191:191" x14ac:dyDescent="0.2">
      <c r="GI10813" s="422"/>
    </row>
    <row r="10814" spans="191:191" x14ac:dyDescent="0.2">
      <c r="GI10814" s="422"/>
    </row>
    <row r="10815" spans="191:191" x14ac:dyDescent="0.2">
      <c r="GI10815" s="422"/>
    </row>
    <row r="10816" spans="191:191" x14ac:dyDescent="0.2">
      <c r="GI10816" s="422"/>
    </row>
    <row r="10817" spans="191:191" x14ac:dyDescent="0.2">
      <c r="GI10817" s="422"/>
    </row>
    <row r="10818" spans="191:191" x14ac:dyDescent="0.2">
      <c r="GI10818" s="422"/>
    </row>
    <row r="10819" spans="191:191" x14ac:dyDescent="0.2">
      <c r="GI10819" s="422"/>
    </row>
    <row r="10820" spans="191:191" x14ac:dyDescent="0.2">
      <c r="GI10820" s="422"/>
    </row>
    <row r="10821" spans="191:191" x14ac:dyDescent="0.2">
      <c r="GI10821" s="422"/>
    </row>
    <row r="10822" spans="191:191" x14ac:dyDescent="0.2">
      <c r="GI10822" s="422"/>
    </row>
    <row r="10823" spans="191:191" x14ac:dyDescent="0.2">
      <c r="GI10823" s="422"/>
    </row>
    <row r="10824" spans="191:191" x14ac:dyDescent="0.2">
      <c r="GI10824" s="422"/>
    </row>
    <row r="10825" spans="191:191" x14ac:dyDescent="0.2">
      <c r="GI10825" s="422"/>
    </row>
    <row r="10826" spans="191:191" x14ac:dyDescent="0.2">
      <c r="GI10826" s="422"/>
    </row>
    <row r="10827" spans="191:191" x14ac:dyDescent="0.2">
      <c r="GI10827" s="422"/>
    </row>
    <row r="10828" spans="191:191" x14ac:dyDescent="0.2">
      <c r="GI10828" s="422"/>
    </row>
    <row r="10829" spans="191:191" x14ac:dyDescent="0.2">
      <c r="GI10829" s="422"/>
    </row>
    <row r="10830" spans="191:191" x14ac:dyDescent="0.2">
      <c r="GI10830" s="422"/>
    </row>
    <row r="10831" spans="191:191" x14ac:dyDescent="0.2">
      <c r="GI10831" s="422"/>
    </row>
    <row r="10832" spans="191:191" x14ac:dyDescent="0.2">
      <c r="GI10832" s="422"/>
    </row>
    <row r="10833" spans="191:191" x14ac:dyDescent="0.2">
      <c r="GI10833" s="422"/>
    </row>
    <row r="10834" spans="191:191" x14ac:dyDescent="0.2">
      <c r="GI10834" s="422"/>
    </row>
    <row r="10835" spans="191:191" x14ac:dyDescent="0.2">
      <c r="GI10835" s="422"/>
    </row>
    <row r="10836" spans="191:191" x14ac:dyDescent="0.2">
      <c r="GI10836" s="422"/>
    </row>
    <row r="10837" spans="191:191" x14ac:dyDescent="0.2">
      <c r="GI10837" s="422"/>
    </row>
    <row r="10838" spans="191:191" x14ac:dyDescent="0.2">
      <c r="GI10838" s="422"/>
    </row>
    <row r="10839" spans="191:191" x14ac:dyDescent="0.2">
      <c r="GI10839" s="422"/>
    </row>
    <row r="10840" spans="191:191" x14ac:dyDescent="0.2">
      <c r="GI10840" s="422"/>
    </row>
    <row r="10841" spans="191:191" x14ac:dyDescent="0.2">
      <c r="GI10841" s="422"/>
    </row>
    <row r="10842" spans="191:191" x14ac:dyDescent="0.2">
      <c r="GI10842" s="422"/>
    </row>
    <row r="10843" spans="191:191" x14ac:dyDescent="0.2">
      <c r="GI10843" s="422"/>
    </row>
    <row r="10844" spans="191:191" x14ac:dyDescent="0.2">
      <c r="GI10844" s="422"/>
    </row>
    <row r="10845" spans="191:191" x14ac:dyDescent="0.2">
      <c r="GI10845" s="422"/>
    </row>
    <row r="10846" spans="191:191" x14ac:dyDescent="0.2">
      <c r="GI10846" s="422"/>
    </row>
    <row r="10847" spans="191:191" x14ac:dyDescent="0.2">
      <c r="GI10847" s="422"/>
    </row>
    <row r="10848" spans="191:191" x14ac:dyDescent="0.2">
      <c r="GI10848" s="422"/>
    </row>
    <row r="10849" spans="191:191" x14ac:dyDescent="0.2">
      <c r="GI10849" s="422"/>
    </row>
    <row r="10850" spans="191:191" x14ac:dyDescent="0.2">
      <c r="GI10850" s="422"/>
    </row>
    <row r="10851" spans="191:191" x14ac:dyDescent="0.2">
      <c r="GI10851" s="422"/>
    </row>
    <row r="10852" spans="191:191" x14ac:dyDescent="0.2">
      <c r="GI10852" s="422"/>
    </row>
    <row r="10853" spans="191:191" x14ac:dyDescent="0.2">
      <c r="GI10853" s="422"/>
    </row>
    <row r="10854" spans="191:191" x14ac:dyDescent="0.2">
      <c r="GI10854" s="422"/>
    </row>
    <row r="10855" spans="191:191" x14ac:dyDescent="0.2">
      <c r="GI10855" s="422"/>
    </row>
    <row r="10856" spans="191:191" x14ac:dyDescent="0.2">
      <c r="GI10856" s="422"/>
    </row>
    <row r="10857" spans="191:191" x14ac:dyDescent="0.2">
      <c r="GI10857" s="422"/>
    </row>
    <row r="10858" spans="191:191" x14ac:dyDescent="0.2">
      <c r="GI10858" s="422"/>
    </row>
    <row r="10859" spans="191:191" x14ac:dyDescent="0.2">
      <c r="GI10859" s="422"/>
    </row>
    <row r="10860" spans="191:191" x14ac:dyDescent="0.2">
      <c r="GI10860" s="422"/>
    </row>
    <row r="10861" spans="191:191" x14ac:dyDescent="0.2">
      <c r="GI10861" s="422"/>
    </row>
    <row r="10862" spans="191:191" x14ac:dyDescent="0.2">
      <c r="GI10862" s="422"/>
    </row>
    <row r="10863" spans="191:191" x14ac:dyDescent="0.2">
      <c r="GI10863" s="422"/>
    </row>
    <row r="10864" spans="191:191" x14ac:dyDescent="0.2">
      <c r="GI10864" s="422"/>
    </row>
    <row r="10865" spans="191:191" x14ac:dyDescent="0.2">
      <c r="GI10865" s="422"/>
    </row>
    <row r="10866" spans="191:191" x14ac:dyDescent="0.2">
      <c r="GI10866" s="422"/>
    </row>
    <row r="10867" spans="191:191" x14ac:dyDescent="0.2">
      <c r="GI10867" s="422"/>
    </row>
    <row r="10868" spans="191:191" x14ac:dyDescent="0.2">
      <c r="GI10868" s="422"/>
    </row>
    <row r="10869" spans="191:191" x14ac:dyDescent="0.2">
      <c r="GI10869" s="422"/>
    </row>
    <row r="10870" spans="191:191" x14ac:dyDescent="0.2">
      <c r="GI10870" s="422"/>
    </row>
    <row r="10871" spans="191:191" x14ac:dyDescent="0.2">
      <c r="GI10871" s="422"/>
    </row>
    <row r="10872" spans="191:191" x14ac:dyDescent="0.2">
      <c r="GI10872" s="422"/>
    </row>
    <row r="10873" spans="191:191" x14ac:dyDescent="0.2">
      <c r="GI10873" s="422"/>
    </row>
    <row r="10874" spans="191:191" x14ac:dyDescent="0.2">
      <c r="GI10874" s="422"/>
    </row>
    <row r="10875" spans="191:191" x14ac:dyDescent="0.2">
      <c r="GI10875" s="422"/>
    </row>
    <row r="10876" spans="191:191" x14ac:dyDescent="0.2">
      <c r="GI10876" s="422"/>
    </row>
    <row r="10877" spans="191:191" x14ac:dyDescent="0.2">
      <c r="GI10877" s="422"/>
    </row>
    <row r="10878" spans="191:191" x14ac:dyDescent="0.2">
      <c r="GI10878" s="422"/>
    </row>
    <row r="10879" spans="191:191" x14ac:dyDescent="0.2">
      <c r="GI10879" s="422"/>
    </row>
    <row r="10880" spans="191:191" x14ac:dyDescent="0.2">
      <c r="GI10880" s="422"/>
    </row>
    <row r="10881" spans="191:191" x14ac:dyDescent="0.2">
      <c r="GI10881" s="422"/>
    </row>
    <row r="10882" spans="191:191" x14ac:dyDescent="0.2">
      <c r="GI10882" s="422"/>
    </row>
    <row r="10883" spans="191:191" x14ac:dyDescent="0.2">
      <c r="GI10883" s="422"/>
    </row>
    <row r="10884" spans="191:191" x14ac:dyDescent="0.2">
      <c r="GI10884" s="422"/>
    </row>
    <row r="10885" spans="191:191" x14ac:dyDescent="0.2">
      <c r="GI10885" s="422"/>
    </row>
    <row r="10886" spans="191:191" x14ac:dyDescent="0.2">
      <c r="GI10886" s="422"/>
    </row>
    <row r="10887" spans="191:191" x14ac:dyDescent="0.2">
      <c r="GI10887" s="422"/>
    </row>
    <row r="10888" spans="191:191" x14ac:dyDescent="0.2">
      <c r="GI10888" s="422"/>
    </row>
    <row r="10889" spans="191:191" x14ac:dyDescent="0.2">
      <c r="GI10889" s="422"/>
    </row>
    <row r="10890" spans="191:191" x14ac:dyDescent="0.2">
      <c r="GI10890" s="422"/>
    </row>
    <row r="10891" spans="191:191" x14ac:dyDescent="0.2">
      <c r="GI10891" s="422"/>
    </row>
    <row r="10892" spans="191:191" x14ac:dyDescent="0.2">
      <c r="GI10892" s="422"/>
    </row>
    <row r="10893" spans="191:191" x14ac:dyDescent="0.2">
      <c r="GI10893" s="422"/>
    </row>
    <row r="10894" spans="191:191" x14ac:dyDescent="0.2">
      <c r="GI10894" s="422"/>
    </row>
    <row r="10895" spans="191:191" x14ac:dyDescent="0.2">
      <c r="GI10895" s="422"/>
    </row>
    <row r="10896" spans="191:191" x14ac:dyDescent="0.2">
      <c r="GI10896" s="422"/>
    </row>
    <row r="10897" spans="191:191" x14ac:dyDescent="0.2">
      <c r="GI10897" s="422"/>
    </row>
    <row r="10898" spans="191:191" x14ac:dyDescent="0.2">
      <c r="GI10898" s="422"/>
    </row>
    <row r="10899" spans="191:191" x14ac:dyDescent="0.2">
      <c r="GI10899" s="422"/>
    </row>
    <row r="10900" spans="191:191" x14ac:dyDescent="0.2">
      <c r="GI10900" s="422"/>
    </row>
    <row r="10901" spans="191:191" x14ac:dyDescent="0.2">
      <c r="GI10901" s="422"/>
    </row>
    <row r="10902" spans="191:191" x14ac:dyDescent="0.2">
      <c r="GI10902" s="422"/>
    </row>
    <row r="10903" spans="191:191" x14ac:dyDescent="0.2">
      <c r="GI10903" s="422"/>
    </row>
    <row r="10904" spans="191:191" x14ac:dyDescent="0.2">
      <c r="GI10904" s="422"/>
    </row>
    <row r="10905" spans="191:191" x14ac:dyDescent="0.2">
      <c r="GI10905" s="422"/>
    </row>
    <row r="10906" spans="191:191" x14ac:dyDescent="0.2">
      <c r="GI10906" s="422"/>
    </row>
    <row r="10907" spans="191:191" x14ac:dyDescent="0.2">
      <c r="GI10907" s="422"/>
    </row>
    <row r="10908" spans="191:191" x14ac:dyDescent="0.2">
      <c r="GI10908" s="422"/>
    </row>
    <row r="10909" spans="191:191" x14ac:dyDescent="0.2">
      <c r="GI10909" s="422"/>
    </row>
    <row r="10910" spans="191:191" x14ac:dyDescent="0.2">
      <c r="GI10910" s="422"/>
    </row>
    <row r="10911" spans="191:191" x14ac:dyDescent="0.2">
      <c r="GI10911" s="422"/>
    </row>
    <row r="10912" spans="191:191" x14ac:dyDescent="0.2">
      <c r="GI10912" s="422"/>
    </row>
    <row r="10913" spans="191:191" x14ac:dyDescent="0.2">
      <c r="GI10913" s="422"/>
    </row>
    <row r="10914" spans="191:191" x14ac:dyDescent="0.2">
      <c r="GI10914" s="422"/>
    </row>
    <row r="10915" spans="191:191" x14ac:dyDescent="0.2">
      <c r="GI10915" s="422"/>
    </row>
    <row r="10916" spans="191:191" x14ac:dyDescent="0.2">
      <c r="GI10916" s="422"/>
    </row>
    <row r="10917" spans="191:191" x14ac:dyDescent="0.2">
      <c r="GI10917" s="422"/>
    </row>
    <row r="10918" spans="191:191" x14ac:dyDescent="0.2">
      <c r="GI10918" s="422"/>
    </row>
    <row r="10919" spans="191:191" x14ac:dyDescent="0.2">
      <c r="GI10919" s="422"/>
    </row>
    <row r="10920" spans="191:191" x14ac:dyDescent="0.2">
      <c r="GI10920" s="422"/>
    </row>
    <row r="10921" spans="191:191" x14ac:dyDescent="0.2">
      <c r="GI10921" s="422"/>
    </row>
    <row r="10922" spans="191:191" x14ac:dyDescent="0.2">
      <c r="GI10922" s="422"/>
    </row>
    <row r="10923" spans="191:191" x14ac:dyDescent="0.2">
      <c r="GI10923" s="422"/>
    </row>
    <row r="10924" spans="191:191" x14ac:dyDescent="0.2">
      <c r="GI10924" s="422"/>
    </row>
    <row r="10925" spans="191:191" x14ac:dyDescent="0.2">
      <c r="GI10925" s="422"/>
    </row>
    <row r="10926" spans="191:191" x14ac:dyDescent="0.2">
      <c r="GI10926" s="422"/>
    </row>
    <row r="10927" spans="191:191" x14ac:dyDescent="0.2">
      <c r="GI10927" s="422"/>
    </row>
    <row r="10928" spans="191:191" x14ac:dyDescent="0.2">
      <c r="GI10928" s="422"/>
    </row>
    <row r="10929" spans="191:191" x14ac:dyDescent="0.2">
      <c r="GI10929" s="422"/>
    </row>
    <row r="10930" spans="191:191" x14ac:dyDescent="0.2">
      <c r="GI10930" s="422"/>
    </row>
    <row r="10931" spans="191:191" x14ac:dyDescent="0.2">
      <c r="GI10931" s="422"/>
    </row>
    <row r="10932" spans="191:191" x14ac:dyDescent="0.2">
      <c r="GI10932" s="422"/>
    </row>
    <row r="10933" spans="191:191" x14ac:dyDescent="0.2">
      <c r="GI10933" s="422"/>
    </row>
    <row r="10934" spans="191:191" x14ac:dyDescent="0.2">
      <c r="GI10934" s="422"/>
    </row>
    <row r="10935" spans="191:191" x14ac:dyDescent="0.2">
      <c r="GI10935" s="422"/>
    </row>
    <row r="10936" spans="191:191" x14ac:dyDescent="0.2">
      <c r="GI10936" s="422"/>
    </row>
    <row r="10937" spans="191:191" x14ac:dyDescent="0.2">
      <c r="GI10937" s="422"/>
    </row>
    <row r="10938" spans="191:191" x14ac:dyDescent="0.2">
      <c r="GI10938" s="422"/>
    </row>
    <row r="10939" spans="191:191" x14ac:dyDescent="0.2">
      <c r="GI10939" s="422"/>
    </row>
    <row r="10940" spans="191:191" x14ac:dyDescent="0.2">
      <c r="GI10940" s="422"/>
    </row>
    <row r="10941" spans="191:191" x14ac:dyDescent="0.2">
      <c r="GI10941" s="422"/>
    </row>
    <row r="10942" spans="191:191" x14ac:dyDescent="0.2">
      <c r="GI10942" s="422"/>
    </row>
    <row r="10943" spans="191:191" x14ac:dyDescent="0.2">
      <c r="GI10943" s="422"/>
    </row>
    <row r="10944" spans="191:191" x14ac:dyDescent="0.2">
      <c r="GI10944" s="422"/>
    </row>
    <row r="10945" spans="191:191" x14ac:dyDescent="0.2">
      <c r="GI10945" s="422"/>
    </row>
    <row r="10946" spans="191:191" x14ac:dyDescent="0.2">
      <c r="GI10946" s="422"/>
    </row>
    <row r="10947" spans="191:191" x14ac:dyDescent="0.2">
      <c r="GI10947" s="422"/>
    </row>
    <row r="10948" spans="191:191" x14ac:dyDescent="0.2">
      <c r="GI10948" s="422"/>
    </row>
    <row r="10949" spans="191:191" x14ac:dyDescent="0.2">
      <c r="GI10949" s="422"/>
    </row>
    <row r="10950" spans="191:191" x14ac:dyDescent="0.2">
      <c r="GI10950" s="422"/>
    </row>
    <row r="10951" spans="191:191" x14ac:dyDescent="0.2">
      <c r="GI10951" s="422"/>
    </row>
    <row r="10952" spans="191:191" x14ac:dyDescent="0.2">
      <c r="GI10952" s="422"/>
    </row>
    <row r="10953" spans="191:191" x14ac:dyDescent="0.2">
      <c r="GI10953" s="422"/>
    </row>
    <row r="10954" spans="191:191" x14ac:dyDescent="0.2">
      <c r="GI10954" s="422"/>
    </row>
    <row r="10955" spans="191:191" x14ac:dyDescent="0.2">
      <c r="GI10955" s="422"/>
    </row>
    <row r="10956" spans="191:191" x14ac:dyDescent="0.2">
      <c r="GI10956" s="422"/>
    </row>
    <row r="10957" spans="191:191" x14ac:dyDescent="0.2">
      <c r="GI10957" s="422"/>
    </row>
    <row r="10958" spans="191:191" x14ac:dyDescent="0.2">
      <c r="GI10958" s="422"/>
    </row>
    <row r="10959" spans="191:191" x14ac:dyDescent="0.2">
      <c r="GI10959" s="422"/>
    </row>
    <row r="10960" spans="191:191" x14ac:dyDescent="0.2">
      <c r="GI10960" s="422"/>
    </row>
    <row r="10961" spans="191:191" x14ac:dyDescent="0.2">
      <c r="GI10961" s="422"/>
    </row>
    <row r="10962" spans="191:191" x14ac:dyDescent="0.2">
      <c r="GI10962" s="422"/>
    </row>
    <row r="10963" spans="191:191" x14ac:dyDescent="0.2">
      <c r="GI10963" s="422"/>
    </row>
    <row r="10964" spans="191:191" x14ac:dyDescent="0.2">
      <c r="GI10964" s="422"/>
    </row>
    <row r="10965" spans="191:191" x14ac:dyDescent="0.2">
      <c r="GI10965" s="422"/>
    </row>
    <row r="10966" spans="191:191" x14ac:dyDescent="0.2">
      <c r="GI10966" s="422"/>
    </row>
    <row r="10967" spans="191:191" x14ac:dyDescent="0.2">
      <c r="GI10967" s="422"/>
    </row>
    <row r="10968" spans="191:191" x14ac:dyDescent="0.2">
      <c r="GI10968" s="422"/>
    </row>
    <row r="10969" spans="191:191" x14ac:dyDescent="0.2">
      <c r="GI10969" s="422"/>
    </row>
    <row r="10970" spans="191:191" x14ac:dyDescent="0.2">
      <c r="GI10970" s="422"/>
    </row>
    <row r="10971" spans="191:191" x14ac:dyDescent="0.2">
      <c r="GI10971" s="422"/>
    </row>
    <row r="10972" spans="191:191" x14ac:dyDescent="0.2">
      <c r="GI10972" s="422"/>
    </row>
    <row r="10973" spans="191:191" x14ac:dyDescent="0.2">
      <c r="GI10973" s="422"/>
    </row>
    <row r="10974" spans="191:191" x14ac:dyDescent="0.2">
      <c r="GI10974" s="422"/>
    </row>
    <row r="10975" spans="191:191" x14ac:dyDescent="0.2">
      <c r="GI10975" s="422"/>
    </row>
    <row r="10976" spans="191:191" x14ac:dyDescent="0.2">
      <c r="GI10976" s="422"/>
    </row>
    <row r="10977" spans="191:191" x14ac:dyDescent="0.2">
      <c r="GI10977" s="422"/>
    </row>
    <row r="10978" spans="191:191" x14ac:dyDescent="0.2">
      <c r="GI10978" s="422"/>
    </row>
    <row r="10979" spans="191:191" x14ac:dyDescent="0.2">
      <c r="GI10979" s="422"/>
    </row>
    <row r="10980" spans="191:191" x14ac:dyDescent="0.2">
      <c r="GI10980" s="422"/>
    </row>
    <row r="10981" spans="191:191" x14ac:dyDescent="0.2">
      <c r="GI10981" s="422"/>
    </row>
    <row r="10982" spans="191:191" x14ac:dyDescent="0.2">
      <c r="GI10982" s="422"/>
    </row>
    <row r="10983" spans="191:191" x14ac:dyDescent="0.2">
      <c r="GI10983" s="422"/>
    </row>
    <row r="10984" spans="191:191" x14ac:dyDescent="0.2">
      <c r="GI10984" s="422"/>
    </row>
    <row r="10985" spans="191:191" x14ac:dyDescent="0.2">
      <c r="GI10985" s="422"/>
    </row>
    <row r="10986" spans="191:191" x14ac:dyDescent="0.2">
      <c r="GI10986" s="422"/>
    </row>
    <row r="10987" spans="191:191" x14ac:dyDescent="0.2">
      <c r="GI10987" s="422"/>
    </row>
    <row r="10988" spans="191:191" x14ac:dyDescent="0.2">
      <c r="GI10988" s="422"/>
    </row>
    <row r="10989" spans="191:191" x14ac:dyDescent="0.2">
      <c r="GI10989" s="422"/>
    </row>
    <row r="10990" spans="191:191" x14ac:dyDescent="0.2">
      <c r="GI10990" s="422"/>
    </row>
    <row r="10991" spans="191:191" x14ac:dyDescent="0.2">
      <c r="GI10991" s="422"/>
    </row>
    <row r="10992" spans="191:191" x14ac:dyDescent="0.2">
      <c r="GI10992" s="422"/>
    </row>
    <row r="10993" spans="191:191" x14ac:dyDescent="0.2">
      <c r="GI10993" s="422"/>
    </row>
    <row r="10994" spans="191:191" x14ac:dyDescent="0.2">
      <c r="GI10994" s="422"/>
    </row>
    <row r="10995" spans="191:191" x14ac:dyDescent="0.2">
      <c r="GI10995" s="422"/>
    </row>
    <row r="10996" spans="191:191" x14ac:dyDescent="0.2">
      <c r="GI10996" s="422"/>
    </row>
    <row r="10997" spans="191:191" x14ac:dyDescent="0.2">
      <c r="GI10997" s="422"/>
    </row>
    <row r="10998" spans="191:191" x14ac:dyDescent="0.2">
      <c r="GI10998" s="422"/>
    </row>
    <row r="10999" spans="191:191" x14ac:dyDescent="0.2">
      <c r="GI10999" s="422"/>
    </row>
    <row r="11000" spans="191:191" x14ac:dyDescent="0.2">
      <c r="GI11000" s="422"/>
    </row>
    <row r="11001" spans="191:191" x14ac:dyDescent="0.2">
      <c r="GI11001" s="422"/>
    </row>
    <row r="11002" spans="191:191" x14ac:dyDescent="0.2">
      <c r="GI11002" s="422"/>
    </row>
    <row r="11003" spans="191:191" x14ac:dyDescent="0.2">
      <c r="GI11003" s="422"/>
    </row>
    <row r="11004" spans="191:191" x14ac:dyDescent="0.2">
      <c r="GI11004" s="422"/>
    </row>
    <row r="11005" spans="191:191" x14ac:dyDescent="0.2">
      <c r="GI11005" s="422"/>
    </row>
    <row r="11006" spans="191:191" x14ac:dyDescent="0.2">
      <c r="GI11006" s="422"/>
    </row>
    <row r="11007" spans="191:191" x14ac:dyDescent="0.2">
      <c r="GI11007" s="422"/>
    </row>
    <row r="11008" spans="191:191" x14ac:dyDescent="0.2">
      <c r="GI11008" s="422"/>
    </row>
    <row r="11009" spans="191:191" x14ac:dyDescent="0.2">
      <c r="GI11009" s="422"/>
    </row>
    <row r="11010" spans="191:191" x14ac:dyDescent="0.2">
      <c r="GI11010" s="422"/>
    </row>
    <row r="11011" spans="191:191" x14ac:dyDescent="0.2">
      <c r="GI11011" s="422"/>
    </row>
    <row r="11012" spans="191:191" x14ac:dyDescent="0.2">
      <c r="GI11012" s="422"/>
    </row>
    <row r="11013" spans="191:191" x14ac:dyDescent="0.2">
      <c r="GI11013" s="422"/>
    </row>
    <row r="11014" spans="191:191" x14ac:dyDescent="0.2">
      <c r="GI11014" s="422"/>
    </row>
    <row r="11015" spans="191:191" x14ac:dyDescent="0.2">
      <c r="GI11015" s="422"/>
    </row>
    <row r="11016" spans="191:191" x14ac:dyDescent="0.2">
      <c r="GI11016" s="422"/>
    </row>
    <row r="11017" spans="191:191" x14ac:dyDescent="0.2">
      <c r="GI11017" s="422"/>
    </row>
    <row r="11018" spans="191:191" x14ac:dyDescent="0.2">
      <c r="GI11018" s="422"/>
    </row>
    <row r="11019" spans="191:191" x14ac:dyDescent="0.2">
      <c r="GI11019" s="422"/>
    </row>
    <row r="11020" spans="191:191" x14ac:dyDescent="0.2">
      <c r="GI11020" s="422"/>
    </row>
    <row r="11021" spans="191:191" x14ac:dyDescent="0.2">
      <c r="GI11021" s="422"/>
    </row>
    <row r="11022" spans="191:191" x14ac:dyDescent="0.2">
      <c r="GI11022" s="422"/>
    </row>
    <row r="11023" spans="191:191" x14ac:dyDescent="0.2">
      <c r="GI11023" s="422"/>
    </row>
    <row r="11024" spans="191:191" x14ac:dyDescent="0.2">
      <c r="GI11024" s="422"/>
    </row>
    <row r="11025" spans="191:191" x14ac:dyDescent="0.2">
      <c r="GI11025" s="422"/>
    </row>
    <row r="11026" spans="191:191" x14ac:dyDescent="0.2">
      <c r="GI11026" s="422"/>
    </row>
    <row r="11027" spans="191:191" x14ac:dyDescent="0.2">
      <c r="GI11027" s="422"/>
    </row>
    <row r="11028" spans="191:191" x14ac:dyDescent="0.2">
      <c r="GI11028" s="422"/>
    </row>
    <row r="11029" spans="191:191" x14ac:dyDescent="0.2">
      <c r="GI11029" s="422"/>
    </row>
    <row r="11030" spans="191:191" x14ac:dyDescent="0.2">
      <c r="GI11030" s="422"/>
    </row>
    <row r="11031" spans="191:191" x14ac:dyDescent="0.2">
      <c r="GI11031" s="422"/>
    </row>
    <row r="11032" spans="191:191" x14ac:dyDescent="0.2">
      <c r="GI11032" s="422"/>
    </row>
    <row r="11033" spans="191:191" x14ac:dyDescent="0.2">
      <c r="GI11033" s="422"/>
    </row>
    <row r="11034" spans="191:191" x14ac:dyDescent="0.2">
      <c r="GI11034" s="422"/>
    </row>
    <row r="11035" spans="191:191" x14ac:dyDescent="0.2">
      <c r="GI11035" s="422"/>
    </row>
    <row r="11036" spans="191:191" x14ac:dyDescent="0.2">
      <c r="GI11036" s="422"/>
    </row>
    <row r="11037" spans="191:191" x14ac:dyDescent="0.2">
      <c r="GI11037" s="422"/>
    </row>
    <row r="11038" spans="191:191" x14ac:dyDescent="0.2">
      <c r="GI11038" s="422"/>
    </row>
    <row r="11039" spans="191:191" x14ac:dyDescent="0.2">
      <c r="GI11039" s="422"/>
    </row>
    <row r="11040" spans="191:191" x14ac:dyDescent="0.2">
      <c r="GI11040" s="422"/>
    </row>
    <row r="11041" spans="191:191" x14ac:dyDescent="0.2">
      <c r="GI11041" s="422"/>
    </row>
    <row r="11042" spans="191:191" x14ac:dyDescent="0.2">
      <c r="GI11042" s="422"/>
    </row>
    <row r="11043" spans="191:191" x14ac:dyDescent="0.2">
      <c r="GI11043" s="422"/>
    </row>
    <row r="11044" spans="191:191" x14ac:dyDescent="0.2">
      <c r="GI11044" s="422"/>
    </row>
    <row r="11045" spans="191:191" x14ac:dyDescent="0.2">
      <c r="GI11045" s="422"/>
    </row>
    <row r="11046" spans="191:191" x14ac:dyDescent="0.2">
      <c r="GI11046" s="422"/>
    </row>
    <row r="11047" spans="191:191" x14ac:dyDescent="0.2">
      <c r="GI11047" s="422"/>
    </row>
    <row r="11048" spans="191:191" x14ac:dyDescent="0.2">
      <c r="GI11048" s="422"/>
    </row>
    <row r="11049" spans="191:191" x14ac:dyDescent="0.2">
      <c r="GI11049" s="422"/>
    </row>
    <row r="11050" spans="191:191" x14ac:dyDescent="0.2">
      <c r="GI11050" s="422"/>
    </row>
    <row r="11051" spans="191:191" x14ac:dyDescent="0.2">
      <c r="GI11051" s="422"/>
    </row>
    <row r="11052" spans="191:191" x14ac:dyDescent="0.2">
      <c r="GI11052" s="422"/>
    </row>
    <row r="11053" spans="191:191" x14ac:dyDescent="0.2">
      <c r="GI11053" s="422"/>
    </row>
    <row r="11054" spans="191:191" x14ac:dyDescent="0.2">
      <c r="GI11054" s="422"/>
    </row>
    <row r="11055" spans="191:191" x14ac:dyDescent="0.2">
      <c r="GI11055" s="422"/>
    </row>
    <row r="11056" spans="191:191" x14ac:dyDescent="0.2">
      <c r="GI11056" s="422"/>
    </row>
    <row r="11057" spans="191:191" x14ac:dyDescent="0.2">
      <c r="GI11057" s="422"/>
    </row>
    <row r="11058" spans="191:191" x14ac:dyDescent="0.2">
      <c r="GI11058" s="422"/>
    </row>
    <row r="11059" spans="191:191" x14ac:dyDescent="0.2">
      <c r="GI11059" s="422"/>
    </row>
    <row r="11060" spans="191:191" x14ac:dyDescent="0.2">
      <c r="GI11060" s="422"/>
    </row>
    <row r="11061" spans="191:191" x14ac:dyDescent="0.2">
      <c r="GI11061" s="422"/>
    </row>
    <row r="11062" spans="191:191" x14ac:dyDescent="0.2">
      <c r="GI11062" s="422"/>
    </row>
    <row r="11063" spans="191:191" x14ac:dyDescent="0.2">
      <c r="GI11063" s="422"/>
    </row>
    <row r="11064" spans="191:191" x14ac:dyDescent="0.2">
      <c r="GI11064" s="422"/>
    </row>
    <row r="11065" spans="191:191" x14ac:dyDescent="0.2">
      <c r="GI11065" s="422"/>
    </row>
    <row r="11066" spans="191:191" x14ac:dyDescent="0.2">
      <c r="GI11066" s="422"/>
    </row>
    <row r="11067" spans="191:191" x14ac:dyDescent="0.2">
      <c r="GI11067" s="422"/>
    </row>
    <row r="11068" spans="191:191" x14ac:dyDescent="0.2">
      <c r="GI11068" s="422"/>
    </row>
    <row r="11069" spans="191:191" x14ac:dyDescent="0.2">
      <c r="GI11069" s="422"/>
    </row>
    <row r="11070" spans="191:191" x14ac:dyDescent="0.2">
      <c r="GI11070" s="422"/>
    </row>
    <row r="11071" spans="191:191" x14ac:dyDescent="0.2">
      <c r="GI11071" s="422"/>
    </row>
    <row r="11072" spans="191:191" x14ac:dyDescent="0.2">
      <c r="GI11072" s="422"/>
    </row>
    <row r="11073" spans="191:191" x14ac:dyDescent="0.2">
      <c r="GI11073" s="422"/>
    </row>
    <row r="11074" spans="191:191" x14ac:dyDescent="0.2">
      <c r="GI11074" s="422"/>
    </row>
    <row r="11075" spans="191:191" x14ac:dyDescent="0.2">
      <c r="GI11075" s="422"/>
    </row>
    <row r="11076" spans="191:191" x14ac:dyDescent="0.2">
      <c r="GI11076" s="422"/>
    </row>
    <row r="11077" spans="191:191" x14ac:dyDescent="0.2">
      <c r="GI11077" s="422"/>
    </row>
    <row r="11078" spans="191:191" x14ac:dyDescent="0.2">
      <c r="GI11078" s="422"/>
    </row>
    <row r="11079" spans="191:191" x14ac:dyDescent="0.2">
      <c r="GI11079" s="422"/>
    </row>
    <row r="11080" spans="191:191" x14ac:dyDescent="0.2">
      <c r="GI11080" s="422"/>
    </row>
    <row r="11081" spans="191:191" x14ac:dyDescent="0.2">
      <c r="GI11081" s="422"/>
    </row>
    <row r="11082" spans="191:191" x14ac:dyDescent="0.2">
      <c r="GI11082" s="422"/>
    </row>
    <row r="11083" spans="191:191" x14ac:dyDescent="0.2">
      <c r="GI11083" s="422"/>
    </row>
    <row r="11084" spans="191:191" x14ac:dyDescent="0.2">
      <c r="GI11084" s="422"/>
    </row>
    <row r="11085" spans="191:191" x14ac:dyDescent="0.2">
      <c r="GI11085" s="422"/>
    </row>
    <row r="11086" spans="191:191" x14ac:dyDescent="0.2">
      <c r="GI11086" s="422"/>
    </row>
    <row r="11087" spans="191:191" x14ac:dyDescent="0.2">
      <c r="GI11087" s="422"/>
    </row>
    <row r="11088" spans="191:191" x14ac:dyDescent="0.2">
      <c r="GI11088" s="422"/>
    </row>
    <row r="11089" spans="191:191" x14ac:dyDescent="0.2">
      <c r="GI11089" s="422"/>
    </row>
    <row r="11090" spans="191:191" x14ac:dyDescent="0.2">
      <c r="GI11090" s="422"/>
    </row>
    <row r="11091" spans="191:191" x14ac:dyDescent="0.2">
      <c r="GI11091" s="422"/>
    </row>
    <row r="11092" spans="191:191" x14ac:dyDescent="0.2">
      <c r="GI11092" s="422"/>
    </row>
    <row r="11093" spans="191:191" x14ac:dyDescent="0.2">
      <c r="GI11093" s="422"/>
    </row>
    <row r="11094" spans="191:191" x14ac:dyDescent="0.2">
      <c r="GI11094" s="422"/>
    </row>
    <row r="11095" spans="191:191" x14ac:dyDescent="0.2">
      <c r="GI11095" s="422"/>
    </row>
    <row r="11096" spans="191:191" x14ac:dyDescent="0.2">
      <c r="GI11096" s="422"/>
    </row>
    <row r="11097" spans="191:191" x14ac:dyDescent="0.2">
      <c r="GI11097" s="422"/>
    </row>
    <row r="11098" spans="191:191" x14ac:dyDescent="0.2">
      <c r="GI11098" s="422"/>
    </row>
    <row r="11099" spans="191:191" x14ac:dyDescent="0.2">
      <c r="GI11099" s="422"/>
    </row>
    <row r="11100" spans="191:191" x14ac:dyDescent="0.2">
      <c r="GI11100" s="422"/>
    </row>
    <row r="11101" spans="191:191" x14ac:dyDescent="0.2">
      <c r="GI11101" s="422"/>
    </row>
    <row r="11102" spans="191:191" x14ac:dyDescent="0.2">
      <c r="GI11102" s="422"/>
    </row>
    <row r="11103" spans="191:191" x14ac:dyDescent="0.2">
      <c r="GI11103" s="422"/>
    </row>
    <row r="11104" spans="191:191" x14ac:dyDescent="0.2">
      <c r="GI11104" s="422"/>
    </row>
    <row r="11105" spans="191:191" x14ac:dyDescent="0.2">
      <c r="GI11105" s="422"/>
    </row>
    <row r="11106" spans="191:191" x14ac:dyDescent="0.2">
      <c r="GI11106" s="422"/>
    </row>
    <row r="11107" spans="191:191" x14ac:dyDescent="0.2">
      <c r="GI11107" s="422"/>
    </row>
    <row r="11108" spans="191:191" x14ac:dyDescent="0.2">
      <c r="GI11108" s="422"/>
    </row>
    <row r="11109" spans="191:191" x14ac:dyDescent="0.2">
      <c r="GI11109" s="422"/>
    </row>
    <row r="11110" spans="191:191" x14ac:dyDescent="0.2">
      <c r="GI11110" s="422"/>
    </row>
    <row r="11111" spans="191:191" x14ac:dyDescent="0.2">
      <c r="GI11111" s="422"/>
    </row>
    <row r="11112" spans="191:191" x14ac:dyDescent="0.2">
      <c r="GI11112" s="422"/>
    </row>
    <row r="11113" spans="191:191" x14ac:dyDescent="0.2">
      <c r="GI11113" s="422"/>
    </row>
    <row r="11114" spans="191:191" x14ac:dyDescent="0.2">
      <c r="GI11114" s="422"/>
    </row>
    <row r="11115" spans="191:191" x14ac:dyDescent="0.2">
      <c r="GI11115" s="422"/>
    </row>
    <row r="11116" spans="191:191" x14ac:dyDescent="0.2">
      <c r="GI11116" s="422"/>
    </row>
    <row r="11117" spans="191:191" x14ac:dyDescent="0.2">
      <c r="GI11117" s="422"/>
    </row>
    <row r="11118" spans="191:191" x14ac:dyDescent="0.2">
      <c r="GI11118" s="422"/>
    </row>
    <row r="11119" spans="191:191" x14ac:dyDescent="0.2">
      <c r="GI11119" s="422"/>
    </row>
    <row r="11120" spans="191:191" x14ac:dyDescent="0.2">
      <c r="GI11120" s="422"/>
    </row>
    <row r="11121" spans="191:191" x14ac:dyDescent="0.2">
      <c r="GI11121" s="422"/>
    </row>
    <row r="11122" spans="191:191" x14ac:dyDescent="0.2">
      <c r="GI11122" s="422"/>
    </row>
    <row r="11123" spans="191:191" x14ac:dyDescent="0.2">
      <c r="GI11123" s="422"/>
    </row>
    <row r="11124" spans="191:191" x14ac:dyDescent="0.2">
      <c r="GI11124" s="422"/>
    </row>
    <row r="11125" spans="191:191" x14ac:dyDescent="0.2">
      <c r="GI11125" s="422"/>
    </row>
    <row r="11126" spans="191:191" x14ac:dyDescent="0.2">
      <c r="GI11126" s="422"/>
    </row>
    <row r="11127" spans="191:191" x14ac:dyDescent="0.2">
      <c r="GI11127" s="422"/>
    </row>
    <row r="11128" spans="191:191" x14ac:dyDescent="0.2">
      <c r="GI11128" s="422"/>
    </row>
    <row r="11129" spans="191:191" x14ac:dyDescent="0.2">
      <c r="GI11129" s="422"/>
    </row>
    <row r="11130" spans="191:191" x14ac:dyDescent="0.2">
      <c r="GI11130" s="422"/>
    </row>
    <row r="11131" spans="191:191" x14ac:dyDescent="0.2">
      <c r="GI11131" s="422"/>
    </row>
    <row r="11132" spans="191:191" x14ac:dyDescent="0.2">
      <c r="GI11132" s="422"/>
    </row>
    <row r="11133" spans="191:191" x14ac:dyDescent="0.2">
      <c r="GI11133" s="422"/>
    </row>
    <row r="11134" spans="191:191" x14ac:dyDescent="0.2">
      <c r="GI11134" s="422"/>
    </row>
    <row r="11135" spans="191:191" x14ac:dyDescent="0.2">
      <c r="GI11135" s="422"/>
    </row>
    <row r="11136" spans="191:191" x14ac:dyDescent="0.2">
      <c r="GI11136" s="422"/>
    </row>
    <row r="11137" spans="191:191" x14ac:dyDescent="0.2">
      <c r="GI11137" s="422"/>
    </row>
    <row r="11138" spans="191:191" x14ac:dyDescent="0.2">
      <c r="GI11138" s="422"/>
    </row>
    <row r="11139" spans="191:191" x14ac:dyDescent="0.2">
      <c r="GI11139" s="422"/>
    </row>
    <row r="11140" spans="191:191" x14ac:dyDescent="0.2">
      <c r="GI11140" s="422"/>
    </row>
    <row r="11141" spans="191:191" x14ac:dyDescent="0.2">
      <c r="GI11141" s="422"/>
    </row>
    <row r="11142" spans="191:191" x14ac:dyDescent="0.2">
      <c r="GI11142" s="422"/>
    </row>
    <row r="11143" spans="191:191" x14ac:dyDescent="0.2">
      <c r="GI11143" s="422"/>
    </row>
    <row r="11144" spans="191:191" x14ac:dyDescent="0.2">
      <c r="GI11144" s="422"/>
    </row>
    <row r="11145" spans="191:191" x14ac:dyDescent="0.2">
      <c r="GI11145" s="422"/>
    </row>
    <row r="11146" spans="191:191" x14ac:dyDescent="0.2">
      <c r="GI11146" s="422"/>
    </row>
    <row r="11147" spans="191:191" x14ac:dyDescent="0.2">
      <c r="GI11147" s="422"/>
    </row>
    <row r="11148" spans="191:191" x14ac:dyDescent="0.2">
      <c r="GI11148" s="422"/>
    </row>
    <row r="11149" spans="191:191" x14ac:dyDescent="0.2">
      <c r="GI11149" s="422"/>
    </row>
    <row r="11150" spans="191:191" x14ac:dyDescent="0.2">
      <c r="GI11150" s="422"/>
    </row>
    <row r="11151" spans="191:191" x14ac:dyDescent="0.2">
      <c r="GI11151" s="422"/>
    </row>
    <row r="11152" spans="191:191" x14ac:dyDescent="0.2">
      <c r="GI11152" s="422"/>
    </row>
    <row r="11153" spans="191:191" x14ac:dyDescent="0.2">
      <c r="GI11153" s="422"/>
    </row>
    <row r="11154" spans="191:191" x14ac:dyDescent="0.2">
      <c r="GI11154" s="422"/>
    </row>
    <row r="11155" spans="191:191" x14ac:dyDescent="0.2">
      <c r="GI11155" s="422"/>
    </row>
    <row r="11156" spans="191:191" x14ac:dyDescent="0.2">
      <c r="GI11156" s="422"/>
    </row>
    <row r="11157" spans="191:191" x14ac:dyDescent="0.2">
      <c r="GI11157" s="422"/>
    </row>
    <row r="11158" spans="191:191" x14ac:dyDescent="0.2">
      <c r="GI11158" s="422"/>
    </row>
    <row r="11159" spans="191:191" x14ac:dyDescent="0.2">
      <c r="GI11159" s="422"/>
    </row>
    <row r="11160" spans="191:191" x14ac:dyDescent="0.2">
      <c r="GI11160" s="422"/>
    </row>
    <row r="11161" spans="191:191" x14ac:dyDescent="0.2">
      <c r="GI11161" s="422"/>
    </row>
    <row r="11162" spans="191:191" x14ac:dyDescent="0.2">
      <c r="GI11162" s="422"/>
    </row>
    <row r="11163" spans="191:191" x14ac:dyDescent="0.2">
      <c r="GI11163" s="422"/>
    </row>
    <row r="11164" spans="191:191" x14ac:dyDescent="0.2">
      <c r="GI11164" s="422"/>
    </row>
    <row r="11165" spans="191:191" x14ac:dyDescent="0.2">
      <c r="GI11165" s="422"/>
    </row>
    <row r="11166" spans="191:191" x14ac:dyDescent="0.2">
      <c r="GI11166" s="422"/>
    </row>
    <row r="11167" spans="191:191" x14ac:dyDescent="0.2">
      <c r="GI11167" s="422"/>
    </row>
    <row r="11168" spans="191:191" x14ac:dyDescent="0.2">
      <c r="GI11168" s="422"/>
    </row>
    <row r="11169" spans="191:191" x14ac:dyDescent="0.2">
      <c r="GI11169" s="422"/>
    </row>
    <row r="11170" spans="191:191" x14ac:dyDescent="0.2">
      <c r="GI11170" s="422"/>
    </row>
    <row r="11171" spans="191:191" x14ac:dyDescent="0.2">
      <c r="GI11171" s="422"/>
    </row>
    <row r="11172" spans="191:191" x14ac:dyDescent="0.2">
      <c r="GI11172" s="422"/>
    </row>
    <row r="11173" spans="191:191" x14ac:dyDescent="0.2">
      <c r="GI11173" s="422"/>
    </row>
    <row r="11174" spans="191:191" x14ac:dyDescent="0.2">
      <c r="GI11174" s="422"/>
    </row>
    <row r="11175" spans="191:191" x14ac:dyDescent="0.2">
      <c r="GI11175" s="422"/>
    </row>
    <row r="11176" spans="191:191" x14ac:dyDescent="0.2">
      <c r="GI11176" s="422"/>
    </row>
    <row r="11177" spans="191:191" x14ac:dyDescent="0.2">
      <c r="GI11177" s="422"/>
    </row>
    <row r="11178" spans="191:191" x14ac:dyDescent="0.2">
      <c r="GI11178" s="422"/>
    </row>
    <row r="11179" spans="191:191" x14ac:dyDescent="0.2">
      <c r="GI11179" s="422"/>
    </row>
    <row r="11180" spans="191:191" x14ac:dyDescent="0.2">
      <c r="GI11180" s="422"/>
    </row>
    <row r="11181" spans="191:191" x14ac:dyDescent="0.2">
      <c r="GI11181" s="422"/>
    </row>
    <row r="11182" spans="191:191" x14ac:dyDescent="0.2">
      <c r="GI11182" s="422"/>
    </row>
    <row r="11183" spans="191:191" x14ac:dyDescent="0.2">
      <c r="GI11183" s="422"/>
    </row>
    <row r="11184" spans="191:191" x14ac:dyDescent="0.2">
      <c r="GI11184" s="422"/>
    </row>
    <row r="11185" spans="191:191" x14ac:dyDescent="0.2">
      <c r="GI11185" s="422"/>
    </row>
    <row r="11186" spans="191:191" x14ac:dyDescent="0.2">
      <c r="GI11186" s="422"/>
    </row>
    <row r="11187" spans="191:191" x14ac:dyDescent="0.2">
      <c r="GI11187" s="422"/>
    </row>
    <row r="11188" spans="191:191" x14ac:dyDescent="0.2">
      <c r="GI11188" s="422"/>
    </row>
    <row r="11189" spans="191:191" x14ac:dyDescent="0.2">
      <c r="GI11189" s="422"/>
    </row>
    <row r="11190" spans="191:191" x14ac:dyDescent="0.2">
      <c r="GI11190" s="422"/>
    </row>
    <row r="11191" spans="191:191" x14ac:dyDescent="0.2">
      <c r="GI11191" s="422"/>
    </row>
    <row r="11192" spans="191:191" x14ac:dyDescent="0.2">
      <c r="GI11192" s="422"/>
    </row>
    <row r="11193" spans="191:191" x14ac:dyDescent="0.2">
      <c r="GI11193" s="422"/>
    </row>
    <row r="11194" spans="191:191" x14ac:dyDescent="0.2">
      <c r="GI11194" s="422"/>
    </row>
    <row r="11195" spans="191:191" x14ac:dyDescent="0.2">
      <c r="GI11195" s="422"/>
    </row>
    <row r="11196" spans="191:191" x14ac:dyDescent="0.2">
      <c r="GI11196" s="422"/>
    </row>
    <row r="11197" spans="191:191" x14ac:dyDescent="0.2">
      <c r="GI11197" s="422"/>
    </row>
    <row r="11198" spans="191:191" x14ac:dyDescent="0.2">
      <c r="GI11198" s="422"/>
    </row>
    <row r="11199" spans="191:191" x14ac:dyDescent="0.2">
      <c r="GI11199" s="422"/>
    </row>
    <row r="11200" spans="191:191" x14ac:dyDescent="0.2">
      <c r="GI11200" s="422"/>
    </row>
    <row r="11201" spans="191:191" x14ac:dyDescent="0.2">
      <c r="GI11201" s="422"/>
    </row>
    <row r="11202" spans="191:191" x14ac:dyDescent="0.2">
      <c r="GI11202" s="422"/>
    </row>
    <row r="11203" spans="191:191" x14ac:dyDescent="0.2">
      <c r="GI11203" s="422"/>
    </row>
    <row r="11204" spans="191:191" x14ac:dyDescent="0.2">
      <c r="GI11204" s="422"/>
    </row>
    <row r="11205" spans="191:191" x14ac:dyDescent="0.2">
      <c r="GI11205" s="422"/>
    </row>
    <row r="11206" spans="191:191" x14ac:dyDescent="0.2">
      <c r="GI11206" s="422"/>
    </row>
    <row r="11207" spans="191:191" x14ac:dyDescent="0.2">
      <c r="GI11207" s="422"/>
    </row>
    <row r="11208" spans="191:191" x14ac:dyDescent="0.2">
      <c r="GI11208" s="422"/>
    </row>
    <row r="11209" spans="191:191" x14ac:dyDescent="0.2">
      <c r="GI11209" s="422"/>
    </row>
    <row r="11210" spans="191:191" x14ac:dyDescent="0.2">
      <c r="GI11210" s="422"/>
    </row>
    <row r="11211" spans="191:191" x14ac:dyDescent="0.2">
      <c r="GI11211" s="422"/>
    </row>
    <row r="11212" spans="191:191" x14ac:dyDescent="0.2">
      <c r="GI11212" s="422"/>
    </row>
    <row r="11213" spans="191:191" x14ac:dyDescent="0.2">
      <c r="GI11213" s="422"/>
    </row>
    <row r="11214" spans="191:191" x14ac:dyDescent="0.2">
      <c r="GI11214" s="422"/>
    </row>
    <row r="11215" spans="191:191" x14ac:dyDescent="0.2">
      <c r="GI11215" s="422"/>
    </row>
    <row r="11216" spans="191:191" x14ac:dyDescent="0.2">
      <c r="GI11216" s="422"/>
    </row>
    <row r="11217" spans="191:191" x14ac:dyDescent="0.2">
      <c r="GI11217" s="422"/>
    </row>
    <row r="11218" spans="191:191" x14ac:dyDescent="0.2">
      <c r="GI11218" s="422"/>
    </row>
    <row r="11219" spans="191:191" x14ac:dyDescent="0.2">
      <c r="GI11219" s="422"/>
    </row>
    <row r="11220" spans="191:191" x14ac:dyDescent="0.2">
      <c r="GI11220" s="422"/>
    </row>
    <row r="11221" spans="191:191" x14ac:dyDescent="0.2">
      <c r="GI11221" s="422"/>
    </row>
    <row r="11222" spans="191:191" x14ac:dyDescent="0.2">
      <c r="GI11222" s="422"/>
    </row>
    <row r="11223" spans="191:191" x14ac:dyDescent="0.2">
      <c r="GI11223" s="422"/>
    </row>
    <row r="11224" spans="191:191" x14ac:dyDescent="0.2">
      <c r="GI11224" s="422"/>
    </row>
    <row r="11225" spans="191:191" x14ac:dyDescent="0.2">
      <c r="GI11225" s="422"/>
    </row>
    <row r="11226" spans="191:191" x14ac:dyDescent="0.2">
      <c r="GI11226" s="422"/>
    </row>
    <row r="11227" spans="191:191" x14ac:dyDescent="0.2">
      <c r="GI11227" s="422"/>
    </row>
    <row r="11228" spans="191:191" x14ac:dyDescent="0.2">
      <c r="GI11228" s="422"/>
    </row>
    <row r="11229" spans="191:191" x14ac:dyDescent="0.2">
      <c r="GI11229" s="422"/>
    </row>
    <row r="11230" spans="191:191" x14ac:dyDescent="0.2">
      <c r="GI11230" s="422"/>
    </row>
    <row r="11231" spans="191:191" x14ac:dyDescent="0.2">
      <c r="GI11231" s="422"/>
    </row>
    <row r="11232" spans="191:191" x14ac:dyDescent="0.2">
      <c r="GI11232" s="422"/>
    </row>
    <row r="11233" spans="191:191" x14ac:dyDescent="0.2">
      <c r="GI11233" s="422"/>
    </row>
    <row r="11234" spans="191:191" x14ac:dyDescent="0.2">
      <c r="GI11234" s="422"/>
    </row>
    <row r="11235" spans="191:191" x14ac:dyDescent="0.2">
      <c r="GI11235" s="422"/>
    </row>
    <row r="11236" spans="191:191" x14ac:dyDescent="0.2">
      <c r="GI11236" s="422"/>
    </row>
    <row r="11237" spans="191:191" x14ac:dyDescent="0.2">
      <c r="GI11237" s="422"/>
    </row>
    <row r="11238" spans="191:191" x14ac:dyDescent="0.2">
      <c r="GI11238" s="422"/>
    </row>
    <row r="11239" spans="191:191" x14ac:dyDescent="0.2">
      <c r="GI11239" s="422"/>
    </row>
    <row r="11240" spans="191:191" x14ac:dyDescent="0.2">
      <c r="GI11240" s="422"/>
    </row>
    <row r="11241" spans="191:191" x14ac:dyDescent="0.2">
      <c r="GI11241" s="422"/>
    </row>
    <row r="11242" spans="191:191" x14ac:dyDescent="0.2">
      <c r="GI11242" s="422"/>
    </row>
    <row r="11243" spans="191:191" x14ac:dyDescent="0.2">
      <c r="GI11243" s="422"/>
    </row>
    <row r="11244" spans="191:191" x14ac:dyDescent="0.2">
      <c r="GI11244" s="422"/>
    </row>
    <row r="11245" spans="191:191" x14ac:dyDescent="0.2">
      <c r="GI11245" s="422"/>
    </row>
    <row r="11246" spans="191:191" x14ac:dyDescent="0.2">
      <c r="GI11246" s="422"/>
    </row>
    <row r="11247" spans="191:191" x14ac:dyDescent="0.2">
      <c r="GI11247" s="422"/>
    </row>
    <row r="11248" spans="191:191" x14ac:dyDescent="0.2">
      <c r="GI11248" s="422"/>
    </row>
    <row r="11249" spans="191:191" x14ac:dyDescent="0.2">
      <c r="GI11249" s="422"/>
    </row>
    <row r="11250" spans="191:191" x14ac:dyDescent="0.2">
      <c r="GI11250" s="422"/>
    </row>
    <row r="11251" spans="191:191" x14ac:dyDescent="0.2">
      <c r="GI11251" s="422"/>
    </row>
    <row r="11252" spans="191:191" x14ac:dyDescent="0.2">
      <c r="GI11252" s="422"/>
    </row>
    <row r="11253" spans="191:191" x14ac:dyDescent="0.2">
      <c r="GI11253" s="422"/>
    </row>
    <row r="11254" spans="191:191" x14ac:dyDescent="0.2">
      <c r="GI11254" s="422"/>
    </row>
    <row r="11255" spans="191:191" x14ac:dyDescent="0.2">
      <c r="GI11255" s="422"/>
    </row>
    <row r="11256" spans="191:191" x14ac:dyDescent="0.2">
      <c r="GI11256" s="422"/>
    </row>
    <row r="11257" spans="191:191" x14ac:dyDescent="0.2">
      <c r="GI11257" s="422"/>
    </row>
    <row r="11258" spans="191:191" x14ac:dyDescent="0.2">
      <c r="GI11258" s="422"/>
    </row>
    <row r="11259" spans="191:191" x14ac:dyDescent="0.2">
      <c r="GI11259" s="422"/>
    </row>
    <row r="11260" spans="191:191" x14ac:dyDescent="0.2">
      <c r="GI11260" s="422"/>
    </row>
    <row r="11261" spans="191:191" x14ac:dyDescent="0.2">
      <c r="GI11261" s="422"/>
    </row>
    <row r="11262" spans="191:191" x14ac:dyDescent="0.2">
      <c r="GI11262" s="422"/>
    </row>
    <row r="11263" spans="191:191" x14ac:dyDescent="0.2">
      <c r="GI11263" s="422"/>
    </row>
    <row r="11264" spans="191:191" x14ac:dyDescent="0.2">
      <c r="GI11264" s="422"/>
    </row>
    <row r="11265" spans="191:191" x14ac:dyDescent="0.2">
      <c r="GI11265" s="422"/>
    </row>
    <row r="11266" spans="191:191" x14ac:dyDescent="0.2">
      <c r="GI11266" s="422"/>
    </row>
    <row r="11267" spans="191:191" x14ac:dyDescent="0.2">
      <c r="GI11267" s="422"/>
    </row>
    <row r="11268" spans="191:191" x14ac:dyDescent="0.2">
      <c r="GI11268" s="422"/>
    </row>
    <row r="11269" spans="191:191" x14ac:dyDescent="0.2">
      <c r="GI11269" s="422"/>
    </row>
    <row r="11270" spans="191:191" x14ac:dyDescent="0.2">
      <c r="GI11270" s="422"/>
    </row>
    <row r="11271" spans="191:191" x14ac:dyDescent="0.2">
      <c r="GI11271" s="422"/>
    </row>
    <row r="11272" spans="191:191" x14ac:dyDescent="0.2">
      <c r="GI11272" s="422"/>
    </row>
    <row r="11273" spans="191:191" x14ac:dyDescent="0.2">
      <c r="GI11273" s="422"/>
    </row>
    <row r="11274" spans="191:191" x14ac:dyDescent="0.2">
      <c r="GI11274" s="422"/>
    </row>
    <row r="11275" spans="191:191" x14ac:dyDescent="0.2">
      <c r="GI11275" s="422"/>
    </row>
    <row r="11276" spans="191:191" x14ac:dyDescent="0.2">
      <c r="GI11276" s="422"/>
    </row>
    <row r="11277" spans="191:191" x14ac:dyDescent="0.2">
      <c r="GI11277" s="422"/>
    </row>
    <row r="11278" spans="191:191" x14ac:dyDescent="0.2">
      <c r="GI11278" s="422"/>
    </row>
    <row r="11279" spans="191:191" x14ac:dyDescent="0.2">
      <c r="GI11279" s="422"/>
    </row>
    <row r="11280" spans="191:191" x14ac:dyDescent="0.2">
      <c r="GI11280" s="422"/>
    </row>
    <row r="11281" spans="191:191" x14ac:dyDescent="0.2">
      <c r="GI11281" s="422"/>
    </row>
    <row r="11282" spans="191:191" x14ac:dyDescent="0.2">
      <c r="GI11282" s="422"/>
    </row>
    <row r="11283" spans="191:191" x14ac:dyDescent="0.2">
      <c r="GI11283" s="422"/>
    </row>
    <row r="11284" spans="191:191" x14ac:dyDescent="0.2">
      <c r="GI11284" s="422"/>
    </row>
    <row r="11285" spans="191:191" x14ac:dyDescent="0.2">
      <c r="GI11285" s="422"/>
    </row>
    <row r="11286" spans="191:191" x14ac:dyDescent="0.2">
      <c r="GI11286" s="422"/>
    </row>
    <row r="11287" spans="191:191" x14ac:dyDescent="0.2">
      <c r="GI11287" s="422"/>
    </row>
    <row r="11288" spans="191:191" x14ac:dyDescent="0.2">
      <c r="GI11288" s="422"/>
    </row>
    <row r="11289" spans="191:191" x14ac:dyDescent="0.2">
      <c r="GI11289" s="422"/>
    </row>
    <row r="11290" spans="191:191" x14ac:dyDescent="0.2">
      <c r="GI11290" s="422"/>
    </row>
    <row r="11291" spans="191:191" x14ac:dyDescent="0.2">
      <c r="GI11291" s="422"/>
    </row>
    <row r="11292" spans="191:191" x14ac:dyDescent="0.2">
      <c r="GI11292" s="422"/>
    </row>
    <row r="11293" spans="191:191" x14ac:dyDescent="0.2">
      <c r="GI11293" s="422"/>
    </row>
    <row r="11294" spans="191:191" x14ac:dyDescent="0.2">
      <c r="GI11294" s="422"/>
    </row>
    <row r="11295" spans="191:191" x14ac:dyDescent="0.2">
      <c r="GI11295" s="422"/>
    </row>
    <row r="11296" spans="191:191" x14ac:dyDescent="0.2">
      <c r="GI11296" s="422"/>
    </row>
    <row r="11297" spans="191:191" x14ac:dyDescent="0.2">
      <c r="GI11297" s="422"/>
    </row>
    <row r="11298" spans="191:191" x14ac:dyDescent="0.2">
      <c r="GI11298" s="422"/>
    </row>
    <row r="11299" spans="191:191" x14ac:dyDescent="0.2">
      <c r="GI11299" s="422"/>
    </row>
    <row r="11300" spans="191:191" x14ac:dyDescent="0.2">
      <c r="GI11300" s="422"/>
    </row>
    <row r="11301" spans="191:191" x14ac:dyDescent="0.2">
      <c r="GI11301" s="422"/>
    </row>
    <row r="11302" spans="191:191" x14ac:dyDescent="0.2">
      <c r="GI11302" s="422"/>
    </row>
    <row r="11303" spans="191:191" x14ac:dyDescent="0.2">
      <c r="GI11303" s="422"/>
    </row>
    <row r="11304" spans="191:191" x14ac:dyDescent="0.2">
      <c r="GI11304" s="422"/>
    </row>
    <row r="11305" spans="191:191" x14ac:dyDescent="0.2">
      <c r="GI11305" s="422"/>
    </row>
    <row r="11306" spans="191:191" x14ac:dyDescent="0.2">
      <c r="GI11306" s="422"/>
    </row>
    <row r="11307" spans="191:191" x14ac:dyDescent="0.2">
      <c r="GI11307" s="422"/>
    </row>
    <row r="11308" spans="191:191" x14ac:dyDescent="0.2">
      <c r="GI11308" s="422"/>
    </row>
    <row r="11309" spans="191:191" x14ac:dyDescent="0.2">
      <c r="GI11309" s="422"/>
    </row>
    <row r="11310" spans="191:191" x14ac:dyDescent="0.2">
      <c r="GI11310" s="422"/>
    </row>
    <row r="11311" spans="191:191" x14ac:dyDescent="0.2">
      <c r="GI11311" s="422"/>
    </row>
    <row r="11312" spans="191:191" x14ac:dyDescent="0.2">
      <c r="GI11312" s="422"/>
    </row>
    <row r="11313" spans="191:191" x14ac:dyDescent="0.2">
      <c r="GI11313" s="422"/>
    </row>
    <row r="11314" spans="191:191" x14ac:dyDescent="0.2">
      <c r="GI11314" s="422"/>
    </row>
    <row r="11315" spans="191:191" x14ac:dyDescent="0.2">
      <c r="GI11315" s="422"/>
    </row>
    <row r="11316" spans="191:191" x14ac:dyDescent="0.2">
      <c r="GI11316" s="422"/>
    </row>
    <row r="11317" spans="191:191" x14ac:dyDescent="0.2">
      <c r="GI11317" s="422"/>
    </row>
    <row r="11318" spans="191:191" x14ac:dyDescent="0.2">
      <c r="GI11318" s="422"/>
    </row>
    <row r="11319" spans="191:191" x14ac:dyDescent="0.2">
      <c r="GI11319" s="422"/>
    </row>
    <row r="11320" spans="191:191" x14ac:dyDescent="0.2">
      <c r="GI11320" s="422"/>
    </row>
    <row r="11321" spans="191:191" x14ac:dyDescent="0.2">
      <c r="GI11321" s="422"/>
    </row>
    <row r="11322" spans="191:191" x14ac:dyDescent="0.2">
      <c r="GI11322" s="422"/>
    </row>
    <row r="11323" spans="191:191" x14ac:dyDescent="0.2">
      <c r="GI11323" s="422"/>
    </row>
    <row r="11324" spans="191:191" x14ac:dyDescent="0.2">
      <c r="GI11324" s="422"/>
    </row>
    <row r="11325" spans="191:191" x14ac:dyDescent="0.2">
      <c r="GI11325" s="422"/>
    </row>
    <row r="11326" spans="191:191" x14ac:dyDescent="0.2">
      <c r="GI11326" s="422"/>
    </row>
    <row r="11327" spans="191:191" x14ac:dyDescent="0.2">
      <c r="GI11327" s="422"/>
    </row>
    <row r="11328" spans="191:191" x14ac:dyDescent="0.2">
      <c r="GI11328" s="422"/>
    </row>
    <row r="11329" spans="191:191" x14ac:dyDescent="0.2">
      <c r="GI11329" s="422"/>
    </row>
    <row r="11330" spans="191:191" x14ac:dyDescent="0.2">
      <c r="GI11330" s="422"/>
    </row>
    <row r="11331" spans="191:191" x14ac:dyDescent="0.2">
      <c r="GI11331" s="422"/>
    </row>
    <row r="11332" spans="191:191" x14ac:dyDescent="0.2">
      <c r="GI11332" s="422"/>
    </row>
    <row r="11333" spans="191:191" x14ac:dyDescent="0.2">
      <c r="GI11333" s="422"/>
    </row>
    <row r="11334" spans="191:191" x14ac:dyDescent="0.2">
      <c r="GI11334" s="422"/>
    </row>
    <row r="11335" spans="191:191" x14ac:dyDescent="0.2">
      <c r="GI11335" s="422"/>
    </row>
    <row r="11336" spans="191:191" x14ac:dyDescent="0.2">
      <c r="GI11336" s="422"/>
    </row>
    <row r="11337" spans="191:191" x14ac:dyDescent="0.2">
      <c r="GI11337" s="422"/>
    </row>
    <row r="11338" spans="191:191" x14ac:dyDescent="0.2">
      <c r="GI11338" s="422"/>
    </row>
    <row r="11339" spans="191:191" x14ac:dyDescent="0.2">
      <c r="GI11339" s="422"/>
    </row>
    <row r="11340" spans="191:191" x14ac:dyDescent="0.2">
      <c r="GI11340" s="422"/>
    </row>
    <row r="11341" spans="191:191" x14ac:dyDescent="0.2">
      <c r="GI11341" s="422"/>
    </row>
    <row r="11342" spans="191:191" x14ac:dyDescent="0.2">
      <c r="GI11342" s="422"/>
    </row>
    <row r="11343" spans="191:191" x14ac:dyDescent="0.2">
      <c r="GI11343" s="422"/>
    </row>
    <row r="11344" spans="191:191" x14ac:dyDescent="0.2">
      <c r="GI11344" s="422"/>
    </row>
    <row r="11345" spans="191:191" x14ac:dyDescent="0.2">
      <c r="GI11345" s="422"/>
    </row>
    <row r="11346" spans="191:191" x14ac:dyDescent="0.2">
      <c r="GI11346" s="422"/>
    </row>
    <row r="11347" spans="191:191" x14ac:dyDescent="0.2">
      <c r="GI11347" s="422"/>
    </row>
    <row r="11348" spans="191:191" x14ac:dyDescent="0.2">
      <c r="GI11348" s="422"/>
    </row>
    <row r="11349" spans="191:191" x14ac:dyDescent="0.2">
      <c r="GI11349" s="422"/>
    </row>
    <row r="11350" spans="191:191" x14ac:dyDescent="0.2">
      <c r="GI11350" s="422"/>
    </row>
    <row r="11351" spans="191:191" x14ac:dyDescent="0.2">
      <c r="GI11351" s="422"/>
    </row>
    <row r="11352" spans="191:191" x14ac:dyDescent="0.2">
      <c r="GI11352" s="422"/>
    </row>
    <row r="11353" spans="191:191" x14ac:dyDescent="0.2">
      <c r="GI11353" s="422"/>
    </row>
    <row r="11354" spans="191:191" x14ac:dyDescent="0.2">
      <c r="GI11354" s="422"/>
    </row>
    <row r="11355" spans="191:191" x14ac:dyDescent="0.2">
      <c r="GI11355" s="422"/>
    </row>
    <row r="11356" spans="191:191" x14ac:dyDescent="0.2">
      <c r="GI11356" s="422"/>
    </row>
    <row r="11357" spans="191:191" x14ac:dyDescent="0.2">
      <c r="GI11357" s="422"/>
    </row>
    <row r="11358" spans="191:191" x14ac:dyDescent="0.2">
      <c r="GI11358" s="422"/>
    </row>
    <row r="11359" spans="191:191" x14ac:dyDescent="0.2">
      <c r="GI11359" s="422"/>
    </row>
    <row r="11360" spans="191:191" x14ac:dyDescent="0.2">
      <c r="GI11360" s="422"/>
    </row>
    <row r="11361" spans="191:191" x14ac:dyDescent="0.2">
      <c r="GI11361" s="422"/>
    </row>
    <row r="11362" spans="191:191" x14ac:dyDescent="0.2">
      <c r="GI11362" s="422"/>
    </row>
    <row r="11363" spans="191:191" x14ac:dyDescent="0.2">
      <c r="GI11363" s="422"/>
    </row>
    <row r="11364" spans="191:191" x14ac:dyDescent="0.2">
      <c r="GI11364" s="422"/>
    </row>
    <row r="11365" spans="191:191" x14ac:dyDescent="0.2">
      <c r="GI11365" s="422"/>
    </row>
    <row r="11366" spans="191:191" x14ac:dyDescent="0.2">
      <c r="GI11366" s="422"/>
    </row>
    <row r="11367" spans="191:191" x14ac:dyDescent="0.2">
      <c r="GI11367" s="422"/>
    </row>
    <row r="11368" spans="191:191" x14ac:dyDescent="0.2">
      <c r="GI11368" s="422"/>
    </row>
    <row r="11369" spans="191:191" x14ac:dyDescent="0.2">
      <c r="GI11369" s="422"/>
    </row>
    <row r="11370" spans="191:191" x14ac:dyDescent="0.2">
      <c r="GI11370" s="422"/>
    </row>
    <row r="11371" spans="191:191" x14ac:dyDescent="0.2">
      <c r="GI11371" s="422"/>
    </row>
    <row r="11372" spans="191:191" x14ac:dyDescent="0.2">
      <c r="GI11372" s="422"/>
    </row>
    <row r="11373" spans="191:191" x14ac:dyDescent="0.2">
      <c r="GI11373" s="422"/>
    </row>
    <row r="11374" spans="191:191" x14ac:dyDescent="0.2">
      <c r="GI11374" s="422"/>
    </row>
    <row r="11375" spans="191:191" x14ac:dyDescent="0.2">
      <c r="GI11375" s="422"/>
    </row>
    <row r="11376" spans="191:191" x14ac:dyDescent="0.2">
      <c r="GI11376" s="422"/>
    </row>
    <row r="11377" spans="191:191" x14ac:dyDescent="0.2">
      <c r="GI11377" s="422"/>
    </row>
    <row r="11378" spans="191:191" x14ac:dyDescent="0.2">
      <c r="GI11378" s="422"/>
    </row>
    <row r="11379" spans="191:191" x14ac:dyDescent="0.2">
      <c r="GI11379" s="422"/>
    </row>
    <row r="11380" spans="191:191" x14ac:dyDescent="0.2">
      <c r="GI11380" s="422"/>
    </row>
    <row r="11381" spans="191:191" x14ac:dyDescent="0.2">
      <c r="GI11381" s="422"/>
    </row>
    <row r="11382" spans="191:191" x14ac:dyDescent="0.2">
      <c r="GI11382" s="422"/>
    </row>
    <row r="11383" spans="191:191" x14ac:dyDescent="0.2">
      <c r="GI11383" s="422"/>
    </row>
    <row r="11384" spans="191:191" x14ac:dyDescent="0.2">
      <c r="GI11384" s="422"/>
    </row>
    <row r="11385" spans="191:191" x14ac:dyDescent="0.2">
      <c r="GI11385" s="422"/>
    </row>
    <row r="11386" spans="191:191" x14ac:dyDescent="0.2">
      <c r="GI11386" s="422"/>
    </row>
    <row r="11387" spans="191:191" x14ac:dyDescent="0.2">
      <c r="GI11387" s="422"/>
    </row>
    <row r="11388" spans="191:191" x14ac:dyDescent="0.2">
      <c r="GI11388" s="422"/>
    </row>
    <row r="11389" spans="191:191" x14ac:dyDescent="0.2">
      <c r="GI11389" s="422"/>
    </row>
    <row r="11390" spans="191:191" x14ac:dyDescent="0.2">
      <c r="GI11390" s="422"/>
    </row>
    <row r="11391" spans="191:191" x14ac:dyDescent="0.2">
      <c r="GI11391" s="422"/>
    </row>
    <row r="11392" spans="191:191" x14ac:dyDescent="0.2">
      <c r="GI11392" s="422"/>
    </row>
    <row r="11393" spans="191:191" x14ac:dyDescent="0.2">
      <c r="GI11393" s="422"/>
    </row>
    <row r="11394" spans="191:191" x14ac:dyDescent="0.2">
      <c r="GI11394" s="422"/>
    </row>
    <row r="11395" spans="191:191" x14ac:dyDescent="0.2">
      <c r="GI11395" s="422"/>
    </row>
    <row r="11396" spans="191:191" x14ac:dyDescent="0.2">
      <c r="GI11396" s="422"/>
    </row>
    <row r="11397" spans="191:191" x14ac:dyDescent="0.2">
      <c r="GI11397" s="422"/>
    </row>
    <row r="11398" spans="191:191" x14ac:dyDescent="0.2">
      <c r="GI11398" s="422"/>
    </row>
    <row r="11399" spans="191:191" x14ac:dyDescent="0.2">
      <c r="GI11399" s="422"/>
    </row>
    <row r="11400" spans="191:191" x14ac:dyDescent="0.2">
      <c r="GI11400" s="422"/>
    </row>
    <row r="11401" spans="191:191" x14ac:dyDescent="0.2">
      <c r="GI11401" s="422"/>
    </row>
    <row r="11402" spans="191:191" x14ac:dyDescent="0.2">
      <c r="GI11402" s="422"/>
    </row>
    <row r="11403" spans="191:191" x14ac:dyDescent="0.2">
      <c r="GI11403" s="422"/>
    </row>
    <row r="11404" spans="191:191" x14ac:dyDescent="0.2">
      <c r="GI11404" s="422"/>
    </row>
    <row r="11405" spans="191:191" x14ac:dyDescent="0.2">
      <c r="GI11405" s="422"/>
    </row>
    <row r="11406" spans="191:191" x14ac:dyDescent="0.2">
      <c r="GI11406" s="422"/>
    </row>
    <row r="11407" spans="191:191" x14ac:dyDescent="0.2">
      <c r="GI11407" s="422"/>
    </row>
    <row r="11408" spans="191:191" x14ac:dyDescent="0.2">
      <c r="GI11408" s="422"/>
    </row>
    <row r="11409" spans="191:191" x14ac:dyDescent="0.2">
      <c r="GI11409" s="422"/>
    </row>
    <row r="11410" spans="191:191" x14ac:dyDescent="0.2">
      <c r="GI11410" s="422"/>
    </row>
    <row r="11411" spans="191:191" x14ac:dyDescent="0.2">
      <c r="GI11411" s="422"/>
    </row>
    <row r="11412" spans="191:191" x14ac:dyDescent="0.2">
      <c r="GI11412" s="422"/>
    </row>
    <row r="11413" spans="191:191" x14ac:dyDescent="0.2">
      <c r="GI11413" s="422"/>
    </row>
    <row r="11414" spans="191:191" x14ac:dyDescent="0.2">
      <c r="GI11414" s="422"/>
    </row>
    <row r="11415" spans="191:191" x14ac:dyDescent="0.2">
      <c r="GI11415" s="422"/>
    </row>
    <row r="11416" spans="191:191" x14ac:dyDescent="0.2">
      <c r="GI11416" s="422"/>
    </row>
    <row r="11417" spans="191:191" x14ac:dyDescent="0.2">
      <c r="GI11417" s="422"/>
    </row>
    <row r="11418" spans="191:191" x14ac:dyDescent="0.2">
      <c r="GI11418" s="422"/>
    </row>
    <row r="11419" spans="191:191" x14ac:dyDescent="0.2">
      <c r="GI11419" s="422"/>
    </row>
    <row r="11420" spans="191:191" x14ac:dyDescent="0.2">
      <c r="GI11420" s="422"/>
    </row>
    <row r="11421" spans="191:191" x14ac:dyDescent="0.2">
      <c r="GI11421" s="422"/>
    </row>
    <row r="11422" spans="191:191" x14ac:dyDescent="0.2">
      <c r="GI11422" s="422"/>
    </row>
    <row r="11423" spans="191:191" x14ac:dyDescent="0.2">
      <c r="GI11423" s="422"/>
    </row>
    <row r="11424" spans="191:191" x14ac:dyDescent="0.2">
      <c r="GI11424" s="422"/>
    </row>
    <row r="11425" spans="191:191" x14ac:dyDescent="0.2">
      <c r="GI11425" s="422"/>
    </row>
    <row r="11426" spans="191:191" x14ac:dyDescent="0.2">
      <c r="GI11426" s="422"/>
    </row>
    <row r="11427" spans="191:191" x14ac:dyDescent="0.2">
      <c r="GI11427" s="422"/>
    </row>
    <row r="11428" spans="191:191" x14ac:dyDescent="0.2">
      <c r="GI11428" s="422"/>
    </row>
    <row r="11429" spans="191:191" x14ac:dyDescent="0.2">
      <c r="GI11429" s="422"/>
    </row>
    <row r="11430" spans="191:191" x14ac:dyDescent="0.2">
      <c r="GI11430" s="422"/>
    </row>
    <row r="11431" spans="191:191" x14ac:dyDescent="0.2">
      <c r="GI11431" s="422"/>
    </row>
    <row r="11432" spans="191:191" x14ac:dyDescent="0.2">
      <c r="GI11432" s="422"/>
    </row>
    <row r="11433" spans="191:191" x14ac:dyDescent="0.2">
      <c r="GI11433" s="422"/>
    </row>
    <row r="11434" spans="191:191" x14ac:dyDescent="0.2">
      <c r="GI11434" s="422"/>
    </row>
    <row r="11435" spans="191:191" x14ac:dyDescent="0.2">
      <c r="GI11435" s="422"/>
    </row>
    <row r="11436" spans="191:191" x14ac:dyDescent="0.2">
      <c r="GI11436" s="422"/>
    </row>
    <row r="11437" spans="191:191" x14ac:dyDescent="0.2">
      <c r="GI11437" s="422"/>
    </row>
    <row r="11438" spans="191:191" x14ac:dyDescent="0.2">
      <c r="GI11438" s="422"/>
    </row>
    <row r="11439" spans="191:191" x14ac:dyDescent="0.2">
      <c r="GI11439" s="422"/>
    </row>
    <row r="11440" spans="191:191" x14ac:dyDescent="0.2">
      <c r="GI11440" s="422"/>
    </row>
    <row r="11441" spans="191:191" x14ac:dyDescent="0.2">
      <c r="GI11441" s="422"/>
    </row>
    <row r="11442" spans="191:191" x14ac:dyDescent="0.2">
      <c r="GI11442" s="422"/>
    </row>
    <row r="11443" spans="191:191" x14ac:dyDescent="0.2">
      <c r="GI11443" s="422"/>
    </row>
    <row r="11444" spans="191:191" x14ac:dyDescent="0.2">
      <c r="GI11444" s="422"/>
    </row>
    <row r="11445" spans="191:191" x14ac:dyDescent="0.2">
      <c r="GI11445" s="422"/>
    </row>
    <row r="11446" spans="191:191" x14ac:dyDescent="0.2">
      <c r="GI11446" s="422"/>
    </row>
    <row r="11447" spans="191:191" x14ac:dyDescent="0.2">
      <c r="GI11447" s="422"/>
    </row>
    <row r="11448" spans="191:191" x14ac:dyDescent="0.2">
      <c r="GI11448" s="422"/>
    </row>
    <row r="11449" spans="191:191" x14ac:dyDescent="0.2">
      <c r="GI11449" s="422"/>
    </row>
    <row r="11450" spans="191:191" x14ac:dyDescent="0.2">
      <c r="GI11450" s="422"/>
    </row>
    <row r="11451" spans="191:191" x14ac:dyDescent="0.2">
      <c r="GI11451" s="422"/>
    </row>
    <row r="11452" spans="191:191" x14ac:dyDescent="0.2">
      <c r="GI11452" s="422"/>
    </row>
    <row r="11453" spans="191:191" x14ac:dyDescent="0.2">
      <c r="GI11453" s="422"/>
    </row>
    <row r="11454" spans="191:191" x14ac:dyDescent="0.2">
      <c r="GI11454" s="422"/>
    </row>
    <row r="11455" spans="191:191" x14ac:dyDescent="0.2">
      <c r="GI11455" s="422"/>
    </row>
    <row r="11456" spans="191:191" x14ac:dyDescent="0.2">
      <c r="GI11456" s="422"/>
    </row>
    <row r="11457" spans="191:191" x14ac:dyDescent="0.2">
      <c r="GI11457" s="422"/>
    </row>
    <row r="11458" spans="191:191" x14ac:dyDescent="0.2">
      <c r="GI11458" s="422"/>
    </row>
    <row r="11459" spans="191:191" x14ac:dyDescent="0.2">
      <c r="GI11459" s="422"/>
    </row>
    <row r="11460" spans="191:191" x14ac:dyDescent="0.2">
      <c r="GI11460" s="422"/>
    </row>
    <row r="11461" spans="191:191" x14ac:dyDescent="0.2">
      <c r="GI11461" s="422"/>
    </row>
    <row r="11462" spans="191:191" x14ac:dyDescent="0.2">
      <c r="GI11462" s="422"/>
    </row>
    <row r="11463" spans="191:191" x14ac:dyDescent="0.2">
      <c r="GI11463" s="422"/>
    </row>
    <row r="11464" spans="191:191" x14ac:dyDescent="0.2">
      <c r="GI11464" s="422"/>
    </row>
    <row r="11465" spans="191:191" x14ac:dyDescent="0.2">
      <c r="GI11465" s="422"/>
    </row>
    <row r="11466" spans="191:191" x14ac:dyDescent="0.2">
      <c r="GI11466" s="422"/>
    </row>
    <row r="11467" spans="191:191" x14ac:dyDescent="0.2">
      <c r="GI11467" s="422"/>
    </row>
    <row r="11468" spans="191:191" x14ac:dyDescent="0.2">
      <c r="GI11468" s="422"/>
    </row>
    <row r="11469" spans="191:191" x14ac:dyDescent="0.2">
      <c r="GI11469" s="422"/>
    </row>
    <row r="11470" spans="191:191" x14ac:dyDescent="0.2">
      <c r="GI11470" s="422"/>
    </row>
    <row r="11471" spans="191:191" x14ac:dyDescent="0.2">
      <c r="GI11471" s="422"/>
    </row>
    <row r="11472" spans="191:191" x14ac:dyDescent="0.2">
      <c r="GI11472" s="422"/>
    </row>
    <row r="11473" spans="191:191" x14ac:dyDescent="0.2">
      <c r="GI11473" s="422"/>
    </row>
    <row r="11474" spans="191:191" x14ac:dyDescent="0.2">
      <c r="GI11474" s="422"/>
    </row>
    <row r="11475" spans="191:191" x14ac:dyDescent="0.2">
      <c r="GI11475" s="422"/>
    </row>
    <row r="11476" spans="191:191" x14ac:dyDescent="0.2">
      <c r="GI11476" s="422"/>
    </row>
    <row r="11477" spans="191:191" x14ac:dyDescent="0.2">
      <c r="GI11477" s="422"/>
    </row>
    <row r="11478" spans="191:191" x14ac:dyDescent="0.2">
      <c r="GI11478" s="422"/>
    </row>
    <row r="11479" spans="191:191" x14ac:dyDescent="0.2">
      <c r="GI11479" s="422"/>
    </row>
    <row r="11480" spans="191:191" x14ac:dyDescent="0.2">
      <c r="GI11480" s="422"/>
    </row>
    <row r="11481" spans="191:191" x14ac:dyDescent="0.2">
      <c r="GI11481" s="422"/>
    </row>
    <row r="11482" spans="191:191" x14ac:dyDescent="0.2">
      <c r="GI11482" s="422"/>
    </row>
    <row r="11483" spans="191:191" x14ac:dyDescent="0.2">
      <c r="GI11483" s="422"/>
    </row>
    <row r="11484" spans="191:191" x14ac:dyDescent="0.2">
      <c r="GI11484" s="422"/>
    </row>
    <row r="11485" spans="191:191" x14ac:dyDescent="0.2">
      <c r="GI11485" s="422"/>
    </row>
    <row r="11486" spans="191:191" x14ac:dyDescent="0.2">
      <c r="GI11486" s="422"/>
    </row>
    <row r="11487" spans="191:191" x14ac:dyDescent="0.2">
      <c r="GI11487" s="422"/>
    </row>
    <row r="11488" spans="191:191" x14ac:dyDescent="0.2">
      <c r="GI11488" s="422"/>
    </row>
    <row r="11489" spans="191:191" x14ac:dyDescent="0.2">
      <c r="GI11489" s="422"/>
    </row>
    <row r="11490" spans="191:191" x14ac:dyDescent="0.2">
      <c r="GI11490" s="422"/>
    </row>
    <row r="11491" spans="191:191" x14ac:dyDescent="0.2">
      <c r="GI11491" s="422"/>
    </row>
    <row r="11492" spans="191:191" x14ac:dyDescent="0.2">
      <c r="GI11492" s="422"/>
    </row>
    <row r="11493" spans="191:191" x14ac:dyDescent="0.2">
      <c r="GI11493" s="422"/>
    </row>
    <row r="11494" spans="191:191" x14ac:dyDescent="0.2">
      <c r="GI11494" s="422"/>
    </row>
    <row r="11495" spans="191:191" x14ac:dyDescent="0.2">
      <c r="GI11495" s="422"/>
    </row>
    <row r="11496" spans="191:191" x14ac:dyDescent="0.2">
      <c r="GI11496" s="422"/>
    </row>
    <row r="11497" spans="191:191" x14ac:dyDescent="0.2">
      <c r="GI11497" s="422"/>
    </row>
    <row r="11498" spans="191:191" x14ac:dyDescent="0.2">
      <c r="GI11498" s="422"/>
    </row>
    <row r="11499" spans="191:191" x14ac:dyDescent="0.2">
      <c r="GI11499" s="422"/>
    </row>
    <row r="11500" spans="191:191" x14ac:dyDescent="0.2">
      <c r="GI11500" s="422"/>
    </row>
    <row r="11501" spans="191:191" x14ac:dyDescent="0.2">
      <c r="GI11501" s="422"/>
    </row>
    <row r="11502" spans="191:191" x14ac:dyDescent="0.2">
      <c r="GI11502" s="422"/>
    </row>
    <row r="11503" spans="191:191" x14ac:dyDescent="0.2">
      <c r="GI11503" s="422"/>
    </row>
    <row r="11504" spans="191:191" x14ac:dyDescent="0.2">
      <c r="GI11504" s="422"/>
    </row>
    <row r="11505" spans="191:191" x14ac:dyDescent="0.2">
      <c r="GI11505" s="422"/>
    </row>
    <row r="11506" spans="191:191" x14ac:dyDescent="0.2">
      <c r="GI11506" s="422"/>
    </row>
    <row r="11507" spans="191:191" x14ac:dyDescent="0.2">
      <c r="GI11507" s="422"/>
    </row>
    <row r="11508" spans="191:191" x14ac:dyDescent="0.2">
      <c r="GI11508" s="422"/>
    </row>
    <row r="11509" spans="191:191" x14ac:dyDescent="0.2">
      <c r="GI11509" s="422"/>
    </row>
    <row r="11510" spans="191:191" x14ac:dyDescent="0.2">
      <c r="GI11510" s="422"/>
    </row>
    <row r="11511" spans="191:191" x14ac:dyDescent="0.2">
      <c r="GI11511" s="422"/>
    </row>
    <row r="11512" spans="191:191" x14ac:dyDescent="0.2">
      <c r="GI11512" s="422"/>
    </row>
    <row r="11513" spans="191:191" x14ac:dyDescent="0.2">
      <c r="GI11513" s="422"/>
    </row>
    <row r="11514" spans="191:191" x14ac:dyDescent="0.2">
      <c r="GI11514" s="422"/>
    </row>
    <row r="11515" spans="191:191" x14ac:dyDescent="0.2">
      <c r="GI11515" s="422"/>
    </row>
    <row r="11516" spans="191:191" x14ac:dyDescent="0.2">
      <c r="GI11516" s="422"/>
    </row>
    <row r="11517" spans="191:191" x14ac:dyDescent="0.2">
      <c r="GI11517" s="422"/>
    </row>
    <row r="11518" spans="191:191" x14ac:dyDescent="0.2">
      <c r="GI11518" s="422"/>
    </row>
    <row r="11519" spans="191:191" x14ac:dyDescent="0.2">
      <c r="GI11519" s="422"/>
    </row>
    <row r="11520" spans="191:191" x14ac:dyDescent="0.2">
      <c r="GI11520" s="422"/>
    </row>
    <row r="11521" spans="191:191" x14ac:dyDescent="0.2">
      <c r="GI11521" s="422"/>
    </row>
    <row r="11522" spans="191:191" x14ac:dyDescent="0.2">
      <c r="GI11522" s="422"/>
    </row>
    <row r="11523" spans="191:191" x14ac:dyDescent="0.2">
      <c r="GI11523" s="422"/>
    </row>
    <row r="11524" spans="191:191" x14ac:dyDescent="0.2">
      <c r="GI11524" s="422"/>
    </row>
    <row r="11525" spans="191:191" x14ac:dyDescent="0.2">
      <c r="GI11525" s="422"/>
    </row>
    <row r="11526" spans="191:191" x14ac:dyDescent="0.2">
      <c r="GI11526" s="422"/>
    </row>
    <row r="11527" spans="191:191" x14ac:dyDescent="0.2">
      <c r="GI11527" s="422"/>
    </row>
    <row r="11528" spans="191:191" x14ac:dyDescent="0.2">
      <c r="GI11528" s="422"/>
    </row>
    <row r="11529" spans="191:191" x14ac:dyDescent="0.2">
      <c r="GI11529" s="422"/>
    </row>
    <row r="11530" spans="191:191" x14ac:dyDescent="0.2">
      <c r="GI11530" s="422"/>
    </row>
    <row r="11531" spans="191:191" x14ac:dyDescent="0.2">
      <c r="GI11531" s="422"/>
    </row>
    <row r="11532" spans="191:191" x14ac:dyDescent="0.2">
      <c r="GI11532" s="422"/>
    </row>
    <row r="11533" spans="191:191" x14ac:dyDescent="0.2">
      <c r="GI11533" s="422"/>
    </row>
    <row r="11534" spans="191:191" x14ac:dyDescent="0.2">
      <c r="GI11534" s="422"/>
    </row>
    <row r="11535" spans="191:191" x14ac:dyDescent="0.2">
      <c r="GI11535" s="422"/>
    </row>
    <row r="11536" spans="191:191" x14ac:dyDescent="0.2">
      <c r="GI11536" s="422"/>
    </row>
    <row r="11537" spans="191:191" x14ac:dyDescent="0.2">
      <c r="GI11537" s="422"/>
    </row>
    <row r="11538" spans="191:191" x14ac:dyDescent="0.2">
      <c r="GI11538" s="422"/>
    </row>
    <row r="11539" spans="191:191" x14ac:dyDescent="0.2">
      <c r="GI11539" s="422"/>
    </row>
    <row r="11540" spans="191:191" x14ac:dyDescent="0.2">
      <c r="GI11540" s="422"/>
    </row>
    <row r="11541" spans="191:191" x14ac:dyDescent="0.2">
      <c r="GI11541" s="422"/>
    </row>
    <row r="11542" spans="191:191" x14ac:dyDescent="0.2">
      <c r="GI11542" s="422"/>
    </row>
    <row r="11543" spans="191:191" x14ac:dyDescent="0.2">
      <c r="GI11543" s="422"/>
    </row>
    <row r="11544" spans="191:191" x14ac:dyDescent="0.2">
      <c r="GI11544" s="422"/>
    </row>
    <row r="11545" spans="191:191" x14ac:dyDescent="0.2">
      <c r="GI11545" s="422"/>
    </row>
    <row r="11546" spans="191:191" x14ac:dyDescent="0.2">
      <c r="GI11546" s="422"/>
    </row>
    <row r="11547" spans="191:191" x14ac:dyDescent="0.2">
      <c r="GI11547" s="422"/>
    </row>
    <row r="11548" spans="191:191" x14ac:dyDescent="0.2">
      <c r="GI11548" s="422"/>
    </row>
    <row r="11549" spans="191:191" x14ac:dyDescent="0.2">
      <c r="GI11549" s="422"/>
    </row>
    <row r="11550" spans="191:191" x14ac:dyDescent="0.2">
      <c r="GI11550" s="422"/>
    </row>
    <row r="11551" spans="191:191" x14ac:dyDescent="0.2">
      <c r="GI11551" s="422"/>
    </row>
    <row r="11552" spans="191:191" x14ac:dyDescent="0.2">
      <c r="GI11552" s="422"/>
    </row>
    <row r="11553" spans="191:191" x14ac:dyDescent="0.2">
      <c r="GI11553" s="422"/>
    </row>
    <row r="11554" spans="191:191" x14ac:dyDescent="0.2">
      <c r="GI11554" s="422"/>
    </row>
    <row r="11555" spans="191:191" x14ac:dyDescent="0.2">
      <c r="GI11555" s="422"/>
    </row>
    <row r="11556" spans="191:191" x14ac:dyDescent="0.2">
      <c r="GI11556" s="422"/>
    </row>
    <row r="11557" spans="191:191" x14ac:dyDescent="0.2">
      <c r="GI11557" s="422"/>
    </row>
    <row r="11558" spans="191:191" x14ac:dyDescent="0.2">
      <c r="GI11558" s="422"/>
    </row>
    <row r="11559" spans="191:191" x14ac:dyDescent="0.2">
      <c r="GI11559" s="422"/>
    </row>
    <row r="11560" spans="191:191" x14ac:dyDescent="0.2">
      <c r="GI11560" s="422"/>
    </row>
    <row r="11561" spans="191:191" x14ac:dyDescent="0.2">
      <c r="GI11561" s="422"/>
    </row>
    <row r="11562" spans="191:191" x14ac:dyDescent="0.2">
      <c r="GI11562" s="422"/>
    </row>
    <row r="11563" spans="191:191" x14ac:dyDescent="0.2">
      <c r="GI11563" s="422"/>
    </row>
    <row r="11564" spans="191:191" x14ac:dyDescent="0.2">
      <c r="GI11564" s="422"/>
    </row>
    <row r="11565" spans="191:191" x14ac:dyDescent="0.2">
      <c r="GI11565" s="422"/>
    </row>
    <row r="11566" spans="191:191" x14ac:dyDescent="0.2">
      <c r="GI11566" s="422"/>
    </row>
    <row r="11567" spans="191:191" x14ac:dyDescent="0.2">
      <c r="GI11567" s="422"/>
    </row>
    <row r="11568" spans="191:191" x14ac:dyDescent="0.2">
      <c r="GI11568" s="422"/>
    </row>
    <row r="11569" spans="191:191" x14ac:dyDescent="0.2">
      <c r="GI11569" s="422"/>
    </row>
    <row r="11570" spans="191:191" x14ac:dyDescent="0.2">
      <c r="GI11570" s="422"/>
    </row>
    <row r="11571" spans="191:191" x14ac:dyDescent="0.2">
      <c r="GI11571" s="422"/>
    </row>
    <row r="11572" spans="191:191" x14ac:dyDescent="0.2">
      <c r="GI11572" s="422"/>
    </row>
    <row r="11573" spans="191:191" x14ac:dyDescent="0.2">
      <c r="GI11573" s="422"/>
    </row>
    <row r="11574" spans="191:191" x14ac:dyDescent="0.2">
      <c r="GI11574" s="422"/>
    </row>
    <row r="11575" spans="191:191" x14ac:dyDescent="0.2">
      <c r="GI11575" s="422"/>
    </row>
    <row r="11576" spans="191:191" x14ac:dyDescent="0.2">
      <c r="GI11576" s="422"/>
    </row>
    <row r="11577" spans="191:191" x14ac:dyDescent="0.2">
      <c r="GI11577" s="422"/>
    </row>
    <row r="11578" spans="191:191" x14ac:dyDescent="0.2">
      <c r="GI11578" s="422"/>
    </row>
    <row r="11579" spans="191:191" x14ac:dyDescent="0.2">
      <c r="GI11579" s="422"/>
    </row>
    <row r="11580" spans="191:191" x14ac:dyDescent="0.2">
      <c r="GI11580" s="422"/>
    </row>
    <row r="11581" spans="191:191" x14ac:dyDescent="0.2">
      <c r="GI11581" s="422"/>
    </row>
    <row r="11582" spans="191:191" x14ac:dyDescent="0.2">
      <c r="GI11582" s="422"/>
    </row>
    <row r="11583" spans="191:191" x14ac:dyDescent="0.2">
      <c r="GI11583" s="422"/>
    </row>
    <row r="11584" spans="191:191" x14ac:dyDescent="0.2">
      <c r="GI11584" s="422"/>
    </row>
    <row r="11585" spans="191:191" x14ac:dyDescent="0.2">
      <c r="GI11585" s="422"/>
    </row>
    <row r="11586" spans="191:191" x14ac:dyDescent="0.2">
      <c r="GI11586" s="422"/>
    </row>
    <row r="11587" spans="191:191" x14ac:dyDescent="0.2">
      <c r="GI11587" s="422"/>
    </row>
    <row r="11588" spans="191:191" x14ac:dyDescent="0.2">
      <c r="GI11588" s="422"/>
    </row>
    <row r="11589" spans="191:191" x14ac:dyDescent="0.2">
      <c r="GI11589" s="422"/>
    </row>
    <row r="11590" spans="191:191" x14ac:dyDescent="0.2">
      <c r="GI11590" s="422"/>
    </row>
    <row r="11591" spans="191:191" x14ac:dyDescent="0.2">
      <c r="GI11591" s="422"/>
    </row>
    <row r="11592" spans="191:191" x14ac:dyDescent="0.2">
      <c r="GI11592" s="422"/>
    </row>
    <row r="11593" spans="191:191" x14ac:dyDescent="0.2">
      <c r="GI11593" s="422"/>
    </row>
    <row r="11594" spans="191:191" x14ac:dyDescent="0.2">
      <c r="GI11594" s="422"/>
    </row>
    <row r="11595" spans="191:191" x14ac:dyDescent="0.2">
      <c r="GI11595" s="422"/>
    </row>
    <row r="11596" spans="191:191" x14ac:dyDescent="0.2">
      <c r="GI11596" s="422"/>
    </row>
    <row r="11597" spans="191:191" x14ac:dyDescent="0.2">
      <c r="GI11597" s="422"/>
    </row>
    <row r="11598" spans="191:191" x14ac:dyDescent="0.2">
      <c r="GI11598" s="422"/>
    </row>
    <row r="11599" spans="191:191" x14ac:dyDescent="0.2">
      <c r="GI11599" s="422"/>
    </row>
    <row r="11600" spans="191:191" x14ac:dyDescent="0.2">
      <c r="GI11600" s="422"/>
    </row>
    <row r="11601" spans="191:191" x14ac:dyDescent="0.2">
      <c r="GI11601" s="422"/>
    </row>
    <row r="11602" spans="191:191" x14ac:dyDescent="0.2">
      <c r="GI11602" s="422"/>
    </row>
    <row r="11603" spans="191:191" x14ac:dyDescent="0.2">
      <c r="GI11603" s="422"/>
    </row>
    <row r="11604" spans="191:191" x14ac:dyDescent="0.2">
      <c r="GI11604" s="422"/>
    </row>
    <row r="11605" spans="191:191" x14ac:dyDescent="0.2">
      <c r="GI11605" s="422"/>
    </row>
    <row r="11606" spans="191:191" x14ac:dyDescent="0.2">
      <c r="GI11606" s="422"/>
    </row>
    <row r="11607" spans="191:191" x14ac:dyDescent="0.2">
      <c r="GI11607" s="422"/>
    </row>
    <row r="11608" spans="191:191" x14ac:dyDescent="0.2">
      <c r="GI11608" s="422"/>
    </row>
    <row r="11609" spans="191:191" x14ac:dyDescent="0.2">
      <c r="GI11609" s="422"/>
    </row>
    <row r="11610" spans="191:191" x14ac:dyDescent="0.2">
      <c r="GI11610" s="422"/>
    </row>
    <row r="11611" spans="191:191" x14ac:dyDescent="0.2">
      <c r="GI11611" s="422"/>
    </row>
    <row r="11612" spans="191:191" x14ac:dyDescent="0.2">
      <c r="GI11612" s="422"/>
    </row>
    <row r="11613" spans="191:191" x14ac:dyDescent="0.2">
      <c r="GI11613" s="422"/>
    </row>
    <row r="11614" spans="191:191" x14ac:dyDescent="0.2">
      <c r="GI11614" s="422"/>
    </row>
    <row r="11615" spans="191:191" x14ac:dyDescent="0.2">
      <c r="GI11615" s="422"/>
    </row>
    <row r="11616" spans="191:191" x14ac:dyDescent="0.2">
      <c r="GI11616" s="422"/>
    </row>
    <row r="11617" spans="191:191" x14ac:dyDescent="0.2">
      <c r="GI11617" s="422"/>
    </row>
    <row r="11618" spans="191:191" x14ac:dyDescent="0.2">
      <c r="GI11618" s="422"/>
    </row>
    <row r="11619" spans="191:191" x14ac:dyDescent="0.2">
      <c r="GI11619" s="422"/>
    </row>
    <row r="11620" spans="191:191" x14ac:dyDescent="0.2">
      <c r="GI11620" s="422"/>
    </row>
    <row r="11621" spans="191:191" x14ac:dyDescent="0.2">
      <c r="GI11621" s="422"/>
    </row>
    <row r="11622" spans="191:191" x14ac:dyDescent="0.2">
      <c r="GI11622" s="422"/>
    </row>
    <row r="11623" spans="191:191" x14ac:dyDescent="0.2">
      <c r="GI11623" s="422"/>
    </row>
    <row r="11624" spans="191:191" x14ac:dyDescent="0.2">
      <c r="GI11624" s="422"/>
    </row>
    <row r="11625" spans="191:191" x14ac:dyDescent="0.2">
      <c r="GI11625" s="422"/>
    </row>
    <row r="11626" spans="191:191" x14ac:dyDescent="0.2">
      <c r="GI11626" s="422"/>
    </row>
    <row r="11627" spans="191:191" x14ac:dyDescent="0.2">
      <c r="GI11627" s="422"/>
    </row>
    <row r="11628" spans="191:191" x14ac:dyDescent="0.2">
      <c r="GI11628" s="422"/>
    </row>
    <row r="11629" spans="191:191" x14ac:dyDescent="0.2">
      <c r="GI11629" s="422"/>
    </row>
    <row r="11630" spans="191:191" x14ac:dyDescent="0.2">
      <c r="GI11630" s="422"/>
    </row>
    <row r="11631" spans="191:191" x14ac:dyDescent="0.2">
      <c r="GI11631" s="422"/>
    </row>
    <row r="11632" spans="191:191" x14ac:dyDescent="0.2">
      <c r="GI11632" s="422"/>
    </row>
    <row r="11633" spans="191:191" x14ac:dyDescent="0.2">
      <c r="GI11633" s="422"/>
    </row>
    <row r="11634" spans="191:191" x14ac:dyDescent="0.2">
      <c r="GI11634" s="422"/>
    </row>
    <row r="11635" spans="191:191" x14ac:dyDescent="0.2">
      <c r="GI11635" s="422"/>
    </row>
    <row r="11636" spans="191:191" x14ac:dyDescent="0.2">
      <c r="GI11636" s="422"/>
    </row>
    <row r="11637" spans="191:191" x14ac:dyDescent="0.2">
      <c r="GI11637" s="422"/>
    </row>
    <row r="11638" spans="191:191" x14ac:dyDescent="0.2">
      <c r="GI11638" s="422"/>
    </row>
    <row r="11639" spans="191:191" x14ac:dyDescent="0.2">
      <c r="GI11639" s="422"/>
    </row>
    <row r="11640" spans="191:191" x14ac:dyDescent="0.2">
      <c r="GI11640" s="422"/>
    </row>
    <row r="11641" spans="191:191" x14ac:dyDescent="0.2">
      <c r="GI11641" s="422"/>
    </row>
    <row r="11642" spans="191:191" x14ac:dyDescent="0.2">
      <c r="GI11642" s="422"/>
    </row>
    <row r="11643" spans="191:191" x14ac:dyDescent="0.2">
      <c r="GI11643" s="422"/>
    </row>
    <row r="11644" spans="191:191" x14ac:dyDescent="0.2">
      <c r="GI11644" s="422"/>
    </row>
    <row r="11645" spans="191:191" x14ac:dyDescent="0.2">
      <c r="GI11645" s="422"/>
    </row>
    <row r="11646" spans="191:191" x14ac:dyDescent="0.2">
      <c r="GI11646" s="422"/>
    </row>
    <row r="11647" spans="191:191" x14ac:dyDescent="0.2">
      <c r="GI11647" s="422"/>
    </row>
    <row r="11648" spans="191:191" x14ac:dyDescent="0.2">
      <c r="GI11648" s="422"/>
    </row>
    <row r="11649" spans="191:191" x14ac:dyDescent="0.2">
      <c r="GI11649" s="422"/>
    </row>
    <row r="11650" spans="191:191" x14ac:dyDescent="0.2">
      <c r="GI11650" s="422"/>
    </row>
    <row r="11651" spans="191:191" x14ac:dyDescent="0.2">
      <c r="GI11651" s="422"/>
    </row>
    <row r="11652" spans="191:191" x14ac:dyDescent="0.2">
      <c r="GI11652" s="422"/>
    </row>
    <row r="11653" spans="191:191" x14ac:dyDescent="0.2">
      <c r="GI11653" s="422"/>
    </row>
    <row r="11654" spans="191:191" x14ac:dyDescent="0.2">
      <c r="GI11654" s="422"/>
    </row>
    <row r="11655" spans="191:191" x14ac:dyDescent="0.2">
      <c r="GI11655" s="422"/>
    </row>
    <row r="11656" spans="191:191" x14ac:dyDescent="0.2">
      <c r="GI11656" s="422"/>
    </row>
    <row r="11657" spans="191:191" x14ac:dyDescent="0.2">
      <c r="GI11657" s="422"/>
    </row>
    <row r="11658" spans="191:191" x14ac:dyDescent="0.2">
      <c r="GI11658" s="422"/>
    </row>
    <row r="11659" spans="191:191" x14ac:dyDescent="0.2">
      <c r="GI11659" s="422"/>
    </row>
    <row r="11660" spans="191:191" x14ac:dyDescent="0.2">
      <c r="GI11660" s="422"/>
    </row>
    <row r="11661" spans="191:191" x14ac:dyDescent="0.2">
      <c r="GI11661" s="422"/>
    </row>
    <row r="11662" spans="191:191" x14ac:dyDescent="0.2">
      <c r="GI11662" s="422"/>
    </row>
    <row r="11663" spans="191:191" x14ac:dyDescent="0.2">
      <c r="GI11663" s="422"/>
    </row>
    <row r="11664" spans="191:191" x14ac:dyDescent="0.2">
      <c r="GI11664" s="422"/>
    </row>
    <row r="11665" spans="191:191" x14ac:dyDescent="0.2">
      <c r="GI11665" s="422"/>
    </row>
    <row r="11666" spans="191:191" x14ac:dyDescent="0.2">
      <c r="GI11666" s="422"/>
    </row>
    <row r="11667" spans="191:191" x14ac:dyDescent="0.2">
      <c r="GI11667" s="422"/>
    </row>
    <row r="11668" spans="191:191" x14ac:dyDescent="0.2">
      <c r="GI11668" s="422"/>
    </row>
    <row r="11669" spans="191:191" x14ac:dyDescent="0.2">
      <c r="GI11669" s="422"/>
    </row>
    <row r="11670" spans="191:191" x14ac:dyDescent="0.2">
      <c r="GI11670" s="422"/>
    </row>
    <row r="11671" spans="191:191" x14ac:dyDescent="0.2">
      <c r="GI11671" s="422"/>
    </row>
    <row r="11672" spans="191:191" x14ac:dyDescent="0.2">
      <c r="GI11672" s="422"/>
    </row>
    <row r="11673" spans="191:191" x14ac:dyDescent="0.2">
      <c r="GI11673" s="422"/>
    </row>
    <row r="11674" spans="191:191" x14ac:dyDescent="0.2">
      <c r="GI11674" s="422"/>
    </row>
    <row r="11675" spans="191:191" x14ac:dyDescent="0.2">
      <c r="GI11675" s="422"/>
    </row>
    <row r="11676" spans="191:191" x14ac:dyDescent="0.2">
      <c r="GI11676" s="422"/>
    </row>
    <row r="11677" spans="191:191" x14ac:dyDescent="0.2">
      <c r="GI11677" s="422"/>
    </row>
    <row r="11678" spans="191:191" x14ac:dyDescent="0.2">
      <c r="GI11678" s="422"/>
    </row>
    <row r="11679" spans="191:191" x14ac:dyDescent="0.2">
      <c r="GI11679" s="422"/>
    </row>
    <row r="11680" spans="191:191" x14ac:dyDescent="0.2">
      <c r="GI11680" s="422"/>
    </row>
    <row r="11681" spans="191:191" x14ac:dyDescent="0.2">
      <c r="GI11681" s="422"/>
    </row>
    <row r="11682" spans="191:191" x14ac:dyDescent="0.2">
      <c r="GI11682" s="422"/>
    </row>
    <row r="11683" spans="191:191" x14ac:dyDescent="0.2">
      <c r="GI11683" s="422"/>
    </row>
    <row r="11684" spans="191:191" x14ac:dyDescent="0.2">
      <c r="GI11684" s="422"/>
    </row>
    <row r="11685" spans="191:191" x14ac:dyDescent="0.2">
      <c r="GI11685" s="422"/>
    </row>
    <row r="11686" spans="191:191" x14ac:dyDescent="0.2">
      <c r="GI11686" s="422"/>
    </row>
    <row r="11687" spans="191:191" x14ac:dyDescent="0.2">
      <c r="GI11687" s="422"/>
    </row>
    <row r="11688" spans="191:191" x14ac:dyDescent="0.2">
      <c r="GI11688" s="422"/>
    </row>
    <row r="11689" spans="191:191" x14ac:dyDescent="0.2">
      <c r="GI11689" s="422"/>
    </row>
    <row r="11690" spans="191:191" x14ac:dyDescent="0.2">
      <c r="GI11690" s="422"/>
    </row>
    <row r="11691" spans="191:191" x14ac:dyDescent="0.2">
      <c r="GI11691" s="422"/>
    </row>
    <row r="11692" spans="191:191" x14ac:dyDescent="0.2">
      <c r="GI11692" s="422"/>
    </row>
    <row r="11693" spans="191:191" x14ac:dyDescent="0.2">
      <c r="GI11693" s="422"/>
    </row>
    <row r="11694" spans="191:191" x14ac:dyDescent="0.2">
      <c r="GI11694" s="422"/>
    </row>
    <row r="11695" spans="191:191" x14ac:dyDescent="0.2">
      <c r="GI11695" s="422"/>
    </row>
    <row r="11696" spans="191:191" x14ac:dyDescent="0.2">
      <c r="GI11696" s="422"/>
    </row>
    <row r="11697" spans="191:191" x14ac:dyDescent="0.2">
      <c r="GI11697" s="422"/>
    </row>
    <row r="11698" spans="191:191" x14ac:dyDescent="0.2">
      <c r="GI11698" s="422"/>
    </row>
    <row r="11699" spans="191:191" x14ac:dyDescent="0.2">
      <c r="GI11699" s="422"/>
    </row>
    <row r="11700" spans="191:191" x14ac:dyDescent="0.2">
      <c r="GI11700" s="422"/>
    </row>
    <row r="11701" spans="191:191" x14ac:dyDescent="0.2">
      <c r="GI11701" s="422"/>
    </row>
    <row r="11702" spans="191:191" x14ac:dyDescent="0.2">
      <c r="GI11702" s="422"/>
    </row>
    <row r="11703" spans="191:191" x14ac:dyDescent="0.2">
      <c r="GI11703" s="422"/>
    </row>
    <row r="11704" spans="191:191" x14ac:dyDescent="0.2">
      <c r="GI11704" s="422"/>
    </row>
    <row r="11705" spans="191:191" x14ac:dyDescent="0.2">
      <c r="GI11705" s="422"/>
    </row>
    <row r="11706" spans="191:191" x14ac:dyDescent="0.2">
      <c r="GI11706" s="422"/>
    </row>
    <row r="11707" spans="191:191" x14ac:dyDescent="0.2">
      <c r="GI11707" s="422"/>
    </row>
    <row r="11708" spans="191:191" x14ac:dyDescent="0.2">
      <c r="GI11708" s="422"/>
    </row>
    <row r="11709" spans="191:191" x14ac:dyDescent="0.2">
      <c r="GI11709" s="422"/>
    </row>
    <row r="11710" spans="191:191" x14ac:dyDescent="0.2">
      <c r="GI11710" s="422"/>
    </row>
    <row r="11711" spans="191:191" x14ac:dyDescent="0.2">
      <c r="GI11711" s="422"/>
    </row>
    <row r="11712" spans="191:191" x14ac:dyDescent="0.2">
      <c r="GI11712" s="422"/>
    </row>
    <row r="11713" spans="191:191" x14ac:dyDescent="0.2">
      <c r="GI11713" s="422"/>
    </row>
    <row r="11714" spans="191:191" x14ac:dyDescent="0.2">
      <c r="GI11714" s="422"/>
    </row>
    <row r="11715" spans="191:191" x14ac:dyDescent="0.2">
      <c r="GI11715" s="422"/>
    </row>
    <row r="11716" spans="191:191" x14ac:dyDescent="0.2">
      <c r="GI11716" s="422"/>
    </row>
    <row r="11717" spans="191:191" x14ac:dyDescent="0.2">
      <c r="GI11717" s="422"/>
    </row>
    <row r="11718" spans="191:191" x14ac:dyDescent="0.2">
      <c r="GI11718" s="422"/>
    </row>
    <row r="11719" spans="191:191" x14ac:dyDescent="0.2">
      <c r="GI11719" s="422"/>
    </row>
    <row r="11720" spans="191:191" x14ac:dyDescent="0.2">
      <c r="GI11720" s="422"/>
    </row>
    <row r="11721" spans="191:191" x14ac:dyDescent="0.2">
      <c r="GI11721" s="422"/>
    </row>
    <row r="11722" spans="191:191" x14ac:dyDescent="0.2">
      <c r="GI11722" s="422"/>
    </row>
    <row r="11723" spans="191:191" x14ac:dyDescent="0.2">
      <c r="GI11723" s="422"/>
    </row>
    <row r="11724" spans="191:191" x14ac:dyDescent="0.2">
      <c r="GI11724" s="422"/>
    </row>
    <row r="11725" spans="191:191" x14ac:dyDescent="0.2">
      <c r="GI11725" s="422"/>
    </row>
    <row r="11726" spans="191:191" x14ac:dyDescent="0.2">
      <c r="GI11726" s="422"/>
    </row>
    <row r="11727" spans="191:191" x14ac:dyDescent="0.2">
      <c r="GI11727" s="422"/>
    </row>
    <row r="11728" spans="191:191" x14ac:dyDescent="0.2">
      <c r="GI11728" s="422"/>
    </row>
    <row r="11729" spans="191:191" x14ac:dyDescent="0.2">
      <c r="GI11729" s="422"/>
    </row>
    <row r="11730" spans="191:191" x14ac:dyDescent="0.2">
      <c r="GI11730" s="422"/>
    </row>
    <row r="11731" spans="191:191" x14ac:dyDescent="0.2">
      <c r="GI11731" s="422"/>
    </row>
    <row r="11732" spans="191:191" x14ac:dyDescent="0.2">
      <c r="GI11732" s="422"/>
    </row>
    <row r="11733" spans="191:191" x14ac:dyDescent="0.2">
      <c r="GI11733" s="422"/>
    </row>
    <row r="11734" spans="191:191" x14ac:dyDescent="0.2">
      <c r="GI11734" s="422"/>
    </row>
    <row r="11735" spans="191:191" x14ac:dyDescent="0.2">
      <c r="GI11735" s="422"/>
    </row>
    <row r="11736" spans="191:191" x14ac:dyDescent="0.2">
      <c r="GI11736" s="422"/>
    </row>
    <row r="11737" spans="191:191" x14ac:dyDescent="0.2">
      <c r="GI11737" s="422"/>
    </row>
    <row r="11738" spans="191:191" x14ac:dyDescent="0.2">
      <c r="GI11738" s="422"/>
    </row>
    <row r="11739" spans="191:191" x14ac:dyDescent="0.2">
      <c r="GI11739" s="422"/>
    </row>
    <row r="11740" spans="191:191" x14ac:dyDescent="0.2">
      <c r="GI11740" s="422"/>
    </row>
    <row r="11741" spans="191:191" x14ac:dyDescent="0.2">
      <c r="GI11741" s="422"/>
    </row>
    <row r="11742" spans="191:191" x14ac:dyDescent="0.2">
      <c r="GI11742" s="422"/>
    </row>
    <row r="11743" spans="191:191" x14ac:dyDescent="0.2">
      <c r="GI11743" s="422"/>
    </row>
    <row r="11744" spans="191:191" x14ac:dyDescent="0.2">
      <c r="GI11744" s="422"/>
    </row>
    <row r="11745" spans="191:191" x14ac:dyDescent="0.2">
      <c r="GI11745" s="422"/>
    </row>
    <row r="11746" spans="191:191" x14ac:dyDescent="0.2">
      <c r="GI11746" s="422"/>
    </row>
    <row r="11747" spans="191:191" x14ac:dyDescent="0.2">
      <c r="GI11747" s="422"/>
    </row>
    <row r="11748" spans="191:191" x14ac:dyDescent="0.2">
      <c r="GI11748" s="422"/>
    </row>
    <row r="11749" spans="191:191" x14ac:dyDescent="0.2">
      <c r="GI11749" s="422"/>
    </row>
    <row r="11750" spans="191:191" x14ac:dyDescent="0.2">
      <c r="GI11750" s="422"/>
    </row>
    <row r="11751" spans="191:191" x14ac:dyDescent="0.2">
      <c r="GI11751" s="422"/>
    </row>
    <row r="11752" spans="191:191" x14ac:dyDescent="0.2">
      <c r="GI11752" s="422"/>
    </row>
    <row r="11753" spans="191:191" x14ac:dyDescent="0.2">
      <c r="GI11753" s="422"/>
    </row>
    <row r="11754" spans="191:191" x14ac:dyDescent="0.2">
      <c r="GI11754" s="422"/>
    </row>
    <row r="11755" spans="191:191" x14ac:dyDescent="0.2">
      <c r="GI11755" s="422"/>
    </row>
    <row r="11756" spans="191:191" x14ac:dyDescent="0.2">
      <c r="GI11756" s="422"/>
    </row>
    <row r="11757" spans="191:191" x14ac:dyDescent="0.2">
      <c r="GI11757" s="422"/>
    </row>
    <row r="11758" spans="191:191" x14ac:dyDescent="0.2">
      <c r="GI11758" s="422"/>
    </row>
    <row r="11759" spans="191:191" x14ac:dyDescent="0.2">
      <c r="GI11759" s="422"/>
    </row>
    <row r="11760" spans="191:191" x14ac:dyDescent="0.2">
      <c r="GI11760" s="422"/>
    </row>
    <row r="11761" spans="191:191" x14ac:dyDescent="0.2">
      <c r="GI11761" s="422"/>
    </row>
    <row r="11762" spans="191:191" x14ac:dyDescent="0.2">
      <c r="GI11762" s="422"/>
    </row>
    <row r="11763" spans="191:191" x14ac:dyDescent="0.2">
      <c r="GI11763" s="422"/>
    </row>
    <row r="11764" spans="191:191" x14ac:dyDescent="0.2">
      <c r="GI11764" s="422"/>
    </row>
    <row r="11765" spans="191:191" x14ac:dyDescent="0.2">
      <c r="GI11765" s="422"/>
    </row>
    <row r="11766" spans="191:191" x14ac:dyDescent="0.2">
      <c r="GI11766" s="422"/>
    </row>
    <row r="11767" spans="191:191" x14ac:dyDescent="0.2">
      <c r="GI11767" s="422"/>
    </row>
    <row r="11768" spans="191:191" x14ac:dyDescent="0.2">
      <c r="GI11768" s="422"/>
    </row>
    <row r="11769" spans="191:191" x14ac:dyDescent="0.2">
      <c r="GI11769" s="422"/>
    </row>
    <row r="11770" spans="191:191" x14ac:dyDescent="0.2">
      <c r="GI11770" s="422"/>
    </row>
    <row r="11771" spans="191:191" x14ac:dyDescent="0.2">
      <c r="GI11771" s="422"/>
    </row>
    <row r="11772" spans="191:191" x14ac:dyDescent="0.2">
      <c r="GI11772" s="422"/>
    </row>
    <row r="11773" spans="191:191" x14ac:dyDescent="0.2">
      <c r="GI11773" s="422"/>
    </row>
    <row r="11774" spans="191:191" x14ac:dyDescent="0.2">
      <c r="GI11774" s="422"/>
    </row>
    <row r="11775" spans="191:191" x14ac:dyDescent="0.2">
      <c r="GI11775" s="422"/>
    </row>
    <row r="11776" spans="191:191" x14ac:dyDescent="0.2">
      <c r="GI11776" s="422"/>
    </row>
    <row r="11777" spans="191:191" x14ac:dyDescent="0.2">
      <c r="GI11777" s="422"/>
    </row>
    <row r="11778" spans="191:191" x14ac:dyDescent="0.2">
      <c r="GI11778" s="422"/>
    </row>
    <row r="11779" spans="191:191" x14ac:dyDescent="0.2">
      <c r="GI11779" s="422"/>
    </row>
    <row r="11780" spans="191:191" x14ac:dyDescent="0.2">
      <c r="GI11780" s="422"/>
    </row>
    <row r="11781" spans="191:191" x14ac:dyDescent="0.2">
      <c r="GI11781" s="422"/>
    </row>
    <row r="11782" spans="191:191" x14ac:dyDescent="0.2">
      <c r="GI11782" s="422"/>
    </row>
    <row r="11783" spans="191:191" x14ac:dyDescent="0.2">
      <c r="GI11783" s="422"/>
    </row>
    <row r="11784" spans="191:191" x14ac:dyDescent="0.2">
      <c r="GI11784" s="422"/>
    </row>
    <row r="11785" spans="191:191" x14ac:dyDescent="0.2">
      <c r="GI11785" s="422"/>
    </row>
    <row r="11786" spans="191:191" x14ac:dyDescent="0.2">
      <c r="GI11786" s="422"/>
    </row>
    <row r="11787" spans="191:191" x14ac:dyDescent="0.2">
      <c r="GI11787" s="422"/>
    </row>
    <row r="11788" spans="191:191" x14ac:dyDescent="0.2">
      <c r="GI11788" s="422"/>
    </row>
    <row r="11789" spans="191:191" x14ac:dyDescent="0.2">
      <c r="GI11789" s="422"/>
    </row>
    <row r="11790" spans="191:191" x14ac:dyDescent="0.2">
      <c r="GI11790" s="422"/>
    </row>
    <row r="11791" spans="191:191" x14ac:dyDescent="0.2">
      <c r="GI11791" s="422"/>
    </row>
    <row r="11792" spans="191:191" x14ac:dyDescent="0.2">
      <c r="GI11792" s="422"/>
    </row>
    <row r="11793" spans="191:191" x14ac:dyDescent="0.2">
      <c r="GI11793" s="422"/>
    </row>
    <row r="11794" spans="191:191" x14ac:dyDescent="0.2">
      <c r="GI11794" s="422"/>
    </row>
    <row r="11795" spans="191:191" x14ac:dyDescent="0.2">
      <c r="GI11795" s="422"/>
    </row>
    <row r="11796" spans="191:191" x14ac:dyDescent="0.2">
      <c r="GI11796" s="422"/>
    </row>
    <row r="11797" spans="191:191" x14ac:dyDescent="0.2">
      <c r="GI11797" s="422"/>
    </row>
    <row r="11798" spans="191:191" x14ac:dyDescent="0.2">
      <c r="GI11798" s="422"/>
    </row>
    <row r="11799" spans="191:191" x14ac:dyDescent="0.2">
      <c r="GI11799" s="422"/>
    </row>
    <row r="11800" spans="191:191" x14ac:dyDescent="0.2">
      <c r="GI11800" s="422"/>
    </row>
    <row r="11801" spans="191:191" x14ac:dyDescent="0.2">
      <c r="GI11801" s="422"/>
    </row>
    <row r="11802" spans="191:191" x14ac:dyDescent="0.2">
      <c r="GI11802" s="422"/>
    </row>
    <row r="11803" spans="191:191" x14ac:dyDescent="0.2">
      <c r="GI11803" s="422"/>
    </row>
    <row r="11804" spans="191:191" x14ac:dyDescent="0.2">
      <c r="GI11804" s="422"/>
    </row>
    <row r="11805" spans="191:191" x14ac:dyDescent="0.2">
      <c r="GI11805" s="422"/>
    </row>
    <row r="11806" spans="191:191" x14ac:dyDescent="0.2">
      <c r="GI11806" s="422"/>
    </row>
    <row r="11807" spans="191:191" x14ac:dyDescent="0.2">
      <c r="GI11807" s="422"/>
    </row>
    <row r="11808" spans="191:191" x14ac:dyDescent="0.2">
      <c r="GI11808" s="422"/>
    </row>
    <row r="11809" spans="191:191" x14ac:dyDescent="0.2">
      <c r="GI11809" s="422"/>
    </row>
    <row r="11810" spans="191:191" x14ac:dyDescent="0.2">
      <c r="GI11810" s="422"/>
    </row>
    <row r="11811" spans="191:191" x14ac:dyDescent="0.2">
      <c r="GI11811" s="422"/>
    </row>
    <row r="11812" spans="191:191" x14ac:dyDescent="0.2">
      <c r="GI11812" s="422"/>
    </row>
    <row r="11813" spans="191:191" x14ac:dyDescent="0.2">
      <c r="GI11813" s="422"/>
    </row>
    <row r="11814" spans="191:191" x14ac:dyDescent="0.2">
      <c r="GI11814" s="422"/>
    </row>
    <row r="11815" spans="191:191" x14ac:dyDescent="0.2">
      <c r="GI11815" s="422"/>
    </row>
    <row r="11816" spans="191:191" x14ac:dyDescent="0.2">
      <c r="GI11816" s="422"/>
    </row>
    <row r="11817" spans="191:191" x14ac:dyDescent="0.2">
      <c r="GI11817" s="422"/>
    </row>
    <row r="11818" spans="191:191" x14ac:dyDescent="0.2">
      <c r="GI11818" s="422"/>
    </row>
    <row r="11819" spans="191:191" x14ac:dyDescent="0.2">
      <c r="GI11819" s="422"/>
    </row>
    <row r="11820" spans="191:191" x14ac:dyDescent="0.2">
      <c r="GI11820" s="422"/>
    </row>
    <row r="11821" spans="191:191" x14ac:dyDescent="0.2">
      <c r="GI11821" s="422"/>
    </row>
    <row r="11822" spans="191:191" x14ac:dyDescent="0.2">
      <c r="GI11822" s="422"/>
    </row>
    <row r="11823" spans="191:191" x14ac:dyDescent="0.2">
      <c r="GI11823" s="422"/>
    </row>
    <row r="11824" spans="191:191" x14ac:dyDescent="0.2">
      <c r="GI11824" s="422"/>
    </row>
    <row r="11825" spans="191:191" x14ac:dyDescent="0.2">
      <c r="GI11825" s="422"/>
    </row>
    <row r="11826" spans="191:191" x14ac:dyDescent="0.2">
      <c r="GI11826" s="422"/>
    </row>
    <row r="11827" spans="191:191" x14ac:dyDescent="0.2">
      <c r="GI11827" s="422"/>
    </row>
    <row r="11828" spans="191:191" x14ac:dyDescent="0.2">
      <c r="GI11828" s="422"/>
    </row>
    <row r="11829" spans="191:191" x14ac:dyDescent="0.2">
      <c r="GI11829" s="422"/>
    </row>
    <row r="11830" spans="191:191" x14ac:dyDescent="0.2">
      <c r="GI11830" s="422"/>
    </row>
    <row r="11831" spans="191:191" x14ac:dyDescent="0.2">
      <c r="GI11831" s="422"/>
    </row>
    <row r="11832" spans="191:191" x14ac:dyDescent="0.2">
      <c r="GI11832" s="422"/>
    </row>
    <row r="11833" spans="191:191" x14ac:dyDescent="0.2">
      <c r="GI11833" s="422"/>
    </row>
    <row r="11834" spans="191:191" x14ac:dyDescent="0.2">
      <c r="GI11834" s="422"/>
    </row>
    <row r="11835" spans="191:191" x14ac:dyDescent="0.2">
      <c r="GI11835" s="422"/>
    </row>
    <row r="11836" spans="191:191" x14ac:dyDescent="0.2">
      <c r="GI11836" s="422"/>
    </row>
    <row r="11837" spans="191:191" x14ac:dyDescent="0.2">
      <c r="GI11837" s="422"/>
    </row>
    <row r="11838" spans="191:191" x14ac:dyDescent="0.2">
      <c r="GI11838" s="422"/>
    </row>
    <row r="11839" spans="191:191" x14ac:dyDescent="0.2">
      <c r="GI11839" s="422"/>
    </row>
    <row r="11840" spans="191:191" x14ac:dyDescent="0.2">
      <c r="GI11840" s="422"/>
    </row>
    <row r="11841" spans="191:191" x14ac:dyDescent="0.2">
      <c r="GI11841" s="422"/>
    </row>
    <row r="11842" spans="191:191" x14ac:dyDescent="0.2">
      <c r="GI11842" s="422"/>
    </row>
    <row r="11843" spans="191:191" x14ac:dyDescent="0.2">
      <c r="GI11843" s="422"/>
    </row>
    <row r="11844" spans="191:191" x14ac:dyDescent="0.2">
      <c r="GI11844" s="422"/>
    </row>
    <row r="11845" spans="191:191" x14ac:dyDescent="0.2">
      <c r="GI11845" s="422"/>
    </row>
    <row r="11846" spans="191:191" x14ac:dyDescent="0.2">
      <c r="GI11846" s="422"/>
    </row>
    <row r="11847" spans="191:191" x14ac:dyDescent="0.2">
      <c r="GI11847" s="422"/>
    </row>
    <row r="11848" spans="191:191" x14ac:dyDescent="0.2">
      <c r="GI11848" s="422"/>
    </row>
    <row r="11849" spans="191:191" x14ac:dyDescent="0.2">
      <c r="GI11849" s="422"/>
    </row>
    <row r="11850" spans="191:191" x14ac:dyDescent="0.2">
      <c r="GI11850" s="422"/>
    </row>
    <row r="11851" spans="191:191" x14ac:dyDescent="0.2">
      <c r="GI11851" s="422"/>
    </row>
    <row r="11852" spans="191:191" x14ac:dyDescent="0.2">
      <c r="GI11852" s="422"/>
    </row>
    <row r="11853" spans="191:191" x14ac:dyDescent="0.2">
      <c r="GI11853" s="422"/>
    </row>
    <row r="11854" spans="191:191" x14ac:dyDescent="0.2">
      <c r="GI11854" s="422"/>
    </row>
    <row r="11855" spans="191:191" x14ac:dyDescent="0.2">
      <c r="GI11855" s="422"/>
    </row>
    <row r="11856" spans="191:191" x14ac:dyDescent="0.2">
      <c r="GI11856" s="422"/>
    </row>
    <row r="11857" spans="191:191" x14ac:dyDescent="0.2">
      <c r="GI11857" s="422"/>
    </row>
    <row r="11858" spans="191:191" x14ac:dyDescent="0.2">
      <c r="GI11858" s="422"/>
    </row>
    <row r="11859" spans="191:191" x14ac:dyDescent="0.2">
      <c r="GI11859" s="422"/>
    </row>
    <row r="11860" spans="191:191" x14ac:dyDescent="0.2">
      <c r="GI11860" s="422"/>
    </row>
    <row r="11861" spans="191:191" x14ac:dyDescent="0.2">
      <c r="GI11861" s="422"/>
    </row>
    <row r="11862" spans="191:191" x14ac:dyDescent="0.2">
      <c r="GI11862" s="422"/>
    </row>
    <row r="11863" spans="191:191" x14ac:dyDescent="0.2">
      <c r="GI11863" s="422"/>
    </row>
    <row r="11864" spans="191:191" x14ac:dyDescent="0.2">
      <c r="GI11864" s="422"/>
    </row>
    <row r="11865" spans="191:191" x14ac:dyDescent="0.2">
      <c r="GI11865" s="422"/>
    </row>
    <row r="11866" spans="191:191" x14ac:dyDescent="0.2">
      <c r="GI11866" s="422"/>
    </row>
    <row r="11867" spans="191:191" x14ac:dyDescent="0.2">
      <c r="GI11867" s="422"/>
    </row>
    <row r="11868" spans="191:191" x14ac:dyDescent="0.2">
      <c r="GI11868" s="422"/>
    </row>
    <row r="11869" spans="191:191" x14ac:dyDescent="0.2">
      <c r="GI11869" s="422"/>
    </row>
    <row r="11870" spans="191:191" x14ac:dyDescent="0.2">
      <c r="GI11870" s="422"/>
    </row>
    <row r="11871" spans="191:191" x14ac:dyDescent="0.2">
      <c r="GI11871" s="422"/>
    </row>
    <row r="11872" spans="191:191" x14ac:dyDescent="0.2">
      <c r="GI11872" s="422"/>
    </row>
    <row r="11873" spans="191:191" x14ac:dyDescent="0.2">
      <c r="GI11873" s="422"/>
    </row>
    <row r="11874" spans="191:191" x14ac:dyDescent="0.2">
      <c r="GI11874" s="422"/>
    </row>
    <row r="11875" spans="191:191" x14ac:dyDescent="0.2">
      <c r="GI11875" s="422"/>
    </row>
    <row r="11876" spans="191:191" x14ac:dyDescent="0.2">
      <c r="GI11876" s="422"/>
    </row>
    <row r="11877" spans="191:191" x14ac:dyDescent="0.2">
      <c r="GI11877" s="422"/>
    </row>
    <row r="11878" spans="191:191" x14ac:dyDescent="0.2">
      <c r="GI11878" s="422"/>
    </row>
    <row r="11879" spans="191:191" x14ac:dyDescent="0.2">
      <c r="GI11879" s="422"/>
    </row>
    <row r="11880" spans="191:191" x14ac:dyDescent="0.2">
      <c r="GI11880" s="422"/>
    </row>
    <row r="11881" spans="191:191" x14ac:dyDescent="0.2">
      <c r="GI11881" s="422"/>
    </row>
    <row r="11882" spans="191:191" x14ac:dyDescent="0.2">
      <c r="GI11882" s="422"/>
    </row>
    <row r="11883" spans="191:191" x14ac:dyDescent="0.2">
      <c r="GI11883" s="422"/>
    </row>
    <row r="11884" spans="191:191" x14ac:dyDescent="0.2">
      <c r="GI11884" s="422"/>
    </row>
    <row r="11885" spans="191:191" x14ac:dyDescent="0.2">
      <c r="GI11885" s="422"/>
    </row>
    <row r="11886" spans="191:191" x14ac:dyDescent="0.2">
      <c r="GI11886" s="422"/>
    </row>
    <row r="11887" spans="191:191" x14ac:dyDescent="0.2">
      <c r="GI11887" s="422"/>
    </row>
    <row r="11888" spans="191:191" x14ac:dyDescent="0.2">
      <c r="GI11888" s="422"/>
    </row>
    <row r="11889" spans="191:191" x14ac:dyDescent="0.2">
      <c r="GI11889" s="422"/>
    </row>
    <row r="11890" spans="191:191" x14ac:dyDescent="0.2">
      <c r="GI11890" s="422"/>
    </row>
    <row r="11891" spans="191:191" x14ac:dyDescent="0.2">
      <c r="GI11891" s="422"/>
    </row>
    <row r="11892" spans="191:191" x14ac:dyDescent="0.2">
      <c r="GI11892" s="422"/>
    </row>
    <row r="11893" spans="191:191" x14ac:dyDescent="0.2">
      <c r="GI11893" s="422"/>
    </row>
    <row r="11894" spans="191:191" x14ac:dyDescent="0.2">
      <c r="GI11894" s="422"/>
    </row>
    <row r="11895" spans="191:191" x14ac:dyDescent="0.2">
      <c r="GI11895" s="422"/>
    </row>
    <row r="11896" spans="191:191" x14ac:dyDescent="0.2">
      <c r="GI11896" s="422"/>
    </row>
    <row r="11897" spans="191:191" x14ac:dyDescent="0.2">
      <c r="GI11897" s="422"/>
    </row>
    <row r="11898" spans="191:191" x14ac:dyDescent="0.2">
      <c r="GI11898" s="422"/>
    </row>
    <row r="11899" spans="191:191" x14ac:dyDescent="0.2">
      <c r="GI11899" s="422"/>
    </row>
    <row r="11900" spans="191:191" x14ac:dyDescent="0.2">
      <c r="GI11900" s="422"/>
    </row>
    <row r="11901" spans="191:191" x14ac:dyDescent="0.2">
      <c r="GI11901" s="422"/>
    </row>
    <row r="11902" spans="191:191" x14ac:dyDescent="0.2">
      <c r="GI11902" s="422"/>
    </row>
    <row r="11903" spans="191:191" x14ac:dyDescent="0.2">
      <c r="GI11903" s="422"/>
    </row>
    <row r="11904" spans="191:191" x14ac:dyDescent="0.2">
      <c r="GI11904" s="422"/>
    </row>
    <row r="11905" spans="191:191" x14ac:dyDescent="0.2">
      <c r="GI11905" s="422"/>
    </row>
    <row r="11906" spans="191:191" x14ac:dyDescent="0.2">
      <c r="GI11906" s="422"/>
    </row>
    <row r="11907" spans="191:191" x14ac:dyDescent="0.2">
      <c r="GI11907" s="422"/>
    </row>
    <row r="11908" spans="191:191" x14ac:dyDescent="0.2">
      <c r="GI11908" s="422"/>
    </row>
    <row r="11909" spans="191:191" x14ac:dyDescent="0.2">
      <c r="GI11909" s="422"/>
    </row>
    <row r="11910" spans="191:191" x14ac:dyDescent="0.2">
      <c r="GI11910" s="422"/>
    </row>
    <row r="11911" spans="191:191" x14ac:dyDescent="0.2">
      <c r="GI11911" s="422"/>
    </row>
    <row r="11912" spans="191:191" x14ac:dyDescent="0.2">
      <c r="GI11912" s="422"/>
    </row>
    <row r="11913" spans="191:191" x14ac:dyDescent="0.2">
      <c r="GI11913" s="422"/>
    </row>
    <row r="11914" spans="191:191" x14ac:dyDescent="0.2">
      <c r="GI11914" s="422"/>
    </row>
    <row r="11915" spans="191:191" x14ac:dyDescent="0.2">
      <c r="GI11915" s="422"/>
    </row>
    <row r="11916" spans="191:191" x14ac:dyDescent="0.2">
      <c r="GI11916" s="422"/>
    </row>
    <row r="11917" spans="191:191" x14ac:dyDescent="0.2">
      <c r="GI11917" s="422"/>
    </row>
    <row r="11918" spans="191:191" x14ac:dyDescent="0.2">
      <c r="GI11918" s="422"/>
    </row>
    <row r="11919" spans="191:191" x14ac:dyDescent="0.2">
      <c r="GI11919" s="422"/>
    </row>
    <row r="11920" spans="191:191" x14ac:dyDescent="0.2">
      <c r="GI11920" s="422"/>
    </row>
    <row r="11921" spans="191:191" x14ac:dyDescent="0.2">
      <c r="GI11921" s="422"/>
    </row>
    <row r="11922" spans="191:191" x14ac:dyDescent="0.2">
      <c r="GI11922" s="422"/>
    </row>
    <row r="11923" spans="191:191" x14ac:dyDescent="0.2">
      <c r="GI11923" s="422"/>
    </row>
    <row r="11924" spans="191:191" x14ac:dyDescent="0.2">
      <c r="GI11924" s="422"/>
    </row>
    <row r="11925" spans="191:191" x14ac:dyDescent="0.2">
      <c r="GI11925" s="422"/>
    </row>
    <row r="11926" spans="191:191" x14ac:dyDescent="0.2">
      <c r="GI11926" s="422"/>
    </row>
    <row r="11927" spans="191:191" x14ac:dyDescent="0.2">
      <c r="GI11927" s="422"/>
    </row>
    <row r="11928" spans="191:191" x14ac:dyDescent="0.2">
      <c r="GI11928" s="422"/>
    </row>
    <row r="11929" spans="191:191" x14ac:dyDescent="0.2">
      <c r="GI11929" s="422"/>
    </row>
    <row r="11930" spans="191:191" x14ac:dyDescent="0.2">
      <c r="GI11930" s="422"/>
    </row>
    <row r="11931" spans="191:191" x14ac:dyDescent="0.2">
      <c r="GI11931" s="422"/>
    </row>
    <row r="11932" spans="191:191" x14ac:dyDescent="0.2">
      <c r="GI11932" s="422"/>
    </row>
    <row r="11933" spans="191:191" x14ac:dyDescent="0.2">
      <c r="GI11933" s="422"/>
    </row>
    <row r="11934" spans="191:191" x14ac:dyDescent="0.2">
      <c r="GI11934" s="422"/>
    </row>
    <row r="11935" spans="191:191" x14ac:dyDescent="0.2">
      <c r="GI11935" s="422"/>
    </row>
    <row r="11936" spans="191:191" x14ac:dyDescent="0.2">
      <c r="GI11936" s="422"/>
    </row>
    <row r="11937" spans="191:191" x14ac:dyDescent="0.2">
      <c r="GI11937" s="422"/>
    </row>
    <row r="11938" spans="191:191" x14ac:dyDescent="0.2">
      <c r="GI11938" s="422"/>
    </row>
    <row r="11939" spans="191:191" x14ac:dyDescent="0.2">
      <c r="GI11939" s="422"/>
    </row>
    <row r="11940" spans="191:191" x14ac:dyDescent="0.2">
      <c r="GI11940" s="422"/>
    </row>
    <row r="11941" spans="191:191" x14ac:dyDescent="0.2">
      <c r="GI11941" s="422"/>
    </row>
    <row r="11942" spans="191:191" x14ac:dyDescent="0.2">
      <c r="GI11942" s="422"/>
    </row>
    <row r="11943" spans="191:191" x14ac:dyDescent="0.2">
      <c r="GI11943" s="422"/>
    </row>
    <row r="11944" spans="191:191" x14ac:dyDescent="0.2">
      <c r="GI11944" s="422"/>
    </row>
    <row r="11945" spans="191:191" x14ac:dyDescent="0.2">
      <c r="GI11945" s="422"/>
    </row>
    <row r="11946" spans="191:191" x14ac:dyDescent="0.2">
      <c r="GI11946" s="422"/>
    </row>
    <row r="11947" spans="191:191" x14ac:dyDescent="0.2">
      <c r="GI11947" s="422"/>
    </row>
    <row r="11948" spans="191:191" x14ac:dyDescent="0.2">
      <c r="GI11948" s="422"/>
    </row>
    <row r="11949" spans="191:191" x14ac:dyDescent="0.2">
      <c r="GI11949" s="422"/>
    </row>
    <row r="11950" spans="191:191" x14ac:dyDescent="0.2">
      <c r="GI11950" s="422"/>
    </row>
    <row r="11951" spans="191:191" x14ac:dyDescent="0.2">
      <c r="GI11951" s="422"/>
    </row>
    <row r="11952" spans="191:191" x14ac:dyDescent="0.2">
      <c r="GI11952" s="422"/>
    </row>
    <row r="11953" spans="191:191" x14ac:dyDescent="0.2">
      <c r="GI11953" s="422"/>
    </row>
    <row r="11954" spans="191:191" x14ac:dyDescent="0.2">
      <c r="GI11954" s="422"/>
    </row>
    <row r="11955" spans="191:191" x14ac:dyDescent="0.2">
      <c r="GI11955" s="422"/>
    </row>
    <row r="11956" spans="191:191" x14ac:dyDescent="0.2">
      <c r="GI11956" s="422"/>
    </row>
    <row r="11957" spans="191:191" x14ac:dyDescent="0.2">
      <c r="GI11957" s="422"/>
    </row>
    <row r="11958" spans="191:191" x14ac:dyDescent="0.2">
      <c r="GI11958" s="422"/>
    </row>
    <row r="11959" spans="191:191" x14ac:dyDescent="0.2">
      <c r="GI11959" s="422"/>
    </row>
    <row r="11960" spans="191:191" x14ac:dyDescent="0.2">
      <c r="GI11960" s="422"/>
    </row>
    <row r="11961" spans="191:191" x14ac:dyDescent="0.2">
      <c r="GI11961" s="422"/>
    </row>
    <row r="11962" spans="191:191" x14ac:dyDescent="0.2">
      <c r="GI11962" s="422"/>
    </row>
    <row r="11963" spans="191:191" x14ac:dyDescent="0.2">
      <c r="GI11963" s="422"/>
    </row>
    <row r="11964" spans="191:191" x14ac:dyDescent="0.2">
      <c r="GI11964" s="422"/>
    </row>
    <row r="11965" spans="191:191" x14ac:dyDescent="0.2">
      <c r="GI11965" s="422"/>
    </row>
    <row r="11966" spans="191:191" x14ac:dyDescent="0.2">
      <c r="GI11966" s="422"/>
    </row>
    <row r="11967" spans="191:191" x14ac:dyDescent="0.2">
      <c r="GI11967" s="422"/>
    </row>
    <row r="11968" spans="191:191" x14ac:dyDescent="0.2">
      <c r="GI11968" s="422"/>
    </row>
    <row r="11969" spans="191:191" x14ac:dyDescent="0.2">
      <c r="GI11969" s="422"/>
    </row>
    <row r="11970" spans="191:191" x14ac:dyDescent="0.2">
      <c r="GI11970" s="422"/>
    </row>
    <row r="11971" spans="191:191" x14ac:dyDescent="0.2">
      <c r="GI11971" s="422"/>
    </row>
    <row r="11972" spans="191:191" x14ac:dyDescent="0.2">
      <c r="GI11972" s="422"/>
    </row>
    <row r="11973" spans="191:191" x14ac:dyDescent="0.2">
      <c r="GI11973" s="422"/>
    </row>
    <row r="11974" spans="191:191" x14ac:dyDescent="0.2">
      <c r="GI11974" s="422"/>
    </row>
    <row r="11975" spans="191:191" x14ac:dyDescent="0.2">
      <c r="GI11975" s="422"/>
    </row>
    <row r="11976" spans="191:191" x14ac:dyDescent="0.2">
      <c r="GI11976" s="422"/>
    </row>
    <row r="11977" spans="191:191" x14ac:dyDescent="0.2">
      <c r="GI11977" s="422"/>
    </row>
    <row r="11978" spans="191:191" x14ac:dyDescent="0.2">
      <c r="GI11978" s="422"/>
    </row>
    <row r="11979" spans="191:191" x14ac:dyDescent="0.2">
      <c r="GI11979" s="422"/>
    </row>
    <row r="11980" spans="191:191" x14ac:dyDescent="0.2">
      <c r="GI11980" s="422"/>
    </row>
    <row r="11981" spans="191:191" x14ac:dyDescent="0.2">
      <c r="GI11981" s="422"/>
    </row>
    <row r="11982" spans="191:191" x14ac:dyDescent="0.2">
      <c r="GI11982" s="422"/>
    </row>
    <row r="11983" spans="191:191" x14ac:dyDescent="0.2">
      <c r="GI11983" s="422"/>
    </row>
    <row r="11984" spans="191:191" x14ac:dyDescent="0.2">
      <c r="GI11984" s="422"/>
    </row>
    <row r="11985" spans="191:191" x14ac:dyDescent="0.2">
      <c r="GI11985" s="422"/>
    </row>
    <row r="11986" spans="191:191" x14ac:dyDescent="0.2">
      <c r="GI11986" s="422"/>
    </row>
    <row r="11987" spans="191:191" x14ac:dyDescent="0.2">
      <c r="GI11987" s="422"/>
    </row>
    <row r="11988" spans="191:191" x14ac:dyDescent="0.2">
      <c r="GI11988" s="422"/>
    </row>
    <row r="11989" spans="191:191" x14ac:dyDescent="0.2">
      <c r="GI11989" s="422"/>
    </row>
    <row r="11990" spans="191:191" x14ac:dyDescent="0.2">
      <c r="GI11990" s="422"/>
    </row>
    <row r="11991" spans="191:191" x14ac:dyDescent="0.2">
      <c r="GI11991" s="422"/>
    </row>
    <row r="11992" spans="191:191" x14ac:dyDescent="0.2">
      <c r="GI11992" s="422"/>
    </row>
    <row r="11993" spans="191:191" x14ac:dyDescent="0.2">
      <c r="GI11993" s="422"/>
    </row>
    <row r="11994" spans="191:191" x14ac:dyDescent="0.2">
      <c r="GI11994" s="422"/>
    </row>
    <row r="11995" spans="191:191" x14ac:dyDescent="0.2">
      <c r="GI11995" s="422"/>
    </row>
    <row r="11996" spans="191:191" x14ac:dyDescent="0.2">
      <c r="GI11996" s="422"/>
    </row>
    <row r="11997" spans="191:191" x14ac:dyDescent="0.2">
      <c r="GI11997" s="422"/>
    </row>
    <row r="11998" spans="191:191" x14ac:dyDescent="0.2">
      <c r="GI11998" s="422"/>
    </row>
    <row r="11999" spans="191:191" x14ac:dyDescent="0.2">
      <c r="GI11999" s="422"/>
    </row>
    <row r="12000" spans="191:191" x14ac:dyDescent="0.2">
      <c r="GI12000" s="422"/>
    </row>
    <row r="12001" spans="191:191" x14ac:dyDescent="0.2">
      <c r="GI12001" s="422"/>
    </row>
    <row r="12002" spans="191:191" x14ac:dyDescent="0.2">
      <c r="GI12002" s="422"/>
    </row>
    <row r="12003" spans="191:191" x14ac:dyDescent="0.2">
      <c r="GI12003" s="422"/>
    </row>
    <row r="12004" spans="191:191" x14ac:dyDescent="0.2">
      <c r="GI12004" s="422"/>
    </row>
    <row r="12005" spans="191:191" x14ac:dyDescent="0.2">
      <c r="GI12005" s="422"/>
    </row>
    <row r="12006" spans="191:191" x14ac:dyDescent="0.2">
      <c r="GI12006" s="422"/>
    </row>
    <row r="12007" spans="191:191" x14ac:dyDescent="0.2">
      <c r="GI12007" s="422"/>
    </row>
    <row r="12008" spans="191:191" x14ac:dyDescent="0.2">
      <c r="GI12008" s="422"/>
    </row>
    <row r="12009" spans="191:191" x14ac:dyDescent="0.2">
      <c r="GI12009" s="422"/>
    </row>
    <row r="12010" spans="191:191" x14ac:dyDescent="0.2">
      <c r="GI12010" s="422"/>
    </row>
    <row r="12011" spans="191:191" x14ac:dyDescent="0.2">
      <c r="GI12011" s="422"/>
    </row>
    <row r="12012" spans="191:191" x14ac:dyDescent="0.2">
      <c r="GI12012" s="422"/>
    </row>
    <row r="12013" spans="191:191" x14ac:dyDescent="0.2">
      <c r="GI12013" s="422"/>
    </row>
    <row r="12014" spans="191:191" x14ac:dyDescent="0.2">
      <c r="GI12014" s="422"/>
    </row>
    <row r="12015" spans="191:191" x14ac:dyDescent="0.2">
      <c r="GI12015" s="422"/>
    </row>
    <row r="12016" spans="191:191" x14ac:dyDescent="0.2">
      <c r="GI12016" s="422"/>
    </row>
    <row r="12017" spans="191:191" x14ac:dyDescent="0.2">
      <c r="GI12017" s="422"/>
    </row>
    <row r="12018" spans="191:191" x14ac:dyDescent="0.2">
      <c r="GI12018" s="422"/>
    </row>
    <row r="12019" spans="191:191" x14ac:dyDescent="0.2">
      <c r="GI12019" s="422"/>
    </row>
    <row r="12020" spans="191:191" x14ac:dyDescent="0.2">
      <c r="GI12020" s="422"/>
    </row>
    <row r="12021" spans="191:191" x14ac:dyDescent="0.2">
      <c r="GI12021" s="422"/>
    </row>
    <row r="12022" spans="191:191" x14ac:dyDescent="0.2">
      <c r="GI12022" s="422"/>
    </row>
    <row r="12023" spans="191:191" x14ac:dyDescent="0.2">
      <c r="GI12023" s="422"/>
    </row>
    <row r="12024" spans="191:191" x14ac:dyDescent="0.2">
      <c r="GI12024" s="422"/>
    </row>
    <row r="12025" spans="191:191" x14ac:dyDescent="0.2">
      <c r="GI12025" s="422"/>
    </row>
    <row r="12026" spans="191:191" x14ac:dyDescent="0.2">
      <c r="GI12026" s="422"/>
    </row>
    <row r="12027" spans="191:191" x14ac:dyDescent="0.2">
      <c r="GI12027" s="422"/>
    </row>
    <row r="12028" spans="191:191" x14ac:dyDescent="0.2">
      <c r="GI12028" s="422"/>
    </row>
    <row r="12029" spans="191:191" x14ac:dyDescent="0.2">
      <c r="GI12029" s="422"/>
    </row>
    <row r="12030" spans="191:191" x14ac:dyDescent="0.2">
      <c r="GI12030" s="422"/>
    </row>
    <row r="12031" spans="191:191" x14ac:dyDescent="0.2">
      <c r="GI12031" s="422"/>
    </row>
    <row r="12032" spans="191:191" x14ac:dyDescent="0.2">
      <c r="GI12032" s="422"/>
    </row>
    <row r="12033" spans="191:191" x14ac:dyDescent="0.2">
      <c r="GI12033" s="422"/>
    </row>
    <row r="12034" spans="191:191" x14ac:dyDescent="0.2">
      <c r="GI12034" s="422"/>
    </row>
    <row r="12035" spans="191:191" x14ac:dyDescent="0.2">
      <c r="GI12035" s="422"/>
    </row>
    <row r="12036" spans="191:191" x14ac:dyDescent="0.2">
      <c r="GI12036" s="422"/>
    </row>
    <row r="12037" spans="191:191" x14ac:dyDescent="0.2">
      <c r="GI12037" s="422"/>
    </row>
    <row r="12038" spans="191:191" x14ac:dyDescent="0.2">
      <c r="GI12038" s="422"/>
    </row>
    <row r="12039" spans="191:191" x14ac:dyDescent="0.2">
      <c r="GI12039" s="422"/>
    </row>
    <row r="12040" spans="191:191" x14ac:dyDescent="0.2">
      <c r="GI12040" s="422"/>
    </row>
    <row r="12041" spans="191:191" x14ac:dyDescent="0.2">
      <c r="GI12041" s="422"/>
    </row>
    <row r="12042" spans="191:191" x14ac:dyDescent="0.2">
      <c r="GI12042" s="422"/>
    </row>
    <row r="12043" spans="191:191" x14ac:dyDescent="0.2">
      <c r="GI12043" s="422"/>
    </row>
    <row r="12044" spans="191:191" x14ac:dyDescent="0.2">
      <c r="GI12044" s="422"/>
    </row>
    <row r="12045" spans="191:191" x14ac:dyDescent="0.2">
      <c r="GI12045" s="422"/>
    </row>
    <row r="12046" spans="191:191" x14ac:dyDescent="0.2">
      <c r="GI12046" s="422"/>
    </row>
    <row r="12047" spans="191:191" x14ac:dyDescent="0.2">
      <c r="GI12047" s="422"/>
    </row>
    <row r="12048" spans="191:191" x14ac:dyDescent="0.2">
      <c r="GI12048" s="422"/>
    </row>
    <row r="12049" spans="191:191" x14ac:dyDescent="0.2">
      <c r="GI12049" s="422"/>
    </row>
    <row r="12050" spans="191:191" x14ac:dyDescent="0.2">
      <c r="GI12050" s="422"/>
    </row>
    <row r="12051" spans="191:191" x14ac:dyDescent="0.2">
      <c r="GI12051" s="422"/>
    </row>
    <row r="12052" spans="191:191" x14ac:dyDescent="0.2">
      <c r="GI12052" s="422"/>
    </row>
    <row r="12053" spans="191:191" x14ac:dyDescent="0.2">
      <c r="GI12053" s="422"/>
    </row>
    <row r="12054" spans="191:191" x14ac:dyDescent="0.2">
      <c r="GI12054" s="422"/>
    </row>
    <row r="12055" spans="191:191" x14ac:dyDescent="0.2">
      <c r="GI12055" s="422"/>
    </row>
    <row r="12056" spans="191:191" x14ac:dyDescent="0.2">
      <c r="GI12056" s="422"/>
    </row>
    <row r="12057" spans="191:191" x14ac:dyDescent="0.2">
      <c r="GI12057" s="422"/>
    </row>
    <row r="12058" spans="191:191" x14ac:dyDescent="0.2">
      <c r="GI12058" s="422"/>
    </row>
    <row r="12059" spans="191:191" x14ac:dyDescent="0.2">
      <c r="GI12059" s="422"/>
    </row>
    <row r="12060" spans="191:191" x14ac:dyDescent="0.2">
      <c r="GI12060" s="422"/>
    </row>
    <row r="12061" spans="191:191" x14ac:dyDescent="0.2">
      <c r="GI12061" s="422"/>
    </row>
    <row r="12062" spans="191:191" x14ac:dyDescent="0.2">
      <c r="GI12062" s="422"/>
    </row>
    <row r="12063" spans="191:191" x14ac:dyDescent="0.2">
      <c r="GI12063" s="422"/>
    </row>
    <row r="12064" spans="191:191" x14ac:dyDescent="0.2">
      <c r="GI12064" s="422"/>
    </row>
    <row r="12065" spans="191:191" x14ac:dyDescent="0.2">
      <c r="GI12065" s="422"/>
    </row>
    <row r="12066" spans="191:191" x14ac:dyDescent="0.2">
      <c r="GI12066" s="422"/>
    </row>
    <row r="12067" spans="191:191" x14ac:dyDescent="0.2">
      <c r="GI12067" s="422"/>
    </row>
    <row r="12068" spans="191:191" x14ac:dyDescent="0.2">
      <c r="GI12068" s="422"/>
    </row>
    <row r="12069" spans="191:191" x14ac:dyDescent="0.2">
      <c r="GI12069" s="422"/>
    </row>
    <row r="12070" spans="191:191" x14ac:dyDescent="0.2">
      <c r="GI12070" s="422"/>
    </row>
    <row r="12071" spans="191:191" x14ac:dyDescent="0.2">
      <c r="GI12071" s="422"/>
    </row>
    <row r="12072" spans="191:191" x14ac:dyDescent="0.2">
      <c r="GI12072" s="422"/>
    </row>
    <row r="12073" spans="191:191" x14ac:dyDescent="0.2">
      <c r="GI12073" s="422"/>
    </row>
    <row r="12074" spans="191:191" x14ac:dyDescent="0.2">
      <c r="GI12074" s="422"/>
    </row>
    <row r="12075" spans="191:191" x14ac:dyDescent="0.2">
      <c r="GI12075" s="422"/>
    </row>
    <row r="12076" spans="191:191" x14ac:dyDescent="0.2">
      <c r="GI12076" s="422"/>
    </row>
    <row r="12077" spans="191:191" x14ac:dyDescent="0.2">
      <c r="GI12077" s="422"/>
    </row>
    <row r="12078" spans="191:191" x14ac:dyDescent="0.2">
      <c r="GI12078" s="422"/>
    </row>
    <row r="12079" spans="191:191" x14ac:dyDescent="0.2">
      <c r="GI12079" s="422"/>
    </row>
    <row r="12080" spans="191:191" x14ac:dyDescent="0.2">
      <c r="GI12080" s="422"/>
    </row>
    <row r="12081" spans="191:191" x14ac:dyDescent="0.2">
      <c r="GI12081" s="422"/>
    </row>
    <row r="12082" spans="191:191" x14ac:dyDescent="0.2">
      <c r="GI12082" s="422"/>
    </row>
    <row r="12083" spans="191:191" x14ac:dyDescent="0.2">
      <c r="GI12083" s="422"/>
    </row>
    <row r="12084" spans="191:191" x14ac:dyDescent="0.2">
      <c r="GI12084" s="422"/>
    </row>
    <row r="12085" spans="191:191" x14ac:dyDescent="0.2">
      <c r="GI12085" s="422"/>
    </row>
    <row r="12086" spans="191:191" x14ac:dyDescent="0.2">
      <c r="GI12086" s="422"/>
    </row>
    <row r="12087" spans="191:191" x14ac:dyDescent="0.2">
      <c r="GI12087" s="422"/>
    </row>
    <row r="12088" spans="191:191" x14ac:dyDescent="0.2">
      <c r="GI12088" s="422"/>
    </row>
    <row r="12089" spans="191:191" x14ac:dyDescent="0.2">
      <c r="GI12089" s="422"/>
    </row>
    <row r="12090" spans="191:191" x14ac:dyDescent="0.2">
      <c r="GI12090" s="422"/>
    </row>
    <row r="12091" spans="191:191" x14ac:dyDescent="0.2">
      <c r="GI12091" s="422"/>
    </row>
    <row r="12092" spans="191:191" x14ac:dyDescent="0.2">
      <c r="GI12092" s="422"/>
    </row>
    <row r="12093" spans="191:191" x14ac:dyDescent="0.2">
      <c r="GI12093" s="422"/>
    </row>
    <row r="12094" spans="191:191" x14ac:dyDescent="0.2">
      <c r="GI12094" s="422"/>
    </row>
    <row r="12095" spans="191:191" x14ac:dyDescent="0.2">
      <c r="GI12095" s="422"/>
    </row>
    <row r="12096" spans="191:191" x14ac:dyDescent="0.2">
      <c r="GI12096" s="422"/>
    </row>
    <row r="12097" spans="191:191" x14ac:dyDescent="0.2">
      <c r="GI12097" s="422"/>
    </row>
    <row r="12098" spans="191:191" x14ac:dyDescent="0.2">
      <c r="GI12098" s="422"/>
    </row>
    <row r="12099" spans="191:191" x14ac:dyDescent="0.2">
      <c r="GI12099" s="422"/>
    </row>
    <row r="12100" spans="191:191" x14ac:dyDescent="0.2">
      <c r="GI12100" s="422"/>
    </row>
    <row r="12101" spans="191:191" x14ac:dyDescent="0.2">
      <c r="GI12101" s="422"/>
    </row>
    <row r="12102" spans="191:191" x14ac:dyDescent="0.2">
      <c r="GI12102" s="422"/>
    </row>
    <row r="12103" spans="191:191" x14ac:dyDescent="0.2">
      <c r="GI12103" s="422"/>
    </row>
    <row r="12104" spans="191:191" x14ac:dyDescent="0.2">
      <c r="GI12104" s="422"/>
    </row>
    <row r="12105" spans="191:191" x14ac:dyDescent="0.2">
      <c r="GI12105" s="422"/>
    </row>
    <row r="12106" spans="191:191" x14ac:dyDescent="0.2">
      <c r="GI12106" s="422"/>
    </row>
    <row r="12107" spans="191:191" x14ac:dyDescent="0.2">
      <c r="GI12107" s="422"/>
    </row>
    <row r="12108" spans="191:191" x14ac:dyDescent="0.2">
      <c r="GI12108" s="422"/>
    </row>
    <row r="12109" spans="191:191" x14ac:dyDescent="0.2">
      <c r="GI12109" s="422"/>
    </row>
    <row r="12110" spans="191:191" x14ac:dyDescent="0.2">
      <c r="GI12110" s="422"/>
    </row>
    <row r="12111" spans="191:191" x14ac:dyDescent="0.2">
      <c r="GI12111" s="422"/>
    </row>
    <row r="12112" spans="191:191" x14ac:dyDescent="0.2">
      <c r="GI12112" s="422"/>
    </row>
    <row r="12113" spans="191:191" x14ac:dyDescent="0.2">
      <c r="GI12113" s="422"/>
    </row>
    <row r="12114" spans="191:191" x14ac:dyDescent="0.2">
      <c r="GI12114" s="422"/>
    </row>
    <row r="12115" spans="191:191" x14ac:dyDescent="0.2">
      <c r="GI12115" s="422"/>
    </row>
    <row r="12116" spans="191:191" x14ac:dyDescent="0.2">
      <c r="GI12116" s="422"/>
    </row>
    <row r="12117" spans="191:191" x14ac:dyDescent="0.2">
      <c r="GI12117" s="422"/>
    </row>
    <row r="12118" spans="191:191" x14ac:dyDescent="0.2">
      <c r="GI12118" s="422"/>
    </row>
    <row r="12119" spans="191:191" x14ac:dyDescent="0.2">
      <c r="GI12119" s="422"/>
    </row>
    <row r="12120" spans="191:191" x14ac:dyDescent="0.2">
      <c r="GI12120" s="422"/>
    </row>
    <row r="12121" spans="191:191" x14ac:dyDescent="0.2">
      <c r="GI12121" s="422"/>
    </row>
    <row r="12122" spans="191:191" x14ac:dyDescent="0.2">
      <c r="GI12122" s="422"/>
    </row>
    <row r="12123" spans="191:191" x14ac:dyDescent="0.2">
      <c r="GI12123" s="422"/>
    </row>
    <row r="12124" spans="191:191" x14ac:dyDescent="0.2">
      <c r="GI12124" s="422"/>
    </row>
    <row r="12125" spans="191:191" x14ac:dyDescent="0.2">
      <c r="GI12125" s="422"/>
    </row>
    <row r="12126" spans="191:191" x14ac:dyDescent="0.2">
      <c r="GI12126" s="422"/>
    </row>
    <row r="12127" spans="191:191" x14ac:dyDescent="0.2">
      <c r="GI12127" s="422"/>
    </row>
    <row r="12128" spans="191:191" x14ac:dyDescent="0.2">
      <c r="GI12128" s="422"/>
    </row>
    <row r="12129" spans="191:191" x14ac:dyDescent="0.2">
      <c r="GI12129" s="422"/>
    </row>
    <row r="12130" spans="191:191" x14ac:dyDescent="0.2">
      <c r="GI12130" s="422"/>
    </row>
    <row r="12131" spans="191:191" x14ac:dyDescent="0.2">
      <c r="GI12131" s="422"/>
    </row>
    <row r="12132" spans="191:191" x14ac:dyDescent="0.2">
      <c r="GI12132" s="422"/>
    </row>
    <row r="12133" spans="191:191" x14ac:dyDescent="0.2">
      <c r="GI12133" s="422"/>
    </row>
    <row r="12134" spans="191:191" x14ac:dyDescent="0.2">
      <c r="GI12134" s="422"/>
    </row>
    <row r="12135" spans="191:191" x14ac:dyDescent="0.2">
      <c r="GI12135" s="422"/>
    </row>
    <row r="12136" spans="191:191" x14ac:dyDescent="0.2">
      <c r="GI12136" s="422"/>
    </row>
    <row r="12137" spans="191:191" x14ac:dyDescent="0.2">
      <c r="GI12137" s="422"/>
    </row>
    <row r="12138" spans="191:191" x14ac:dyDescent="0.2">
      <c r="GI12138" s="422"/>
    </row>
    <row r="12139" spans="191:191" x14ac:dyDescent="0.2">
      <c r="GI12139" s="422"/>
    </row>
    <row r="12140" spans="191:191" x14ac:dyDescent="0.2">
      <c r="GI12140" s="422"/>
    </row>
    <row r="12141" spans="191:191" x14ac:dyDescent="0.2">
      <c r="GI12141" s="422"/>
    </row>
    <row r="12142" spans="191:191" x14ac:dyDescent="0.2">
      <c r="GI12142" s="422"/>
    </row>
    <row r="12143" spans="191:191" x14ac:dyDescent="0.2">
      <c r="GI12143" s="422"/>
    </row>
    <row r="12144" spans="191:191" x14ac:dyDescent="0.2">
      <c r="GI12144" s="422"/>
    </row>
    <row r="12145" spans="191:191" x14ac:dyDescent="0.2">
      <c r="GI12145" s="422"/>
    </row>
    <row r="12146" spans="191:191" x14ac:dyDescent="0.2">
      <c r="GI12146" s="422"/>
    </row>
    <row r="12147" spans="191:191" x14ac:dyDescent="0.2">
      <c r="GI12147" s="422"/>
    </row>
    <row r="12148" spans="191:191" x14ac:dyDescent="0.2">
      <c r="GI12148" s="422"/>
    </row>
    <row r="12149" spans="191:191" x14ac:dyDescent="0.2">
      <c r="GI12149" s="422"/>
    </row>
    <row r="12150" spans="191:191" x14ac:dyDescent="0.2">
      <c r="GI12150" s="422"/>
    </row>
    <row r="12151" spans="191:191" x14ac:dyDescent="0.2">
      <c r="GI12151" s="422"/>
    </row>
    <row r="12152" spans="191:191" x14ac:dyDescent="0.2">
      <c r="GI12152" s="422"/>
    </row>
    <row r="12153" spans="191:191" x14ac:dyDescent="0.2">
      <c r="GI12153" s="422"/>
    </row>
    <row r="12154" spans="191:191" x14ac:dyDescent="0.2">
      <c r="GI12154" s="422"/>
    </row>
    <row r="12155" spans="191:191" x14ac:dyDescent="0.2">
      <c r="GI12155" s="422"/>
    </row>
    <row r="12156" spans="191:191" x14ac:dyDescent="0.2">
      <c r="GI12156" s="422"/>
    </row>
    <row r="12157" spans="191:191" x14ac:dyDescent="0.2">
      <c r="GI12157" s="422"/>
    </row>
    <row r="12158" spans="191:191" x14ac:dyDescent="0.2">
      <c r="GI12158" s="422"/>
    </row>
    <row r="12159" spans="191:191" x14ac:dyDescent="0.2">
      <c r="GI12159" s="422"/>
    </row>
    <row r="12160" spans="191:191" x14ac:dyDescent="0.2">
      <c r="GI12160" s="422"/>
    </row>
    <row r="12161" spans="191:191" x14ac:dyDescent="0.2">
      <c r="GI12161" s="422"/>
    </row>
    <row r="12162" spans="191:191" x14ac:dyDescent="0.2">
      <c r="GI12162" s="422"/>
    </row>
    <row r="12163" spans="191:191" x14ac:dyDescent="0.2">
      <c r="GI12163" s="422"/>
    </row>
    <row r="12164" spans="191:191" x14ac:dyDescent="0.2">
      <c r="GI12164" s="422"/>
    </row>
    <row r="12165" spans="191:191" x14ac:dyDescent="0.2">
      <c r="GI12165" s="422"/>
    </row>
    <row r="12166" spans="191:191" x14ac:dyDescent="0.2">
      <c r="GI12166" s="422"/>
    </row>
    <row r="12167" spans="191:191" x14ac:dyDescent="0.2">
      <c r="GI12167" s="422"/>
    </row>
    <row r="12168" spans="191:191" x14ac:dyDescent="0.2">
      <c r="GI12168" s="422"/>
    </row>
    <row r="12169" spans="191:191" x14ac:dyDescent="0.2">
      <c r="GI12169" s="422"/>
    </row>
    <row r="12170" spans="191:191" x14ac:dyDescent="0.2">
      <c r="GI12170" s="422"/>
    </row>
    <row r="12171" spans="191:191" x14ac:dyDescent="0.2">
      <c r="GI12171" s="422"/>
    </row>
    <row r="12172" spans="191:191" x14ac:dyDescent="0.2">
      <c r="GI12172" s="422"/>
    </row>
    <row r="12173" spans="191:191" x14ac:dyDescent="0.2">
      <c r="GI12173" s="422"/>
    </row>
    <row r="12174" spans="191:191" x14ac:dyDescent="0.2">
      <c r="GI12174" s="422"/>
    </row>
    <row r="12175" spans="191:191" x14ac:dyDescent="0.2">
      <c r="GI12175" s="422"/>
    </row>
    <row r="12176" spans="191:191" x14ac:dyDescent="0.2">
      <c r="GI12176" s="422"/>
    </row>
    <row r="12177" spans="191:191" x14ac:dyDescent="0.2">
      <c r="GI12177" s="422"/>
    </row>
    <row r="12178" spans="191:191" x14ac:dyDescent="0.2">
      <c r="GI12178" s="422"/>
    </row>
    <row r="12179" spans="191:191" x14ac:dyDescent="0.2">
      <c r="GI12179" s="422"/>
    </row>
    <row r="12180" spans="191:191" x14ac:dyDescent="0.2">
      <c r="GI12180" s="422"/>
    </row>
    <row r="12181" spans="191:191" x14ac:dyDescent="0.2">
      <c r="GI12181" s="422"/>
    </row>
    <row r="12182" spans="191:191" x14ac:dyDescent="0.2">
      <c r="GI12182" s="422"/>
    </row>
    <row r="12183" spans="191:191" x14ac:dyDescent="0.2">
      <c r="GI12183" s="422"/>
    </row>
    <row r="12184" spans="191:191" x14ac:dyDescent="0.2">
      <c r="GI12184" s="422"/>
    </row>
    <row r="12185" spans="191:191" x14ac:dyDescent="0.2">
      <c r="GI12185" s="422"/>
    </row>
    <row r="12186" spans="191:191" x14ac:dyDescent="0.2">
      <c r="GI12186" s="422"/>
    </row>
    <row r="12187" spans="191:191" x14ac:dyDescent="0.2">
      <c r="GI12187" s="422"/>
    </row>
    <row r="12188" spans="191:191" x14ac:dyDescent="0.2">
      <c r="GI12188" s="422"/>
    </row>
    <row r="12189" spans="191:191" x14ac:dyDescent="0.2">
      <c r="GI12189" s="422"/>
    </row>
    <row r="12190" spans="191:191" x14ac:dyDescent="0.2">
      <c r="GI12190" s="422"/>
    </row>
    <row r="12191" spans="191:191" x14ac:dyDescent="0.2">
      <c r="GI12191" s="422"/>
    </row>
    <row r="12192" spans="191:191" x14ac:dyDescent="0.2">
      <c r="GI12192" s="422"/>
    </row>
    <row r="12193" spans="191:191" x14ac:dyDescent="0.2">
      <c r="GI12193" s="422"/>
    </row>
    <row r="12194" spans="191:191" x14ac:dyDescent="0.2">
      <c r="GI12194" s="422"/>
    </row>
    <row r="12195" spans="191:191" x14ac:dyDescent="0.2">
      <c r="GI12195" s="422"/>
    </row>
    <row r="12196" spans="191:191" x14ac:dyDescent="0.2">
      <c r="GI12196" s="422"/>
    </row>
    <row r="12197" spans="191:191" x14ac:dyDescent="0.2">
      <c r="GI12197" s="422"/>
    </row>
    <row r="12198" spans="191:191" x14ac:dyDescent="0.2">
      <c r="GI12198" s="422"/>
    </row>
    <row r="12199" spans="191:191" x14ac:dyDescent="0.2">
      <c r="GI12199" s="422"/>
    </row>
    <row r="12200" spans="191:191" x14ac:dyDescent="0.2">
      <c r="GI12200" s="422"/>
    </row>
    <row r="12201" spans="191:191" x14ac:dyDescent="0.2">
      <c r="GI12201" s="422"/>
    </row>
    <row r="12202" spans="191:191" x14ac:dyDescent="0.2">
      <c r="GI12202" s="422"/>
    </row>
    <row r="12203" spans="191:191" x14ac:dyDescent="0.2">
      <c r="GI12203" s="422"/>
    </row>
    <row r="12204" spans="191:191" x14ac:dyDescent="0.2">
      <c r="GI12204" s="422"/>
    </row>
    <row r="12205" spans="191:191" x14ac:dyDescent="0.2">
      <c r="GI12205" s="422"/>
    </row>
    <row r="12206" spans="191:191" x14ac:dyDescent="0.2">
      <c r="GI12206" s="422"/>
    </row>
    <row r="12207" spans="191:191" x14ac:dyDescent="0.2">
      <c r="GI12207" s="422"/>
    </row>
    <row r="12208" spans="191:191" x14ac:dyDescent="0.2">
      <c r="GI12208" s="422"/>
    </row>
    <row r="12209" spans="191:191" x14ac:dyDescent="0.2">
      <c r="GI12209" s="422"/>
    </row>
    <row r="12210" spans="191:191" x14ac:dyDescent="0.2">
      <c r="GI12210" s="422"/>
    </row>
    <row r="12211" spans="191:191" x14ac:dyDescent="0.2">
      <c r="GI12211" s="422"/>
    </row>
    <row r="12212" spans="191:191" x14ac:dyDescent="0.2">
      <c r="GI12212" s="422"/>
    </row>
    <row r="12213" spans="191:191" x14ac:dyDescent="0.2">
      <c r="GI12213" s="422"/>
    </row>
    <row r="12214" spans="191:191" x14ac:dyDescent="0.2">
      <c r="GI12214" s="422"/>
    </row>
    <row r="12215" spans="191:191" x14ac:dyDescent="0.2">
      <c r="GI12215" s="422"/>
    </row>
    <row r="12216" spans="191:191" x14ac:dyDescent="0.2">
      <c r="GI12216" s="422"/>
    </row>
    <row r="12217" spans="191:191" x14ac:dyDescent="0.2">
      <c r="GI12217" s="422"/>
    </row>
    <row r="12218" spans="191:191" x14ac:dyDescent="0.2">
      <c r="GI12218" s="422"/>
    </row>
    <row r="12219" spans="191:191" x14ac:dyDescent="0.2">
      <c r="GI12219" s="422"/>
    </row>
    <row r="12220" spans="191:191" x14ac:dyDescent="0.2">
      <c r="GI12220" s="422"/>
    </row>
    <row r="12221" spans="191:191" x14ac:dyDescent="0.2">
      <c r="GI12221" s="422"/>
    </row>
    <row r="12222" spans="191:191" x14ac:dyDescent="0.2">
      <c r="GI12222" s="422"/>
    </row>
    <row r="12223" spans="191:191" x14ac:dyDescent="0.2">
      <c r="GI12223" s="422"/>
    </row>
    <row r="12224" spans="191:191" x14ac:dyDescent="0.2">
      <c r="GI12224" s="422"/>
    </row>
    <row r="12225" spans="191:191" x14ac:dyDescent="0.2">
      <c r="GI12225" s="422"/>
    </row>
    <row r="12226" spans="191:191" x14ac:dyDescent="0.2">
      <c r="GI12226" s="422"/>
    </row>
    <row r="12227" spans="191:191" x14ac:dyDescent="0.2">
      <c r="GI12227" s="422"/>
    </row>
    <row r="12228" spans="191:191" x14ac:dyDescent="0.2">
      <c r="GI12228" s="422"/>
    </row>
    <row r="12229" spans="191:191" x14ac:dyDescent="0.2">
      <c r="GI12229" s="422"/>
    </row>
    <row r="12230" spans="191:191" x14ac:dyDescent="0.2">
      <c r="GI12230" s="422"/>
    </row>
    <row r="12231" spans="191:191" x14ac:dyDescent="0.2">
      <c r="GI12231" s="422"/>
    </row>
    <row r="12232" spans="191:191" x14ac:dyDescent="0.2">
      <c r="GI12232" s="422"/>
    </row>
    <row r="12233" spans="191:191" x14ac:dyDescent="0.2">
      <c r="GI12233" s="422"/>
    </row>
    <row r="12234" spans="191:191" x14ac:dyDescent="0.2">
      <c r="GI12234" s="422"/>
    </row>
    <row r="12235" spans="191:191" x14ac:dyDescent="0.2">
      <c r="GI12235" s="422"/>
    </row>
    <row r="12236" spans="191:191" x14ac:dyDescent="0.2">
      <c r="GI12236" s="422"/>
    </row>
    <row r="12237" spans="191:191" x14ac:dyDescent="0.2">
      <c r="GI12237" s="422"/>
    </row>
    <row r="12238" spans="191:191" x14ac:dyDescent="0.2">
      <c r="GI12238" s="422"/>
    </row>
    <row r="12239" spans="191:191" x14ac:dyDescent="0.2">
      <c r="GI12239" s="422"/>
    </row>
    <row r="12240" spans="191:191" x14ac:dyDescent="0.2">
      <c r="GI12240" s="422"/>
    </row>
    <row r="12241" spans="191:191" x14ac:dyDescent="0.2">
      <c r="GI12241" s="422"/>
    </row>
    <row r="12242" spans="191:191" x14ac:dyDescent="0.2">
      <c r="GI12242" s="422"/>
    </row>
    <row r="12243" spans="191:191" x14ac:dyDescent="0.2">
      <c r="GI12243" s="422"/>
    </row>
    <row r="12244" spans="191:191" x14ac:dyDescent="0.2">
      <c r="GI12244" s="422"/>
    </row>
    <row r="12245" spans="191:191" x14ac:dyDescent="0.2">
      <c r="GI12245" s="422"/>
    </row>
    <row r="12246" spans="191:191" x14ac:dyDescent="0.2">
      <c r="GI12246" s="422"/>
    </row>
    <row r="12247" spans="191:191" x14ac:dyDescent="0.2">
      <c r="GI12247" s="422"/>
    </row>
    <row r="12248" spans="191:191" x14ac:dyDescent="0.2">
      <c r="GI12248" s="422"/>
    </row>
    <row r="12249" spans="191:191" x14ac:dyDescent="0.2">
      <c r="GI12249" s="422"/>
    </row>
    <row r="12250" spans="191:191" x14ac:dyDescent="0.2">
      <c r="GI12250" s="422"/>
    </row>
    <row r="12251" spans="191:191" x14ac:dyDescent="0.2">
      <c r="GI12251" s="422"/>
    </row>
    <row r="12252" spans="191:191" x14ac:dyDescent="0.2">
      <c r="GI12252" s="422"/>
    </row>
    <row r="12253" spans="191:191" x14ac:dyDescent="0.2">
      <c r="GI12253" s="422"/>
    </row>
    <row r="12254" spans="191:191" x14ac:dyDescent="0.2">
      <c r="GI12254" s="422"/>
    </row>
    <row r="12255" spans="191:191" x14ac:dyDescent="0.2">
      <c r="GI12255" s="422"/>
    </row>
    <row r="12256" spans="191:191" x14ac:dyDescent="0.2">
      <c r="GI12256" s="422"/>
    </row>
    <row r="12257" spans="191:191" x14ac:dyDescent="0.2">
      <c r="GI12257" s="422"/>
    </row>
    <row r="12258" spans="191:191" x14ac:dyDescent="0.2">
      <c r="GI12258" s="422"/>
    </row>
    <row r="12259" spans="191:191" x14ac:dyDescent="0.2">
      <c r="GI12259" s="422"/>
    </row>
    <row r="12260" spans="191:191" x14ac:dyDescent="0.2">
      <c r="GI12260" s="422"/>
    </row>
    <row r="12261" spans="191:191" x14ac:dyDescent="0.2">
      <c r="GI12261" s="422"/>
    </row>
    <row r="12262" spans="191:191" x14ac:dyDescent="0.2">
      <c r="GI12262" s="422"/>
    </row>
    <row r="12263" spans="191:191" x14ac:dyDescent="0.2">
      <c r="GI12263" s="422"/>
    </row>
    <row r="12264" spans="191:191" x14ac:dyDescent="0.2">
      <c r="GI12264" s="422"/>
    </row>
    <row r="12265" spans="191:191" x14ac:dyDescent="0.2">
      <c r="GI12265" s="422"/>
    </row>
    <row r="12266" spans="191:191" x14ac:dyDescent="0.2">
      <c r="GI12266" s="422"/>
    </row>
    <row r="12267" spans="191:191" x14ac:dyDescent="0.2">
      <c r="GI12267" s="422"/>
    </row>
    <row r="12268" spans="191:191" x14ac:dyDescent="0.2">
      <c r="GI12268" s="422"/>
    </row>
    <row r="12269" spans="191:191" x14ac:dyDescent="0.2">
      <c r="GI12269" s="422"/>
    </row>
    <row r="12270" spans="191:191" x14ac:dyDescent="0.2">
      <c r="GI12270" s="422"/>
    </row>
    <row r="12271" spans="191:191" x14ac:dyDescent="0.2">
      <c r="GI12271" s="422"/>
    </row>
    <row r="12272" spans="191:191" x14ac:dyDescent="0.2">
      <c r="GI12272" s="422"/>
    </row>
    <row r="12273" spans="191:191" x14ac:dyDescent="0.2">
      <c r="GI12273" s="422"/>
    </row>
    <row r="12274" spans="191:191" x14ac:dyDescent="0.2">
      <c r="GI12274" s="422"/>
    </row>
    <row r="12275" spans="191:191" x14ac:dyDescent="0.2">
      <c r="GI12275" s="422"/>
    </row>
    <row r="12276" spans="191:191" x14ac:dyDescent="0.2">
      <c r="GI12276" s="422"/>
    </row>
    <row r="12277" spans="191:191" x14ac:dyDescent="0.2">
      <c r="GI12277" s="422"/>
    </row>
    <row r="12278" spans="191:191" x14ac:dyDescent="0.2">
      <c r="GI12278" s="422"/>
    </row>
    <row r="12279" spans="191:191" x14ac:dyDescent="0.2">
      <c r="GI12279" s="422"/>
    </row>
    <row r="12280" spans="191:191" x14ac:dyDescent="0.2">
      <c r="GI12280" s="422"/>
    </row>
    <row r="12281" spans="191:191" x14ac:dyDescent="0.2">
      <c r="GI12281" s="422"/>
    </row>
    <row r="12282" spans="191:191" x14ac:dyDescent="0.2">
      <c r="GI12282" s="422"/>
    </row>
    <row r="12283" spans="191:191" x14ac:dyDescent="0.2">
      <c r="GI12283" s="422"/>
    </row>
    <row r="12284" spans="191:191" x14ac:dyDescent="0.2">
      <c r="GI12284" s="422"/>
    </row>
    <row r="12285" spans="191:191" x14ac:dyDescent="0.2">
      <c r="GI12285" s="422"/>
    </row>
    <row r="12286" spans="191:191" x14ac:dyDescent="0.2">
      <c r="GI12286" s="422"/>
    </row>
    <row r="12287" spans="191:191" x14ac:dyDescent="0.2">
      <c r="GI12287" s="422"/>
    </row>
    <row r="12288" spans="191:191" x14ac:dyDescent="0.2">
      <c r="GI12288" s="422"/>
    </row>
    <row r="12289" spans="191:191" x14ac:dyDescent="0.2">
      <c r="GI12289" s="422"/>
    </row>
    <row r="12290" spans="191:191" x14ac:dyDescent="0.2">
      <c r="GI12290" s="422"/>
    </row>
    <row r="12291" spans="191:191" x14ac:dyDescent="0.2">
      <c r="GI12291" s="422"/>
    </row>
    <row r="12292" spans="191:191" x14ac:dyDescent="0.2">
      <c r="GI12292" s="422"/>
    </row>
    <row r="12293" spans="191:191" x14ac:dyDescent="0.2">
      <c r="GI12293" s="422"/>
    </row>
    <row r="12294" spans="191:191" x14ac:dyDescent="0.2">
      <c r="GI12294" s="422"/>
    </row>
    <row r="12295" spans="191:191" x14ac:dyDescent="0.2">
      <c r="GI12295" s="422"/>
    </row>
    <row r="12296" spans="191:191" x14ac:dyDescent="0.2">
      <c r="GI12296" s="422"/>
    </row>
    <row r="12297" spans="191:191" x14ac:dyDescent="0.2">
      <c r="GI12297" s="422"/>
    </row>
    <row r="12298" spans="191:191" x14ac:dyDescent="0.2">
      <c r="GI12298" s="422"/>
    </row>
    <row r="12299" spans="191:191" x14ac:dyDescent="0.2">
      <c r="GI12299" s="422"/>
    </row>
    <row r="12300" spans="191:191" x14ac:dyDescent="0.2">
      <c r="GI12300" s="422"/>
    </row>
    <row r="12301" spans="191:191" x14ac:dyDescent="0.2">
      <c r="GI12301" s="422"/>
    </row>
    <row r="12302" spans="191:191" x14ac:dyDescent="0.2">
      <c r="GI12302" s="422"/>
    </row>
    <row r="12303" spans="191:191" x14ac:dyDescent="0.2">
      <c r="GI12303" s="422"/>
    </row>
    <row r="12304" spans="191:191" x14ac:dyDescent="0.2">
      <c r="GI12304" s="422"/>
    </row>
    <row r="12305" spans="191:191" x14ac:dyDescent="0.2">
      <c r="GI12305" s="422"/>
    </row>
    <row r="12306" spans="191:191" x14ac:dyDescent="0.2">
      <c r="GI12306" s="422"/>
    </row>
    <row r="12307" spans="191:191" x14ac:dyDescent="0.2">
      <c r="GI12307" s="422"/>
    </row>
    <row r="12308" spans="191:191" x14ac:dyDescent="0.2">
      <c r="GI12308" s="422"/>
    </row>
    <row r="12309" spans="191:191" x14ac:dyDescent="0.2">
      <c r="GI12309" s="422"/>
    </row>
    <row r="12310" spans="191:191" x14ac:dyDescent="0.2">
      <c r="GI12310" s="422"/>
    </row>
    <row r="12311" spans="191:191" x14ac:dyDescent="0.2">
      <c r="GI12311" s="422"/>
    </row>
    <row r="12312" spans="191:191" x14ac:dyDescent="0.2">
      <c r="GI12312" s="422"/>
    </row>
    <row r="12313" spans="191:191" x14ac:dyDescent="0.2">
      <c r="GI12313" s="422"/>
    </row>
    <row r="12314" spans="191:191" x14ac:dyDescent="0.2">
      <c r="GI12314" s="422"/>
    </row>
    <row r="12315" spans="191:191" x14ac:dyDescent="0.2">
      <c r="GI12315" s="422"/>
    </row>
    <row r="12316" spans="191:191" x14ac:dyDescent="0.2">
      <c r="GI12316" s="422"/>
    </row>
    <row r="12317" spans="191:191" x14ac:dyDescent="0.2">
      <c r="GI12317" s="422"/>
    </row>
    <row r="12318" spans="191:191" x14ac:dyDescent="0.2">
      <c r="GI12318" s="422"/>
    </row>
    <row r="12319" spans="191:191" x14ac:dyDescent="0.2">
      <c r="GI12319" s="422"/>
    </row>
    <row r="12320" spans="191:191" x14ac:dyDescent="0.2">
      <c r="GI12320" s="422"/>
    </row>
    <row r="12321" spans="191:191" x14ac:dyDescent="0.2">
      <c r="GI12321" s="422"/>
    </row>
    <row r="12322" spans="191:191" x14ac:dyDescent="0.2">
      <c r="GI12322" s="422"/>
    </row>
    <row r="12323" spans="191:191" x14ac:dyDescent="0.2">
      <c r="GI12323" s="422"/>
    </row>
    <row r="12324" spans="191:191" x14ac:dyDescent="0.2">
      <c r="GI12324" s="422"/>
    </row>
    <row r="12325" spans="191:191" x14ac:dyDescent="0.2">
      <c r="GI12325" s="422"/>
    </row>
    <row r="12326" spans="191:191" x14ac:dyDescent="0.2">
      <c r="GI12326" s="422"/>
    </row>
    <row r="12327" spans="191:191" x14ac:dyDescent="0.2">
      <c r="GI12327" s="422"/>
    </row>
    <row r="12328" spans="191:191" x14ac:dyDescent="0.2">
      <c r="GI12328" s="422"/>
    </row>
    <row r="12329" spans="191:191" x14ac:dyDescent="0.2">
      <c r="GI12329" s="422"/>
    </row>
    <row r="12330" spans="191:191" x14ac:dyDescent="0.2">
      <c r="GI12330" s="422"/>
    </row>
    <row r="12331" spans="191:191" x14ac:dyDescent="0.2">
      <c r="GI12331" s="422"/>
    </row>
    <row r="12332" spans="191:191" x14ac:dyDescent="0.2">
      <c r="GI12332" s="422"/>
    </row>
    <row r="12333" spans="191:191" x14ac:dyDescent="0.2">
      <c r="GI12333" s="422"/>
    </row>
    <row r="12334" spans="191:191" x14ac:dyDescent="0.2">
      <c r="GI12334" s="422"/>
    </row>
    <row r="12335" spans="191:191" x14ac:dyDescent="0.2">
      <c r="GI12335" s="422"/>
    </row>
    <row r="12336" spans="191:191" x14ac:dyDescent="0.2">
      <c r="GI12336" s="422"/>
    </row>
    <row r="12337" spans="191:191" x14ac:dyDescent="0.2">
      <c r="GI12337" s="422"/>
    </row>
    <row r="12338" spans="191:191" x14ac:dyDescent="0.2">
      <c r="GI12338" s="422"/>
    </row>
    <row r="12339" spans="191:191" x14ac:dyDescent="0.2">
      <c r="GI12339" s="422"/>
    </row>
    <row r="12340" spans="191:191" x14ac:dyDescent="0.2">
      <c r="GI12340" s="422"/>
    </row>
    <row r="12341" spans="191:191" x14ac:dyDescent="0.2">
      <c r="GI12341" s="422"/>
    </row>
    <row r="12342" spans="191:191" x14ac:dyDescent="0.2">
      <c r="GI12342" s="422"/>
    </row>
    <row r="12343" spans="191:191" x14ac:dyDescent="0.2">
      <c r="GI12343" s="422"/>
    </row>
    <row r="12344" spans="191:191" x14ac:dyDescent="0.2">
      <c r="GI12344" s="422"/>
    </row>
    <row r="12345" spans="191:191" x14ac:dyDescent="0.2">
      <c r="GI12345" s="422"/>
    </row>
    <row r="12346" spans="191:191" x14ac:dyDescent="0.2">
      <c r="GI12346" s="422"/>
    </row>
    <row r="12347" spans="191:191" x14ac:dyDescent="0.2">
      <c r="GI12347" s="422"/>
    </row>
    <row r="12348" spans="191:191" x14ac:dyDescent="0.2">
      <c r="GI12348" s="422"/>
    </row>
    <row r="12349" spans="191:191" x14ac:dyDescent="0.2">
      <c r="GI12349" s="422"/>
    </row>
    <row r="12350" spans="191:191" x14ac:dyDescent="0.2">
      <c r="GI12350" s="422"/>
    </row>
    <row r="12351" spans="191:191" x14ac:dyDescent="0.2">
      <c r="GI12351" s="422"/>
    </row>
    <row r="12352" spans="191:191" x14ac:dyDescent="0.2">
      <c r="GI12352" s="422"/>
    </row>
    <row r="12353" spans="191:191" x14ac:dyDescent="0.2">
      <c r="GI12353" s="422"/>
    </row>
    <row r="12354" spans="191:191" x14ac:dyDescent="0.2">
      <c r="GI12354" s="422"/>
    </row>
    <row r="12355" spans="191:191" x14ac:dyDescent="0.2">
      <c r="GI12355" s="422"/>
    </row>
    <row r="12356" spans="191:191" x14ac:dyDescent="0.2">
      <c r="GI12356" s="422"/>
    </row>
    <row r="12357" spans="191:191" x14ac:dyDescent="0.2">
      <c r="GI12357" s="422"/>
    </row>
    <row r="12358" spans="191:191" x14ac:dyDescent="0.2">
      <c r="GI12358" s="422"/>
    </row>
    <row r="12359" spans="191:191" x14ac:dyDescent="0.2">
      <c r="GI12359" s="422"/>
    </row>
    <row r="12360" spans="191:191" x14ac:dyDescent="0.2">
      <c r="GI12360" s="422"/>
    </row>
    <row r="12361" spans="191:191" x14ac:dyDescent="0.2">
      <c r="GI12361" s="422"/>
    </row>
    <row r="12362" spans="191:191" x14ac:dyDescent="0.2">
      <c r="GI12362" s="422"/>
    </row>
    <row r="12363" spans="191:191" x14ac:dyDescent="0.2">
      <c r="GI12363" s="422"/>
    </row>
    <row r="12364" spans="191:191" x14ac:dyDescent="0.2">
      <c r="GI12364" s="422"/>
    </row>
    <row r="12365" spans="191:191" x14ac:dyDescent="0.2">
      <c r="GI12365" s="422"/>
    </row>
    <row r="12366" spans="191:191" x14ac:dyDescent="0.2">
      <c r="GI12366" s="422"/>
    </row>
    <row r="12367" spans="191:191" x14ac:dyDescent="0.2">
      <c r="GI12367" s="422"/>
    </row>
    <row r="12368" spans="191:191" x14ac:dyDescent="0.2">
      <c r="GI12368" s="422"/>
    </row>
    <row r="12369" spans="191:191" x14ac:dyDescent="0.2">
      <c r="GI12369" s="422"/>
    </row>
    <row r="12370" spans="191:191" x14ac:dyDescent="0.2">
      <c r="GI12370" s="422"/>
    </row>
    <row r="12371" spans="191:191" x14ac:dyDescent="0.2">
      <c r="GI12371" s="422"/>
    </row>
    <row r="12372" spans="191:191" x14ac:dyDescent="0.2">
      <c r="GI12372" s="422"/>
    </row>
    <row r="12373" spans="191:191" x14ac:dyDescent="0.2">
      <c r="GI12373" s="422"/>
    </row>
    <row r="12374" spans="191:191" x14ac:dyDescent="0.2">
      <c r="GI12374" s="422"/>
    </row>
    <row r="12375" spans="191:191" x14ac:dyDescent="0.2">
      <c r="GI12375" s="422"/>
    </row>
    <row r="12376" spans="191:191" x14ac:dyDescent="0.2">
      <c r="GI12376" s="422"/>
    </row>
    <row r="12377" spans="191:191" x14ac:dyDescent="0.2">
      <c r="GI12377" s="422"/>
    </row>
    <row r="12378" spans="191:191" x14ac:dyDescent="0.2">
      <c r="GI12378" s="422"/>
    </row>
    <row r="12379" spans="191:191" x14ac:dyDescent="0.2">
      <c r="GI12379" s="422"/>
    </row>
    <row r="12380" spans="191:191" x14ac:dyDescent="0.2">
      <c r="GI12380" s="422"/>
    </row>
    <row r="12381" spans="191:191" x14ac:dyDescent="0.2">
      <c r="GI12381" s="422"/>
    </row>
    <row r="12382" spans="191:191" x14ac:dyDescent="0.2">
      <c r="GI12382" s="422"/>
    </row>
    <row r="12383" spans="191:191" x14ac:dyDescent="0.2">
      <c r="GI12383" s="422"/>
    </row>
    <row r="12384" spans="191:191" x14ac:dyDescent="0.2">
      <c r="GI12384" s="422"/>
    </row>
    <row r="12385" spans="191:191" x14ac:dyDescent="0.2">
      <c r="GI12385" s="422"/>
    </row>
    <row r="12386" spans="191:191" x14ac:dyDescent="0.2">
      <c r="GI12386" s="422"/>
    </row>
    <row r="12387" spans="191:191" x14ac:dyDescent="0.2">
      <c r="GI12387" s="422"/>
    </row>
    <row r="12388" spans="191:191" x14ac:dyDescent="0.2">
      <c r="GI12388" s="422"/>
    </row>
    <row r="12389" spans="191:191" x14ac:dyDescent="0.2">
      <c r="GI12389" s="422"/>
    </row>
    <row r="12390" spans="191:191" x14ac:dyDescent="0.2">
      <c r="GI12390" s="422"/>
    </row>
    <row r="12391" spans="191:191" x14ac:dyDescent="0.2">
      <c r="GI12391" s="422"/>
    </row>
    <row r="12392" spans="191:191" x14ac:dyDescent="0.2">
      <c r="GI12392" s="422"/>
    </row>
    <row r="12393" spans="191:191" x14ac:dyDescent="0.2">
      <c r="GI12393" s="422"/>
    </row>
    <row r="12394" spans="191:191" x14ac:dyDescent="0.2">
      <c r="GI12394" s="422"/>
    </row>
    <row r="12395" spans="191:191" x14ac:dyDescent="0.2">
      <c r="GI12395" s="422"/>
    </row>
    <row r="12396" spans="191:191" x14ac:dyDescent="0.2">
      <c r="GI12396" s="422"/>
    </row>
    <row r="12397" spans="191:191" x14ac:dyDescent="0.2">
      <c r="GI12397" s="422"/>
    </row>
    <row r="12398" spans="191:191" x14ac:dyDescent="0.2">
      <c r="GI12398" s="422"/>
    </row>
    <row r="12399" spans="191:191" x14ac:dyDescent="0.2">
      <c r="GI12399" s="422"/>
    </row>
    <row r="12400" spans="191:191" x14ac:dyDescent="0.2">
      <c r="GI12400" s="422"/>
    </row>
    <row r="12401" spans="191:191" x14ac:dyDescent="0.2">
      <c r="GI12401" s="422"/>
    </row>
    <row r="12402" spans="191:191" x14ac:dyDescent="0.2">
      <c r="GI12402" s="422"/>
    </row>
    <row r="12403" spans="191:191" x14ac:dyDescent="0.2">
      <c r="GI12403" s="422"/>
    </row>
    <row r="12404" spans="191:191" x14ac:dyDescent="0.2">
      <c r="GI12404" s="422"/>
    </row>
    <row r="12405" spans="191:191" x14ac:dyDescent="0.2">
      <c r="GI12405" s="422"/>
    </row>
    <row r="12406" spans="191:191" x14ac:dyDescent="0.2">
      <c r="GI12406" s="422"/>
    </row>
    <row r="12407" spans="191:191" x14ac:dyDescent="0.2">
      <c r="GI12407" s="422"/>
    </row>
    <row r="12408" spans="191:191" x14ac:dyDescent="0.2">
      <c r="GI12408" s="422"/>
    </row>
    <row r="12409" spans="191:191" x14ac:dyDescent="0.2">
      <c r="GI12409" s="422"/>
    </row>
    <row r="12410" spans="191:191" x14ac:dyDescent="0.2">
      <c r="GI12410" s="422"/>
    </row>
    <row r="12411" spans="191:191" x14ac:dyDescent="0.2">
      <c r="GI12411" s="422"/>
    </row>
    <row r="12412" spans="191:191" x14ac:dyDescent="0.2">
      <c r="GI12412" s="422"/>
    </row>
    <row r="12413" spans="191:191" x14ac:dyDescent="0.2">
      <c r="GI12413" s="422"/>
    </row>
    <row r="12414" spans="191:191" x14ac:dyDescent="0.2">
      <c r="GI12414" s="422"/>
    </row>
    <row r="12415" spans="191:191" x14ac:dyDescent="0.2">
      <c r="GI12415" s="422"/>
    </row>
    <row r="12416" spans="191:191" x14ac:dyDescent="0.2">
      <c r="GI12416" s="422"/>
    </row>
    <row r="12417" spans="191:191" x14ac:dyDescent="0.2">
      <c r="GI12417" s="422"/>
    </row>
    <row r="12418" spans="191:191" x14ac:dyDescent="0.2">
      <c r="GI12418" s="422"/>
    </row>
    <row r="12419" spans="191:191" x14ac:dyDescent="0.2">
      <c r="GI12419" s="422"/>
    </row>
    <row r="12420" spans="191:191" x14ac:dyDescent="0.2">
      <c r="GI12420" s="422"/>
    </row>
    <row r="12421" spans="191:191" x14ac:dyDescent="0.2">
      <c r="GI12421" s="422"/>
    </row>
    <row r="12422" spans="191:191" x14ac:dyDescent="0.2">
      <c r="GI12422" s="422"/>
    </row>
    <row r="12423" spans="191:191" x14ac:dyDescent="0.2">
      <c r="GI12423" s="422"/>
    </row>
    <row r="12424" spans="191:191" x14ac:dyDescent="0.2">
      <c r="GI12424" s="422"/>
    </row>
    <row r="12425" spans="191:191" x14ac:dyDescent="0.2">
      <c r="GI12425" s="422"/>
    </row>
    <row r="12426" spans="191:191" x14ac:dyDescent="0.2">
      <c r="GI12426" s="422"/>
    </row>
    <row r="12427" spans="191:191" x14ac:dyDescent="0.2">
      <c r="GI12427" s="422"/>
    </row>
    <row r="12428" spans="191:191" x14ac:dyDescent="0.2">
      <c r="GI12428" s="422"/>
    </row>
    <row r="12429" spans="191:191" x14ac:dyDescent="0.2">
      <c r="GI12429" s="422"/>
    </row>
    <row r="12430" spans="191:191" x14ac:dyDescent="0.2">
      <c r="GI12430" s="422"/>
    </row>
    <row r="12431" spans="191:191" x14ac:dyDescent="0.2">
      <c r="GI12431" s="422"/>
    </row>
    <row r="12432" spans="191:191" x14ac:dyDescent="0.2">
      <c r="GI12432" s="422"/>
    </row>
    <row r="12433" spans="191:191" x14ac:dyDescent="0.2">
      <c r="GI12433" s="422"/>
    </row>
    <row r="12434" spans="191:191" x14ac:dyDescent="0.2">
      <c r="GI12434" s="422"/>
    </row>
    <row r="12435" spans="191:191" x14ac:dyDescent="0.2">
      <c r="GI12435" s="422"/>
    </row>
    <row r="12436" spans="191:191" x14ac:dyDescent="0.2">
      <c r="GI12436" s="422"/>
    </row>
    <row r="12437" spans="191:191" x14ac:dyDescent="0.2">
      <c r="GI12437" s="422"/>
    </row>
    <row r="12438" spans="191:191" x14ac:dyDescent="0.2">
      <c r="GI12438" s="422"/>
    </row>
    <row r="12439" spans="191:191" x14ac:dyDescent="0.2">
      <c r="GI12439" s="422"/>
    </row>
    <row r="12440" spans="191:191" x14ac:dyDescent="0.2">
      <c r="GI12440" s="422"/>
    </row>
    <row r="12441" spans="191:191" x14ac:dyDescent="0.2">
      <c r="GI12441" s="422"/>
    </row>
    <row r="12442" spans="191:191" x14ac:dyDescent="0.2">
      <c r="GI12442" s="422"/>
    </row>
    <row r="12443" spans="191:191" x14ac:dyDescent="0.2">
      <c r="GI12443" s="422"/>
    </row>
    <row r="12444" spans="191:191" x14ac:dyDescent="0.2">
      <c r="GI12444" s="422"/>
    </row>
    <row r="12445" spans="191:191" x14ac:dyDescent="0.2">
      <c r="GI12445" s="422"/>
    </row>
    <row r="12446" spans="191:191" x14ac:dyDescent="0.2">
      <c r="GI12446" s="422"/>
    </row>
    <row r="12447" spans="191:191" x14ac:dyDescent="0.2">
      <c r="GI12447" s="422"/>
    </row>
    <row r="12448" spans="191:191" x14ac:dyDescent="0.2">
      <c r="GI12448" s="422"/>
    </row>
    <row r="12449" spans="191:191" x14ac:dyDescent="0.2">
      <c r="GI12449" s="422"/>
    </row>
    <row r="12450" spans="191:191" x14ac:dyDescent="0.2">
      <c r="GI12450" s="422"/>
    </row>
    <row r="12451" spans="191:191" x14ac:dyDescent="0.2">
      <c r="GI12451" s="422"/>
    </row>
    <row r="12452" spans="191:191" x14ac:dyDescent="0.2">
      <c r="GI12452" s="422"/>
    </row>
    <row r="12453" spans="191:191" x14ac:dyDescent="0.2">
      <c r="GI12453" s="422"/>
    </row>
    <row r="12454" spans="191:191" x14ac:dyDescent="0.2">
      <c r="GI12454" s="422"/>
    </row>
    <row r="12455" spans="191:191" x14ac:dyDescent="0.2">
      <c r="GI12455" s="422"/>
    </row>
    <row r="12456" spans="191:191" x14ac:dyDescent="0.2">
      <c r="GI12456" s="422"/>
    </row>
    <row r="12457" spans="191:191" x14ac:dyDescent="0.2">
      <c r="GI12457" s="422"/>
    </row>
    <row r="12458" spans="191:191" x14ac:dyDescent="0.2">
      <c r="GI12458" s="422"/>
    </row>
    <row r="12459" spans="191:191" x14ac:dyDescent="0.2">
      <c r="GI12459" s="422"/>
    </row>
    <row r="12460" spans="191:191" x14ac:dyDescent="0.2">
      <c r="GI12460" s="422"/>
    </row>
    <row r="12461" spans="191:191" x14ac:dyDescent="0.2">
      <c r="GI12461" s="422"/>
    </row>
    <row r="12462" spans="191:191" x14ac:dyDescent="0.2">
      <c r="GI12462" s="422"/>
    </row>
    <row r="12463" spans="191:191" x14ac:dyDescent="0.2">
      <c r="GI12463" s="422"/>
    </row>
    <row r="12464" spans="191:191" x14ac:dyDescent="0.2">
      <c r="GI12464" s="422"/>
    </row>
    <row r="12465" spans="191:191" x14ac:dyDescent="0.2">
      <c r="GI12465" s="422"/>
    </row>
    <row r="12466" spans="191:191" x14ac:dyDescent="0.2">
      <c r="GI12466" s="422"/>
    </row>
    <row r="12467" spans="191:191" x14ac:dyDescent="0.2">
      <c r="GI12467" s="422"/>
    </row>
    <row r="12468" spans="191:191" x14ac:dyDescent="0.2">
      <c r="GI12468" s="422"/>
    </row>
    <row r="12469" spans="191:191" x14ac:dyDescent="0.2">
      <c r="GI12469" s="422"/>
    </row>
    <row r="12470" spans="191:191" x14ac:dyDescent="0.2">
      <c r="GI12470" s="422"/>
    </row>
    <row r="12471" spans="191:191" x14ac:dyDescent="0.2">
      <c r="GI12471" s="422"/>
    </row>
    <row r="12472" spans="191:191" x14ac:dyDescent="0.2">
      <c r="GI12472" s="422"/>
    </row>
    <row r="12473" spans="191:191" x14ac:dyDescent="0.2">
      <c r="GI12473" s="422"/>
    </row>
    <row r="12474" spans="191:191" x14ac:dyDescent="0.2">
      <c r="GI12474" s="422"/>
    </row>
    <row r="12475" spans="191:191" x14ac:dyDescent="0.2">
      <c r="GI12475" s="422"/>
    </row>
    <row r="12476" spans="191:191" x14ac:dyDescent="0.2">
      <c r="GI12476" s="422"/>
    </row>
    <row r="12477" spans="191:191" x14ac:dyDescent="0.2">
      <c r="GI12477" s="422"/>
    </row>
    <row r="12478" spans="191:191" x14ac:dyDescent="0.2">
      <c r="GI12478" s="422"/>
    </row>
    <row r="12479" spans="191:191" x14ac:dyDescent="0.2">
      <c r="GI12479" s="422"/>
    </row>
    <row r="12480" spans="191:191" x14ac:dyDescent="0.2">
      <c r="GI12480" s="422"/>
    </row>
    <row r="12481" spans="191:191" x14ac:dyDescent="0.2">
      <c r="GI12481" s="422"/>
    </row>
    <row r="12482" spans="191:191" x14ac:dyDescent="0.2">
      <c r="GI12482" s="422"/>
    </row>
    <row r="12483" spans="191:191" x14ac:dyDescent="0.2">
      <c r="GI12483" s="422"/>
    </row>
    <row r="12484" spans="191:191" x14ac:dyDescent="0.2">
      <c r="GI12484" s="422"/>
    </row>
    <row r="12485" spans="191:191" x14ac:dyDescent="0.2">
      <c r="GI12485" s="422"/>
    </row>
    <row r="12486" spans="191:191" x14ac:dyDescent="0.2">
      <c r="GI12486" s="422"/>
    </row>
    <row r="12487" spans="191:191" x14ac:dyDescent="0.2">
      <c r="GI12487" s="422"/>
    </row>
    <row r="12488" spans="191:191" x14ac:dyDescent="0.2">
      <c r="GI12488" s="422"/>
    </row>
    <row r="12489" spans="191:191" x14ac:dyDescent="0.2">
      <c r="GI12489" s="422"/>
    </row>
    <row r="12490" spans="191:191" x14ac:dyDescent="0.2">
      <c r="GI12490" s="422"/>
    </row>
    <row r="12491" spans="191:191" x14ac:dyDescent="0.2">
      <c r="GI12491" s="422"/>
    </row>
    <row r="12492" spans="191:191" x14ac:dyDescent="0.2">
      <c r="GI12492" s="422"/>
    </row>
    <row r="12493" spans="191:191" x14ac:dyDescent="0.2">
      <c r="GI12493" s="422"/>
    </row>
    <row r="12494" spans="191:191" x14ac:dyDescent="0.2">
      <c r="GI12494" s="422"/>
    </row>
    <row r="12495" spans="191:191" x14ac:dyDescent="0.2">
      <c r="GI12495" s="422"/>
    </row>
    <row r="12496" spans="191:191" x14ac:dyDescent="0.2">
      <c r="GI12496" s="422"/>
    </row>
    <row r="12497" spans="191:191" x14ac:dyDescent="0.2">
      <c r="GI12497" s="422"/>
    </row>
    <row r="12498" spans="191:191" x14ac:dyDescent="0.2">
      <c r="GI12498" s="422"/>
    </row>
    <row r="12499" spans="191:191" x14ac:dyDescent="0.2">
      <c r="GI12499" s="422"/>
    </row>
    <row r="12500" spans="191:191" x14ac:dyDescent="0.2">
      <c r="GI12500" s="422"/>
    </row>
    <row r="12501" spans="191:191" x14ac:dyDescent="0.2">
      <c r="GI12501" s="422"/>
    </row>
    <row r="12502" spans="191:191" x14ac:dyDescent="0.2">
      <c r="GI12502" s="422"/>
    </row>
    <row r="12503" spans="191:191" x14ac:dyDescent="0.2">
      <c r="GI12503" s="422"/>
    </row>
    <row r="12504" spans="191:191" x14ac:dyDescent="0.2">
      <c r="GI12504" s="422"/>
    </row>
    <row r="12505" spans="191:191" x14ac:dyDescent="0.2">
      <c r="GI12505" s="422"/>
    </row>
    <row r="12506" spans="191:191" x14ac:dyDescent="0.2">
      <c r="GI12506" s="422"/>
    </row>
    <row r="12507" spans="191:191" x14ac:dyDescent="0.2">
      <c r="GI12507" s="422"/>
    </row>
    <row r="12508" spans="191:191" x14ac:dyDescent="0.2">
      <c r="GI12508" s="422"/>
    </row>
    <row r="12509" spans="191:191" x14ac:dyDescent="0.2">
      <c r="GI12509" s="422"/>
    </row>
    <row r="12510" spans="191:191" x14ac:dyDescent="0.2">
      <c r="GI12510" s="422"/>
    </row>
    <row r="12511" spans="191:191" x14ac:dyDescent="0.2">
      <c r="GI12511" s="422"/>
    </row>
    <row r="12512" spans="191:191" x14ac:dyDescent="0.2">
      <c r="GI12512" s="422"/>
    </row>
    <row r="12513" spans="191:191" x14ac:dyDescent="0.2">
      <c r="GI12513" s="422"/>
    </row>
    <row r="12514" spans="191:191" x14ac:dyDescent="0.2">
      <c r="GI12514" s="422"/>
    </row>
    <row r="12515" spans="191:191" x14ac:dyDescent="0.2">
      <c r="GI12515" s="422"/>
    </row>
    <row r="12516" spans="191:191" x14ac:dyDescent="0.2">
      <c r="GI12516" s="422"/>
    </row>
    <row r="12517" spans="191:191" x14ac:dyDescent="0.2">
      <c r="GI12517" s="422"/>
    </row>
    <row r="12518" spans="191:191" x14ac:dyDescent="0.2">
      <c r="GI12518" s="422"/>
    </row>
    <row r="12519" spans="191:191" x14ac:dyDescent="0.2">
      <c r="GI12519" s="422"/>
    </row>
    <row r="12520" spans="191:191" x14ac:dyDescent="0.2">
      <c r="GI12520" s="422"/>
    </row>
    <row r="12521" spans="191:191" x14ac:dyDescent="0.2">
      <c r="GI12521" s="422"/>
    </row>
    <row r="12522" spans="191:191" x14ac:dyDescent="0.2">
      <c r="GI12522" s="422"/>
    </row>
    <row r="12523" spans="191:191" x14ac:dyDescent="0.2">
      <c r="GI12523" s="422"/>
    </row>
    <row r="12524" spans="191:191" x14ac:dyDescent="0.2">
      <c r="GI12524" s="422"/>
    </row>
    <row r="12525" spans="191:191" x14ac:dyDescent="0.2">
      <c r="GI12525" s="422"/>
    </row>
    <row r="12526" spans="191:191" x14ac:dyDescent="0.2">
      <c r="GI12526" s="422"/>
    </row>
    <row r="12527" spans="191:191" x14ac:dyDescent="0.2">
      <c r="GI12527" s="422"/>
    </row>
    <row r="12528" spans="191:191" x14ac:dyDescent="0.2">
      <c r="GI12528" s="422"/>
    </row>
    <row r="12529" spans="191:191" x14ac:dyDescent="0.2">
      <c r="GI12529" s="422"/>
    </row>
    <row r="12530" spans="191:191" x14ac:dyDescent="0.2">
      <c r="GI12530" s="422"/>
    </row>
    <row r="12531" spans="191:191" x14ac:dyDescent="0.2">
      <c r="GI12531" s="422"/>
    </row>
    <row r="12532" spans="191:191" x14ac:dyDescent="0.2">
      <c r="GI12532" s="422"/>
    </row>
    <row r="12533" spans="191:191" x14ac:dyDescent="0.2">
      <c r="GI12533" s="422"/>
    </row>
    <row r="12534" spans="191:191" x14ac:dyDescent="0.2">
      <c r="GI12534" s="422"/>
    </row>
    <row r="12535" spans="191:191" x14ac:dyDescent="0.2">
      <c r="GI12535" s="422"/>
    </row>
    <row r="12536" spans="191:191" x14ac:dyDescent="0.2">
      <c r="GI12536" s="422"/>
    </row>
    <row r="12537" spans="191:191" x14ac:dyDescent="0.2">
      <c r="GI12537" s="422"/>
    </row>
    <row r="12538" spans="191:191" x14ac:dyDescent="0.2">
      <c r="GI12538" s="422"/>
    </row>
    <row r="12539" spans="191:191" x14ac:dyDescent="0.2">
      <c r="GI12539" s="422"/>
    </row>
    <row r="12540" spans="191:191" x14ac:dyDescent="0.2">
      <c r="GI12540" s="422"/>
    </row>
    <row r="12541" spans="191:191" x14ac:dyDescent="0.2">
      <c r="GI12541" s="422"/>
    </row>
    <row r="12542" spans="191:191" x14ac:dyDescent="0.2">
      <c r="GI12542" s="422"/>
    </row>
    <row r="12543" spans="191:191" x14ac:dyDescent="0.2">
      <c r="GI12543" s="422"/>
    </row>
    <row r="12544" spans="191:191" x14ac:dyDescent="0.2">
      <c r="GI12544" s="422"/>
    </row>
    <row r="12545" spans="191:191" x14ac:dyDescent="0.2">
      <c r="GI12545" s="422"/>
    </row>
    <row r="12546" spans="191:191" x14ac:dyDescent="0.2">
      <c r="GI12546" s="422"/>
    </row>
    <row r="12547" spans="191:191" x14ac:dyDescent="0.2">
      <c r="GI12547" s="422"/>
    </row>
    <row r="12548" spans="191:191" x14ac:dyDescent="0.2">
      <c r="GI12548" s="422"/>
    </row>
    <row r="12549" spans="191:191" x14ac:dyDescent="0.2">
      <c r="GI12549" s="422"/>
    </row>
    <row r="12550" spans="191:191" x14ac:dyDescent="0.2">
      <c r="GI12550" s="422"/>
    </row>
    <row r="12551" spans="191:191" x14ac:dyDescent="0.2">
      <c r="GI12551" s="422"/>
    </row>
    <row r="12552" spans="191:191" x14ac:dyDescent="0.2">
      <c r="GI12552" s="422"/>
    </row>
    <row r="12553" spans="191:191" x14ac:dyDescent="0.2">
      <c r="GI12553" s="422"/>
    </row>
    <row r="12554" spans="191:191" x14ac:dyDescent="0.2">
      <c r="GI12554" s="422"/>
    </row>
    <row r="12555" spans="191:191" x14ac:dyDescent="0.2">
      <c r="GI12555" s="422"/>
    </row>
    <row r="12556" spans="191:191" x14ac:dyDescent="0.2">
      <c r="GI12556" s="422"/>
    </row>
    <row r="12557" spans="191:191" x14ac:dyDescent="0.2">
      <c r="GI12557" s="422"/>
    </row>
    <row r="12558" spans="191:191" x14ac:dyDescent="0.2">
      <c r="GI12558" s="422"/>
    </row>
    <row r="12559" spans="191:191" x14ac:dyDescent="0.2">
      <c r="GI12559" s="422"/>
    </row>
    <row r="12560" spans="191:191" x14ac:dyDescent="0.2">
      <c r="GI12560" s="422"/>
    </row>
    <row r="12561" spans="191:191" x14ac:dyDescent="0.2">
      <c r="GI12561" s="422"/>
    </row>
    <row r="12562" spans="191:191" x14ac:dyDescent="0.2">
      <c r="GI12562" s="422"/>
    </row>
    <row r="12563" spans="191:191" x14ac:dyDescent="0.2">
      <c r="GI12563" s="422"/>
    </row>
    <row r="12564" spans="191:191" x14ac:dyDescent="0.2">
      <c r="GI12564" s="422"/>
    </row>
    <row r="12565" spans="191:191" x14ac:dyDescent="0.2">
      <c r="GI12565" s="422"/>
    </row>
    <row r="12566" spans="191:191" x14ac:dyDescent="0.2">
      <c r="GI12566" s="422"/>
    </row>
    <row r="12567" spans="191:191" x14ac:dyDescent="0.2">
      <c r="GI12567" s="422"/>
    </row>
    <row r="12568" spans="191:191" x14ac:dyDescent="0.2">
      <c r="GI12568" s="422"/>
    </row>
    <row r="12569" spans="191:191" x14ac:dyDescent="0.2">
      <c r="GI12569" s="422"/>
    </row>
    <row r="12570" spans="191:191" x14ac:dyDescent="0.2">
      <c r="GI12570" s="422"/>
    </row>
    <row r="12571" spans="191:191" x14ac:dyDescent="0.2">
      <c r="GI12571" s="422"/>
    </row>
    <row r="12572" spans="191:191" x14ac:dyDescent="0.2">
      <c r="GI12572" s="422"/>
    </row>
    <row r="12573" spans="191:191" x14ac:dyDescent="0.2">
      <c r="GI12573" s="422"/>
    </row>
    <row r="12574" spans="191:191" x14ac:dyDescent="0.2">
      <c r="GI12574" s="422"/>
    </row>
    <row r="12575" spans="191:191" x14ac:dyDescent="0.2">
      <c r="GI12575" s="422"/>
    </row>
    <row r="12576" spans="191:191" x14ac:dyDescent="0.2">
      <c r="GI12576" s="422"/>
    </row>
    <row r="12577" spans="191:191" x14ac:dyDescent="0.2">
      <c r="GI12577" s="422"/>
    </row>
    <row r="12578" spans="191:191" x14ac:dyDescent="0.2">
      <c r="GI12578" s="422"/>
    </row>
    <row r="12579" spans="191:191" x14ac:dyDescent="0.2">
      <c r="GI12579" s="422"/>
    </row>
    <row r="12580" spans="191:191" x14ac:dyDescent="0.2">
      <c r="GI12580" s="422"/>
    </row>
    <row r="12581" spans="191:191" x14ac:dyDescent="0.2">
      <c r="GI12581" s="422"/>
    </row>
    <row r="12582" spans="191:191" x14ac:dyDescent="0.2">
      <c r="GI12582" s="422"/>
    </row>
    <row r="12583" spans="191:191" x14ac:dyDescent="0.2">
      <c r="GI12583" s="422"/>
    </row>
    <row r="12584" spans="191:191" x14ac:dyDescent="0.2">
      <c r="GI12584" s="422"/>
    </row>
    <row r="12585" spans="191:191" x14ac:dyDescent="0.2">
      <c r="GI12585" s="422"/>
    </row>
    <row r="12586" spans="191:191" x14ac:dyDescent="0.2">
      <c r="GI12586" s="422"/>
    </row>
    <row r="12587" spans="191:191" x14ac:dyDescent="0.2">
      <c r="GI12587" s="422"/>
    </row>
    <row r="12588" spans="191:191" x14ac:dyDescent="0.2">
      <c r="GI12588" s="422"/>
    </row>
    <row r="12589" spans="191:191" x14ac:dyDescent="0.2">
      <c r="GI12589" s="422"/>
    </row>
    <row r="12590" spans="191:191" x14ac:dyDescent="0.2">
      <c r="GI12590" s="422"/>
    </row>
    <row r="12591" spans="191:191" x14ac:dyDescent="0.2">
      <c r="GI12591" s="422"/>
    </row>
    <row r="12592" spans="191:191" x14ac:dyDescent="0.2">
      <c r="GI12592" s="422"/>
    </row>
    <row r="12593" spans="191:191" x14ac:dyDescent="0.2">
      <c r="GI12593" s="422"/>
    </row>
    <row r="12594" spans="191:191" x14ac:dyDescent="0.2">
      <c r="GI12594" s="422"/>
    </row>
    <row r="12595" spans="191:191" x14ac:dyDescent="0.2">
      <c r="GI12595" s="422"/>
    </row>
    <row r="12596" spans="191:191" x14ac:dyDescent="0.2">
      <c r="GI12596" s="422"/>
    </row>
    <row r="12597" spans="191:191" x14ac:dyDescent="0.2">
      <c r="GI12597" s="422"/>
    </row>
    <row r="12598" spans="191:191" x14ac:dyDescent="0.2">
      <c r="GI12598" s="422"/>
    </row>
    <row r="12599" spans="191:191" x14ac:dyDescent="0.2">
      <c r="GI12599" s="422"/>
    </row>
    <row r="12600" spans="191:191" x14ac:dyDescent="0.2">
      <c r="GI12600" s="422"/>
    </row>
    <row r="12601" spans="191:191" x14ac:dyDescent="0.2">
      <c r="GI12601" s="422"/>
    </row>
    <row r="12602" spans="191:191" x14ac:dyDescent="0.2">
      <c r="GI12602" s="422"/>
    </row>
    <row r="12603" spans="191:191" x14ac:dyDescent="0.2">
      <c r="GI12603" s="422"/>
    </row>
    <row r="12604" spans="191:191" x14ac:dyDescent="0.2">
      <c r="GI12604" s="422"/>
    </row>
    <row r="12605" spans="191:191" x14ac:dyDescent="0.2">
      <c r="GI12605" s="422"/>
    </row>
    <row r="12606" spans="191:191" x14ac:dyDescent="0.2">
      <c r="GI12606" s="422"/>
    </row>
    <row r="12607" spans="191:191" x14ac:dyDescent="0.2">
      <c r="GI12607" s="422"/>
    </row>
    <row r="12608" spans="191:191" x14ac:dyDescent="0.2">
      <c r="GI12608" s="422"/>
    </row>
    <row r="12609" spans="191:191" x14ac:dyDescent="0.2">
      <c r="GI12609" s="422"/>
    </row>
    <row r="12610" spans="191:191" x14ac:dyDescent="0.2">
      <c r="GI12610" s="422"/>
    </row>
    <row r="12611" spans="191:191" x14ac:dyDescent="0.2">
      <c r="GI12611" s="422"/>
    </row>
    <row r="12612" spans="191:191" x14ac:dyDescent="0.2">
      <c r="GI12612" s="422"/>
    </row>
    <row r="12613" spans="191:191" x14ac:dyDescent="0.2">
      <c r="GI12613" s="422"/>
    </row>
    <row r="12614" spans="191:191" x14ac:dyDescent="0.2">
      <c r="GI12614" s="422"/>
    </row>
    <row r="12615" spans="191:191" x14ac:dyDescent="0.2">
      <c r="GI12615" s="422"/>
    </row>
    <row r="12616" spans="191:191" x14ac:dyDescent="0.2">
      <c r="GI12616" s="422"/>
    </row>
    <row r="12617" spans="191:191" x14ac:dyDescent="0.2">
      <c r="GI12617" s="422"/>
    </row>
    <row r="12618" spans="191:191" x14ac:dyDescent="0.2">
      <c r="GI12618" s="422"/>
    </row>
    <row r="12619" spans="191:191" x14ac:dyDescent="0.2">
      <c r="GI12619" s="422"/>
    </row>
    <row r="12620" spans="191:191" x14ac:dyDescent="0.2">
      <c r="GI12620" s="422"/>
    </row>
    <row r="12621" spans="191:191" x14ac:dyDescent="0.2">
      <c r="GI12621" s="422"/>
    </row>
    <row r="12622" spans="191:191" x14ac:dyDescent="0.2">
      <c r="GI12622" s="422"/>
    </row>
    <row r="12623" spans="191:191" x14ac:dyDescent="0.2">
      <c r="GI12623" s="422"/>
    </row>
    <row r="12624" spans="191:191" x14ac:dyDescent="0.2">
      <c r="GI12624" s="422"/>
    </row>
    <row r="12625" spans="191:191" x14ac:dyDescent="0.2">
      <c r="GI12625" s="422"/>
    </row>
    <row r="12626" spans="191:191" x14ac:dyDescent="0.2">
      <c r="GI12626" s="422"/>
    </row>
    <row r="12627" spans="191:191" x14ac:dyDescent="0.2">
      <c r="GI12627" s="422"/>
    </row>
    <row r="12628" spans="191:191" x14ac:dyDescent="0.2">
      <c r="GI12628" s="422"/>
    </row>
    <row r="12629" spans="191:191" x14ac:dyDescent="0.2">
      <c r="GI12629" s="422"/>
    </row>
    <row r="12630" spans="191:191" x14ac:dyDescent="0.2">
      <c r="GI12630" s="422"/>
    </row>
    <row r="12631" spans="191:191" x14ac:dyDescent="0.2">
      <c r="GI12631" s="422"/>
    </row>
    <row r="12632" spans="191:191" x14ac:dyDescent="0.2">
      <c r="GI12632" s="422"/>
    </row>
    <row r="12633" spans="191:191" x14ac:dyDescent="0.2">
      <c r="GI12633" s="422"/>
    </row>
    <row r="12634" spans="191:191" x14ac:dyDescent="0.2">
      <c r="GI12634" s="422"/>
    </row>
    <row r="12635" spans="191:191" x14ac:dyDescent="0.2">
      <c r="GI12635" s="422"/>
    </row>
    <row r="12636" spans="191:191" x14ac:dyDescent="0.2">
      <c r="GI12636" s="422"/>
    </row>
    <row r="12637" spans="191:191" x14ac:dyDescent="0.2">
      <c r="GI12637" s="422"/>
    </row>
    <row r="12638" spans="191:191" x14ac:dyDescent="0.2">
      <c r="GI12638" s="422"/>
    </row>
    <row r="12639" spans="191:191" x14ac:dyDescent="0.2">
      <c r="GI12639" s="422"/>
    </row>
    <row r="12640" spans="191:191" x14ac:dyDescent="0.2">
      <c r="GI12640" s="422"/>
    </row>
    <row r="12641" spans="191:191" x14ac:dyDescent="0.2">
      <c r="GI12641" s="422"/>
    </row>
    <row r="12642" spans="191:191" x14ac:dyDescent="0.2">
      <c r="GI12642" s="422"/>
    </row>
    <row r="12643" spans="191:191" x14ac:dyDescent="0.2">
      <c r="GI12643" s="422"/>
    </row>
    <row r="12644" spans="191:191" x14ac:dyDescent="0.2">
      <c r="GI12644" s="422"/>
    </row>
    <row r="12645" spans="191:191" x14ac:dyDescent="0.2">
      <c r="GI12645" s="422"/>
    </row>
    <row r="12646" spans="191:191" x14ac:dyDescent="0.2">
      <c r="GI12646" s="422"/>
    </row>
    <row r="12647" spans="191:191" x14ac:dyDescent="0.2">
      <c r="GI12647" s="422"/>
    </row>
    <row r="12648" spans="191:191" x14ac:dyDescent="0.2">
      <c r="GI12648" s="422"/>
    </row>
    <row r="12649" spans="191:191" x14ac:dyDescent="0.2">
      <c r="GI12649" s="422"/>
    </row>
    <row r="12650" spans="191:191" x14ac:dyDescent="0.2">
      <c r="GI12650" s="422"/>
    </row>
    <row r="12651" spans="191:191" x14ac:dyDescent="0.2">
      <c r="GI12651" s="422"/>
    </row>
    <row r="12652" spans="191:191" x14ac:dyDescent="0.2">
      <c r="GI12652" s="422"/>
    </row>
    <row r="12653" spans="191:191" x14ac:dyDescent="0.2">
      <c r="GI12653" s="422"/>
    </row>
    <row r="12654" spans="191:191" x14ac:dyDescent="0.2">
      <c r="GI12654" s="422"/>
    </row>
    <row r="12655" spans="191:191" x14ac:dyDescent="0.2">
      <c r="GI12655" s="422"/>
    </row>
    <row r="12656" spans="191:191" x14ac:dyDescent="0.2">
      <c r="GI12656" s="422"/>
    </row>
    <row r="12657" spans="191:191" x14ac:dyDescent="0.2">
      <c r="GI12657" s="422"/>
    </row>
    <row r="12658" spans="191:191" x14ac:dyDescent="0.2">
      <c r="GI12658" s="422"/>
    </row>
    <row r="12659" spans="191:191" x14ac:dyDescent="0.2">
      <c r="GI12659" s="422"/>
    </row>
    <row r="12660" spans="191:191" x14ac:dyDescent="0.2">
      <c r="GI12660" s="422"/>
    </row>
    <row r="12661" spans="191:191" x14ac:dyDescent="0.2">
      <c r="GI12661" s="422"/>
    </row>
    <row r="12662" spans="191:191" x14ac:dyDescent="0.2">
      <c r="GI12662" s="422"/>
    </row>
    <row r="12663" spans="191:191" x14ac:dyDescent="0.2">
      <c r="GI12663" s="422"/>
    </row>
    <row r="12664" spans="191:191" x14ac:dyDescent="0.2">
      <c r="GI12664" s="422"/>
    </row>
    <row r="12665" spans="191:191" x14ac:dyDescent="0.2">
      <c r="GI12665" s="422"/>
    </row>
    <row r="12666" spans="191:191" x14ac:dyDescent="0.2">
      <c r="GI12666" s="422"/>
    </row>
    <row r="12667" spans="191:191" x14ac:dyDescent="0.2">
      <c r="GI12667" s="422"/>
    </row>
    <row r="12668" spans="191:191" x14ac:dyDescent="0.2">
      <c r="GI12668" s="422"/>
    </row>
    <row r="12669" spans="191:191" x14ac:dyDescent="0.2">
      <c r="GI12669" s="422"/>
    </row>
    <row r="12670" spans="191:191" x14ac:dyDescent="0.2">
      <c r="GI12670" s="422"/>
    </row>
    <row r="12671" spans="191:191" x14ac:dyDescent="0.2">
      <c r="GI12671" s="422"/>
    </row>
    <row r="12672" spans="191:191" x14ac:dyDescent="0.2">
      <c r="GI12672" s="422"/>
    </row>
    <row r="12673" spans="191:191" x14ac:dyDescent="0.2">
      <c r="GI12673" s="422"/>
    </row>
    <row r="12674" spans="191:191" x14ac:dyDescent="0.2">
      <c r="GI12674" s="422"/>
    </row>
    <row r="12675" spans="191:191" x14ac:dyDescent="0.2">
      <c r="GI12675" s="422"/>
    </row>
    <row r="12676" spans="191:191" x14ac:dyDescent="0.2">
      <c r="GI12676" s="422"/>
    </row>
    <row r="12677" spans="191:191" x14ac:dyDescent="0.2">
      <c r="GI12677" s="422"/>
    </row>
    <row r="12678" spans="191:191" x14ac:dyDescent="0.2">
      <c r="GI12678" s="422"/>
    </row>
    <row r="12679" spans="191:191" x14ac:dyDescent="0.2">
      <c r="GI12679" s="422"/>
    </row>
    <row r="12680" spans="191:191" x14ac:dyDescent="0.2">
      <c r="GI12680" s="422"/>
    </row>
    <row r="12681" spans="191:191" x14ac:dyDescent="0.2">
      <c r="GI12681" s="422"/>
    </row>
    <row r="12682" spans="191:191" x14ac:dyDescent="0.2">
      <c r="GI12682" s="422"/>
    </row>
    <row r="12683" spans="191:191" x14ac:dyDescent="0.2">
      <c r="GI12683" s="422"/>
    </row>
    <row r="12684" spans="191:191" x14ac:dyDescent="0.2">
      <c r="GI12684" s="422"/>
    </row>
    <row r="12685" spans="191:191" x14ac:dyDescent="0.2">
      <c r="GI12685" s="422"/>
    </row>
    <row r="12686" spans="191:191" x14ac:dyDescent="0.2">
      <c r="GI12686" s="422"/>
    </row>
    <row r="12687" spans="191:191" x14ac:dyDescent="0.2">
      <c r="GI12687" s="422"/>
    </row>
    <row r="12688" spans="191:191" x14ac:dyDescent="0.2">
      <c r="GI12688" s="422"/>
    </row>
    <row r="12689" spans="191:191" x14ac:dyDescent="0.2">
      <c r="GI12689" s="422"/>
    </row>
    <row r="12690" spans="191:191" x14ac:dyDescent="0.2">
      <c r="GI12690" s="422"/>
    </row>
    <row r="12691" spans="191:191" x14ac:dyDescent="0.2">
      <c r="GI12691" s="422"/>
    </row>
    <row r="12692" spans="191:191" x14ac:dyDescent="0.2">
      <c r="GI12692" s="422"/>
    </row>
    <row r="12693" spans="191:191" x14ac:dyDescent="0.2">
      <c r="GI12693" s="422"/>
    </row>
    <row r="12694" spans="191:191" x14ac:dyDescent="0.2">
      <c r="GI12694" s="422"/>
    </row>
    <row r="12695" spans="191:191" x14ac:dyDescent="0.2">
      <c r="GI12695" s="422"/>
    </row>
    <row r="12696" spans="191:191" x14ac:dyDescent="0.2">
      <c r="GI12696" s="422"/>
    </row>
    <row r="12697" spans="191:191" x14ac:dyDescent="0.2">
      <c r="GI12697" s="422"/>
    </row>
    <row r="12698" spans="191:191" x14ac:dyDescent="0.2">
      <c r="GI12698" s="422"/>
    </row>
    <row r="12699" spans="191:191" x14ac:dyDescent="0.2">
      <c r="GI12699" s="422"/>
    </row>
    <row r="12700" spans="191:191" x14ac:dyDescent="0.2">
      <c r="GI12700" s="422"/>
    </row>
    <row r="12701" spans="191:191" x14ac:dyDescent="0.2">
      <c r="GI12701" s="422"/>
    </row>
    <row r="12702" spans="191:191" x14ac:dyDescent="0.2">
      <c r="GI12702" s="422"/>
    </row>
    <row r="12703" spans="191:191" x14ac:dyDescent="0.2">
      <c r="GI12703" s="422"/>
    </row>
    <row r="12704" spans="191:191" x14ac:dyDescent="0.2">
      <c r="GI12704" s="422"/>
    </row>
    <row r="12705" spans="191:191" x14ac:dyDescent="0.2">
      <c r="GI12705" s="422"/>
    </row>
    <row r="12706" spans="191:191" x14ac:dyDescent="0.2">
      <c r="GI12706" s="422"/>
    </row>
    <row r="12707" spans="191:191" x14ac:dyDescent="0.2">
      <c r="GI12707" s="422"/>
    </row>
    <row r="12708" spans="191:191" x14ac:dyDescent="0.2">
      <c r="GI12708" s="422"/>
    </row>
    <row r="12709" spans="191:191" x14ac:dyDescent="0.2">
      <c r="GI12709" s="422"/>
    </row>
    <row r="12710" spans="191:191" x14ac:dyDescent="0.2">
      <c r="GI12710" s="422"/>
    </row>
    <row r="12711" spans="191:191" x14ac:dyDescent="0.2">
      <c r="GI12711" s="422"/>
    </row>
    <row r="12712" spans="191:191" x14ac:dyDescent="0.2">
      <c r="GI12712" s="422"/>
    </row>
    <row r="12713" spans="191:191" x14ac:dyDescent="0.2">
      <c r="GI12713" s="422"/>
    </row>
    <row r="12714" spans="191:191" x14ac:dyDescent="0.2">
      <c r="GI12714" s="422"/>
    </row>
    <row r="12715" spans="191:191" x14ac:dyDescent="0.2">
      <c r="GI12715" s="422"/>
    </row>
    <row r="12716" spans="191:191" x14ac:dyDescent="0.2">
      <c r="GI12716" s="422"/>
    </row>
    <row r="12717" spans="191:191" x14ac:dyDescent="0.2">
      <c r="GI12717" s="422"/>
    </row>
    <row r="12718" spans="191:191" x14ac:dyDescent="0.2">
      <c r="GI12718" s="422"/>
    </row>
    <row r="12719" spans="191:191" x14ac:dyDescent="0.2">
      <c r="GI12719" s="422"/>
    </row>
    <row r="12720" spans="191:191" x14ac:dyDescent="0.2">
      <c r="GI12720" s="422"/>
    </row>
    <row r="12721" spans="191:191" x14ac:dyDescent="0.2">
      <c r="GI12721" s="422"/>
    </row>
    <row r="12722" spans="191:191" x14ac:dyDescent="0.2">
      <c r="GI12722" s="422"/>
    </row>
    <row r="12723" spans="191:191" x14ac:dyDescent="0.2">
      <c r="GI12723" s="422"/>
    </row>
    <row r="12724" spans="191:191" x14ac:dyDescent="0.2">
      <c r="GI12724" s="422"/>
    </row>
    <row r="12725" spans="191:191" x14ac:dyDescent="0.2">
      <c r="GI12725" s="422"/>
    </row>
    <row r="12726" spans="191:191" x14ac:dyDescent="0.2">
      <c r="GI12726" s="422"/>
    </row>
    <row r="12727" spans="191:191" x14ac:dyDescent="0.2">
      <c r="GI12727" s="422"/>
    </row>
    <row r="12728" spans="191:191" x14ac:dyDescent="0.2">
      <c r="GI12728" s="422"/>
    </row>
    <row r="12729" spans="191:191" x14ac:dyDescent="0.2">
      <c r="GI12729" s="422"/>
    </row>
    <row r="12730" spans="191:191" x14ac:dyDescent="0.2">
      <c r="GI12730" s="422"/>
    </row>
    <row r="12731" spans="191:191" x14ac:dyDescent="0.2">
      <c r="GI12731" s="422"/>
    </row>
    <row r="12732" spans="191:191" x14ac:dyDescent="0.2">
      <c r="GI12732" s="422"/>
    </row>
    <row r="12733" spans="191:191" x14ac:dyDescent="0.2">
      <c r="GI12733" s="422"/>
    </row>
    <row r="12734" spans="191:191" x14ac:dyDescent="0.2">
      <c r="GI12734" s="422"/>
    </row>
    <row r="12735" spans="191:191" x14ac:dyDescent="0.2">
      <c r="GI12735" s="422"/>
    </row>
    <row r="12736" spans="191:191" x14ac:dyDescent="0.2">
      <c r="GI12736" s="422"/>
    </row>
    <row r="12737" spans="191:191" x14ac:dyDescent="0.2">
      <c r="GI12737" s="422"/>
    </row>
    <row r="12738" spans="191:191" x14ac:dyDescent="0.2">
      <c r="GI12738" s="422"/>
    </row>
    <row r="12739" spans="191:191" x14ac:dyDescent="0.2">
      <c r="GI12739" s="422"/>
    </row>
    <row r="12740" spans="191:191" x14ac:dyDescent="0.2">
      <c r="GI12740" s="422"/>
    </row>
    <row r="12741" spans="191:191" x14ac:dyDescent="0.2">
      <c r="GI12741" s="422"/>
    </row>
    <row r="12742" spans="191:191" x14ac:dyDescent="0.2">
      <c r="GI12742" s="422"/>
    </row>
    <row r="12743" spans="191:191" x14ac:dyDescent="0.2">
      <c r="GI12743" s="422"/>
    </row>
    <row r="12744" spans="191:191" x14ac:dyDescent="0.2">
      <c r="GI12744" s="422"/>
    </row>
    <row r="12745" spans="191:191" x14ac:dyDescent="0.2">
      <c r="GI12745" s="422"/>
    </row>
    <row r="12746" spans="191:191" x14ac:dyDescent="0.2">
      <c r="GI12746" s="422"/>
    </row>
    <row r="12747" spans="191:191" x14ac:dyDescent="0.2">
      <c r="GI12747" s="422"/>
    </row>
    <row r="12748" spans="191:191" x14ac:dyDescent="0.2">
      <c r="GI12748" s="422"/>
    </row>
    <row r="12749" spans="191:191" x14ac:dyDescent="0.2">
      <c r="GI12749" s="422"/>
    </row>
    <row r="12750" spans="191:191" x14ac:dyDescent="0.2">
      <c r="GI12750" s="422"/>
    </row>
    <row r="12751" spans="191:191" x14ac:dyDescent="0.2">
      <c r="GI12751" s="422"/>
    </row>
    <row r="12752" spans="191:191" x14ac:dyDescent="0.2">
      <c r="GI12752" s="422"/>
    </row>
    <row r="12753" spans="191:191" x14ac:dyDescent="0.2">
      <c r="GI12753" s="422"/>
    </row>
    <row r="12754" spans="191:191" x14ac:dyDescent="0.2">
      <c r="GI12754" s="422"/>
    </row>
    <row r="12755" spans="191:191" x14ac:dyDescent="0.2">
      <c r="GI12755" s="422"/>
    </row>
    <row r="12756" spans="191:191" x14ac:dyDescent="0.2">
      <c r="GI12756" s="422"/>
    </row>
    <row r="12757" spans="191:191" x14ac:dyDescent="0.2">
      <c r="GI12757" s="422"/>
    </row>
    <row r="12758" spans="191:191" x14ac:dyDescent="0.2">
      <c r="GI12758" s="422"/>
    </row>
    <row r="12759" spans="191:191" x14ac:dyDescent="0.2">
      <c r="GI12759" s="422"/>
    </row>
    <row r="12760" spans="191:191" x14ac:dyDescent="0.2">
      <c r="GI12760" s="422"/>
    </row>
    <row r="12761" spans="191:191" x14ac:dyDescent="0.2">
      <c r="GI12761" s="422"/>
    </row>
    <row r="12762" spans="191:191" x14ac:dyDescent="0.2">
      <c r="GI12762" s="422"/>
    </row>
    <row r="12763" spans="191:191" x14ac:dyDescent="0.2">
      <c r="GI12763" s="422"/>
    </row>
    <row r="12764" spans="191:191" x14ac:dyDescent="0.2">
      <c r="GI12764" s="422"/>
    </row>
    <row r="12765" spans="191:191" x14ac:dyDescent="0.2">
      <c r="GI12765" s="422"/>
    </row>
    <row r="12766" spans="191:191" x14ac:dyDescent="0.2">
      <c r="GI12766" s="422"/>
    </row>
    <row r="12767" spans="191:191" x14ac:dyDescent="0.2">
      <c r="GI12767" s="422"/>
    </row>
    <row r="12768" spans="191:191" x14ac:dyDescent="0.2">
      <c r="GI12768" s="422"/>
    </row>
    <row r="12769" spans="191:191" x14ac:dyDescent="0.2">
      <c r="GI12769" s="422"/>
    </row>
    <row r="12770" spans="191:191" x14ac:dyDescent="0.2">
      <c r="GI12770" s="422"/>
    </row>
    <row r="12771" spans="191:191" x14ac:dyDescent="0.2">
      <c r="GI12771" s="422"/>
    </row>
    <row r="12772" spans="191:191" x14ac:dyDescent="0.2">
      <c r="GI12772" s="422"/>
    </row>
    <row r="12773" spans="191:191" x14ac:dyDescent="0.2">
      <c r="GI12773" s="422"/>
    </row>
    <row r="12774" spans="191:191" x14ac:dyDescent="0.2">
      <c r="GI12774" s="422"/>
    </row>
    <row r="12775" spans="191:191" x14ac:dyDescent="0.2">
      <c r="GI12775" s="422"/>
    </row>
    <row r="12776" spans="191:191" x14ac:dyDescent="0.2">
      <c r="GI12776" s="422"/>
    </row>
    <row r="12777" spans="191:191" x14ac:dyDescent="0.2">
      <c r="GI12777" s="422"/>
    </row>
    <row r="12778" spans="191:191" x14ac:dyDescent="0.2">
      <c r="GI12778" s="422"/>
    </row>
    <row r="12779" spans="191:191" x14ac:dyDescent="0.2">
      <c r="GI12779" s="422"/>
    </row>
    <row r="12780" spans="191:191" x14ac:dyDescent="0.2">
      <c r="GI12780" s="422"/>
    </row>
    <row r="12781" spans="191:191" x14ac:dyDescent="0.2">
      <c r="GI12781" s="422"/>
    </row>
    <row r="12782" spans="191:191" x14ac:dyDescent="0.2">
      <c r="GI12782" s="422"/>
    </row>
    <row r="12783" spans="191:191" x14ac:dyDescent="0.2">
      <c r="GI12783" s="422"/>
    </row>
    <row r="12784" spans="191:191" x14ac:dyDescent="0.2">
      <c r="GI12784" s="422"/>
    </row>
    <row r="12785" spans="191:191" x14ac:dyDescent="0.2">
      <c r="GI12785" s="422"/>
    </row>
    <row r="12786" spans="191:191" x14ac:dyDescent="0.2">
      <c r="GI12786" s="422"/>
    </row>
    <row r="12787" spans="191:191" x14ac:dyDescent="0.2">
      <c r="GI12787" s="422"/>
    </row>
    <row r="12788" spans="191:191" x14ac:dyDescent="0.2">
      <c r="GI12788" s="422"/>
    </row>
    <row r="12789" spans="191:191" x14ac:dyDescent="0.2">
      <c r="GI12789" s="422"/>
    </row>
    <row r="12790" spans="191:191" x14ac:dyDescent="0.2">
      <c r="GI12790" s="422"/>
    </row>
    <row r="12791" spans="191:191" x14ac:dyDescent="0.2">
      <c r="GI12791" s="422"/>
    </row>
    <row r="12792" spans="191:191" x14ac:dyDescent="0.2">
      <c r="GI12792" s="422"/>
    </row>
    <row r="12793" spans="191:191" x14ac:dyDescent="0.2">
      <c r="GI12793" s="422"/>
    </row>
    <row r="12794" spans="191:191" x14ac:dyDescent="0.2">
      <c r="GI12794" s="422"/>
    </row>
    <row r="12795" spans="191:191" x14ac:dyDescent="0.2">
      <c r="GI12795" s="422"/>
    </row>
    <row r="12796" spans="191:191" x14ac:dyDescent="0.2">
      <c r="GI12796" s="422"/>
    </row>
    <row r="12797" spans="191:191" x14ac:dyDescent="0.2">
      <c r="GI12797" s="422"/>
    </row>
    <row r="12798" spans="191:191" x14ac:dyDescent="0.2">
      <c r="GI12798" s="422"/>
    </row>
    <row r="12799" spans="191:191" x14ac:dyDescent="0.2">
      <c r="GI12799" s="422"/>
    </row>
    <row r="12800" spans="191:191" x14ac:dyDescent="0.2">
      <c r="GI12800" s="422"/>
    </row>
    <row r="12801" spans="191:191" x14ac:dyDescent="0.2">
      <c r="GI12801" s="422"/>
    </row>
    <row r="12802" spans="191:191" x14ac:dyDescent="0.2">
      <c r="GI12802" s="422"/>
    </row>
    <row r="12803" spans="191:191" x14ac:dyDescent="0.2">
      <c r="GI12803" s="422"/>
    </row>
    <row r="12804" spans="191:191" x14ac:dyDescent="0.2">
      <c r="GI12804" s="422"/>
    </row>
    <row r="12805" spans="191:191" x14ac:dyDescent="0.2">
      <c r="GI12805" s="422"/>
    </row>
    <row r="12806" spans="191:191" x14ac:dyDescent="0.2">
      <c r="GI12806" s="422"/>
    </row>
    <row r="12807" spans="191:191" x14ac:dyDescent="0.2">
      <c r="GI12807" s="422"/>
    </row>
    <row r="12808" spans="191:191" x14ac:dyDescent="0.2">
      <c r="GI12808" s="422"/>
    </row>
    <row r="12809" spans="191:191" x14ac:dyDescent="0.2">
      <c r="GI12809" s="422"/>
    </row>
    <row r="12810" spans="191:191" x14ac:dyDescent="0.2">
      <c r="GI12810" s="422"/>
    </row>
    <row r="12811" spans="191:191" x14ac:dyDescent="0.2">
      <c r="GI12811" s="422"/>
    </row>
    <row r="12812" spans="191:191" x14ac:dyDescent="0.2">
      <c r="GI12812" s="422"/>
    </row>
    <row r="12813" spans="191:191" x14ac:dyDescent="0.2">
      <c r="GI12813" s="422"/>
    </row>
    <row r="12814" spans="191:191" x14ac:dyDescent="0.2">
      <c r="GI12814" s="422"/>
    </row>
    <row r="12815" spans="191:191" x14ac:dyDescent="0.2">
      <c r="GI12815" s="422"/>
    </row>
    <row r="12816" spans="191:191" x14ac:dyDescent="0.2">
      <c r="GI12816" s="422"/>
    </row>
    <row r="12817" spans="191:191" x14ac:dyDescent="0.2">
      <c r="GI12817" s="422"/>
    </row>
    <row r="12818" spans="191:191" x14ac:dyDescent="0.2">
      <c r="GI12818" s="422"/>
    </row>
    <row r="12819" spans="191:191" x14ac:dyDescent="0.2">
      <c r="GI12819" s="422"/>
    </row>
    <row r="12820" spans="191:191" x14ac:dyDescent="0.2">
      <c r="GI12820" s="422"/>
    </row>
    <row r="12821" spans="191:191" x14ac:dyDescent="0.2">
      <c r="GI12821" s="422"/>
    </row>
    <row r="12822" spans="191:191" x14ac:dyDescent="0.2">
      <c r="GI12822" s="422"/>
    </row>
    <row r="12823" spans="191:191" x14ac:dyDescent="0.2">
      <c r="GI12823" s="422"/>
    </row>
    <row r="12824" spans="191:191" x14ac:dyDescent="0.2">
      <c r="GI12824" s="422"/>
    </row>
    <row r="12825" spans="191:191" x14ac:dyDescent="0.2">
      <c r="GI12825" s="422"/>
    </row>
    <row r="12826" spans="191:191" x14ac:dyDescent="0.2">
      <c r="GI12826" s="422"/>
    </row>
    <row r="12827" spans="191:191" x14ac:dyDescent="0.2">
      <c r="GI12827" s="422"/>
    </row>
    <row r="12828" spans="191:191" x14ac:dyDescent="0.2">
      <c r="GI12828" s="422"/>
    </row>
    <row r="12829" spans="191:191" x14ac:dyDescent="0.2">
      <c r="GI12829" s="422"/>
    </row>
    <row r="12830" spans="191:191" x14ac:dyDescent="0.2">
      <c r="GI12830" s="422"/>
    </row>
    <row r="12831" spans="191:191" x14ac:dyDescent="0.2">
      <c r="GI12831" s="422"/>
    </row>
    <row r="12832" spans="191:191" x14ac:dyDescent="0.2">
      <c r="GI12832" s="422"/>
    </row>
    <row r="12833" spans="191:191" x14ac:dyDescent="0.2">
      <c r="GI12833" s="422"/>
    </row>
    <row r="12834" spans="191:191" x14ac:dyDescent="0.2">
      <c r="GI12834" s="422"/>
    </row>
    <row r="12835" spans="191:191" x14ac:dyDescent="0.2">
      <c r="GI12835" s="422"/>
    </row>
    <row r="12836" spans="191:191" x14ac:dyDescent="0.2">
      <c r="GI12836" s="422"/>
    </row>
    <row r="12837" spans="191:191" x14ac:dyDescent="0.2">
      <c r="GI12837" s="422"/>
    </row>
    <row r="12838" spans="191:191" x14ac:dyDescent="0.2">
      <c r="GI12838" s="422"/>
    </row>
    <row r="12839" spans="191:191" x14ac:dyDescent="0.2">
      <c r="GI12839" s="422"/>
    </row>
    <row r="12840" spans="191:191" x14ac:dyDescent="0.2">
      <c r="GI12840" s="422"/>
    </row>
    <row r="12841" spans="191:191" x14ac:dyDescent="0.2">
      <c r="GI12841" s="422"/>
    </row>
    <row r="12842" spans="191:191" x14ac:dyDescent="0.2">
      <c r="GI12842" s="422"/>
    </row>
    <row r="12843" spans="191:191" x14ac:dyDescent="0.2">
      <c r="GI12843" s="422"/>
    </row>
    <row r="12844" spans="191:191" x14ac:dyDescent="0.2">
      <c r="GI12844" s="422"/>
    </row>
    <row r="12845" spans="191:191" x14ac:dyDescent="0.2">
      <c r="GI12845" s="422"/>
    </row>
    <row r="12846" spans="191:191" x14ac:dyDescent="0.2">
      <c r="GI12846" s="422"/>
    </row>
    <row r="12847" spans="191:191" x14ac:dyDescent="0.2">
      <c r="GI12847" s="422"/>
    </row>
    <row r="12848" spans="191:191" x14ac:dyDescent="0.2">
      <c r="GI12848" s="422"/>
    </row>
    <row r="12849" spans="191:191" x14ac:dyDescent="0.2">
      <c r="GI12849" s="422"/>
    </row>
    <row r="12850" spans="191:191" x14ac:dyDescent="0.2">
      <c r="GI12850" s="422"/>
    </row>
    <row r="12851" spans="191:191" x14ac:dyDescent="0.2">
      <c r="GI12851" s="422"/>
    </row>
    <row r="12852" spans="191:191" x14ac:dyDescent="0.2">
      <c r="GI12852" s="422"/>
    </row>
    <row r="12853" spans="191:191" x14ac:dyDescent="0.2">
      <c r="GI12853" s="422"/>
    </row>
    <row r="12854" spans="191:191" x14ac:dyDescent="0.2">
      <c r="GI12854" s="422"/>
    </row>
    <row r="12855" spans="191:191" x14ac:dyDescent="0.2">
      <c r="GI12855" s="422"/>
    </row>
    <row r="12856" spans="191:191" x14ac:dyDescent="0.2">
      <c r="GI12856" s="422"/>
    </row>
    <row r="12857" spans="191:191" x14ac:dyDescent="0.2">
      <c r="GI12857" s="422"/>
    </row>
    <row r="12858" spans="191:191" x14ac:dyDescent="0.2">
      <c r="GI12858" s="422"/>
    </row>
    <row r="12859" spans="191:191" x14ac:dyDescent="0.2">
      <c r="GI12859" s="422"/>
    </row>
    <row r="12860" spans="191:191" x14ac:dyDescent="0.2">
      <c r="GI12860" s="422"/>
    </row>
    <row r="12861" spans="191:191" x14ac:dyDescent="0.2">
      <c r="GI12861" s="422"/>
    </row>
    <row r="12862" spans="191:191" x14ac:dyDescent="0.2">
      <c r="GI12862" s="422"/>
    </row>
    <row r="12863" spans="191:191" x14ac:dyDescent="0.2">
      <c r="GI12863" s="422"/>
    </row>
    <row r="12864" spans="191:191" x14ac:dyDescent="0.2">
      <c r="GI12864" s="422"/>
    </row>
    <row r="12865" spans="191:191" x14ac:dyDescent="0.2">
      <c r="GI12865" s="422"/>
    </row>
    <row r="12866" spans="191:191" x14ac:dyDescent="0.2">
      <c r="GI12866" s="422"/>
    </row>
    <row r="12867" spans="191:191" x14ac:dyDescent="0.2">
      <c r="GI12867" s="422"/>
    </row>
    <row r="12868" spans="191:191" x14ac:dyDescent="0.2">
      <c r="GI12868" s="422"/>
    </row>
    <row r="12869" spans="191:191" x14ac:dyDescent="0.2">
      <c r="GI12869" s="422"/>
    </row>
    <row r="12870" spans="191:191" x14ac:dyDescent="0.2">
      <c r="GI12870" s="422"/>
    </row>
    <row r="12871" spans="191:191" x14ac:dyDescent="0.2">
      <c r="GI12871" s="422"/>
    </row>
    <row r="12872" spans="191:191" x14ac:dyDescent="0.2">
      <c r="GI12872" s="422"/>
    </row>
    <row r="12873" spans="191:191" x14ac:dyDescent="0.2">
      <c r="GI12873" s="422"/>
    </row>
    <row r="12874" spans="191:191" x14ac:dyDescent="0.2">
      <c r="GI12874" s="422"/>
    </row>
    <row r="12875" spans="191:191" x14ac:dyDescent="0.2">
      <c r="GI12875" s="422"/>
    </row>
    <row r="12876" spans="191:191" x14ac:dyDescent="0.2">
      <c r="GI12876" s="422"/>
    </row>
    <row r="12877" spans="191:191" x14ac:dyDescent="0.2">
      <c r="GI12877" s="422"/>
    </row>
    <row r="12878" spans="191:191" x14ac:dyDescent="0.2">
      <c r="GI12878" s="422"/>
    </row>
    <row r="12879" spans="191:191" x14ac:dyDescent="0.2">
      <c r="GI12879" s="422"/>
    </row>
    <row r="12880" spans="191:191" x14ac:dyDescent="0.2">
      <c r="GI12880" s="422"/>
    </row>
    <row r="12881" spans="191:191" x14ac:dyDescent="0.2">
      <c r="GI12881" s="422"/>
    </row>
    <row r="12882" spans="191:191" x14ac:dyDescent="0.2">
      <c r="GI12882" s="422"/>
    </row>
    <row r="12883" spans="191:191" x14ac:dyDescent="0.2">
      <c r="GI12883" s="422"/>
    </row>
    <row r="12884" spans="191:191" x14ac:dyDescent="0.2">
      <c r="GI12884" s="422"/>
    </row>
    <row r="12885" spans="191:191" x14ac:dyDescent="0.2">
      <c r="GI12885" s="422"/>
    </row>
    <row r="12886" spans="191:191" x14ac:dyDescent="0.2">
      <c r="GI12886" s="422"/>
    </row>
    <row r="12887" spans="191:191" x14ac:dyDescent="0.2">
      <c r="GI12887" s="422"/>
    </row>
    <row r="12888" spans="191:191" x14ac:dyDescent="0.2">
      <c r="GI12888" s="422"/>
    </row>
    <row r="12889" spans="191:191" x14ac:dyDescent="0.2">
      <c r="GI12889" s="422"/>
    </row>
    <row r="12890" spans="191:191" x14ac:dyDescent="0.2">
      <c r="GI12890" s="422"/>
    </row>
    <row r="12891" spans="191:191" x14ac:dyDescent="0.2">
      <c r="GI12891" s="422"/>
    </row>
    <row r="12892" spans="191:191" x14ac:dyDescent="0.2">
      <c r="GI12892" s="422"/>
    </row>
    <row r="12893" spans="191:191" x14ac:dyDescent="0.2">
      <c r="GI12893" s="422"/>
    </row>
    <row r="12894" spans="191:191" x14ac:dyDescent="0.2">
      <c r="GI12894" s="422"/>
    </row>
    <row r="12895" spans="191:191" x14ac:dyDescent="0.2">
      <c r="GI12895" s="422"/>
    </row>
    <row r="12896" spans="191:191" x14ac:dyDescent="0.2">
      <c r="GI12896" s="422"/>
    </row>
    <row r="12897" spans="191:191" x14ac:dyDescent="0.2">
      <c r="GI12897" s="422"/>
    </row>
    <row r="12898" spans="191:191" x14ac:dyDescent="0.2">
      <c r="GI12898" s="422"/>
    </row>
    <row r="12899" spans="191:191" x14ac:dyDescent="0.2">
      <c r="GI12899" s="422"/>
    </row>
    <row r="12900" spans="191:191" x14ac:dyDescent="0.2">
      <c r="GI12900" s="422"/>
    </row>
    <row r="12901" spans="191:191" x14ac:dyDescent="0.2">
      <c r="GI12901" s="422"/>
    </row>
    <row r="12902" spans="191:191" x14ac:dyDescent="0.2">
      <c r="GI12902" s="422"/>
    </row>
    <row r="12903" spans="191:191" x14ac:dyDescent="0.2">
      <c r="GI12903" s="422"/>
    </row>
    <row r="12904" spans="191:191" x14ac:dyDescent="0.2">
      <c r="GI12904" s="422"/>
    </row>
    <row r="12905" spans="191:191" x14ac:dyDescent="0.2">
      <c r="GI12905" s="422"/>
    </row>
    <row r="12906" spans="191:191" x14ac:dyDescent="0.2">
      <c r="GI12906" s="422"/>
    </row>
    <row r="12907" spans="191:191" x14ac:dyDescent="0.2">
      <c r="GI12907" s="422"/>
    </row>
    <row r="12908" spans="191:191" x14ac:dyDescent="0.2">
      <c r="GI12908" s="422"/>
    </row>
    <row r="12909" spans="191:191" x14ac:dyDescent="0.2">
      <c r="GI12909" s="422"/>
    </row>
    <row r="12910" spans="191:191" x14ac:dyDescent="0.2">
      <c r="GI12910" s="422"/>
    </row>
    <row r="12911" spans="191:191" x14ac:dyDescent="0.2">
      <c r="GI12911" s="422"/>
    </row>
    <row r="12912" spans="191:191" x14ac:dyDescent="0.2">
      <c r="GI12912" s="422"/>
    </row>
    <row r="12913" spans="191:191" x14ac:dyDescent="0.2">
      <c r="GI12913" s="422"/>
    </row>
    <row r="12914" spans="191:191" x14ac:dyDescent="0.2">
      <c r="GI12914" s="422"/>
    </row>
    <row r="12915" spans="191:191" x14ac:dyDescent="0.2">
      <c r="GI12915" s="422"/>
    </row>
    <row r="12916" spans="191:191" x14ac:dyDescent="0.2">
      <c r="GI12916" s="422"/>
    </row>
    <row r="12917" spans="191:191" x14ac:dyDescent="0.2">
      <c r="GI12917" s="422"/>
    </row>
    <row r="12918" spans="191:191" x14ac:dyDescent="0.2">
      <c r="GI12918" s="422"/>
    </row>
    <row r="12919" spans="191:191" x14ac:dyDescent="0.2">
      <c r="GI12919" s="422"/>
    </row>
    <row r="12920" spans="191:191" x14ac:dyDescent="0.2">
      <c r="GI12920" s="422"/>
    </row>
    <row r="12921" spans="191:191" x14ac:dyDescent="0.2">
      <c r="GI12921" s="422"/>
    </row>
    <row r="12922" spans="191:191" x14ac:dyDescent="0.2">
      <c r="GI12922" s="422"/>
    </row>
    <row r="12923" spans="191:191" x14ac:dyDescent="0.2">
      <c r="GI12923" s="422"/>
    </row>
    <row r="12924" spans="191:191" x14ac:dyDescent="0.2">
      <c r="GI12924" s="422"/>
    </row>
    <row r="12925" spans="191:191" x14ac:dyDescent="0.2">
      <c r="GI12925" s="422"/>
    </row>
    <row r="12926" spans="191:191" x14ac:dyDescent="0.2">
      <c r="GI12926" s="422"/>
    </row>
    <row r="12927" spans="191:191" x14ac:dyDescent="0.2">
      <c r="GI12927" s="422"/>
    </row>
    <row r="12928" spans="191:191" x14ac:dyDescent="0.2">
      <c r="GI12928" s="422"/>
    </row>
    <row r="12929" spans="191:191" x14ac:dyDescent="0.2">
      <c r="GI12929" s="422"/>
    </row>
    <row r="12930" spans="191:191" x14ac:dyDescent="0.2">
      <c r="GI12930" s="422"/>
    </row>
    <row r="12931" spans="191:191" x14ac:dyDescent="0.2">
      <c r="GI12931" s="422"/>
    </row>
    <row r="12932" spans="191:191" x14ac:dyDescent="0.2">
      <c r="GI12932" s="422"/>
    </row>
    <row r="12933" spans="191:191" x14ac:dyDescent="0.2">
      <c r="GI12933" s="422"/>
    </row>
    <row r="12934" spans="191:191" x14ac:dyDescent="0.2">
      <c r="GI12934" s="422"/>
    </row>
    <row r="12935" spans="191:191" x14ac:dyDescent="0.2">
      <c r="GI12935" s="422"/>
    </row>
    <row r="12936" spans="191:191" x14ac:dyDescent="0.2">
      <c r="GI12936" s="422"/>
    </row>
    <row r="12937" spans="191:191" x14ac:dyDescent="0.2">
      <c r="GI12937" s="422"/>
    </row>
    <row r="12938" spans="191:191" x14ac:dyDescent="0.2">
      <c r="GI12938" s="422"/>
    </row>
    <row r="12939" spans="191:191" x14ac:dyDescent="0.2">
      <c r="GI12939" s="422"/>
    </row>
    <row r="12940" spans="191:191" x14ac:dyDescent="0.2">
      <c r="GI12940" s="422"/>
    </row>
    <row r="12941" spans="191:191" x14ac:dyDescent="0.2">
      <c r="GI12941" s="422"/>
    </row>
    <row r="12942" spans="191:191" x14ac:dyDescent="0.2">
      <c r="GI12942" s="422"/>
    </row>
    <row r="12943" spans="191:191" x14ac:dyDescent="0.2">
      <c r="GI12943" s="422"/>
    </row>
    <row r="12944" spans="191:191" x14ac:dyDescent="0.2">
      <c r="GI12944" s="422"/>
    </row>
    <row r="12945" spans="191:191" x14ac:dyDescent="0.2">
      <c r="GI12945" s="422"/>
    </row>
    <row r="12946" spans="191:191" x14ac:dyDescent="0.2">
      <c r="GI12946" s="422"/>
    </row>
    <row r="12947" spans="191:191" x14ac:dyDescent="0.2">
      <c r="GI12947" s="422"/>
    </row>
    <row r="12948" spans="191:191" x14ac:dyDescent="0.2">
      <c r="GI12948" s="422"/>
    </row>
    <row r="12949" spans="191:191" x14ac:dyDescent="0.2">
      <c r="GI12949" s="422"/>
    </row>
    <row r="12950" spans="191:191" x14ac:dyDescent="0.2">
      <c r="GI12950" s="422"/>
    </row>
    <row r="12951" spans="191:191" x14ac:dyDescent="0.2">
      <c r="GI12951" s="422"/>
    </row>
    <row r="12952" spans="191:191" x14ac:dyDescent="0.2">
      <c r="GI12952" s="422"/>
    </row>
    <row r="12953" spans="191:191" x14ac:dyDescent="0.2">
      <c r="GI12953" s="422"/>
    </row>
    <row r="12954" spans="191:191" x14ac:dyDescent="0.2">
      <c r="GI12954" s="422"/>
    </row>
    <row r="12955" spans="191:191" x14ac:dyDescent="0.2">
      <c r="GI12955" s="422"/>
    </row>
    <row r="12956" spans="191:191" x14ac:dyDescent="0.2">
      <c r="GI12956" s="422"/>
    </row>
    <row r="12957" spans="191:191" x14ac:dyDescent="0.2">
      <c r="GI12957" s="422"/>
    </row>
    <row r="12958" spans="191:191" x14ac:dyDescent="0.2">
      <c r="GI12958" s="422"/>
    </row>
    <row r="12959" spans="191:191" x14ac:dyDescent="0.2">
      <c r="GI12959" s="422"/>
    </row>
    <row r="12960" spans="191:191" x14ac:dyDescent="0.2">
      <c r="GI12960" s="422"/>
    </row>
    <row r="12961" spans="191:191" x14ac:dyDescent="0.2">
      <c r="GI12961" s="422"/>
    </row>
    <row r="12962" spans="191:191" x14ac:dyDescent="0.2">
      <c r="GI12962" s="422"/>
    </row>
    <row r="12963" spans="191:191" x14ac:dyDescent="0.2">
      <c r="GI12963" s="422"/>
    </row>
    <row r="12964" spans="191:191" x14ac:dyDescent="0.2">
      <c r="GI12964" s="422"/>
    </row>
    <row r="12965" spans="191:191" x14ac:dyDescent="0.2">
      <c r="GI12965" s="422"/>
    </row>
    <row r="12966" spans="191:191" x14ac:dyDescent="0.2">
      <c r="GI12966" s="422"/>
    </row>
    <row r="12967" spans="191:191" x14ac:dyDescent="0.2">
      <c r="GI12967" s="422"/>
    </row>
    <row r="12968" spans="191:191" x14ac:dyDescent="0.2">
      <c r="GI12968" s="422"/>
    </row>
    <row r="12969" spans="191:191" x14ac:dyDescent="0.2">
      <c r="GI12969" s="422"/>
    </row>
    <row r="12970" spans="191:191" x14ac:dyDescent="0.2">
      <c r="GI12970" s="422"/>
    </row>
    <row r="12971" spans="191:191" x14ac:dyDescent="0.2">
      <c r="GI12971" s="422"/>
    </row>
    <row r="12972" spans="191:191" x14ac:dyDescent="0.2">
      <c r="GI12972" s="422"/>
    </row>
    <row r="12973" spans="191:191" x14ac:dyDescent="0.2">
      <c r="GI12973" s="422"/>
    </row>
    <row r="12974" spans="191:191" x14ac:dyDescent="0.2">
      <c r="GI12974" s="422"/>
    </row>
    <row r="12975" spans="191:191" x14ac:dyDescent="0.2">
      <c r="GI12975" s="422"/>
    </row>
    <row r="12976" spans="191:191" x14ac:dyDescent="0.2">
      <c r="GI12976" s="422"/>
    </row>
    <row r="12977" spans="191:191" x14ac:dyDescent="0.2">
      <c r="GI12977" s="422"/>
    </row>
    <row r="12978" spans="191:191" x14ac:dyDescent="0.2">
      <c r="GI12978" s="422"/>
    </row>
    <row r="12979" spans="191:191" x14ac:dyDescent="0.2">
      <c r="GI12979" s="422"/>
    </row>
    <row r="12980" spans="191:191" x14ac:dyDescent="0.2">
      <c r="GI12980" s="422"/>
    </row>
    <row r="12981" spans="191:191" x14ac:dyDescent="0.2">
      <c r="GI12981" s="422"/>
    </row>
    <row r="12982" spans="191:191" x14ac:dyDescent="0.2">
      <c r="GI12982" s="422"/>
    </row>
    <row r="12983" spans="191:191" x14ac:dyDescent="0.2">
      <c r="GI12983" s="422"/>
    </row>
    <row r="12984" spans="191:191" x14ac:dyDescent="0.2">
      <c r="GI12984" s="422"/>
    </row>
    <row r="12985" spans="191:191" x14ac:dyDescent="0.2">
      <c r="GI12985" s="422"/>
    </row>
    <row r="12986" spans="191:191" x14ac:dyDescent="0.2">
      <c r="GI12986" s="422"/>
    </row>
    <row r="12987" spans="191:191" x14ac:dyDescent="0.2">
      <c r="GI12987" s="422"/>
    </row>
    <row r="12988" spans="191:191" x14ac:dyDescent="0.2">
      <c r="GI12988" s="422"/>
    </row>
    <row r="12989" spans="191:191" x14ac:dyDescent="0.2">
      <c r="GI12989" s="422"/>
    </row>
    <row r="12990" spans="191:191" x14ac:dyDescent="0.2">
      <c r="GI12990" s="422"/>
    </row>
    <row r="12991" spans="191:191" x14ac:dyDescent="0.2">
      <c r="GI12991" s="422"/>
    </row>
    <row r="12992" spans="191:191" x14ac:dyDescent="0.2">
      <c r="GI12992" s="422"/>
    </row>
    <row r="12993" spans="191:191" x14ac:dyDescent="0.2">
      <c r="GI12993" s="422"/>
    </row>
    <row r="12994" spans="191:191" x14ac:dyDescent="0.2">
      <c r="GI12994" s="422"/>
    </row>
    <row r="12995" spans="191:191" x14ac:dyDescent="0.2">
      <c r="GI12995" s="422"/>
    </row>
    <row r="12996" spans="191:191" x14ac:dyDescent="0.2">
      <c r="GI12996" s="422"/>
    </row>
    <row r="12997" spans="191:191" x14ac:dyDescent="0.2">
      <c r="GI12997" s="422"/>
    </row>
    <row r="12998" spans="191:191" x14ac:dyDescent="0.2">
      <c r="GI12998" s="422"/>
    </row>
    <row r="12999" spans="191:191" x14ac:dyDescent="0.2">
      <c r="GI12999" s="422"/>
    </row>
    <row r="13000" spans="191:191" x14ac:dyDescent="0.2">
      <c r="GI13000" s="422"/>
    </row>
    <row r="13001" spans="191:191" x14ac:dyDescent="0.2">
      <c r="GI13001" s="422"/>
    </row>
    <row r="13002" spans="191:191" x14ac:dyDescent="0.2">
      <c r="GI13002" s="422"/>
    </row>
    <row r="13003" spans="191:191" x14ac:dyDescent="0.2">
      <c r="GI13003" s="422"/>
    </row>
    <row r="13004" spans="191:191" x14ac:dyDescent="0.2">
      <c r="GI13004" s="422"/>
    </row>
    <row r="13005" spans="191:191" x14ac:dyDescent="0.2">
      <c r="GI13005" s="422"/>
    </row>
    <row r="13006" spans="191:191" x14ac:dyDescent="0.2">
      <c r="GI13006" s="422"/>
    </row>
    <row r="13007" spans="191:191" x14ac:dyDescent="0.2">
      <c r="GI13007" s="422"/>
    </row>
    <row r="13008" spans="191:191" x14ac:dyDescent="0.2">
      <c r="GI13008" s="422"/>
    </row>
    <row r="13009" spans="191:191" x14ac:dyDescent="0.2">
      <c r="GI13009" s="422"/>
    </row>
    <row r="13010" spans="191:191" x14ac:dyDescent="0.2">
      <c r="GI13010" s="422"/>
    </row>
    <row r="13011" spans="191:191" x14ac:dyDescent="0.2">
      <c r="GI13011" s="422"/>
    </row>
    <row r="13012" spans="191:191" x14ac:dyDescent="0.2">
      <c r="GI13012" s="422"/>
    </row>
    <row r="13013" spans="191:191" x14ac:dyDescent="0.2">
      <c r="GI13013" s="422"/>
    </row>
    <row r="13014" spans="191:191" x14ac:dyDescent="0.2">
      <c r="GI13014" s="422"/>
    </row>
    <row r="13015" spans="191:191" x14ac:dyDescent="0.2">
      <c r="GI13015" s="422"/>
    </row>
    <row r="13016" spans="191:191" x14ac:dyDescent="0.2">
      <c r="GI13016" s="422"/>
    </row>
    <row r="13017" spans="191:191" x14ac:dyDescent="0.2">
      <c r="GI13017" s="422"/>
    </row>
    <row r="13018" spans="191:191" x14ac:dyDescent="0.2">
      <c r="GI13018" s="422"/>
    </row>
    <row r="13019" spans="191:191" x14ac:dyDescent="0.2">
      <c r="GI13019" s="422"/>
    </row>
    <row r="13020" spans="191:191" x14ac:dyDescent="0.2">
      <c r="GI13020" s="422"/>
    </row>
    <row r="13021" spans="191:191" x14ac:dyDescent="0.2">
      <c r="GI13021" s="422"/>
    </row>
    <row r="13022" spans="191:191" x14ac:dyDescent="0.2">
      <c r="GI13022" s="422"/>
    </row>
    <row r="13023" spans="191:191" x14ac:dyDescent="0.2">
      <c r="GI13023" s="422"/>
    </row>
    <row r="13024" spans="191:191" x14ac:dyDescent="0.2">
      <c r="GI13024" s="422"/>
    </row>
    <row r="13025" spans="191:191" x14ac:dyDescent="0.2">
      <c r="GI13025" s="422"/>
    </row>
    <row r="13026" spans="191:191" x14ac:dyDescent="0.2">
      <c r="GI13026" s="422"/>
    </row>
    <row r="13027" spans="191:191" x14ac:dyDescent="0.2">
      <c r="GI13027" s="422"/>
    </row>
    <row r="13028" spans="191:191" x14ac:dyDescent="0.2">
      <c r="GI13028" s="422"/>
    </row>
    <row r="13029" spans="191:191" x14ac:dyDescent="0.2">
      <c r="GI13029" s="422"/>
    </row>
    <row r="13030" spans="191:191" x14ac:dyDescent="0.2">
      <c r="GI13030" s="422"/>
    </row>
    <row r="13031" spans="191:191" x14ac:dyDescent="0.2">
      <c r="GI13031" s="422"/>
    </row>
    <row r="13032" spans="191:191" x14ac:dyDescent="0.2">
      <c r="GI13032" s="422"/>
    </row>
    <row r="13033" spans="191:191" x14ac:dyDescent="0.2">
      <c r="GI13033" s="422"/>
    </row>
    <row r="13034" spans="191:191" x14ac:dyDescent="0.2">
      <c r="GI13034" s="422"/>
    </row>
    <row r="13035" spans="191:191" x14ac:dyDescent="0.2">
      <c r="GI13035" s="422"/>
    </row>
    <row r="13036" spans="191:191" x14ac:dyDescent="0.2">
      <c r="GI13036" s="422"/>
    </row>
    <row r="13037" spans="191:191" x14ac:dyDescent="0.2">
      <c r="GI13037" s="422"/>
    </row>
    <row r="13038" spans="191:191" x14ac:dyDescent="0.2">
      <c r="GI13038" s="422"/>
    </row>
    <row r="13039" spans="191:191" x14ac:dyDescent="0.2">
      <c r="GI13039" s="422"/>
    </row>
    <row r="13040" spans="191:191" x14ac:dyDescent="0.2">
      <c r="GI13040" s="422"/>
    </row>
    <row r="13041" spans="191:191" x14ac:dyDescent="0.2">
      <c r="GI13041" s="422"/>
    </row>
    <row r="13042" spans="191:191" x14ac:dyDescent="0.2">
      <c r="GI13042" s="422"/>
    </row>
    <row r="13043" spans="191:191" x14ac:dyDescent="0.2">
      <c r="GI13043" s="422"/>
    </row>
    <row r="13044" spans="191:191" x14ac:dyDescent="0.2">
      <c r="GI13044" s="422"/>
    </row>
    <row r="13045" spans="191:191" x14ac:dyDescent="0.2">
      <c r="GI13045" s="422"/>
    </row>
    <row r="13046" spans="191:191" x14ac:dyDescent="0.2">
      <c r="GI13046" s="422"/>
    </row>
    <row r="13047" spans="191:191" x14ac:dyDescent="0.2">
      <c r="GI13047" s="422"/>
    </row>
    <row r="13048" spans="191:191" x14ac:dyDescent="0.2">
      <c r="GI13048" s="422"/>
    </row>
    <row r="13049" spans="191:191" x14ac:dyDescent="0.2">
      <c r="GI13049" s="422"/>
    </row>
    <row r="13050" spans="191:191" x14ac:dyDescent="0.2">
      <c r="GI13050" s="422"/>
    </row>
    <row r="13051" spans="191:191" x14ac:dyDescent="0.2">
      <c r="GI13051" s="422"/>
    </row>
    <row r="13052" spans="191:191" x14ac:dyDescent="0.2">
      <c r="GI13052" s="422"/>
    </row>
    <row r="13053" spans="191:191" x14ac:dyDescent="0.2">
      <c r="GI13053" s="422"/>
    </row>
    <row r="13054" spans="191:191" x14ac:dyDescent="0.2">
      <c r="GI13054" s="422"/>
    </row>
    <row r="13055" spans="191:191" x14ac:dyDescent="0.2">
      <c r="GI13055" s="422"/>
    </row>
    <row r="13056" spans="191:191" x14ac:dyDescent="0.2">
      <c r="GI13056" s="422"/>
    </row>
    <row r="13057" spans="191:191" x14ac:dyDescent="0.2">
      <c r="GI13057" s="422"/>
    </row>
    <row r="13058" spans="191:191" x14ac:dyDescent="0.2">
      <c r="GI13058" s="422"/>
    </row>
    <row r="13059" spans="191:191" x14ac:dyDescent="0.2">
      <c r="GI13059" s="422"/>
    </row>
    <row r="13060" spans="191:191" x14ac:dyDescent="0.2">
      <c r="GI13060" s="422"/>
    </row>
    <row r="13061" spans="191:191" x14ac:dyDescent="0.2">
      <c r="GI13061" s="422"/>
    </row>
    <row r="13062" spans="191:191" x14ac:dyDescent="0.2">
      <c r="GI13062" s="422"/>
    </row>
    <row r="13063" spans="191:191" x14ac:dyDescent="0.2">
      <c r="GI13063" s="422"/>
    </row>
    <row r="13064" spans="191:191" x14ac:dyDescent="0.2">
      <c r="GI13064" s="422"/>
    </row>
    <row r="13065" spans="191:191" x14ac:dyDescent="0.2">
      <c r="GI13065" s="422"/>
    </row>
    <row r="13066" spans="191:191" x14ac:dyDescent="0.2">
      <c r="GI13066" s="422"/>
    </row>
    <row r="13067" spans="191:191" x14ac:dyDescent="0.2">
      <c r="GI13067" s="422"/>
    </row>
    <row r="13068" spans="191:191" x14ac:dyDescent="0.2">
      <c r="GI13068" s="422"/>
    </row>
    <row r="13069" spans="191:191" x14ac:dyDescent="0.2">
      <c r="GI13069" s="422"/>
    </row>
    <row r="13070" spans="191:191" x14ac:dyDescent="0.2">
      <c r="GI13070" s="422"/>
    </row>
    <row r="13071" spans="191:191" x14ac:dyDescent="0.2">
      <c r="GI13071" s="422"/>
    </row>
    <row r="13072" spans="191:191" x14ac:dyDescent="0.2">
      <c r="GI13072" s="422"/>
    </row>
    <row r="13073" spans="191:191" x14ac:dyDescent="0.2">
      <c r="GI13073" s="422"/>
    </row>
    <row r="13074" spans="191:191" x14ac:dyDescent="0.2">
      <c r="GI13074" s="422"/>
    </row>
    <row r="13075" spans="191:191" x14ac:dyDescent="0.2">
      <c r="GI13075" s="422"/>
    </row>
    <row r="13076" spans="191:191" x14ac:dyDescent="0.2">
      <c r="GI13076" s="422"/>
    </row>
    <row r="13077" spans="191:191" x14ac:dyDescent="0.2">
      <c r="GI13077" s="422"/>
    </row>
    <row r="13078" spans="191:191" x14ac:dyDescent="0.2">
      <c r="GI13078" s="422"/>
    </row>
    <row r="13079" spans="191:191" x14ac:dyDescent="0.2">
      <c r="GI13079" s="422"/>
    </row>
    <row r="13080" spans="191:191" x14ac:dyDescent="0.2">
      <c r="GI13080" s="422"/>
    </row>
    <row r="13081" spans="191:191" x14ac:dyDescent="0.2">
      <c r="GI13081" s="422"/>
    </row>
    <row r="13082" spans="191:191" x14ac:dyDescent="0.2">
      <c r="GI13082" s="422"/>
    </row>
    <row r="13083" spans="191:191" x14ac:dyDescent="0.2">
      <c r="GI13083" s="422"/>
    </row>
    <row r="13084" spans="191:191" x14ac:dyDescent="0.2">
      <c r="GI13084" s="422"/>
    </row>
    <row r="13085" spans="191:191" x14ac:dyDescent="0.2">
      <c r="GI13085" s="422"/>
    </row>
    <row r="13086" spans="191:191" x14ac:dyDescent="0.2">
      <c r="GI13086" s="422"/>
    </row>
    <row r="13087" spans="191:191" x14ac:dyDescent="0.2">
      <c r="GI13087" s="422"/>
    </row>
    <row r="13088" spans="191:191" x14ac:dyDescent="0.2">
      <c r="GI13088" s="422"/>
    </row>
    <row r="13089" spans="191:191" x14ac:dyDescent="0.2">
      <c r="GI13089" s="422"/>
    </row>
    <row r="13090" spans="191:191" x14ac:dyDescent="0.2">
      <c r="GI13090" s="422"/>
    </row>
    <row r="13091" spans="191:191" x14ac:dyDescent="0.2">
      <c r="GI13091" s="422"/>
    </row>
    <row r="13092" spans="191:191" x14ac:dyDescent="0.2">
      <c r="GI13092" s="422"/>
    </row>
    <row r="13093" spans="191:191" x14ac:dyDescent="0.2">
      <c r="GI13093" s="422"/>
    </row>
    <row r="13094" spans="191:191" x14ac:dyDescent="0.2">
      <c r="GI13094" s="422"/>
    </row>
    <row r="13095" spans="191:191" x14ac:dyDescent="0.2">
      <c r="GI13095" s="422"/>
    </row>
    <row r="13096" spans="191:191" x14ac:dyDescent="0.2">
      <c r="GI13096" s="422"/>
    </row>
    <row r="13097" spans="191:191" x14ac:dyDescent="0.2">
      <c r="GI13097" s="422"/>
    </row>
    <row r="13098" spans="191:191" x14ac:dyDescent="0.2">
      <c r="GI13098" s="422"/>
    </row>
    <row r="13099" spans="191:191" x14ac:dyDescent="0.2">
      <c r="GI13099" s="422"/>
    </row>
    <row r="13100" spans="191:191" x14ac:dyDescent="0.2">
      <c r="GI13100" s="422"/>
    </row>
    <row r="13101" spans="191:191" x14ac:dyDescent="0.2">
      <c r="GI13101" s="422"/>
    </row>
    <row r="13102" spans="191:191" x14ac:dyDescent="0.2">
      <c r="GI13102" s="422"/>
    </row>
    <row r="13103" spans="191:191" x14ac:dyDescent="0.2">
      <c r="GI13103" s="422"/>
    </row>
    <row r="13104" spans="191:191" x14ac:dyDescent="0.2">
      <c r="GI13104" s="422"/>
    </row>
    <row r="13105" spans="191:191" x14ac:dyDescent="0.2">
      <c r="GI13105" s="422"/>
    </row>
    <row r="13106" spans="191:191" x14ac:dyDescent="0.2">
      <c r="GI13106" s="422"/>
    </row>
    <row r="13107" spans="191:191" x14ac:dyDescent="0.2">
      <c r="GI13107" s="422"/>
    </row>
    <row r="13108" spans="191:191" x14ac:dyDescent="0.2">
      <c r="GI13108" s="422"/>
    </row>
    <row r="13109" spans="191:191" x14ac:dyDescent="0.2">
      <c r="GI13109" s="422"/>
    </row>
    <row r="13110" spans="191:191" x14ac:dyDescent="0.2">
      <c r="GI13110" s="422"/>
    </row>
    <row r="13111" spans="191:191" x14ac:dyDescent="0.2">
      <c r="GI13111" s="422"/>
    </row>
    <row r="13112" spans="191:191" x14ac:dyDescent="0.2">
      <c r="GI13112" s="422"/>
    </row>
    <row r="13113" spans="191:191" x14ac:dyDescent="0.2">
      <c r="GI13113" s="422"/>
    </row>
    <row r="13114" spans="191:191" x14ac:dyDescent="0.2">
      <c r="GI13114" s="422"/>
    </row>
    <row r="13115" spans="191:191" x14ac:dyDescent="0.2">
      <c r="GI13115" s="422"/>
    </row>
    <row r="13116" spans="191:191" x14ac:dyDescent="0.2">
      <c r="GI13116" s="422"/>
    </row>
    <row r="13117" spans="191:191" x14ac:dyDescent="0.2">
      <c r="GI13117" s="422"/>
    </row>
    <row r="13118" spans="191:191" x14ac:dyDescent="0.2">
      <c r="GI13118" s="422"/>
    </row>
    <row r="13119" spans="191:191" x14ac:dyDescent="0.2">
      <c r="GI13119" s="422"/>
    </row>
    <row r="13120" spans="191:191" x14ac:dyDescent="0.2">
      <c r="GI13120" s="422"/>
    </row>
    <row r="13121" spans="191:191" x14ac:dyDescent="0.2">
      <c r="GI13121" s="422"/>
    </row>
    <row r="13122" spans="191:191" x14ac:dyDescent="0.2">
      <c r="GI13122" s="422"/>
    </row>
    <row r="13123" spans="191:191" x14ac:dyDescent="0.2">
      <c r="GI13123" s="422"/>
    </row>
    <row r="13124" spans="191:191" x14ac:dyDescent="0.2">
      <c r="GI13124" s="422"/>
    </row>
    <row r="13125" spans="191:191" x14ac:dyDescent="0.2">
      <c r="GI13125" s="422"/>
    </row>
    <row r="13126" spans="191:191" x14ac:dyDescent="0.2">
      <c r="GI13126" s="422"/>
    </row>
    <row r="13127" spans="191:191" x14ac:dyDescent="0.2">
      <c r="GI13127" s="422"/>
    </row>
    <row r="13128" spans="191:191" x14ac:dyDescent="0.2">
      <c r="GI13128" s="422"/>
    </row>
    <row r="13129" spans="191:191" x14ac:dyDescent="0.2">
      <c r="GI13129" s="422"/>
    </row>
    <row r="13130" spans="191:191" x14ac:dyDescent="0.2">
      <c r="GI13130" s="422"/>
    </row>
    <row r="13131" spans="191:191" x14ac:dyDescent="0.2">
      <c r="GI13131" s="422"/>
    </row>
    <row r="13132" spans="191:191" x14ac:dyDescent="0.2">
      <c r="GI13132" s="422"/>
    </row>
    <row r="13133" spans="191:191" x14ac:dyDescent="0.2">
      <c r="GI13133" s="422"/>
    </row>
    <row r="13134" spans="191:191" x14ac:dyDescent="0.2">
      <c r="GI13134" s="422"/>
    </row>
    <row r="13135" spans="191:191" x14ac:dyDescent="0.2">
      <c r="GI13135" s="422"/>
    </row>
    <row r="13136" spans="191:191" x14ac:dyDescent="0.2">
      <c r="GI13136" s="422"/>
    </row>
    <row r="13137" spans="191:191" x14ac:dyDescent="0.2">
      <c r="GI13137" s="422"/>
    </row>
    <row r="13138" spans="191:191" x14ac:dyDescent="0.2">
      <c r="GI13138" s="422"/>
    </row>
    <row r="13139" spans="191:191" x14ac:dyDescent="0.2">
      <c r="GI13139" s="422"/>
    </row>
    <row r="13140" spans="191:191" x14ac:dyDescent="0.2">
      <c r="GI13140" s="422"/>
    </row>
    <row r="13141" spans="191:191" x14ac:dyDescent="0.2">
      <c r="GI13141" s="422"/>
    </row>
    <row r="13142" spans="191:191" x14ac:dyDescent="0.2">
      <c r="GI13142" s="422"/>
    </row>
    <row r="13143" spans="191:191" x14ac:dyDescent="0.2">
      <c r="GI13143" s="422"/>
    </row>
    <row r="13144" spans="191:191" x14ac:dyDescent="0.2">
      <c r="GI13144" s="422"/>
    </row>
    <row r="13145" spans="191:191" x14ac:dyDescent="0.2">
      <c r="GI13145" s="422"/>
    </row>
    <row r="13146" spans="191:191" x14ac:dyDescent="0.2">
      <c r="GI13146" s="422"/>
    </row>
    <row r="13147" spans="191:191" x14ac:dyDescent="0.2">
      <c r="GI13147" s="422"/>
    </row>
    <row r="13148" spans="191:191" x14ac:dyDescent="0.2">
      <c r="GI13148" s="422"/>
    </row>
    <row r="13149" spans="191:191" x14ac:dyDescent="0.2">
      <c r="GI13149" s="422"/>
    </row>
    <row r="13150" spans="191:191" x14ac:dyDescent="0.2">
      <c r="GI13150" s="422"/>
    </row>
    <row r="13151" spans="191:191" x14ac:dyDescent="0.2">
      <c r="GI13151" s="422"/>
    </row>
    <row r="13152" spans="191:191" x14ac:dyDescent="0.2">
      <c r="GI13152" s="422"/>
    </row>
    <row r="13153" spans="191:191" x14ac:dyDescent="0.2">
      <c r="GI13153" s="422"/>
    </row>
    <row r="13154" spans="191:191" x14ac:dyDescent="0.2">
      <c r="GI13154" s="422"/>
    </row>
    <row r="13155" spans="191:191" x14ac:dyDescent="0.2">
      <c r="GI13155" s="422"/>
    </row>
    <row r="13156" spans="191:191" x14ac:dyDescent="0.2">
      <c r="GI13156" s="422"/>
    </row>
    <row r="13157" spans="191:191" x14ac:dyDescent="0.2">
      <c r="GI13157" s="422"/>
    </row>
    <row r="13158" spans="191:191" x14ac:dyDescent="0.2">
      <c r="GI13158" s="422"/>
    </row>
    <row r="13159" spans="191:191" x14ac:dyDescent="0.2">
      <c r="GI13159" s="422"/>
    </row>
    <row r="13160" spans="191:191" x14ac:dyDescent="0.2">
      <c r="GI13160" s="422"/>
    </row>
    <row r="13161" spans="191:191" x14ac:dyDescent="0.2">
      <c r="GI13161" s="422"/>
    </row>
    <row r="13162" spans="191:191" x14ac:dyDescent="0.2">
      <c r="GI13162" s="422"/>
    </row>
    <row r="13163" spans="191:191" x14ac:dyDescent="0.2">
      <c r="GI13163" s="422"/>
    </row>
    <row r="13164" spans="191:191" x14ac:dyDescent="0.2">
      <c r="GI13164" s="422"/>
    </row>
    <row r="13165" spans="191:191" x14ac:dyDescent="0.2">
      <c r="GI13165" s="422"/>
    </row>
    <row r="13166" spans="191:191" x14ac:dyDescent="0.2">
      <c r="GI13166" s="422"/>
    </row>
    <row r="13167" spans="191:191" x14ac:dyDescent="0.2">
      <c r="GI13167" s="422"/>
    </row>
    <row r="13168" spans="191:191" x14ac:dyDescent="0.2">
      <c r="GI13168" s="422"/>
    </row>
    <row r="13169" spans="191:191" x14ac:dyDescent="0.2">
      <c r="GI13169" s="422"/>
    </row>
    <row r="13170" spans="191:191" x14ac:dyDescent="0.2">
      <c r="GI13170" s="422"/>
    </row>
    <row r="13171" spans="191:191" x14ac:dyDescent="0.2">
      <c r="GI13171" s="422"/>
    </row>
    <row r="13172" spans="191:191" x14ac:dyDescent="0.2">
      <c r="GI13172" s="422"/>
    </row>
    <row r="13173" spans="191:191" x14ac:dyDescent="0.2">
      <c r="GI13173" s="422"/>
    </row>
    <row r="13174" spans="191:191" x14ac:dyDescent="0.2">
      <c r="GI13174" s="422"/>
    </row>
    <row r="13175" spans="191:191" x14ac:dyDescent="0.2">
      <c r="GI13175" s="422"/>
    </row>
    <row r="13176" spans="191:191" x14ac:dyDescent="0.2">
      <c r="GI13176" s="422"/>
    </row>
    <row r="13177" spans="191:191" x14ac:dyDescent="0.2">
      <c r="GI13177" s="422"/>
    </row>
    <row r="13178" spans="191:191" x14ac:dyDescent="0.2">
      <c r="GI13178" s="422"/>
    </row>
    <row r="13179" spans="191:191" x14ac:dyDescent="0.2">
      <c r="GI13179" s="422"/>
    </row>
    <row r="13180" spans="191:191" x14ac:dyDescent="0.2">
      <c r="GI13180" s="422"/>
    </row>
    <row r="13181" spans="191:191" x14ac:dyDescent="0.2">
      <c r="GI13181" s="422"/>
    </row>
    <row r="13182" spans="191:191" x14ac:dyDescent="0.2">
      <c r="GI13182" s="422"/>
    </row>
    <row r="13183" spans="191:191" x14ac:dyDescent="0.2">
      <c r="GI13183" s="422"/>
    </row>
    <row r="13184" spans="191:191" x14ac:dyDescent="0.2">
      <c r="GI13184" s="422"/>
    </row>
    <row r="13185" spans="191:191" x14ac:dyDescent="0.2">
      <c r="GI13185" s="422"/>
    </row>
    <row r="13186" spans="191:191" x14ac:dyDescent="0.2">
      <c r="GI13186" s="422"/>
    </row>
    <row r="13187" spans="191:191" x14ac:dyDescent="0.2">
      <c r="GI13187" s="422"/>
    </row>
    <row r="13188" spans="191:191" x14ac:dyDescent="0.2">
      <c r="GI13188" s="422"/>
    </row>
    <row r="13189" spans="191:191" x14ac:dyDescent="0.2">
      <c r="GI13189" s="422"/>
    </row>
    <row r="13190" spans="191:191" x14ac:dyDescent="0.2">
      <c r="GI13190" s="422"/>
    </row>
    <row r="13191" spans="191:191" x14ac:dyDescent="0.2">
      <c r="GI13191" s="422"/>
    </row>
    <row r="13192" spans="191:191" x14ac:dyDescent="0.2">
      <c r="GI13192" s="422"/>
    </row>
    <row r="13193" spans="191:191" x14ac:dyDescent="0.2">
      <c r="GI13193" s="422"/>
    </row>
    <row r="13194" spans="191:191" x14ac:dyDescent="0.2">
      <c r="GI13194" s="422"/>
    </row>
    <row r="13195" spans="191:191" x14ac:dyDescent="0.2">
      <c r="GI13195" s="422"/>
    </row>
    <row r="13196" spans="191:191" x14ac:dyDescent="0.2">
      <c r="GI13196" s="422"/>
    </row>
    <row r="13197" spans="191:191" x14ac:dyDescent="0.2">
      <c r="GI13197" s="422"/>
    </row>
    <row r="13198" spans="191:191" x14ac:dyDescent="0.2">
      <c r="GI13198" s="422"/>
    </row>
    <row r="13199" spans="191:191" x14ac:dyDescent="0.2">
      <c r="GI13199" s="422"/>
    </row>
    <row r="13200" spans="191:191" x14ac:dyDescent="0.2">
      <c r="GI13200" s="422"/>
    </row>
    <row r="13201" spans="191:191" x14ac:dyDescent="0.2">
      <c r="GI13201" s="422"/>
    </row>
    <row r="13202" spans="191:191" x14ac:dyDescent="0.2">
      <c r="GI13202" s="422"/>
    </row>
    <row r="13203" spans="191:191" x14ac:dyDescent="0.2">
      <c r="GI13203" s="422"/>
    </row>
    <row r="13204" spans="191:191" x14ac:dyDescent="0.2">
      <c r="GI13204" s="422"/>
    </row>
    <row r="13205" spans="191:191" x14ac:dyDescent="0.2">
      <c r="GI13205" s="422"/>
    </row>
    <row r="13206" spans="191:191" x14ac:dyDescent="0.2">
      <c r="GI13206" s="422"/>
    </row>
    <row r="13207" spans="191:191" x14ac:dyDescent="0.2">
      <c r="GI13207" s="422"/>
    </row>
    <row r="13208" spans="191:191" x14ac:dyDescent="0.2">
      <c r="GI13208" s="422"/>
    </row>
    <row r="13209" spans="191:191" x14ac:dyDescent="0.2">
      <c r="GI13209" s="422"/>
    </row>
    <row r="13210" spans="191:191" x14ac:dyDescent="0.2">
      <c r="GI13210" s="422"/>
    </row>
    <row r="13211" spans="191:191" x14ac:dyDescent="0.2">
      <c r="GI13211" s="422"/>
    </row>
    <row r="13212" spans="191:191" x14ac:dyDescent="0.2">
      <c r="GI13212" s="422"/>
    </row>
    <row r="13213" spans="191:191" x14ac:dyDescent="0.2">
      <c r="GI13213" s="422"/>
    </row>
    <row r="13214" spans="191:191" x14ac:dyDescent="0.2">
      <c r="GI13214" s="422"/>
    </row>
    <row r="13215" spans="191:191" x14ac:dyDescent="0.2">
      <c r="GI13215" s="422"/>
    </row>
    <row r="13216" spans="191:191" x14ac:dyDescent="0.2">
      <c r="GI13216" s="422"/>
    </row>
    <row r="13217" spans="191:191" x14ac:dyDescent="0.2">
      <c r="GI13217" s="422"/>
    </row>
    <row r="13218" spans="191:191" x14ac:dyDescent="0.2">
      <c r="GI13218" s="422"/>
    </row>
    <row r="13219" spans="191:191" x14ac:dyDescent="0.2">
      <c r="GI13219" s="422"/>
    </row>
    <row r="13220" spans="191:191" x14ac:dyDescent="0.2">
      <c r="GI13220" s="422"/>
    </row>
    <row r="13221" spans="191:191" x14ac:dyDescent="0.2">
      <c r="GI13221" s="422"/>
    </row>
    <row r="13222" spans="191:191" x14ac:dyDescent="0.2">
      <c r="GI13222" s="422"/>
    </row>
    <row r="13223" spans="191:191" x14ac:dyDescent="0.2">
      <c r="GI13223" s="422"/>
    </row>
    <row r="13224" spans="191:191" x14ac:dyDescent="0.2">
      <c r="GI13224" s="422"/>
    </row>
    <row r="13225" spans="191:191" x14ac:dyDescent="0.2">
      <c r="GI13225" s="422"/>
    </row>
    <row r="13226" spans="191:191" x14ac:dyDescent="0.2">
      <c r="GI13226" s="422"/>
    </row>
    <row r="13227" spans="191:191" x14ac:dyDescent="0.2">
      <c r="GI13227" s="422"/>
    </row>
    <row r="13228" spans="191:191" x14ac:dyDescent="0.2">
      <c r="GI13228" s="422"/>
    </row>
    <row r="13229" spans="191:191" x14ac:dyDescent="0.2">
      <c r="GI13229" s="422"/>
    </row>
    <row r="13230" spans="191:191" x14ac:dyDescent="0.2">
      <c r="GI13230" s="422"/>
    </row>
    <row r="13231" spans="191:191" x14ac:dyDescent="0.2">
      <c r="GI13231" s="422"/>
    </row>
    <row r="13232" spans="191:191" x14ac:dyDescent="0.2">
      <c r="GI13232" s="422"/>
    </row>
    <row r="13233" spans="191:191" x14ac:dyDescent="0.2">
      <c r="GI13233" s="422"/>
    </row>
    <row r="13234" spans="191:191" x14ac:dyDescent="0.2">
      <c r="GI13234" s="422"/>
    </row>
    <row r="13235" spans="191:191" x14ac:dyDescent="0.2">
      <c r="GI13235" s="422"/>
    </row>
    <row r="13236" spans="191:191" x14ac:dyDescent="0.2">
      <c r="GI13236" s="422"/>
    </row>
    <row r="13237" spans="191:191" x14ac:dyDescent="0.2">
      <c r="GI13237" s="422"/>
    </row>
    <row r="13238" spans="191:191" x14ac:dyDescent="0.2">
      <c r="GI13238" s="422"/>
    </row>
    <row r="13239" spans="191:191" x14ac:dyDescent="0.2">
      <c r="GI13239" s="422"/>
    </row>
    <row r="13240" spans="191:191" x14ac:dyDescent="0.2">
      <c r="GI13240" s="422"/>
    </row>
    <row r="13241" spans="191:191" x14ac:dyDescent="0.2">
      <c r="GI13241" s="422"/>
    </row>
    <row r="13242" spans="191:191" x14ac:dyDescent="0.2">
      <c r="GI13242" s="422"/>
    </row>
    <row r="13243" spans="191:191" x14ac:dyDescent="0.2">
      <c r="GI13243" s="422"/>
    </row>
    <row r="13244" spans="191:191" x14ac:dyDescent="0.2">
      <c r="GI13244" s="422"/>
    </row>
    <row r="13245" spans="191:191" x14ac:dyDescent="0.2">
      <c r="GI13245" s="422"/>
    </row>
    <row r="13246" spans="191:191" x14ac:dyDescent="0.2">
      <c r="GI13246" s="422"/>
    </row>
    <row r="13247" spans="191:191" x14ac:dyDescent="0.2">
      <c r="GI13247" s="422"/>
    </row>
    <row r="13248" spans="191:191" x14ac:dyDescent="0.2">
      <c r="GI13248" s="422"/>
    </row>
    <row r="13249" spans="191:191" x14ac:dyDescent="0.2">
      <c r="GI13249" s="422"/>
    </row>
    <row r="13250" spans="191:191" x14ac:dyDescent="0.2">
      <c r="GI13250" s="422"/>
    </row>
    <row r="13251" spans="191:191" x14ac:dyDescent="0.2">
      <c r="GI13251" s="422"/>
    </row>
    <row r="13252" spans="191:191" x14ac:dyDescent="0.2">
      <c r="GI13252" s="422"/>
    </row>
    <row r="13253" spans="191:191" x14ac:dyDescent="0.2">
      <c r="GI13253" s="422"/>
    </row>
    <row r="13254" spans="191:191" x14ac:dyDescent="0.2">
      <c r="GI13254" s="422"/>
    </row>
    <row r="13255" spans="191:191" x14ac:dyDescent="0.2">
      <c r="GI13255" s="422"/>
    </row>
    <row r="13256" spans="191:191" x14ac:dyDescent="0.2">
      <c r="GI13256" s="422"/>
    </row>
    <row r="13257" spans="191:191" x14ac:dyDescent="0.2">
      <c r="GI13257" s="422"/>
    </row>
    <row r="13258" spans="191:191" x14ac:dyDescent="0.2">
      <c r="GI13258" s="422"/>
    </row>
    <row r="13259" spans="191:191" x14ac:dyDescent="0.2">
      <c r="GI13259" s="422"/>
    </row>
    <row r="13260" spans="191:191" x14ac:dyDescent="0.2">
      <c r="GI13260" s="422"/>
    </row>
    <row r="13261" spans="191:191" x14ac:dyDescent="0.2">
      <c r="GI13261" s="422"/>
    </row>
    <row r="13262" spans="191:191" x14ac:dyDescent="0.2">
      <c r="GI13262" s="422"/>
    </row>
    <row r="13263" spans="191:191" x14ac:dyDescent="0.2">
      <c r="GI13263" s="422"/>
    </row>
    <row r="13264" spans="191:191" x14ac:dyDescent="0.2">
      <c r="GI13264" s="422"/>
    </row>
    <row r="13265" spans="191:191" x14ac:dyDescent="0.2">
      <c r="GI13265" s="422"/>
    </row>
    <row r="13266" spans="191:191" x14ac:dyDescent="0.2">
      <c r="GI13266" s="422"/>
    </row>
    <row r="13267" spans="191:191" x14ac:dyDescent="0.2">
      <c r="GI13267" s="422"/>
    </row>
    <row r="13268" spans="191:191" x14ac:dyDescent="0.2">
      <c r="GI13268" s="422"/>
    </row>
    <row r="13269" spans="191:191" x14ac:dyDescent="0.2">
      <c r="GI13269" s="422"/>
    </row>
    <row r="13270" spans="191:191" x14ac:dyDescent="0.2">
      <c r="GI13270" s="422"/>
    </row>
    <row r="13271" spans="191:191" x14ac:dyDescent="0.2">
      <c r="GI13271" s="422"/>
    </row>
    <row r="13272" spans="191:191" x14ac:dyDescent="0.2">
      <c r="GI13272" s="422"/>
    </row>
    <row r="13273" spans="191:191" x14ac:dyDescent="0.2">
      <c r="GI13273" s="422"/>
    </row>
    <row r="13274" spans="191:191" x14ac:dyDescent="0.2">
      <c r="GI13274" s="422"/>
    </row>
    <row r="13275" spans="191:191" x14ac:dyDescent="0.2">
      <c r="GI13275" s="422"/>
    </row>
    <row r="13276" spans="191:191" x14ac:dyDescent="0.2">
      <c r="GI13276" s="422"/>
    </row>
    <row r="13277" spans="191:191" x14ac:dyDescent="0.2">
      <c r="GI13277" s="422"/>
    </row>
    <row r="13278" spans="191:191" x14ac:dyDescent="0.2">
      <c r="GI13278" s="422"/>
    </row>
    <row r="13279" spans="191:191" x14ac:dyDescent="0.2">
      <c r="GI13279" s="422"/>
    </row>
    <row r="13280" spans="191:191" x14ac:dyDescent="0.2">
      <c r="GI13280" s="422"/>
    </row>
    <row r="13281" spans="191:191" x14ac:dyDescent="0.2">
      <c r="GI13281" s="422"/>
    </row>
    <row r="13282" spans="191:191" x14ac:dyDescent="0.2">
      <c r="GI13282" s="422"/>
    </row>
    <row r="13283" spans="191:191" x14ac:dyDescent="0.2">
      <c r="GI13283" s="422"/>
    </row>
    <row r="13284" spans="191:191" x14ac:dyDescent="0.2">
      <c r="GI13284" s="422"/>
    </row>
    <row r="13285" spans="191:191" x14ac:dyDescent="0.2">
      <c r="GI13285" s="422"/>
    </row>
    <row r="13286" spans="191:191" x14ac:dyDescent="0.2">
      <c r="GI13286" s="422"/>
    </row>
    <row r="13287" spans="191:191" x14ac:dyDescent="0.2">
      <c r="GI13287" s="422"/>
    </row>
    <row r="13288" spans="191:191" x14ac:dyDescent="0.2">
      <c r="GI13288" s="422"/>
    </row>
    <row r="13289" spans="191:191" x14ac:dyDescent="0.2">
      <c r="GI13289" s="422"/>
    </row>
    <row r="13290" spans="191:191" x14ac:dyDescent="0.2">
      <c r="GI13290" s="422"/>
    </row>
    <row r="13291" spans="191:191" x14ac:dyDescent="0.2">
      <c r="GI13291" s="422"/>
    </row>
    <row r="13292" spans="191:191" x14ac:dyDescent="0.2">
      <c r="GI13292" s="422"/>
    </row>
    <row r="13293" spans="191:191" x14ac:dyDescent="0.2">
      <c r="GI13293" s="422"/>
    </row>
    <row r="13294" spans="191:191" x14ac:dyDescent="0.2">
      <c r="GI13294" s="422"/>
    </row>
    <row r="13295" spans="191:191" x14ac:dyDescent="0.2">
      <c r="GI13295" s="422"/>
    </row>
    <row r="13296" spans="191:191" x14ac:dyDescent="0.2">
      <c r="GI13296" s="422"/>
    </row>
    <row r="13297" spans="191:191" x14ac:dyDescent="0.2">
      <c r="GI13297" s="422"/>
    </row>
    <row r="13298" spans="191:191" x14ac:dyDescent="0.2">
      <c r="GI13298" s="422"/>
    </row>
    <row r="13299" spans="191:191" x14ac:dyDescent="0.2">
      <c r="GI13299" s="422"/>
    </row>
    <row r="13300" spans="191:191" x14ac:dyDescent="0.2">
      <c r="GI13300" s="422"/>
    </row>
    <row r="13301" spans="191:191" x14ac:dyDescent="0.2">
      <c r="GI13301" s="422"/>
    </row>
    <row r="13302" spans="191:191" x14ac:dyDescent="0.2">
      <c r="GI13302" s="422"/>
    </row>
    <row r="13303" spans="191:191" x14ac:dyDescent="0.2">
      <c r="GI13303" s="422"/>
    </row>
    <row r="13304" spans="191:191" x14ac:dyDescent="0.2">
      <c r="GI13304" s="422"/>
    </row>
    <row r="13305" spans="191:191" x14ac:dyDescent="0.2">
      <c r="GI13305" s="422"/>
    </row>
    <row r="13306" spans="191:191" x14ac:dyDescent="0.2">
      <c r="GI13306" s="422"/>
    </row>
    <row r="13307" spans="191:191" x14ac:dyDescent="0.2">
      <c r="GI13307" s="422"/>
    </row>
    <row r="13308" spans="191:191" x14ac:dyDescent="0.2">
      <c r="GI13308" s="422"/>
    </row>
    <row r="13309" spans="191:191" x14ac:dyDescent="0.2">
      <c r="GI13309" s="422"/>
    </row>
    <row r="13310" spans="191:191" x14ac:dyDescent="0.2">
      <c r="GI13310" s="422"/>
    </row>
    <row r="13311" spans="191:191" x14ac:dyDescent="0.2">
      <c r="GI13311" s="422"/>
    </row>
    <row r="13312" spans="191:191" x14ac:dyDescent="0.2">
      <c r="GI13312" s="422"/>
    </row>
    <row r="13313" spans="191:191" x14ac:dyDescent="0.2">
      <c r="GI13313" s="422"/>
    </row>
    <row r="13314" spans="191:191" x14ac:dyDescent="0.2">
      <c r="GI13314" s="422"/>
    </row>
    <row r="13315" spans="191:191" x14ac:dyDescent="0.2">
      <c r="GI13315" s="422"/>
    </row>
    <row r="13316" spans="191:191" x14ac:dyDescent="0.2">
      <c r="GI13316" s="422"/>
    </row>
    <row r="13317" spans="191:191" x14ac:dyDescent="0.2">
      <c r="GI13317" s="422"/>
    </row>
    <row r="13318" spans="191:191" x14ac:dyDescent="0.2">
      <c r="GI13318" s="422"/>
    </row>
    <row r="13319" spans="191:191" x14ac:dyDescent="0.2">
      <c r="GI13319" s="422"/>
    </row>
    <row r="13320" spans="191:191" x14ac:dyDescent="0.2">
      <c r="GI13320" s="422"/>
    </row>
    <row r="13321" spans="191:191" x14ac:dyDescent="0.2">
      <c r="GI13321" s="422"/>
    </row>
    <row r="13322" spans="191:191" x14ac:dyDescent="0.2">
      <c r="GI13322" s="422"/>
    </row>
    <row r="13323" spans="191:191" x14ac:dyDescent="0.2">
      <c r="GI13323" s="422"/>
    </row>
    <row r="13324" spans="191:191" x14ac:dyDescent="0.2">
      <c r="GI13324" s="422"/>
    </row>
    <row r="13325" spans="191:191" x14ac:dyDescent="0.2">
      <c r="GI13325" s="422"/>
    </row>
    <row r="13326" spans="191:191" x14ac:dyDescent="0.2">
      <c r="GI13326" s="422"/>
    </row>
    <row r="13327" spans="191:191" x14ac:dyDescent="0.2">
      <c r="GI13327" s="422"/>
    </row>
    <row r="13328" spans="191:191" x14ac:dyDescent="0.2">
      <c r="GI13328" s="422"/>
    </row>
    <row r="13329" spans="191:191" x14ac:dyDescent="0.2">
      <c r="GI13329" s="422"/>
    </row>
    <row r="13330" spans="191:191" x14ac:dyDescent="0.2">
      <c r="GI13330" s="422"/>
    </row>
    <row r="13331" spans="191:191" x14ac:dyDescent="0.2">
      <c r="GI13331" s="422"/>
    </row>
    <row r="13332" spans="191:191" x14ac:dyDescent="0.2">
      <c r="GI13332" s="422"/>
    </row>
    <row r="13333" spans="191:191" x14ac:dyDescent="0.2">
      <c r="GI13333" s="422"/>
    </row>
    <row r="13334" spans="191:191" x14ac:dyDescent="0.2">
      <c r="GI13334" s="422"/>
    </row>
    <row r="13335" spans="191:191" x14ac:dyDescent="0.2">
      <c r="GI13335" s="422"/>
    </row>
    <row r="13336" spans="191:191" x14ac:dyDescent="0.2">
      <c r="GI13336" s="422"/>
    </row>
    <row r="13337" spans="191:191" x14ac:dyDescent="0.2">
      <c r="GI13337" s="422"/>
    </row>
    <row r="13338" spans="191:191" x14ac:dyDescent="0.2">
      <c r="GI13338" s="422"/>
    </row>
    <row r="13339" spans="191:191" x14ac:dyDescent="0.2">
      <c r="GI13339" s="422"/>
    </row>
    <row r="13340" spans="191:191" x14ac:dyDescent="0.2">
      <c r="GI13340" s="422"/>
    </row>
    <row r="13341" spans="191:191" x14ac:dyDescent="0.2">
      <c r="GI13341" s="422"/>
    </row>
    <row r="13342" spans="191:191" x14ac:dyDescent="0.2">
      <c r="GI13342" s="422"/>
    </row>
    <row r="13343" spans="191:191" x14ac:dyDescent="0.2">
      <c r="GI13343" s="422"/>
    </row>
    <row r="13344" spans="191:191" x14ac:dyDescent="0.2">
      <c r="GI13344" s="422"/>
    </row>
    <row r="13345" spans="191:191" x14ac:dyDescent="0.2">
      <c r="GI13345" s="422"/>
    </row>
    <row r="13346" spans="191:191" x14ac:dyDescent="0.2">
      <c r="GI13346" s="422"/>
    </row>
    <row r="13347" spans="191:191" x14ac:dyDescent="0.2">
      <c r="GI13347" s="422"/>
    </row>
    <row r="13348" spans="191:191" x14ac:dyDescent="0.2">
      <c r="GI13348" s="422"/>
    </row>
    <row r="13349" spans="191:191" x14ac:dyDescent="0.2">
      <c r="GI13349" s="422"/>
    </row>
    <row r="13350" spans="191:191" x14ac:dyDescent="0.2">
      <c r="GI13350" s="422"/>
    </row>
    <row r="13351" spans="191:191" x14ac:dyDescent="0.2">
      <c r="GI13351" s="422"/>
    </row>
    <row r="13352" spans="191:191" x14ac:dyDescent="0.2">
      <c r="GI13352" s="422"/>
    </row>
    <row r="13353" spans="191:191" x14ac:dyDescent="0.2">
      <c r="GI13353" s="422"/>
    </row>
    <row r="13354" spans="191:191" x14ac:dyDescent="0.2">
      <c r="GI13354" s="422"/>
    </row>
    <row r="13355" spans="191:191" x14ac:dyDescent="0.2">
      <c r="GI13355" s="422"/>
    </row>
    <row r="13356" spans="191:191" x14ac:dyDescent="0.2">
      <c r="GI13356" s="422"/>
    </row>
    <row r="13357" spans="191:191" x14ac:dyDescent="0.2">
      <c r="GI13357" s="422"/>
    </row>
    <row r="13358" spans="191:191" x14ac:dyDescent="0.2">
      <c r="GI13358" s="422"/>
    </row>
    <row r="13359" spans="191:191" x14ac:dyDescent="0.2">
      <c r="GI13359" s="422"/>
    </row>
    <row r="13360" spans="191:191" x14ac:dyDescent="0.2">
      <c r="GI13360" s="422"/>
    </row>
    <row r="13361" spans="191:191" x14ac:dyDescent="0.2">
      <c r="GI13361" s="422"/>
    </row>
    <row r="13362" spans="191:191" x14ac:dyDescent="0.2">
      <c r="GI13362" s="422"/>
    </row>
    <row r="13363" spans="191:191" x14ac:dyDescent="0.2">
      <c r="GI13363" s="422"/>
    </row>
    <row r="13364" spans="191:191" x14ac:dyDescent="0.2">
      <c r="GI13364" s="422"/>
    </row>
    <row r="13365" spans="191:191" x14ac:dyDescent="0.2">
      <c r="GI13365" s="422"/>
    </row>
    <row r="13366" spans="191:191" x14ac:dyDescent="0.2">
      <c r="GI13366" s="422"/>
    </row>
    <row r="13367" spans="191:191" x14ac:dyDescent="0.2">
      <c r="GI13367" s="422"/>
    </row>
    <row r="13368" spans="191:191" x14ac:dyDescent="0.2">
      <c r="GI13368" s="422"/>
    </row>
    <row r="13369" spans="191:191" x14ac:dyDescent="0.2">
      <c r="GI13369" s="422"/>
    </row>
    <row r="13370" spans="191:191" x14ac:dyDescent="0.2">
      <c r="GI13370" s="422"/>
    </row>
    <row r="13371" spans="191:191" x14ac:dyDescent="0.2">
      <c r="GI13371" s="422"/>
    </row>
    <row r="13372" spans="191:191" x14ac:dyDescent="0.2">
      <c r="GI13372" s="422"/>
    </row>
    <row r="13373" spans="191:191" x14ac:dyDescent="0.2">
      <c r="GI13373" s="422"/>
    </row>
    <row r="13374" spans="191:191" x14ac:dyDescent="0.2">
      <c r="GI13374" s="422"/>
    </row>
    <row r="13375" spans="191:191" x14ac:dyDescent="0.2">
      <c r="GI13375" s="422"/>
    </row>
    <row r="13376" spans="191:191" x14ac:dyDescent="0.2">
      <c r="GI13376" s="422"/>
    </row>
    <row r="13377" spans="191:191" x14ac:dyDescent="0.2">
      <c r="GI13377" s="422"/>
    </row>
    <row r="13378" spans="191:191" x14ac:dyDescent="0.2">
      <c r="GI13378" s="422"/>
    </row>
    <row r="13379" spans="191:191" x14ac:dyDescent="0.2">
      <c r="GI13379" s="422"/>
    </row>
    <row r="13380" spans="191:191" x14ac:dyDescent="0.2">
      <c r="GI13380" s="422"/>
    </row>
    <row r="13381" spans="191:191" x14ac:dyDescent="0.2">
      <c r="GI13381" s="422"/>
    </row>
    <row r="13382" spans="191:191" x14ac:dyDescent="0.2">
      <c r="GI13382" s="422"/>
    </row>
    <row r="13383" spans="191:191" x14ac:dyDescent="0.2">
      <c r="GI13383" s="422"/>
    </row>
    <row r="13384" spans="191:191" x14ac:dyDescent="0.2">
      <c r="GI13384" s="422"/>
    </row>
    <row r="13385" spans="191:191" x14ac:dyDescent="0.2">
      <c r="GI13385" s="422"/>
    </row>
    <row r="13386" spans="191:191" x14ac:dyDescent="0.2">
      <c r="GI13386" s="422"/>
    </row>
    <row r="13387" spans="191:191" x14ac:dyDescent="0.2">
      <c r="GI13387" s="422"/>
    </row>
    <row r="13388" spans="191:191" x14ac:dyDescent="0.2">
      <c r="GI13388" s="422"/>
    </row>
    <row r="13389" spans="191:191" x14ac:dyDescent="0.2">
      <c r="GI13389" s="422"/>
    </row>
    <row r="13390" spans="191:191" x14ac:dyDescent="0.2">
      <c r="GI13390" s="422"/>
    </row>
    <row r="13391" spans="191:191" x14ac:dyDescent="0.2">
      <c r="GI13391" s="422"/>
    </row>
    <row r="13392" spans="191:191" x14ac:dyDescent="0.2">
      <c r="GI13392" s="422"/>
    </row>
    <row r="13393" spans="191:191" x14ac:dyDescent="0.2">
      <c r="GI13393" s="422"/>
    </row>
    <row r="13394" spans="191:191" x14ac:dyDescent="0.2">
      <c r="GI13394" s="422"/>
    </row>
    <row r="13395" spans="191:191" x14ac:dyDescent="0.2">
      <c r="GI13395" s="422"/>
    </row>
    <row r="13396" spans="191:191" x14ac:dyDescent="0.2">
      <c r="GI13396" s="422"/>
    </row>
    <row r="13397" spans="191:191" x14ac:dyDescent="0.2">
      <c r="GI13397" s="422"/>
    </row>
    <row r="13398" spans="191:191" x14ac:dyDescent="0.2">
      <c r="GI13398" s="422"/>
    </row>
    <row r="13399" spans="191:191" x14ac:dyDescent="0.2">
      <c r="GI13399" s="422"/>
    </row>
    <row r="13400" spans="191:191" x14ac:dyDescent="0.2">
      <c r="GI13400" s="422"/>
    </row>
    <row r="13401" spans="191:191" x14ac:dyDescent="0.2">
      <c r="GI13401" s="422"/>
    </row>
    <row r="13402" spans="191:191" x14ac:dyDescent="0.2">
      <c r="GI13402" s="422"/>
    </row>
    <row r="13403" spans="191:191" x14ac:dyDescent="0.2">
      <c r="GI13403" s="422"/>
    </row>
    <row r="13404" spans="191:191" x14ac:dyDescent="0.2">
      <c r="GI13404" s="422"/>
    </row>
    <row r="13405" spans="191:191" x14ac:dyDescent="0.2">
      <c r="GI13405" s="422"/>
    </row>
    <row r="13406" spans="191:191" x14ac:dyDescent="0.2">
      <c r="GI13406" s="422"/>
    </row>
    <row r="13407" spans="191:191" x14ac:dyDescent="0.2">
      <c r="GI13407" s="422"/>
    </row>
    <row r="13408" spans="191:191" x14ac:dyDescent="0.2">
      <c r="GI13408" s="422"/>
    </row>
    <row r="13409" spans="191:191" x14ac:dyDescent="0.2">
      <c r="GI13409" s="422"/>
    </row>
    <row r="13410" spans="191:191" x14ac:dyDescent="0.2">
      <c r="GI13410" s="422"/>
    </row>
    <row r="13411" spans="191:191" x14ac:dyDescent="0.2">
      <c r="GI13411" s="422"/>
    </row>
    <row r="13412" spans="191:191" x14ac:dyDescent="0.2">
      <c r="GI13412" s="422"/>
    </row>
    <row r="13413" spans="191:191" x14ac:dyDescent="0.2">
      <c r="GI13413" s="422"/>
    </row>
    <row r="13414" spans="191:191" x14ac:dyDescent="0.2">
      <c r="GI13414" s="422"/>
    </row>
    <row r="13415" spans="191:191" x14ac:dyDescent="0.2">
      <c r="GI13415" s="422"/>
    </row>
    <row r="13416" spans="191:191" x14ac:dyDescent="0.2">
      <c r="GI13416" s="422"/>
    </row>
    <row r="13417" spans="191:191" x14ac:dyDescent="0.2">
      <c r="GI13417" s="422"/>
    </row>
    <row r="13418" spans="191:191" x14ac:dyDescent="0.2">
      <c r="GI13418" s="422"/>
    </row>
    <row r="13419" spans="191:191" x14ac:dyDescent="0.2">
      <c r="GI13419" s="422"/>
    </row>
    <row r="13420" spans="191:191" x14ac:dyDescent="0.2">
      <c r="GI13420" s="422"/>
    </row>
    <row r="13421" spans="191:191" x14ac:dyDescent="0.2">
      <c r="GI13421" s="422"/>
    </row>
    <row r="13422" spans="191:191" x14ac:dyDescent="0.2">
      <c r="GI13422" s="422"/>
    </row>
    <row r="13423" spans="191:191" x14ac:dyDescent="0.2">
      <c r="GI13423" s="422"/>
    </row>
    <row r="13424" spans="191:191" x14ac:dyDescent="0.2">
      <c r="GI13424" s="422"/>
    </row>
    <row r="13425" spans="191:191" x14ac:dyDescent="0.2">
      <c r="GI13425" s="422"/>
    </row>
    <row r="13426" spans="191:191" x14ac:dyDescent="0.2">
      <c r="GI13426" s="422"/>
    </row>
    <row r="13427" spans="191:191" x14ac:dyDescent="0.2">
      <c r="GI13427" s="422"/>
    </row>
    <row r="13428" spans="191:191" x14ac:dyDescent="0.2">
      <c r="GI13428" s="422"/>
    </row>
    <row r="13429" spans="191:191" x14ac:dyDescent="0.2">
      <c r="GI13429" s="422"/>
    </row>
    <row r="13430" spans="191:191" x14ac:dyDescent="0.2">
      <c r="GI13430" s="422"/>
    </row>
    <row r="13431" spans="191:191" x14ac:dyDescent="0.2">
      <c r="GI13431" s="422"/>
    </row>
    <row r="13432" spans="191:191" x14ac:dyDescent="0.2">
      <c r="GI13432" s="422"/>
    </row>
    <row r="13433" spans="191:191" x14ac:dyDescent="0.2">
      <c r="GI13433" s="422"/>
    </row>
    <row r="13434" spans="191:191" x14ac:dyDescent="0.2">
      <c r="GI13434" s="422"/>
    </row>
    <row r="13435" spans="191:191" x14ac:dyDescent="0.2">
      <c r="GI13435" s="422"/>
    </row>
    <row r="13436" spans="191:191" x14ac:dyDescent="0.2">
      <c r="GI13436" s="422"/>
    </row>
    <row r="13437" spans="191:191" x14ac:dyDescent="0.2">
      <c r="GI13437" s="422"/>
    </row>
    <row r="13438" spans="191:191" x14ac:dyDescent="0.2">
      <c r="GI13438" s="422"/>
    </row>
    <row r="13439" spans="191:191" x14ac:dyDescent="0.2">
      <c r="GI13439" s="422"/>
    </row>
    <row r="13440" spans="191:191" x14ac:dyDescent="0.2">
      <c r="GI13440" s="422"/>
    </row>
    <row r="13441" spans="191:191" x14ac:dyDescent="0.2">
      <c r="GI13441" s="422"/>
    </row>
    <row r="13442" spans="191:191" x14ac:dyDescent="0.2">
      <c r="GI13442" s="422"/>
    </row>
    <row r="13443" spans="191:191" x14ac:dyDescent="0.2">
      <c r="GI13443" s="422"/>
    </row>
    <row r="13444" spans="191:191" x14ac:dyDescent="0.2">
      <c r="GI13444" s="422"/>
    </row>
    <row r="13445" spans="191:191" x14ac:dyDescent="0.2">
      <c r="GI13445" s="422"/>
    </row>
    <row r="13446" spans="191:191" x14ac:dyDescent="0.2">
      <c r="GI13446" s="422"/>
    </row>
    <row r="13447" spans="191:191" x14ac:dyDescent="0.2">
      <c r="GI13447" s="422"/>
    </row>
    <row r="13448" spans="191:191" x14ac:dyDescent="0.2">
      <c r="GI13448" s="422"/>
    </row>
    <row r="13449" spans="191:191" x14ac:dyDescent="0.2">
      <c r="GI13449" s="422"/>
    </row>
    <row r="13450" spans="191:191" x14ac:dyDescent="0.2">
      <c r="GI13450" s="422"/>
    </row>
    <row r="13451" spans="191:191" x14ac:dyDescent="0.2">
      <c r="GI13451" s="422"/>
    </row>
    <row r="13452" spans="191:191" x14ac:dyDescent="0.2">
      <c r="GI13452" s="422"/>
    </row>
    <row r="13453" spans="191:191" x14ac:dyDescent="0.2">
      <c r="GI13453" s="422"/>
    </row>
    <row r="13454" spans="191:191" x14ac:dyDescent="0.2">
      <c r="GI13454" s="422"/>
    </row>
    <row r="13455" spans="191:191" x14ac:dyDescent="0.2">
      <c r="GI13455" s="422"/>
    </row>
    <row r="13456" spans="191:191" x14ac:dyDescent="0.2">
      <c r="GI13456" s="422"/>
    </row>
    <row r="13457" spans="191:191" x14ac:dyDescent="0.2">
      <c r="GI13457" s="422"/>
    </row>
    <row r="13458" spans="191:191" x14ac:dyDescent="0.2">
      <c r="GI13458" s="422"/>
    </row>
    <row r="13459" spans="191:191" x14ac:dyDescent="0.2">
      <c r="GI13459" s="422"/>
    </row>
    <row r="13460" spans="191:191" x14ac:dyDescent="0.2">
      <c r="GI13460" s="422"/>
    </row>
    <row r="13461" spans="191:191" x14ac:dyDescent="0.2">
      <c r="GI13461" s="422"/>
    </row>
    <row r="13462" spans="191:191" x14ac:dyDescent="0.2">
      <c r="GI13462" s="422"/>
    </row>
    <row r="13463" spans="191:191" x14ac:dyDescent="0.2">
      <c r="GI13463" s="422"/>
    </row>
    <row r="13464" spans="191:191" x14ac:dyDescent="0.2">
      <c r="GI13464" s="422"/>
    </row>
    <row r="13465" spans="191:191" x14ac:dyDescent="0.2">
      <c r="GI13465" s="422"/>
    </row>
    <row r="13466" spans="191:191" x14ac:dyDescent="0.2">
      <c r="GI13466" s="422"/>
    </row>
    <row r="13467" spans="191:191" x14ac:dyDescent="0.2">
      <c r="GI13467" s="422"/>
    </row>
    <row r="13468" spans="191:191" x14ac:dyDescent="0.2">
      <c r="GI13468" s="422"/>
    </row>
    <row r="13469" spans="191:191" x14ac:dyDescent="0.2">
      <c r="GI13469" s="422"/>
    </row>
    <row r="13470" spans="191:191" x14ac:dyDescent="0.2">
      <c r="GI13470" s="422"/>
    </row>
    <row r="13471" spans="191:191" x14ac:dyDescent="0.2">
      <c r="GI13471" s="422"/>
    </row>
    <row r="13472" spans="191:191" x14ac:dyDescent="0.2">
      <c r="GI13472" s="422"/>
    </row>
    <row r="13473" spans="191:191" x14ac:dyDescent="0.2">
      <c r="GI13473" s="422"/>
    </row>
    <row r="13474" spans="191:191" x14ac:dyDescent="0.2">
      <c r="GI13474" s="422"/>
    </row>
    <row r="13475" spans="191:191" x14ac:dyDescent="0.2">
      <c r="GI13475" s="422"/>
    </row>
    <row r="13476" spans="191:191" x14ac:dyDescent="0.2">
      <c r="GI13476" s="422"/>
    </row>
    <row r="13477" spans="191:191" x14ac:dyDescent="0.2">
      <c r="GI13477" s="422"/>
    </row>
    <row r="13478" spans="191:191" x14ac:dyDescent="0.2">
      <c r="GI13478" s="422"/>
    </row>
    <row r="13479" spans="191:191" x14ac:dyDescent="0.2">
      <c r="GI13479" s="422"/>
    </row>
    <row r="13480" spans="191:191" x14ac:dyDescent="0.2">
      <c r="GI13480" s="422"/>
    </row>
    <row r="13481" spans="191:191" x14ac:dyDescent="0.2">
      <c r="GI13481" s="422"/>
    </row>
    <row r="13482" spans="191:191" x14ac:dyDescent="0.2">
      <c r="GI13482" s="422"/>
    </row>
    <row r="13483" spans="191:191" x14ac:dyDescent="0.2">
      <c r="GI13483" s="422"/>
    </row>
    <row r="13484" spans="191:191" x14ac:dyDescent="0.2">
      <c r="GI13484" s="422"/>
    </row>
    <row r="13485" spans="191:191" x14ac:dyDescent="0.2">
      <c r="GI13485" s="422"/>
    </row>
    <row r="13486" spans="191:191" x14ac:dyDescent="0.2">
      <c r="GI13486" s="422"/>
    </row>
    <row r="13487" spans="191:191" x14ac:dyDescent="0.2">
      <c r="GI13487" s="422"/>
    </row>
    <row r="13488" spans="191:191" x14ac:dyDescent="0.2">
      <c r="GI13488" s="422"/>
    </row>
    <row r="13489" spans="191:191" x14ac:dyDescent="0.2">
      <c r="GI13489" s="422"/>
    </row>
    <row r="13490" spans="191:191" x14ac:dyDescent="0.2">
      <c r="GI13490" s="422"/>
    </row>
    <row r="13491" spans="191:191" x14ac:dyDescent="0.2">
      <c r="GI13491" s="422"/>
    </row>
    <row r="13492" spans="191:191" x14ac:dyDescent="0.2">
      <c r="GI13492" s="422"/>
    </row>
    <row r="13493" spans="191:191" x14ac:dyDescent="0.2">
      <c r="GI13493" s="422"/>
    </row>
    <row r="13494" spans="191:191" x14ac:dyDescent="0.2">
      <c r="GI13494" s="422"/>
    </row>
    <row r="13495" spans="191:191" x14ac:dyDescent="0.2">
      <c r="GI13495" s="422"/>
    </row>
    <row r="13496" spans="191:191" x14ac:dyDescent="0.2">
      <c r="GI13496" s="422"/>
    </row>
    <row r="13497" spans="191:191" x14ac:dyDescent="0.2">
      <c r="GI13497" s="422"/>
    </row>
    <row r="13498" spans="191:191" x14ac:dyDescent="0.2">
      <c r="GI13498" s="422"/>
    </row>
    <row r="13499" spans="191:191" x14ac:dyDescent="0.2">
      <c r="GI13499" s="422"/>
    </row>
    <row r="13500" spans="191:191" x14ac:dyDescent="0.2">
      <c r="GI13500" s="422"/>
    </row>
    <row r="13501" spans="191:191" x14ac:dyDescent="0.2">
      <c r="GI13501" s="422"/>
    </row>
    <row r="13502" spans="191:191" x14ac:dyDescent="0.2">
      <c r="GI13502" s="422"/>
    </row>
    <row r="13503" spans="191:191" x14ac:dyDescent="0.2">
      <c r="GI13503" s="422"/>
    </row>
    <row r="13504" spans="191:191" x14ac:dyDescent="0.2">
      <c r="GI13504" s="422"/>
    </row>
    <row r="13505" spans="191:191" x14ac:dyDescent="0.2">
      <c r="GI13505" s="422"/>
    </row>
    <row r="13506" spans="191:191" x14ac:dyDescent="0.2">
      <c r="GI13506" s="422"/>
    </row>
    <row r="13507" spans="191:191" x14ac:dyDescent="0.2">
      <c r="GI13507" s="422"/>
    </row>
    <row r="13508" spans="191:191" x14ac:dyDescent="0.2">
      <c r="GI13508" s="422"/>
    </row>
    <row r="13509" spans="191:191" x14ac:dyDescent="0.2">
      <c r="GI13509" s="422"/>
    </row>
    <row r="13510" spans="191:191" x14ac:dyDescent="0.2">
      <c r="GI13510" s="422"/>
    </row>
    <row r="13511" spans="191:191" x14ac:dyDescent="0.2">
      <c r="GI13511" s="422"/>
    </row>
    <row r="13512" spans="191:191" x14ac:dyDescent="0.2">
      <c r="GI13512" s="422"/>
    </row>
    <row r="13513" spans="191:191" x14ac:dyDescent="0.2">
      <c r="GI13513" s="422"/>
    </row>
    <row r="13514" spans="191:191" x14ac:dyDescent="0.2">
      <c r="GI13514" s="422"/>
    </row>
    <row r="13515" spans="191:191" x14ac:dyDescent="0.2">
      <c r="GI13515" s="422"/>
    </row>
    <row r="13516" spans="191:191" x14ac:dyDescent="0.2">
      <c r="GI13516" s="422"/>
    </row>
    <row r="13517" spans="191:191" x14ac:dyDescent="0.2">
      <c r="GI13517" s="422"/>
    </row>
    <row r="13518" spans="191:191" x14ac:dyDescent="0.2">
      <c r="GI13518" s="422"/>
    </row>
    <row r="13519" spans="191:191" x14ac:dyDescent="0.2">
      <c r="GI13519" s="422"/>
    </row>
    <row r="13520" spans="191:191" x14ac:dyDescent="0.2">
      <c r="GI13520" s="422"/>
    </row>
    <row r="13521" spans="191:191" x14ac:dyDescent="0.2">
      <c r="GI13521" s="422"/>
    </row>
    <row r="13522" spans="191:191" x14ac:dyDescent="0.2">
      <c r="GI13522" s="422"/>
    </row>
    <row r="13523" spans="191:191" x14ac:dyDescent="0.2">
      <c r="GI13523" s="422"/>
    </row>
    <row r="13524" spans="191:191" x14ac:dyDescent="0.2">
      <c r="GI13524" s="422"/>
    </row>
    <row r="13525" spans="191:191" x14ac:dyDescent="0.2">
      <c r="GI13525" s="422"/>
    </row>
    <row r="13526" spans="191:191" x14ac:dyDescent="0.2">
      <c r="GI13526" s="422"/>
    </row>
    <row r="13527" spans="191:191" x14ac:dyDescent="0.2">
      <c r="GI13527" s="422"/>
    </row>
    <row r="13528" spans="191:191" x14ac:dyDescent="0.2">
      <c r="GI13528" s="422"/>
    </row>
    <row r="13529" spans="191:191" x14ac:dyDescent="0.2">
      <c r="GI13529" s="422"/>
    </row>
    <row r="13530" spans="191:191" x14ac:dyDescent="0.2">
      <c r="GI13530" s="422"/>
    </row>
    <row r="13531" spans="191:191" x14ac:dyDescent="0.2">
      <c r="GI13531" s="422"/>
    </row>
    <row r="13532" spans="191:191" x14ac:dyDescent="0.2">
      <c r="GI13532" s="422"/>
    </row>
    <row r="13533" spans="191:191" x14ac:dyDescent="0.2">
      <c r="GI13533" s="422"/>
    </row>
    <row r="13534" spans="191:191" x14ac:dyDescent="0.2">
      <c r="GI13534" s="422"/>
    </row>
    <row r="13535" spans="191:191" x14ac:dyDescent="0.2">
      <c r="GI13535" s="422"/>
    </row>
    <row r="13536" spans="191:191" x14ac:dyDescent="0.2">
      <c r="GI13536" s="422"/>
    </row>
    <row r="13537" spans="191:191" x14ac:dyDescent="0.2">
      <c r="GI13537" s="422"/>
    </row>
    <row r="13538" spans="191:191" x14ac:dyDescent="0.2">
      <c r="GI13538" s="422"/>
    </row>
    <row r="13539" spans="191:191" x14ac:dyDescent="0.2">
      <c r="GI13539" s="422"/>
    </row>
    <row r="13540" spans="191:191" x14ac:dyDescent="0.2">
      <c r="GI13540" s="422"/>
    </row>
    <row r="13541" spans="191:191" x14ac:dyDescent="0.2">
      <c r="GI13541" s="422"/>
    </row>
    <row r="13542" spans="191:191" x14ac:dyDescent="0.2">
      <c r="GI13542" s="422"/>
    </row>
    <row r="13543" spans="191:191" x14ac:dyDescent="0.2">
      <c r="GI13543" s="422"/>
    </row>
    <row r="13544" spans="191:191" x14ac:dyDescent="0.2">
      <c r="GI13544" s="422"/>
    </row>
    <row r="13545" spans="191:191" x14ac:dyDescent="0.2">
      <c r="GI13545" s="422"/>
    </row>
    <row r="13546" spans="191:191" x14ac:dyDescent="0.2">
      <c r="GI13546" s="422"/>
    </row>
    <row r="13547" spans="191:191" x14ac:dyDescent="0.2">
      <c r="GI13547" s="422"/>
    </row>
    <row r="13548" spans="191:191" x14ac:dyDescent="0.2">
      <c r="GI13548" s="422"/>
    </row>
    <row r="13549" spans="191:191" x14ac:dyDescent="0.2">
      <c r="GI13549" s="422"/>
    </row>
    <row r="13550" spans="191:191" x14ac:dyDescent="0.2">
      <c r="GI13550" s="422"/>
    </row>
    <row r="13551" spans="191:191" x14ac:dyDescent="0.2">
      <c r="GI13551" s="422"/>
    </row>
    <row r="13552" spans="191:191" x14ac:dyDescent="0.2">
      <c r="GI13552" s="422"/>
    </row>
    <row r="13553" spans="191:191" x14ac:dyDescent="0.2">
      <c r="GI13553" s="422"/>
    </row>
    <row r="13554" spans="191:191" x14ac:dyDescent="0.2">
      <c r="GI13554" s="422"/>
    </row>
    <row r="13555" spans="191:191" x14ac:dyDescent="0.2">
      <c r="GI13555" s="422"/>
    </row>
    <row r="13556" spans="191:191" x14ac:dyDescent="0.2">
      <c r="GI13556" s="422"/>
    </row>
    <row r="13557" spans="191:191" x14ac:dyDescent="0.2">
      <c r="GI13557" s="422"/>
    </row>
    <row r="13558" spans="191:191" x14ac:dyDescent="0.2">
      <c r="GI13558" s="422"/>
    </row>
    <row r="13559" spans="191:191" x14ac:dyDescent="0.2">
      <c r="GI13559" s="422"/>
    </row>
    <row r="13560" spans="191:191" x14ac:dyDescent="0.2">
      <c r="GI13560" s="422"/>
    </row>
    <row r="13561" spans="191:191" x14ac:dyDescent="0.2">
      <c r="GI13561" s="422"/>
    </row>
    <row r="13562" spans="191:191" x14ac:dyDescent="0.2">
      <c r="GI13562" s="422"/>
    </row>
    <row r="13563" spans="191:191" x14ac:dyDescent="0.2">
      <c r="GI13563" s="422"/>
    </row>
    <row r="13564" spans="191:191" x14ac:dyDescent="0.2">
      <c r="GI13564" s="422"/>
    </row>
    <row r="13565" spans="191:191" x14ac:dyDescent="0.2">
      <c r="GI13565" s="422"/>
    </row>
    <row r="13566" spans="191:191" x14ac:dyDescent="0.2">
      <c r="GI13566" s="422"/>
    </row>
    <row r="13567" spans="191:191" x14ac:dyDescent="0.2">
      <c r="GI13567" s="422"/>
    </row>
    <row r="13568" spans="191:191" x14ac:dyDescent="0.2">
      <c r="GI13568" s="422"/>
    </row>
    <row r="13569" spans="191:191" x14ac:dyDescent="0.2">
      <c r="GI13569" s="422"/>
    </row>
    <row r="13570" spans="191:191" x14ac:dyDescent="0.2">
      <c r="GI13570" s="422"/>
    </row>
    <row r="13571" spans="191:191" x14ac:dyDescent="0.2">
      <c r="GI13571" s="422"/>
    </row>
    <row r="13572" spans="191:191" x14ac:dyDescent="0.2">
      <c r="GI13572" s="422"/>
    </row>
    <row r="13573" spans="191:191" x14ac:dyDescent="0.2">
      <c r="GI13573" s="422"/>
    </row>
    <row r="13574" spans="191:191" x14ac:dyDescent="0.2">
      <c r="GI13574" s="422"/>
    </row>
    <row r="13575" spans="191:191" x14ac:dyDescent="0.2">
      <c r="GI13575" s="422"/>
    </row>
    <row r="13576" spans="191:191" x14ac:dyDescent="0.2">
      <c r="GI13576" s="422"/>
    </row>
    <row r="13577" spans="191:191" x14ac:dyDescent="0.2">
      <c r="GI13577" s="422"/>
    </row>
    <row r="13578" spans="191:191" x14ac:dyDescent="0.2">
      <c r="GI13578" s="422"/>
    </row>
    <row r="13579" spans="191:191" x14ac:dyDescent="0.2">
      <c r="GI13579" s="422"/>
    </row>
    <row r="13580" spans="191:191" x14ac:dyDescent="0.2">
      <c r="GI13580" s="422"/>
    </row>
    <row r="13581" spans="191:191" x14ac:dyDescent="0.2">
      <c r="GI13581" s="422"/>
    </row>
    <row r="13582" spans="191:191" x14ac:dyDescent="0.2">
      <c r="GI13582" s="422"/>
    </row>
    <row r="13583" spans="191:191" x14ac:dyDescent="0.2">
      <c r="GI13583" s="422"/>
    </row>
    <row r="13584" spans="191:191" x14ac:dyDescent="0.2">
      <c r="GI13584" s="422"/>
    </row>
    <row r="13585" spans="191:191" x14ac:dyDescent="0.2">
      <c r="GI13585" s="422"/>
    </row>
    <row r="13586" spans="191:191" x14ac:dyDescent="0.2">
      <c r="GI13586" s="422"/>
    </row>
    <row r="13587" spans="191:191" x14ac:dyDescent="0.2">
      <c r="GI13587" s="422"/>
    </row>
    <row r="13588" spans="191:191" x14ac:dyDescent="0.2">
      <c r="GI13588" s="422"/>
    </row>
    <row r="13589" spans="191:191" x14ac:dyDescent="0.2">
      <c r="GI13589" s="422"/>
    </row>
    <row r="13590" spans="191:191" x14ac:dyDescent="0.2">
      <c r="GI13590" s="422"/>
    </row>
    <row r="13591" spans="191:191" x14ac:dyDescent="0.2">
      <c r="GI13591" s="422"/>
    </row>
    <row r="13592" spans="191:191" x14ac:dyDescent="0.2">
      <c r="GI13592" s="422"/>
    </row>
    <row r="13593" spans="191:191" x14ac:dyDescent="0.2">
      <c r="GI13593" s="422"/>
    </row>
    <row r="13594" spans="191:191" x14ac:dyDescent="0.2">
      <c r="GI13594" s="422"/>
    </row>
    <row r="13595" spans="191:191" x14ac:dyDescent="0.2">
      <c r="GI13595" s="422"/>
    </row>
    <row r="13596" spans="191:191" x14ac:dyDescent="0.2">
      <c r="GI13596" s="422"/>
    </row>
    <row r="13597" spans="191:191" x14ac:dyDescent="0.2">
      <c r="GI13597" s="422"/>
    </row>
    <row r="13598" spans="191:191" x14ac:dyDescent="0.2">
      <c r="GI13598" s="422"/>
    </row>
    <row r="13599" spans="191:191" x14ac:dyDescent="0.2">
      <c r="GI13599" s="422"/>
    </row>
    <row r="13600" spans="191:191" x14ac:dyDescent="0.2">
      <c r="GI13600" s="422"/>
    </row>
    <row r="13601" spans="191:191" x14ac:dyDescent="0.2">
      <c r="GI13601" s="422"/>
    </row>
    <row r="13602" spans="191:191" x14ac:dyDescent="0.2">
      <c r="GI13602" s="422"/>
    </row>
    <row r="13603" spans="191:191" x14ac:dyDescent="0.2">
      <c r="GI13603" s="422"/>
    </row>
    <row r="13604" spans="191:191" x14ac:dyDescent="0.2">
      <c r="GI13604" s="422"/>
    </row>
    <row r="13605" spans="191:191" x14ac:dyDescent="0.2">
      <c r="GI13605" s="422"/>
    </row>
    <row r="13606" spans="191:191" x14ac:dyDescent="0.2">
      <c r="GI13606" s="422"/>
    </row>
    <row r="13607" spans="191:191" x14ac:dyDescent="0.2">
      <c r="GI13607" s="422"/>
    </row>
    <row r="13608" spans="191:191" x14ac:dyDescent="0.2">
      <c r="GI13608" s="422"/>
    </row>
    <row r="13609" spans="191:191" x14ac:dyDescent="0.2">
      <c r="GI13609" s="422"/>
    </row>
    <row r="13610" spans="191:191" x14ac:dyDescent="0.2">
      <c r="GI13610" s="422"/>
    </row>
    <row r="13611" spans="191:191" x14ac:dyDescent="0.2">
      <c r="GI13611" s="422"/>
    </row>
    <row r="13612" spans="191:191" x14ac:dyDescent="0.2">
      <c r="GI13612" s="422"/>
    </row>
    <row r="13613" spans="191:191" x14ac:dyDescent="0.2">
      <c r="GI13613" s="422"/>
    </row>
    <row r="13614" spans="191:191" x14ac:dyDescent="0.2">
      <c r="GI13614" s="422"/>
    </row>
    <row r="13615" spans="191:191" x14ac:dyDescent="0.2">
      <c r="GI13615" s="422"/>
    </row>
    <row r="13616" spans="191:191" x14ac:dyDescent="0.2">
      <c r="GI13616" s="422"/>
    </row>
    <row r="13617" spans="191:191" x14ac:dyDescent="0.2">
      <c r="GI13617" s="422"/>
    </row>
    <row r="13618" spans="191:191" x14ac:dyDescent="0.2">
      <c r="GI13618" s="422"/>
    </row>
    <row r="13619" spans="191:191" x14ac:dyDescent="0.2">
      <c r="GI13619" s="422"/>
    </row>
    <row r="13620" spans="191:191" x14ac:dyDescent="0.2">
      <c r="GI13620" s="422"/>
    </row>
    <row r="13621" spans="191:191" x14ac:dyDescent="0.2">
      <c r="GI13621" s="422"/>
    </row>
    <row r="13622" spans="191:191" x14ac:dyDescent="0.2">
      <c r="GI13622" s="422"/>
    </row>
    <row r="13623" spans="191:191" x14ac:dyDescent="0.2">
      <c r="GI13623" s="422"/>
    </row>
    <row r="13624" spans="191:191" x14ac:dyDescent="0.2">
      <c r="GI13624" s="422"/>
    </row>
    <row r="13625" spans="191:191" x14ac:dyDescent="0.2">
      <c r="GI13625" s="422"/>
    </row>
    <row r="13626" spans="191:191" x14ac:dyDescent="0.2">
      <c r="GI13626" s="422"/>
    </row>
    <row r="13627" spans="191:191" x14ac:dyDescent="0.2">
      <c r="GI13627" s="422"/>
    </row>
    <row r="13628" spans="191:191" x14ac:dyDescent="0.2">
      <c r="GI13628" s="422"/>
    </row>
    <row r="13629" spans="191:191" x14ac:dyDescent="0.2">
      <c r="GI13629" s="422"/>
    </row>
    <row r="13630" spans="191:191" x14ac:dyDescent="0.2">
      <c r="GI13630" s="422"/>
    </row>
    <row r="13631" spans="191:191" x14ac:dyDescent="0.2">
      <c r="GI13631" s="422"/>
    </row>
    <row r="13632" spans="191:191" x14ac:dyDescent="0.2">
      <c r="GI13632" s="422"/>
    </row>
    <row r="13633" spans="191:191" x14ac:dyDescent="0.2">
      <c r="GI13633" s="422"/>
    </row>
    <row r="13634" spans="191:191" x14ac:dyDescent="0.2">
      <c r="GI13634" s="422"/>
    </row>
    <row r="13635" spans="191:191" x14ac:dyDescent="0.2">
      <c r="GI13635" s="422"/>
    </row>
    <row r="13636" spans="191:191" x14ac:dyDescent="0.2">
      <c r="GI13636" s="422"/>
    </row>
    <row r="13637" spans="191:191" x14ac:dyDescent="0.2">
      <c r="GI13637" s="422"/>
    </row>
    <row r="13638" spans="191:191" x14ac:dyDescent="0.2">
      <c r="GI13638" s="422"/>
    </row>
    <row r="13639" spans="191:191" x14ac:dyDescent="0.2">
      <c r="GI13639" s="422"/>
    </row>
    <row r="13640" spans="191:191" x14ac:dyDescent="0.2">
      <c r="GI13640" s="422"/>
    </row>
    <row r="13641" spans="191:191" x14ac:dyDescent="0.2">
      <c r="GI13641" s="422"/>
    </row>
    <row r="13642" spans="191:191" x14ac:dyDescent="0.2">
      <c r="GI13642" s="422"/>
    </row>
    <row r="13643" spans="191:191" x14ac:dyDescent="0.2">
      <c r="GI13643" s="422"/>
    </row>
    <row r="13644" spans="191:191" x14ac:dyDescent="0.2">
      <c r="GI13644" s="422"/>
    </row>
    <row r="13645" spans="191:191" x14ac:dyDescent="0.2">
      <c r="GI13645" s="422"/>
    </row>
    <row r="13646" spans="191:191" x14ac:dyDescent="0.2">
      <c r="GI13646" s="422"/>
    </row>
    <row r="13647" spans="191:191" x14ac:dyDescent="0.2">
      <c r="GI13647" s="422"/>
    </row>
    <row r="13648" spans="191:191" x14ac:dyDescent="0.2">
      <c r="GI13648" s="422"/>
    </row>
    <row r="13649" spans="191:191" x14ac:dyDescent="0.2">
      <c r="GI13649" s="422"/>
    </row>
    <row r="13650" spans="191:191" x14ac:dyDescent="0.2">
      <c r="GI13650" s="422"/>
    </row>
    <row r="13651" spans="191:191" x14ac:dyDescent="0.2">
      <c r="GI13651" s="422"/>
    </row>
    <row r="13652" spans="191:191" x14ac:dyDescent="0.2">
      <c r="GI13652" s="422"/>
    </row>
    <row r="13653" spans="191:191" x14ac:dyDescent="0.2">
      <c r="GI13653" s="422"/>
    </row>
    <row r="13654" spans="191:191" x14ac:dyDescent="0.2">
      <c r="GI13654" s="422"/>
    </row>
    <row r="13655" spans="191:191" x14ac:dyDescent="0.2">
      <c r="GI13655" s="422"/>
    </row>
    <row r="13656" spans="191:191" x14ac:dyDescent="0.2">
      <c r="GI13656" s="422"/>
    </row>
    <row r="13657" spans="191:191" x14ac:dyDescent="0.2">
      <c r="GI13657" s="422"/>
    </row>
    <row r="13658" spans="191:191" x14ac:dyDescent="0.2">
      <c r="GI13658" s="422"/>
    </row>
    <row r="13659" spans="191:191" x14ac:dyDescent="0.2">
      <c r="GI13659" s="422"/>
    </row>
    <row r="13660" spans="191:191" x14ac:dyDescent="0.2">
      <c r="GI13660" s="422"/>
    </row>
    <row r="13661" spans="191:191" x14ac:dyDescent="0.2">
      <c r="GI13661" s="422"/>
    </row>
    <row r="13662" spans="191:191" x14ac:dyDescent="0.2">
      <c r="GI13662" s="422"/>
    </row>
    <row r="13663" spans="191:191" x14ac:dyDescent="0.2">
      <c r="GI13663" s="422"/>
    </row>
    <row r="13664" spans="191:191" x14ac:dyDescent="0.2">
      <c r="GI13664" s="422"/>
    </row>
    <row r="13665" spans="191:191" x14ac:dyDescent="0.2">
      <c r="GI13665" s="422"/>
    </row>
    <row r="13666" spans="191:191" x14ac:dyDescent="0.2">
      <c r="GI13666" s="422"/>
    </row>
    <row r="13667" spans="191:191" x14ac:dyDescent="0.2">
      <c r="GI13667" s="422"/>
    </row>
    <row r="13668" spans="191:191" x14ac:dyDescent="0.2">
      <c r="GI13668" s="422"/>
    </row>
    <row r="13669" spans="191:191" x14ac:dyDescent="0.2">
      <c r="GI13669" s="422"/>
    </row>
    <row r="13670" spans="191:191" x14ac:dyDescent="0.2">
      <c r="GI13670" s="422"/>
    </row>
    <row r="13671" spans="191:191" x14ac:dyDescent="0.2">
      <c r="GI13671" s="422"/>
    </row>
    <row r="13672" spans="191:191" x14ac:dyDescent="0.2">
      <c r="GI13672" s="422"/>
    </row>
    <row r="13673" spans="191:191" x14ac:dyDescent="0.2">
      <c r="GI13673" s="422"/>
    </row>
    <row r="13674" spans="191:191" x14ac:dyDescent="0.2">
      <c r="GI13674" s="422"/>
    </row>
    <row r="13675" spans="191:191" x14ac:dyDescent="0.2">
      <c r="GI13675" s="422"/>
    </row>
    <row r="13676" spans="191:191" x14ac:dyDescent="0.2">
      <c r="GI13676" s="422"/>
    </row>
    <row r="13677" spans="191:191" x14ac:dyDescent="0.2">
      <c r="GI13677" s="422"/>
    </row>
    <row r="13678" spans="191:191" x14ac:dyDescent="0.2">
      <c r="GI13678" s="422"/>
    </row>
    <row r="13679" spans="191:191" x14ac:dyDescent="0.2">
      <c r="GI13679" s="422"/>
    </row>
    <row r="13680" spans="191:191" x14ac:dyDescent="0.2">
      <c r="GI13680" s="422"/>
    </row>
    <row r="13681" spans="191:191" x14ac:dyDescent="0.2">
      <c r="GI13681" s="422"/>
    </row>
    <row r="13682" spans="191:191" x14ac:dyDescent="0.2">
      <c r="GI13682" s="422"/>
    </row>
    <row r="13683" spans="191:191" x14ac:dyDescent="0.2">
      <c r="GI13683" s="422"/>
    </row>
    <row r="13684" spans="191:191" x14ac:dyDescent="0.2">
      <c r="GI13684" s="422"/>
    </row>
    <row r="13685" spans="191:191" x14ac:dyDescent="0.2">
      <c r="GI13685" s="422"/>
    </row>
    <row r="13686" spans="191:191" x14ac:dyDescent="0.2">
      <c r="GI13686" s="422"/>
    </row>
    <row r="13687" spans="191:191" x14ac:dyDescent="0.2">
      <c r="GI13687" s="422"/>
    </row>
    <row r="13688" spans="191:191" x14ac:dyDescent="0.2">
      <c r="GI13688" s="422"/>
    </row>
    <row r="13689" spans="191:191" x14ac:dyDescent="0.2">
      <c r="GI13689" s="422"/>
    </row>
    <row r="13690" spans="191:191" x14ac:dyDescent="0.2">
      <c r="GI13690" s="422"/>
    </row>
    <row r="13691" spans="191:191" x14ac:dyDescent="0.2">
      <c r="GI13691" s="422"/>
    </row>
    <row r="13692" spans="191:191" x14ac:dyDescent="0.2">
      <c r="GI13692" s="422"/>
    </row>
    <row r="13693" spans="191:191" x14ac:dyDescent="0.2">
      <c r="GI13693" s="422"/>
    </row>
    <row r="13694" spans="191:191" x14ac:dyDescent="0.2">
      <c r="GI13694" s="422"/>
    </row>
    <row r="13695" spans="191:191" x14ac:dyDescent="0.2">
      <c r="GI13695" s="422"/>
    </row>
    <row r="13696" spans="191:191" x14ac:dyDescent="0.2">
      <c r="GI13696" s="422"/>
    </row>
    <row r="13697" spans="191:191" x14ac:dyDescent="0.2">
      <c r="GI13697" s="422"/>
    </row>
    <row r="13698" spans="191:191" x14ac:dyDescent="0.2">
      <c r="GI13698" s="422"/>
    </row>
    <row r="13699" spans="191:191" x14ac:dyDescent="0.2">
      <c r="GI13699" s="422"/>
    </row>
    <row r="13700" spans="191:191" x14ac:dyDescent="0.2">
      <c r="GI13700" s="422"/>
    </row>
    <row r="13701" spans="191:191" x14ac:dyDescent="0.2">
      <c r="GI13701" s="422"/>
    </row>
    <row r="13702" spans="191:191" x14ac:dyDescent="0.2">
      <c r="GI13702" s="422"/>
    </row>
    <row r="13703" spans="191:191" x14ac:dyDescent="0.2">
      <c r="GI13703" s="422"/>
    </row>
    <row r="13704" spans="191:191" x14ac:dyDescent="0.2">
      <c r="GI13704" s="422"/>
    </row>
    <row r="13705" spans="191:191" x14ac:dyDescent="0.2">
      <c r="GI13705" s="422"/>
    </row>
    <row r="13706" spans="191:191" x14ac:dyDescent="0.2">
      <c r="GI13706" s="422"/>
    </row>
    <row r="13707" spans="191:191" x14ac:dyDescent="0.2">
      <c r="GI13707" s="422"/>
    </row>
    <row r="13708" spans="191:191" x14ac:dyDescent="0.2">
      <c r="GI13708" s="422"/>
    </row>
    <row r="13709" spans="191:191" x14ac:dyDescent="0.2">
      <c r="GI13709" s="422"/>
    </row>
    <row r="13710" spans="191:191" x14ac:dyDescent="0.2">
      <c r="GI13710" s="422"/>
    </row>
    <row r="13711" spans="191:191" x14ac:dyDescent="0.2">
      <c r="GI13711" s="422"/>
    </row>
    <row r="13712" spans="191:191" x14ac:dyDescent="0.2">
      <c r="GI13712" s="422"/>
    </row>
    <row r="13713" spans="191:191" x14ac:dyDescent="0.2">
      <c r="GI13713" s="422"/>
    </row>
    <row r="13714" spans="191:191" x14ac:dyDescent="0.2">
      <c r="GI13714" s="422"/>
    </row>
    <row r="13715" spans="191:191" x14ac:dyDescent="0.2">
      <c r="GI13715" s="422"/>
    </row>
    <row r="13716" spans="191:191" x14ac:dyDescent="0.2">
      <c r="GI13716" s="422"/>
    </row>
    <row r="13717" spans="191:191" x14ac:dyDescent="0.2">
      <c r="GI13717" s="422"/>
    </row>
    <row r="13718" spans="191:191" x14ac:dyDescent="0.2">
      <c r="GI13718" s="422"/>
    </row>
    <row r="13719" spans="191:191" x14ac:dyDescent="0.2">
      <c r="GI13719" s="422"/>
    </row>
    <row r="13720" spans="191:191" x14ac:dyDescent="0.2">
      <c r="GI13720" s="422"/>
    </row>
    <row r="13721" spans="191:191" x14ac:dyDescent="0.2">
      <c r="GI13721" s="422"/>
    </row>
    <row r="13722" spans="191:191" x14ac:dyDescent="0.2">
      <c r="GI13722" s="422"/>
    </row>
    <row r="13723" spans="191:191" x14ac:dyDescent="0.2">
      <c r="GI13723" s="422"/>
    </row>
    <row r="13724" spans="191:191" x14ac:dyDescent="0.2">
      <c r="GI13724" s="422"/>
    </row>
    <row r="13725" spans="191:191" x14ac:dyDescent="0.2">
      <c r="GI13725" s="422"/>
    </row>
    <row r="13726" spans="191:191" x14ac:dyDescent="0.2">
      <c r="GI13726" s="422"/>
    </row>
    <row r="13727" spans="191:191" x14ac:dyDescent="0.2">
      <c r="GI13727" s="422"/>
    </row>
    <row r="13728" spans="191:191" x14ac:dyDescent="0.2">
      <c r="GI13728" s="422"/>
    </row>
    <row r="13729" spans="191:191" x14ac:dyDescent="0.2">
      <c r="GI13729" s="422"/>
    </row>
    <row r="13730" spans="191:191" x14ac:dyDescent="0.2">
      <c r="GI13730" s="422"/>
    </row>
    <row r="13731" spans="191:191" x14ac:dyDescent="0.2">
      <c r="GI13731" s="422"/>
    </row>
    <row r="13732" spans="191:191" x14ac:dyDescent="0.2">
      <c r="GI13732" s="422"/>
    </row>
    <row r="13733" spans="191:191" x14ac:dyDescent="0.2">
      <c r="GI13733" s="422"/>
    </row>
    <row r="13734" spans="191:191" x14ac:dyDescent="0.2">
      <c r="GI13734" s="422"/>
    </row>
    <row r="13735" spans="191:191" x14ac:dyDescent="0.2">
      <c r="GI13735" s="422"/>
    </row>
    <row r="13736" spans="191:191" x14ac:dyDescent="0.2">
      <c r="GI13736" s="422"/>
    </row>
    <row r="13737" spans="191:191" x14ac:dyDescent="0.2">
      <c r="GI13737" s="422"/>
    </row>
    <row r="13738" spans="191:191" x14ac:dyDescent="0.2">
      <c r="GI13738" s="422"/>
    </row>
    <row r="13739" spans="191:191" x14ac:dyDescent="0.2">
      <c r="GI13739" s="422"/>
    </row>
    <row r="13740" spans="191:191" x14ac:dyDescent="0.2">
      <c r="GI13740" s="422"/>
    </row>
    <row r="13741" spans="191:191" x14ac:dyDescent="0.2">
      <c r="GI13741" s="422"/>
    </row>
    <row r="13742" spans="191:191" x14ac:dyDescent="0.2">
      <c r="GI13742" s="422"/>
    </row>
    <row r="13743" spans="191:191" x14ac:dyDescent="0.2">
      <c r="GI13743" s="422"/>
    </row>
    <row r="13744" spans="191:191" x14ac:dyDescent="0.2">
      <c r="GI13744" s="422"/>
    </row>
    <row r="13745" spans="191:191" x14ac:dyDescent="0.2">
      <c r="GI13745" s="422"/>
    </row>
    <row r="13746" spans="191:191" x14ac:dyDescent="0.2">
      <c r="GI13746" s="422"/>
    </row>
    <row r="13747" spans="191:191" x14ac:dyDescent="0.2">
      <c r="GI13747" s="422"/>
    </row>
    <row r="13748" spans="191:191" x14ac:dyDescent="0.2">
      <c r="GI13748" s="422"/>
    </row>
    <row r="13749" spans="191:191" x14ac:dyDescent="0.2">
      <c r="GI13749" s="422"/>
    </row>
    <row r="13750" spans="191:191" x14ac:dyDescent="0.2">
      <c r="GI13750" s="422"/>
    </row>
    <row r="13751" spans="191:191" x14ac:dyDescent="0.2">
      <c r="GI13751" s="422"/>
    </row>
    <row r="13752" spans="191:191" x14ac:dyDescent="0.2">
      <c r="GI13752" s="422"/>
    </row>
    <row r="13753" spans="191:191" x14ac:dyDescent="0.2">
      <c r="GI13753" s="422"/>
    </row>
    <row r="13754" spans="191:191" x14ac:dyDescent="0.2">
      <c r="GI13754" s="422"/>
    </row>
    <row r="13755" spans="191:191" x14ac:dyDescent="0.2">
      <c r="GI13755" s="422"/>
    </row>
    <row r="13756" spans="191:191" x14ac:dyDescent="0.2">
      <c r="GI13756" s="422"/>
    </row>
    <row r="13757" spans="191:191" x14ac:dyDescent="0.2">
      <c r="GI13757" s="422"/>
    </row>
    <row r="13758" spans="191:191" x14ac:dyDescent="0.2">
      <c r="GI13758" s="422"/>
    </row>
    <row r="13759" spans="191:191" x14ac:dyDescent="0.2">
      <c r="GI13759" s="422"/>
    </row>
    <row r="13760" spans="191:191" x14ac:dyDescent="0.2">
      <c r="GI13760" s="422"/>
    </row>
    <row r="13761" spans="191:191" x14ac:dyDescent="0.2">
      <c r="GI13761" s="422"/>
    </row>
    <row r="13762" spans="191:191" x14ac:dyDescent="0.2">
      <c r="GI13762" s="422"/>
    </row>
    <row r="13763" spans="191:191" x14ac:dyDescent="0.2">
      <c r="GI13763" s="422"/>
    </row>
    <row r="13764" spans="191:191" x14ac:dyDescent="0.2">
      <c r="GI13764" s="422"/>
    </row>
    <row r="13765" spans="191:191" x14ac:dyDescent="0.2">
      <c r="GI13765" s="422"/>
    </row>
    <row r="13766" spans="191:191" x14ac:dyDescent="0.2">
      <c r="GI13766" s="422"/>
    </row>
    <row r="13767" spans="191:191" x14ac:dyDescent="0.2">
      <c r="GI13767" s="422"/>
    </row>
    <row r="13768" spans="191:191" x14ac:dyDescent="0.2">
      <c r="GI13768" s="422"/>
    </row>
    <row r="13769" spans="191:191" x14ac:dyDescent="0.2">
      <c r="GI13769" s="422"/>
    </row>
    <row r="13770" spans="191:191" x14ac:dyDescent="0.2">
      <c r="GI13770" s="422"/>
    </row>
    <row r="13771" spans="191:191" x14ac:dyDescent="0.2">
      <c r="GI13771" s="422"/>
    </row>
    <row r="13772" spans="191:191" x14ac:dyDescent="0.2">
      <c r="GI13772" s="422"/>
    </row>
    <row r="13773" spans="191:191" x14ac:dyDescent="0.2">
      <c r="GI13773" s="422"/>
    </row>
    <row r="13774" spans="191:191" x14ac:dyDescent="0.2">
      <c r="GI13774" s="422"/>
    </row>
    <row r="13775" spans="191:191" x14ac:dyDescent="0.2">
      <c r="GI13775" s="422"/>
    </row>
    <row r="13776" spans="191:191" x14ac:dyDescent="0.2">
      <c r="GI13776" s="422"/>
    </row>
    <row r="13777" spans="191:191" x14ac:dyDescent="0.2">
      <c r="GI13777" s="422"/>
    </row>
    <row r="13778" spans="191:191" x14ac:dyDescent="0.2">
      <c r="GI13778" s="422"/>
    </row>
    <row r="13779" spans="191:191" x14ac:dyDescent="0.2">
      <c r="GI13779" s="422"/>
    </row>
    <row r="13780" spans="191:191" x14ac:dyDescent="0.2">
      <c r="GI13780" s="422"/>
    </row>
    <row r="13781" spans="191:191" x14ac:dyDescent="0.2">
      <c r="GI13781" s="422"/>
    </row>
    <row r="13782" spans="191:191" x14ac:dyDescent="0.2">
      <c r="GI13782" s="422"/>
    </row>
    <row r="13783" spans="191:191" x14ac:dyDescent="0.2">
      <c r="GI13783" s="422"/>
    </row>
    <row r="13784" spans="191:191" x14ac:dyDescent="0.2">
      <c r="GI13784" s="422"/>
    </row>
    <row r="13785" spans="191:191" x14ac:dyDescent="0.2">
      <c r="GI13785" s="422"/>
    </row>
    <row r="13786" spans="191:191" x14ac:dyDescent="0.2">
      <c r="GI13786" s="422"/>
    </row>
    <row r="13787" spans="191:191" x14ac:dyDescent="0.2">
      <c r="GI13787" s="422"/>
    </row>
    <row r="13788" spans="191:191" x14ac:dyDescent="0.2">
      <c r="GI13788" s="422"/>
    </row>
    <row r="13789" spans="191:191" x14ac:dyDescent="0.2">
      <c r="GI13789" s="422"/>
    </row>
    <row r="13790" spans="191:191" x14ac:dyDescent="0.2">
      <c r="GI13790" s="422"/>
    </row>
    <row r="13791" spans="191:191" x14ac:dyDescent="0.2">
      <c r="GI13791" s="422"/>
    </row>
    <row r="13792" spans="191:191" x14ac:dyDescent="0.2">
      <c r="GI13792" s="422"/>
    </row>
    <row r="13793" spans="191:191" x14ac:dyDescent="0.2">
      <c r="GI13793" s="422"/>
    </row>
    <row r="13794" spans="191:191" x14ac:dyDescent="0.2">
      <c r="GI13794" s="422"/>
    </row>
    <row r="13795" spans="191:191" x14ac:dyDescent="0.2">
      <c r="GI13795" s="422"/>
    </row>
    <row r="13796" spans="191:191" x14ac:dyDescent="0.2">
      <c r="GI13796" s="422"/>
    </row>
    <row r="13797" spans="191:191" x14ac:dyDescent="0.2">
      <c r="GI13797" s="422"/>
    </row>
    <row r="13798" spans="191:191" x14ac:dyDescent="0.2">
      <c r="GI13798" s="422"/>
    </row>
    <row r="13799" spans="191:191" x14ac:dyDescent="0.2">
      <c r="GI13799" s="422"/>
    </row>
    <row r="13800" spans="191:191" x14ac:dyDescent="0.2">
      <c r="GI13800" s="422"/>
    </row>
    <row r="13801" spans="191:191" x14ac:dyDescent="0.2">
      <c r="GI13801" s="422"/>
    </row>
    <row r="13802" spans="191:191" x14ac:dyDescent="0.2">
      <c r="GI13802" s="422"/>
    </row>
    <row r="13803" spans="191:191" x14ac:dyDescent="0.2">
      <c r="GI13803" s="422"/>
    </row>
    <row r="13804" spans="191:191" x14ac:dyDescent="0.2">
      <c r="GI13804" s="422"/>
    </row>
    <row r="13805" spans="191:191" x14ac:dyDescent="0.2">
      <c r="GI13805" s="422"/>
    </row>
    <row r="13806" spans="191:191" x14ac:dyDescent="0.2">
      <c r="GI13806" s="422"/>
    </row>
    <row r="13807" spans="191:191" x14ac:dyDescent="0.2">
      <c r="GI13807" s="422"/>
    </row>
    <row r="13808" spans="191:191" x14ac:dyDescent="0.2">
      <c r="GI13808" s="422"/>
    </row>
    <row r="13809" spans="191:191" x14ac:dyDescent="0.2">
      <c r="GI13809" s="422"/>
    </row>
    <row r="13810" spans="191:191" x14ac:dyDescent="0.2">
      <c r="GI13810" s="422"/>
    </row>
    <row r="13811" spans="191:191" x14ac:dyDescent="0.2">
      <c r="GI13811" s="422"/>
    </row>
    <row r="13812" spans="191:191" x14ac:dyDescent="0.2">
      <c r="GI13812" s="422"/>
    </row>
    <row r="13813" spans="191:191" x14ac:dyDescent="0.2">
      <c r="GI13813" s="422"/>
    </row>
    <row r="13814" spans="191:191" x14ac:dyDescent="0.2">
      <c r="GI13814" s="422"/>
    </row>
    <row r="13815" spans="191:191" x14ac:dyDescent="0.2">
      <c r="GI13815" s="422"/>
    </row>
    <row r="13816" spans="191:191" x14ac:dyDescent="0.2">
      <c r="GI13816" s="422"/>
    </row>
    <row r="13817" spans="191:191" x14ac:dyDescent="0.2">
      <c r="GI13817" s="422"/>
    </row>
    <row r="13818" spans="191:191" x14ac:dyDescent="0.2">
      <c r="GI13818" s="422"/>
    </row>
    <row r="13819" spans="191:191" x14ac:dyDescent="0.2">
      <c r="GI13819" s="422"/>
    </row>
    <row r="13820" spans="191:191" x14ac:dyDescent="0.2">
      <c r="GI13820" s="422"/>
    </row>
    <row r="13821" spans="191:191" x14ac:dyDescent="0.2">
      <c r="GI13821" s="422"/>
    </row>
    <row r="13822" spans="191:191" x14ac:dyDescent="0.2">
      <c r="GI13822" s="422"/>
    </row>
    <row r="13823" spans="191:191" x14ac:dyDescent="0.2">
      <c r="GI13823" s="422"/>
    </row>
    <row r="13824" spans="191:191" x14ac:dyDescent="0.2">
      <c r="GI13824" s="422"/>
    </row>
    <row r="13825" spans="191:191" x14ac:dyDescent="0.2">
      <c r="GI13825" s="422"/>
    </row>
    <row r="13826" spans="191:191" x14ac:dyDescent="0.2">
      <c r="GI13826" s="422"/>
    </row>
    <row r="13827" spans="191:191" x14ac:dyDescent="0.2">
      <c r="GI13827" s="422"/>
    </row>
    <row r="13828" spans="191:191" x14ac:dyDescent="0.2">
      <c r="GI13828" s="422"/>
    </row>
    <row r="13829" spans="191:191" x14ac:dyDescent="0.2">
      <c r="GI13829" s="422"/>
    </row>
    <row r="13830" spans="191:191" x14ac:dyDescent="0.2">
      <c r="GI13830" s="422"/>
    </row>
    <row r="13831" spans="191:191" x14ac:dyDescent="0.2">
      <c r="GI13831" s="422"/>
    </row>
    <row r="13832" spans="191:191" x14ac:dyDescent="0.2">
      <c r="GI13832" s="422"/>
    </row>
    <row r="13833" spans="191:191" x14ac:dyDescent="0.2">
      <c r="GI13833" s="422"/>
    </row>
    <row r="13834" spans="191:191" x14ac:dyDescent="0.2">
      <c r="GI13834" s="422"/>
    </row>
    <row r="13835" spans="191:191" x14ac:dyDescent="0.2">
      <c r="GI13835" s="422"/>
    </row>
    <row r="13836" spans="191:191" x14ac:dyDescent="0.2">
      <c r="GI13836" s="422"/>
    </row>
    <row r="13837" spans="191:191" x14ac:dyDescent="0.2">
      <c r="GI13837" s="422"/>
    </row>
    <row r="13838" spans="191:191" x14ac:dyDescent="0.2">
      <c r="GI13838" s="422"/>
    </row>
    <row r="13839" spans="191:191" x14ac:dyDescent="0.2">
      <c r="GI13839" s="422"/>
    </row>
    <row r="13840" spans="191:191" x14ac:dyDescent="0.2">
      <c r="GI13840" s="422"/>
    </row>
    <row r="13841" spans="191:191" x14ac:dyDescent="0.2">
      <c r="GI13841" s="422"/>
    </row>
    <row r="13842" spans="191:191" x14ac:dyDescent="0.2">
      <c r="GI13842" s="422"/>
    </row>
    <row r="13843" spans="191:191" x14ac:dyDescent="0.2">
      <c r="GI13843" s="422"/>
    </row>
    <row r="13844" spans="191:191" x14ac:dyDescent="0.2">
      <c r="GI13844" s="422"/>
    </row>
    <row r="13845" spans="191:191" x14ac:dyDescent="0.2">
      <c r="GI13845" s="422"/>
    </row>
    <row r="13846" spans="191:191" x14ac:dyDescent="0.2">
      <c r="GI13846" s="422"/>
    </row>
    <row r="13847" spans="191:191" x14ac:dyDescent="0.2">
      <c r="GI13847" s="422"/>
    </row>
    <row r="13848" spans="191:191" x14ac:dyDescent="0.2">
      <c r="GI13848" s="422"/>
    </row>
    <row r="13849" spans="191:191" x14ac:dyDescent="0.2">
      <c r="GI13849" s="422"/>
    </row>
    <row r="13850" spans="191:191" x14ac:dyDescent="0.2">
      <c r="GI13850" s="422"/>
    </row>
    <row r="13851" spans="191:191" x14ac:dyDescent="0.2">
      <c r="GI13851" s="422"/>
    </row>
    <row r="13852" spans="191:191" x14ac:dyDescent="0.2">
      <c r="GI13852" s="422"/>
    </row>
    <row r="13853" spans="191:191" x14ac:dyDescent="0.2">
      <c r="GI13853" s="422"/>
    </row>
    <row r="13854" spans="191:191" x14ac:dyDescent="0.2">
      <c r="GI13854" s="422"/>
    </row>
    <row r="13855" spans="191:191" x14ac:dyDescent="0.2">
      <c r="GI13855" s="422"/>
    </row>
    <row r="13856" spans="191:191" x14ac:dyDescent="0.2">
      <c r="GI13856" s="422"/>
    </row>
    <row r="13857" spans="191:191" x14ac:dyDescent="0.2">
      <c r="GI13857" s="422"/>
    </row>
    <row r="13858" spans="191:191" x14ac:dyDescent="0.2">
      <c r="GI13858" s="422"/>
    </row>
    <row r="13859" spans="191:191" x14ac:dyDescent="0.2">
      <c r="GI13859" s="422"/>
    </row>
    <row r="13860" spans="191:191" x14ac:dyDescent="0.2">
      <c r="GI13860" s="422"/>
    </row>
    <row r="13861" spans="191:191" x14ac:dyDescent="0.2">
      <c r="GI13861" s="422"/>
    </row>
    <row r="13862" spans="191:191" x14ac:dyDescent="0.2">
      <c r="GI13862" s="422"/>
    </row>
    <row r="13863" spans="191:191" x14ac:dyDescent="0.2">
      <c r="GI13863" s="422"/>
    </row>
    <row r="13864" spans="191:191" x14ac:dyDescent="0.2">
      <c r="GI13864" s="422"/>
    </row>
    <row r="13865" spans="191:191" x14ac:dyDescent="0.2">
      <c r="GI13865" s="422"/>
    </row>
    <row r="13866" spans="191:191" x14ac:dyDescent="0.2">
      <c r="GI13866" s="422"/>
    </row>
    <row r="13867" spans="191:191" x14ac:dyDescent="0.2">
      <c r="GI13867" s="422"/>
    </row>
    <row r="13868" spans="191:191" x14ac:dyDescent="0.2">
      <c r="GI13868" s="422"/>
    </row>
    <row r="13869" spans="191:191" x14ac:dyDescent="0.2">
      <c r="GI13869" s="422"/>
    </row>
    <row r="13870" spans="191:191" x14ac:dyDescent="0.2">
      <c r="GI13870" s="422"/>
    </row>
    <row r="13871" spans="191:191" x14ac:dyDescent="0.2">
      <c r="GI13871" s="422"/>
    </row>
    <row r="13872" spans="191:191" x14ac:dyDescent="0.2">
      <c r="GI13872" s="422"/>
    </row>
    <row r="13873" spans="191:191" x14ac:dyDescent="0.2">
      <c r="GI13873" s="422"/>
    </row>
    <row r="13874" spans="191:191" x14ac:dyDescent="0.2">
      <c r="GI13874" s="422"/>
    </row>
    <row r="13875" spans="191:191" x14ac:dyDescent="0.2">
      <c r="GI13875" s="422"/>
    </row>
    <row r="13876" spans="191:191" x14ac:dyDescent="0.2">
      <c r="GI13876" s="422"/>
    </row>
    <row r="13877" spans="191:191" x14ac:dyDescent="0.2">
      <c r="GI13877" s="422"/>
    </row>
    <row r="13878" spans="191:191" x14ac:dyDescent="0.2">
      <c r="GI13878" s="422"/>
    </row>
    <row r="13879" spans="191:191" x14ac:dyDescent="0.2">
      <c r="GI13879" s="422"/>
    </row>
    <row r="13880" spans="191:191" x14ac:dyDescent="0.2">
      <c r="GI13880" s="422"/>
    </row>
    <row r="13881" spans="191:191" x14ac:dyDescent="0.2">
      <c r="GI13881" s="422"/>
    </row>
    <row r="13882" spans="191:191" x14ac:dyDescent="0.2">
      <c r="GI13882" s="422"/>
    </row>
    <row r="13883" spans="191:191" x14ac:dyDescent="0.2">
      <c r="GI13883" s="422"/>
    </row>
    <row r="13884" spans="191:191" x14ac:dyDescent="0.2">
      <c r="GI13884" s="422"/>
    </row>
    <row r="13885" spans="191:191" x14ac:dyDescent="0.2">
      <c r="GI13885" s="422"/>
    </row>
    <row r="13886" spans="191:191" x14ac:dyDescent="0.2">
      <c r="GI13886" s="422"/>
    </row>
    <row r="13887" spans="191:191" x14ac:dyDescent="0.2">
      <c r="GI13887" s="422"/>
    </row>
    <row r="13888" spans="191:191" x14ac:dyDescent="0.2">
      <c r="GI13888" s="422"/>
    </row>
    <row r="13889" spans="191:191" x14ac:dyDescent="0.2">
      <c r="GI13889" s="422"/>
    </row>
    <row r="13890" spans="191:191" x14ac:dyDescent="0.2">
      <c r="GI13890" s="422"/>
    </row>
    <row r="13891" spans="191:191" x14ac:dyDescent="0.2">
      <c r="GI13891" s="422"/>
    </row>
    <row r="13892" spans="191:191" x14ac:dyDescent="0.2">
      <c r="GI13892" s="422"/>
    </row>
    <row r="13893" spans="191:191" x14ac:dyDescent="0.2">
      <c r="GI13893" s="422"/>
    </row>
    <row r="13894" spans="191:191" x14ac:dyDescent="0.2">
      <c r="GI13894" s="422"/>
    </row>
    <row r="13895" spans="191:191" x14ac:dyDescent="0.2">
      <c r="GI13895" s="422"/>
    </row>
    <row r="13896" spans="191:191" x14ac:dyDescent="0.2">
      <c r="GI13896" s="422"/>
    </row>
    <row r="13897" spans="191:191" x14ac:dyDescent="0.2">
      <c r="GI13897" s="422"/>
    </row>
    <row r="13898" spans="191:191" x14ac:dyDescent="0.2">
      <c r="GI13898" s="422"/>
    </row>
    <row r="13899" spans="191:191" x14ac:dyDescent="0.2">
      <c r="GI13899" s="422"/>
    </row>
    <row r="13900" spans="191:191" x14ac:dyDescent="0.2">
      <c r="GI13900" s="422"/>
    </row>
    <row r="13901" spans="191:191" x14ac:dyDescent="0.2">
      <c r="GI13901" s="422"/>
    </row>
    <row r="13902" spans="191:191" x14ac:dyDescent="0.2">
      <c r="GI13902" s="422"/>
    </row>
    <row r="13903" spans="191:191" x14ac:dyDescent="0.2">
      <c r="GI13903" s="422"/>
    </row>
    <row r="13904" spans="191:191" x14ac:dyDescent="0.2">
      <c r="GI13904" s="422"/>
    </row>
    <row r="13905" spans="191:191" x14ac:dyDescent="0.2">
      <c r="GI13905" s="422"/>
    </row>
    <row r="13906" spans="191:191" x14ac:dyDescent="0.2">
      <c r="GI13906" s="422"/>
    </row>
    <row r="13907" spans="191:191" x14ac:dyDescent="0.2">
      <c r="GI13907" s="422"/>
    </row>
    <row r="13908" spans="191:191" x14ac:dyDescent="0.2">
      <c r="GI13908" s="422"/>
    </row>
    <row r="13909" spans="191:191" x14ac:dyDescent="0.2">
      <c r="GI13909" s="422"/>
    </row>
    <row r="13910" spans="191:191" x14ac:dyDescent="0.2">
      <c r="GI13910" s="422"/>
    </row>
    <row r="13911" spans="191:191" x14ac:dyDescent="0.2">
      <c r="GI13911" s="422"/>
    </row>
    <row r="13912" spans="191:191" x14ac:dyDescent="0.2">
      <c r="GI13912" s="422"/>
    </row>
    <row r="13913" spans="191:191" x14ac:dyDescent="0.2">
      <c r="GI13913" s="422"/>
    </row>
    <row r="13914" spans="191:191" x14ac:dyDescent="0.2">
      <c r="GI13914" s="422"/>
    </row>
    <row r="13915" spans="191:191" x14ac:dyDescent="0.2">
      <c r="GI13915" s="422"/>
    </row>
    <row r="13916" spans="191:191" x14ac:dyDescent="0.2">
      <c r="GI13916" s="422"/>
    </row>
    <row r="13917" spans="191:191" x14ac:dyDescent="0.2">
      <c r="GI13917" s="422"/>
    </row>
    <row r="13918" spans="191:191" x14ac:dyDescent="0.2">
      <c r="GI13918" s="422"/>
    </row>
    <row r="13919" spans="191:191" x14ac:dyDescent="0.2">
      <c r="GI13919" s="422"/>
    </row>
    <row r="13920" spans="191:191" x14ac:dyDescent="0.2">
      <c r="GI13920" s="422"/>
    </row>
    <row r="13921" spans="191:191" x14ac:dyDescent="0.2">
      <c r="GI13921" s="422"/>
    </row>
    <row r="13922" spans="191:191" x14ac:dyDescent="0.2">
      <c r="GI13922" s="422"/>
    </row>
    <row r="13923" spans="191:191" x14ac:dyDescent="0.2">
      <c r="GI13923" s="422"/>
    </row>
    <row r="13924" spans="191:191" x14ac:dyDescent="0.2">
      <c r="GI13924" s="422"/>
    </row>
    <row r="13925" spans="191:191" x14ac:dyDescent="0.2">
      <c r="GI13925" s="422"/>
    </row>
    <row r="13926" spans="191:191" x14ac:dyDescent="0.2">
      <c r="GI13926" s="422"/>
    </row>
    <row r="13927" spans="191:191" x14ac:dyDescent="0.2">
      <c r="GI13927" s="422"/>
    </row>
    <row r="13928" spans="191:191" x14ac:dyDescent="0.2">
      <c r="GI13928" s="422"/>
    </row>
    <row r="13929" spans="191:191" x14ac:dyDescent="0.2">
      <c r="GI13929" s="422"/>
    </row>
    <row r="13930" spans="191:191" x14ac:dyDescent="0.2">
      <c r="GI13930" s="422"/>
    </row>
    <row r="13931" spans="191:191" x14ac:dyDescent="0.2">
      <c r="GI13931" s="422"/>
    </row>
    <row r="13932" spans="191:191" x14ac:dyDescent="0.2">
      <c r="GI13932" s="422"/>
    </row>
    <row r="13933" spans="191:191" x14ac:dyDescent="0.2">
      <c r="GI13933" s="422"/>
    </row>
    <row r="13934" spans="191:191" x14ac:dyDescent="0.2">
      <c r="GI13934" s="422"/>
    </row>
    <row r="13935" spans="191:191" x14ac:dyDescent="0.2">
      <c r="GI13935" s="422"/>
    </row>
    <row r="13936" spans="191:191" x14ac:dyDescent="0.2">
      <c r="GI13936" s="422"/>
    </row>
    <row r="13937" spans="191:191" x14ac:dyDescent="0.2">
      <c r="GI13937" s="422"/>
    </row>
    <row r="13938" spans="191:191" x14ac:dyDescent="0.2">
      <c r="GI13938" s="422"/>
    </row>
    <row r="13939" spans="191:191" x14ac:dyDescent="0.2">
      <c r="GI13939" s="422"/>
    </row>
    <row r="13940" spans="191:191" x14ac:dyDescent="0.2">
      <c r="GI13940" s="422"/>
    </row>
    <row r="13941" spans="191:191" x14ac:dyDescent="0.2">
      <c r="GI13941" s="422"/>
    </row>
    <row r="13942" spans="191:191" x14ac:dyDescent="0.2">
      <c r="GI13942" s="422"/>
    </row>
    <row r="13943" spans="191:191" x14ac:dyDescent="0.2">
      <c r="GI13943" s="422"/>
    </row>
    <row r="13944" spans="191:191" x14ac:dyDescent="0.2">
      <c r="GI13944" s="422"/>
    </row>
    <row r="13945" spans="191:191" x14ac:dyDescent="0.2">
      <c r="GI13945" s="422"/>
    </row>
    <row r="13946" spans="191:191" x14ac:dyDescent="0.2">
      <c r="GI13946" s="422"/>
    </row>
    <row r="13947" spans="191:191" x14ac:dyDescent="0.2">
      <c r="GI13947" s="422"/>
    </row>
    <row r="13948" spans="191:191" x14ac:dyDescent="0.2">
      <c r="GI13948" s="422"/>
    </row>
    <row r="13949" spans="191:191" x14ac:dyDescent="0.2">
      <c r="GI13949" s="422"/>
    </row>
    <row r="13950" spans="191:191" x14ac:dyDescent="0.2">
      <c r="GI13950" s="422"/>
    </row>
    <row r="13951" spans="191:191" x14ac:dyDescent="0.2">
      <c r="GI13951" s="422"/>
    </row>
    <row r="13952" spans="191:191" x14ac:dyDescent="0.2">
      <c r="GI13952" s="422"/>
    </row>
    <row r="13953" spans="191:191" x14ac:dyDescent="0.2">
      <c r="GI13953" s="422"/>
    </row>
    <row r="13954" spans="191:191" x14ac:dyDescent="0.2">
      <c r="GI13954" s="422"/>
    </row>
    <row r="13955" spans="191:191" x14ac:dyDescent="0.2">
      <c r="GI13955" s="422"/>
    </row>
    <row r="13956" spans="191:191" x14ac:dyDescent="0.2">
      <c r="GI13956" s="422"/>
    </row>
    <row r="13957" spans="191:191" x14ac:dyDescent="0.2">
      <c r="GI13957" s="422"/>
    </row>
    <row r="13958" spans="191:191" x14ac:dyDescent="0.2">
      <c r="GI13958" s="422"/>
    </row>
    <row r="13959" spans="191:191" x14ac:dyDescent="0.2">
      <c r="GI13959" s="422"/>
    </row>
    <row r="13960" spans="191:191" x14ac:dyDescent="0.2">
      <c r="GI13960" s="422"/>
    </row>
    <row r="13961" spans="191:191" x14ac:dyDescent="0.2">
      <c r="GI13961" s="422"/>
    </row>
    <row r="13962" spans="191:191" x14ac:dyDescent="0.2">
      <c r="GI13962" s="422"/>
    </row>
    <row r="13963" spans="191:191" x14ac:dyDescent="0.2">
      <c r="GI13963" s="422"/>
    </row>
    <row r="13964" spans="191:191" x14ac:dyDescent="0.2">
      <c r="GI13964" s="422"/>
    </row>
    <row r="13965" spans="191:191" x14ac:dyDescent="0.2">
      <c r="GI13965" s="422"/>
    </row>
    <row r="13966" spans="191:191" x14ac:dyDescent="0.2">
      <c r="GI13966" s="422"/>
    </row>
    <row r="13967" spans="191:191" x14ac:dyDescent="0.2">
      <c r="GI13967" s="422"/>
    </row>
    <row r="13968" spans="191:191" x14ac:dyDescent="0.2">
      <c r="GI13968" s="422"/>
    </row>
    <row r="13969" spans="191:191" x14ac:dyDescent="0.2">
      <c r="GI13969" s="422"/>
    </row>
    <row r="13970" spans="191:191" x14ac:dyDescent="0.2">
      <c r="GI13970" s="422"/>
    </row>
    <row r="13971" spans="191:191" x14ac:dyDescent="0.2">
      <c r="GI13971" s="422"/>
    </row>
    <row r="13972" spans="191:191" x14ac:dyDescent="0.2">
      <c r="GI13972" s="422"/>
    </row>
    <row r="13973" spans="191:191" x14ac:dyDescent="0.2">
      <c r="GI13973" s="422"/>
    </row>
    <row r="13974" spans="191:191" x14ac:dyDescent="0.2">
      <c r="GI13974" s="422"/>
    </row>
    <row r="13975" spans="191:191" x14ac:dyDescent="0.2">
      <c r="GI13975" s="422"/>
    </row>
    <row r="13976" spans="191:191" x14ac:dyDescent="0.2">
      <c r="GI13976" s="422"/>
    </row>
    <row r="13977" spans="191:191" x14ac:dyDescent="0.2">
      <c r="GI13977" s="422"/>
    </row>
    <row r="13978" spans="191:191" x14ac:dyDescent="0.2">
      <c r="GI13978" s="422"/>
    </row>
    <row r="13979" spans="191:191" x14ac:dyDescent="0.2">
      <c r="GI13979" s="422"/>
    </row>
    <row r="13980" spans="191:191" x14ac:dyDescent="0.2">
      <c r="GI13980" s="422"/>
    </row>
    <row r="13981" spans="191:191" x14ac:dyDescent="0.2">
      <c r="GI13981" s="422"/>
    </row>
    <row r="13982" spans="191:191" x14ac:dyDescent="0.2">
      <c r="GI13982" s="422"/>
    </row>
    <row r="13983" spans="191:191" x14ac:dyDescent="0.2">
      <c r="GI13983" s="422"/>
    </row>
    <row r="13984" spans="191:191" x14ac:dyDescent="0.2">
      <c r="GI13984" s="422"/>
    </row>
    <row r="13985" spans="191:191" x14ac:dyDescent="0.2">
      <c r="GI13985" s="422"/>
    </row>
    <row r="13986" spans="191:191" x14ac:dyDescent="0.2">
      <c r="GI13986" s="422"/>
    </row>
    <row r="13987" spans="191:191" x14ac:dyDescent="0.2">
      <c r="GI13987" s="422"/>
    </row>
    <row r="13988" spans="191:191" x14ac:dyDescent="0.2">
      <c r="GI13988" s="422"/>
    </row>
    <row r="13989" spans="191:191" x14ac:dyDescent="0.2">
      <c r="GI13989" s="422"/>
    </row>
    <row r="13990" spans="191:191" x14ac:dyDescent="0.2">
      <c r="GI13990" s="422"/>
    </row>
    <row r="13991" spans="191:191" x14ac:dyDescent="0.2">
      <c r="GI13991" s="422"/>
    </row>
    <row r="13992" spans="191:191" x14ac:dyDescent="0.2">
      <c r="GI13992" s="422"/>
    </row>
    <row r="13993" spans="191:191" x14ac:dyDescent="0.2">
      <c r="GI13993" s="422"/>
    </row>
    <row r="13994" spans="191:191" x14ac:dyDescent="0.2">
      <c r="GI13994" s="422"/>
    </row>
    <row r="13995" spans="191:191" x14ac:dyDescent="0.2">
      <c r="GI13995" s="422"/>
    </row>
    <row r="13996" spans="191:191" x14ac:dyDescent="0.2">
      <c r="GI13996" s="422"/>
    </row>
    <row r="13997" spans="191:191" x14ac:dyDescent="0.2">
      <c r="GI13997" s="422"/>
    </row>
    <row r="13998" spans="191:191" x14ac:dyDescent="0.2">
      <c r="GI13998" s="422"/>
    </row>
    <row r="13999" spans="191:191" x14ac:dyDescent="0.2">
      <c r="GI13999" s="422"/>
    </row>
    <row r="14000" spans="191:191" x14ac:dyDescent="0.2">
      <c r="GI14000" s="422"/>
    </row>
    <row r="14001" spans="191:191" x14ac:dyDescent="0.2">
      <c r="GI14001" s="422"/>
    </row>
    <row r="14002" spans="191:191" x14ac:dyDescent="0.2">
      <c r="GI14002" s="422"/>
    </row>
    <row r="14003" spans="191:191" x14ac:dyDescent="0.2">
      <c r="GI14003" s="422"/>
    </row>
    <row r="14004" spans="191:191" x14ac:dyDescent="0.2">
      <c r="GI14004" s="422"/>
    </row>
    <row r="14005" spans="191:191" x14ac:dyDescent="0.2">
      <c r="GI14005" s="422"/>
    </row>
    <row r="14006" spans="191:191" x14ac:dyDescent="0.2">
      <c r="GI14006" s="422"/>
    </row>
    <row r="14007" spans="191:191" x14ac:dyDescent="0.2">
      <c r="GI14007" s="422"/>
    </row>
    <row r="14008" spans="191:191" x14ac:dyDescent="0.2">
      <c r="GI14008" s="422"/>
    </row>
    <row r="14009" spans="191:191" x14ac:dyDescent="0.2">
      <c r="GI14009" s="422"/>
    </row>
    <row r="14010" spans="191:191" x14ac:dyDescent="0.2">
      <c r="GI14010" s="422"/>
    </row>
    <row r="14011" spans="191:191" x14ac:dyDescent="0.2">
      <c r="GI14011" s="422"/>
    </row>
    <row r="14012" spans="191:191" x14ac:dyDescent="0.2">
      <c r="GI14012" s="422"/>
    </row>
    <row r="14013" spans="191:191" x14ac:dyDescent="0.2">
      <c r="GI14013" s="422"/>
    </row>
    <row r="14014" spans="191:191" x14ac:dyDescent="0.2">
      <c r="GI14014" s="422"/>
    </row>
    <row r="14015" spans="191:191" x14ac:dyDescent="0.2">
      <c r="GI14015" s="422"/>
    </row>
    <row r="14016" spans="191:191" x14ac:dyDescent="0.2">
      <c r="GI14016" s="422"/>
    </row>
    <row r="14017" spans="191:191" x14ac:dyDescent="0.2">
      <c r="GI14017" s="422"/>
    </row>
    <row r="14018" spans="191:191" x14ac:dyDescent="0.2">
      <c r="GI14018" s="422"/>
    </row>
    <row r="14019" spans="191:191" x14ac:dyDescent="0.2">
      <c r="GI14019" s="422"/>
    </row>
    <row r="14020" spans="191:191" x14ac:dyDescent="0.2">
      <c r="GI14020" s="422"/>
    </row>
    <row r="14021" spans="191:191" x14ac:dyDescent="0.2">
      <c r="GI14021" s="422"/>
    </row>
    <row r="14022" spans="191:191" x14ac:dyDescent="0.2">
      <c r="GI14022" s="422"/>
    </row>
    <row r="14023" spans="191:191" x14ac:dyDescent="0.2">
      <c r="GI14023" s="422"/>
    </row>
    <row r="14024" spans="191:191" x14ac:dyDescent="0.2">
      <c r="GI14024" s="422"/>
    </row>
    <row r="14025" spans="191:191" x14ac:dyDescent="0.2">
      <c r="GI14025" s="422"/>
    </row>
    <row r="14026" spans="191:191" x14ac:dyDescent="0.2">
      <c r="GI14026" s="422"/>
    </row>
    <row r="14027" spans="191:191" x14ac:dyDescent="0.2">
      <c r="GI14027" s="422"/>
    </row>
    <row r="14028" spans="191:191" x14ac:dyDescent="0.2">
      <c r="GI14028" s="422"/>
    </row>
    <row r="14029" spans="191:191" x14ac:dyDescent="0.2">
      <c r="GI14029" s="422"/>
    </row>
    <row r="14030" spans="191:191" x14ac:dyDescent="0.2">
      <c r="GI14030" s="422"/>
    </row>
    <row r="14031" spans="191:191" x14ac:dyDescent="0.2">
      <c r="GI14031" s="422"/>
    </row>
    <row r="14032" spans="191:191" x14ac:dyDescent="0.2">
      <c r="GI14032" s="422"/>
    </row>
    <row r="14033" spans="191:191" x14ac:dyDescent="0.2">
      <c r="GI14033" s="422"/>
    </row>
    <row r="14034" spans="191:191" x14ac:dyDescent="0.2">
      <c r="GI14034" s="422"/>
    </row>
    <row r="14035" spans="191:191" x14ac:dyDescent="0.2">
      <c r="GI14035" s="422"/>
    </row>
    <row r="14036" spans="191:191" x14ac:dyDescent="0.2">
      <c r="GI14036" s="422"/>
    </row>
    <row r="14037" spans="191:191" x14ac:dyDescent="0.2">
      <c r="GI14037" s="422"/>
    </row>
    <row r="14038" spans="191:191" x14ac:dyDescent="0.2">
      <c r="GI14038" s="422"/>
    </row>
    <row r="14039" spans="191:191" x14ac:dyDescent="0.2">
      <c r="GI14039" s="422"/>
    </row>
    <row r="14040" spans="191:191" x14ac:dyDescent="0.2">
      <c r="GI14040" s="422"/>
    </row>
    <row r="14041" spans="191:191" x14ac:dyDescent="0.2">
      <c r="GI14041" s="422"/>
    </row>
    <row r="14042" spans="191:191" x14ac:dyDescent="0.2">
      <c r="GI14042" s="422"/>
    </row>
    <row r="14043" spans="191:191" x14ac:dyDescent="0.2">
      <c r="GI14043" s="422"/>
    </row>
    <row r="14044" spans="191:191" x14ac:dyDescent="0.2">
      <c r="GI14044" s="422"/>
    </row>
    <row r="14045" spans="191:191" x14ac:dyDescent="0.2">
      <c r="GI14045" s="422"/>
    </row>
    <row r="14046" spans="191:191" x14ac:dyDescent="0.2">
      <c r="GI14046" s="422"/>
    </row>
    <row r="14047" spans="191:191" x14ac:dyDescent="0.2">
      <c r="GI14047" s="422"/>
    </row>
    <row r="14048" spans="191:191" x14ac:dyDescent="0.2">
      <c r="GI14048" s="422"/>
    </row>
    <row r="14049" spans="191:191" x14ac:dyDescent="0.2">
      <c r="GI14049" s="422"/>
    </row>
    <row r="14050" spans="191:191" x14ac:dyDescent="0.2">
      <c r="GI14050" s="422"/>
    </row>
    <row r="14051" spans="191:191" x14ac:dyDescent="0.2">
      <c r="GI14051" s="422"/>
    </row>
    <row r="14052" spans="191:191" x14ac:dyDescent="0.2">
      <c r="GI14052" s="422"/>
    </row>
    <row r="14053" spans="191:191" x14ac:dyDescent="0.2">
      <c r="GI14053" s="422"/>
    </row>
    <row r="14054" spans="191:191" x14ac:dyDescent="0.2">
      <c r="GI14054" s="422"/>
    </row>
    <row r="14055" spans="191:191" x14ac:dyDescent="0.2">
      <c r="GI14055" s="422"/>
    </row>
    <row r="14056" spans="191:191" x14ac:dyDescent="0.2">
      <c r="GI14056" s="422"/>
    </row>
    <row r="14057" spans="191:191" x14ac:dyDescent="0.2">
      <c r="GI14057" s="422"/>
    </row>
    <row r="14058" spans="191:191" x14ac:dyDescent="0.2">
      <c r="GI14058" s="422"/>
    </row>
    <row r="14059" spans="191:191" x14ac:dyDescent="0.2">
      <c r="GI14059" s="422"/>
    </row>
    <row r="14060" spans="191:191" x14ac:dyDescent="0.2">
      <c r="GI14060" s="422"/>
    </row>
    <row r="14061" spans="191:191" x14ac:dyDescent="0.2">
      <c r="GI14061" s="422"/>
    </row>
    <row r="14062" spans="191:191" x14ac:dyDescent="0.2">
      <c r="GI14062" s="422"/>
    </row>
    <row r="14063" spans="191:191" x14ac:dyDescent="0.2">
      <c r="GI14063" s="422"/>
    </row>
    <row r="14064" spans="191:191" x14ac:dyDescent="0.2">
      <c r="GI14064" s="422"/>
    </row>
    <row r="14065" spans="191:191" x14ac:dyDescent="0.2">
      <c r="GI14065" s="422"/>
    </row>
    <row r="14066" spans="191:191" x14ac:dyDescent="0.2">
      <c r="GI14066" s="422"/>
    </row>
    <row r="14067" spans="191:191" x14ac:dyDescent="0.2">
      <c r="GI14067" s="422"/>
    </row>
    <row r="14068" spans="191:191" x14ac:dyDescent="0.2">
      <c r="GI14068" s="422"/>
    </row>
    <row r="14069" spans="191:191" x14ac:dyDescent="0.2">
      <c r="GI14069" s="422"/>
    </row>
    <row r="14070" spans="191:191" x14ac:dyDescent="0.2">
      <c r="GI14070" s="422"/>
    </row>
    <row r="14071" spans="191:191" x14ac:dyDescent="0.2">
      <c r="GI14071" s="422"/>
    </row>
    <row r="14072" spans="191:191" x14ac:dyDescent="0.2">
      <c r="GI14072" s="422"/>
    </row>
    <row r="14073" spans="191:191" x14ac:dyDescent="0.2">
      <c r="GI14073" s="422"/>
    </row>
    <row r="14074" spans="191:191" x14ac:dyDescent="0.2">
      <c r="GI14074" s="422"/>
    </row>
    <row r="14075" spans="191:191" x14ac:dyDescent="0.2">
      <c r="GI14075" s="422"/>
    </row>
    <row r="14076" spans="191:191" x14ac:dyDescent="0.2">
      <c r="GI14076" s="422"/>
    </row>
    <row r="14077" spans="191:191" x14ac:dyDescent="0.2">
      <c r="GI14077" s="422"/>
    </row>
    <row r="14078" spans="191:191" x14ac:dyDescent="0.2">
      <c r="GI14078" s="422"/>
    </row>
    <row r="14079" spans="191:191" x14ac:dyDescent="0.2">
      <c r="GI14079" s="422"/>
    </row>
    <row r="14080" spans="191:191" x14ac:dyDescent="0.2">
      <c r="GI14080" s="422"/>
    </row>
    <row r="14081" spans="191:191" x14ac:dyDescent="0.2">
      <c r="GI14081" s="422"/>
    </row>
    <row r="14082" spans="191:191" x14ac:dyDescent="0.2">
      <c r="GI14082" s="422"/>
    </row>
    <row r="14083" spans="191:191" x14ac:dyDescent="0.2">
      <c r="GI14083" s="422"/>
    </row>
    <row r="14084" spans="191:191" x14ac:dyDescent="0.2">
      <c r="GI14084" s="422"/>
    </row>
    <row r="14085" spans="191:191" x14ac:dyDescent="0.2">
      <c r="GI14085" s="422"/>
    </row>
    <row r="14086" spans="191:191" x14ac:dyDescent="0.2">
      <c r="GI14086" s="422"/>
    </row>
    <row r="14087" spans="191:191" x14ac:dyDescent="0.2">
      <c r="GI14087" s="422"/>
    </row>
    <row r="14088" spans="191:191" x14ac:dyDescent="0.2">
      <c r="GI14088" s="422"/>
    </row>
    <row r="14089" spans="191:191" x14ac:dyDescent="0.2">
      <c r="GI14089" s="422"/>
    </row>
    <row r="14090" spans="191:191" x14ac:dyDescent="0.2">
      <c r="GI14090" s="422"/>
    </row>
    <row r="14091" spans="191:191" x14ac:dyDescent="0.2">
      <c r="GI14091" s="422"/>
    </row>
    <row r="14092" spans="191:191" x14ac:dyDescent="0.2">
      <c r="GI14092" s="422"/>
    </row>
    <row r="14093" spans="191:191" x14ac:dyDescent="0.2">
      <c r="GI14093" s="422"/>
    </row>
    <row r="14094" spans="191:191" x14ac:dyDescent="0.2">
      <c r="GI14094" s="422"/>
    </row>
    <row r="14095" spans="191:191" x14ac:dyDescent="0.2">
      <c r="GI14095" s="422"/>
    </row>
    <row r="14096" spans="191:191" x14ac:dyDescent="0.2">
      <c r="GI14096" s="422"/>
    </row>
    <row r="14097" spans="191:191" x14ac:dyDescent="0.2">
      <c r="GI14097" s="422"/>
    </row>
    <row r="14098" spans="191:191" x14ac:dyDescent="0.2">
      <c r="GI14098" s="422"/>
    </row>
    <row r="14099" spans="191:191" x14ac:dyDescent="0.2">
      <c r="GI14099" s="422"/>
    </row>
    <row r="14100" spans="191:191" x14ac:dyDescent="0.2">
      <c r="GI14100" s="422"/>
    </row>
    <row r="14101" spans="191:191" x14ac:dyDescent="0.2">
      <c r="GI14101" s="422"/>
    </row>
    <row r="14102" spans="191:191" x14ac:dyDescent="0.2">
      <c r="GI14102" s="422"/>
    </row>
    <row r="14103" spans="191:191" x14ac:dyDescent="0.2">
      <c r="GI14103" s="422"/>
    </row>
    <row r="14104" spans="191:191" x14ac:dyDescent="0.2">
      <c r="GI14104" s="422"/>
    </row>
    <row r="14105" spans="191:191" x14ac:dyDescent="0.2">
      <c r="GI14105" s="422"/>
    </row>
    <row r="14106" spans="191:191" x14ac:dyDescent="0.2">
      <c r="GI14106" s="422"/>
    </row>
    <row r="14107" spans="191:191" x14ac:dyDescent="0.2">
      <c r="GI14107" s="422"/>
    </row>
    <row r="14108" spans="191:191" x14ac:dyDescent="0.2">
      <c r="GI14108" s="422"/>
    </row>
    <row r="14109" spans="191:191" x14ac:dyDescent="0.2">
      <c r="GI14109" s="422"/>
    </row>
    <row r="14110" spans="191:191" x14ac:dyDescent="0.2">
      <c r="GI14110" s="422"/>
    </row>
    <row r="14111" spans="191:191" x14ac:dyDescent="0.2">
      <c r="GI14111" s="422"/>
    </row>
    <row r="14112" spans="191:191" x14ac:dyDescent="0.2">
      <c r="GI14112" s="422"/>
    </row>
    <row r="14113" spans="191:191" x14ac:dyDescent="0.2">
      <c r="GI14113" s="422"/>
    </row>
    <row r="14114" spans="191:191" x14ac:dyDescent="0.2">
      <c r="GI14114" s="422"/>
    </row>
    <row r="14115" spans="191:191" x14ac:dyDescent="0.2">
      <c r="GI14115" s="422"/>
    </row>
    <row r="14116" spans="191:191" x14ac:dyDescent="0.2">
      <c r="GI14116" s="422"/>
    </row>
    <row r="14117" spans="191:191" x14ac:dyDescent="0.2">
      <c r="GI14117" s="422"/>
    </row>
    <row r="14118" spans="191:191" x14ac:dyDescent="0.2">
      <c r="GI14118" s="422"/>
    </row>
    <row r="14119" spans="191:191" x14ac:dyDescent="0.2">
      <c r="GI14119" s="422"/>
    </row>
    <row r="14120" spans="191:191" x14ac:dyDescent="0.2">
      <c r="GI14120" s="422"/>
    </row>
    <row r="14121" spans="191:191" x14ac:dyDescent="0.2">
      <c r="GI14121" s="422"/>
    </row>
    <row r="14122" spans="191:191" x14ac:dyDescent="0.2">
      <c r="GI14122" s="422"/>
    </row>
    <row r="14123" spans="191:191" x14ac:dyDescent="0.2">
      <c r="GI14123" s="422"/>
    </row>
    <row r="14124" spans="191:191" x14ac:dyDescent="0.2">
      <c r="GI14124" s="422"/>
    </row>
    <row r="14125" spans="191:191" x14ac:dyDescent="0.2">
      <c r="GI14125" s="422"/>
    </row>
    <row r="14126" spans="191:191" x14ac:dyDescent="0.2">
      <c r="GI14126" s="422"/>
    </row>
    <row r="14127" spans="191:191" x14ac:dyDescent="0.2">
      <c r="GI14127" s="422"/>
    </row>
    <row r="14128" spans="191:191" x14ac:dyDescent="0.2">
      <c r="GI14128" s="422"/>
    </row>
    <row r="14129" spans="191:191" x14ac:dyDescent="0.2">
      <c r="GI14129" s="422"/>
    </row>
    <row r="14130" spans="191:191" x14ac:dyDescent="0.2">
      <c r="GI14130" s="422"/>
    </row>
    <row r="14131" spans="191:191" x14ac:dyDescent="0.2">
      <c r="GI14131" s="422"/>
    </row>
    <row r="14132" spans="191:191" x14ac:dyDescent="0.2">
      <c r="GI14132" s="422"/>
    </row>
    <row r="14133" spans="191:191" x14ac:dyDescent="0.2">
      <c r="GI14133" s="422"/>
    </row>
    <row r="14134" spans="191:191" x14ac:dyDescent="0.2">
      <c r="GI14134" s="422"/>
    </row>
    <row r="14135" spans="191:191" x14ac:dyDescent="0.2">
      <c r="GI14135" s="422"/>
    </row>
    <row r="14136" spans="191:191" x14ac:dyDescent="0.2">
      <c r="GI14136" s="422"/>
    </row>
    <row r="14137" spans="191:191" x14ac:dyDescent="0.2">
      <c r="GI14137" s="422"/>
    </row>
    <row r="14138" spans="191:191" x14ac:dyDescent="0.2">
      <c r="GI14138" s="422"/>
    </row>
    <row r="14139" spans="191:191" x14ac:dyDescent="0.2">
      <c r="GI14139" s="422"/>
    </row>
    <row r="14140" spans="191:191" x14ac:dyDescent="0.2">
      <c r="GI14140" s="422"/>
    </row>
    <row r="14141" spans="191:191" x14ac:dyDescent="0.2">
      <c r="GI14141" s="422"/>
    </row>
    <row r="14142" spans="191:191" x14ac:dyDescent="0.2">
      <c r="GI14142" s="422"/>
    </row>
    <row r="14143" spans="191:191" x14ac:dyDescent="0.2">
      <c r="GI14143" s="422"/>
    </row>
    <row r="14144" spans="191:191" x14ac:dyDescent="0.2">
      <c r="GI14144" s="422"/>
    </row>
    <row r="14145" spans="191:191" x14ac:dyDescent="0.2">
      <c r="GI14145" s="422"/>
    </row>
    <row r="14146" spans="191:191" x14ac:dyDescent="0.2">
      <c r="GI14146" s="422"/>
    </row>
    <row r="14147" spans="191:191" x14ac:dyDescent="0.2">
      <c r="GI14147" s="422"/>
    </row>
    <row r="14148" spans="191:191" x14ac:dyDescent="0.2">
      <c r="GI14148" s="422"/>
    </row>
    <row r="14149" spans="191:191" x14ac:dyDescent="0.2">
      <c r="GI14149" s="422"/>
    </row>
    <row r="14150" spans="191:191" x14ac:dyDescent="0.2">
      <c r="GI14150" s="422"/>
    </row>
    <row r="14151" spans="191:191" x14ac:dyDescent="0.2">
      <c r="GI14151" s="422"/>
    </row>
    <row r="14152" spans="191:191" x14ac:dyDescent="0.2">
      <c r="GI14152" s="422"/>
    </row>
    <row r="14153" spans="191:191" x14ac:dyDescent="0.2">
      <c r="GI14153" s="422"/>
    </row>
    <row r="14154" spans="191:191" x14ac:dyDescent="0.2">
      <c r="GI14154" s="422"/>
    </row>
    <row r="14155" spans="191:191" x14ac:dyDescent="0.2">
      <c r="GI14155" s="422"/>
    </row>
    <row r="14156" spans="191:191" x14ac:dyDescent="0.2">
      <c r="GI14156" s="422"/>
    </row>
    <row r="14157" spans="191:191" x14ac:dyDescent="0.2">
      <c r="GI14157" s="422"/>
    </row>
    <row r="14158" spans="191:191" x14ac:dyDescent="0.2">
      <c r="GI14158" s="422"/>
    </row>
    <row r="14159" spans="191:191" x14ac:dyDescent="0.2">
      <c r="GI14159" s="422"/>
    </row>
    <row r="14160" spans="191:191" x14ac:dyDescent="0.2">
      <c r="GI14160" s="422"/>
    </row>
    <row r="14161" spans="191:191" x14ac:dyDescent="0.2">
      <c r="GI14161" s="422"/>
    </row>
    <row r="14162" spans="191:191" x14ac:dyDescent="0.2">
      <c r="GI14162" s="422"/>
    </row>
    <row r="14163" spans="191:191" x14ac:dyDescent="0.2">
      <c r="GI14163" s="422"/>
    </row>
    <row r="14164" spans="191:191" x14ac:dyDescent="0.2">
      <c r="GI14164" s="422"/>
    </row>
    <row r="14165" spans="191:191" x14ac:dyDescent="0.2">
      <c r="GI14165" s="422"/>
    </row>
    <row r="14166" spans="191:191" x14ac:dyDescent="0.2">
      <c r="GI14166" s="422"/>
    </row>
    <row r="14167" spans="191:191" x14ac:dyDescent="0.2">
      <c r="GI14167" s="422"/>
    </row>
    <row r="14168" spans="191:191" x14ac:dyDescent="0.2">
      <c r="GI14168" s="422"/>
    </row>
    <row r="14169" spans="191:191" x14ac:dyDescent="0.2">
      <c r="GI14169" s="422"/>
    </row>
    <row r="14170" spans="191:191" x14ac:dyDescent="0.2">
      <c r="GI14170" s="422"/>
    </row>
    <row r="14171" spans="191:191" x14ac:dyDescent="0.2">
      <c r="GI14171" s="422"/>
    </row>
    <row r="14172" spans="191:191" x14ac:dyDescent="0.2">
      <c r="GI14172" s="422"/>
    </row>
    <row r="14173" spans="191:191" x14ac:dyDescent="0.2">
      <c r="GI14173" s="422"/>
    </row>
    <row r="14174" spans="191:191" x14ac:dyDescent="0.2">
      <c r="GI14174" s="422"/>
    </row>
    <row r="14175" spans="191:191" x14ac:dyDescent="0.2">
      <c r="GI14175" s="422"/>
    </row>
    <row r="14176" spans="191:191" x14ac:dyDescent="0.2">
      <c r="GI14176" s="422"/>
    </row>
    <row r="14177" spans="191:191" x14ac:dyDescent="0.2">
      <c r="GI14177" s="422"/>
    </row>
    <row r="14178" spans="191:191" x14ac:dyDescent="0.2">
      <c r="GI14178" s="422"/>
    </row>
    <row r="14179" spans="191:191" x14ac:dyDescent="0.2">
      <c r="GI14179" s="422"/>
    </row>
    <row r="14180" spans="191:191" x14ac:dyDescent="0.2">
      <c r="GI14180" s="422"/>
    </row>
    <row r="14181" spans="191:191" x14ac:dyDescent="0.2">
      <c r="GI14181" s="422"/>
    </row>
    <row r="14182" spans="191:191" x14ac:dyDescent="0.2">
      <c r="GI14182" s="422"/>
    </row>
    <row r="14183" spans="191:191" x14ac:dyDescent="0.2">
      <c r="GI14183" s="422"/>
    </row>
    <row r="14184" spans="191:191" x14ac:dyDescent="0.2">
      <c r="GI14184" s="422"/>
    </row>
    <row r="14185" spans="191:191" x14ac:dyDescent="0.2">
      <c r="GI14185" s="422"/>
    </row>
    <row r="14186" spans="191:191" x14ac:dyDescent="0.2">
      <c r="GI14186" s="422"/>
    </row>
    <row r="14187" spans="191:191" x14ac:dyDescent="0.2">
      <c r="GI14187" s="422"/>
    </row>
    <row r="14188" spans="191:191" x14ac:dyDescent="0.2">
      <c r="GI14188" s="422"/>
    </row>
    <row r="14189" spans="191:191" x14ac:dyDescent="0.2">
      <c r="GI14189" s="422"/>
    </row>
    <row r="14190" spans="191:191" x14ac:dyDescent="0.2">
      <c r="GI14190" s="422"/>
    </row>
    <row r="14191" spans="191:191" x14ac:dyDescent="0.2">
      <c r="GI14191" s="422"/>
    </row>
    <row r="14192" spans="191:191" x14ac:dyDescent="0.2">
      <c r="GI14192" s="422"/>
    </row>
    <row r="14193" spans="191:191" x14ac:dyDescent="0.2">
      <c r="GI14193" s="422"/>
    </row>
    <row r="14194" spans="191:191" x14ac:dyDescent="0.2">
      <c r="GI14194" s="422"/>
    </row>
    <row r="14195" spans="191:191" x14ac:dyDescent="0.2">
      <c r="GI14195" s="422"/>
    </row>
    <row r="14196" spans="191:191" x14ac:dyDescent="0.2">
      <c r="GI14196" s="422"/>
    </row>
    <row r="14197" spans="191:191" x14ac:dyDescent="0.2">
      <c r="GI14197" s="422"/>
    </row>
    <row r="14198" spans="191:191" x14ac:dyDescent="0.2">
      <c r="GI14198" s="422"/>
    </row>
    <row r="14199" spans="191:191" x14ac:dyDescent="0.2">
      <c r="GI14199" s="422"/>
    </row>
    <row r="14200" spans="191:191" x14ac:dyDescent="0.2">
      <c r="GI14200" s="422"/>
    </row>
    <row r="14201" spans="191:191" x14ac:dyDescent="0.2">
      <c r="GI14201" s="422"/>
    </row>
    <row r="14202" spans="191:191" x14ac:dyDescent="0.2">
      <c r="GI14202" s="422"/>
    </row>
    <row r="14203" spans="191:191" x14ac:dyDescent="0.2">
      <c r="GI14203" s="422"/>
    </row>
    <row r="14204" spans="191:191" x14ac:dyDescent="0.2">
      <c r="GI14204" s="422"/>
    </row>
    <row r="14205" spans="191:191" x14ac:dyDescent="0.2">
      <c r="GI14205" s="422"/>
    </row>
    <row r="14206" spans="191:191" x14ac:dyDescent="0.2">
      <c r="GI14206" s="422"/>
    </row>
    <row r="14207" spans="191:191" x14ac:dyDescent="0.2">
      <c r="GI14207" s="422"/>
    </row>
    <row r="14208" spans="191:191" x14ac:dyDescent="0.2">
      <c r="GI14208" s="422"/>
    </row>
    <row r="14209" spans="191:191" x14ac:dyDescent="0.2">
      <c r="GI14209" s="422"/>
    </row>
    <row r="14210" spans="191:191" x14ac:dyDescent="0.2">
      <c r="GI14210" s="422"/>
    </row>
    <row r="14211" spans="191:191" x14ac:dyDescent="0.2">
      <c r="GI14211" s="422"/>
    </row>
    <row r="14212" spans="191:191" x14ac:dyDescent="0.2">
      <c r="GI14212" s="422"/>
    </row>
    <row r="14213" spans="191:191" x14ac:dyDescent="0.2">
      <c r="GI14213" s="422"/>
    </row>
    <row r="14214" spans="191:191" x14ac:dyDescent="0.2">
      <c r="GI14214" s="422"/>
    </row>
    <row r="14215" spans="191:191" x14ac:dyDescent="0.2">
      <c r="GI14215" s="422"/>
    </row>
    <row r="14216" spans="191:191" x14ac:dyDescent="0.2">
      <c r="GI14216" s="422"/>
    </row>
    <row r="14217" spans="191:191" x14ac:dyDescent="0.2">
      <c r="GI14217" s="422"/>
    </row>
    <row r="14218" spans="191:191" x14ac:dyDescent="0.2">
      <c r="GI14218" s="422"/>
    </row>
    <row r="14219" spans="191:191" x14ac:dyDescent="0.2">
      <c r="GI14219" s="422"/>
    </row>
    <row r="14220" spans="191:191" x14ac:dyDescent="0.2">
      <c r="GI14220" s="422"/>
    </row>
    <row r="14221" spans="191:191" x14ac:dyDescent="0.2">
      <c r="GI14221" s="422"/>
    </row>
    <row r="14222" spans="191:191" x14ac:dyDescent="0.2">
      <c r="GI14222" s="422"/>
    </row>
    <row r="14223" spans="191:191" x14ac:dyDescent="0.2">
      <c r="GI14223" s="422"/>
    </row>
    <row r="14224" spans="191:191" x14ac:dyDescent="0.2">
      <c r="GI14224" s="422"/>
    </row>
    <row r="14225" spans="191:191" x14ac:dyDescent="0.2">
      <c r="GI14225" s="422"/>
    </row>
    <row r="14226" spans="191:191" x14ac:dyDescent="0.2">
      <c r="GI14226" s="422"/>
    </row>
    <row r="14227" spans="191:191" x14ac:dyDescent="0.2">
      <c r="GI14227" s="422"/>
    </row>
    <row r="14228" spans="191:191" x14ac:dyDescent="0.2">
      <c r="GI14228" s="422"/>
    </row>
    <row r="14229" spans="191:191" x14ac:dyDescent="0.2">
      <c r="GI14229" s="422"/>
    </row>
    <row r="14230" spans="191:191" x14ac:dyDescent="0.2">
      <c r="GI14230" s="422"/>
    </row>
    <row r="14231" spans="191:191" x14ac:dyDescent="0.2">
      <c r="GI14231" s="422"/>
    </row>
    <row r="14232" spans="191:191" x14ac:dyDescent="0.2">
      <c r="GI14232" s="422"/>
    </row>
    <row r="14233" spans="191:191" x14ac:dyDescent="0.2">
      <c r="GI14233" s="422"/>
    </row>
    <row r="14234" spans="191:191" x14ac:dyDescent="0.2">
      <c r="GI14234" s="422"/>
    </row>
    <row r="14235" spans="191:191" x14ac:dyDescent="0.2">
      <c r="GI14235" s="422"/>
    </row>
    <row r="14236" spans="191:191" x14ac:dyDescent="0.2">
      <c r="GI14236" s="422"/>
    </row>
    <row r="14237" spans="191:191" x14ac:dyDescent="0.2">
      <c r="GI14237" s="422"/>
    </row>
    <row r="14238" spans="191:191" x14ac:dyDescent="0.2">
      <c r="GI14238" s="422"/>
    </row>
    <row r="14239" spans="191:191" x14ac:dyDescent="0.2">
      <c r="GI14239" s="422"/>
    </row>
    <row r="14240" spans="191:191" x14ac:dyDescent="0.2">
      <c r="GI14240" s="422"/>
    </row>
    <row r="14241" spans="191:191" x14ac:dyDescent="0.2">
      <c r="GI14241" s="422"/>
    </row>
    <row r="14242" spans="191:191" x14ac:dyDescent="0.2">
      <c r="GI14242" s="422"/>
    </row>
    <row r="14243" spans="191:191" x14ac:dyDescent="0.2">
      <c r="GI14243" s="422"/>
    </row>
    <row r="14244" spans="191:191" x14ac:dyDescent="0.2">
      <c r="GI14244" s="422"/>
    </row>
    <row r="14245" spans="191:191" x14ac:dyDescent="0.2">
      <c r="GI14245" s="422"/>
    </row>
    <row r="14246" spans="191:191" x14ac:dyDescent="0.2">
      <c r="GI14246" s="422"/>
    </row>
    <row r="14247" spans="191:191" x14ac:dyDescent="0.2">
      <c r="GI14247" s="422"/>
    </row>
    <row r="14248" spans="191:191" x14ac:dyDescent="0.2">
      <c r="GI14248" s="422"/>
    </row>
    <row r="14249" spans="191:191" x14ac:dyDescent="0.2">
      <c r="GI14249" s="422"/>
    </row>
    <row r="14250" spans="191:191" x14ac:dyDescent="0.2">
      <c r="GI14250" s="422"/>
    </row>
    <row r="14251" spans="191:191" x14ac:dyDescent="0.2">
      <c r="GI14251" s="422"/>
    </row>
    <row r="14252" spans="191:191" x14ac:dyDescent="0.2">
      <c r="GI14252" s="422"/>
    </row>
    <row r="14253" spans="191:191" x14ac:dyDescent="0.2">
      <c r="GI14253" s="422"/>
    </row>
    <row r="14254" spans="191:191" x14ac:dyDescent="0.2">
      <c r="GI14254" s="422"/>
    </row>
    <row r="14255" spans="191:191" x14ac:dyDescent="0.2">
      <c r="GI14255" s="422"/>
    </row>
    <row r="14256" spans="191:191" x14ac:dyDescent="0.2">
      <c r="GI14256" s="422"/>
    </row>
    <row r="14257" spans="191:191" x14ac:dyDescent="0.2">
      <c r="GI14257" s="422"/>
    </row>
    <row r="14258" spans="191:191" x14ac:dyDescent="0.2">
      <c r="GI14258" s="422"/>
    </row>
    <row r="14259" spans="191:191" x14ac:dyDescent="0.2">
      <c r="GI14259" s="422"/>
    </row>
    <row r="14260" spans="191:191" x14ac:dyDescent="0.2">
      <c r="GI14260" s="422"/>
    </row>
    <row r="14261" spans="191:191" x14ac:dyDescent="0.2">
      <c r="GI14261" s="422"/>
    </row>
    <row r="14262" spans="191:191" x14ac:dyDescent="0.2">
      <c r="GI14262" s="422"/>
    </row>
    <row r="14263" spans="191:191" x14ac:dyDescent="0.2">
      <c r="GI14263" s="422"/>
    </row>
    <row r="14264" spans="191:191" x14ac:dyDescent="0.2">
      <c r="GI14264" s="422"/>
    </row>
    <row r="14265" spans="191:191" x14ac:dyDescent="0.2">
      <c r="GI14265" s="422"/>
    </row>
    <row r="14266" spans="191:191" x14ac:dyDescent="0.2">
      <c r="GI14266" s="422"/>
    </row>
    <row r="14267" spans="191:191" x14ac:dyDescent="0.2">
      <c r="GI14267" s="422"/>
    </row>
    <row r="14268" spans="191:191" x14ac:dyDescent="0.2">
      <c r="GI14268" s="422"/>
    </row>
    <row r="14269" spans="191:191" x14ac:dyDescent="0.2">
      <c r="GI14269" s="422"/>
    </row>
    <row r="14270" spans="191:191" x14ac:dyDescent="0.2">
      <c r="GI14270" s="422"/>
    </row>
    <row r="14271" spans="191:191" x14ac:dyDescent="0.2">
      <c r="GI14271" s="422"/>
    </row>
    <row r="14272" spans="191:191" x14ac:dyDescent="0.2">
      <c r="GI14272" s="422"/>
    </row>
    <row r="14273" spans="191:191" x14ac:dyDescent="0.2">
      <c r="GI14273" s="422"/>
    </row>
    <row r="14274" spans="191:191" x14ac:dyDescent="0.2">
      <c r="GI14274" s="422"/>
    </row>
    <row r="14275" spans="191:191" x14ac:dyDescent="0.2">
      <c r="GI14275" s="422"/>
    </row>
    <row r="14276" spans="191:191" x14ac:dyDescent="0.2">
      <c r="GI14276" s="422"/>
    </row>
    <row r="14277" spans="191:191" x14ac:dyDescent="0.2">
      <c r="GI14277" s="422"/>
    </row>
    <row r="14278" spans="191:191" x14ac:dyDescent="0.2">
      <c r="GI14278" s="422"/>
    </row>
    <row r="14279" spans="191:191" x14ac:dyDescent="0.2">
      <c r="GI14279" s="422"/>
    </row>
    <row r="14280" spans="191:191" x14ac:dyDescent="0.2">
      <c r="GI14280" s="422"/>
    </row>
    <row r="14281" spans="191:191" x14ac:dyDescent="0.2">
      <c r="GI14281" s="422"/>
    </row>
    <row r="14282" spans="191:191" x14ac:dyDescent="0.2">
      <c r="GI14282" s="422"/>
    </row>
    <row r="14283" spans="191:191" x14ac:dyDescent="0.2">
      <c r="GI14283" s="422"/>
    </row>
    <row r="14284" spans="191:191" x14ac:dyDescent="0.2">
      <c r="GI14284" s="422"/>
    </row>
    <row r="14285" spans="191:191" x14ac:dyDescent="0.2">
      <c r="GI14285" s="422"/>
    </row>
    <row r="14286" spans="191:191" x14ac:dyDescent="0.2">
      <c r="GI14286" s="422"/>
    </row>
    <row r="14287" spans="191:191" x14ac:dyDescent="0.2">
      <c r="GI14287" s="422"/>
    </row>
    <row r="14288" spans="191:191" x14ac:dyDescent="0.2">
      <c r="GI14288" s="422"/>
    </row>
    <row r="14289" spans="191:191" x14ac:dyDescent="0.2">
      <c r="GI14289" s="422"/>
    </row>
    <row r="14290" spans="191:191" x14ac:dyDescent="0.2">
      <c r="GI14290" s="422"/>
    </row>
    <row r="14291" spans="191:191" x14ac:dyDescent="0.2">
      <c r="GI14291" s="422"/>
    </row>
    <row r="14292" spans="191:191" x14ac:dyDescent="0.2">
      <c r="GI14292" s="422"/>
    </row>
    <row r="14293" spans="191:191" x14ac:dyDescent="0.2">
      <c r="GI14293" s="422"/>
    </row>
    <row r="14294" spans="191:191" x14ac:dyDescent="0.2">
      <c r="GI14294" s="422"/>
    </row>
    <row r="14295" spans="191:191" x14ac:dyDescent="0.2">
      <c r="GI14295" s="422"/>
    </row>
    <row r="14296" spans="191:191" x14ac:dyDescent="0.2">
      <c r="GI14296" s="422"/>
    </row>
    <row r="14297" spans="191:191" x14ac:dyDescent="0.2">
      <c r="GI14297" s="422"/>
    </row>
    <row r="14298" spans="191:191" x14ac:dyDescent="0.2">
      <c r="GI14298" s="422"/>
    </row>
    <row r="14299" spans="191:191" x14ac:dyDescent="0.2">
      <c r="GI14299" s="422"/>
    </row>
    <row r="14300" spans="191:191" x14ac:dyDescent="0.2">
      <c r="GI14300" s="422"/>
    </row>
    <row r="14301" spans="191:191" x14ac:dyDescent="0.2">
      <c r="GI14301" s="422"/>
    </row>
    <row r="14302" spans="191:191" x14ac:dyDescent="0.2">
      <c r="GI14302" s="422"/>
    </row>
    <row r="14303" spans="191:191" x14ac:dyDescent="0.2">
      <c r="GI14303" s="422"/>
    </row>
    <row r="14304" spans="191:191" x14ac:dyDescent="0.2">
      <c r="GI14304" s="422"/>
    </row>
    <row r="14305" spans="191:191" x14ac:dyDescent="0.2">
      <c r="GI14305" s="422"/>
    </row>
    <row r="14306" spans="191:191" x14ac:dyDescent="0.2">
      <c r="GI14306" s="422"/>
    </row>
    <row r="14307" spans="191:191" x14ac:dyDescent="0.2">
      <c r="GI14307" s="422"/>
    </row>
    <row r="14308" spans="191:191" x14ac:dyDescent="0.2">
      <c r="GI14308" s="422"/>
    </row>
    <row r="14309" spans="191:191" x14ac:dyDescent="0.2">
      <c r="GI14309" s="422"/>
    </row>
    <row r="14310" spans="191:191" x14ac:dyDescent="0.2">
      <c r="GI14310" s="422"/>
    </row>
    <row r="14311" spans="191:191" x14ac:dyDescent="0.2">
      <c r="GI14311" s="422"/>
    </row>
    <row r="14312" spans="191:191" x14ac:dyDescent="0.2">
      <c r="GI14312" s="422"/>
    </row>
    <row r="14313" spans="191:191" x14ac:dyDescent="0.2">
      <c r="GI14313" s="422"/>
    </row>
    <row r="14314" spans="191:191" x14ac:dyDescent="0.2">
      <c r="GI14314" s="422"/>
    </row>
    <row r="14315" spans="191:191" x14ac:dyDescent="0.2">
      <c r="GI14315" s="422"/>
    </row>
    <row r="14316" spans="191:191" x14ac:dyDescent="0.2">
      <c r="GI14316" s="422"/>
    </row>
    <row r="14317" spans="191:191" x14ac:dyDescent="0.2">
      <c r="GI14317" s="422"/>
    </row>
    <row r="14318" spans="191:191" x14ac:dyDescent="0.2">
      <c r="GI14318" s="422"/>
    </row>
    <row r="14319" spans="191:191" x14ac:dyDescent="0.2">
      <c r="GI14319" s="422"/>
    </row>
    <row r="14320" spans="191:191" x14ac:dyDescent="0.2">
      <c r="GI14320" s="422"/>
    </row>
    <row r="14321" spans="191:191" x14ac:dyDescent="0.2">
      <c r="GI14321" s="422"/>
    </row>
    <row r="14322" spans="191:191" x14ac:dyDescent="0.2">
      <c r="GI14322" s="422"/>
    </row>
    <row r="14323" spans="191:191" x14ac:dyDescent="0.2">
      <c r="GI14323" s="422"/>
    </row>
    <row r="14324" spans="191:191" x14ac:dyDescent="0.2">
      <c r="GI14324" s="422"/>
    </row>
    <row r="14325" spans="191:191" x14ac:dyDescent="0.2">
      <c r="GI14325" s="422"/>
    </row>
    <row r="14326" spans="191:191" x14ac:dyDescent="0.2">
      <c r="GI14326" s="422"/>
    </row>
    <row r="14327" spans="191:191" x14ac:dyDescent="0.2">
      <c r="GI14327" s="422"/>
    </row>
    <row r="14328" spans="191:191" x14ac:dyDescent="0.2">
      <c r="GI14328" s="422"/>
    </row>
    <row r="14329" spans="191:191" x14ac:dyDescent="0.2">
      <c r="GI14329" s="422"/>
    </row>
    <row r="14330" spans="191:191" x14ac:dyDescent="0.2">
      <c r="GI14330" s="422"/>
    </row>
    <row r="14331" spans="191:191" x14ac:dyDescent="0.2">
      <c r="GI14331" s="422"/>
    </row>
    <row r="14332" spans="191:191" x14ac:dyDescent="0.2">
      <c r="GI14332" s="422"/>
    </row>
    <row r="14333" spans="191:191" x14ac:dyDescent="0.2">
      <c r="GI14333" s="422"/>
    </row>
    <row r="14334" spans="191:191" x14ac:dyDescent="0.2">
      <c r="GI14334" s="422"/>
    </row>
    <row r="14335" spans="191:191" x14ac:dyDescent="0.2">
      <c r="GI14335" s="422"/>
    </row>
    <row r="14336" spans="191:191" x14ac:dyDescent="0.2">
      <c r="GI14336" s="422"/>
    </row>
    <row r="14337" spans="191:191" x14ac:dyDescent="0.2">
      <c r="GI14337" s="422"/>
    </row>
    <row r="14338" spans="191:191" x14ac:dyDescent="0.2">
      <c r="GI14338" s="422"/>
    </row>
    <row r="14339" spans="191:191" x14ac:dyDescent="0.2">
      <c r="GI14339" s="422"/>
    </row>
    <row r="14340" spans="191:191" x14ac:dyDescent="0.2">
      <c r="GI14340" s="422"/>
    </row>
    <row r="14341" spans="191:191" x14ac:dyDescent="0.2">
      <c r="GI14341" s="422"/>
    </row>
    <row r="14342" spans="191:191" x14ac:dyDescent="0.2">
      <c r="GI14342" s="422"/>
    </row>
    <row r="14343" spans="191:191" x14ac:dyDescent="0.2">
      <c r="GI14343" s="422"/>
    </row>
    <row r="14344" spans="191:191" x14ac:dyDescent="0.2">
      <c r="GI14344" s="422"/>
    </row>
    <row r="14345" spans="191:191" x14ac:dyDescent="0.2">
      <c r="GI14345" s="422"/>
    </row>
    <row r="14346" spans="191:191" x14ac:dyDescent="0.2">
      <c r="GI14346" s="422"/>
    </row>
    <row r="14347" spans="191:191" x14ac:dyDescent="0.2">
      <c r="GI14347" s="422"/>
    </row>
    <row r="14348" spans="191:191" x14ac:dyDescent="0.2">
      <c r="GI14348" s="422"/>
    </row>
    <row r="14349" spans="191:191" x14ac:dyDescent="0.2">
      <c r="GI14349" s="422"/>
    </row>
    <row r="14350" spans="191:191" x14ac:dyDescent="0.2">
      <c r="GI14350" s="422"/>
    </row>
    <row r="14351" spans="191:191" x14ac:dyDescent="0.2">
      <c r="GI14351" s="422"/>
    </row>
    <row r="14352" spans="191:191" x14ac:dyDescent="0.2">
      <c r="GI14352" s="422"/>
    </row>
    <row r="14353" spans="191:191" x14ac:dyDescent="0.2">
      <c r="GI14353" s="422"/>
    </row>
    <row r="14354" spans="191:191" x14ac:dyDescent="0.2">
      <c r="GI14354" s="422"/>
    </row>
    <row r="14355" spans="191:191" x14ac:dyDescent="0.2">
      <c r="GI14355" s="422"/>
    </row>
    <row r="14356" spans="191:191" x14ac:dyDescent="0.2">
      <c r="GI14356" s="422"/>
    </row>
    <row r="14357" spans="191:191" x14ac:dyDescent="0.2">
      <c r="GI14357" s="422"/>
    </row>
    <row r="14358" spans="191:191" x14ac:dyDescent="0.2">
      <c r="GI14358" s="422"/>
    </row>
    <row r="14359" spans="191:191" x14ac:dyDescent="0.2">
      <c r="GI14359" s="422"/>
    </row>
    <row r="14360" spans="191:191" x14ac:dyDescent="0.2">
      <c r="GI14360" s="422"/>
    </row>
    <row r="14361" spans="191:191" x14ac:dyDescent="0.2">
      <c r="GI14361" s="422"/>
    </row>
    <row r="14362" spans="191:191" x14ac:dyDescent="0.2">
      <c r="GI14362" s="422"/>
    </row>
    <row r="14363" spans="191:191" x14ac:dyDescent="0.2">
      <c r="GI14363" s="422"/>
    </row>
    <row r="14364" spans="191:191" x14ac:dyDescent="0.2">
      <c r="GI14364" s="422"/>
    </row>
    <row r="14365" spans="191:191" x14ac:dyDescent="0.2">
      <c r="GI14365" s="422"/>
    </row>
    <row r="14366" spans="191:191" x14ac:dyDescent="0.2">
      <c r="GI14366" s="422"/>
    </row>
    <row r="14367" spans="191:191" x14ac:dyDescent="0.2">
      <c r="GI14367" s="422"/>
    </row>
    <row r="14368" spans="191:191" x14ac:dyDescent="0.2">
      <c r="GI14368" s="422"/>
    </row>
    <row r="14369" spans="191:191" x14ac:dyDescent="0.2">
      <c r="GI14369" s="422"/>
    </row>
    <row r="14370" spans="191:191" x14ac:dyDescent="0.2">
      <c r="GI14370" s="422"/>
    </row>
    <row r="14371" spans="191:191" x14ac:dyDescent="0.2">
      <c r="GI14371" s="422"/>
    </row>
    <row r="14372" spans="191:191" x14ac:dyDescent="0.2">
      <c r="GI14372" s="422"/>
    </row>
    <row r="14373" spans="191:191" x14ac:dyDescent="0.2">
      <c r="GI14373" s="422"/>
    </row>
    <row r="14374" spans="191:191" x14ac:dyDescent="0.2">
      <c r="GI14374" s="422"/>
    </row>
    <row r="14375" spans="191:191" x14ac:dyDescent="0.2">
      <c r="GI14375" s="422"/>
    </row>
    <row r="14376" spans="191:191" x14ac:dyDescent="0.2">
      <c r="GI14376" s="422"/>
    </row>
    <row r="14377" spans="191:191" x14ac:dyDescent="0.2">
      <c r="GI14377" s="422"/>
    </row>
    <row r="14378" spans="191:191" x14ac:dyDescent="0.2">
      <c r="GI14378" s="422"/>
    </row>
    <row r="14379" spans="191:191" x14ac:dyDescent="0.2">
      <c r="GI14379" s="422"/>
    </row>
    <row r="14380" spans="191:191" x14ac:dyDescent="0.2">
      <c r="GI14380" s="422"/>
    </row>
    <row r="14381" spans="191:191" x14ac:dyDescent="0.2">
      <c r="GI14381" s="422"/>
    </row>
    <row r="14382" spans="191:191" x14ac:dyDescent="0.2">
      <c r="GI14382" s="422"/>
    </row>
    <row r="14383" spans="191:191" x14ac:dyDescent="0.2">
      <c r="GI14383" s="422"/>
    </row>
    <row r="14384" spans="191:191" x14ac:dyDescent="0.2">
      <c r="GI14384" s="422"/>
    </row>
    <row r="14385" spans="191:191" x14ac:dyDescent="0.2">
      <c r="GI14385" s="422"/>
    </row>
    <row r="14386" spans="191:191" x14ac:dyDescent="0.2">
      <c r="GI14386" s="422"/>
    </row>
    <row r="14387" spans="191:191" x14ac:dyDescent="0.2">
      <c r="GI14387" s="422"/>
    </row>
    <row r="14388" spans="191:191" x14ac:dyDescent="0.2">
      <c r="GI14388" s="422"/>
    </row>
    <row r="14389" spans="191:191" x14ac:dyDescent="0.2">
      <c r="GI14389" s="422"/>
    </row>
    <row r="14390" spans="191:191" x14ac:dyDescent="0.2">
      <c r="GI14390" s="422"/>
    </row>
    <row r="14391" spans="191:191" x14ac:dyDescent="0.2">
      <c r="GI14391" s="422"/>
    </row>
    <row r="14392" spans="191:191" x14ac:dyDescent="0.2">
      <c r="GI14392" s="422"/>
    </row>
    <row r="14393" spans="191:191" x14ac:dyDescent="0.2">
      <c r="GI14393" s="422"/>
    </row>
    <row r="14394" spans="191:191" x14ac:dyDescent="0.2">
      <c r="GI14394" s="422"/>
    </row>
    <row r="14395" spans="191:191" x14ac:dyDescent="0.2">
      <c r="GI14395" s="422"/>
    </row>
    <row r="14396" spans="191:191" x14ac:dyDescent="0.2">
      <c r="GI14396" s="422"/>
    </row>
    <row r="14397" spans="191:191" x14ac:dyDescent="0.2">
      <c r="GI14397" s="422"/>
    </row>
    <row r="14398" spans="191:191" x14ac:dyDescent="0.2">
      <c r="GI14398" s="422"/>
    </row>
    <row r="14399" spans="191:191" x14ac:dyDescent="0.2">
      <c r="GI14399" s="422"/>
    </row>
    <row r="14400" spans="191:191" x14ac:dyDescent="0.2">
      <c r="GI14400" s="422"/>
    </row>
    <row r="14401" spans="191:191" x14ac:dyDescent="0.2">
      <c r="GI14401" s="422"/>
    </row>
    <row r="14402" spans="191:191" x14ac:dyDescent="0.2">
      <c r="GI14402" s="422"/>
    </row>
    <row r="14403" spans="191:191" x14ac:dyDescent="0.2">
      <c r="GI14403" s="422"/>
    </row>
    <row r="14404" spans="191:191" x14ac:dyDescent="0.2">
      <c r="GI14404" s="422"/>
    </row>
    <row r="14405" spans="191:191" x14ac:dyDescent="0.2">
      <c r="GI14405" s="422"/>
    </row>
    <row r="14406" spans="191:191" x14ac:dyDescent="0.2">
      <c r="GI14406" s="422"/>
    </row>
    <row r="14407" spans="191:191" x14ac:dyDescent="0.2">
      <c r="GI14407" s="422"/>
    </row>
    <row r="14408" spans="191:191" x14ac:dyDescent="0.2">
      <c r="GI14408" s="422"/>
    </row>
    <row r="14409" spans="191:191" x14ac:dyDescent="0.2">
      <c r="GI14409" s="422"/>
    </row>
    <row r="14410" spans="191:191" x14ac:dyDescent="0.2">
      <c r="GI14410" s="422"/>
    </row>
    <row r="14411" spans="191:191" x14ac:dyDescent="0.2">
      <c r="GI14411" s="422"/>
    </row>
    <row r="14412" spans="191:191" x14ac:dyDescent="0.2">
      <c r="GI14412" s="422"/>
    </row>
    <row r="14413" spans="191:191" x14ac:dyDescent="0.2">
      <c r="GI14413" s="422"/>
    </row>
    <row r="14414" spans="191:191" x14ac:dyDescent="0.2">
      <c r="GI14414" s="422"/>
    </row>
    <row r="14415" spans="191:191" x14ac:dyDescent="0.2">
      <c r="GI14415" s="422"/>
    </row>
    <row r="14416" spans="191:191" x14ac:dyDescent="0.2">
      <c r="GI14416" s="422"/>
    </row>
    <row r="14417" spans="191:191" x14ac:dyDescent="0.2">
      <c r="GI14417" s="422"/>
    </row>
    <row r="14418" spans="191:191" x14ac:dyDescent="0.2">
      <c r="GI14418" s="422"/>
    </row>
    <row r="14419" spans="191:191" x14ac:dyDescent="0.2">
      <c r="GI14419" s="422"/>
    </row>
    <row r="14420" spans="191:191" x14ac:dyDescent="0.2">
      <c r="GI14420" s="422"/>
    </row>
    <row r="14421" spans="191:191" x14ac:dyDescent="0.2">
      <c r="GI14421" s="422"/>
    </row>
    <row r="14422" spans="191:191" x14ac:dyDescent="0.2">
      <c r="GI14422" s="422"/>
    </row>
    <row r="14423" spans="191:191" x14ac:dyDescent="0.2">
      <c r="GI14423" s="422"/>
    </row>
    <row r="14424" spans="191:191" x14ac:dyDescent="0.2">
      <c r="GI14424" s="422"/>
    </row>
    <row r="14425" spans="191:191" x14ac:dyDescent="0.2">
      <c r="GI14425" s="422"/>
    </row>
    <row r="14426" spans="191:191" x14ac:dyDescent="0.2">
      <c r="GI14426" s="422"/>
    </row>
    <row r="14427" spans="191:191" x14ac:dyDescent="0.2">
      <c r="GI14427" s="422"/>
    </row>
    <row r="14428" spans="191:191" x14ac:dyDescent="0.2">
      <c r="GI14428" s="422"/>
    </row>
    <row r="14429" spans="191:191" x14ac:dyDescent="0.2">
      <c r="GI14429" s="422"/>
    </row>
    <row r="14430" spans="191:191" x14ac:dyDescent="0.2">
      <c r="GI14430" s="422"/>
    </row>
    <row r="14431" spans="191:191" x14ac:dyDescent="0.2">
      <c r="GI14431" s="422"/>
    </row>
    <row r="14432" spans="191:191" x14ac:dyDescent="0.2">
      <c r="GI14432" s="422"/>
    </row>
    <row r="14433" spans="191:191" x14ac:dyDescent="0.2">
      <c r="GI14433" s="422"/>
    </row>
    <row r="14434" spans="191:191" x14ac:dyDescent="0.2">
      <c r="GI14434" s="422"/>
    </row>
    <row r="14435" spans="191:191" x14ac:dyDescent="0.2">
      <c r="GI14435" s="422"/>
    </row>
    <row r="14436" spans="191:191" x14ac:dyDescent="0.2">
      <c r="GI14436" s="422"/>
    </row>
    <row r="14437" spans="191:191" x14ac:dyDescent="0.2">
      <c r="GI14437" s="422"/>
    </row>
    <row r="14438" spans="191:191" x14ac:dyDescent="0.2">
      <c r="GI14438" s="422"/>
    </row>
    <row r="14439" spans="191:191" x14ac:dyDescent="0.2">
      <c r="GI14439" s="422"/>
    </row>
    <row r="14440" spans="191:191" x14ac:dyDescent="0.2">
      <c r="GI14440" s="422"/>
    </row>
    <row r="14441" spans="191:191" x14ac:dyDescent="0.2">
      <c r="GI14441" s="422"/>
    </row>
    <row r="14442" spans="191:191" x14ac:dyDescent="0.2">
      <c r="GI14442" s="422"/>
    </row>
    <row r="14443" spans="191:191" x14ac:dyDescent="0.2">
      <c r="GI14443" s="422"/>
    </row>
    <row r="14444" spans="191:191" x14ac:dyDescent="0.2">
      <c r="GI14444" s="422"/>
    </row>
    <row r="14445" spans="191:191" x14ac:dyDescent="0.2">
      <c r="GI14445" s="422"/>
    </row>
    <row r="14446" spans="191:191" x14ac:dyDescent="0.2">
      <c r="GI14446" s="422"/>
    </row>
    <row r="14447" spans="191:191" x14ac:dyDescent="0.2">
      <c r="GI14447" s="422"/>
    </row>
    <row r="14448" spans="191:191" x14ac:dyDescent="0.2">
      <c r="GI14448" s="422"/>
    </row>
    <row r="14449" spans="191:191" x14ac:dyDescent="0.2">
      <c r="GI14449" s="422"/>
    </row>
    <row r="14450" spans="191:191" x14ac:dyDescent="0.2">
      <c r="GI14450" s="422"/>
    </row>
    <row r="14451" spans="191:191" x14ac:dyDescent="0.2">
      <c r="GI14451" s="422"/>
    </row>
    <row r="14452" spans="191:191" x14ac:dyDescent="0.2">
      <c r="GI14452" s="422"/>
    </row>
    <row r="14453" spans="191:191" x14ac:dyDescent="0.2">
      <c r="GI14453" s="422"/>
    </row>
    <row r="14454" spans="191:191" x14ac:dyDescent="0.2">
      <c r="GI14454" s="422"/>
    </row>
    <row r="14455" spans="191:191" x14ac:dyDescent="0.2">
      <c r="GI14455" s="422"/>
    </row>
    <row r="14456" spans="191:191" x14ac:dyDescent="0.2">
      <c r="GI14456" s="422"/>
    </row>
    <row r="14457" spans="191:191" x14ac:dyDescent="0.2">
      <c r="GI14457" s="422"/>
    </row>
    <row r="14458" spans="191:191" x14ac:dyDescent="0.2">
      <c r="GI14458" s="422"/>
    </row>
    <row r="14459" spans="191:191" x14ac:dyDescent="0.2">
      <c r="GI14459" s="422"/>
    </row>
    <row r="14460" spans="191:191" x14ac:dyDescent="0.2">
      <c r="GI14460" s="422"/>
    </row>
    <row r="14461" spans="191:191" x14ac:dyDescent="0.2">
      <c r="GI14461" s="422"/>
    </row>
    <row r="14462" spans="191:191" x14ac:dyDescent="0.2">
      <c r="GI14462" s="422"/>
    </row>
    <row r="14463" spans="191:191" x14ac:dyDescent="0.2">
      <c r="GI14463" s="422"/>
    </row>
    <row r="14464" spans="191:191" x14ac:dyDescent="0.2">
      <c r="GI14464" s="422"/>
    </row>
    <row r="14465" spans="191:191" x14ac:dyDescent="0.2">
      <c r="GI14465" s="422"/>
    </row>
    <row r="14466" spans="191:191" x14ac:dyDescent="0.2">
      <c r="GI14466" s="422"/>
    </row>
    <row r="14467" spans="191:191" x14ac:dyDescent="0.2">
      <c r="GI14467" s="422"/>
    </row>
    <row r="14468" spans="191:191" x14ac:dyDescent="0.2">
      <c r="GI14468" s="422"/>
    </row>
    <row r="14469" spans="191:191" x14ac:dyDescent="0.2">
      <c r="GI14469" s="422"/>
    </row>
    <row r="14470" spans="191:191" x14ac:dyDescent="0.2">
      <c r="GI14470" s="422"/>
    </row>
    <row r="14471" spans="191:191" x14ac:dyDescent="0.2">
      <c r="GI14471" s="422"/>
    </row>
    <row r="14472" spans="191:191" x14ac:dyDescent="0.2">
      <c r="GI14472" s="422"/>
    </row>
    <row r="14473" spans="191:191" x14ac:dyDescent="0.2">
      <c r="GI14473" s="422"/>
    </row>
    <row r="14474" spans="191:191" x14ac:dyDescent="0.2">
      <c r="GI14474" s="422"/>
    </row>
    <row r="14475" spans="191:191" x14ac:dyDescent="0.2">
      <c r="GI14475" s="422"/>
    </row>
    <row r="14476" spans="191:191" x14ac:dyDescent="0.2">
      <c r="GI14476" s="422"/>
    </row>
    <row r="14477" spans="191:191" x14ac:dyDescent="0.2">
      <c r="GI14477" s="422"/>
    </row>
    <row r="14478" spans="191:191" x14ac:dyDescent="0.2">
      <c r="GI14478" s="422"/>
    </row>
    <row r="14479" spans="191:191" x14ac:dyDescent="0.2">
      <c r="GI14479" s="422"/>
    </row>
    <row r="14480" spans="191:191" x14ac:dyDescent="0.2">
      <c r="GI14480" s="422"/>
    </row>
    <row r="14481" spans="191:191" x14ac:dyDescent="0.2">
      <c r="GI14481" s="422"/>
    </row>
    <row r="14482" spans="191:191" x14ac:dyDescent="0.2">
      <c r="GI14482" s="422"/>
    </row>
    <row r="14483" spans="191:191" x14ac:dyDescent="0.2">
      <c r="GI14483" s="422"/>
    </row>
    <row r="14484" spans="191:191" x14ac:dyDescent="0.2">
      <c r="GI14484" s="422"/>
    </row>
    <row r="14485" spans="191:191" x14ac:dyDescent="0.2">
      <c r="GI14485" s="422"/>
    </row>
    <row r="14486" spans="191:191" x14ac:dyDescent="0.2">
      <c r="GI14486" s="422"/>
    </row>
    <row r="14487" spans="191:191" x14ac:dyDescent="0.2">
      <c r="GI14487" s="422"/>
    </row>
    <row r="14488" spans="191:191" x14ac:dyDescent="0.2">
      <c r="GI14488" s="422"/>
    </row>
    <row r="14489" spans="191:191" x14ac:dyDescent="0.2">
      <c r="GI14489" s="422"/>
    </row>
    <row r="14490" spans="191:191" x14ac:dyDescent="0.2">
      <c r="GI14490" s="422"/>
    </row>
    <row r="14491" spans="191:191" x14ac:dyDescent="0.2">
      <c r="GI14491" s="422"/>
    </row>
    <row r="14492" spans="191:191" x14ac:dyDescent="0.2">
      <c r="GI14492" s="422"/>
    </row>
    <row r="14493" spans="191:191" x14ac:dyDescent="0.2">
      <c r="GI14493" s="422"/>
    </row>
    <row r="14494" spans="191:191" x14ac:dyDescent="0.2">
      <c r="GI14494" s="422"/>
    </row>
    <row r="14495" spans="191:191" x14ac:dyDescent="0.2">
      <c r="GI14495" s="422"/>
    </row>
    <row r="14496" spans="191:191" x14ac:dyDescent="0.2">
      <c r="GI14496" s="422"/>
    </row>
    <row r="14497" spans="191:191" x14ac:dyDescent="0.2">
      <c r="GI14497" s="422"/>
    </row>
    <row r="14498" spans="191:191" x14ac:dyDescent="0.2">
      <c r="GI14498" s="422"/>
    </row>
    <row r="14499" spans="191:191" x14ac:dyDescent="0.2">
      <c r="GI14499" s="422"/>
    </row>
    <row r="14500" spans="191:191" x14ac:dyDescent="0.2">
      <c r="GI14500" s="422"/>
    </row>
    <row r="14501" spans="191:191" x14ac:dyDescent="0.2">
      <c r="GI14501" s="422"/>
    </row>
    <row r="14502" spans="191:191" x14ac:dyDescent="0.2">
      <c r="GI14502" s="422"/>
    </row>
    <row r="14503" spans="191:191" x14ac:dyDescent="0.2">
      <c r="GI14503" s="422"/>
    </row>
    <row r="14504" spans="191:191" x14ac:dyDescent="0.2">
      <c r="GI14504" s="422"/>
    </row>
    <row r="14505" spans="191:191" x14ac:dyDescent="0.2">
      <c r="GI14505" s="422"/>
    </row>
    <row r="14506" spans="191:191" x14ac:dyDescent="0.2">
      <c r="GI14506" s="422"/>
    </row>
    <row r="14507" spans="191:191" x14ac:dyDescent="0.2">
      <c r="GI14507" s="422"/>
    </row>
    <row r="14508" spans="191:191" x14ac:dyDescent="0.2">
      <c r="GI14508" s="422"/>
    </row>
    <row r="14509" spans="191:191" x14ac:dyDescent="0.2">
      <c r="GI14509" s="422"/>
    </row>
    <row r="14510" spans="191:191" x14ac:dyDescent="0.2">
      <c r="GI14510" s="422"/>
    </row>
    <row r="14511" spans="191:191" x14ac:dyDescent="0.2">
      <c r="GI14511" s="422"/>
    </row>
    <row r="14512" spans="191:191" x14ac:dyDescent="0.2">
      <c r="GI14512" s="422"/>
    </row>
    <row r="14513" spans="191:191" x14ac:dyDescent="0.2">
      <c r="GI14513" s="422"/>
    </row>
    <row r="14514" spans="191:191" x14ac:dyDescent="0.2">
      <c r="GI14514" s="422"/>
    </row>
    <row r="14515" spans="191:191" x14ac:dyDescent="0.2">
      <c r="GI14515" s="422"/>
    </row>
    <row r="14516" spans="191:191" x14ac:dyDescent="0.2">
      <c r="GI14516" s="422"/>
    </row>
    <row r="14517" spans="191:191" x14ac:dyDescent="0.2">
      <c r="GI14517" s="422"/>
    </row>
    <row r="14518" spans="191:191" x14ac:dyDescent="0.2">
      <c r="GI14518" s="422"/>
    </row>
    <row r="14519" spans="191:191" x14ac:dyDescent="0.2">
      <c r="GI14519" s="422"/>
    </row>
    <row r="14520" spans="191:191" x14ac:dyDescent="0.2">
      <c r="GI14520" s="422"/>
    </row>
    <row r="14521" spans="191:191" x14ac:dyDescent="0.2">
      <c r="GI14521" s="422"/>
    </row>
    <row r="14522" spans="191:191" x14ac:dyDescent="0.2">
      <c r="GI14522" s="422"/>
    </row>
    <row r="14523" spans="191:191" x14ac:dyDescent="0.2">
      <c r="GI14523" s="422"/>
    </row>
    <row r="14524" spans="191:191" x14ac:dyDescent="0.2">
      <c r="GI14524" s="422"/>
    </row>
    <row r="14525" spans="191:191" x14ac:dyDescent="0.2">
      <c r="GI14525" s="422"/>
    </row>
    <row r="14526" spans="191:191" x14ac:dyDescent="0.2">
      <c r="GI14526" s="422"/>
    </row>
    <row r="14527" spans="191:191" x14ac:dyDescent="0.2">
      <c r="GI14527" s="422"/>
    </row>
    <row r="14528" spans="191:191" x14ac:dyDescent="0.2">
      <c r="GI14528" s="422"/>
    </row>
    <row r="14529" spans="191:191" x14ac:dyDescent="0.2">
      <c r="GI14529" s="422"/>
    </row>
    <row r="14530" spans="191:191" x14ac:dyDescent="0.2">
      <c r="GI14530" s="422"/>
    </row>
    <row r="14531" spans="191:191" x14ac:dyDescent="0.2">
      <c r="GI14531" s="422"/>
    </row>
    <row r="14532" spans="191:191" x14ac:dyDescent="0.2">
      <c r="GI14532" s="422"/>
    </row>
    <row r="14533" spans="191:191" x14ac:dyDescent="0.2">
      <c r="GI14533" s="422"/>
    </row>
    <row r="14534" spans="191:191" x14ac:dyDescent="0.2">
      <c r="GI14534" s="422"/>
    </row>
    <row r="14535" spans="191:191" x14ac:dyDescent="0.2">
      <c r="GI14535" s="422"/>
    </row>
    <row r="14536" spans="191:191" x14ac:dyDescent="0.2">
      <c r="GI14536" s="422"/>
    </row>
    <row r="14537" spans="191:191" x14ac:dyDescent="0.2">
      <c r="GI14537" s="422"/>
    </row>
    <row r="14538" spans="191:191" x14ac:dyDescent="0.2">
      <c r="GI14538" s="422"/>
    </row>
    <row r="14539" spans="191:191" x14ac:dyDescent="0.2">
      <c r="GI14539" s="422"/>
    </row>
    <row r="14540" spans="191:191" x14ac:dyDescent="0.2">
      <c r="GI14540" s="422"/>
    </row>
    <row r="14541" spans="191:191" x14ac:dyDescent="0.2">
      <c r="GI14541" s="422"/>
    </row>
    <row r="14542" spans="191:191" x14ac:dyDescent="0.2">
      <c r="GI14542" s="422"/>
    </row>
    <row r="14543" spans="191:191" x14ac:dyDescent="0.2">
      <c r="GI14543" s="422"/>
    </row>
    <row r="14544" spans="191:191" x14ac:dyDescent="0.2">
      <c r="GI14544" s="422"/>
    </row>
    <row r="14545" spans="191:191" x14ac:dyDescent="0.2">
      <c r="GI14545" s="422"/>
    </row>
    <row r="14546" spans="191:191" x14ac:dyDescent="0.2">
      <c r="GI14546" s="422"/>
    </row>
    <row r="14547" spans="191:191" x14ac:dyDescent="0.2">
      <c r="GI14547" s="422"/>
    </row>
    <row r="14548" spans="191:191" x14ac:dyDescent="0.2">
      <c r="GI14548" s="422"/>
    </row>
    <row r="14549" spans="191:191" x14ac:dyDescent="0.2">
      <c r="GI14549" s="422"/>
    </row>
    <row r="14550" spans="191:191" x14ac:dyDescent="0.2">
      <c r="GI14550" s="422"/>
    </row>
    <row r="14551" spans="191:191" x14ac:dyDescent="0.2">
      <c r="GI14551" s="422"/>
    </row>
    <row r="14552" spans="191:191" x14ac:dyDescent="0.2">
      <c r="GI14552" s="422"/>
    </row>
    <row r="14553" spans="191:191" x14ac:dyDescent="0.2">
      <c r="GI14553" s="422"/>
    </row>
    <row r="14554" spans="191:191" x14ac:dyDescent="0.2">
      <c r="GI14554" s="422"/>
    </row>
    <row r="14555" spans="191:191" x14ac:dyDescent="0.2">
      <c r="GI14555" s="422"/>
    </row>
    <row r="14556" spans="191:191" x14ac:dyDescent="0.2">
      <c r="GI14556" s="422"/>
    </row>
    <row r="14557" spans="191:191" x14ac:dyDescent="0.2">
      <c r="GI14557" s="422"/>
    </row>
    <row r="14558" spans="191:191" x14ac:dyDescent="0.2">
      <c r="GI14558" s="422"/>
    </row>
    <row r="14559" spans="191:191" x14ac:dyDescent="0.2">
      <c r="GI14559" s="422"/>
    </row>
    <row r="14560" spans="191:191" x14ac:dyDescent="0.2">
      <c r="GI14560" s="422"/>
    </row>
    <row r="14561" spans="191:191" x14ac:dyDescent="0.2">
      <c r="GI14561" s="422"/>
    </row>
    <row r="14562" spans="191:191" x14ac:dyDescent="0.2">
      <c r="GI14562" s="422"/>
    </row>
    <row r="14563" spans="191:191" x14ac:dyDescent="0.2">
      <c r="GI14563" s="422"/>
    </row>
    <row r="14564" spans="191:191" x14ac:dyDescent="0.2">
      <c r="GI14564" s="422"/>
    </row>
    <row r="14565" spans="191:191" x14ac:dyDescent="0.2">
      <c r="GI14565" s="422"/>
    </row>
    <row r="14566" spans="191:191" x14ac:dyDescent="0.2">
      <c r="GI14566" s="422"/>
    </row>
    <row r="14567" spans="191:191" x14ac:dyDescent="0.2">
      <c r="GI14567" s="422"/>
    </row>
    <row r="14568" spans="191:191" x14ac:dyDescent="0.2">
      <c r="GI14568" s="422"/>
    </row>
    <row r="14569" spans="191:191" x14ac:dyDescent="0.2">
      <c r="GI14569" s="422"/>
    </row>
    <row r="14570" spans="191:191" x14ac:dyDescent="0.2">
      <c r="GI14570" s="422"/>
    </row>
    <row r="14571" spans="191:191" x14ac:dyDescent="0.2">
      <c r="GI14571" s="422"/>
    </row>
    <row r="14572" spans="191:191" x14ac:dyDescent="0.2">
      <c r="GI14572" s="422"/>
    </row>
    <row r="14573" spans="191:191" x14ac:dyDescent="0.2">
      <c r="GI14573" s="422"/>
    </row>
    <row r="14574" spans="191:191" x14ac:dyDescent="0.2">
      <c r="GI14574" s="422"/>
    </row>
    <row r="14575" spans="191:191" x14ac:dyDescent="0.2">
      <c r="GI14575" s="422"/>
    </row>
    <row r="14576" spans="191:191" x14ac:dyDescent="0.2">
      <c r="GI14576" s="422"/>
    </row>
    <row r="14577" spans="191:191" x14ac:dyDescent="0.2">
      <c r="GI14577" s="422"/>
    </row>
    <row r="14578" spans="191:191" x14ac:dyDescent="0.2">
      <c r="GI14578" s="422"/>
    </row>
    <row r="14579" spans="191:191" x14ac:dyDescent="0.2">
      <c r="GI14579" s="422"/>
    </row>
    <row r="14580" spans="191:191" x14ac:dyDescent="0.2">
      <c r="GI14580" s="422"/>
    </row>
    <row r="14581" spans="191:191" x14ac:dyDescent="0.2">
      <c r="GI14581" s="422"/>
    </row>
    <row r="14582" spans="191:191" x14ac:dyDescent="0.2">
      <c r="GI14582" s="422"/>
    </row>
    <row r="14583" spans="191:191" x14ac:dyDescent="0.2">
      <c r="GI14583" s="422"/>
    </row>
    <row r="14584" spans="191:191" x14ac:dyDescent="0.2">
      <c r="GI14584" s="422"/>
    </row>
    <row r="14585" spans="191:191" x14ac:dyDescent="0.2">
      <c r="GI14585" s="422"/>
    </row>
    <row r="14586" spans="191:191" x14ac:dyDescent="0.2">
      <c r="GI14586" s="422"/>
    </row>
    <row r="14587" spans="191:191" x14ac:dyDescent="0.2">
      <c r="GI14587" s="422"/>
    </row>
    <row r="14588" spans="191:191" x14ac:dyDescent="0.2">
      <c r="GI14588" s="422"/>
    </row>
    <row r="14589" spans="191:191" x14ac:dyDescent="0.2">
      <c r="GI14589" s="422"/>
    </row>
    <row r="14590" spans="191:191" x14ac:dyDescent="0.2">
      <c r="GI14590" s="422"/>
    </row>
    <row r="14591" spans="191:191" x14ac:dyDescent="0.2">
      <c r="GI14591" s="422"/>
    </row>
    <row r="14592" spans="191:191" x14ac:dyDescent="0.2">
      <c r="GI14592" s="422"/>
    </row>
    <row r="14593" spans="191:191" x14ac:dyDescent="0.2">
      <c r="GI14593" s="422"/>
    </row>
    <row r="14594" spans="191:191" x14ac:dyDescent="0.2">
      <c r="GI14594" s="422"/>
    </row>
    <row r="14595" spans="191:191" x14ac:dyDescent="0.2">
      <c r="GI14595" s="422"/>
    </row>
    <row r="14596" spans="191:191" x14ac:dyDescent="0.2">
      <c r="GI14596" s="422"/>
    </row>
    <row r="14597" spans="191:191" x14ac:dyDescent="0.2">
      <c r="GI14597" s="422"/>
    </row>
    <row r="14598" spans="191:191" x14ac:dyDescent="0.2">
      <c r="GI14598" s="422"/>
    </row>
    <row r="14599" spans="191:191" x14ac:dyDescent="0.2">
      <c r="GI14599" s="422"/>
    </row>
    <row r="14600" spans="191:191" x14ac:dyDescent="0.2">
      <c r="GI14600" s="422"/>
    </row>
    <row r="14601" spans="191:191" x14ac:dyDescent="0.2">
      <c r="GI14601" s="422"/>
    </row>
    <row r="14602" spans="191:191" x14ac:dyDescent="0.2">
      <c r="GI14602" s="422"/>
    </row>
    <row r="14603" spans="191:191" x14ac:dyDescent="0.2">
      <c r="GI14603" s="422"/>
    </row>
    <row r="14604" spans="191:191" x14ac:dyDescent="0.2">
      <c r="GI14604" s="422"/>
    </row>
    <row r="14605" spans="191:191" x14ac:dyDescent="0.2">
      <c r="GI14605" s="422"/>
    </row>
    <row r="14606" spans="191:191" x14ac:dyDescent="0.2">
      <c r="GI14606" s="422"/>
    </row>
    <row r="14607" spans="191:191" x14ac:dyDescent="0.2">
      <c r="GI14607" s="422"/>
    </row>
    <row r="14608" spans="191:191" x14ac:dyDescent="0.2">
      <c r="GI14608" s="422"/>
    </row>
    <row r="14609" spans="191:191" x14ac:dyDescent="0.2">
      <c r="GI14609" s="422"/>
    </row>
    <row r="14610" spans="191:191" x14ac:dyDescent="0.2">
      <c r="GI14610" s="422"/>
    </row>
    <row r="14611" spans="191:191" x14ac:dyDescent="0.2">
      <c r="GI14611" s="422"/>
    </row>
    <row r="14612" spans="191:191" x14ac:dyDescent="0.2">
      <c r="GI14612" s="422"/>
    </row>
    <row r="14613" spans="191:191" x14ac:dyDescent="0.2">
      <c r="GI14613" s="422"/>
    </row>
    <row r="14614" spans="191:191" x14ac:dyDescent="0.2">
      <c r="GI14614" s="422"/>
    </row>
    <row r="14615" spans="191:191" x14ac:dyDescent="0.2">
      <c r="GI14615" s="422"/>
    </row>
    <row r="14616" spans="191:191" x14ac:dyDescent="0.2">
      <c r="GI14616" s="422"/>
    </row>
    <row r="14617" spans="191:191" x14ac:dyDescent="0.2">
      <c r="GI14617" s="422"/>
    </row>
    <row r="14618" spans="191:191" x14ac:dyDescent="0.2">
      <c r="GI14618" s="422"/>
    </row>
    <row r="14619" spans="191:191" x14ac:dyDescent="0.2">
      <c r="GI14619" s="422"/>
    </row>
    <row r="14620" spans="191:191" x14ac:dyDescent="0.2">
      <c r="GI14620" s="422"/>
    </row>
    <row r="14621" spans="191:191" x14ac:dyDescent="0.2">
      <c r="GI14621" s="422"/>
    </row>
    <row r="14622" spans="191:191" x14ac:dyDescent="0.2">
      <c r="GI14622" s="422"/>
    </row>
    <row r="14623" spans="191:191" x14ac:dyDescent="0.2">
      <c r="GI14623" s="422"/>
    </row>
    <row r="14624" spans="191:191" x14ac:dyDescent="0.2">
      <c r="GI14624" s="422"/>
    </row>
    <row r="14625" spans="191:191" x14ac:dyDescent="0.2">
      <c r="GI14625" s="422"/>
    </row>
    <row r="14626" spans="191:191" x14ac:dyDescent="0.2">
      <c r="GI14626" s="422"/>
    </row>
    <row r="14627" spans="191:191" x14ac:dyDescent="0.2">
      <c r="GI14627" s="422"/>
    </row>
    <row r="14628" spans="191:191" x14ac:dyDescent="0.2">
      <c r="GI14628" s="422"/>
    </row>
    <row r="14629" spans="191:191" x14ac:dyDescent="0.2">
      <c r="GI14629" s="422"/>
    </row>
    <row r="14630" spans="191:191" x14ac:dyDescent="0.2">
      <c r="GI14630" s="422"/>
    </row>
    <row r="14631" spans="191:191" x14ac:dyDescent="0.2">
      <c r="GI14631" s="422"/>
    </row>
    <row r="14632" spans="191:191" x14ac:dyDescent="0.2">
      <c r="GI14632" s="422"/>
    </row>
    <row r="14633" spans="191:191" x14ac:dyDescent="0.2">
      <c r="GI14633" s="422"/>
    </row>
    <row r="14634" spans="191:191" x14ac:dyDescent="0.2">
      <c r="GI14634" s="422"/>
    </row>
    <row r="14635" spans="191:191" x14ac:dyDescent="0.2">
      <c r="GI14635" s="422"/>
    </row>
    <row r="14636" spans="191:191" x14ac:dyDescent="0.2">
      <c r="GI14636" s="422"/>
    </row>
    <row r="14637" spans="191:191" x14ac:dyDescent="0.2">
      <c r="GI14637" s="422"/>
    </row>
    <row r="14638" spans="191:191" x14ac:dyDescent="0.2">
      <c r="GI14638" s="422"/>
    </row>
    <row r="14639" spans="191:191" x14ac:dyDescent="0.2">
      <c r="GI14639" s="422"/>
    </row>
    <row r="14640" spans="191:191" x14ac:dyDescent="0.2">
      <c r="GI14640" s="422"/>
    </row>
    <row r="14641" spans="191:191" x14ac:dyDescent="0.2">
      <c r="GI14641" s="422"/>
    </row>
    <row r="14642" spans="191:191" x14ac:dyDescent="0.2">
      <c r="GI14642" s="422"/>
    </row>
    <row r="14643" spans="191:191" x14ac:dyDescent="0.2">
      <c r="GI14643" s="422"/>
    </row>
    <row r="14644" spans="191:191" x14ac:dyDescent="0.2">
      <c r="GI14644" s="422"/>
    </row>
    <row r="14645" spans="191:191" x14ac:dyDescent="0.2">
      <c r="GI14645" s="422"/>
    </row>
    <row r="14646" spans="191:191" x14ac:dyDescent="0.2">
      <c r="GI14646" s="422"/>
    </row>
    <row r="14647" spans="191:191" x14ac:dyDescent="0.2">
      <c r="GI14647" s="422"/>
    </row>
    <row r="14648" spans="191:191" x14ac:dyDescent="0.2">
      <c r="GI14648" s="422"/>
    </row>
    <row r="14649" spans="191:191" x14ac:dyDescent="0.2">
      <c r="GI14649" s="422"/>
    </row>
    <row r="14650" spans="191:191" x14ac:dyDescent="0.2">
      <c r="GI14650" s="422"/>
    </row>
    <row r="14651" spans="191:191" x14ac:dyDescent="0.2">
      <c r="GI14651" s="422"/>
    </row>
    <row r="14652" spans="191:191" x14ac:dyDescent="0.2">
      <c r="GI14652" s="422"/>
    </row>
    <row r="14653" spans="191:191" x14ac:dyDescent="0.2">
      <c r="GI14653" s="422"/>
    </row>
    <row r="14654" spans="191:191" x14ac:dyDescent="0.2">
      <c r="GI14654" s="422"/>
    </row>
    <row r="14655" spans="191:191" x14ac:dyDescent="0.2">
      <c r="GI14655" s="422"/>
    </row>
    <row r="14656" spans="191:191" x14ac:dyDescent="0.2">
      <c r="GI14656" s="422"/>
    </row>
    <row r="14657" spans="191:191" x14ac:dyDescent="0.2">
      <c r="GI14657" s="422"/>
    </row>
    <row r="14658" spans="191:191" x14ac:dyDescent="0.2">
      <c r="GI14658" s="422"/>
    </row>
    <row r="14659" spans="191:191" x14ac:dyDescent="0.2">
      <c r="GI14659" s="422"/>
    </row>
    <row r="14660" spans="191:191" x14ac:dyDescent="0.2">
      <c r="GI14660" s="422"/>
    </row>
    <row r="14661" spans="191:191" x14ac:dyDescent="0.2">
      <c r="GI14661" s="422"/>
    </row>
    <row r="14662" spans="191:191" x14ac:dyDescent="0.2">
      <c r="GI14662" s="422"/>
    </row>
    <row r="14663" spans="191:191" x14ac:dyDescent="0.2">
      <c r="GI14663" s="422"/>
    </row>
    <row r="14664" spans="191:191" x14ac:dyDescent="0.2">
      <c r="GI14664" s="422"/>
    </row>
    <row r="14665" spans="191:191" x14ac:dyDescent="0.2">
      <c r="GI14665" s="422"/>
    </row>
    <row r="14666" spans="191:191" x14ac:dyDescent="0.2">
      <c r="GI14666" s="422"/>
    </row>
    <row r="14667" spans="191:191" x14ac:dyDescent="0.2">
      <c r="GI14667" s="422"/>
    </row>
    <row r="14668" spans="191:191" x14ac:dyDescent="0.2">
      <c r="GI14668" s="422"/>
    </row>
    <row r="14669" spans="191:191" x14ac:dyDescent="0.2">
      <c r="GI14669" s="422"/>
    </row>
    <row r="14670" spans="191:191" x14ac:dyDescent="0.2">
      <c r="GI14670" s="422"/>
    </row>
    <row r="14671" spans="191:191" x14ac:dyDescent="0.2">
      <c r="GI14671" s="422"/>
    </row>
    <row r="14672" spans="191:191" x14ac:dyDescent="0.2">
      <c r="GI14672" s="422"/>
    </row>
    <row r="14673" spans="191:191" x14ac:dyDescent="0.2">
      <c r="GI14673" s="422"/>
    </row>
    <row r="14674" spans="191:191" x14ac:dyDescent="0.2">
      <c r="GI14674" s="422"/>
    </row>
    <row r="14675" spans="191:191" x14ac:dyDescent="0.2">
      <c r="GI14675" s="422"/>
    </row>
    <row r="14676" spans="191:191" x14ac:dyDescent="0.2">
      <c r="GI14676" s="422"/>
    </row>
    <row r="14677" spans="191:191" x14ac:dyDescent="0.2">
      <c r="GI14677" s="422"/>
    </row>
    <row r="14678" spans="191:191" x14ac:dyDescent="0.2">
      <c r="GI14678" s="422"/>
    </row>
    <row r="14679" spans="191:191" x14ac:dyDescent="0.2">
      <c r="GI14679" s="422"/>
    </row>
    <row r="14680" spans="191:191" x14ac:dyDescent="0.2">
      <c r="GI14680" s="422"/>
    </row>
    <row r="14681" spans="191:191" x14ac:dyDescent="0.2">
      <c r="GI14681" s="422"/>
    </row>
    <row r="14682" spans="191:191" x14ac:dyDescent="0.2">
      <c r="GI14682" s="422"/>
    </row>
    <row r="14683" spans="191:191" x14ac:dyDescent="0.2">
      <c r="GI14683" s="422"/>
    </row>
    <row r="14684" spans="191:191" x14ac:dyDescent="0.2">
      <c r="GI14684" s="422"/>
    </row>
    <row r="14685" spans="191:191" x14ac:dyDescent="0.2">
      <c r="GI14685" s="422"/>
    </row>
    <row r="14686" spans="191:191" x14ac:dyDescent="0.2">
      <c r="GI14686" s="422"/>
    </row>
    <row r="14687" spans="191:191" x14ac:dyDescent="0.2">
      <c r="GI14687" s="422"/>
    </row>
    <row r="14688" spans="191:191" x14ac:dyDescent="0.2">
      <c r="GI14688" s="422"/>
    </row>
    <row r="14689" spans="191:191" x14ac:dyDescent="0.2">
      <c r="GI14689" s="422"/>
    </row>
    <row r="14690" spans="191:191" x14ac:dyDescent="0.2">
      <c r="GI14690" s="422"/>
    </row>
    <row r="14691" spans="191:191" x14ac:dyDescent="0.2">
      <c r="GI14691" s="422"/>
    </row>
    <row r="14692" spans="191:191" x14ac:dyDescent="0.2">
      <c r="GI14692" s="422"/>
    </row>
    <row r="14693" spans="191:191" x14ac:dyDescent="0.2">
      <c r="GI14693" s="422"/>
    </row>
    <row r="14694" spans="191:191" x14ac:dyDescent="0.2">
      <c r="GI14694" s="422"/>
    </row>
    <row r="14695" spans="191:191" x14ac:dyDescent="0.2">
      <c r="GI14695" s="422"/>
    </row>
    <row r="14696" spans="191:191" x14ac:dyDescent="0.2">
      <c r="GI14696" s="422"/>
    </row>
    <row r="14697" spans="191:191" x14ac:dyDescent="0.2">
      <c r="GI14697" s="422"/>
    </row>
    <row r="14698" spans="191:191" x14ac:dyDescent="0.2">
      <c r="GI14698" s="422"/>
    </row>
    <row r="14699" spans="191:191" x14ac:dyDescent="0.2">
      <c r="GI14699" s="422"/>
    </row>
    <row r="14700" spans="191:191" x14ac:dyDescent="0.2">
      <c r="GI14700" s="422"/>
    </row>
    <row r="14701" spans="191:191" x14ac:dyDescent="0.2">
      <c r="GI14701" s="422"/>
    </row>
    <row r="14702" spans="191:191" x14ac:dyDescent="0.2">
      <c r="GI14702" s="422"/>
    </row>
    <row r="14703" spans="191:191" x14ac:dyDescent="0.2">
      <c r="GI14703" s="422"/>
    </row>
    <row r="14704" spans="191:191" x14ac:dyDescent="0.2">
      <c r="GI14704" s="422"/>
    </row>
    <row r="14705" spans="191:191" x14ac:dyDescent="0.2">
      <c r="GI14705" s="422"/>
    </row>
    <row r="14706" spans="191:191" x14ac:dyDescent="0.2">
      <c r="GI14706" s="422"/>
    </row>
    <row r="14707" spans="191:191" x14ac:dyDescent="0.2">
      <c r="GI14707" s="422"/>
    </row>
    <row r="14708" spans="191:191" x14ac:dyDescent="0.2">
      <c r="GI14708" s="422"/>
    </row>
    <row r="14709" spans="191:191" x14ac:dyDescent="0.2">
      <c r="GI14709" s="422"/>
    </row>
    <row r="14710" spans="191:191" x14ac:dyDescent="0.2">
      <c r="GI14710" s="422"/>
    </row>
    <row r="14711" spans="191:191" x14ac:dyDescent="0.2">
      <c r="GI14711" s="422"/>
    </row>
    <row r="14712" spans="191:191" x14ac:dyDescent="0.2">
      <c r="GI14712" s="422"/>
    </row>
    <row r="14713" spans="191:191" x14ac:dyDescent="0.2">
      <c r="GI14713" s="422"/>
    </row>
    <row r="14714" spans="191:191" x14ac:dyDescent="0.2">
      <c r="GI14714" s="422"/>
    </row>
    <row r="14715" spans="191:191" x14ac:dyDescent="0.2">
      <c r="GI14715" s="422"/>
    </row>
    <row r="14716" spans="191:191" x14ac:dyDescent="0.2">
      <c r="GI14716" s="422"/>
    </row>
    <row r="14717" spans="191:191" x14ac:dyDescent="0.2">
      <c r="GI14717" s="422"/>
    </row>
    <row r="14718" spans="191:191" x14ac:dyDescent="0.2">
      <c r="GI14718" s="422"/>
    </row>
    <row r="14719" spans="191:191" x14ac:dyDescent="0.2">
      <c r="GI14719" s="422"/>
    </row>
    <row r="14720" spans="191:191" x14ac:dyDescent="0.2">
      <c r="GI14720" s="422"/>
    </row>
    <row r="14721" spans="191:191" x14ac:dyDescent="0.2">
      <c r="GI14721" s="422"/>
    </row>
    <row r="14722" spans="191:191" x14ac:dyDescent="0.2">
      <c r="GI14722" s="422"/>
    </row>
    <row r="14723" spans="191:191" x14ac:dyDescent="0.2">
      <c r="GI14723" s="422"/>
    </row>
    <row r="14724" spans="191:191" x14ac:dyDescent="0.2">
      <c r="GI14724" s="422"/>
    </row>
    <row r="14725" spans="191:191" x14ac:dyDescent="0.2">
      <c r="GI14725" s="422"/>
    </row>
    <row r="14726" spans="191:191" x14ac:dyDescent="0.2">
      <c r="GI14726" s="422"/>
    </row>
    <row r="14727" spans="191:191" x14ac:dyDescent="0.2">
      <c r="GI14727" s="422"/>
    </row>
    <row r="14728" spans="191:191" x14ac:dyDescent="0.2">
      <c r="GI14728" s="422"/>
    </row>
    <row r="14729" spans="191:191" x14ac:dyDescent="0.2">
      <c r="GI14729" s="422"/>
    </row>
    <row r="14730" spans="191:191" x14ac:dyDescent="0.2">
      <c r="GI14730" s="422"/>
    </row>
    <row r="14731" spans="191:191" x14ac:dyDescent="0.2">
      <c r="GI14731" s="422"/>
    </row>
    <row r="14732" spans="191:191" x14ac:dyDescent="0.2">
      <c r="GI14732" s="422"/>
    </row>
    <row r="14733" spans="191:191" x14ac:dyDescent="0.2">
      <c r="GI14733" s="422"/>
    </row>
    <row r="14734" spans="191:191" x14ac:dyDescent="0.2">
      <c r="GI14734" s="422"/>
    </row>
    <row r="14735" spans="191:191" x14ac:dyDescent="0.2">
      <c r="GI14735" s="422"/>
    </row>
    <row r="14736" spans="191:191" x14ac:dyDescent="0.2">
      <c r="GI14736" s="422"/>
    </row>
    <row r="14737" spans="191:191" x14ac:dyDescent="0.2">
      <c r="GI14737" s="422"/>
    </row>
    <row r="14738" spans="191:191" x14ac:dyDescent="0.2">
      <c r="GI14738" s="422"/>
    </row>
    <row r="14739" spans="191:191" x14ac:dyDescent="0.2">
      <c r="GI14739" s="422"/>
    </row>
    <row r="14740" spans="191:191" x14ac:dyDescent="0.2">
      <c r="GI14740" s="422"/>
    </row>
    <row r="14741" spans="191:191" x14ac:dyDescent="0.2">
      <c r="GI14741" s="422"/>
    </row>
    <row r="14742" spans="191:191" x14ac:dyDescent="0.2">
      <c r="GI14742" s="422"/>
    </row>
    <row r="14743" spans="191:191" x14ac:dyDescent="0.2">
      <c r="GI14743" s="422"/>
    </row>
    <row r="14744" spans="191:191" x14ac:dyDescent="0.2">
      <c r="GI14744" s="422"/>
    </row>
    <row r="14745" spans="191:191" x14ac:dyDescent="0.2">
      <c r="GI14745" s="422"/>
    </row>
    <row r="14746" spans="191:191" x14ac:dyDescent="0.2">
      <c r="GI14746" s="422"/>
    </row>
    <row r="14747" spans="191:191" x14ac:dyDescent="0.2">
      <c r="GI14747" s="422"/>
    </row>
    <row r="14748" spans="191:191" x14ac:dyDescent="0.2">
      <c r="GI14748" s="422"/>
    </row>
    <row r="14749" spans="191:191" x14ac:dyDescent="0.2">
      <c r="GI14749" s="422"/>
    </row>
    <row r="14750" spans="191:191" x14ac:dyDescent="0.2">
      <c r="GI14750" s="422"/>
    </row>
    <row r="14751" spans="191:191" x14ac:dyDescent="0.2">
      <c r="GI14751" s="422"/>
    </row>
    <row r="14752" spans="191:191" x14ac:dyDescent="0.2">
      <c r="GI14752" s="422"/>
    </row>
    <row r="14753" spans="191:191" x14ac:dyDescent="0.2">
      <c r="GI14753" s="422"/>
    </row>
    <row r="14754" spans="191:191" x14ac:dyDescent="0.2">
      <c r="GI14754" s="422"/>
    </row>
    <row r="14755" spans="191:191" x14ac:dyDescent="0.2">
      <c r="GI14755" s="422"/>
    </row>
    <row r="14756" spans="191:191" x14ac:dyDescent="0.2">
      <c r="GI14756" s="422"/>
    </row>
    <row r="14757" spans="191:191" x14ac:dyDescent="0.2">
      <c r="GI14757" s="422"/>
    </row>
    <row r="14758" spans="191:191" x14ac:dyDescent="0.2">
      <c r="GI14758" s="422"/>
    </row>
    <row r="14759" spans="191:191" x14ac:dyDescent="0.2">
      <c r="GI14759" s="422"/>
    </row>
    <row r="14760" spans="191:191" x14ac:dyDescent="0.2">
      <c r="GI14760" s="422"/>
    </row>
    <row r="14761" spans="191:191" x14ac:dyDescent="0.2">
      <c r="GI14761" s="422"/>
    </row>
    <row r="14762" spans="191:191" x14ac:dyDescent="0.2">
      <c r="GI14762" s="422"/>
    </row>
    <row r="14763" spans="191:191" x14ac:dyDescent="0.2">
      <c r="GI14763" s="422"/>
    </row>
    <row r="14764" spans="191:191" x14ac:dyDescent="0.2">
      <c r="GI14764" s="422"/>
    </row>
    <row r="14765" spans="191:191" x14ac:dyDescent="0.2">
      <c r="GI14765" s="422"/>
    </row>
    <row r="14766" spans="191:191" x14ac:dyDescent="0.2">
      <c r="GI14766" s="422"/>
    </row>
    <row r="14767" spans="191:191" x14ac:dyDescent="0.2">
      <c r="GI14767" s="422"/>
    </row>
    <row r="14768" spans="191:191" x14ac:dyDescent="0.2">
      <c r="GI14768" s="422"/>
    </row>
    <row r="14769" spans="191:191" x14ac:dyDescent="0.2">
      <c r="GI14769" s="422"/>
    </row>
    <row r="14770" spans="191:191" x14ac:dyDescent="0.2">
      <c r="GI14770" s="422"/>
    </row>
    <row r="14771" spans="191:191" x14ac:dyDescent="0.2">
      <c r="GI14771" s="422"/>
    </row>
    <row r="14772" spans="191:191" x14ac:dyDescent="0.2">
      <c r="GI14772" s="422"/>
    </row>
    <row r="14773" spans="191:191" x14ac:dyDescent="0.2">
      <c r="GI14773" s="422"/>
    </row>
    <row r="14774" spans="191:191" x14ac:dyDescent="0.2">
      <c r="GI14774" s="422"/>
    </row>
    <row r="14775" spans="191:191" x14ac:dyDescent="0.2">
      <c r="GI14775" s="422"/>
    </row>
    <row r="14776" spans="191:191" x14ac:dyDescent="0.2">
      <c r="GI14776" s="422"/>
    </row>
    <row r="14777" spans="191:191" x14ac:dyDescent="0.2">
      <c r="GI14777" s="422"/>
    </row>
    <row r="14778" spans="191:191" x14ac:dyDescent="0.2">
      <c r="GI14778" s="422"/>
    </row>
    <row r="14779" spans="191:191" x14ac:dyDescent="0.2">
      <c r="GI14779" s="422"/>
    </row>
    <row r="14780" spans="191:191" x14ac:dyDescent="0.2">
      <c r="GI14780" s="422"/>
    </row>
    <row r="14781" spans="191:191" x14ac:dyDescent="0.2">
      <c r="GI14781" s="422"/>
    </row>
    <row r="14782" spans="191:191" x14ac:dyDescent="0.2">
      <c r="GI14782" s="422"/>
    </row>
    <row r="14783" spans="191:191" x14ac:dyDescent="0.2">
      <c r="GI14783" s="422"/>
    </row>
    <row r="14784" spans="191:191" x14ac:dyDescent="0.2">
      <c r="GI14784" s="422"/>
    </row>
    <row r="14785" spans="191:191" x14ac:dyDescent="0.2">
      <c r="GI14785" s="422"/>
    </row>
    <row r="14786" spans="191:191" x14ac:dyDescent="0.2">
      <c r="GI14786" s="422"/>
    </row>
    <row r="14787" spans="191:191" x14ac:dyDescent="0.2">
      <c r="GI14787" s="422"/>
    </row>
    <row r="14788" spans="191:191" x14ac:dyDescent="0.2">
      <c r="GI14788" s="422"/>
    </row>
    <row r="14789" spans="191:191" x14ac:dyDescent="0.2">
      <c r="GI14789" s="422"/>
    </row>
    <row r="14790" spans="191:191" x14ac:dyDescent="0.2">
      <c r="GI14790" s="422"/>
    </row>
    <row r="14791" spans="191:191" x14ac:dyDescent="0.2">
      <c r="GI14791" s="422"/>
    </row>
    <row r="14792" spans="191:191" x14ac:dyDescent="0.2">
      <c r="GI14792" s="422"/>
    </row>
    <row r="14793" spans="191:191" x14ac:dyDescent="0.2">
      <c r="GI14793" s="422"/>
    </row>
    <row r="14794" spans="191:191" x14ac:dyDescent="0.2">
      <c r="GI14794" s="422"/>
    </row>
    <row r="14795" spans="191:191" x14ac:dyDescent="0.2">
      <c r="GI14795" s="422"/>
    </row>
    <row r="14796" spans="191:191" x14ac:dyDescent="0.2">
      <c r="GI14796" s="422"/>
    </row>
    <row r="14797" spans="191:191" x14ac:dyDescent="0.2">
      <c r="GI14797" s="422"/>
    </row>
    <row r="14798" spans="191:191" x14ac:dyDescent="0.2">
      <c r="GI14798" s="422"/>
    </row>
    <row r="14799" spans="191:191" x14ac:dyDescent="0.2">
      <c r="GI14799" s="422"/>
    </row>
    <row r="14800" spans="191:191" x14ac:dyDescent="0.2">
      <c r="GI14800" s="422"/>
    </row>
    <row r="14801" spans="191:191" x14ac:dyDescent="0.2">
      <c r="GI14801" s="422"/>
    </row>
    <row r="14802" spans="191:191" x14ac:dyDescent="0.2">
      <c r="GI14802" s="422"/>
    </row>
    <row r="14803" spans="191:191" x14ac:dyDescent="0.2">
      <c r="GI14803" s="422"/>
    </row>
    <row r="14804" spans="191:191" x14ac:dyDescent="0.2">
      <c r="GI14804" s="422"/>
    </row>
    <row r="14805" spans="191:191" x14ac:dyDescent="0.2">
      <c r="GI14805" s="422"/>
    </row>
    <row r="14806" spans="191:191" x14ac:dyDescent="0.2">
      <c r="GI14806" s="422"/>
    </row>
    <row r="14807" spans="191:191" x14ac:dyDescent="0.2">
      <c r="GI14807" s="422"/>
    </row>
    <row r="14808" spans="191:191" x14ac:dyDescent="0.2">
      <c r="GI14808" s="422"/>
    </row>
    <row r="14809" spans="191:191" x14ac:dyDescent="0.2">
      <c r="GI14809" s="422"/>
    </row>
    <row r="14810" spans="191:191" x14ac:dyDescent="0.2">
      <c r="GI14810" s="422"/>
    </row>
    <row r="14811" spans="191:191" x14ac:dyDescent="0.2">
      <c r="GI14811" s="422"/>
    </row>
    <row r="14812" spans="191:191" x14ac:dyDescent="0.2">
      <c r="GI14812" s="422"/>
    </row>
    <row r="14813" spans="191:191" x14ac:dyDescent="0.2">
      <c r="GI14813" s="422"/>
    </row>
    <row r="14814" spans="191:191" x14ac:dyDescent="0.2">
      <c r="GI14814" s="422"/>
    </row>
    <row r="14815" spans="191:191" x14ac:dyDescent="0.2">
      <c r="GI14815" s="422"/>
    </row>
    <row r="14816" spans="191:191" x14ac:dyDescent="0.2">
      <c r="GI14816" s="422"/>
    </row>
    <row r="14817" spans="191:191" x14ac:dyDescent="0.2">
      <c r="GI14817" s="422"/>
    </row>
    <row r="14818" spans="191:191" x14ac:dyDescent="0.2">
      <c r="GI14818" s="422"/>
    </row>
    <row r="14819" spans="191:191" x14ac:dyDescent="0.2">
      <c r="GI14819" s="422"/>
    </row>
    <row r="14820" spans="191:191" x14ac:dyDescent="0.2">
      <c r="GI14820" s="422"/>
    </row>
    <row r="14821" spans="191:191" x14ac:dyDescent="0.2">
      <c r="GI14821" s="422"/>
    </row>
    <row r="14822" spans="191:191" x14ac:dyDescent="0.2">
      <c r="GI14822" s="422"/>
    </row>
    <row r="14823" spans="191:191" x14ac:dyDescent="0.2">
      <c r="GI14823" s="422"/>
    </row>
    <row r="14824" spans="191:191" x14ac:dyDescent="0.2">
      <c r="GI14824" s="422"/>
    </row>
    <row r="14825" spans="191:191" x14ac:dyDescent="0.2">
      <c r="GI14825" s="422"/>
    </row>
    <row r="14826" spans="191:191" x14ac:dyDescent="0.2">
      <c r="GI14826" s="422"/>
    </row>
    <row r="14827" spans="191:191" x14ac:dyDescent="0.2">
      <c r="GI14827" s="422"/>
    </row>
    <row r="14828" spans="191:191" x14ac:dyDescent="0.2">
      <c r="GI14828" s="422"/>
    </row>
    <row r="14829" spans="191:191" x14ac:dyDescent="0.2">
      <c r="GI14829" s="422"/>
    </row>
    <row r="14830" spans="191:191" x14ac:dyDescent="0.2">
      <c r="GI14830" s="422"/>
    </row>
    <row r="14831" spans="191:191" x14ac:dyDescent="0.2">
      <c r="GI14831" s="422"/>
    </row>
    <row r="14832" spans="191:191" x14ac:dyDescent="0.2">
      <c r="GI14832" s="422"/>
    </row>
    <row r="14833" spans="191:191" x14ac:dyDescent="0.2">
      <c r="GI14833" s="422"/>
    </row>
    <row r="14834" spans="191:191" x14ac:dyDescent="0.2">
      <c r="GI14834" s="422"/>
    </row>
    <row r="14835" spans="191:191" x14ac:dyDescent="0.2">
      <c r="GI14835" s="422"/>
    </row>
    <row r="14836" spans="191:191" x14ac:dyDescent="0.2">
      <c r="GI14836" s="422"/>
    </row>
    <row r="14837" spans="191:191" x14ac:dyDescent="0.2">
      <c r="GI14837" s="422"/>
    </row>
    <row r="14838" spans="191:191" x14ac:dyDescent="0.2">
      <c r="GI14838" s="422"/>
    </row>
    <row r="14839" spans="191:191" x14ac:dyDescent="0.2">
      <c r="GI14839" s="422"/>
    </row>
    <row r="14840" spans="191:191" x14ac:dyDescent="0.2">
      <c r="GI14840" s="422"/>
    </row>
    <row r="14841" spans="191:191" x14ac:dyDescent="0.2">
      <c r="GI14841" s="422"/>
    </row>
    <row r="14842" spans="191:191" x14ac:dyDescent="0.2">
      <c r="GI14842" s="422"/>
    </row>
    <row r="14843" spans="191:191" x14ac:dyDescent="0.2">
      <c r="GI14843" s="422"/>
    </row>
    <row r="14844" spans="191:191" x14ac:dyDescent="0.2">
      <c r="GI14844" s="422"/>
    </row>
    <row r="14845" spans="191:191" x14ac:dyDescent="0.2">
      <c r="GI14845" s="422"/>
    </row>
    <row r="14846" spans="191:191" x14ac:dyDescent="0.2">
      <c r="GI14846" s="422"/>
    </row>
    <row r="14847" spans="191:191" x14ac:dyDescent="0.2">
      <c r="GI14847" s="422"/>
    </row>
    <row r="14848" spans="191:191" x14ac:dyDescent="0.2">
      <c r="GI14848" s="422"/>
    </row>
    <row r="14849" spans="191:191" x14ac:dyDescent="0.2">
      <c r="GI14849" s="422"/>
    </row>
    <row r="14850" spans="191:191" x14ac:dyDescent="0.2">
      <c r="GI14850" s="422"/>
    </row>
    <row r="14851" spans="191:191" x14ac:dyDescent="0.2">
      <c r="GI14851" s="422"/>
    </row>
    <row r="14852" spans="191:191" x14ac:dyDescent="0.2">
      <c r="GI14852" s="422"/>
    </row>
    <row r="14853" spans="191:191" x14ac:dyDescent="0.2">
      <c r="GI14853" s="422"/>
    </row>
    <row r="14854" spans="191:191" x14ac:dyDescent="0.2">
      <c r="GI14854" s="422"/>
    </row>
    <row r="14855" spans="191:191" x14ac:dyDescent="0.2">
      <c r="GI14855" s="422"/>
    </row>
    <row r="14856" spans="191:191" x14ac:dyDescent="0.2">
      <c r="GI14856" s="422"/>
    </row>
    <row r="14857" spans="191:191" x14ac:dyDescent="0.2">
      <c r="GI14857" s="422"/>
    </row>
    <row r="14858" spans="191:191" x14ac:dyDescent="0.2">
      <c r="GI14858" s="422"/>
    </row>
    <row r="14859" spans="191:191" x14ac:dyDescent="0.2">
      <c r="GI14859" s="422"/>
    </row>
    <row r="14860" spans="191:191" x14ac:dyDescent="0.2">
      <c r="GI14860" s="422"/>
    </row>
    <row r="14861" spans="191:191" x14ac:dyDescent="0.2">
      <c r="GI14861" s="422"/>
    </row>
    <row r="14862" spans="191:191" x14ac:dyDescent="0.2">
      <c r="GI14862" s="422"/>
    </row>
    <row r="14863" spans="191:191" x14ac:dyDescent="0.2">
      <c r="GI14863" s="422"/>
    </row>
    <row r="14864" spans="191:191" x14ac:dyDescent="0.2">
      <c r="GI14864" s="422"/>
    </row>
    <row r="14865" spans="191:191" x14ac:dyDescent="0.2">
      <c r="GI14865" s="422"/>
    </row>
    <row r="14866" spans="191:191" x14ac:dyDescent="0.2">
      <c r="GI14866" s="422"/>
    </row>
    <row r="14867" spans="191:191" x14ac:dyDescent="0.2">
      <c r="GI14867" s="422"/>
    </row>
    <row r="14868" spans="191:191" x14ac:dyDescent="0.2">
      <c r="GI14868" s="422"/>
    </row>
    <row r="14869" spans="191:191" x14ac:dyDescent="0.2">
      <c r="GI14869" s="422"/>
    </row>
    <row r="14870" spans="191:191" x14ac:dyDescent="0.2">
      <c r="GI14870" s="422"/>
    </row>
    <row r="14871" spans="191:191" x14ac:dyDescent="0.2">
      <c r="GI14871" s="422"/>
    </row>
    <row r="14872" spans="191:191" x14ac:dyDescent="0.2">
      <c r="GI14872" s="422"/>
    </row>
    <row r="14873" spans="191:191" x14ac:dyDescent="0.2">
      <c r="GI14873" s="422"/>
    </row>
    <row r="14874" spans="191:191" x14ac:dyDescent="0.2">
      <c r="GI14874" s="422"/>
    </row>
    <row r="14875" spans="191:191" x14ac:dyDescent="0.2">
      <c r="GI14875" s="422"/>
    </row>
    <row r="14876" spans="191:191" x14ac:dyDescent="0.2">
      <c r="GI14876" s="422"/>
    </row>
    <row r="14877" spans="191:191" x14ac:dyDescent="0.2">
      <c r="GI14877" s="422"/>
    </row>
    <row r="14878" spans="191:191" x14ac:dyDescent="0.2">
      <c r="GI14878" s="422"/>
    </row>
    <row r="14879" spans="191:191" x14ac:dyDescent="0.2">
      <c r="GI14879" s="422"/>
    </row>
    <row r="14880" spans="191:191" x14ac:dyDescent="0.2">
      <c r="GI14880" s="422"/>
    </row>
    <row r="14881" spans="191:191" x14ac:dyDescent="0.2">
      <c r="GI14881" s="422"/>
    </row>
    <row r="14882" spans="191:191" x14ac:dyDescent="0.2">
      <c r="GI14882" s="422"/>
    </row>
    <row r="14883" spans="191:191" x14ac:dyDescent="0.2">
      <c r="GI14883" s="422"/>
    </row>
    <row r="14884" spans="191:191" x14ac:dyDescent="0.2">
      <c r="GI14884" s="422"/>
    </row>
    <row r="14885" spans="191:191" x14ac:dyDescent="0.2">
      <c r="GI14885" s="422"/>
    </row>
    <row r="14886" spans="191:191" x14ac:dyDescent="0.2">
      <c r="GI14886" s="422"/>
    </row>
    <row r="14887" spans="191:191" x14ac:dyDescent="0.2">
      <c r="GI14887" s="422"/>
    </row>
    <row r="14888" spans="191:191" x14ac:dyDescent="0.2">
      <c r="GI14888" s="422"/>
    </row>
    <row r="14889" spans="191:191" x14ac:dyDescent="0.2">
      <c r="GI14889" s="422"/>
    </row>
    <row r="14890" spans="191:191" x14ac:dyDescent="0.2">
      <c r="GI14890" s="422"/>
    </row>
    <row r="14891" spans="191:191" x14ac:dyDescent="0.2">
      <c r="GI14891" s="422"/>
    </row>
    <row r="14892" spans="191:191" x14ac:dyDescent="0.2">
      <c r="GI14892" s="422"/>
    </row>
    <row r="14893" spans="191:191" x14ac:dyDescent="0.2">
      <c r="GI14893" s="422"/>
    </row>
    <row r="14894" spans="191:191" x14ac:dyDescent="0.2">
      <c r="GI14894" s="422"/>
    </row>
    <row r="14895" spans="191:191" x14ac:dyDescent="0.2">
      <c r="GI14895" s="422"/>
    </row>
    <row r="14896" spans="191:191" x14ac:dyDescent="0.2">
      <c r="GI14896" s="422"/>
    </row>
    <row r="14897" spans="191:191" x14ac:dyDescent="0.2">
      <c r="GI14897" s="422"/>
    </row>
    <row r="14898" spans="191:191" x14ac:dyDescent="0.2">
      <c r="GI14898" s="422"/>
    </row>
    <row r="14899" spans="191:191" x14ac:dyDescent="0.2">
      <c r="GI14899" s="422"/>
    </row>
    <row r="14900" spans="191:191" x14ac:dyDescent="0.2">
      <c r="GI14900" s="422"/>
    </row>
    <row r="14901" spans="191:191" x14ac:dyDescent="0.2">
      <c r="GI14901" s="422"/>
    </row>
    <row r="14902" spans="191:191" x14ac:dyDescent="0.2">
      <c r="GI14902" s="422"/>
    </row>
    <row r="14903" spans="191:191" x14ac:dyDescent="0.2">
      <c r="GI14903" s="422"/>
    </row>
    <row r="14904" spans="191:191" x14ac:dyDescent="0.2">
      <c r="GI14904" s="422"/>
    </row>
    <row r="14905" spans="191:191" x14ac:dyDescent="0.2">
      <c r="GI14905" s="422"/>
    </row>
    <row r="14906" spans="191:191" x14ac:dyDescent="0.2">
      <c r="GI14906" s="422"/>
    </row>
    <row r="14907" spans="191:191" x14ac:dyDescent="0.2">
      <c r="GI14907" s="422"/>
    </row>
    <row r="14908" spans="191:191" x14ac:dyDescent="0.2">
      <c r="GI14908" s="422"/>
    </row>
    <row r="14909" spans="191:191" x14ac:dyDescent="0.2">
      <c r="GI14909" s="422"/>
    </row>
    <row r="14910" spans="191:191" x14ac:dyDescent="0.2">
      <c r="GI14910" s="422"/>
    </row>
    <row r="14911" spans="191:191" x14ac:dyDescent="0.2">
      <c r="GI14911" s="422"/>
    </row>
    <row r="14912" spans="191:191" x14ac:dyDescent="0.2">
      <c r="GI14912" s="422"/>
    </row>
    <row r="14913" spans="191:191" x14ac:dyDescent="0.2">
      <c r="GI14913" s="422"/>
    </row>
    <row r="14914" spans="191:191" x14ac:dyDescent="0.2">
      <c r="GI14914" s="422"/>
    </row>
    <row r="14915" spans="191:191" x14ac:dyDescent="0.2">
      <c r="GI14915" s="422"/>
    </row>
    <row r="14916" spans="191:191" x14ac:dyDescent="0.2">
      <c r="GI14916" s="422"/>
    </row>
    <row r="14917" spans="191:191" x14ac:dyDescent="0.2">
      <c r="GI14917" s="422"/>
    </row>
    <row r="14918" spans="191:191" x14ac:dyDescent="0.2">
      <c r="GI14918" s="422"/>
    </row>
    <row r="14919" spans="191:191" x14ac:dyDescent="0.2">
      <c r="GI14919" s="422"/>
    </row>
    <row r="14920" spans="191:191" x14ac:dyDescent="0.2">
      <c r="GI14920" s="422"/>
    </row>
    <row r="14921" spans="191:191" x14ac:dyDescent="0.2">
      <c r="GI14921" s="422"/>
    </row>
    <row r="14922" spans="191:191" x14ac:dyDescent="0.2">
      <c r="GI14922" s="422"/>
    </row>
    <row r="14923" spans="191:191" x14ac:dyDescent="0.2">
      <c r="GI14923" s="422"/>
    </row>
    <row r="14924" spans="191:191" x14ac:dyDescent="0.2">
      <c r="GI14924" s="422"/>
    </row>
    <row r="14925" spans="191:191" x14ac:dyDescent="0.2">
      <c r="GI14925" s="422"/>
    </row>
    <row r="14926" spans="191:191" x14ac:dyDescent="0.2">
      <c r="GI14926" s="422"/>
    </row>
    <row r="14927" spans="191:191" x14ac:dyDescent="0.2">
      <c r="GI14927" s="422"/>
    </row>
    <row r="14928" spans="191:191" x14ac:dyDescent="0.2">
      <c r="GI14928" s="422"/>
    </row>
    <row r="14929" spans="191:191" x14ac:dyDescent="0.2">
      <c r="GI14929" s="422"/>
    </row>
    <row r="14930" spans="191:191" x14ac:dyDescent="0.2">
      <c r="GI14930" s="422"/>
    </row>
    <row r="14931" spans="191:191" x14ac:dyDescent="0.2">
      <c r="GI14931" s="422"/>
    </row>
    <row r="14932" spans="191:191" x14ac:dyDescent="0.2">
      <c r="GI14932" s="422"/>
    </row>
    <row r="14933" spans="191:191" x14ac:dyDescent="0.2">
      <c r="GI14933" s="422"/>
    </row>
    <row r="14934" spans="191:191" x14ac:dyDescent="0.2">
      <c r="GI14934" s="422"/>
    </row>
    <row r="14935" spans="191:191" x14ac:dyDescent="0.2">
      <c r="GI14935" s="422"/>
    </row>
    <row r="14936" spans="191:191" x14ac:dyDescent="0.2">
      <c r="GI14936" s="422"/>
    </row>
    <row r="14937" spans="191:191" x14ac:dyDescent="0.2">
      <c r="GI14937" s="422"/>
    </row>
    <row r="14938" spans="191:191" x14ac:dyDescent="0.2">
      <c r="GI14938" s="422"/>
    </row>
    <row r="14939" spans="191:191" x14ac:dyDescent="0.2">
      <c r="GI14939" s="422"/>
    </row>
    <row r="14940" spans="191:191" x14ac:dyDescent="0.2">
      <c r="GI14940" s="422"/>
    </row>
    <row r="14941" spans="191:191" x14ac:dyDescent="0.2">
      <c r="GI14941" s="422"/>
    </row>
    <row r="14942" spans="191:191" x14ac:dyDescent="0.2">
      <c r="GI14942" s="422"/>
    </row>
    <row r="14943" spans="191:191" x14ac:dyDescent="0.2">
      <c r="GI14943" s="422"/>
    </row>
    <row r="14944" spans="191:191" x14ac:dyDescent="0.2">
      <c r="GI14944" s="422"/>
    </row>
    <row r="14945" spans="191:191" x14ac:dyDescent="0.2">
      <c r="GI14945" s="422"/>
    </row>
    <row r="14946" spans="191:191" x14ac:dyDescent="0.2">
      <c r="GI14946" s="422"/>
    </row>
    <row r="14947" spans="191:191" x14ac:dyDescent="0.2">
      <c r="GI14947" s="422"/>
    </row>
    <row r="14948" spans="191:191" x14ac:dyDescent="0.2">
      <c r="GI14948" s="422"/>
    </row>
    <row r="14949" spans="191:191" x14ac:dyDescent="0.2">
      <c r="GI14949" s="422"/>
    </row>
    <row r="14950" spans="191:191" x14ac:dyDescent="0.2">
      <c r="GI14950" s="422"/>
    </row>
    <row r="14951" spans="191:191" x14ac:dyDescent="0.2">
      <c r="GI14951" s="422"/>
    </row>
    <row r="14952" spans="191:191" x14ac:dyDescent="0.2">
      <c r="GI14952" s="422"/>
    </row>
    <row r="14953" spans="191:191" x14ac:dyDescent="0.2">
      <c r="GI14953" s="422"/>
    </row>
    <row r="14954" spans="191:191" x14ac:dyDescent="0.2">
      <c r="GI14954" s="422"/>
    </row>
    <row r="14955" spans="191:191" x14ac:dyDescent="0.2">
      <c r="GI14955" s="422"/>
    </row>
    <row r="14956" spans="191:191" x14ac:dyDescent="0.2">
      <c r="GI14956" s="422"/>
    </row>
    <row r="14957" spans="191:191" x14ac:dyDescent="0.2">
      <c r="GI14957" s="422"/>
    </row>
    <row r="14958" spans="191:191" x14ac:dyDescent="0.2">
      <c r="GI14958" s="422"/>
    </row>
    <row r="14959" spans="191:191" x14ac:dyDescent="0.2">
      <c r="GI14959" s="422"/>
    </row>
    <row r="14960" spans="191:191" x14ac:dyDescent="0.2">
      <c r="GI14960" s="422"/>
    </row>
    <row r="14961" spans="191:191" x14ac:dyDescent="0.2">
      <c r="GI14961" s="422"/>
    </row>
    <row r="14962" spans="191:191" x14ac:dyDescent="0.2">
      <c r="GI14962" s="422"/>
    </row>
    <row r="14963" spans="191:191" x14ac:dyDescent="0.2">
      <c r="GI14963" s="422"/>
    </row>
    <row r="14964" spans="191:191" x14ac:dyDescent="0.2">
      <c r="GI14964" s="422"/>
    </row>
    <row r="14965" spans="191:191" x14ac:dyDescent="0.2">
      <c r="GI14965" s="422"/>
    </row>
    <row r="14966" spans="191:191" x14ac:dyDescent="0.2">
      <c r="GI14966" s="422"/>
    </row>
    <row r="14967" spans="191:191" x14ac:dyDescent="0.2">
      <c r="GI14967" s="422"/>
    </row>
    <row r="14968" spans="191:191" x14ac:dyDescent="0.2">
      <c r="GI14968" s="422"/>
    </row>
    <row r="14969" spans="191:191" x14ac:dyDescent="0.2">
      <c r="GI14969" s="422"/>
    </row>
    <row r="14970" spans="191:191" x14ac:dyDescent="0.2">
      <c r="GI14970" s="422"/>
    </row>
    <row r="14971" spans="191:191" x14ac:dyDescent="0.2">
      <c r="GI14971" s="422"/>
    </row>
    <row r="14972" spans="191:191" x14ac:dyDescent="0.2">
      <c r="GI14972" s="422"/>
    </row>
    <row r="14973" spans="191:191" x14ac:dyDescent="0.2">
      <c r="GI14973" s="422"/>
    </row>
    <row r="14974" spans="191:191" x14ac:dyDescent="0.2">
      <c r="GI14974" s="422"/>
    </row>
    <row r="14975" spans="191:191" x14ac:dyDescent="0.2">
      <c r="GI14975" s="422"/>
    </row>
    <row r="14976" spans="191:191" x14ac:dyDescent="0.2">
      <c r="GI14976" s="422"/>
    </row>
    <row r="14977" spans="191:191" x14ac:dyDescent="0.2">
      <c r="GI14977" s="422"/>
    </row>
    <row r="14978" spans="191:191" x14ac:dyDescent="0.2">
      <c r="GI14978" s="422"/>
    </row>
    <row r="14979" spans="191:191" x14ac:dyDescent="0.2">
      <c r="GI14979" s="422"/>
    </row>
    <row r="14980" spans="191:191" x14ac:dyDescent="0.2">
      <c r="GI14980" s="422"/>
    </row>
    <row r="14981" spans="191:191" x14ac:dyDescent="0.2">
      <c r="GI14981" s="422"/>
    </row>
    <row r="14982" spans="191:191" x14ac:dyDescent="0.2">
      <c r="GI14982" s="422"/>
    </row>
    <row r="14983" spans="191:191" x14ac:dyDescent="0.2">
      <c r="GI14983" s="422"/>
    </row>
    <row r="14984" spans="191:191" x14ac:dyDescent="0.2">
      <c r="GI14984" s="422"/>
    </row>
    <row r="14985" spans="191:191" x14ac:dyDescent="0.2">
      <c r="GI14985" s="422"/>
    </row>
    <row r="14986" spans="191:191" x14ac:dyDescent="0.2">
      <c r="GI14986" s="422"/>
    </row>
    <row r="14987" spans="191:191" x14ac:dyDescent="0.2">
      <c r="GI14987" s="422"/>
    </row>
    <row r="14988" spans="191:191" x14ac:dyDescent="0.2">
      <c r="GI14988" s="422"/>
    </row>
    <row r="14989" spans="191:191" x14ac:dyDescent="0.2">
      <c r="GI14989" s="422"/>
    </row>
    <row r="14990" spans="191:191" x14ac:dyDescent="0.2">
      <c r="GI14990" s="422"/>
    </row>
    <row r="14991" spans="191:191" x14ac:dyDescent="0.2">
      <c r="GI14991" s="422"/>
    </row>
    <row r="14992" spans="191:191" x14ac:dyDescent="0.2">
      <c r="GI14992" s="422"/>
    </row>
    <row r="14993" spans="191:191" x14ac:dyDescent="0.2">
      <c r="GI14993" s="422"/>
    </row>
    <row r="14994" spans="191:191" x14ac:dyDescent="0.2">
      <c r="GI14994" s="422"/>
    </row>
    <row r="14995" spans="191:191" x14ac:dyDescent="0.2">
      <c r="GI14995" s="422"/>
    </row>
    <row r="14996" spans="191:191" x14ac:dyDescent="0.2">
      <c r="GI14996" s="422"/>
    </row>
    <row r="14997" spans="191:191" x14ac:dyDescent="0.2">
      <c r="GI14997" s="422"/>
    </row>
    <row r="14998" spans="191:191" x14ac:dyDescent="0.2">
      <c r="GI14998" s="422"/>
    </row>
    <row r="14999" spans="191:191" x14ac:dyDescent="0.2">
      <c r="GI14999" s="422"/>
    </row>
    <row r="15000" spans="191:191" x14ac:dyDescent="0.2">
      <c r="GI15000" s="422"/>
    </row>
    <row r="15001" spans="191:191" x14ac:dyDescent="0.2">
      <c r="GI15001" s="422"/>
    </row>
    <row r="15002" spans="191:191" x14ac:dyDescent="0.2">
      <c r="GI15002" s="422"/>
    </row>
    <row r="15003" spans="191:191" x14ac:dyDescent="0.2">
      <c r="GI15003" s="422"/>
    </row>
    <row r="15004" spans="191:191" x14ac:dyDescent="0.2">
      <c r="GI15004" s="422"/>
    </row>
    <row r="15005" spans="191:191" x14ac:dyDescent="0.2">
      <c r="GI15005" s="422"/>
    </row>
    <row r="15006" spans="191:191" x14ac:dyDescent="0.2">
      <c r="GI15006" s="422"/>
    </row>
    <row r="15007" spans="191:191" x14ac:dyDescent="0.2">
      <c r="GI15007" s="422"/>
    </row>
    <row r="15008" spans="191:191" x14ac:dyDescent="0.2">
      <c r="GI15008" s="422"/>
    </row>
    <row r="15009" spans="191:191" x14ac:dyDescent="0.2">
      <c r="GI15009" s="422"/>
    </row>
    <row r="15010" spans="191:191" x14ac:dyDescent="0.2">
      <c r="GI15010" s="422"/>
    </row>
    <row r="15011" spans="191:191" x14ac:dyDescent="0.2">
      <c r="GI15011" s="422"/>
    </row>
    <row r="15012" spans="191:191" x14ac:dyDescent="0.2">
      <c r="GI15012" s="422"/>
    </row>
    <row r="15013" spans="191:191" x14ac:dyDescent="0.2">
      <c r="GI15013" s="422"/>
    </row>
    <row r="15014" spans="191:191" x14ac:dyDescent="0.2">
      <c r="GI15014" s="422"/>
    </row>
    <row r="15015" spans="191:191" x14ac:dyDescent="0.2">
      <c r="GI15015" s="422"/>
    </row>
    <row r="15016" spans="191:191" x14ac:dyDescent="0.2">
      <c r="GI15016" s="422"/>
    </row>
    <row r="15017" spans="191:191" x14ac:dyDescent="0.2">
      <c r="GI15017" s="422"/>
    </row>
    <row r="15018" spans="191:191" x14ac:dyDescent="0.2">
      <c r="GI15018" s="422"/>
    </row>
    <row r="15019" spans="191:191" x14ac:dyDescent="0.2">
      <c r="GI15019" s="422"/>
    </row>
    <row r="15020" spans="191:191" x14ac:dyDescent="0.2">
      <c r="GI15020" s="422"/>
    </row>
    <row r="15021" spans="191:191" x14ac:dyDescent="0.2">
      <c r="GI15021" s="422"/>
    </row>
    <row r="15022" spans="191:191" x14ac:dyDescent="0.2">
      <c r="GI15022" s="422"/>
    </row>
    <row r="15023" spans="191:191" x14ac:dyDescent="0.2">
      <c r="GI15023" s="422"/>
    </row>
    <row r="15024" spans="191:191" x14ac:dyDescent="0.2">
      <c r="GI15024" s="422"/>
    </row>
    <row r="15025" spans="191:191" x14ac:dyDescent="0.2">
      <c r="GI15025" s="422"/>
    </row>
    <row r="15026" spans="191:191" x14ac:dyDescent="0.2">
      <c r="GI15026" s="422"/>
    </row>
    <row r="15027" spans="191:191" x14ac:dyDescent="0.2">
      <c r="GI15027" s="422"/>
    </row>
    <row r="15028" spans="191:191" x14ac:dyDescent="0.2">
      <c r="GI15028" s="422"/>
    </row>
    <row r="15029" spans="191:191" x14ac:dyDescent="0.2">
      <c r="GI15029" s="422"/>
    </row>
    <row r="15030" spans="191:191" x14ac:dyDescent="0.2">
      <c r="GI15030" s="422"/>
    </row>
    <row r="15031" spans="191:191" x14ac:dyDescent="0.2">
      <c r="GI15031" s="422"/>
    </row>
    <row r="15032" spans="191:191" x14ac:dyDescent="0.2">
      <c r="GI15032" s="422"/>
    </row>
    <row r="15033" spans="191:191" x14ac:dyDescent="0.2">
      <c r="GI15033" s="422"/>
    </row>
    <row r="15034" spans="191:191" x14ac:dyDescent="0.2">
      <c r="GI15034" s="422"/>
    </row>
    <row r="15035" spans="191:191" x14ac:dyDescent="0.2">
      <c r="GI15035" s="422"/>
    </row>
    <row r="15036" spans="191:191" x14ac:dyDescent="0.2">
      <c r="GI15036" s="422"/>
    </row>
    <row r="15037" spans="191:191" x14ac:dyDescent="0.2">
      <c r="GI15037" s="422"/>
    </row>
    <row r="15038" spans="191:191" x14ac:dyDescent="0.2">
      <c r="GI15038" s="422"/>
    </row>
    <row r="15039" spans="191:191" x14ac:dyDescent="0.2">
      <c r="GI15039" s="422"/>
    </row>
    <row r="15040" spans="191:191" x14ac:dyDescent="0.2">
      <c r="GI15040" s="422"/>
    </row>
    <row r="15041" spans="191:191" x14ac:dyDescent="0.2">
      <c r="GI15041" s="422"/>
    </row>
    <row r="15042" spans="191:191" x14ac:dyDescent="0.2">
      <c r="GI15042" s="422"/>
    </row>
    <row r="15043" spans="191:191" x14ac:dyDescent="0.2">
      <c r="GI15043" s="422"/>
    </row>
    <row r="15044" spans="191:191" x14ac:dyDescent="0.2">
      <c r="GI15044" s="422"/>
    </row>
    <row r="15045" spans="191:191" x14ac:dyDescent="0.2">
      <c r="GI15045" s="422"/>
    </row>
    <row r="15046" spans="191:191" x14ac:dyDescent="0.2">
      <c r="GI15046" s="422"/>
    </row>
    <row r="15047" spans="191:191" x14ac:dyDescent="0.2">
      <c r="GI15047" s="422"/>
    </row>
    <row r="15048" spans="191:191" x14ac:dyDescent="0.2">
      <c r="GI15048" s="422"/>
    </row>
    <row r="15049" spans="191:191" x14ac:dyDescent="0.2">
      <c r="GI15049" s="422"/>
    </row>
    <row r="15050" spans="191:191" x14ac:dyDescent="0.2">
      <c r="GI15050" s="422"/>
    </row>
    <row r="15051" spans="191:191" x14ac:dyDescent="0.2">
      <c r="GI15051" s="422"/>
    </row>
    <row r="15052" spans="191:191" x14ac:dyDescent="0.2">
      <c r="GI15052" s="422"/>
    </row>
    <row r="15053" spans="191:191" x14ac:dyDescent="0.2">
      <c r="GI15053" s="422"/>
    </row>
    <row r="15054" spans="191:191" x14ac:dyDescent="0.2">
      <c r="GI15054" s="422"/>
    </row>
    <row r="15055" spans="191:191" x14ac:dyDescent="0.2">
      <c r="GI15055" s="422"/>
    </row>
    <row r="15056" spans="191:191" x14ac:dyDescent="0.2">
      <c r="GI15056" s="422"/>
    </row>
    <row r="15057" spans="191:191" x14ac:dyDescent="0.2">
      <c r="GI15057" s="422"/>
    </row>
    <row r="15058" spans="191:191" x14ac:dyDescent="0.2">
      <c r="GI15058" s="422"/>
    </row>
    <row r="15059" spans="191:191" x14ac:dyDescent="0.2">
      <c r="GI15059" s="422"/>
    </row>
    <row r="15060" spans="191:191" x14ac:dyDescent="0.2">
      <c r="GI15060" s="422"/>
    </row>
    <row r="15061" spans="191:191" x14ac:dyDescent="0.2">
      <c r="GI15061" s="422"/>
    </row>
    <row r="15062" spans="191:191" x14ac:dyDescent="0.2">
      <c r="GI15062" s="422"/>
    </row>
    <row r="15063" spans="191:191" x14ac:dyDescent="0.2">
      <c r="GI15063" s="422"/>
    </row>
    <row r="15064" spans="191:191" x14ac:dyDescent="0.2">
      <c r="GI15064" s="422"/>
    </row>
    <row r="15065" spans="191:191" x14ac:dyDescent="0.2">
      <c r="GI15065" s="422"/>
    </row>
    <row r="15066" spans="191:191" x14ac:dyDescent="0.2">
      <c r="GI15066" s="422"/>
    </row>
    <row r="15067" spans="191:191" x14ac:dyDescent="0.2">
      <c r="GI15067" s="422"/>
    </row>
    <row r="15068" spans="191:191" x14ac:dyDescent="0.2">
      <c r="GI15068" s="422"/>
    </row>
    <row r="15069" spans="191:191" x14ac:dyDescent="0.2">
      <c r="GI15069" s="422"/>
    </row>
    <row r="15070" spans="191:191" x14ac:dyDescent="0.2">
      <c r="GI15070" s="422"/>
    </row>
    <row r="15071" spans="191:191" x14ac:dyDescent="0.2">
      <c r="GI15071" s="422"/>
    </row>
    <row r="15072" spans="191:191" x14ac:dyDescent="0.2">
      <c r="GI15072" s="422"/>
    </row>
    <row r="15073" spans="191:191" x14ac:dyDescent="0.2">
      <c r="GI15073" s="422"/>
    </row>
    <row r="15074" spans="191:191" x14ac:dyDescent="0.2">
      <c r="GI15074" s="422"/>
    </row>
    <row r="15075" spans="191:191" x14ac:dyDescent="0.2">
      <c r="GI15075" s="422"/>
    </row>
    <row r="15076" spans="191:191" x14ac:dyDescent="0.2">
      <c r="GI15076" s="422"/>
    </row>
    <row r="15077" spans="191:191" x14ac:dyDescent="0.2">
      <c r="GI15077" s="422"/>
    </row>
    <row r="15078" spans="191:191" x14ac:dyDescent="0.2">
      <c r="GI15078" s="422"/>
    </row>
    <row r="15079" spans="191:191" x14ac:dyDescent="0.2">
      <c r="GI15079" s="422"/>
    </row>
    <row r="15080" spans="191:191" x14ac:dyDescent="0.2">
      <c r="GI15080" s="422"/>
    </row>
    <row r="15081" spans="191:191" x14ac:dyDescent="0.2">
      <c r="GI15081" s="422"/>
    </row>
    <row r="15082" spans="191:191" x14ac:dyDescent="0.2">
      <c r="GI15082" s="422"/>
    </row>
    <row r="15083" spans="191:191" x14ac:dyDescent="0.2">
      <c r="GI15083" s="422"/>
    </row>
    <row r="15084" spans="191:191" x14ac:dyDescent="0.2">
      <c r="GI15084" s="422"/>
    </row>
    <row r="15085" spans="191:191" x14ac:dyDescent="0.2">
      <c r="GI15085" s="422"/>
    </row>
    <row r="15086" spans="191:191" x14ac:dyDescent="0.2">
      <c r="GI15086" s="422"/>
    </row>
    <row r="15087" spans="191:191" x14ac:dyDescent="0.2">
      <c r="GI15087" s="422"/>
    </row>
    <row r="15088" spans="191:191" x14ac:dyDescent="0.2">
      <c r="GI15088" s="422"/>
    </row>
    <row r="15089" spans="191:191" x14ac:dyDescent="0.2">
      <c r="GI15089" s="422"/>
    </row>
    <row r="15090" spans="191:191" x14ac:dyDescent="0.2">
      <c r="GI15090" s="422"/>
    </row>
    <row r="15091" spans="191:191" x14ac:dyDescent="0.2">
      <c r="GI15091" s="422"/>
    </row>
    <row r="15092" spans="191:191" x14ac:dyDescent="0.2">
      <c r="GI15092" s="422"/>
    </row>
    <row r="15093" spans="191:191" x14ac:dyDescent="0.2">
      <c r="GI15093" s="422"/>
    </row>
    <row r="15094" spans="191:191" x14ac:dyDescent="0.2">
      <c r="GI15094" s="422"/>
    </row>
    <row r="15095" spans="191:191" x14ac:dyDescent="0.2">
      <c r="GI15095" s="422"/>
    </row>
    <row r="15096" spans="191:191" x14ac:dyDescent="0.2">
      <c r="GI15096" s="422"/>
    </row>
    <row r="15097" spans="191:191" x14ac:dyDescent="0.2">
      <c r="GI15097" s="422"/>
    </row>
    <row r="15098" spans="191:191" x14ac:dyDescent="0.2">
      <c r="GI15098" s="422"/>
    </row>
    <row r="15099" spans="191:191" x14ac:dyDescent="0.2">
      <c r="GI15099" s="422"/>
    </row>
    <row r="15100" spans="191:191" x14ac:dyDescent="0.2">
      <c r="GI15100" s="422"/>
    </row>
    <row r="15101" spans="191:191" x14ac:dyDescent="0.2">
      <c r="GI15101" s="422"/>
    </row>
    <row r="15102" spans="191:191" x14ac:dyDescent="0.2">
      <c r="GI15102" s="422"/>
    </row>
    <row r="15103" spans="191:191" x14ac:dyDescent="0.2">
      <c r="GI15103" s="422"/>
    </row>
    <row r="15104" spans="191:191" x14ac:dyDescent="0.2">
      <c r="GI15104" s="422"/>
    </row>
    <row r="15105" spans="191:191" x14ac:dyDescent="0.2">
      <c r="GI15105" s="422"/>
    </row>
    <row r="15106" spans="191:191" x14ac:dyDescent="0.2">
      <c r="GI15106" s="422"/>
    </row>
    <row r="15107" spans="191:191" x14ac:dyDescent="0.2">
      <c r="GI15107" s="422"/>
    </row>
    <row r="15108" spans="191:191" x14ac:dyDescent="0.2">
      <c r="GI15108" s="422"/>
    </row>
    <row r="15109" spans="191:191" x14ac:dyDescent="0.2">
      <c r="GI15109" s="422"/>
    </row>
    <row r="15110" spans="191:191" x14ac:dyDescent="0.2">
      <c r="GI15110" s="422"/>
    </row>
    <row r="15111" spans="191:191" x14ac:dyDescent="0.2">
      <c r="GI15111" s="422"/>
    </row>
    <row r="15112" spans="191:191" x14ac:dyDescent="0.2">
      <c r="GI15112" s="422"/>
    </row>
    <row r="15113" spans="191:191" x14ac:dyDescent="0.2">
      <c r="GI15113" s="422"/>
    </row>
    <row r="15114" spans="191:191" x14ac:dyDescent="0.2">
      <c r="GI15114" s="422"/>
    </row>
    <row r="15115" spans="191:191" x14ac:dyDescent="0.2">
      <c r="GI15115" s="422"/>
    </row>
    <row r="15116" spans="191:191" x14ac:dyDescent="0.2">
      <c r="GI15116" s="422"/>
    </row>
    <row r="15117" spans="191:191" x14ac:dyDescent="0.2">
      <c r="GI15117" s="422"/>
    </row>
    <row r="15118" spans="191:191" x14ac:dyDescent="0.2">
      <c r="GI15118" s="422"/>
    </row>
    <row r="15119" spans="191:191" x14ac:dyDescent="0.2">
      <c r="GI15119" s="422"/>
    </row>
    <row r="15120" spans="191:191" x14ac:dyDescent="0.2">
      <c r="GI15120" s="422"/>
    </row>
    <row r="15121" spans="191:191" x14ac:dyDescent="0.2">
      <c r="GI15121" s="422"/>
    </row>
    <row r="15122" spans="191:191" x14ac:dyDescent="0.2">
      <c r="GI15122" s="422"/>
    </row>
    <row r="15123" spans="191:191" x14ac:dyDescent="0.2">
      <c r="GI15123" s="422"/>
    </row>
    <row r="15124" spans="191:191" x14ac:dyDescent="0.2">
      <c r="GI15124" s="422"/>
    </row>
    <row r="15125" spans="191:191" x14ac:dyDescent="0.2">
      <c r="GI15125" s="422"/>
    </row>
    <row r="15126" spans="191:191" x14ac:dyDescent="0.2">
      <c r="GI15126" s="422"/>
    </row>
    <row r="15127" spans="191:191" x14ac:dyDescent="0.2">
      <c r="GI15127" s="422"/>
    </row>
    <row r="15128" spans="191:191" x14ac:dyDescent="0.2">
      <c r="GI15128" s="422"/>
    </row>
    <row r="15129" spans="191:191" x14ac:dyDescent="0.2">
      <c r="GI15129" s="422"/>
    </row>
    <row r="15130" spans="191:191" x14ac:dyDescent="0.2">
      <c r="GI15130" s="422"/>
    </row>
    <row r="15131" spans="191:191" x14ac:dyDescent="0.2">
      <c r="GI15131" s="422"/>
    </row>
    <row r="15132" spans="191:191" x14ac:dyDescent="0.2">
      <c r="GI15132" s="422"/>
    </row>
    <row r="15133" spans="191:191" x14ac:dyDescent="0.2">
      <c r="GI15133" s="422"/>
    </row>
    <row r="15134" spans="191:191" x14ac:dyDescent="0.2">
      <c r="GI15134" s="422"/>
    </row>
    <row r="15135" spans="191:191" x14ac:dyDescent="0.2">
      <c r="GI15135" s="422"/>
    </row>
    <row r="15136" spans="191:191" x14ac:dyDescent="0.2">
      <c r="GI15136" s="422"/>
    </row>
    <row r="15137" spans="191:191" x14ac:dyDescent="0.2">
      <c r="GI15137" s="422"/>
    </row>
    <row r="15138" spans="191:191" x14ac:dyDescent="0.2">
      <c r="GI15138" s="422"/>
    </row>
    <row r="15139" spans="191:191" x14ac:dyDescent="0.2">
      <c r="GI15139" s="422"/>
    </row>
    <row r="15140" spans="191:191" x14ac:dyDescent="0.2">
      <c r="GI15140" s="422"/>
    </row>
    <row r="15141" spans="191:191" x14ac:dyDescent="0.2">
      <c r="GI15141" s="422"/>
    </row>
    <row r="15142" spans="191:191" x14ac:dyDescent="0.2">
      <c r="GI15142" s="422"/>
    </row>
    <row r="15143" spans="191:191" x14ac:dyDescent="0.2">
      <c r="GI15143" s="422"/>
    </row>
    <row r="15144" spans="191:191" x14ac:dyDescent="0.2">
      <c r="GI15144" s="422"/>
    </row>
    <row r="15145" spans="191:191" x14ac:dyDescent="0.2">
      <c r="GI15145" s="422"/>
    </row>
    <row r="15146" spans="191:191" x14ac:dyDescent="0.2">
      <c r="GI15146" s="422"/>
    </row>
    <row r="15147" spans="191:191" x14ac:dyDescent="0.2">
      <c r="GI15147" s="422"/>
    </row>
    <row r="15148" spans="191:191" x14ac:dyDescent="0.2">
      <c r="GI15148" s="422"/>
    </row>
    <row r="15149" spans="191:191" x14ac:dyDescent="0.2">
      <c r="GI15149" s="422"/>
    </row>
    <row r="15150" spans="191:191" x14ac:dyDescent="0.2">
      <c r="GI15150" s="422"/>
    </row>
    <row r="15151" spans="191:191" x14ac:dyDescent="0.2">
      <c r="GI15151" s="422"/>
    </row>
    <row r="15152" spans="191:191" x14ac:dyDescent="0.2">
      <c r="GI15152" s="422"/>
    </row>
    <row r="15153" spans="191:191" x14ac:dyDescent="0.2">
      <c r="GI15153" s="422"/>
    </row>
    <row r="15154" spans="191:191" x14ac:dyDescent="0.2">
      <c r="GI15154" s="422"/>
    </row>
    <row r="15155" spans="191:191" x14ac:dyDescent="0.2">
      <c r="GI15155" s="422"/>
    </row>
    <row r="15156" spans="191:191" x14ac:dyDescent="0.2">
      <c r="GI15156" s="422"/>
    </row>
    <row r="15157" spans="191:191" x14ac:dyDescent="0.2">
      <c r="GI15157" s="422"/>
    </row>
    <row r="15158" spans="191:191" x14ac:dyDescent="0.2">
      <c r="GI15158" s="422"/>
    </row>
    <row r="15159" spans="191:191" x14ac:dyDescent="0.2">
      <c r="GI15159" s="422"/>
    </row>
    <row r="15160" spans="191:191" x14ac:dyDescent="0.2">
      <c r="GI15160" s="422"/>
    </row>
    <row r="15161" spans="191:191" x14ac:dyDescent="0.2">
      <c r="GI15161" s="422"/>
    </row>
    <row r="15162" spans="191:191" x14ac:dyDescent="0.2">
      <c r="GI15162" s="422"/>
    </row>
    <row r="15163" spans="191:191" x14ac:dyDescent="0.2">
      <c r="GI15163" s="422"/>
    </row>
    <row r="15164" spans="191:191" x14ac:dyDescent="0.2">
      <c r="GI15164" s="422"/>
    </row>
    <row r="15165" spans="191:191" x14ac:dyDescent="0.2">
      <c r="GI15165" s="422"/>
    </row>
    <row r="15166" spans="191:191" x14ac:dyDescent="0.2">
      <c r="GI15166" s="422"/>
    </row>
    <row r="15167" spans="191:191" x14ac:dyDescent="0.2">
      <c r="GI15167" s="422"/>
    </row>
    <row r="15168" spans="191:191" x14ac:dyDescent="0.2">
      <c r="GI15168" s="422"/>
    </row>
    <row r="15169" spans="191:191" x14ac:dyDescent="0.2">
      <c r="GI15169" s="422"/>
    </row>
    <row r="15170" spans="191:191" x14ac:dyDescent="0.2">
      <c r="GI15170" s="422"/>
    </row>
    <row r="15171" spans="191:191" x14ac:dyDescent="0.2">
      <c r="GI15171" s="422"/>
    </row>
    <row r="15172" spans="191:191" x14ac:dyDescent="0.2">
      <c r="GI15172" s="422"/>
    </row>
    <row r="15173" spans="191:191" x14ac:dyDescent="0.2">
      <c r="GI15173" s="422"/>
    </row>
    <row r="15174" spans="191:191" x14ac:dyDescent="0.2">
      <c r="GI15174" s="422"/>
    </row>
    <row r="15175" spans="191:191" x14ac:dyDescent="0.2">
      <c r="GI15175" s="422"/>
    </row>
    <row r="15176" spans="191:191" x14ac:dyDescent="0.2">
      <c r="GI15176" s="422"/>
    </row>
    <row r="15177" spans="191:191" x14ac:dyDescent="0.2">
      <c r="GI15177" s="422"/>
    </row>
    <row r="15178" spans="191:191" x14ac:dyDescent="0.2">
      <c r="GI15178" s="422"/>
    </row>
    <row r="15179" spans="191:191" x14ac:dyDescent="0.2">
      <c r="GI15179" s="422"/>
    </row>
    <row r="15180" spans="191:191" x14ac:dyDescent="0.2">
      <c r="GI15180" s="422"/>
    </row>
    <row r="15181" spans="191:191" x14ac:dyDescent="0.2">
      <c r="GI15181" s="422"/>
    </row>
    <row r="15182" spans="191:191" x14ac:dyDescent="0.2">
      <c r="GI15182" s="422"/>
    </row>
    <row r="15183" spans="191:191" x14ac:dyDescent="0.2">
      <c r="GI15183" s="422"/>
    </row>
    <row r="15184" spans="191:191" x14ac:dyDescent="0.2">
      <c r="GI15184" s="422"/>
    </row>
    <row r="15185" spans="191:191" x14ac:dyDescent="0.2">
      <c r="GI15185" s="422"/>
    </row>
    <row r="15186" spans="191:191" x14ac:dyDescent="0.2">
      <c r="GI15186" s="422"/>
    </row>
    <row r="15187" spans="191:191" x14ac:dyDescent="0.2">
      <c r="GI15187" s="422"/>
    </row>
    <row r="15188" spans="191:191" x14ac:dyDescent="0.2">
      <c r="GI15188" s="422"/>
    </row>
    <row r="15189" spans="191:191" x14ac:dyDescent="0.2">
      <c r="GI15189" s="422"/>
    </row>
    <row r="15190" spans="191:191" x14ac:dyDescent="0.2">
      <c r="GI15190" s="422"/>
    </row>
    <row r="15191" spans="191:191" x14ac:dyDescent="0.2">
      <c r="GI15191" s="422"/>
    </row>
    <row r="15192" spans="191:191" x14ac:dyDescent="0.2">
      <c r="GI15192" s="422"/>
    </row>
    <row r="15193" spans="191:191" x14ac:dyDescent="0.2">
      <c r="GI15193" s="422"/>
    </row>
    <row r="15194" spans="191:191" x14ac:dyDescent="0.2">
      <c r="GI15194" s="422"/>
    </row>
    <row r="15195" spans="191:191" x14ac:dyDescent="0.2">
      <c r="GI15195" s="422"/>
    </row>
    <row r="15196" spans="191:191" x14ac:dyDescent="0.2">
      <c r="GI15196" s="422"/>
    </row>
    <row r="15197" spans="191:191" x14ac:dyDescent="0.2">
      <c r="GI15197" s="422"/>
    </row>
    <row r="15198" spans="191:191" x14ac:dyDescent="0.2">
      <c r="GI15198" s="422"/>
    </row>
    <row r="15199" spans="191:191" x14ac:dyDescent="0.2">
      <c r="GI15199" s="422"/>
    </row>
    <row r="15200" spans="191:191" x14ac:dyDescent="0.2">
      <c r="GI15200" s="422"/>
    </row>
    <row r="15201" spans="191:191" x14ac:dyDescent="0.2">
      <c r="GI15201" s="422"/>
    </row>
    <row r="15202" spans="191:191" x14ac:dyDescent="0.2">
      <c r="GI15202" s="422"/>
    </row>
    <row r="15203" spans="191:191" x14ac:dyDescent="0.2">
      <c r="GI15203" s="422"/>
    </row>
    <row r="15204" spans="191:191" x14ac:dyDescent="0.2">
      <c r="GI15204" s="422"/>
    </row>
    <row r="15205" spans="191:191" x14ac:dyDescent="0.2">
      <c r="GI15205" s="422"/>
    </row>
    <row r="15206" spans="191:191" x14ac:dyDescent="0.2">
      <c r="GI15206" s="422"/>
    </row>
    <row r="15207" spans="191:191" x14ac:dyDescent="0.2">
      <c r="GI15207" s="422"/>
    </row>
    <row r="15208" spans="191:191" x14ac:dyDescent="0.2">
      <c r="GI15208" s="422"/>
    </row>
    <row r="15209" spans="191:191" x14ac:dyDescent="0.2">
      <c r="GI15209" s="422"/>
    </row>
    <row r="15210" spans="191:191" x14ac:dyDescent="0.2">
      <c r="GI15210" s="422"/>
    </row>
    <row r="15211" spans="191:191" x14ac:dyDescent="0.2">
      <c r="GI15211" s="422"/>
    </row>
    <row r="15212" spans="191:191" x14ac:dyDescent="0.2">
      <c r="GI15212" s="422"/>
    </row>
    <row r="15213" spans="191:191" x14ac:dyDescent="0.2">
      <c r="GI15213" s="422"/>
    </row>
    <row r="15214" spans="191:191" x14ac:dyDescent="0.2">
      <c r="GI15214" s="422"/>
    </row>
    <row r="15215" spans="191:191" x14ac:dyDescent="0.2">
      <c r="GI15215" s="422"/>
    </row>
    <row r="15216" spans="191:191" x14ac:dyDescent="0.2">
      <c r="GI15216" s="422"/>
    </row>
    <row r="15217" spans="191:191" x14ac:dyDescent="0.2">
      <c r="GI15217" s="422"/>
    </row>
    <row r="15218" spans="191:191" x14ac:dyDescent="0.2">
      <c r="GI15218" s="422"/>
    </row>
    <row r="15219" spans="191:191" x14ac:dyDescent="0.2">
      <c r="GI15219" s="422"/>
    </row>
    <row r="15220" spans="191:191" x14ac:dyDescent="0.2">
      <c r="GI15220" s="422"/>
    </row>
    <row r="15221" spans="191:191" x14ac:dyDescent="0.2">
      <c r="GI15221" s="422"/>
    </row>
    <row r="15222" spans="191:191" x14ac:dyDescent="0.2">
      <c r="GI15222" s="422"/>
    </row>
    <row r="15223" spans="191:191" x14ac:dyDescent="0.2">
      <c r="GI15223" s="422"/>
    </row>
    <row r="15224" spans="191:191" x14ac:dyDescent="0.2">
      <c r="GI15224" s="422"/>
    </row>
    <row r="15225" spans="191:191" x14ac:dyDescent="0.2">
      <c r="GI15225" s="422"/>
    </row>
    <row r="15226" spans="191:191" x14ac:dyDescent="0.2">
      <c r="GI15226" s="422"/>
    </row>
    <row r="15227" spans="191:191" x14ac:dyDescent="0.2">
      <c r="GI15227" s="422"/>
    </row>
    <row r="15228" spans="191:191" x14ac:dyDescent="0.2">
      <c r="GI15228" s="422"/>
    </row>
    <row r="15229" spans="191:191" x14ac:dyDescent="0.2">
      <c r="GI15229" s="422"/>
    </row>
    <row r="15230" spans="191:191" x14ac:dyDescent="0.2">
      <c r="GI15230" s="422"/>
    </row>
    <row r="15231" spans="191:191" x14ac:dyDescent="0.2">
      <c r="GI15231" s="422"/>
    </row>
    <row r="15232" spans="191:191" x14ac:dyDescent="0.2">
      <c r="GI15232" s="422"/>
    </row>
    <row r="15233" spans="191:191" x14ac:dyDescent="0.2">
      <c r="GI15233" s="422"/>
    </row>
    <row r="15234" spans="191:191" x14ac:dyDescent="0.2">
      <c r="GI15234" s="422"/>
    </row>
    <row r="15235" spans="191:191" x14ac:dyDescent="0.2">
      <c r="GI15235" s="422"/>
    </row>
    <row r="15236" spans="191:191" x14ac:dyDescent="0.2">
      <c r="GI15236" s="422"/>
    </row>
    <row r="15237" spans="191:191" x14ac:dyDescent="0.2">
      <c r="GI15237" s="422"/>
    </row>
    <row r="15238" spans="191:191" x14ac:dyDescent="0.2">
      <c r="GI15238" s="422"/>
    </row>
    <row r="15239" spans="191:191" x14ac:dyDescent="0.2">
      <c r="GI15239" s="422"/>
    </row>
    <row r="15240" spans="191:191" x14ac:dyDescent="0.2">
      <c r="GI15240" s="422"/>
    </row>
    <row r="15241" spans="191:191" x14ac:dyDescent="0.2">
      <c r="GI15241" s="422"/>
    </row>
    <row r="15242" spans="191:191" x14ac:dyDescent="0.2">
      <c r="GI15242" s="422"/>
    </row>
    <row r="15243" spans="191:191" x14ac:dyDescent="0.2">
      <c r="GI15243" s="422"/>
    </row>
    <row r="15244" spans="191:191" x14ac:dyDescent="0.2">
      <c r="GI15244" s="422"/>
    </row>
    <row r="15245" spans="191:191" x14ac:dyDescent="0.2">
      <c r="GI15245" s="422"/>
    </row>
    <row r="15246" spans="191:191" x14ac:dyDescent="0.2">
      <c r="GI15246" s="422"/>
    </row>
    <row r="15247" spans="191:191" x14ac:dyDescent="0.2">
      <c r="GI15247" s="422"/>
    </row>
    <row r="15248" spans="191:191" x14ac:dyDescent="0.2">
      <c r="GI15248" s="422"/>
    </row>
    <row r="15249" spans="191:191" x14ac:dyDescent="0.2">
      <c r="GI15249" s="422"/>
    </row>
    <row r="15250" spans="191:191" x14ac:dyDescent="0.2">
      <c r="GI15250" s="422"/>
    </row>
    <row r="15251" spans="191:191" x14ac:dyDescent="0.2">
      <c r="GI15251" s="422"/>
    </row>
    <row r="15252" spans="191:191" x14ac:dyDescent="0.2">
      <c r="GI15252" s="422"/>
    </row>
    <row r="15253" spans="191:191" x14ac:dyDescent="0.2">
      <c r="GI15253" s="422"/>
    </row>
    <row r="15254" spans="191:191" x14ac:dyDescent="0.2">
      <c r="GI15254" s="422"/>
    </row>
    <row r="15255" spans="191:191" x14ac:dyDescent="0.2">
      <c r="GI15255" s="422"/>
    </row>
    <row r="15256" spans="191:191" x14ac:dyDescent="0.2">
      <c r="GI15256" s="422"/>
    </row>
    <row r="15257" spans="191:191" x14ac:dyDescent="0.2">
      <c r="GI15257" s="422"/>
    </row>
    <row r="15258" spans="191:191" x14ac:dyDescent="0.2">
      <c r="GI15258" s="422"/>
    </row>
    <row r="15259" spans="191:191" x14ac:dyDescent="0.2">
      <c r="GI15259" s="422"/>
    </row>
    <row r="15260" spans="191:191" x14ac:dyDescent="0.2">
      <c r="GI15260" s="422"/>
    </row>
    <row r="15261" spans="191:191" x14ac:dyDescent="0.2">
      <c r="GI15261" s="422"/>
    </row>
    <row r="15262" spans="191:191" x14ac:dyDescent="0.2">
      <c r="GI15262" s="422"/>
    </row>
    <row r="15263" spans="191:191" x14ac:dyDescent="0.2">
      <c r="GI15263" s="422"/>
    </row>
    <row r="15264" spans="191:191" x14ac:dyDescent="0.2">
      <c r="GI15264" s="422"/>
    </row>
    <row r="15265" spans="191:191" x14ac:dyDescent="0.2">
      <c r="GI15265" s="422"/>
    </row>
    <row r="15266" spans="191:191" x14ac:dyDescent="0.2">
      <c r="GI15266" s="422"/>
    </row>
    <row r="15267" spans="191:191" x14ac:dyDescent="0.2">
      <c r="GI15267" s="422"/>
    </row>
    <row r="15268" spans="191:191" x14ac:dyDescent="0.2">
      <c r="GI15268" s="422"/>
    </row>
    <row r="15269" spans="191:191" x14ac:dyDescent="0.2">
      <c r="GI15269" s="422"/>
    </row>
    <row r="15270" spans="191:191" x14ac:dyDescent="0.2">
      <c r="GI15270" s="422"/>
    </row>
    <row r="15271" spans="191:191" x14ac:dyDescent="0.2">
      <c r="GI15271" s="422"/>
    </row>
    <row r="15272" spans="191:191" x14ac:dyDescent="0.2">
      <c r="GI15272" s="422"/>
    </row>
    <row r="15273" spans="191:191" x14ac:dyDescent="0.2">
      <c r="GI15273" s="422"/>
    </row>
    <row r="15274" spans="191:191" x14ac:dyDescent="0.2">
      <c r="GI15274" s="422"/>
    </row>
    <row r="15275" spans="191:191" x14ac:dyDescent="0.2">
      <c r="GI15275" s="422"/>
    </row>
    <row r="15276" spans="191:191" x14ac:dyDescent="0.2">
      <c r="GI15276" s="422"/>
    </row>
    <row r="15277" spans="191:191" x14ac:dyDescent="0.2">
      <c r="GI15277" s="422"/>
    </row>
    <row r="15278" spans="191:191" x14ac:dyDescent="0.2">
      <c r="GI15278" s="422"/>
    </row>
    <row r="15279" spans="191:191" x14ac:dyDescent="0.2">
      <c r="GI15279" s="422"/>
    </row>
    <row r="15280" spans="191:191" x14ac:dyDescent="0.2">
      <c r="GI15280" s="422"/>
    </row>
    <row r="15281" spans="191:191" x14ac:dyDescent="0.2">
      <c r="GI15281" s="422"/>
    </row>
    <row r="15282" spans="191:191" x14ac:dyDescent="0.2">
      <c r="GI15282" s="422"/>
    </row>
    <row r="15283" spans="191:191" x14ac:dyDescent="0.2">
      <c r="GI15283" s="422"/>
    </row>
    <row r="15284" spans="191:191" x14ac:dyDescent="0.2">
      <c r="GI15284" s="422"/>
    </row>
    <row r="15285" spans="191:191" x14ac:dyDescent="0.2">
      <c r="GI15285" s="422"/>
    </row>
    <row r="15286" spans="191:191" x14ac:dyDescent="0.2">
      <c r="GI15286" s="422"/>
    </row>
    <row r="15287" spans="191:191" x14ac:dyDescent="0.2">
      <c r="GI15287" s="422"/>
    </row>
    <row r="15288" spans="191:191" x14ac:dyDescent="0.2">
      <c r="GI15288" s="422"/>
    </row>
    <row r="15289" spans="191:191" x14ac:dyDescent="0.2">
      <c r="GI15289" s="422"/>
    </row>
    <row r="15290" spans="191:191" x14ac:dyDescent="0.2">
      <c r="GI15290" s="422"/>
    </row>
    <row r="15291" spans="191:191" x14ac:dyDescent="0.2">
      <c r="GI15291" s="422"/>
    </row>
    <row r="15292" spans="191:191" x14ac:dyDescent="0.2">
      <c r="GI15292" s="422"/>
    </row>
    <row r="15293" spans="191:191" x14ac:dyDescent="0.2">
      <c r="GI15293" s="422"/>
    </row>
    <row r="15294" spans="191:191" x14ac:dyDescent="0.2">
      <c r="GI15294" s="422"/>
    </row>
    <row r="15295" spans="191:191" x14ac:dyDescent="0.2">
      <c r="GI15295" s="422"/>
    </row>
    <row r="15296" spans="191:191" x14ac:dyDescent="0.2">
      <c r="GI15296" s="422"/>
    </row>
    <row r="15297" spans="191:191" x14ac:dyDescent="0.2">
      <c r="GI15297" s="422"/>
    </row>
    <row r="15298" spans="191:191" x14ac:dyDescent="0.2">
      <c r="GI15298" s="422"/>
    </row>
    <row r="15299" spans="191:191" x14ac:dyDescent="0.2">
      <c r="GI15299" s="422"/>
    </row>
    <row r="15300" spans="191:191" x14ac:dyDescent="0.2">
      <c r="GI15300" s="422"/>
    </row>
    <row r="15301" spans="191:191" x14ac:dyDescent="0.2">
      <c r="GI15301" s="422"/>
    </row>
    <row r="15302" spans="191:191" x14ac:dyDescent="0.2">
      <c r="GI15302" s="422"/>
    </row>
    <row r="15303" spans="191:191" x14ac:dyDescent="0.2">
      <c r="GI15303" s="422"/>
    </row>
    <row r="15304" spans="191:191" x14ac:dyDescent="0.2">
      <c r="GI15304" s="422"/>
    </row>
    <row r="15305" spans="191:191" x14ac:dyDescent="0.2">
      <c r="GI15305" s="422"/>
    </row>
    <row r="15306" spans="191:191" x14ac:dyDescent="0.2">
      <c r="GI15306" s="422"/>
    </row>
    <row r="15307" spans="191:191" x14ac:dyDescent="0.2">
      <c r="GI15307" s="422"/>
    </row>
    <row r="15308" spans="191:191" x14ac:dyDescent="0.2">
      <c r="GI15308" s="422"/>
    </row>
    <row r="15309" spans="191:191" x14ac:dyDescent="0.2">
      <c r="GI15309" s="422"/>
    </row>
    <row r="15310" spans="191:191" x14ac:dyDescent="0.2">
      <c r="GI15310" s="422"/>
    </row>
    <row r="15311" spans="191:191" x14ac:dyDescent="0.2">
      <c r="GI15311" s="422"/>
    </row>
    <row r="15312" spans="191:191" x14ac:dyDescent="0.2">
      <c r="GI15312" s="422"/>
    </row>
    <row r="15313" spans="191:191" x14ac:dyDescent="0.2">
      <c r="GI15313" s="422"/>
    </row>
    <row r="15314" spans="191:191" x14ac:dyDescent="0.2">
      <c r="GI15314" s="422"/>
    </row>
    <row r="15315" spans="191:191" x14ac:dyDescent="0.2">
      <c r="GI15315" s="422"/>
    </row>
    <row r="15316" spans="191:191" x14ac:dyDescent="0.2">
      <c r="GI15316" s="422"/>
    </row>
    <row r="15317" spans="191:191" x14ac:dyDescent="0.2">
      <c r="GI15317" s="422"/>
    </row>
    <row r="15318" spans="191:191" x14ac:dyDescent="0.2">
      <c r="GI15318" s="422"/>
    </row>
    <row r="15319" spans="191:191" x14ac:dyDescent="0.2">
      <c r="GI15319" s="422"/>
    </row>
    <row r="15320" spans="191:191" x14ac:dyDescent="0.2">
      <c r="GI15320" s="422"/>
    </row>
    <row r="15321" spans="191:191" x14ac:dyDescent="0.2">
      <c r="GI15321" s="422"/>
    </row>
    <row r="15322" spans="191:191" x14ac:dyDescent="0.2">
      <c r="GI15322" s="422"/>
    </row>
    <row r="15323" spans="191:191" x14ac:dyDescent="0.2">
      <c r="GI15323" s="422"/>
    </row>
    <row r="15324" spans="191:191" x14ac:dyDescent="0.2">
      <c r="GI15324" s="422"/>
    </row>
    <row r="15325" spans="191:191" x14ac:dyDescent="0.2">
      <c r="GI15325" s="422"/>
    </row>
    <row r="15326" spans="191:191" x14ac:dyDescent="0.2">
      <c r="GI15326" s="422"/>
    </row>
    <row r="15327" spans="191:191" x14ac:dyDescent="0.2">
      <c r="GI15327" s="422"/>
    </row>
    <row r="15328" spans="191:191" x14ac:dyDescent="0.2">
      <c r="GI15328" s="422"/>
    </row>
    <row r="15329" spans="191:191" x14ac:dyDescent="0.2">
      <c r="GI15329" s="422"/>
    </row>
    <row r="15330" spans="191:191" x14ac:dyDescent="0.2">
      <c r="GI15330" s="422"/>
    </row>
    <row r="15331" spans="191:191" x14ac:dyDescent="0.2">
      <c r="GI15331" s="422"/>
    </row>
    <row r="15332" spans="191:191" x14ac:dyDescent="0.2">
      <c r="GI15332" s="422"/>
    </row>
    <row r="15333" spans="191:191" x14ac:dyDescent="0.2">
      <c r="GI15333" s="422"/>
    </row>
    <row r="15334" spans="191:191" x14ac:dyDescent="0.2">
      <c r="GI15334" s="422"/>
    </row>
    <row r="15335" spans="191:191" x14ac:dyDescent="0.2">
      <c r="GI15335" s="422"/>
    </row>
    <row r="15336" spans="191:191" x14ac:dyDescent="0.2">
      <c r="GI15336" s="422"/>
    </row>
    <row r="15337" spans="191:191" x14ac:dyDescent="0.2">
      <c r="GI15337" s="422"/>
    </row>
    <row r="15338" spans="191:191" x14ac:dyDescent="0.2">
      <c r="GI15338" s="422"/>
    </row>
    <row r="15339" spans="191:191" x14ac:dyDescent="0.2">
      <c r="GI15339" s="422"/>
    </row>
    <row r="15340" spans="191:191" x14ac:dyDescent="0.2">
      <c r="GI15340" s="422"/>
    </row>
    <row r="15341" spans="191:191" x14ac:dyDescent="0.2">
      <c r="GI15341" s="422"/>
    </row>
    <row r="15342" spans="191:191" x14ac:dyDescent="0.2">
      <c r="GI15342" s="422"/>
    </row>
    <row r="15343" spans="191:191" x14ac:dyDescent="0.2">
      <c r="GI15343" s="422"/>
    </row>
    <row r="15344" spans="191:191" x14ac:dyDescent="0.2">
      <c r="GI15344" s="422"/>
    </row>
    <row r="15345" spans="191:191" x14ac:dyDescent="0.2">
      <c r="GI15345" s="422"/>
    </row>
    <row r="15346" spans="191:191" x14ac:dyDescent="0.2">
      <c r="GI15346" s="422"/>
    </row>
    <row r="15347" spans="191:191" x14ac:dyDescent="0.2">
      <c r="GI15347" s="422"/>
    </row>
    <row r="15348" spans="191:191" x14ac:dyDescent="0.2">
      <c r="GI15348" s="422"/>
    </row>
    <row r="15349" spans="191:191" x14ac:dyDescent="0.2">
      <c r="GI15349" s="422"/>
    </row>
    <row r="15350" spans="191:191" x14ac:dyDescent="0.2">
      <c r="GI15350" s="422"/>
    </row>
    <row r="15351" spans="191:191" x14ac:dyDescent="0.2">
      <c r="GI15351" s="422"/>
    </row>
    <row r="15352" spans="191:191" x14ac:dyDescent="0.2">
      <c r="GI15352" s="422"/>
    </row>
    <row r="15353" spans="191:191" x14ac:dyDescent="0.2">
      <c r="GI15353" s="422"/>
    </row>
    <row r="15354" spans="191:191" x14ac:dyDescent="0.2">
      <c r="GI15354" s="422"/>
    </row>
    <row r="15355" spans="191:191" x14ac:dyDescent="0.2">
      <c r="GI15355" s="422"/>
    </row>
    <row r="15356" spans="191:191" x14ac:dyDescent="0.2">
      <c r="GI15356" s="422"/>
    </row>
    <row r="15357" spans="191:191" x14ac:dyDescent="0.2">
      <c r="GI15357" s="422"/>
    </row>
    <row r="15358" spans="191:191" x14ac:dyDescent="0.2">
      <c r="GI15358" s="422"/>
    </row>
    <row r="15359" spans="191:191" x14ac:dyDescent="0.2">
      <c r="GI15359" s="422"/>
    </row>
    <row r="15360" spans="191:191" x14ac:dyDescent="0.2">
      <c r="GI15360" s="422"/>
    </row>
    <row r="15361" spans="191:191" x14ac:dyDescent="0.2">
      <c r="GI15361" s="422"/>
    </row>
    <row r="15362" spans="191:191" x14ac:dyDescent="0.2">
      <c r="GI15362" s="422"/>
    </row>
    <row r="15363" spans="191:191" x14ac:dyDescent="0.2">
      <c r="GI15363" s="422"/>
    </row>
    <row r="15364" spans="191:191" x14ac:dyDescent="0.2">
      <c r="GI15364" s="422"/>
    </row>
    <row r="15365" spans="191:191" x14ac:dyDescent="0.2">
      <c r="GI15365" s="422"/>
    </row>
    <row r="15366" spans="191:191" x14ac:dyDescent="0.2">
      <c r="GI15366" s="422"/>
    </row>
    <row r="15367" spans="191:191" x14ac:dyDescent="0.2">
      <c r="GI15367" s="422"/>
    </row>
    <row r="15368" spans="191:191" x14ac:dyDescent="0.2">
      <c r="GI15368" s="422"/>
    </row>
    <row r="15369" spans="191:191" x14ac:dyDescent="0.2">
      <c r="GI15369" s="422"/>
    </row>
    <row r="15370" spans="191:191" x14ac:dyDescent="0.2">
      <c r="GI15370" s="422"/>
    </row>
    <row r="15371" spans="191:191" x14ac:dyDescent="0.2">
      <c r="GI15371" s="422"/>
    </row>
    <row r="15372" spans="191:191" x14ac:dyDescent="0.2">
      <c r="GI15372" s="422"/>
    </row>
    <row r="15373" spans="191:191" x14ac:dyDescent="0.2">
      <c r="GI15373" s="422"/>
    </row>
    <row r="15374" spans="191:191" x14ac:dyDescent="0.2">
      <c r="GI15374" s="422"/>
    </row>
    <row r="15375" spans="191:191" x14ac:dyDescent="0.2">
      <c r="GI15375" s="422"/>
    </row>
    <row r="15376" spans="191:191" x14ac:dyDescent="0.2">
      <c r="GI15376" s="422"/>
    </row>
    <row r="15377" spans="191:191" x14ac:dyDescent="0.2">
      <c r="GI15377" s="422"/>
    </row>
    <row r="15378" spans="191:191" x14ac:dyDescent="0.2">
      <c r="GI15378" s="422"/>
    </row>
    <row r="15379" spans="191:191" x14ac:dyDescent="0.2">
      <c r="GI15379" s="422"/>
    </row>
    <row r="15380" spans="191:191" x14ac:dyDescent="0.2">
      <c r="GI15380" s="422"/>
    </row>
    <row r="15381" spans="191:191" x14ac:dyDescent="0.2">
      <c r="GI15381" s="422"/>
    </row>
    <row r="15382" spans="191:191" x14ac:dyDescent="0.2">
      <c r="GI15382" s="422"/>
    </row>
    <row r="15383" spans="191:191" x14ac:dyDescent="0.2">
      <c r="GI15383" s="422"/>
    </row>
    <row r="15384" spans="191:191" x14ac:dyDescent="0.2">
      <c r="GI15384" s="422"/>
    </row>
    <row r="15385" spans="191:191" x14ac:dyDescent="0.2">
      <c r="GI15385" s="422"/>
    </row>
    <row r="15386" spans="191:191" x14ac:dyDescent="0.2">
      <c r="GI15386" s="422"/>
    </row>
    <row r="15387" spans="191:191" x14ac:dyDescent="0.2">
      <c r="GI15387" s="422"/>
    </row>
    <row r="15388" spans="191:191" x14ac:dyDescent="0.2">
      <c r="GI15388" s="422"/>
    </row>
    <row r="15389" spans="191:191" x14ac:dyDescent="0.2">
      <c r="GI15389" s="422"/>
    </row>
    <row r="15390" spans="191:191" x14ac:dyDescent="0.2">
      <c r="GI15390" s="422"/>
    </row>
    <row r="15391" spans="191:191" x14ac:dyDescent="0.2">
      <c r="GI15391" s="422"/>
    </row>
    <row r="15392" spans="191:191" x14ac:dyDescent="0.2">
      <c r="GI15392" s="422"/>
    </row>
    <row r="15393" spans="191:191" x14ac:dyDescent="0.2">
      <c r="GI15393" s="422"/>
    </row>
    <row r="15394" spans="191:191" x14ac:dyDescent="0.2">
      <c r="GI15394" s="422"/>
    </row>
    <row r="15395" spans="191:191" x14ac:dyDescent="0.2">
      <c r="GI15395" s="422"/>
    </row>
    <row r="15396" spans="191:191" x14ac:dyDescent="0.2">
      <c r="GI15396" s="422"/>
    </row>
    <row r="15397" spans="191:191" x14ac:dyDescent="0.2">
      <c r="GI15397" s="422"/>
    </row>
    <row r="15398" spans="191:191" x14ac:dyDescent="0.2">
      <c r="GI15398" s="422"/>
    </row>
    <row r="15399" spans="191:191" x14ac:dyDescent="0.2">
      <c r="GI15399" s="422"/>
    </row>
    <row r="15400" spans="191:191" x14ac:dyDescent="0.2">
      <c r="GI15400" s="422"/>
    </row>
    <row r="15401" spans="191:191" x14ac:dyDescent="0.2">
      <c r="GI15401" s="422"/>
    </row>
    <row r="15402" spans="191:191" x14ac:dyDescent="0.2">
      <c r="GI15402" s="422"/>
    </row>
    <row r="15403" spans="191:191" x14ac:dyDescent="0.2">
      <c r="GI15403" s="422"/>
    </row>
    <row r="15404" spans="191:191" x14ac:dyDescent="0.2">
      <c r="GI15404" s="422"/>
    </row>
    <row r="15405" spans="191:191" x14ac:dyDescent="0.2">
      <c r="GI15405" s="422"/>
    </row>
    <row r="15406" spans="191:191" x14ac:dyDescent="0.2">
      <c r="GI15406" s="422"/>
    </row>
    <row r="15407" spans="191:191" x14ac:dyDescent="0.2">
      <c r="GI15407" s="422"/>
    </row>
    <row r="15408" spans="191:191" x14ac:dyDescent="0.2">
      <c r="GI15408" s="422"/>
    </row>
    <row r="15409" spans="191:191" x14ac:dyDescent="0.2">
      <c r="GI15409" s="422"/>
    </row>
    <row r="15410" spans="191:191" x14ac:dyDescent="0.2">
      <c r="GI15410" s="422"/>
    </row>
    <row r="15411" spans="191:191" x14ac:dyDescent="0.2">
      <c r="GI15411" s="422"/>
    </row>
    <row r="15412" spans="191:191" x14ac:dyDescent="0.2">
      <c r="GI15412" s="422"/>
    </row>
    <row r="15413" spans="191:191" x14ac:dyDescent="0.2">
      <c r="GI15413" s="422"/>
    </row>
    <row r="15414" spans="191:191" x14ac:dyDescent="0.2">
      <c r="GI15414" s="422"/>
    </row>
    <row r="15415" spans="191:191" x14ac:dyDescent="0.2">
      <c r="GI15415" s="422"/>
    </row>
    <row r="15416" spans="191:191" x14ac:dyDescent="0.2">
      <c r="GI15416" s="422"/>
    </row>
    <row r="15417" spans="191:191" x14ac:dyDescent="0.2">
      <c r="GI15417" s="422"/>
    </row>
    <row r="15418" spans="191:191" x14ac:dyDescent="0.2">
      <c r="GI15418" s="422"/>
    </row>
    <row r="15419" spans="191:191" x14ac:dyDescent="0.2">
      <c r="GI15419" s="422"/>
    </row>
    <row r="15420" spans="191:191" x14ac:dyDescent="0.2">
      <c r="GI15420" s="422"/>
    </row>
    <row r="15421" spans="191:191" x14ac:dyDescent="0.2">
      <c r="GI15421" s="422"/>
    </row>
    <row r="15422" spans="191:191" x14ac:dyDescent="0.2">
      <c r="GI15422" s="422"/>
    </row>
    <row r="15423" spans="191:191" x14ac:dyDescent="0.2">
      <c r="GI15423" s="422"/>
    </row>
    <row r="15424" spans="191:191" x14ac:dyDescent="0.2">
      <c r="GI15424" s="422"/>
    </row>
    <row r="15425" spans="191:191" x14ac:dyDescent="0.2">
      <c r="GI15425" s="422"/>
    </row>
    <row r="15426" spans="191:191" x14ac:dyDescent="0.2">
      <c r="GI15426" s="422"/>
    </row>
    <row r="15427" spans="191:191" x14ac:dyDescent="0.2">
      <c r="GI15427" s="422"/>
    </row>
    <row r="15428" spans="191:191" x14ac:dyDescent="0.2">
      <c r="GI15428" s="422"/>
    </row>
    <row r="15429" spans="191:191" x14ac:dyDescent="0.2">
      <c r="GI15429" s="422"/>
    </row>
    <row r="15430" spans="191:191" x14ac:dyDescent="0.2">
      <c r="GI15430" s="422"/>
    </row>
    <row r="15431" spans="191:191" x14ac:dyDescent="0.2">
      <c r="GI15431" s="422"/>
    </row>
    <row r="15432" spans="191:191" x14ac:dyDescent="0.2">
      <c r="GI15432" s="422"/>
    </row>
    <row r="15433" spans="191:191" x14ac:dyDescent="0.2">
      <c r="GI15433" s="422"/>
    </row>
    <row r="15434" spans="191:191" x14ac:dyDescent="0.2">
      <c r="GI15434" s="422"/>
    </row>
    <row r="15435" spans="191:191" x14ac:dyDescent="0.2">
      <c r="GI15435" s="422"/>
    </row>
    <row r="15436" spans="191:191" x14ac:dyDescent="0.2">
      <c r="GI15436" s="422"/>
    </row>
    <row r="15437" spans="191:191" x14ac:dyDescent="0.2">
      <c r="GI15437" s="422"/>
    </row>
    <row r="15438" spans="191:191" x14ac:dyDescent="0.2">
      <c r="GI15438" s="422"/>
    </row>
    <row r="15439" spans="191:191" x14ac:dyDescent="0.2">
      <c r="GI15439" s="422"/>
    </row>
    <row r="15440" spans="191:191" x14ac:dyDescent="0.2">
      <c r="GI15440" s="422"/>
    </row>
    <row r="15441" spans="191:191" x14ac:dyDescent="0.2">
      <c r="GI15441" s="422"/>
    </row>
    <row r="15442" spans="191:191" x14ac:dyDescent="0.2">
      <c r="GI15442" s="422"/>
    </row>
    <row r="15443" spans="191:191" x14ac:dyDescent="0.2">
      <c r="GI15443" s="422"/>
    </row>
    <row r="15444" spans="191:191" x14ac:dyDescent="0.2">
      <c r="GI15444" s="422"/>
    </row>
    <row r="15445" spans="191:191" x14ac:dyDescent="0.2">
      <c r="GI15445" s="422"/>
    </row>
    <row r="15446" spans="191:191" x14ac:dyDescent="0.2">
      <c r="GI15446" s="422"/>
    </row>
    <row r="15447" spans="191:191" x14ac:dyDescent="0.2">
      <c r="GI15447" s="422"/>
    </row>
    <row r="15448" spans="191:191" x14ac:dyDescent="0.2">
      <c r="GI15448" s="422"/>
    </row>
    <row r="15449" spans="191:191" x14ac:dyDescent="0.2">
      <c r="GI15449" s="422"/>
    </row>
    <row r="15450" spans="191:191" x14ac:dyDescent="0.2">
      <c r="GI15450" s="422"/>
    </row>
    <row r="15451" spans="191:191" x14ac:dyDescent="0.2">
      <c r="GI15451" s="422"/>
    </row>
    <row r="15452" spans="191:191" x14ac:dyDescent="0.2">
      <c r="GI15452" s="422"/>
    </row>
    <row r="15453" spans="191:191" x14ac:dyDescent="0.2">
      <c r="GI15453" s="422"/>
    </row>
    <row r="15454" spans="191:191" x14ac:dyDescent="0.2">
      <c r="GI15454" s="422"/>
    </row>
    <row r="15455" spans="191:191" x14ac:dyDescent="0.2">
      <c r="GI15455" s="422"/>
    </row>
    <row r="15456" spans="191:191" x14ac:dyDescent="0.2">
      <c r="GI15456" s="422"/>
    </row>
    <row r="15457" spans="191:191" x14ac:dyDescent="0.2">
      <c r="GI15457" s="422"/>
    </row>
    <row r="15458" spans="191:191" x14ac:dyDescent="0.2">
      <c r="GI15458" s="422"/>
    </row>
    <row r="15459" spans="191:191" x14ac:dyDescent="0.2">
      <c r="GI15459" s="422"/>
    </row>
    <row r="15460" spans="191:191" x14ac:dyDescent="0.2">
      <c r="GI15460" s="422"/>
    </row>
    <row r="15461" spans="191:191" x14ac:dyDescent="0.2">
      <c r="GI15461" s="422"/>
    </row>
    <row r="15462" spans="191:191" x14ac:dyDescent="0.2">
      <c r="GI15462" s="422"/>
    </row>
    <row r="15463" spans="191:191" x14ac:dyDescent="0.2">
      <c r="GI15463" s="422"/>
    </row>
    <row r="15464" spans="191:191" x14ac:dyDescent="0.2">
      <c r="GI15464" s="422"/>
    </row>
    <row r="15465" spans="191:191" x14ac:dyDescent="0.2">
      <c r="GI15465" s="422"/>
    </row>
    <row r="15466" spans="191:191" x14ac:dyDescent="0.2">
      <c r="GI15466" s="422"/>
    </row>
    <row r="15467" spans="191:191" x14ac:dyDescent="0.2">
      <c r="GI15467" s="422"/>
    </row>
    <row r="15468" spans="191:191" x14ac:dyDescent="0.2">
      <c r="GI15468" s="422"/>
    </row>
    <row r="15469" spans="191:191" x14ac:dyDescent="0.2">
      <c r="GI15469" s="422"/>
    </row>
    <row r="15470" spans="191:191" x14ac:dyDescent="0.2">
      <c r="GI15470" s="422"/>
    </row>
    <row r="15471" spans="191:191" x14ac:dyDescent="0.2">
      <c r="GI15471" s="422"/>
    </row>
    <row r="15472" spans="191:191" x14ac:dyDescent="0.2">
      <c r="GI15472" s="422"/>
    </row>
    <row r="15473" spans="191:191" x14ac:dyDescent="0.2">
      <c r="GI15473" s="422"/>
    </row>
    <row r="15474" spans="191:191" x14ac:dyDescent="0.2">
      <c r="GI15474" s="422"/>
    </row>
    <row r="15475" spans="191:191" x14ac:dyDescent="0.2">
      <c r="GI15475" s="422"/>
    </row>
    <row r="15476" spans="191:191" x14ac:dyDescent="0.2">
      <c r="GI15476" s="422"/>
    </row>
    <row r="15477" spans="191:191" x14ac:dyDescent="0.2">
      <c r="GI15477" s="422"/>
    </row>
    <row r="15478" spans="191:191" x14ac:dyDescent="0.2">
      <c r="GI15478" s="422"/>
    </row>
    <row r="15479" spans="191:191" x14ac:dyDescent="0.2">
      <c r="GI15479" s="422"/>
    </row>
    <row r="15480" spans="191:191" x14ac:dyDescent="0.2">
      <c r="GI15480" s="422"/>
    </row>
    <row r="15481" spans="191:191" x14ac:dyDescent="0.2">
      <c r="GI15481" s="422"/>
    </row>
    <row r="15482" spans="191:191" x14ac:dyDescent="0.2">
      <c r="GI15482" s="422"/>
    </row>
    <row r="15483" spans="191:191" x14ac:dyDescent="0.2">
      <c r="GI15483" s="422"/>
    </row>
    <row r="15484" spans="191:191" x14ac:dyDescent="0.2">
      <c r="GI15484" s="422"/>
    </row>
    <row r="15485" spans="191:191" x14ac:dyDescent="0.2">
      <c r="GI15485" s="422"/>
    </row>
    <row r="15486" spans="191:191" x14ac:dyDescent="0.2">
      <c r="GI15486" s="422"/>
    </row>
    <row r="15487" spans="191:191" x14ac:dyDescent="0.2">
      <c r="GI15487" s="422"/>
    </row>
    <row r="15488" spans="191:191" x14ac:dyDescent="0.2">
      <c r="GI15488" s="422"/>
    </row>
    <row r="15489" spans="191:191" x14ac:dyDescent="0.2">
      <c r="GI15489" s="422"/>
    </row>
    <row r="15490" spans="191:191" x14ac:dyDescent="0.2">
      <c r="GI15490" s="422"/>
    </row>
    <row r="15491" spans="191:191" x14ac:dyDescent="0.2">
      <c r="GI15491" s="422"/>
    </row>
    <row r="15492" spans="191:191" x14ac:dyDescent="0.2">
      <c r="GI15492" s="422"/>
    </row>
    <row r="15493" spans="191:191" x14ac:dyDescent="0.2">
      <c r="GI15493" s="422"/>
    </row>
    <row r="15494" spans="191:191" x14ac:dyDescent="0.2">
      <c r="GI15494" s="422"/>
    </row>
    <row r="15495" spans="191:191" x14ac:dyDescent="0.2">
      <c r="GI15495" s="422"/>
    </row>
    <row r="15496" spans="191:191" x14ac:dyDescent="0.2">
      <c r="GI15496" s="422"/>
    </row>
    <row r="15497" spans="191:191" x14ac:dyDescent="0.2">
      <c r="GI15497" s="422"/>
    </row>
    <row r="15498" spans="191:191" x14ac:dyDescent="0.2">
      <c r="GI15498" s="422"/>
    </row>
    <row r="15499" spans="191:191" x14ac:dyDescent="0.2">
      <c r="GI15499" s="422"/>
    </row>
    <row r="15500" spans="191:191" x14ac:dyDescent="0.2">
      <c r="GI15500" s="422"/>
    </row>
    <row r="15501" spans="191:191" x14ac:dyDescent="0.2">
      <c r="GI15501" s="422"/>
    </row>
    <row r="15502" spans="191:191" x14ac:dyDescent="0.2">
      <c r="GI15502" s="422"/>
    </row>
    <row r="15503" spans="191:191" x14ac:dyDescent="0.2">
      <c r="GI15503" s="422"/>
    </row>
    <row r="15504" spans="191:191" x14ac:dyDescent="0.2">
      <c r="GI15504" s="422"/>
    </row>
    <row r="15505" spans="191:191" x14ac:dyDescent="0.2">
      <c r="GI15505" s="422"/>
    </row>
    <row r="15506" spans="191:191" x14ac:dyDescent="0.2">
      <c r="GI15506" s="422"/>
    </row>
    <row r="15507" spans="191:191" x14ac:dyDescent="0.2">
      <c r="GI15507" s="422"/>
    </row>
    <row r="15508" spans="191:191" x14ac:dyDescent="0.2">
      <c r="GI15508" s="422"/>
    </row>
    <row r="15509" spans="191:191" x14ac:dyDescent="0.2">
      <c r="GI15509" s="422"/>
    </row>
    <row r="15510" spans="191:191" x14ac:dyDescent="0.2">
      <c r="GI15510" s="422"/>
    </row>
    <row r="15511" spans="191:191" x14ac:dyDescent="0.2">
      <c r="GI15511" s="422"/>
    </row>
    <row r="15512" spans="191:191" x14ac:dyDescent="0.2">
      <c r="GI15512" s="422"/>
    </row>
    <row r="15513" spans="191:191" x14ac:dyDescent="0.2">
      <c r="GI15513" s="422"/>
    </row>
    <row r="15514" spans="191:191" x14ac:dyDescent="0.2">
      <c r="GI15514" s="422"/>
    </row>
    <row r="15515" spans="191:191" x14ac:dyDescent="0.2">
      <c r="GI15515" s="422"/>
    </row>
    <row r="15516" spans="191:191" x14ac:dyDescent="0.2">
      <c r="GI15516" s="422"/>
    </row>
    <row r="15517" spans="191:191" x14ac:dyDescent="0.2">
      <c r="GI15517" s="422"/>
    </row>
    <row r="15518" spans="191:191" x14ac:dyDescent="0.2">
      <c r="GI15518" s="422"/>
    </row>
    <row r="15519" spans="191:191" x14ac:dyDescent="0.2">
      <c r="GI15519" s="422"/>
    </row>
    <row r="15520" spans="191:191" x14ac:dyDescent="0.2">
      <c r="GI15520" s="422"/>
    </row>
    <row r="15521" spans="191:191" x14ac:dyDescent="0.2">
      <c r="GI15521" s="422"/>
    </row>
    <row r="15522" spans="191:191" x14ac:dyDescent="0.2">
      <c r="GI15522" s="422"/>
    </row>
    <row r="15523" spans="191:191" x14ac:dyDescent="0.2">
      <c r="GI15523" s="422"/>
    </row>
    <row r="15524" spans="191:191" x14ac:dyDescent="0.2">
      <c r="GI15524" s="422"/>
    </row>
    <row r="15525" spans="191:191" x14ac:dyDescent="0.2">
      <c r="GI15525" s="422"/>
    </row>
    <row r="15526" spans="191:191" x14ac:dyDescent="0.2">
      <c r="GI15526" s="422"/>
    </row>
    <row r="15527" spans="191:191" x14ac:dyDescent="0.2">
      <c r="GI15527" s="422"/>
    </row>
    <row r="15528" spans="191:191" x14ac:dyDescent="0.2">
      <c r="GI15528" s="422"/>
    </row>
    <row r="15529" spans="191:191" x14ac:dyDescent="0.2">
      <c r="GI15529" s="422"/>
    </row>
    <row r="15530" spans="191:191" x14ac:dyDescent="0.2">
      <c r="GI15530" s="422"/>
    </row>
    <row r="15531" spans="191:191" x14ac:dyDescent="0.2">
      <c r="GI15531" s="422"/>
    </row>
    <row r="15532" spans="191:191" x14ac:dyDescent="0.2">
      <c r="GI15532" s="422"/>
    </row>
    <row r="15533" spans="191:191" x14ac:dyDescent="0.2">
      <c r="GI15533" s="422"/>
    </row>
    <row r="15534" spans="191:191" x14ac:dyDescent="0.2">
      <c r="GI15534" s="422"/>
    </row>
    <row r="15535" spans="191:191" x14ac:dyDescent="0.2">
      <c r="GI15535" s="422"/>
    </row>
    <row r="15536" spans="191:191" x14ac:dyDescent="0.2">
      <c r="GI15536" s="422"/>
    </row>
    <row r="15537" spans="191:191" x14ac:dyDescent="0.2">
      <c r="GI15537" s="422"/>
    </row>
    <row r="15538" spans="191:191" x14ac:dyDescent="0.2">
      <c r="GI15538" s="422"/>
    </row>
    <row r="15539" spans="191:191" x14ac:dyDescent="0.2">
      <c r="GI15539" s="422"/>
    </row>
    <row r="15540" spans="191:191" x14ac:dyDescent="0.2">
      <c r="GI15540" s="422"/>
    </row>
    <row r="15541" spans="191:191" x14ac:dyDescent="0.2">
      <c r="GI15541" s="422"/>
    </row>
    <row r="15542" spans="191:191" x14ac:dyDescent="0.2">
      <c r="GI15542" s="422"/>
    </row>
    <row r="15543" spans="191:191" x14ac:dyDescent="0.2">
      <c r="GI15543" s="422"/>
    </row>
    <row r="15544" spans="191:191" x14ac:dyDescent="0.2">
      <c r="GI15544" s="422"/>
    </row>
    <row r="15545" spans="191:191" x14ac:dyDescent="0.2">
      <c r="GI15545" s="422"/>
    </row>
    <row r="15546" spans="191:191" x14ac:dyDescent="0.2">
      <c r="GI15546" s="422"/>
    </row>
    <row r="15547" spans="191:191" x14ac:dyDescent="0.2">
      <c r="GI15547" s="422"/>
    </row>
    <row r="15548" spans="191:191" x14ac:dyDescent="0.2">
      <c r="GI15548" s="422"/>
    </row>
    <row r="15549" spans="191:191" x14ac:dyDescent="0.2">
      <c r="GI15549" s="422"/>
    </row>
    <row r="15550" spans="191:191" x14ac:dyDescent="0.2">
      <c r="GI15550" s="422"/>
    </row>
    <row r="15551" spans="191:191" x14ac:dyDescent="0.2">
      <c r="GI15551" s="422"/>
    </row>
    <row r="15552" spans="191:191" x14ac:dyDescent="0.2">
      <c r="GI15552" s="422"/>
    </row>
    <row r="15553" spans="191:191" x14ac:dyDescent="0.2">
      <c r="GI15553" s="422"/>
    </row>
    <row r="15554" spans="191:191" x14ac:dyDescent="0.2">
      <c r="GI15554" s="422"/>
    </row>
    <row r="15555" spans="191:191" x14ac:dyDescent="0.2">
      <c r="GI15555" s="422"/>
    </row>
    <row r="15556" spans="191:191" x14ac:dyDescent="0.2">
      <c r="GI15556" s="422"/>
    </row>
    <row r="15557" spans="191:191" x14ac:dyDescent="0.2">
      <c r="GI15557" s="422"/>
    </row>
    <row r="15558" spans="191:191" x14ac:dyDescent="0.2">
      <c r="GI15558" s="422"/>
    </row>
    <row r="15559" spans="191:191" x14ac:dyDescent="0.2">
      <c r="GI15559" s="422"/>
    </row>
    <row r="15560" spans="191:191" x14ac:dyDescent="0.2">
      <c r="GI15560" s="422"/>
    </row>
    <row r="15561" spans="191:191" x14ac:dyDescent="0.2">
      <c r="GI15561" s="422"/>
    </row>
    <row r="15562" spans="191:191" x14ac:dyDescent="0.2">
      <c r="GI15562" s="422"/>
    </row>
    <row r="15563" spans="191:191" x14ac:dyDescent="0.2">
      <c r="GI15563" s="422"/>
    </row>
    <row r="15564" spans="191:191" x14ac:dyDescent="0.2">
      <c r="GI15564" s="422"/>
    </row>
    <row r="15565" spans="191:191" x14ac:dyDescent="0.2">
      <c r="GI15565" s="422"/>
    </row>
    <row r="15566" spans="191:191" x14ac:dyDescent="0.2">
      <c r="GI15566" s="422"/>
    </row>
    <row r="15567" spans="191:191" x14ac:dyDescent="0.2">
      <c r="GI15567" s="422"/>
    </row>
    <row r="15568" spans="191:191" x14ac:dyDescent="0.2">
      <c r="GI15568" s="422"/>
    </row>
    <row r="15569" spans="191:191" x14ac:dyDescent="0.2">
      <c r="GI15569" s="422"/>
    </row>
    <row r="15570" spans="191:191" x14ac:dyDescent="0.2">
      <c r="GI15570" s="422"/>
    </row>
    <row r="15571" spans="191:191" x14ac:dyDescent="0.2">
      <c r="GI15571" s="422"/>
    </row>
    <row r="15572" spans="191:191" x14ac:dyDescent="0.2">
      <c r="GI15572" s="422"/>
    </row>
    <row r="15573" spans="191:191" x14ac:dyDescent="0.2">
      <c r="GI15573" s="422"/>
    </row>
    <row r="15574" spans="191:191" x14ac:dyDescent="0.2">
      <c r="GI15574" s="422"/>
    </row>
    <row r="15575" spans="191:191" x14ac:dyDescent="0.2">
      <c r="GI15575" s="422"/>
    </row>
    <row r="15576" spans="191:191" x14ac:dyDescent="0.2">
      <c r="GI15576" s="422"/>
    </row>
    <row r="15577" spans="191:191" x14ac:dyDescent="0.2">
      <c r="GI15577" s="422"/>
    </row>
    <row r="15578" spans="191:191" x14ac:dyDescent="0.2">
      <c r="GI15578" s="422"/>
    </row>
    <row r="15579" spans="191:191" x14ac:dyDescent="0.2">
      <c r="GI15579" s="422"/>
    </row>
    <row r="15580" spans="191:191" x14ac:dyDescent="0.2">
      <c r="GI15580" s="422"/>
    </row>
    <row r="15581" spans="191:191" x14ac:dyDescent="0.2">
      <c r="GI15581" s="422"/>
    </row>
    <row r="15582" spans="191:191" x14ac:dyDescent="0.2">
      <c r="GI15582" s="422"/>
    </row>
    <row r="15583" spans="191:191" x14ac:dyDescent="0.2">
      <c r="GI15583" s="422"/>
    </row>
    <row r="15584" spans="191:191" x14ac:dyDescent="0.2">
      <c r="GI15584" s="422"/>
    </row>
    <row r="15585" spans="191:191" x14ac:dyDescent="0.2">
      <c r="GI15585" s="422"/>
    </row>
    <row r="15586" spans="191:191" x14ac:dyDescent="0.2">
      <c r="GI15586" s="422"/>
    </row>
    <row r="15587" spans="191:191" x14ac:dyDescent="0.2">
      <c r="GI15587" s="422"/>
    </row>
    <row r="15588" spans="191:191" x14ac:dyDescent="0.2">
      <c r="GI15588" s="422"/>
    </row>
    <row r="15589" spans="191:191" x14ac:dyDescent="0.2">
      <c r="GI15589" s="422"/>
    </row>
    <row r="15590" spans="191:191" x14ac:dyDescent="0.2">
      <c r="GI15590" s="422"/>
    </row>
    <row r="15591" spans="191:191" x14ac:dyDescent="0.2">
      <c r="GI15591" s="422"/>
    </row>
    <row r="15592" spans="191:191" x14ac:dyDescent="0.2">
      <c r="GI15592" s="422"/>
    </row>
    <row r="15593" spans="191:191" x14ac:dyDescent="0.2">
      <c r="GI15593" s="422"/>
    </row>
    <row r="15594" spans="191:191" x14ac:dyDescent="0.2">
      <c r="GI15594" s="422"/>
    </row>
    <row r="15595" spans="191:191" x14ac:dyDescent="0.2">
      <c r="GI15595" s="422"/>
    </row>
    <row r="15596" spans="191:191" x14ac:dyDescent="0.2">
      <c r="GI15596" s="422"/>
    </row>
    <row r="15597" spans="191:191" x14ac:dyDescent="0.2">
      <c r="GI15597" s="422"/>
    </row>
    <row r="15598" spans="191:191" x14ac:dyDescent="0.2">
      <c r="GI15598" s="422"/>
    </row>
    <row r="15599" spans="191:191" x14ac:dyDescent="0.2">
      <c r="GI15599" s="422"/>
    </row>
    <row r="15600" spans="191:191" x14ac:dyDescent="0.2">
      <c r="GI15600" s="422"/>
    </row>
    <row r="15601" spans="191:191" x14ac:dyDescent="0.2">
      <c r="GI15601" s="422"/>
    </row>
    <row r="15602" spans="191:191" x14ac:dyDescent="0.2">
      <c r="GI15602" s="422"/>
    </row>
    <row r="15603" spans="191:191" x14ac:dyDescent="0.2">
      <c r="GI15603" s="422"/>
    </row>
    <row r="15604" spans="191:191" x14ac:dyDescent="0.2">
      <c r="GI15604" s="422"/>
    </row>
    <row r="15605" spans="191:191" x14ac:dyDescent="0.2">
      <c r="GI15605" s="422"/>
    </row>
    <row r="15606" spans="191:191" x14ac:dyDescent="0.2">
      <c r="GI15606" s="422"/>
    </row>
    <row r="15607" spans="191:191" x14ac:dyDescent="0.2">
      <c r="GI15607" s="422"/>
    </row>
    <row r="15608" spans="191:191" x14ac:dyDescent="0.2">
      <c r="GI15608" s="422"/>
    </row>
    <row r="15609" spans="191:191" x14ac:dyDescent="0.2">
      <c r="GI15609" s="422"/>
    </row>
    <row r="15610" spans="191:191" x14ac:dyDescent="0.2">
      <c r="GI15610" s="422"/>
    </row>
    <row r="15611" spans="191:191" x14ac:dyDescent="0.2">
      <c r="GI15611" s="422"/>
    </row>
    <row r="15612" spans="191:191" x14ac:dyDescent="0.2">
      <c r="GI15612" s="422"/>
    </row>
    <row r="15613" spans="191:191" x14ac:dyDescent="0.2">
      <c r="GI15613" s="422"/>
    </row>
    <row r="15614" spans="191:191" x14ac:dyDescent="0.2">
      <c r="GI15614" s="422"/>
    </row>
    <row r="15615" spans="191:191" x14ac:dyDescent="0.2">
      <c r="GI15615" s="422"/>
    </row>
    <row r="15616" spans="191:191" x14ac:dyDescent="0.2">
      <c r="GI15616" s="422"/>
    </row>
    <row r="15617" spans="191:191" x14ac:dyDescent="0.2">
      <c r="GI15617" s="422"/>
    </row>
    <row r="15618" spans="191:191" x14ac:dyDescent="0.2">
      <c r="GI15618" s="422"/>
    </row>
    <row r="15619" spans="191:191" x14ac:dyDescent="0.2">
      <c r="GI15619" s="422"/>
    </row>
    <row r="15620" spans="191:191" x14ac:dyDescent="0.2">
      <c r="GI15620" s="422"/>
    </row>
    <row r="15621" spans="191:191" x14ac:dyDescent="0.2">
      <c r="GI15621" s="422"/>
    </row>
    <row r="15622" spans="191:191" x14ac:dyDescent="0.2">
      <c r="GI15622" s="422"/>
    </row>
    <row r="15623" spans="191:191" x14ac:dyDescent="0.2">
      <c r="GI15623" s="422"/>
    </row>
    <row r="15624" spans="191:191" x14ac:dyDescent="0.2">
      <c r="GI15624" s="422"/>
    </row>
    <row r="15625" spans="191:191" x14ac:dyDescent="0.2">
      <c r="GI15625" s="422"/>
    </row>
    <row r="15626" spans="191:191" x14ac:dyDescent="0.2">
      <c r="GI15626" s="422"/>
    </row>
    <row r="15627" spans="191:191" x14ac:dyDescent="0.2">
      <c r="GI15627" s="422"/>
    </row>
    <row r="15628" spans="191:191" x14ac:dyDescent="0.2">
      <c r="GI15628" s="422"/>
    </row>
    <row r="15629" spans="191:191" x14ac:dyDescent="0.2">
      <c r="GI15629" s="422"/>
    </row>
    <row r="15630" spans="191:191" x14ac:dyDescent="0.2">
      <c r="GI15630" s="422"/>
    </row>
    <row r="15631" spans="191:191" x14ac:dyDescent="0.2">
      <c r="GI15631" s="422"/>
    </row>
    <row r="15632" spans="191:191" x14ac:dyDescent="0.2">
      <c r="GI15632" s="422"/>
    </row>
    <row r="15633" spans="191:191" x14ac:dyDescent="0.2">
      <c r="GI15633" s="422"/>
    </row>
    <row r="15634" spans="191:191" x14ac:dyDescent="0.2">
      <c r="GI15634" s="422"/>
    </row>
    <row r="15635" spans="191:191" x14ac:dyDescent="0.2">
      <c r="GI15635" s="422"/>
    </row>
    <row r="15636" spans="191:191" x14ac:dyDescent="0.2">
      <c r="GI15636" s="422"/>
    </row>
    <row r="15637" spans="191:191" x14ac:dyDescent="0.2">
      <c r="GI15637" s="422"/>
    </row>
    <row r="15638" spans="191:191" x14ac:dyDescent="0.2">
      <c r="GI15638" s="422"/>
    </row>
    <row r="15639" spans="191:191" x14ac:dyDescent="0.2">
      <c r="GI15639" s="422"/>
    </row>
    <row r="15640" spans="191:191" x14ac:dyDescent="0.2">
      <c r="GI15640" s="422"/>
    </row>
    <row r="15641" spans="191:191" x14ac:dyDescent="0.2">
      <c r="GI15641" s="422"/>
    </row>
    <row r="15642" spans="191:191" x14ac:dyDescent="0.2">
      <c r="GI15642" s="422"/>
    </row>
    <row r="15643" spans="191:191" x14ac:dyDescent="0.2">
      <c r="GI15643" s="422"/>
    </row>
    <row r="15644" spans="191:191" x14ac:dyDescent="0.2">
      <c r="GI15644" s="422"/>
    </row>
    <row r="15645" spans="191:191" x14ac:dyDescent="0.2">
      <c r="GI15645" s="422"/>
    </row>
    <row r="15646" spans="191:191" x14ac:dyDescent="0.2">
      <c r="GI15646" s="422"/>
    </row>
    <row r="15647" spans="191:191" x14ac:dyDescent="0.2">
      <c r="GI15647" s="422"/>
    </row>
    <row r="15648" spans="191:191" x14ac:dyDescent="0.2">
      <c r="GI15648" s="422"/>
    </row>
    <row r="15649" spans="191:191" x14ac:dyDescent="0.2">
      <c r="GI15649" s="422"/>
    </row>
    <row r="15650" spans="191:191" x14ac:dyDescent="0.2">
      <c r="GI15650" s="422"/>
    </row>
    <row r="15651" spans="191:191" x14ac:dyDescent="0.2">
      <c r="GI15651" s="422"/>
    </row>
    <row r="15652" spans="191:191" x14ac:dyDescent="0.2">
      <c r="GI15652" s="422"/>
    </row>
    <row r="15653" spans="191:191" x14ac:dyDescent="0.2">
      <c r="GI15653" s="422"/>
    </row>
    <row r="15654" spans="191:191" x14ac:dyDescent="0.2">
      <c r="GI15654" s="422"/>
    </row>
    <row r="15655" spans="191:191" x14ac:dyDescent="0.2">
      <c r="GI15655" s="422"/>
    </row>
    <row r="15656" spans="191:191" x14ac:dyDescent="0.2">
      <c r="GI15656" s="422"/>
    </row>
    <row r="15657" spans="191:191" x14ac:dyDescent="0.2">
      <c r="GI15657" s="422"/>
    </row>
    <row r="15658" spans="191:191" x14ac:dyDescent="0.2">
      <c r="GI15658" s="422"/>
    </row>
    <row r="15659" spans="191:191" x14ac:dyDescent="0.2">
      <c r="GI15659" s="422"/>
    </row>
    <row r="15660" spans="191:191" x14ac:dyDescent="0.2">
      <c r="GI15660" s="422"/>
    </row>
    <row r="15661" spans="191:191" x14ac:dyDescent="0.2">
      <c r="GI15661" s="422"/>
    </row>
    <row r="15662" spans="191:191" x14ac:dyDescent="0.2">
      <c r="GI15662" s="422"/>
    </row>
    <row r="15663" spans="191:191" x14ac:dyDescent="0.2">
      <c r="GI15663" s="422"/>
    </row>
    <row r="15664" spans="191:191" x14ac:dyDescent="0.2">
      <c r="GI15664" s="422"/>
    </row>
    <row r="15665" spans="191:191" x14ac:dyDescent="0.2">
      <c r="GI15665" s="422"/>
    </row>
    <row r="15666" spans="191:191" x14ac:dyDescent="0.2">
      <c r="GI15666" s="422"/>
    </row>
    <row r="15667" spans="191:191" x14ac:dyDescent="0.2">
      <c r="GI15667" s="422"/>
    </row>
    <row r="15668" spans="191:191" x14ac:dyDescent="0.2">
      <c r="GI15668" s="422"/>
    </row>
    <row r="15669" spans="191:191" x14ac:dyDescent="0.2">
      <c r="GI15669" s="422"/>
    </row>
    <row r="15670" spans="191:191" x14ac:dyDescent="0.2">
      <c r="GI15670" s="422"/>
    </row>
    <row r="15671" spans="191:191" x14ac:dyDescent="0.2">
      <c r="GI15671" s="422"/>
    </row>
    <row r="15672" spans="191:191" x14ac:dyDescent="0.2">
      <c r="GI15672" s="422"/>
    </row>
    <row r="15673" spans="191:191" x14ac:dyDescent="0.2">
      <c r="GI15673" s="422"/>
    </row>
    <row r="15674" spans="191:191" x14ac:dyDescent="0.2">
      <c r="GI15674" s="422"/>
    </row>
    <row r="15675" spans="191:191" x14ac:dyDescent="0.2">
      <c r="GI15675" s="422"/>
    </row>
    <row r="15676" spans="191:191" x14ac:dyDescent="0.2">
      <c r="GI15676" s="422"/>
    </row>
    <row r="15677" spans="191:191" x14ac:dyDescent="0.2">
      <c r="GI15677" s="422"/>
    </row>
    <row r="15678" spans="191:191" x14ac:dyDescent="0.2">
      <c r="GI15678" s="422"/>
    </row>
    <row r="15679" spans="191:191" x14ac:dyDescent="0.2">
      <c r="GI15679" s="422"/>
    </row>
    <row r="15680" spans="191:191" x14ac:dyDescent="0.2">
      <c r="GI15680" s="422"/>
    </row>
    <row r="15681" spans="191:191" x14ac:dyDescent="0.2">
      <c r="GI15681" s="422"/>
    </row>
    <row r="15682" spans="191:191" x14ac:dyDescent="0.2">
      <c r="GI15682" s="422"/>
    </row>
    <row r="15683" spans="191:191" x14ac:dyDescent="0.2">
      <c r="GI15683" s="422"/>
    </row>
    <row r="15684" spans="191:191" x14ac:dyDescent="0.2">
      <c r="GI15684" s="422"/>
    </row>
    <row r="15685" spans="191:191" x14ac:dyDescent="0.2">
      <c r="GI15685" s="422"/>
    </row>
    <row r="15686" spans="191:191" x14ac:dyDescent="0.2">
      <c r="GI15686" s="422"/>
    </row>
    <row r="15687" spans="191:191" x14ac:dyDescent="0.2">
      <c r="GI15687" s="422"/>
    </row>
    <row r="15688" spans="191:191" x14ac:dyDescent="0.2">
      <c r="GI15688" s="422"/>
    </row>
    <row r="15689" spans="191:191" x14ac:dyDescent="0.2">
      <c r="GI15689" s="422"/>
    </row>
    <row r="15690" spans="191:191" x14ac:dyDescent="0.2">
      <c r="GI15690" s="422"/>
    </row>
    <row r="15691" spans="191:191" x14ac:dyDescent="0.2">
      <c r="GI15691" s="422"/>
    </row>
    <row r="15692" spans="191:191" x14ac:dyDescent="0.2">
      <c r="GI15692" s="422"/>
    </row>
    <row r="15693" spans="191:191" x14ac:dyDescent="0.2">
      <c r="GI15693" s="422"/>
    </row>
    <row r="15694" spans="191:191" x14ac:dyDescent="0.2">
      <c r="GI15694" s="422"/>
    </row>
    <row r="15695" spans="191:191" x14ac:dyDescent="0.2">
      <c r="GI15695" s="422"/>
    </row>
    <row r="15696" spans="191:191" x14ac:dyDescent="0.2">
      <c r="GI15696" s="422"/>
    </row>
    <row r="15697" spans="191:191" x14ac:dyDescent="0.2">
      <c r="GI15697" s="422"/>
    </row>
    <row r="15698" spans="191:191" x14ac:dyDescent="0.2">
      <c r="GI15698" s="422"/>
    </row>
    <row r="15699" spans="191:191" x14ac:dyDescent="0.2">
      <c r="GI15699" s="422"/>
    </row>
    <row r="15700" spans="191:191" x14ac:dyDescent="0.2">
      <c r="GI15700" s="422"/>
    </row>
    <row r="15701" spans="191:191" x14ac:dyDescent="0.2">
      <c r="GI15701" s="422"/>
    </row>
    <row r="15702" spans="191:191" x14ac:dyDescent="0.2">
      <c r="GI15702" s="422"/>
    </row>
    <row r="15703" spans="191:191" x14ac:dyDescent="0.2">
      <c r="GI15703" s="422"/>
    </row>
    <row r="15704" spans="191:191" x14ac:dyDescent="0.2">
      <c r="GI15704" s="422"/>
    </row>
    <row r="15705" spans="191:191" x14ac:dyDescent="0.2">
      <c r="GI15705" s="422"/>
    </row>
    <row r="15706" spans="191:191" x14ac:dyDescent="0.2">
      <c r="GI15706" s="422"/>
    </row>
    <row r="15707" spans="191:191" x14ac:dyDescent="0.2">
      <c r="GI15707" s="422"/>
    </row>
    <row r="15708" spans="191:191" x14ac:dyDescent="0.2">
      <c r="GI15708" s="422"/>
    </row>
    <row r="15709" spans="191:191" x14ac:dyDescent="0.2">
      <c r="GI15709" s="422"/>
    </row>
    <row r="15710" spans="191:191" x14ac:dyDescent="0.2">
      <c r="GI15710" s="422"/>
    </row>
    <row r="15711" spans="191:191" x14ac:dyDescent="0.2">
      <c r="GI15711" s="422"/>
    </row>
    <row r="15712" spans="191:191" x14ac:dyDescent="0.2">
      <c r="GI15712" s="422"/>
    </row>
    <row r="15713" spans="191:191" x14ac:dyDescent="0.2">
      <c r="GI15713" s="422"/>
    </row>
    <row r="15714" spans="191:191" x14ac:dyDescent="0.2">
      <c r="GI15714" s="422"/>
    </row>
    <row r="15715" spans="191:191" x14ac:dyDescent="0.2">
      <c r="GI15715" s="422"/>
    </row>
    <row r="15716" spans="191:191" x14ac:dyDescent="0.2">
      <c r="GI15716" s="422"/>
    </row>
    <row r="15717" spans="191:191" x14ac:dyDescent="0.2">
      <c r="GI15717" s="422"/>
    </row>
    <row r="15718" spans="191:191" x14ac:dyDescent="0.2">
      <c r="GI15718" s="422"/>
    </row>
    <row r="15719" spans="191:191" x14ac:dyDescent="0.2">
      <c r="GI15719" s="422"/>
    </row>
    <row r="15720" spans="191:191" x14ac:dyDescent="0.2">
      <c r="GI15720" s="422"/>
    </row>
    <row r="15721" spans="191:191" x14ac:dyDescent="0.2">
      <c r="GI15721" s="422"/>
    </row>
    <row r="15722" spans="191:191" x14ac:dyDescent="0.2">
      <c r="GI15722" s="422"/>
    </row>
    <row r="15723" spans="191:191" x14ac:dyDescent="0.2">
      <c r="GI15723" s="422"/>
    </row>
    <row r="15724" spans="191:191" x14ac:dyDescent="0.2">
      <c r="GI15724" s="422"/>
    </row>
    <row r="15725" spans="191:191" x14ac:dyDescent="0.2">
      <c r="GI15725" s="422"/>
    </row>
    <row r="15726" spans="191:191" x14ac:dyDescent="0.2">
      <c r="GI15726" s="422"/>
    </row>
    <row r="15727" spans="191:191" x14ac:dyDescent="0.2">
      <c r="GI15727" s="422"/>
    </row>
    <row r="15728" spans="191:191" x14ac:dyDescent="0.2">
      <c r="GI15728" s="422"/>
    </row>
    <row r="15729" spans="191:191" x14ac:dyDescent="0.2">
      <c r="GI15729" s="422"/>
    </row>
    <row r="15730" spans="191:191" x14ac:dyDescent="0.2">
      <c r="GI15730" s="422"/>
    </row>
    <row r="15731" spans="191:191" x14ac:dyDescent="0.2">
      <c r="GI15731" s="422"/>
    </row>
    <row r="15732" spans="191:191" x14ac:dyDescent="0.2">
      <c r="GI15732" s="422"/>
    </row>
    <row r="15733" spans="191:191" x14ac:dyDescent="0.2">
      <c r="GI15733" s="422"/>
    </row>
    <row r="15734" spans="191:191" x14ac:dyDescent="0.2">
      <c r="GI15734" s="422"/>
    </row>
    <row r="15735" spans="191:191" x14ac:dyDescent="0.2">
      <c r="GI15735" s="422"/>
    </row>
    <row r="15736" spans="191:191" x14ac:dyDescent="0.2">
      <c r="GI15736" s="422"/>
    </row>
    <row r="15737" spans="191:191" x14ac:dyDescent="0.2">
      <c r="GI15737" s="422"/>
    </row>
    <row r="15738" spans="191:191" x14ac:dyDescent="0.2">
      <c r="GI15738" s="422"/>
    </row>
    <row r="15739" spans="191:191" x14ac:dyDescent="0.2">
      <c r="GI15739" s="422"/>
    </row>
    <row r="15740" spans="191:191" x14ac:dyDescent="0.2">
      <c r="GI15740" s="422"/>
    </row>
    <row r="15741" spans="191:191" x14ac:dyDescent="0.2">
      <c r="GI15741" s="422"/>
    </row>
    <row r="15742" spans="191:191" x14ac:dyDescent="0.2">
      <c r="GI15742" s="422"/>
    </row>
    <row r="15743" spans="191:191" x14ac:dyDescent="0.2">
      <c r="GI15743" s="422"/>
    </row>
    <row r="15744" spans="191:191" x14ac:dyDescent="0.2">
      <c r="GI15744" s="422"/>
    </row>
    <row r="15745" spans="191:191" x14ac:dyDescent="0.2">
      <c r="GI15745" s="422"/>
    </row>
    <row r="15746" spans="191:191" x14ac:dyDescent="0.2">
      <c r="GI15746" s="422"/>
    </row>
    <row r="15747" spans="191:191" x14ac:dyDescent="0.2">
      <c r="GI15747" s="422"/>
    </row>
    <row r="15748" spans="191:191" x14ac:dyDescent="0.2">
      <c r="GI15748" s="422"/>
    </row>
    <row r="15749" spans="191:191" x14ac:dyDescent="0.2">
      <c r="GI15749" s="422"/>
    </row>
    <row r="15750" spans="191:191" x14ac:dyDescent="0.2">
      <c r="GI15750" s="422"/>
    </row>
    <row r="15751" spans="191:191" x14ac:dyDescent="0.2">
      <c r="GI15751" s="422"/>
    </row>
    <row r="15752" spans="191:191" x14ac:dyDescent="0.2">
      <c r="GI15752" s="422"/>
    </row>
    <row r="15753" spans="191:191" x14ac:dyDescent="0.2">
      <c r="GI15753" s="422"/>
    </row>
    <row r="15754" spans="191:191" x14ac:dyDescent="0.2">
      <c r="GI15754" s="422"/>
    </row>
    <row r="15755" spans="191:191" x14ac:dyDescent="0.2">
      <c r="GI15755" s="422"/>
    </row>
    <row r="15756" spans="191:191" x14ac:dyDescent="0.2">
      <c r="GI15756" s="422"/>
    </row>
    <row r="15757" spans="191:191" x14ac:dyDescent="0.2">
      <c r="GI15757" s="422"/>
    </row>
    <row r="15758" spans="191:191" x14ac:dyDescent="0.2">
      <c r="GI15758" s="422"/>
    </row>
    <row r="15759" spans="191:191" x14ac:dyDescent="0.2">
      <c r="GI15759" s="422"/>
    </row>
    <row r="15760" spans="191:191" x14ac:dyDescent="0.2">
      <c r="GI15760" s="422"/>
    </row>
    <row r="15761" spans="191:191" x14ac:dyDescent="0.2">
      <c r="GI15761" s="422"/>
    </row>
    <row r="15762" spans="191:191" x14ac:dyDescent="0.2">
      <c r="GI15762" s="422"/>
    </row>
    <row r="15763" spans="191:191" x14ac:dyDescent="0.2">
      <c r="GI15763" s="422"/>
    </row>
    <row r="15764" spans="191:191" x14ac:dyDescent="0.2">
      <c r="GI15764" s="422"/>
    </row>
    <row r="15765" spans="191:191" x14ac:dyDescent="0.2">
      <c r="GI15765" s="422"/>
    </row>
    <row r="15766" spans="191:191" x14ac:dyDescent="0.2">
      <c r="GI15766" s="422"/>
    </row>
    <row r="15767" spans="191:191" x14ac:dyDescent="0.2">
      <c r="GI15767" s="422"/>
    </row>
    <row r="15768" spans="191:191" x14ac:dyDescent="0.2">
      <c r="GI15768" s="422"/>
    </row>
    <row r="15769" spans="191:191" x14ac:dyDescent="0.2">
      <c r="GI15769" s="422"/>
    </row>
    <row r="15770" spans="191:191" x14ac:dyDescent="0.2">
      <c r="GI15770" s="422"/>
    </row>
    <row r="15771" spans="191:191" x14ac:dyDescent="0.2">
      <c r="GI15771" s="422"/>
    </row>
    <row r="15772" spans="191:191" x14ac:dyDescent="0.2">
      <c r="GI15772" s="422"/>
    </row>
    <row r="15773" spans="191:191" x14ac:dyDescent="0.2">
      <c r="GI15773" s="422"/>
    </row>
    <row r="15774" spans="191:191" x14ac:dyDescent="0.2">
      <c r="GI15774" s="422"/>
    </row>
    <row r="15775" spans="191:191" x14ac:dyDescent="0.2">
      <c r="GI15775" s="422"/>
    </row>
    <row r="15776" spans="191:191" x14ac:dyDescent="0.2">
      <c r="GI15776" s="422"/>
    </row>
    <row r="15777" spans="191:191" x14ac:dyDescent="0.2">
      <c r="GI15777" s="422"/>
    </row>
    <row r="15778" spans="191:191" x14ac:dyDescent="0.2">
      <c r="GI15778" s="422"/>
    </row>
    <row r="15779" spans="191:191" x14ac:dyDescent="0.2">
      <c r="GI15779" s="422"/>
    </row>
    <row r="15780" spans="191:191" x14ac:dyDescent="0.2">
      <c r="GI15780" s="422"/>
    </row>
    <row r="15781" spans="191:191" x14ac:dyDescent="0.2">
      <c r="GI15781" s="422"/>
    </row>
    <row r="15782" spans="191:191" x14ac:dyDescent="0.2">
      <c r="GI15782" s="422"/>
    </row>
    <row r="15783" spans="191:191" x14ac:dyDescent="0.2">
      <c r="GI15783" s="422"/>
    </row>
    <row r="15784" spans="191:191" x14ac:dyDescent="0.2">
      <c r="GI15784" s="422"/>
    </row>
    <row r="15785" spans="191:191" x14ac:dyDescent="0.2">
      <c r="GI15785" s="422"/>
    </row>
    <row r="15786" spans="191:191" x14ac:dyDescent="0.2">
      <c r="GI15786" s="422"/>
    </row>
    <row r="15787" spans="191:191" x14ac:dyDescent="0.2">
      <c r="GI15787" s="422"/>
    </row>
    <row r="15788" spans="191:191" x14ac:dyDescent="0.2">
      <c r="GI15788" s="422"/>
    </row>
    <row r="15789" spans="191:191" x14ac:dyDescent="0.2">
      <c r="GI15789" s="422"/>
    </row>
    <row r="15790" spans="191:191" x14ac:dyDescent="0.2">
      <c r="GI15790" s="422"/>
    </row>
    <row r="15791" spans="191:191" x14ac:dyDescent="0.2">
      <c r="GI15791" s="422"/>
    </row>
    <row r="15792" spans="191:191" x14ac:dyDescent="0.2">
      <c r="GI15792" s="422"/>
    </row>
    <row r="15793" spans="191:191" x14ac:dyDescent="0.2">
      <c r="GI15793" s="422"/>
    </row>
    <row r="15794" spans="191:191" x14ac:dyDescent="0.2">
      <c r="GI15794" s="422"/>
    </row>
    <row r="15795" spans="191:191" x14ac:dyDescent="0.2">
      <c r="GI15795" s="422"/>
    </row>
    <row r="15796" spans="191:191" x14ac:dyDescent="0.2">
      <c r="GI15796" s="422"/>
    </row>
    <row r="15797" spans="191:191" x14ac:dyDescent="0.2">
      <c r="GI15797" s="422"/>
    </row>
    <row r="15798" spans="191:191" x14ac:dyDescent="0.2">
      <c r="GI15798" s="422"/>
    </row>
    <row r="15799" spans="191:191" x14ac:dyDescent="0.2">
      <c r="GI15799" s="422"/>
    </row>
    <row r="15800" spans="191:191" x14ac:dyDescent="0.2">
      <c r="GI15800" s="422"/>
    </row>
    <row r="15801" spans="191:191" x14ac:dyDescent="0.2">
      <c r="GI15801" s="422"/>
    </row>
    <row r="15802" spans="191:191" x14ac:dyDescent="0.2">
      <c r="GI15802" s="422"/>
    </row>
    <row r="15803" spans="191:191" x14ac:dyDescent="0.2">
      <c r="GI15803" s="422"/>
    </row>
    <row r="15804" spans="191:191" x14ac:dyDescent="0.2">
      <c r="GI15804" s="422"/>
    </row>
    <row r="15805" spans="191:191" x14ac:dyDescent="0.2">
      <c r="GI15805" s="422"/>
    </row>
    <row r="15806" spans="191:191" x14ac:dyDescent="0.2">
      <c r="GI15806" s="422"/>
    </row>
    <row r="15807" spans="191:191" x14ac:dyDescent="0.2">
      <c r="GI15807" s="422"/>
    </row>
    <row r="15808" spans="191:191" x14ac:dyDescent="0.2">
      <c r="GI15808" s="422"/>
    </row>
    <row r="15809" spans="191:191" x14ac:dyDescent="0.2">
      <c r="GI15809" s="422"/>
    </row>
    <row r="15810" spans="191:191" x14ac:dyDescent="0.2">
      <c r="GI15810" s="422"/>
    </row>
    <row r="15811" spans="191:191" x14ac:dyDescent="0.2">
      <c r="GI15811" s="422"/>
    </row>
    <row r="15812" spans="191:191" x14ac:dyDescent="0.2">
      <c r="GI15812" s="422"/>
    </row>
    <row r="15813" spans="191:191" x14ac:dyDescent="0.2">
      <c r="GI15813" s="422"/>
    </row>
    <row r="15814" spans="191:191" x14ac:dyDescent="0.2">
      <c r="GI15814" s="422"/>
    </row>
    <row r="15815" spans="191:191" x14ac:dyDescent="0.2">
      <c r="GI15815" s="422"/>
    </row>
    <row r="15816" spans="191:191" x14ac:dyDescent="0.2">
      <c r="GI15816" s="422"/>
    </row>
    <row r="15817" spans="191:191" x14ac:dyDescent="0.2">
      <c r="GI15817" s="422"/>
    </row>
    <row r="15818" spans="191:191" x14ac:dyDescent="0.2">
      <c r="GI15818" s="422"/>
    </row>
    <row r="15819" spans="191:191" x14ac:dyDescent="0.2">
      <c r="GI15819" s="422"/>
    </row>
    <row r="15820" spans="191:191" x14ac:dyDescent="0.2">
      <c r="GI15820" s="422"/>
    </row>
    <row r="15821" spans="191:191" x14ac:dyDescent="0.2">
      <c r="GI15821" s="422"/>
    </row>
    <row r="15822" spans="191:191" x14ac:dyDescent="0.2">
      <c r="GI15822" s="422"/>
    </row>
    <row r="15823" spans="191:191" x14ac:dyDescent="0.2">
      <c r="GI15823" s="422"/>
    </row>
    <row r="15824" spans="191:191" x14ac:dyDescent="0.2">
      <c r="GI15824" s="422"/>
    </row>
    <row r="15825" spans="191:191" x14ac:dyDescent="0.2">
      <c r="GI15825" s="422"/>
    </row>
    <row r="15826" spans="191:191" x14ac:dyDescent="0.2">
      <c r="GI15826" s="422"/>
    </row>
    <row r="15827" spans="191:191" x14ac:dyDescent="0.2">
      <c r="GI15827" s="422"/>
    </row>
    <row r="15828" spans="191:191" x14ac:dyDescent="0.2">
      <c r="GI15828" s="422"/>
    </row>
    <row r="15829" spans="191:191" x14ac:dyDescent="0.2">
      <c r="GI15829" s="422"/>
    </row>
    <row r="15830" spans="191:191" x14ac:dyDescent="0.2">
      <c r="GI15830" s="422"/>
    </row>
    <row r="15831" spans="191:191" x14ac:dyDescent="0.2">
      <c r="GI15831" s="422"/>
    </row>
    <row r="15832" spans="191:191" x14ac:dyDescent="0.2">
      <c r="GI15832" s="422"/>
    </row>
    <row r="15833" spans="191:191" x14ac:dyDescent="0.2">
      <c r="GI15833" s="422"/>
    </row>
    <row r="15834" spans="191:191" x14ac:dyDescent="0.2">
      <c r="GI15834" s="422"/>
    </row>
    <row r="15835" spans="191:191" x14ac:dyDescent="0.2">
      <c r="GI15835" s="422"/>
    </row>
    <row r="15836" spans="191:191" x14ac:dyDescent="0.2">
      <c r="GI15836" s="422"/>
    </row>
    <row r="15837" spans="191:191" x14ac:dyDescent="0.2">
      <c r="GI15837" s="422"/>
    </row>
    <row r="15838" spans="191:191" x14ac:dyDescent="0.2">
      <c r="GI15838" s="422"/>
    </row>
    <row r="15839" spans="191:191" x14ac:dyDescent="0.2">
      <c r="GI15839" s="422"/>
    </row>
    <row r="15840" spans="191:191" x14ac:dyDescent="0.2">
      <c r="GI15840" s="422"/>
    </row>
    <row r="15841" spans="191:191" x14ac:dyDescent="0.2">
      <c r="GI15841" s="422"/>
    </row>
    <row r="15842" spans="191:191" x14ac:dyDescent="0.2">
      <c r="GI15842" s="422"/>
    </row>
    <row r="15843" spans="191:191" x14ac:dyDescent="0.2">
      <c r="GI15843" s="422"/>
    </row>
    <row r="15844" spans="191:191" x14ac:dyDescent="0.2">
      <c r="GI15844" s="422"/>
    </row>
    <row r="15845" spans="191:191" x14ac:dyDescent="0.2">
      <c r="GI15845" s="422"/>
    </row>
    <row r="15846" spans="191:191" x14ac:dyDescent="0.2">
      <c r="GI15846" s="422"/>
    </row>
    <row r="15847" spans="191:191" x14ac:dyDescent="0.2">
      <c r="GI15847" s="422"/>
    </row>
    <row r="15848" spans="191:191" x14ac:dyDescent="0.2">
      <c r="GI15848" s="422"/>
    </row>
    <row r="15849" spans="191:191" x14ac:dyDescent="0.2">
      <c r="GI15849" s="422"/>
    </row>
    <row r="15850" spans="191:191" x14ac:dyDescent="0.2">
      <c r="GI15850" s="422"/>
    </row>
    <row r="15851" spans="191:191" x14ac:dyDescent="0.2">
      <c r="GI15851" s="422"/>
    </row>
    <row r="15852" spans="191:191" x14ac:dyDescent="0.2">
      <c r="GI15852" s="422"/>
    </row>
    <row r="15853" spans="191:191" x14ac:dyDescent="0.2">
      <c r="GI15853" s="422"/>
    </row>
    <row r="15854" spans="191:191" x14ac:dyDescent="0.2">
      <c r="GI15854" s="422"/>
    </row>
    <row r="15855" spans="191:191" x14ac:dyDescent="0.2">
      <c r="GI15855" s="422"/>
    </row>
    <row r="15856" spans="191:191" x14ac:dyDescent="0.2">
      <c r="GI15856" s="422"/>
    </row>
    <row r="15857" spans="191:191" x14ac:dyDescent="0.2">
      <c r="GI15857" s="422"/>
    </row>
    <row r="15858" spans="191:191" x14ac:dyDescent="0.2">
      <c r="GI15858" s="422"/>
    </row>
    <row r="15859" spans="191:191" x14ac:dyDescent="0.2">
      <c r="GI15859" s="422"/>
    </row>
    <row r="15860" spans="191:191" x14ac:dyDescent="0.2">
      <c r="GI15860" s="422"/>
    </row>
    <row r="15861" spans="191:191" x14ac:dyDescent="0.2">
      <c r="GI15861" s="422"/>
    </row>
    <row r="15862" spans="191:191" x14ac:dyDescent="0.2">
      <c r="GI15862" s="422"/>
    </row>
    <row r="15863" spans="191:191" x14ac:dyDescent="0.2">
      <c r="GI15863" s="422"/>
    </row>
    <row r="15864" spans="191:191" x14ac:dyDescent="0.2">
      <c r="GI15864" s="422"/>
    </row>
    <row r="15865" spans="191:191" x14ac:dyDescent="0.2">
      <c r="GI15865" s="422"/>
    </row>
    <row r="15866" spans="191:191" x14ac:dyDescent="0.2">
      <c r="GI15866" s="422"/>
    </row>
    <row r="15867" spans="191:191" x14ac:dyDescent="0.2">
      <c r="GI15867" s="422"/>
    </row>
    <row r="15868" spans="191:191" x14ac:dyDescent="0.2">
      <c r="GI15868" s="422"/>
    </row>
    <row r="15869" spans="191:191" x14ac:dyDescent="0.2">
      <c r="GI15869" s="422"/>
    </row>
    <row r="15870" spans="191:191" x14ac:dyDescent="0.2">
      <c r="GI15870" s="422"/>
    </row>
    <row r="15871" spans="191:191" x14ac:dyDescent="0.2">
      <c r="GI15871" s="422"/>
    </row>
    <row r="15872" spans="191:191" x14ac:dyDescent="0.2">
      <c r="GI15872" s="422"/>
    </row>
    <row r="15873" spans="191:191" x14ac:dyDescent="0.2">
      <c r="GI15873" s="422"/>
    </row>
    <row r="15874" spans="191:191" x14ac:dyDescent="0.2">
      <c r="GI15874" s="422"/>
    </row>
    <row r="15875" spans="191:191" x14ac:dyDescent="0.2">
      <c r="GI15875" s="422"/>
    </row>
    <row r="15876" spans="191:191" x14ac:dyDescent="0.2">
      <c r="GI15876" s="422"/>
    </row>
    <row r="15877" spans="191:191" x14ac:dyDescent="0.2">
      <c r="GI15877" s="422"/>
    </row>
    <row r="15878" spans="191:191" x14ac:dyDescent="0.2">
      <c r="GI15878" s="422"/>
    </row>
    <row r="15879" spans="191:191" x14ac:dyDescent="0.2">
      <c r="GI15879" s="422"/>
    </row>
    <row r="15880" spans="191:191" x14ac:dyDescent="0.2">
      <c r="GI15880" s="422"/>
    </row>
    <row r="15881" spans="191:191" x14ac:dyDescent="0.2">
      <c r="GI15881" s="422"/>
    </row>
    <row r="15882" spans="191:191" x14ac:dyDescent="0.2">
      <c r="GI15882" s="422"/>
    </row>
    <row r="15883" spans="191:191" x14ac:dyDescent="0.2">
      <c r="GI15883" s="422"/>
    </row>
    <row r="15884" spans="191:191" x14ac:dyDescent="0.2">
      <c r="GI15884" s="422"/>
    </row>
    <row r="15885" spans="191:191" x14ac:dyDescent="0.2">
      <c r="GI15885" s="422"/>
    </row>
    <row r="15886" spans="191:191" x14ac:dyDescent="0.2">
      <c r="GI15886" s="422"/>
    </row>
    <row r="15887" spans="191:191" x14ac:dyDescent="0.2">
      <c r="GI15887" s="422"/>
    </row>
    <row r="15888" spans="191:191" x14ac:dyDescent="0.2">
      <c r="GI15888" s="422"/>
    </row>
    <row r="15889" spans="191:191" x14ac:dyDescent="0.2">
      <c r="GI15889" s="422"/>
    </row>
    <row r="15890" spans="191:191" x14ac:dyDescent="0.2">
      <c r="GI15890" s="422"/>
    </row>
    <row r="15891" spans="191:191" x14ac:dyDescent="0.2">
      <c r="GI15891" s="422"/>
    </row>
    <row r="15892" spans="191:191" x14ac:dyDescent="0.2">
      <c r="GI15892" s="422"/>
    </row>
    <row r="15893" spans="191:191" x14ac:dyDescent="0.2">
      <c r="GI15893" s="422"/>
    </row>
    <row r="15894" spans="191:191" x14ac:dyDescent="0.2">
      <c r="GI15894" s="422"/>
    </row>
    <row r="15895" spans="191:191" x14ac:dyDescent="0.2">
      <c r="GI15895" s="422"/>
    </row>
    <row r="15896" spans="191:191" x14ac:dyDescent="0.2">
      <c r="GI15896" s="422"/>
    </row>
    <row r="15897" spans="191:191" x14ac:dyDescent="0.2">
      <c r="GI15897" s="422"/>
    </row>
    <row r="15898" spans="191:191" x14ac:dyDescent="0.2">
      <c r="GI15898" s="422"/>
    </row>
    <row r="15899" spans="191:191" x14ac:dyDescent="0.2">
      <c r="GI15899" s="422"/>
    </row>
    <row r="15900" spans="191:191" x14ac:dyDescent="0.2">
      <c r="GI15900" s="422"/>
    </row>
    <row r="15901" spans="191:191" x14ac:dyDescent="0.2">
      <c r="GI15901" s="422"/>
    </row>
    <row r="15902" spans="191:191" x14ac:dyDescent="0.2">
      <c r="GI15902" s="422"/>
    </row>
    <row r="15903" spans="191:191" x14ac:dyDescent="0.2">
      <c r="GI15903" s="422"/>
    </row>
    <row r="15904" spans="191:191" x14ac:dyDescent="0.2">
      <c r="GI15904" s="422"/>
    </row>
    <row r="15905" spans="191:191" x14ac:dyDescent="0.2">
      <c r="GI15905" s="422"/>
    </row>
    <row r="15906" spans="191:191" x14ac:dyDescent="0.2">
      <c r="GI15906" s="422"/>
    </row>
    <row r="15907" spans="191:191" x14ac:dyDescent="0.2">
      <c r="GI15907" s="422"/>
    </row>
    <row r="15908" spans="191:191" x14ac:dyDescent="0.2">
      <c r="GI15908" s="422"/>
    </row>
    <row r="15909" spans="191:191" x14ac:dyDescent="0.2">
      <c r="GI15909" s="422"/>
    </row>
    <row r="15910" spans="191:191" x14ac:dyDescent="0.2">
      <c r="GI15910" s="422"/>
    </row>
    <row r="15911" spans="191:191" x14ac:dyDescent="0.2">
      <c r="GI15911" s="422"/>
    </row>
    <row r="15912" spans="191:191" x14ac:dyDescent="0.2">
      <c r="GI15912" s="422"/>
    </row>
    <row r="15913" spans="191:191" x14ac:dyDescent="0.2">
      <c r="GI15913" s="422"/>
    </row>
    <row r="15914" spans="191:191" x14ac:dyDescent="0.2">
      <c r="GI15914" s="422"/>
    </row>
    <row r="15915" spans="191:191" x14ac:dyDescent="0.2">
      <c r="GI15915" s="422"/>
    </row>
    <row r="15916" spans="191:191" x14ac:dyDescent="0.2">
      <c r="GI15916" s="422"/>
    </row>
    <row r="15917" spans="191:191" x14ac:dyDescent="0.2">
      <c r="GI15917" s="422"/>
    </row>
    <row r="15918" spans="191:191" x14ac:dyDescent="0.2">
      <c r="GI15918" s="422"/>
    </row>
    <row r="15919" spans="191:191" x14ac:dyDescent="0.2">
      <c r="GI15919" s="422"/>
    </row>
    <row r="15920" spans="191:191" x14ac:dyDescent="0.2">
      <c r="GI15920" s="422"/>
    </row>
    <row r="15921" spans="191:191" x14ac:dyDescent="0.2">
      <c r="GI15921" s="422"/>
    </row>
    <row r="15922" spans="191:191" x14ac:dyDescent="0.2">
      <c r="GI15922" s="422"/>
    </row>
    <row r="15923" spans="191:191" x14ac:dyDescent="0.2">
      <c r="GI15923" s="422"/>
    </row>
    <row r="15924" spans="191:191" x14ac:dyDescent="0.2">
      <c r="GI15924" s="422"/>
    </row>
    <row r="15925" spans="191:191" x14ac:dyDescent="0.2">
      <c r="GI15925" s="422"/>
    </row>
    <row r="15926" spans="191:191" x14ac:dyDescent="0.2">
      <c r="GI15926" s="422"/>
    </row>
    <row r="15927" spans="191:191" x14ac:dyDescent="0.2">
      <c r="GI15927" s="422"/>
    </row>
    <row r="15928" spans="191:191" x14ac:dyDescent="0.2">
      <c r="GI15928" s="422"/>
    </row>
    <row r="15929" spans="191:191" x14ac:dyDescent="0.2">
      <c r="GI15929" s="422"/>
    </row>
    <row r="15930" spans="191:191" x14ac:dyDescent="0.2">
      <c r="GI15930" s="422"/>
    </row>
    <row r="15931" spans="191:191" x14ac:dyDescent="0.2">
      <c r="GI15931" s="422"/>
    </row>
    <row r="15932" spans="191:191" x14ac:dyDescent="0.2">
      <c r="GI15932" s="422"/>
    </row>
    <row r="15933" spans="191:191" x14ac:dyDescent="0.2">
      <c r="GI15933" s="422"/>
    </row>
    <row r="15934" spans="191:191" x14ac:dyDescent="0.2">
      <c r="GI15934" s="422"/>
    </row>
    <row r="15935" spans="191:191" x14ac:dyDescent="0.2">
      <c r="GI15935" s="422"/>
    </row>
    <row r="15936" spans="191:191" x14ac:dyDescent="0.2">
      <c r="GI15936" s="422"/>
    </row>
    <row r="15937" spans="191:191" x14ac:dyDescent="0.2">
      <c r="GI15937" s="422"/>
    </row>
    <row r="15938" spans="191:191" x14ac:dyDescent="0.2">
      <c r="GI15938" s="422"/>
    </row>
    <row r="15939" spans="191:191" x14ac:dyDescent="0.2">
      <c r="GI15939" s="422"/>
    </row>
    <row r="15940" spans="191:191" x14ac:dyDescent="0.2">
      <c r="GI15940" s="422"/>
    </row>
    <row r="15941" spans="191:191" x14ac:dyDescent="0.2">
      <c r="GI15941" s="422"/>
    </row>
    <row r="15942" spans="191:191" x14ac:dyDescent="0.2">
      <c r="GI15942" s="422"/>
    </row>
    <row r="15943" spans="191:191" x14ac:dyDescent="0.2">
      <c r="GI15943" s="422"/>
    </row>
    <row r="15944" spans="191:191" x14ac:dyDescent="0.2">
      <c r="GI15944" s="422"/>
    </row>
    <row r="15945" spans="191:191" x14ac:dyDescent="0.2">
      <c r="GI15945" s="422"/>
    </row>
    <row r="15946" spans="191:191" x14ac:dyDescent="0.2">
      <c r="GI15946" s="422"/>
    </row>
    <row r="15947" spans="191:191" x14ac:dyDescent="0.2">
      <c r="GI15947" s="422"/>
    </row>
    <row r="15948" spans="191:191" x14ac:dyDescent="0.2">
      <c r="GI15948" s="422"/>
    </row>
    <row r="15949" spans="191:191" x14ac:dyDescent="0.2">
      <c r="GI15949" s="422"/>
    </row>
    <row r="15950" spans="191:191" x14ac:dyDescent="0.2">
      <c r="GI15950" s="422"/>
    </row>
    <row r="15951" spans="191:191" x14ac:dyDescent="0.2">
      <c r="GI15951" s="422"/>
    </row>
    <row r="15952" spans="191:191" x14ac:dyDescent="0.2">
      <c r="GI15952" s="422"/>
    </row>
    <row r="15953" spans="191:191" x14ac:dyDescent="0.2">
      <c r="GI15953" s="422"/>
    </row>
    <row r="15954" spans="191:191" x14ac:dyDescent="0.2">
      <c r="GI15954" s="422"/>
    </row>
    <row r="15955" spans="191:191" x14ac:dyDescent="0.2">
      <c r="GI15955" s="422"/>
    </row>
    <row r="15956" spans="191:191" x14ac:dyDescent="0.2">
      <c r="GI15956" s="422"/>
    </row>
    <row r="15957" spans="191:191" x14ac:dyDescent="0.2">
      <c r="GI15957" s="422"/>
    </row>
    <row r="15958" spans="191:191" x14ac:dyDescent="0.2">
      <c r="GI15958" s="422"/>
    </row>
    <row r="15959" spans="191:191" x14ac:dyDescent="0.2">
      <c r="GI15959" s="422"/>
    </row>
    <row r="15960" spans="191:191" x14ac:dyDescent="0.2">
      <c r="GI15960" s="422"/>
    </row>
    <row r="15961" spans="191:191" x14ac:dyDescent="0.2">
      <c r="GI15961" s="422"/>
    </row>
    <row r="15962" spans="191:191" x14ac:dyDescent="0.2">
      <c r="GI15962" s="422"/>
    </row>
    <row r="15963" spans="191:191" x14ac:dyDescent="0.2">
      <c r="GI15963" s="422"/>
    </row>
    <row r="15964" spans="191:191" x14ac:dyDescent="0.2">
      <c r="GI15964" s="422"/>
    </row>
    <row r="15965" spans="191:191" x14ac:dyDescent="0.2">
      <c r="GI15965" s="422"/>
    </row>
    <row r="15966" spans="191:191" x14ac:dyDescent="0.2">
      <c r="GI15966" s="422"/>
    </row>
    <row r="15967" spans="191:191" x14ac:dyDescent="0.2">
      <c r="GI15967" s="422"/>
    </row>
    <row r="15968" spans="191:191" x14ac:dyDescent="0.2">
      <c r="GI15968" s="422"/>
    </row>
    <row r="15969" spans="191:191" x14ac:dyDescent="0.2">
      <c r="GI15969" s="422"/>
    </row>
    <row r="15970" spans="191:191" x14ac:dyDescent="0.2">
      <c r="GI15970" s="422"/>
    </row>
    <row r="15971" spans="191:191" x14ac:dyDescent="0.2">
      <c r="GI15971" s="422"/>
    </row>
    <row r="15972" spans="191:191" x14ac:dyDescent="0.2">
      <c r="GI15972" s="422"/>
    </row>
    <row r="15973" spans="191:191" x14ac:dyDescent="0.2">
      <c r="GI15973" s="422"/>
    </row>
    <row r="15974" spans="191:191" x14ac:dyDescent="0.2">
      <c r="GI15974" s="422"/>
    </row>
    <row r="15975" spans="191:191" x14ac:dyDescent="0.2">
      <c r="GI15975" s="422"/>
    </row>
    <row r="15976" spans="191:191" x14ac:dyDescent="0.2">
      <c r="GI15976" s="422"/>
    </row>
    <row r="15977" spans="191:191" x14ac:dyDescent="0.2">
      <c r="GI15977" s="422"/>
    </row>
    <row r="15978" spans="191:191" x14ac:dyDescent="0.2">
      <c r="GI15978" s="422"/>
    </row>
    <row r="15979" spans="191:191" x14ac:dyDescent="0.2">
      <c r="GI15979" s="422"/>
    </row>
    <row r="15980" spans="191:191" x14ac:dyDescent="0.2">
      <c r="GI15980" s="422"/>
    </row>
    <row r="15981" spans="191:191" x14ac:dyDescent="0.2">
      <c r="GI15981" s="422"/>
    </row>
    <row r="15982" spans="191:191" x14ac:dyDescent="0.2">
      <c r="GI15982" s="422"/>
    </row>
    <row r="15983" spans="191:191" x14ac:dyDescent="0.2">
      <c r="GI15983" s="422"/>
    </row>
    <row r="15984" spans="191:191" x14ac:dyDescent="0.2">
      <c r="GI15984" s="422"/>
    </row>
    <row r="15985" spans="191:191" x14ac:dyDescent="0.2">
      <c r="GI15985" s="422"/>
    </row>
    <row r="15986" spans="191:191" x14ac:dyDescent="0.2">
      <c r="GI15986" s="422"/>
    </row>
    <row r="15987" spans="191:191" x14ac:dyDescent="0.2">
      <c r="GI15987" s="422"/>
    </row>
    <row r="15988" spans="191:191" x14ac:dyDescent="0.2">
      <c r="GI15988" s="422"/>
    </row>
    <row r="15989" spans="191:191" x14ac:dyDescent="0.2">
      <c r="GI15989" s="422"/>
    </row>
    <row r="15990" spans="191:191" x14ac:dyDescent="0.2">
      <c r="GI15990" s="422"/>
    </row>
    <row r="15991" spans="191:191" x14ac:dyDescent="0.2">
      <c r="GI15991" s="422"/>
    </row>
    <row r="15992" spans="191:191" x14ac:dyDescent="0.2">
      <c r="GI15992" s="422"/>
    </row>
    <row r="15993" spans="191:191" x14ac:dyDescent="0.2">
      <c r="GI15993" s="422"/>
    </row>
    <row r="15994" spans="191:191" x14ac:dyDescent="0.2">
      <c r="GI15994" s="422"/>
    </row>
    <row r="15995" spans="191:191" x14ac:dyDescent="0.2">
      <c r="GI15995" s="422"/>
    </row>
    <row r="15996" spans="191:191" x14ac:dyDescent="0.2">
      <c r="GI15996" s="422"/>
    </row>
    <row r="15997" spans="191:191" x14ac:dyDescent="0.2">
      <c r="GI15997" s="422"/>
    </row>
    <row r="15998" spans="191:191" x14ac:dyDescent="0.2">
      <c r="GI15998" s="422"/>
    </row>
    <row r="15999" spans="191:191" x14ac:dyDescent="0.2">
      <c r="GI15999" s="422"/>
    </row>
    <row r="16000" spans="191:191" x14ac:dyDescent="0.2">
      <c r="GI16000" s="422"/>
    </row>
    <row r="16001" spans="191:191" x14ac:dyDescent="0.2">
      <c r="GI16001" s="422"/>
    </row>
    <row r="16002" spans="191:191" x14ac:dyDescent="0.2">
      <c r="GI16002" s="422"/>
    </row>
    <row r="16003" spans="191:191" x14ac:dyDescent="0.2">
      <c r="GI16003" s="422"/>
    </row>
    <row r="16004" spans="191:191" x14ac:dyDescent="0.2">
      <c r="GI16004" s="422"/>
    </row>
    <row r="16005" spans="191:191" x14ac:dyDescent="0.2">
      <c r="GI16005" s="422"/>
    </row>
    <row r="16006" spans="191:191" x14ac:dyDescent="0.2">
      <c r="GI16006" s="422"/>
    </row>
    <row r="16007" spans="191:191" x14ac:dyDescent="0.2">
      <c r="GI16007" s="422"/>
    </row>
    <row r="16008" spans="191:191" x14ac:dyDescent="0.2">
      <c r="GI16008" s="422"/>
    </row>
    <row r="16009" spans="191:191" x14ac:dyDescent="0.2">
      <c r="GI16009" s="422"/>
    </row>
    <row r="16010" spans="191:191" x14ac:dyDescent="0.2">
      <c r="GI16010" s="422"/>
    </row>
    <row r="16011" spans="191:191" x14ac:dyDescent="0.2">
      <c r="GI16011" s="422"/>
    </row>
    <row r="16012" spans="191:191" x14ac:dyDescent="0.2">
      <c r="GI16012" s="422"/>
    </row>
    <row r="16013" spans="191:191" x14ac:dyDescent="0.2">
      <c r="GI16013" s="422"/>
    </row>
    <row r="16014" spans="191:191" x14ac:dyDescent="0.2">
      <c r="GI16014" s="422"/>
    </row>
    <row r="16015" spans="191:191" x14ac:dyDescent="0.2">
      <c r="GI16015" s="422"/>
    </row>
    <row r="16016" spans="191:191" x14ac:dyDescent="0.2">
      <c r="GI16016" s="422"/>
    </row>
    <row r="16017" spans="191:191" x14ac:dyDescent="0.2">
      <c r="GI16017" s="422"/>
    </row>
    <row r="16018" spans="191:191" x14ac:dyDescent="0.2">
      <c r="GI16018" s="422"/>
    </row>
    <row r="16019" spans="191:191" x14ac:dyDescent="0.2">
      <c r="GI16019" s="422"/>
    </row>
    <row r="16020" spans="191:191" x14ac:dyDescent="0.2">
      <c r="GI16020" s="422"/>
    </row>
    <row r="16021" spans="191:191" x14ac:dyDescent="0.2">
      <c r="GI16021" s="422"/>
    </row>
    <row r="16022" spans="191:191" x14ac:dyDescent="0.2">
      <c r="GI16022" s="422"/>
    </row>
    <row r="16023" spans="191:191" x14ac:dyDescent="0.2">
      <c r="GI16023" s="422"/>
    </row>
    <row r="16024" spans="191:191" x14ac:dyDescent="0.2">
      <c r="GI16024" s="422"/>
    </row>
    <row r="16025" spans="191:191" x14ac:dyDescent="0.2">
      <c r="GI16025" s="422"/>
    </row>
    <row r="16026" spans="191:191" x14ac:dyDescent="0.2">
      <c r="GI16026" s="422"/>
    </row>
    <row r="16027" spans="191:191" x14ac:dyDescent="0.2">
      <c r="GI16027" s="422"/>
    </row>
    <row r="16028" spans="191:191" x14ac:dyDescent="0.2">
      <c r="GI16028" s="422"/>
    </row>
    <row r="16029" spans="191:191" x14ac:dyDescent="0.2">
      <c r="GI16029" s="422"/>
    </row>
    <row r="16030" spans="191:191" x14ac:dyDescent="0.2">
      <c r="GI16030" s="422"/>
    </row>
    <row r="16031" spans="191:191" x14ac:dyDescent="0.2">
      <c r="GI16031" s="422"/>
    </row>
    <row r="16032" spans="191:191" x14ac:dyDescent="0.2">
      <c r="GI16032" s="422"/>
    </row>
    <row r="16033" spans="191:191" x14ac:dyDescent="0.2">
      <c r="GI16033" s="422"/>
    </row>
    <row r="16034" spans="191:191" x14ac:dyDescent="0.2">
      <c r="GI16034" s="422"/>
    </row>
    <row r="16035" spans="191:191" x14ac:dyDescent="0.2">
      <c r="GI16035" s="422"/>
    </row>
    <row r="16036" spans="191:191" x14ac:dyDescent="0.2">
      <c r="GI16036" s="422"/>
    </row>
    <row r="16037" spans="191:191" x14ac:dyDescent="0.2">
      <c r="GI16037" s="422"/>
    </row>
    <row r="16038" spans="191:191" x14ac:dyDescent="0.2">
      <c r="GI16038" s="422"/>
    </row>
    <row r="16039" spans="191:191" x14ac:dyDescent="0.2">
      <c r="GI16039" s="422"/>
    </row>
    <row r="16040" spans="191:191" x14ac:dyDescent="0.2">
      <c r="GI16040" s="422"/>
    </row>
    <row r="16041" spans="191:191" x14ac:dyDescent="0.2">
      <c r="GI16041" s="422"/>
    </row>
    <row r="16042" spans="191:191" x14ac:dyDescent="0.2">
      <c r="GI16042" s="422"/>
    </row>
    <row r="16043" spans="191:191" x14ac:dyDescent="0.2">
      <c r="GI16043" s="422"/>
    </row>
    <row r="16044" spans="191:191" x14ac:dyDescent="0.2">
      <c r="GI16044" s="422"/>
    </row>
    <row r="16045" spans="191:191" x14ac:dyDescent="0.2">
      <c r="GI16045" s="422"/>
    </row>
    <row r="16046" spans="191:191" x14ac:dyDescent="0.2">
      <c r="GI16046" s="422"/>
    </row>
    <row r="16047" spans="191:191" x14ac:dyDescent="0.2">
      <c r="GI16047" s="422"/>
    </row>
    <row r="16048" spans="191:191" x14ac:dyDescent="0.2">
      <c r="GI16048" s="422"/>
    </row>
    <row r="16049" spans="191:191" x14ac:dyDescent="0.2">
      <c r="GI16049" s="422"/>
    </row>
    <row r="16050" spans="191:191" x14ac:dyDescent="0.2">
      <c r="GI16050" s="422"/>
    </row>
    <row r="16051" spans="191:191" x14ac:dyDescent="0.2">
      <c r="GI16051" s="422"/>
    </row>
    <row r="16052" spans="191:191" x14ac:dyDescent="0.2">
      <c r="GI16052" s="422"/>
    </row>
    <row r="16053" spans="191:191" x14ac:dyDescent="0.2">
      <c r="GI16053" s="422"/>
    </row>
    <row r="16054" spans="191:191" x14ac:dyDescent="0.2">
      <c r="GI16054" s="422"/>
    </row>
    <row r="16055" spans="191:191" x14ac:dyDescent="0.2">
      <c r="GI16055" s="422"/>
    </row>
    <row r="16056" spans="191:191" x14ac:dyDescent="0.2">
      <c r="GI16056" s="422"/>
    </row>
    <row r="16057" spans="191:191" x14ac:dyDescent="0.2">
      <c r="GI16057" s="422"/>
    </row>
    <row r="16058" spans="191:191" x14ac:dyDescent="0.2">
      <c r="GI16058" s="422"/>
    </row>
    <row r="16059" spans="191:191" x14ac:dyDescent="0.2">
      <c r="GI16059" s="422"/>
    </row>
    <row r="16060" spans="191:191" x14ac:dyDescent="0.2">
      <c r="GI16060" s="422"/>
    </row>
    <row r="16061" spans="191:191" x14ac:dyDescent="0.2">
      <c r="GI16061" s="422"/>
    </row>
    <row r="16062" spans="191:191" x14ac:dyDescent="0.2">
      <c r="GI16062" s="422"/>
    </row>
    <row r="16063" spans="191:191" x14ac:dyDescent="0.2">
      <c r="GI16063" s="422"/>
    </row>
    <row r="16064" spans="191:191" x14ac:dyDescent="0.2">
      <c r="GI16064" s="422"/>
    </row>
    <row r="16065" spans="191:191" x14ac:dyDescent="0.2">
      <c r="GI16065" s="422"/>
    </row>
    <row r="16066" spans="191:191" x14ac:dyDescent="0.2">
      <c r="GI16066" s="422"/>
    </row>
    <row r="16067" spans="191:191" x14ac:dyDescent="0.2">
      <c r="GI16067" s="422"/>
    </row>
    <row r="16068" spans="191:191" x14ac:dyDescent="0.2">
      <c r="GI16068" s="422"/>
    </row>
    <row r="16069" spans="191:191" x14ac:dyDescent="0.2">
      <c r="GI16069" s="422"/>
    </row>
    <row r="16070" spans="191:191" x14ac:dyDescent="0.2">
      <c r="GI16070" s="422"/>
    </row>
    <row r="16071" spans="191:191" x14ac:dyDescent="0.2">
      <c r="GI16071" s="422"/>
    </row>
    <row r="16072" spans="191:191" x14ac:dyDescent="0.2">
      <c r="GI16072" s="422"/>
    </row>
    <row r="16073" spans="191:191" x14ac:dyDescent="0.2">
      <c r="GI16073" s="422"/>
    </row>
    <row r="16074" spans="191:191" x14ac:dyDescent="0.2">
      <c r="GI16074" s="422"/>
    </row>
    <row r="16075" spans="191:191" x14ac:dyDescent="0.2">
      <c r="GI16075" s="422"/>
    </row>
    <row r="16076" spans="191:191" x14ac:dyDescent="0.2">
      <c r="GI16076" s="422"/>
    </row>
    <row r="16077" spans="191:191" x14ac:dyDescent="0.2">
      <c r="GI16077" s="422"/>
    </row>
    <row r="16078" spans="191:191" x14ac:dyDescent="0.2">
      <c r="GI16078" s="422"/>
    </row>
    <row r="16079" spans="191:191" x14ac:dyDescent="0.2">
      <c r="GI16079" s="422"/>
    </row>
    <row r="16080" spans="191:191" x14ac:dyDescent="0.2">
      <c r="GI16080" s="422"/>
    </row>
    <row r="16081" spans="191:191" x14ac:dyDescent="0.2">
      <c r="GI16081" s="422"/>
    </row>
    <row r="16082" spans="191:191" x14ac:dyDescent="0.2">
      <c r="GI16082" s="422"/>
    </row>
    <row r="16083" spans="191:191" x14ac:dyDescent="0.2">
      <c r="GI16083" s="422"/>
    </row>
    <row r="16084" spans="191:191" x14ac:dyDescent="0.2">
      <c r="GI16084" s="422"/>
    </row>
    <row r="16085" spans="191:191" x14ac:dyDescent="0.2">
      <c r="GI16085" s="422"/>
    </row>
    <row r="16086" spans="191:191" x14ac:dyDescent="0.2">
      <c r="GI16086" s="422"/>
    </row>
    <row r="16087" spans="191:191" x14ac:dyDescent="0.2">
      <c r="GI16087" s="422"/>
    </row>
    <row r="16088" spans="191:191" x14ac:dyDescent="0.2">
      <c r="GI16088" s="422"/>
    </row>
    <row r="16089" spans="191:191" x14ac:dyDescent="0.2">
      <c r="GI16089" s="422"/>
    </row>
    <row r="16090" spans="191:191" x14ac:dyDescent="0.2">
      <c r="GI16090" s="422"/>
    </row>
    <row r="16091" spans="191:191" x14ac:dyDescent="0.2">
      <c r="GI16091" s="422"/>
    </row>
    <row r="16092" spans="191:191" x14ac:dyDescent="0.2">
      <c r="GI16092" s="422"/>
    </row>
    <row r="16093" spans="191:191" x14ac:dyDescent="0.2">
      <c r="GI16093" s="422"/>
    </row>
    <row r="16094" spans="191:191" x14ac:dyDescent="0.2">
      <c r="GI16094" s="422"/>
    </row>
    <row r="16095" spans="191:191" x14ac:dyDescent="0.2">
      <c r="GI16095" s="422"/>
    </row>
    <row r="16096" spans="191:191" x14ac:dyDescent="0.2">
      <c r="GI16096" s="422"/>
    </row>
    <row r="16097" spans="191:191" x14ac:dyDescent="0.2">
      <c r="GI16097" s="422"/>
    </row>
    <row r="16098" spans="191:191" x14ac:dyDescent="0.2">
      <c r="GI16098" s="422"/>
    </row>
    <row r="16099" spans="191:191" x14ac:dyDescent="0.2">
      <c r="GI16099" s="422"/>
    </row>
    <row r="16100" spans="191:191" x14ac:dyDescent="0.2">
      <c r="GI16100" s="422"/>
    </row>
    <row r="16101" spans="191:191" x14ac:dyDescent="0.2">
      <c r="GI16101" s="422"/>
    </row>
    <row r="16102" spans="191:191" x14ac:dyDescent="0.2">
      <c r="GI16102" s="422"/>
    </row>
    <row r="16103" spans="191:191" x14ac:dyDescent="0.2">
      <c r="GI16103" s="422"/>
    </row>
    <row r="16104" spans="191:191" x14ac:dyDescent="0.2">
      <c r="GI16104" s="422"/>
    </row>
    <row r="16105" spans="191:191" x14ac:dyDescent="0.2">
      <c r="GI16105" s="422"/>
    </row>
    <row r="16106" spans="191:191" x14ac:dyDescent="0.2">
      <c r="GI16106" s="422"/>
    </row>
    <row r="16107" spans="191:191" x14ac:dyDescent="0.2">
      <c r="GI16107" s="422"/>
    </row>
    <row r="16108" spans="191:191" x14ac:dyDescent="0.2">
      <c r="GI16108" s="422"/>
    </row>
    <row r="16109" spans="191:191" x14ac:dyDescent="0.2">
      <c r="GI16109" s="422"/>
    </row>
    <row r="16110" spans="191:191" x14ac:dyDescent="0.2">
      <c r="GI16110" s="422"/>
    </row>
    <row r="16111" spans="191:191" x14ac:dyDescent="0.2">
      <c r="GI16111" s="422"/>
    </row>
    <row r="16112" spans="191:191" x14ac:dyDescent="0.2">
      <c r="GI16112" s="422"/>
    </row>
    <row r="16113" spans="191:191" x14ac:dyDescent="0.2">
      <c r="GI16113" s="422"/>
    </row>
    <row r="16114" spans="191:191" x14ac:dyDescent="0.2">
      <c r="GI16114" s="422"/>
    </row>
    <row r="16115" spans="191:191" x14ac:dyDescent="0.2">
      <c r="GI16115" s="422"/>
    </row>
    <row r="16116" spans="191:191" x14ac:dyDescent="0.2">
      <c r="GI16116" s="422"/>
    </row>
    <row r="16117" spans="191:191" x14ac:dyDescent="0.2">
      <c r="GI16117" s="422"/>
    </row>
    <row r="16118" spans="191:191" x14ac:dyDescent="0.2">
      <c r="GI16118" s="422"/>
    </row>
    <row r="16119" spans="191:191" x14ac:dyDescent="0.2">
      <c r="GI16119" s="422"/>
    </row>
    <row r="16120" spans="191:191" x14ac:dyDescent="0.2">
      <c r="GI16120" s="422"/>
    </row>
    <row r="16121" spans="191:191" x14ac:dyDescent="0.2">
      <c r="GI16121" s="422"/>
    </row>
    <row r="16122" spans="191:191" x14ac:dyDescent="0.2">
      <c r="GI16122" s="422"/>
    </row>
    <row r="16123" spans="191:191" x14ac:dyDescent="0.2">
      <c r="GI16123" s="422"/>
    </row>
    <row r="16124" spans="191:191" x14ac:dyDescent="0.2">
      <c r="GI16124" s="422"/>
    </row>
    <row r="16125" spans="191:191" x14ac:dyDescent="0.2">
      <c r="GI16125" s="422"/>
    </row>
    <row r="16126" spans="191:191" x14ac:dyDescent="0.2">
      <c r="GI16126" s="422"/>
    </row>
    <row r="16127" spans="191:191" x14ac:dyDescent="0.2">
      <c r="GI16127" s="422"/>
    </row>
    <row r="16128" spans="191:191" x14ac:dyDescent="0.2">
      <c r="GI16128" s="422"/>
    </row>
    <row r="16129" spans="191:191" x14ac:dyDescent="0.2">
      <c r="GI16129" s="422"/>
    </row>
    <row r="16130" spans="191:191" x14ac:dyDescent="0.2">
      <c r="GI16130" s="422"/>
    </row>
    <row r="16131" spans="191:191" x14ac:dyDescent="0.2">
      <c r="GI16131" s="422"/>
    </row>
    <row r="16132" spans="191:191" x14ac:dyDescent="0.2">
      <c r="GI16132" s="422"/>
    </row>
    <row r="16133" spans="191:191" x14ac:dyDescent="0.2">
      <c r="GI16133" s="422"/>
    </row>
    <row r="16134" spans="191:191" x14ac:dyDescent="0.2">
      <c r="GI16134" s="422"/>
    </row>
    <row r="16135" spans="191:191" x14ac:dyDescent="0.2">
      <c r="GI16135" s="422"/>
    </row>
    <row r="16136" spans="191:191" x14ac:dyDescent="0.2">
      <c r="GI16136" s="422"/>
    </row>
    <row r="16137" spans="191:191" x14ac:dyDescent="0.2">
      <c r="GI16137" s="422"/>
    </row>
    <row r="16138" spans="191:191" x14ac:dyDescent="0.2">
      <c r="GI16138" s="422"/>
    </row>
    <row r="16139" spans="191:191" x14ac:dyDescent="0.2">
      <c r="GI16139" s="422"/>
    </row>
    <row r="16140" spans="191:191" x14ac:dyDescent="0.2">
      <c r="GI16140" s="422"/>
    </row>
    <row r="16141" spans="191:191" x14ac:dyDescent="0.2">
      <c r="GI16141" s="422"/>
    </row>
    <row r="16142" spans="191:191" x14ac:dyDescent="0.2">
      <c r="GI16142" s="422"/>
    </row>
    <row r="16143" spans="191:191" x14ac:dyDescent="0.2">
      <c r="GI16143" s="422"/>
    </row>
    <row r="16144" spans="191:191" x14ac:dyDescent="0.2">
      <c r="GI16144" s="422"/>
    </row>
    <row r="16145" spans="191:191" x14ac:dyDescent="0.2">
      <c r="GI16145" s="422"/>
    </row>
    <row r="16146" spans="191:191" x14ac:dyDescent="0.2">
      <c r="GI16146" s="422"/>
    </row>
    <row r="16147" spans="191:191" x14ac:dyDescent="0.2">
      <c r="GI16147" s="422"/>
    </row>
    <row r="16148" spans="191:191" x14ac:dyDescent="0.2">
      <c r="GI16148" s="422"/>
    </row>
    <row r="16149" spans="191:191" x14ac:dyDescent="0.2">
      <c r="GI16149" s="422"/>
    </row>
    <row r="16150" spans="191:191" x14ac:dyDescent="0.2">
      <c r="GI16150" s="422"/>
    </row>
    <row r="16151" spans="191:191" x14ac:dyDescent="0.2">
      <c r="GI16151" s="422"/>
    </row>
    <row r="16152" spans="191:191" x14ac:dyDescent="0.2">
      <c r="GI16152" s="422"/>
    </row>
    <row r="16153" spans="191:191" x14ac:dyDescent="0.2">
      <c r="GI16153" s="422"/>
    </row>
    <row r="16154" spans="191:191" x14ac:dyDescent="0.2">
      <c r="GI16154" s="422"/>
    </row>
    <row r="16155" spans="191:191" x14ac:dyDescent="0.2">
      <c r="GI16155" s="422"/>
    </row>
    <row r="16156" spans="191:191" x14ac:dyDescent="0.2">
      <c r="GI16156" s="422"/>
    </row>
    <row r="16157" spans="191:191" x14ac:dyDescent="0.2">
      <c r="GI16157" s="422"/>
    </row>
    <row r="16158" spans="191:191" x14ac:dyDescent="0.2">
      <c r="GI16158" s="422"/>
    </row>
    <row r="16159" spans="191:191" x14ac:dyDescent="0.2">
      <c r="GI16159" s="422"/>
    </row>
    <row r="16160" spans="191:191" x14ac:dyDescent="0.2">
      <c r="GI16160" s="422"/>
    </row>
    <row r="16161" spans="191:191" x14ac:dyDescent="0.2">
      <c r="GI16161" s="422"/>
    </row>
    <row r="16162" spans="191:191" x14ac:dyDescent="0.2">
      <c r="GI16162" s="422"/>
    </row>
    <row r="16163" spans="191:191" x14ac:dyDescent="0.2">
      <c r="GI16163" s="422"/>
    </row>
    <row r="16164" spans="191:191" x14ac:dyDescent="0.2">
      <c r="GI16164" s="422"/>
    </row>
    <row r="16165" spans="191:191" x14ac:dyDescent="0.2">
      <c r="GI16165" s="422"/>
    </row>
    <row r="16166" spans="191:191" x14ac:dyDescent="0.2">
      <c r="GI16166" s="422"/>
    </row>
    <row r="16167" spans="191:191" x14ac:dyDescent="0.2">
      <c r="GI16167" s="422"/>
    </row>
    <row r="16168" spans="191:191" x14ac:dyDescent="0.2">
      <c r="GI16168" s="422"/>
    </row>
    <row r="16169" spans="191:191" x14ac:dyDescent="0.2">
      <c r="GI16169" s="422"/>
    </row>
    <row r="16170" spans="191:191" x14ac:dyDescent="0.2">
      <c r="GI16170" s="422"/>
    </row>
    <row r="16171" spans="191:191" x14ac:dyDescent="0.2">
      <c r="GI16171" s="422"/>
    </row>
    <row r="16172" spans="191:191" x14ac:dyDescent="0.2">
      <c r="GI16172" s="422"/>
    </row>
    <row r="16173" spans="191:191" x14ac:dyDescent="0.2">
      <c r="GI16173" s="422"/>
    </row>
    <row r="16174" spans="191:191" x14ac:dyDescent="0.2">
      <c r="GI16174" s="422"/>
    </row>
    <row r="16175" spans="191:191" x14ac:dyDescent="0.2">
      <c r="GI16175" s="422"/>
    </row>
    <row r="16176" spans="191:191" x14ac:dyDescent="0.2">
      <c r="GI16176" s="422"/>
    </row>
    <row r="16177" spans="191:191" x14ac:dyDescent="0.2">
      <c r="GI16177" s="422"/>
    </row>
    <row r="16178" spans="191:191" x14ac:dyDescent="0.2">
      <c r="GI16178" s="422"/>
    </row>
    <row r="16179" spans="191:191" x14ac:dyDescent="0.2">
      <c r="GI16179" s="422"/>
    </row>
    <row r="16180" spans="191:191" x14ac:dyDescent="0.2">
      <c r="GI16180" s="422"/>
    </row>
    <row r="16181" spans="191:191" x14ac:dyDescent="0.2">
      <c r="GI16181" s="422"/>
    </row>
    <row r="16182" spans="191:191" x14ac:dyDescent="0.2">
      <c r="GI16182" s="422"/>
    </row>
    <row r="16183" spans="191:191" x14ac:dyDescent="0.2">
      <c r="GI16183" s="422"/>
    </row>
    <row r="16184" spans="191:191" x14ac:dyDescent="0.2">
      <c r="GI16184" s="422"/>
    </row>
    <row r="16185" spans="191:191" x14ac:dyDescent="0.2">
      <c r="GI16185" s="422"/>
    </row>
    <row r="16186" spans="191:191" x14ac:dyDescent="0.2">
      <c r="GI16186" s="422"/>
    </row>
    <row r="16187" spans="191:191" x14ac:dyDescent="0.2">
      <c r="GI16187" s="422"/>
    </row>
    <row r="16188" spans="191:191" x14ac:dyDescent="0.2">
      <c r="GI16188" s="422"/>
    </row>
    <row r="16189" spans="191:191" x14ac:dyDescent="0.2">
      <c r="GI16189" s="422"/>
    </row>
    <row r="16190" spans="191:191" x14ac:dyDescent="0.2">
      <c r="GI16190" s="422"/>
    </row>
    <row r="16191" spans="191:191" x14ac:dyDescent="0.2">
      <c r="GI16191" s="422"/>
    </row>
    <row r="16192" spans="191:191" x14ac:dyDescent="0.2">
      <c r="GI16192" s="422"/>
    </row>
    <row r="16193" spans="191:191" x14ac:dyDescent="0.2">
      <c r="GI16193" s="422"/>
    </row>
    <row r="16194" spans="191:191" x14ac:dyDescent="0.2">
      <c r="GI16194" s="422"/>
    </row>
    <row r="16195" spans="191:191" x14ac:dyDescent="0.2">
      <c r="GI16195" s="422"/>
    </row>
    <row r="16196" spans="191:191" x14ac:dyDescent="0.2">
      <c r="GI16196" s="422"/>
    </row>
    <row r="16197" spans="191:191" x14ac:dyDescent="0.2">
      <c r="GI16197" s="422"/>
    </row>
    <row r="16198" spans="191:191" x14ac:dyDescent="0.2">
      <c r="GI16198" s="422"/>
    </row>
    <row r="16199" spans="191:191" x14ac:dyDescent="0.2">
      <c r="GI16199" s="422"/>
    </row>
    <row r="16200" spans="191:191" x14ac:dyDescent="0.2">
      <c r="GI16200" s="422"/>
    </row>
    <row r="16201" spans="191:191" x14ac:dyDescent="0.2">
      <c r="GI16201" s="422"/>
    </row>
    <row r="16202" spans="191:191" x14ac:dyDescent="0.2">
      <c r="GI16202" s="422"/>
    </row>
    <row r="16203" spans="191:191" x14ac:dyDescent="0.2">
      <c r="GI16203" s="422"/>
    </row>
    <row r="16204" spans="191:191" x14ac:dyDescent="0.2">
      <c r="GI16204" s="422"/>
    </row>
    <row r="16205" spans="191:191" x14ac:dyDescent="0.2">
      <c r="GI16205" s="422"/>
    </row>
    <row r="16206" spans="191:191" x14ac:dyDescent="0.2">
      <c r="GI16206" s="422"/>
    </row>
    <row r="16207" spans="191:191" x14ac:dyDescent="0.2">
      <c r="GI16207" s="422"/>
    </row>
    <row r="16208" spans="191:191" x14ac:dyDescent="0.2">
      <c r="GI16208" s="422"/>
    </row>
    <row r="16209" spans="191:191" x14ac:dyDescent="0.2">
      <c r="GI16209" s="422"/>
    </row>
    <row r="16210" spans="191:191" x14ac:dyDescent="0.2">
      <c r="GI16210" s="422"/>
    </row>
    <row r="16211" spans="191:191" x14ac:dyDescent="0.2">
      <c r="GI16211" s="422"/>
    </row>
    <row r="16212" spans="191:191" x14ac:dyDescent="0.2">
      <c r="GI16212" s="422"/>
    </row>
    <row r="16213" spans="191:191" x14ac:dyDescent="0.2">
      <c r="GI16213" s="422"/>
    </row>
    <row r="16214" spans="191:191" x14ac:dyDescent="0.2">
      <c r="GI16214" s="422"/>
    </row>
    <row r="16215" spans="191:191" x14ac:dyDescent="0.2">
      <c r="GI16215" s="422"/>
    </row>
    <row r="16216" spans="191:191" x14ac:dyDescent="0.2">
      <c r="GI16216" s="422"/>
    </row>
    <row r="16217" spans="191:191" x14ac:dyDescent="0.2">
      <c r="GI16217" s="422"/>
    </row>
    <row r="16218" spans="191:191" x14ac:dyDescent="0.2">
      <c r="GI16218" s="422"/>
    </row>
    <row r="16219" spans="191:191" x14ac:dyDescent="0.2">
      <c r="GI16219" s="422"/>
    </row>
    <row r="16220" spans="191:191" x14ac:dyDescent="0.2">
      <c r="GI16220" s="422"/>
    </row>
    <row r="16221" spans="191:191" x14ac:dyDescent="0.2">
      <c r="GI16221" s="422"/>
    </row>
    <row r="16222" spans="191:191" x14ac:dyDescent="0.2">
      <c r="GI16222" s="422"/>
    </row>
    <row r="16223" spans="191:191" x14ac:dyDescent="0.2">
      <c r="GI16223" s="422"/>
    </row>
    <row r="16224" spans="191:191" x14ac:dyDescent="0.2">
      <c r="GI16224" s="422"/>
    </row>
    <row r="16225" spans="191:191" x14ac:dyDescent="0.2">
      <c r="GI16225" s="422"/>
    </row>
    <row r="16226" spans="191:191" x14ac:dyDescent="0.2">
      <c r="GI16226" s="422"/>
    </row>
    <row r="16227" spans="191:191" x14ac:dyDescent="0.2">
      <c r="GI16227" s="422"/>
    </row>
    <row r="16228" spans="191:191" x14ac:dyDescent="0.2">
      <c r="GI16228" s="422"/>
    </row>
    <row r="16229" spans="191:191" x14ac:dyDescent="0.2">
      <c r="GI16229" s="422"/>
    </row>
    <row r="16230" spans="191:191" x14ac:dyDescent="0.2">
      <c r="GI16230" s="422"/>
    </row>
    <row r="16231" spans="191:191" x14ac:dyDescent="0.2">
      <c r="GI16231" s="422"/>
    </row>
    <row r="16232" spans="191:191" x14ac:dyDescent="0.2">
      <c r="GI16232" s="422"/>
    </row>
    <row r="16233" spans="191:191" x14ac:dyDescent="0.2">
      <c r="GI16233" s="422"/>
    </row>
    <row r="16234" spans="191:191" x14ac:dyDescent="0.2">
      <c r="GI16234" s="422"/>
    </row>
    <row r="16235" spans="191:191" x14ac:dyDescent="0.2">
      <c r="GI16235" s="422"/>
    </row>
    <row r="16236" spans="191:191" x14ac:dyDescent="0.2">
      <c r="GI16236" s="422"/>
    </row>
    <row r="16237" spans="191:191" x14ac:dyDescent="0.2">
      <c r="GI16237" s="422"/>
    </row>
    <row r="16238" spans="191:191" x14ac:dyDescent="0.2">
      <c r="GI16238" s="422"/>
    </row>
    <row r="16239" spans="191:191" x14ac:dyDescent="0.2">
      <c r="GI16239" s="422"/>
    </row>
    <row r="16240" spans="191:191" x14ac:dyDescent="0.2">
      <c r="GI16240" s="422"/>
    </row>
    <row r="16241" spans="191:191" x14ac:dyDescent="0.2">
      <c r="GI16241" s="422"/>
    </row>
    <row r="16242" spans="191:191" x14ac:dyDescent="0.2">
      <c r="GI16242" s="422"/>
    </row>
    <row r="16243" spans="191:191" x14ac:dyDescent="0.2">
      <c r="GI16243" s="422"/>
    </row>
    <row r="16244" spans="191:191" x14ac:dyDescent="0.2">
      <c r="GI16244" s="422"/>
    </row>
    <row r="16245" spans="191:191" x14ac:dyDescent="0.2">
      <c r="GI16245" s="422"/>
    </row>
    <row r="16246" spans="191:191" x14ac:dyDescent="0.2">
      <c r="GI16246" s="422"/>
    </row>
    <row r="16247" spans="191:191" x14ac:dyDescent="0.2">
      <c r="GI16247" s="422"/>
    </row>
    <row r="16248" spans="191:191" x14ac:dyDescent="0.2">
      <c r="GI16248" s="422"/>
    </row>
    <row r="16249" spans="191:191" x14ac:dyDescent="0.2">
      <c r="GI16249" s="422"/>
    </row>
    <row r="16250" spans="191:191" x14ac:dyDescent="0.2">
      <c r="GI16250" s="422"/>
    </row>
    <row r="16251" spans="191:191" x14ac:dyDescent="0.2">
      <c r="GI16251" s="422"/>
    </row>
    <row r="16252" spans="191:191" x14ac:dyDescent="0.2">
      <c r="GI16252" s="422"/>
    </row>
    <row r="16253" spans="191:191" x14ac:dyDescent="0.2">
      <c r="GI16253" s="422"/>
    </row>
    <row r="16254" spans="191:191" x14ac:dyDescent="0.2">
      <c r="GI16254" s="422"/>
    </row>
    <row r="16255" spans="191:191" x14ac:dyDescent="0.2">
      <c r="GI16255" s="422"/>
    </row>
    <row r="16256" spans="191:191" x14ac:dyDescent="0.2">
      <c r="GI16256" s="422"/>
    </row>
    <row r="16257" spans="191:191" x14ac:dyDescent="0.2">
      <c r="GI16257" s="422"/>
    </row>
    <row r="16258" spans="191:191" x14ac:dyDescent="0.2">
      <c r="GI16258" s="422"/>
    </row>
    <row r="16259" spans="191:191" x14ac:dyDescent="0.2">
      <c r="GI16259" s="422"/>
    </row>
    <row r="16260" spans="191:191" x14ac:dyDescent="0.2">
      <c r="GI16260" s="422"/>
    </row>
    <row r="16261" spans="191:191" x14ac:dyDescent="0.2">
      <c r="GI16261" s="422"/>
    </row>
    <row r="16262" spans="191:191" x14ac:dyDescent="0.2">
      <c r="GI16262" s="422"/>
    </row>
    <row r="16263" spans="191:191" x14ac:dyDescent="0.2">
      <c r="GI16263" s="422"/>
    </row>
    <row r="16264" spans="191:191" x14ac:dyDescent="0.2">
      <c r="GI16264" s="422"/>
    </row>
    <row r="16265" spans="191:191" x14ac:dyDescent="0.2">
      <c r="GI16265" s="422"/>
    </row>
    <row r="16266" spans="191:191" x14ac:dyDescent="0.2">
      <c r="GI16266" s="422"/>
    </row>
    <row r="16267" spans="191:191" x14ac:dyDescent="0.2">
      <c r="GI16267" s="422"/>
    </row>
    <row r="16268" spans="191:191" x14ac:dyDescent="0.2">
      <c r="GI16268" s="422"/>
    </row>
    <row r="16269" spans="191:191" x14ac:dyDescent="0.2">
      <c r="GI16269" s="422"/>
    </row>
    <row r="16270" spans="191:191" x14ac:dyDescent="0.2">
      <c r="GI16270" s="422"/>
    </row>
    <row r="16271" spans="191:191" x14ac:dyDescent="0.2">
      <c r="GI16271" s="422"/>
    </row>
    <row r="16272" spans="191:191" x14ac:dyDescent="0.2">
      <c r="GI16272" s="422"/>
    </row>
    <row r="16273" spans="191:191" x14ac:dyDescent="0.2">
      <c r="GI16273" s="422"/>
    </row>
    <row r="16274" spans="191:191" x14ac:dyDescent="0.2">
      <c r="GI16274" s="422"/>
    </row>
    <row r="16275" spans="191:191" x14ac:dyDescent="0.2">
      <c r="GI16275" s="422"/>
    </row>
    <row r="16276" spans="191:191" x14ac:dyDescent="0.2">
      <c r="GI16276" s="422"/>
    </row>
    <row r="16277" spans="191:191" x14ac:dyDescent="0.2">
      <c r="GI16277" s="422"/>
    </row>
    <row r="16278" spans="191:191" x14ac:dyDescent="0.2">
      <c r="GI16278" s="422"/>
    </row>
    <row r="16279" spans="191:191" x14ac:dyDescent="0.2">
      <c r="GI16279" s="422"/>
    </row>
    <row r="16280" spans="191:191" x14ac:dyDescent="0.2">
      <c r="GI16280" s="422"/>
    </row>
    <row r="16281" spans="191:191" x14ac:dyDescent="0.2">
      <c r="GI16281" s="422"/>
    </row>
    <row r="16282" spans="191:191" x14ac:dyDescent="0.2">
      <c r="GI16282" s="422"/>
    </row>
    <row r="16283" spans="191:191" x14ac:dyDescent="0.2">
      <c r="GI16283" s="422"/>
    </row>
    <row r="16284" spans="191:191" x14ac:dyDescent="0.2">
      <c r="GI16284" s="422"/>
    </row>
    <row r="16285" spans="191:191" x14ac:dyDescent="0.2">
      <c r="GI16285" s="422"/>
    </row>
    <row r="16286" spans="191:191" x14ac:dyDescent="0.2">
      <c r="GI16286" s="422"/>
    </row>
    <row r="16287" spans="191:191" x14ac:dyDescent="0.2">
      <c r="GI16287" s="422"/>
    </row>
    <row r="16288" spans="191:191" x14ac:dyDescent="0.2">
      <c r="GI16288" s="422"/>
    </row>
    <row r="16289" spans="191:191" x14ac:dyDescent="0.2">
      <c r="GI16289" s="422"/>
    </row>
    <row r="16290" spans="191:191" x14ac:dyDescent="0.2">
      <c r="GI16290" s="422"/>
    </row>
    <row r="16291" spans="191:191" x14ac:dyDescent="0.2">
      <c r="GI16291" s="422"/>
    </row>
    <row r="16292" spans="191:191" x14ac:dyDescent="0.2">
      <c r="GI16292" s="422"/>
    </row>
    <row r="16293" spans="191:191" x14ac:dyDescent="0.2">
      <c r="GI16293" s="422"/>
    </row>
    <row r="16294" spans="191:191" x14ac:dyDescent="0.2">
      <c r="GI16294" s="422"/>
    </row>
    <row r="16295" spans="191:191" x14ac:dyDescent="0.2">
      <c r="GI16295" s="422"/>
    </row>
    <row r="16296" spans="191:191" x14ac:dyDescent="0.2">
      <c r="GI16296" s="422"/>
    </row>
    <row r="16297" spans="191:191" x14ac:dyDescent="0.2">
      <c r="GI16297" s="422"/>
    </row>
    <row r="16298" spans="191:191" x14ac:dyDescent="0.2">
      <c r="GI16298" s="422"/>
    </row>
    <row r="16299" spans="191:191" x14ac:dyDescent="0.2">
      <c r="GI16299" s="422"/>
    </row>
    <row r="16300" spans="191:191" x14ac:dyDescent="0.2">
      <c r="GI16300" s="422"/>
    </row>
    <row r="16301" spans="191:191" x14ac:dyDescent="0.2">
      <c r="GI16301" s="422"/>
    </row>
    <row r="16302" spans="191:191" x14ac:dyDescent="0.2">
      <c r="GI16302" s="422"/>
    </row>
    <row r="16303" spans="191:191" x14ac:dyDescent="0.2">
      <c r="GI16303" s="422"/>
    </row>
    <row r="16304" spans="191:191" x14ac:dyDescent="0.2">
      <c r="GI16304" s="422"/>
    </row>
    <row r="16305" spans="191:191" x14ac:dyDescent="0.2">
      <c r="GI16305" s="422"/>
    </row>
    <row r="16306" spans="191:191" x14ac:dyDescent="0.2">
      <c r="GI16306" s="422"/>
    </row>
    <row r="16307" spans="191:191" x14ac:dyDescent="0.2">
      <c r="GI16307" s="422"/>
    </row>
    <row r="16308" spans="191:191" x14ac:dyDescent="0.2">
      <c r="GI16308" s="422"/>
    </row>
    <row r="16309" spans="191:191" x14ac:dyDescent="0.2">
      <c r="GI16309" s="422"/>
    </row>
    <row r="16310" spans="191:191" x14ac:dyDescent="0.2">
      <c r="GI16310" s="422"/>
    </row>
    <row r="16311" spans="191:191" x14ac:dyDescent="0.2">
      <c r="GI16311" s="422"/>
    </row>
    <row r="16312" spans="191:191" x14ac:dyDescent="0.2">
      <c r="GI16312" s="422"/>
    </row>
    <row r="16313" spans="191:191" x14ac:dyDescent="0.2">
      <c r="GI16313" s="422"/>
    </row>
    <row r="16314" spans="191:191" x14ac:dyDescent="0.2">
      <c r="GI16314" s="422"/>
    </row>
    <row r="16315" spans="191:191" x14ac:dyDescent="0.2">
      <c r="GI16315" s="422"/>
    </row>
    <row r="16316" spans="191:191" x14ac:dyDescent="0.2">
      <c r="GI16316" s="422"/>
    </row>
    <row r="16317" spans="191:191" x14ac:dyDescent="0.2">
      <c r="GI16317" s="422"/>
    </row>
    <row r="16318" spans="191:191" x14ac:dyDescent="0.2">
      <c r="GI16318" s="422"/>
    </row>
    <row r="16319" spans="191:191" x14ac:dyDescent="0.2">
      <c r="GI16319" s="422"/>
    </row>
    <row r="16320" spans="191:191" x14ac:dyDescent="0.2">
      <c r="GI16320" s="422"/>
    </row>
    <row r="16321" spans="191:191" x14ac:dyDescent="0.2">
      <c r="GI16321" s="422"/>
    </row>
    <row r="16322" spans="191:191" x14ac:dyDescent="0.2">
      <c r="GI16322" s="422"/>
    </row>
    <row r="16323" spans="191:191" x14ac:dyDescent="0.2">
      <c r="GI16323" s="422"/>
    </row>
    <row r="16324" spans="191:191" x14ac:dyDescent="0.2">
      <c r="GI16324" s="422"/>
    </row>
    <row r="16325" spans="191:191" x14ac:dyDescent="0.2">
      <c r="GI16325" s="422"/>
    </row>
    <row r="16326" spans="191:191" x14ac:dyDescent="0.2">
      <c r="GI16326" s="422"/>
    </row>
    <row r="16327" spans="191:191" x14ac:dyDescent="0.2">
      <c r="GI16327" s="422"/>
    </row>
    <row r="16328" spans="191:191" x14ac:dyDescent="0.2">
      <c r="GI16328" s="422"/>
    </row>
    <row r="16329" spans="191:191" x14ac:dyDescent="0.2">
      <c r="GI16329" s="422"/>
    </row>
    <row r="16330" spans="191:191" x14ac:dyDescent="0.2">
      <c r="GI16330" s="422"/>
    </row>
    <row r="16331" spans="191:191" x14ac:dyDescent="0.2">
      <c r="GI16331" s="422"/>
    </row>
    <row r="16332" spans="191:191" x14ac:dyDescent="0.2">
      <c r="GI16332" s="422"/>
    </row>
    <row r="16333" spans="191:191" x14ac:dyDescent="0.2">
      <c r="GI16333" s="422"/>
    </row>
    <row r="16334" spans="191:191" x14ac:dyDescent="0.2">
      <c r="GI16334" s="422"/>
    </row>
    <row r="16335" spans="191:191" x14ac:dyDescent="0.2">
      <c r="GI16335" s="422"/>
    </row>
    <row r="16336" spans="191:191" x14ac:dyDescent="0.2">
      <c r="GI16336" s="422"/>
    </row>
    <row r="16337" spans="191:191" x14ac:dyDescent="0.2">
      <c r="GI16337" s="422"/>
    </row>
    <row r="16338" spans="191:191" x14ac:dyDescent="0.2">
      <c r="GI16338" s="422"/>
    </row>
    <row r="16339" spans="191:191" x14ac:dyDescent="0.2">
      <c r="GI16339" s="422"/>
    </row>
    <row r="16340" spans="191:191" x14ac:dyDescent="0.2">
      <c r="GI16340" s="422"/>
    </row>
    <row r="16341" spans="191:191" x14ac:dyDescent="0.2">
      <c r="GI16341" s="422"/>
    </row>
    <row r="16342" spans="191:191" x14ac:dyDescent="0.2">
      <c r="GI16342" s="422"/>
    </row>
    <row r="16343" spans="191:191" x14ac:dyDescent="0.2">
      <c r="GI16343" s="422"/>
    </row>
    <row r="16344" spans="191:191" x14ac:dyDescent="0.2">
      <c r="GI16344" s="422"/>
    </row>
    <row r="16345" spans="191:191" x14ac:dyDescent="0.2">
      <c r="GI16345" s="422"/>
    </row>
    <row r="16346" spans="191:191" x14ac:dyDescent="0.2">
      <c r="GI16346" s="422"/>
    </row>
    <row r="16347" spans="191:191" x14ac:dyDescent="0.2">
      <c r="GI16347" s="422"/>
    </row>
    <row r="16348" spans="191:191" x14ac:dyDescent="0.2">
      <c r="GI16348" s="422"/>
    </row>
    <row r="16349" spans="191:191" x14ac:dyDescent="0.2">
      <c r="GI16349" s="422"/>
    </row>
    <row r="16350" spans="191:191" x14ac:dyDescent="0.2">
      <c r="GI16350" s="422"/>
    </row>
    <row r="16351" spans="191:191" x14ac:dyDescent="0.2">
      <c r="GI16351" s="422"/>
    </row>
    <row r="16352" spans="191:191" x14ac:dyDescent="0.2">
      <c r="GI16352" s="422"/>
    </row>
    <row r="16353" spans="191:191" x14ac:dyDescent="0.2">
      <c r="GI16353" s="422"/>
    </row>
    <row r="16354" spans="191:191" x14ac:dyDescent="0.2">
      <c r="GI16354" s="422"/>
    </row>
    <row r="16355" spans="191:191" x14ac:dyDescent="0.2">
      <c r="GI16355" s="422"/>
    </row>
    <row r="16356" spans="191:191" x14ac:dyDescent="0.2">
      <c r="GI16356" s="422"/>
    </row>
    <row r="16357" spans="191:191" x14ac:dyDescent="0.2">
      <c r="GI16357" s="422"/>
    </row>
    <row r="16358" spans="191:191" x14ac:dyDescent="0.2">
      <c r="GI16358" s="422"/>
    </row>
    <row r="16359" spans="191:191" x14ac:dyDescent="0.2">
      <c r="GI16359" s="422"/>
    </row>
    <row r="16360" spans="191:191" x14ac:dyDescent="0.2">
      <c r="GI16360" s="422"/>
    </row>
    <row r="16361" spans="191:191" x14ac:dyDescent="0.2">
      <c r="GI16361" s="422"/>
    </row>
    <row r="16362" spans="191:191" x14ac:dyDescent="0.2">
      <c r="GI16362" s="422"/>
    </row>
    <row r="16363" spans="191:191" x14ac:dyDescent="0.2">
      <c r="GI16363" s="422"/>
    </row>
    <row r="16364" spans="191:191" x14ac:dyDescent="0.2">
      <c r="GI16364" s="422"/>
    </row>
    <row r="16365" spans="191:191" x14ac:dyDescent="0.2">
      <c r="GI16365" s="422"/>
    </row>
    <row r="16366" spans="191:191" x14ac:dyDescent="0.2">
      <c r="GI16366" s="422"/>
    </row>
    <row r="16367" spans="191:191" x14ac:dyDescent="0.2">
      <c r="GI16367" s="422"/>
    </row>
    <row r="16368" spans="191:191" x14ac:dyDescent="0.2">
      <c r="GI16368" s="422"/>
    </row>
    <row r="16369" spans="191:191" x14ac:dyDescent="0.2">
      <c r="GI16369" s="422"/>
    </row>
    <row r="16370" spans="191:191" x14ac:dyDescent="0.2">
      <c r="GI16370" s="422"/>
    </row>
    <row r="16371" spans="191:191" x14ac:dyDescent="0.2">
      <c r="GI16371" s="422"/>
    </row>
    <row r="16372" spans="191:191" x14ac:dyDescent="0.2">
      <c r="GI16372" s="422"/>
    </row>
    <row r="16373" spans="191:191" x14ac:dyDescent="0.2">
      <c r="GI16373" s="422"/>
    </row>
    <row r="16374" spans="191:191" x14ac:dyDescent="0.2">
      <c r="GI16374" s="422"/>
    </row>
    <row r="16375" spans="191:191" x14ac:dyDescent="0.2">
      <c r="GI16375" s="422"/>
    </row>
    <row r="16376" spans="191:191" x14ac:dyDescent="0.2">
      <c r="GI16376" s="422"/>
    </row>
    <row r="16377" spans="191:191" x14ac:dyDescent="0.2">
      <c r="GI16377" s="422"/>
    </row>
    <row r="16378" spans="191:191" x14ac:dyDescent="0.2">
      <c r="GI16378" s="422"/>
    </row>
    <row r="16379" spans="191:191" x14ac:dyDescent="0.2">
      <c r="GI16379" s="422"/>
    </row>
    <row r="16380" spans="191:191" x14ac:dyDescent="0.2">
      <c r="GI16380" s="422"/>
    </row>
    <row r="16381" spans="191:191" x14ac:dyDescent="0.2">
      <c r="GI16381" s="422"/>
    </row>
    <row r="16382" spans="191:191" x14ac:dyDescent="0.2">
      <c r="GI16382" s="422"/>
    </row>
    <row r="16383" spans="191:191" x14ac:dyDescent="0.2">
      <c r="GI16383" s="422"/>
    </row>
    <row r="16384" spans="191:191" x14ac:dyDescent="0.2">
      <c r="GI16384" s="422"/>
    </row>
    <row r="16385" spans="191:191" x14ac:dyDescent="0.2">
      <c r="GI16385" s="422"/>
    </row>
    <row r="16386" spans="191:191" x14ac:dyDescent="0.2">
      <c r="GI16386" s="422"/>
    </row>
    <row r="16387" spans="191:191" x14ac:dyDescent="0.2">
      <c r="GI16387" s="422"/>
    </row>
    <row r="16388" spans="191:191" x14ac:dyDescent="0.2">
      <c r="GI16388" s="422"/>
    </row>
    <row r="16389" spans="191:191" x14ac:dyDescent="0.2">
      <c r="GI16389" s="422"/>
    </row>
    <row r="16390" spans="191:191" x14ac:dyDescent="0.2">
      <c r="GI16390" s="422"/>
    </row>
    <row r="16391" spans="191:191" x14ac:dyDescent="0.2">
      <c r="GI16391" s="422"/>
    </row>
    <row r="16392" spans="191:191" x14ac:dyDescent="0.2">
      <c r="GI16392" s="422"/>
    </row>
    <row r="16393" spans="191:191" x14ac:dyDescent="0.2">
      <c r="GI16393" s="422"/>
    </row>
    <row r="16394" spans="191:191" x14ac:dyDescent="0.2">
      <c r="GI16394" s="422"/>
    </row>
    <row r="16395" spans="191:191" x14ac:dyDescent="0.2">
      <c r="GI16395" s="422"/>
    </row>
    <row r="16396" spans="191:191" x14ac:dyDescent="0.2">
      <c r="GI16396" s="422"/>
    </row>
    <row r="16397" spans="191:191" x14ac:dyDescent="0.2">
      <c r="GI16397" s="422"/>
    </row>
    <row r="16398" spans="191:191" x14ac:dyDescent="0.2">
      <c r="GI16398" s="422"/>
    </row>
    <row r="16399" spans="191:191" x14ac:dyDescent="0.2">
      <c r="GI16399" s="422"/>
    </row>
    <row r="16400" spans="191:191" x14ac:dyDescent="0.2">
      <c r="GI16400" s="422"/>
    </row>
    <row r="16401" spans="191:191" x14ac:dyDescent="0.2">
      <c r="GI16401" s="422"/>
    </row>
    <row r="16402" spans="191:191" x14ac:dyDescent="0.2">
      <c r="GI16402" s="422"/>
    </row>
    <row r="16403" spans="191:191" x14ac:dyDescent="0.2">
      <c r="GI16403" s="422"/>
    </row>
    <row r="16404" spans="191:191" x14ac:dyDescent="0.2">
      <c r="GI16404" s="422"/>
    </row>
    <row r="16405" spans="191:191" x14ac:dyDescent="0.2">
      <c r="GI16405" s="422"/>
    </row>
    <row r="16406" spans="191:191" x14ac:dyDescent="0.2">
      <c r="GI16406" s="422"/>
    </row>
    <row r="16407" spans="191:191" x14ac:dyDescent="0.2">
      <c r="GI16407" s="422"/>
    </row>
    <row r="16408" spans="191:191" x14ac:dyDescent="0.2">
      <c r="GI16408" s="422"/>
    </row>
    <row r="16409" spans="191:191" x14ac:dyDescent="0.2">
      <c r="GI16409" s="422"/>
    </row>
    <row r="16410" spans="191:191" x14ac:dyDescent="0.2">
      <c r="GI16410" s="422"/>
    </row>
    <row r="16411" spans="191:191" x14ac:dyDescent="0.2">
      <c r="GI16411" s="422"/>
    </row>
    <row r="16412" spans="191:191" x14ac:dyDescent="0.2">
      <c r="GI16412" s="422"/>
    </row>
    <row r="16413" spans="191:191" x14ac:dyDescent="0.2">
      <c r="GI16413" s="422"/>
    </row>
    <row r="16414" spans="191:191" x14ac:dyDescent="0.2">
      <c r="GI16414" s="422"/>
    </row>
    <row r="16415" spans="191:191" x14ac:dyDescent="0.2">
      <c r="GI16415" s="422"/>
    </row>
    <row r="16416" spans="191:191" x14ac:dyDescent="0.2">
      <c r="GI16416" s="422"/>
    </row>
    <row r="16417" spans="191:191" x14ac:dyDescent="0.2">
      <c r="GI16417" s="422"/>
    </row>
    <row r="16418" spans="191:191" x14ac:dyDescent="0.2">
      <c r="GI16418" s="422"/>
    </row>
    <row r="16419" spans="191:191" x14ac:dyDescent="0.2">
      <c r="GI16419" s="422"/>
    </row>
    <row r="16420" spans="191:191" x14ac:dyDescent="0.2">
      <c r="GI16420" s="422"/>
    </row>
    <row r="16421" spans="191:191" x14ac:dyDescent="0.2">
      <c r="GI16421" s="422"/>
    </row>
    <row r="16422" spans="191:191" x14ac:dyDescent="0.2">
      <c r="GI16422" s="422"/>
    </row>
    <row r="16423" spans="191:191" x14ac:dyDescent="0.2">
      <c r="GI16423" s="422"/>
    </row>
    <row r="16424" spans="191:191" x14ac:dyDescent="0.2">
      <c r="GI16424" s="422"/>
    </row>
    <row r="16425" spans="191:191" x14ac:dyDescent="0.2">
      <c r="GI16425" s="422"/>
    </row>
    <row r="16426" spans="191:191" x14ac:dyDescent="0.2">
      <c r="GI16426" s="422"/>
    </row>
    <row r="16427" spans="191:191" x14ac:dyDescent="0.2">
      <c r="GI16427" s="422"/>
    </row>
    <row r="16428" spans="191:191" x14ac:dyDescent="0.2">
      <c r="GI16428" s="422"/>
    </row>
    <row r="16429" spans="191:191" x14ac:dyDescent="0.2">
      <c r="GI16429" s="422"/>
    </row>
    <row r="16430" spans="191:191" x14ac:dyDescent="0.2">
      <c r="GI16430" s="422"/>
    </row>
    <row r="16431" spans="191:191" x14ac:dyDescent="0.2">
      <c r="GI16431" s="422"/>
    </row>
    <row r="16432" spans="191:191" x14ac:dyDescent="0.2">
      <c r="GI16432" s="422"/>
    </row>
    <row r="16433" spans="191:191" x14ac:dyDescent="0.2">
      <c r="GI16433" s="422"/>
    </row>
    <row r="16434" spans="191:191" x14ac:dyDescent="0.2">
      <c r="GI16434" s="422"/>
    </row>
    <row r="16435" spans="191:191" x14ac:dyDescent="0.2">
      <c r="GI16435" s="422"/>
    </row>
    <row r="16436" spans="191:191" x14ac:dyDescent="0.2">
      <c r="GI16436" s="422"/>
    </row>
    <row r="16437" spans="191:191" x14ac:dyDescent="0.2">
      <c r="GI16437" s="422"/>
    </row>
    <row r="16438" spans="191:191" x14ac:dyDescent="0.2">
      <c r="GI16438" s="422"/>
    </row>
    <row r="16439" spans="191:191" x14ac:dyDescent="0.2">
      <c r="GI16439" s="422"/>
    </row>
    <row r="16440" spans="191:191" x14ac:dyDescent="0.2">
      <c r="GI16440" s="422"/>
    </row>
    <row r="16441" spans="191:191" x14ac:dyDescent="0.2">
      <c r="GI16441" s="422"/>
    </row>
    <row r="16442" spans="191:191" x14ac:dyDescent="0.2">
      <c r="GI16442" s="422"/>
    </row>
    <row r="16443" spans="191:191" x14ac:dyDescent="0.2">
      <c r="GI16443" s="422"/>
    </row>
    <row r="16444" spans="191:191" x14ac:dyDescent="0.2">
      <c r="GI16444" s="422"/>
    </row>
    <row r="16445" spans="191:191" x14ac:dyDescent="0.2">
      <c r="GI16445" s="422"/>
    </row>
    <row r="16446" spans="191:191" x14ac:dyDescent="0.2">
      <c r="GI16446" s="422"/>
    </row>
    <row r="16447" spans="191:191" x14ac:dyDescent="0.2">
      <c r="GI16447" s="422"/>
    </row>
    <row r="16448" spans="191:191" x14ac:dyDescent="0.2">
      <c r="GI16448" s="422"/>
    </row>
    <row r="16449" spans="191:191" x14ac:dyDescent="0.2">
      <c r="GI16449" s="422"/>
    </row>
    <row r="16450" spans="191:191" x14ac:dyDescent="0.2">
      <c r="GI16450" s="422"/>
    </row>
    <row r="16451" spans="191:191" x14ac:dyDescent="0.2">
      <c r="GI16451" s="422"/>
    </row>
    <row r="16452" spans="191:191" x14ac:dyDescent="0.2">
      <c r="GI16452" s="422"/>
    </row>
    <row r="16453" spans="191:191" x14ac:dyDescent="0.2">
      <c r="GI16453" s="422"/>
    </row>
    <row r="16454" spans="191:191" x14ac:dyDescent="0.2">
      <c r="GI16454" s="422"/>
    </row>
    <row r="16455" spans="191:191" x14ac:dyDescent="0.2">
      <c r="GI16455" s="422"/>
    </row>
    <row r="16456" spans="191:191" x14ac:dyDescent="0.2">
      <c r="GI16456" s="422"/>
    </row>
    <row r="16457" spans="191:191" x14ac:dyDescent="0.2">
      <c r="GI16457" s="422"/>
    </row>
    <row r="16458" spans="191:191" x14ac:dyDescent="0.2">
      <c r="GI16458" s="422"/>
    </row>
    <row r="16459" spans="191:191" x14ac:dyDescent="0.2">
      <c r="GI16459" s="422"/>
    </row>
    <row r="16460" spans="191:191" x14ac:dyDescent="0.2">
      <c r="GI16460" s="422"/>
    </row>
    <row r="16461" spans="191:191" x14ac:dyDescent="0.2">
      <c r="GI16461" s="422"/>
    </row>
    <row r="16462" spans="191:191" x14ac:dyDescent="0.2">
      <c r="GI16462" s="422"/>
    </row>
    <row r="16463" spans="191:191" x14ac:dyDescent="0.2">
      <c r="GI16463" s="422"/>
    </row>
    <row r="16464" spans="191:191" x14ac:dyDescent="0.2">
      <c r="GI16464" s="422"/>
    </row>
    <row r="16465" spans="191:191" x14ac:dyDescent="0.2">
      <c r="GI16465" s="422"/>
    </row>
    <row r="16466" spans="191:191" x14ac:dyDescent="0.2">
      <c r="GI16466" s="422"/>
    </row>
    <row r="16467" spans="191:191" x14ac:dyDescent="0.2">
      <c r="GI16467" s="422"/>
    </row>
    <row r="16468" spans="191:191" x14ac:dyDescent="0.2">
      <c r="GI16468" s="422"/>
    </row>
    <row r="16469" spans="191:191" x14ac:dyDescent="0.2">
      <c r="GI16469" s="422"/>
    </row>
    <row r="16470" spans="191:191" x14ac:dyDescent="0.2">
      <c r="GI16470" s="422"/>
    </row>
    <row r="16471" spans="191:191" x14ac:dyDescent="0.2">
      <c r="GI16471" s="422"/>
    </row>
    <row r="16472" spans="191:191" x14ac:dyDescent="0.2">
      <c r="GI16472" s="422"/>
    </row>
    <row r="16473" spans="191:191" x14ac:dyDescent="0.2">
      <c r="GI16473" s="422"/>
    </row>
    <row r="16474" spans="191:191" x14ac:dyDescent="0.2">
      <c r="GI16474" s="422"/>
    </row>
    <row r="16475" spans="191:191" x14ac:dyDescent="0.2">
      <c r="GI16475" s="422"/>
    </row>
    <row r="16476" spans="191:191" x14ac:dyDescent="0.2">
      <c r="GI16476" s="422"/>
    </row>
    <row r="16477" spans="191:191" x14ac:dyDescent="0.2">
      <c r="GI16477" s="422"/>
    </row>
    <row r="16478" spans="191:191" x14ac:dyDescent="0.2">
      <c r="GI16478" s="422"/>
    </row>
    <row r="16479" spans="191:191" x14ac:dyDescent="0.2">
      <c r="GI16479" s="422"/>
    </row>
    <row r="16480" spans="191:191" x14ac:dyDescent="0.2">
      <c r="GI16480" s="422"/>
    </row>
    <row r="16481" spans="191:191" x14ac:dyDescent="0.2">
      <c r="GI16481" s="422"/>
    </row>
    <row r="16482" spans="191:191" x14ac:dyDescent="0.2">
      <c r="GI16482" s="422"/>
    </row>
    <row r="16483" spans="191:191" x14ac:dyDescent="0.2">
      <c r="GI16483" s="422"/>
    </row>
    <row r="16484" spans="191:191" x14ac:dyDescent="0.2">
      <c r="GI16484" s="422"/>
    </row>
    <row r="16485" spans="191:191" x14ac:dyDescent="0.2">
      <c r="GI16485" s="422"/>
    </row>
    <row r="16486" spans="191:191" x14ac:dyDescent="0.2">
      <c r="GI16486" s="422"/>
    </row>
    <row r="16487" spans="191:191" x14ac:dyDescent="0.2">
      <c r="GI16487" s="422"/>
    </row>
    <row r="16488" spans="191:191" x14ac:dyDescent="0.2">
      <c r="GI16488" s="422"/>
    </row>
    <row r="16489" spans="191:191" x14ac:dyDescent="0.2">
      <c r="GI16489" s="422"/>
    </row>
    <row r="16490" spans="191:191" x14ac:dyDescent="0.2">
      <c r="GI16490" s="422"/>
    </row>
    <row r="16491" spans="191:191" x14ac:dyDescent="0.2">
      <c r="GI16491" s="422"/>
    </row>
    <row r="16492" spans="191:191" x14ac:dyDescent="0.2">
      <c r="GI16492" s="422"/>
    </row>
    <row r="16493" spans="191:191" x14ac:dyDescent="0.2">
      <c r="GI16493" s="422"/>
    </row>
    <row r="16494" spans="191:191" x14ac:dyDescent="0.2">
      <c r="GI16494" s="422"/>
    </row>
    <row r="16495" spans="191:191" x14ac:dyDescent="0.2">
      <c r="GI16495" s="422"/>
    </row>
    <row r="16496" spans="191:191" x14ac:dyDescent="0.2">
      <c r="GI16496" s="422"/>
    </row>
    <row r="16497" spans="191:191" x14ac:dyDescent="0.2">
      <c r="GI16497" s="422"/>
    </row>
    <row r="16498" spans="191:191" x14ac:dyDescent="0.2">
      <c r="GI16498" s="422"/>
    </row>
    <row r="16499" spans="191:191" x14ac:dyDescent="0.2">
      <c r="GI16499" s="422"/>
    </row>
    <row r="16500" spans="191:191" x14ac:dyDescent="0.2">
      <c r="GI16500" s="422"/>
    </row>
    <row r="16501" spans="191:191" x14ac:dyDescent="0.2">
      <c r="GI16501" s="422"/>
    </row>
    <row r="16502" spans="191:191" x14ac:dyDescent="0.2">
      <c r="GI16502" s="422"/>
    </row>
    <row r="16503" spans="191:191" x14ac:dyDescent="0.2">
      <c r="GI16503" s="422"/>
    </row>
    <row r="16504" spans="191:191" x14ac:dyDescent="0.2">
      <c r="GI16504" s="422"/>
    </row>
    <row r="16505" spans="191:191" x14ac:dyDescent="0.2">
      <c r="GI16505" s="422"/>
    </row>
    <row r="16506" spans="191:191" x14ac:dyDescent="0.2">
      <c r="GI16506" s="422"/>
    </row>
    <row r="16507" spans="191:191" x14ac:dyDescent="0.2">
      <c r="GI16507" s="422"/>
    </row>
    <row r="16508" spans="191:191" x14ac:dyDescent="0.2">
      <c r="GI16508" s="422"/>
    </row>
    <row r="16509" spans="191:191" x14ac:dyDescent="0.2">
      <c r="GI16509" s="422"/>
    </row>
    <row r="16510" spans="191:191" x14ac:dyDescent="0.2">
      <c r="GI16510" s="422"/>
    </row>
    <row r="16511" spans="191:191" x14ac:dyDescent="0.2">
      <c r="GI16511" s="422"/>
    </row>
    <row r="16512" spans="191:191" x14ac:dyDescent="0.2">
      <c r="GI16512" s="422"/>
    </row>
    <row r="16513" spans="191:191" x14ac:dyDescent="0.2">
      <c r="GI16513" s="422"/>
    </row>
    <row r="16514" spans="191:191" x14ac:dyDescent="0.2">
      <c r="GI16514" s="422"/>
    </row>
    <row r="16515" spans="191:191" x14ac:dyDescent="0.2">
      <c r="GI16515" s="422"/>
    </row>
    <row r="16516" spans="191:191" x14ac:dyDescent="0.2">
      <c r="GI16516" s="422"/>
    </row>
    <row r="16517" spans="191:191" x14ac:dyDescent="0.2">
      <c r="GI16517" s="422"/>
    </row>
    <row r="16518" spans="191:191" x14ac:dyDescent="0.2">
      <c r="GI16518" s="422"/>
    </row>
    <row r="16519" spans="191:191" x14ac:dyDescent="0.2">
      <c r="GI16519" s="422"/>
    </row>
    <row r="16520" spans="191:191" x14ac:dyDescent="0.2">
      <c r="GI16520" s="422"/>
    </row>
    <row r="16521" spans="191:191" x14ac:dyDescent="0.2">
      <c r="GI16521" s="422"/>
    </row>
    <row r="16522" spans="191:191" x14ac:dyDescent="0.2">
      <c r="GI16522" s="422"/>
    </row>
    <row r="16523" spans="191:191" x14ac:dyDescent="0.2">
      <c r="GI16523" s="422"/>
    </row>
    <row r="16524" spans="191:191" x14ac:dyDescent="0.2">
      <c r="GI16524" s="422"/>
    </row>
    <row r="16525" spans="191:191" x14ac:dyDescent="0.2">
      <c r="GI16525" s="422"/>
    </row>
    <row r="16526" spans="191:191" x14ac:dyDescent="0.2">
      <c r="GI16526" s="422"/>
    </row>
    <row r="16527" spans="191:191" x14ac:dyDescent="0.2">
      <c r="GI16527" s="422"/>
    </row>
    <row r="16528" spans="191:191" x14ac:dyDescent="0.2">
      <c r="GI16528" s="422"/>
    </row>
    <row r="16529" spans="191:191" x14ac:dyDescent="0.2">
      <c r="GI16529" s="422"/>
    </row>
    <row r="16530" spans="191:191" x14ac:dyDescent="0.2">
      <c r="GI16530" s="422"/>
    </row>
    <row r="16531" spans="191:191" x14ac:dyDescent="0.2">
      <c r="GI16531" s="422"/>
    </row>
    <row r="16532" spans="191:191" x14ac:dyDescent="0.2">
      <c r="GI16532" s="422"/>
    </row>
    <row r="16533" spans="191:191" x14ac:dyDescent="0.2">
      <c r="GI16533" s="422"/>
    </row>
    <row r="16534" spans="191:191" x14ac:dyDescent="0.2">
      <c r="GI16534" s="422"/>
    </row>
    <row r="16535" spans="191:191" x14ac:dyDescent="0.2">
      <c r="GI16535" s="422"/>
    </row>
    <row r="16536" spans="191:191" x14ac:dyDescent="0.2">
      <c r="GI16536" s="422"/>
    </row>
    <row r="16537" spans="191:191" x14ac:dyDescent="0.2">
      <c r="GI16537" s="422"/>
    </row>
    <row r="16538" spans="191:191" x14ac:dyDescent="0.2">
      <c r="GI16538" s="422"/>
    </row>
    <row r="16539" spans="191:191" x14ac:dyDescent="0.2">
      <c r="GI16539" s="422"/>
    </row>
    <row r="16540" spans="191:191" x14ac:dyDescent="0.2">
      <c r="GI16540" s="422"/>
    </row>
    <row r="16541" spans="191:191" x14ac:dyDescent="0.2">
      <c r="GI16541" s="422"/>
    </row>
    <row r="16542" spans="191:191" x14ac:dyDescent="0.2">
      <c r="GI16542" s="422"/>
    </row>
    <row r="16543" spans="191:191" x14ac:dyDescent="0.2">
      <c r="GI16543" s="422"/>
    </row>
    <row r="16544" spans="191:191" x14ac:dyDescent="0.2">
      <c r="GI16544" s="422"/>
    </row>
    <row r="16545" spans="191:191" x14ac:dyDescent="0.2">
      <c r="GI16545" s="422"/>
    </row>
    <row r="16546" spans="191:191" x14ac:dyDescent="0.2">
      <c r="GI16546" s="422"/>
    </row>
    <row r="16547" spans="191:191" x14ac:dyDescent="0.2">
      <c r="GI16547" s="422"/>
    </row>
    <row r="16548" spans="191:191" x14ac:dyDescent="0.2">
      <c r="GI16548" s="422"/>
    </row>
    <row r="16549" spans="191:191" x14ac:dyDescent="0.2">
      <c r="GI16549" s="422"/>
    </row>
    <row r="16550" spans="191:191" x14ac:dyDescent="0.2">
      <c r="GI16550" s="422"/>
    </row>
    <row r="16551" spans="191:191" x14ac:dyDescent="0.2">
      <c r="GI16551" s="422"/>
    </row>
    <row r="16552" spans="191:191" x14ac:dyDescent="0.2">
      <c r="GI16552" s="422"/>
    </row>
    <row r="16553" spans="191:191" x14ac:dyDescent="0.2">
      <c r="GI16553" s="422"/>
    </row>
    <row r="16554" spans="191:191" x14ac:dyDescent="0.2">
      <c r="GI16554" s="422"/>
    </row>
    <row r="16555" spans="191:191" x14ac:dyDescent="0.2">
      <c r="GI16555" s="422"/>
    </row>
    <row r="16556" spans="191:191" x14ac:dyDescent="0.2">
      <c r="GI16556" s="422"/>
    </row>
    <row r="16557" spans="191:191" x14ac:dyDescent="0.2">
      <c r="GI16557" s="422"/>
    </row>
    <row r="16558" spans="191:191" x14ac:dyDescent="0.2">
      <c r="GI16558" s="422"/>
    </row>
    <row r="16559" spans="191:191" x14ac:dyDescent="0.2">
      <c r="GI16559" s="422"/>
    </row>
    <row r="16560" spans="191:191" x14ac:dyDescent="0.2">
      <c r="GI16560" s="422"/>
    </row>
    <row r="16561" spans="191:191" x14ac:dyDescent="0.2">
      <c r="GI16561" s="422"/>
    </row>
    <row r="16562" spans="191:191" x14ac:dyDescent="0.2">
      <c r="GI16562" s="422"/>
    </row>
    <row r="16563" spans="191:191" x14ac:dyDescent="0.2">
      <c r="GI16563" s="422"/>
    </row>
    <row r="16564" spans="191:191" x14ac:dyDescent="0.2">
      <c r="GI16564" s="422"/>
    </row>
    <row r="16565" spans="191:191" x14ac:dyDescent="0.2">
      <c r="GI16565" s="422"/>
    </row>
    <row r="16566" spans="191:191" x14ac:dyDescent="0.2">
      <c r="GI16566" s="422"/>
    </row>
    <row r="16567" spans="191:191" x14ac:dyDescent="0.2">
      <c r="GI16567" s="422"/>
    </row>
    <row r="16568" spans="191:191" x14ac:dyDescent="0.2">
      <c r="GI16568" s="422"/>
    </row>
    <row r="16569" spans="191:191" x14ac:dyDescent="0.2">
      <c r="GI16569" s="422"/>
    </row>
    <row r="16570" spans="191:191" x14ac:dyDescent="0.2">
      <c r="GI16570" s="422"/>
    </row>
    <row r="16571" spans="191:191" x14ac:dyDescent="0.2">
      <c r="GI16571" s="422"/>
    </row>
    <row r="16572" spans="191:191" x14ac:dyDescent="0.2">
      <c r="GI16572" s="422"/>
    </row>
    <row r="16573" spans="191:191" x14ac:dyDescent="0.2">
      <c r="GI16573" s="422"/>
    </row>
    <row r="16574" spans="191:191" x14ac:dyDescent="0.2">
      <c r="GI16574" s="422"/>
    </row>
    <row r="16575" spans="191:191" x14ac:dyDescent="0.2">
      <c r="GI16575" s="422"/>
    </row>
    <row r="16576" spans="191:191" x14ac:dyDescent="0.2">
      <c r="GI16576" s="422"/>
    </row>
    <row r="16577" spans="191:191" x14ac:dyDescent="0.2">
      <c r="GI16577" s="422"/>
    </row>
    <row r="16578" spans="191:191" x14ac:dyDescent="0.2">
      <c r="GI16578" s="422"/>
    </row>
    <row r="16579" spans="191:191" x14ac:dyDescent="0.2">
      <c r="GI16579" s="422"/>
    </row>
    <row r="16580" spans="191:191" x14ac:dyDescent="0.2">
      <c r="GI16580" s="422"/>
    </row>
    <row r="16581" spans="191:191" x14ac:dyDescent="0.2">
      <c r="GI16581" s="422"/>
    </row>
    <row r="16582" spans="191:191" x14ac:dyDescent="0.2">
      <c r="GI16582" s="422"/>
    </row>
    <row r="16583" spans="191:191" x14ac:dyDescent="0.2">
      <c r="GI16583" s="422"/>
    </row>
    <row r="16584" spans="191:191" x14ac:dyDescent="0.2">
      <c r="GI16584" s="422"/>
    </row>
    <row r="16585" spans="191:191" x14ac:dyDescent="0.2">
      <c r="GI16585" s="422"/>
    </row>
    <row r="16586" spans="191:191" x14ac:dyDescent="0.2">
      <c r="GI16586" s="422"/>
    </row>
    <row r="16587" spans="191:191" x14ac:dyDescent="0.2">
      <c r="GI16587" s="422"/>
    </row>
    <row r="16588" spans="191:191" x14ac:dyDescent="0.2">
      <c r="GI16588" s="422"/>
    </row>
    <row r="16589" spans="191:191" x14ac:dyDescent="0.2">
      <c r="GI16589" s="422"/>
    </row>
    <row r="16590" spans="191:191" x14ac:dyDescent="0.2">
      <c r="GI16590" s="422"/>
    </row>
    <row r="16591" spans="191:191" x14ac:dyDescent="0.2">
      <c r="GI16591" s="422"/>
    </row>
    <row r="16592" spans="191:191" x14ac:dyDescent="0.2">
      <c r="GI16592" s="422"/>
    </row>
    <row r="16593" spans="191:191" x14ac:dyDescent="0.2">
      <c r="GI16593" s="422"/>
    </row>
    <row r="16594" spans="191:191" x14ac:dyDescent="0.2">
      <c r="GI16594" s="422"/>
    </row>
    <row r="16595" spans="191:191" x14ac:dyDescent="0.2">
      <c r="GI16595" s="422"/>
    </row>
    <row r="16596" spans="191:191" x14ac:dyDescent="0.2">
      <c r="GI16596" s="422"/>
    </row>
    <row r="16597" spans="191:191" x14ac:dyDescent="0.2">
      <c r="GI16597" s="422"/>
    </row>
    <row r="16598" spans="191:191" x14ac:dyDescent="0.2">
      <c r="GI16598" s="422"/>
    </row>
    <row r="16599" spans="191:191" x14ac:dyDescent="0.2">
      <c r="GI16599" s="422"/>
    </row>
    <row r="16600" spans="191:191" x14ac:dyDescent="0.2">
      <c r="GI16600" s="422"/>
    </row>
    <row r="16601" spans="191:191" x14ac:dyDescent="0.2">
      <c r="GI16601" s="422"/>
    </row>
    <row r="16602" spans="191:191" x14ac:dyDescent="0.2">
      <c r="GI16602" s="422"/>
    </row>
    <row r="16603" spans="191:191" x14ac:dyDescent="0.2">
      <c r="GI16603" s="422"/>
    </row>
    <row r="16604" spans="191:191" x14ac:dyDescent="0.2">
      <c r="GI16604" s="422"/>
    </row>
    <row r="16605" spans="191:191" x14ac:dyDescent="0.2">
      <c r="GI16605" s="422"/>
    </row>
    <row r="16606" spans="191:191" x14ac:dyDescent="0.2">
      <c r="GI16606" s="422"/>
    </row>
    <row r="16607" spans="191:191" x14ac:dyDescent="0.2">
      <c r="GI16607" s="422"/>
    </row>
    <row r="16608" spans="191:191" x14ac:dyDescent="0.2">
      <c r="GI16608" s="422"/>
    </row>
    <row r="16609" spans="191:191" x14ac:dyDescent="0.2">
      <c r="GI16609" s="422"/>
    </row>
    <row r="16610" spans="191:191" x14ac:dyDescent="0.2">
      <c r="GI16610" s="422"/>
    </row>
    <row r="16611" spans="191:191" x14ac:dyDescent="0.2">
      <c r="GI16611" s="422"/>
    </row>
    <row r="16612" spans="191:191" x14ac:dyDescent="0.2">
      <c r="GI16612" s="422"/>
    </row>
    <row r="16613" spans="191:191" x14ac:dyDescent="0.2">
      <c r="GI16613" s="422"/>
    </row>
    <row r="16614" spans="191:191" x14ac:dyDescent="0.2">
      <c r="GI16614" s="422"/>
    </row>
    <row r="16615" spans="191:191" x14ac:dyDescent="0.2">
      <c r="GI16615" s="422"/>
    </row>
    <row r="16616" spans="191:191" x14ac:dyDescent="0.2">
      <c r="GI16616" s="422"/>
    </row>
    <row r="16617" spans="191:191" x14ac:dyDescent="0.2">
      <c r="GI16617" s="422"/>
    </row>
    <row r="16618" spans="191:191" x14ac:dyDescent="0.2">
      <c r="GI16618" s="422"/>
    </row>
    <row r="16619" spans="191:191" x14ac:dyDescent="0.2">
      <c r="GI16619" s="422"/>
    </row>
    <row r="16620" spans="191:191" x14ac:dyDescent="0.2">
      <c r="GI16620" s="422"/>
    </row>
    <row r="16621" spans="191:191" x14ac:dyDescent="0.2">
      <c r="GI16621" s="422"/>
    </row>
    <row r="16622" spans="191:191" x14ac:dyDescent="0.2">
      <c r="GI16622" s="422"/>
    </row>
    <row r="16623" spans="191:191" x14ac:dyDescent="0.2">
      <c r="GI16623" s="422"/>
    </row>
    <row r="16624" spans="191:191" x14ac:dyDescent="0.2">
      <c r="GI16624" s="422"/>
    </row>
    <row r="16625" spans="191:191" x14ac:dyDescent="0.2">
      <c r="GI16625" s="422"/>
    </row>
    <row r="16626" spans="191:191" x14ac:dyDescent="0.2">
      <c r="GI16626" s="422"/>
    </row>
    <row r="16627" spans="191:191" x14ac:dyDescent="0.2">
      <c r="GI16627" s="422"/>
    </row>
    <row r="16628" spans="191:191" x14ac:dyDescent="0.2">
      <c r="GI16628" s="422"/>
    </row>
    <row r="16629" spans="191:191" x14ac:dyDescent="0.2">
      <c r="GI16629" s="422"/>
    </row>
    <row r="16630" spans="191:191" x14ac:dyDescent="0.2">
      <c r="GI16630" s="422"/>
    </row>
    <row r="16631" spans="191:191" x14ac:dyDescent="0.2">
      <c r="GI16631" s="422"/>
    </row>
    <row r="16632" spans="191:191" x14ac:dyDescent="0.2">
      <c r="GI16632" s="422"/>
    </row>
    <row r="16633" spans="191:191" x14ac:dyDescent="0.2">
      <c r="GI16633" s="422"/>
    </row>
    <row r="16634" spans="191:191" x14ac:dyDescent="0.2">
      <c r="GI16634" s="422"/>
    </row>
    <row r="16635" spans="191:191" x14ac:dyDescent="0.2">
      <c r="GI16635" s="422"/>
    </row>
    <row r="16636" spans="191:191" x14ac:dyDescent="0.2">
      <c r="GI16636" s="422"/>
    </row>
    <row r="16637" spans="191:191" x14ac:dyDescent="0.2">
      <c r="GI16637" s="422"/>
    </row>
    <row r="16638" spans="191:191" x14ac:dyDescent="0.2">
      <c r="GI16638" s="422"/>
    </row>
    <row r="16639" spans="191:191" x14ac:dyDescent="0.2">
      <c r="GI16639" s="422"/>
    </row>
    <row r="16640" spans="191:191" x14ac:dyDescent="0.2">
      <c r="GI16640" s="422"/>
    </row>
    <row r="16641" spans="191:191" x14ac:dyDescent="0.2">
      <c r="GI16641" s="422"/>
    </row>
    <row r="16642" spans="191:191" x14ac:dyDescent="0.2">
      <c r="GI16642" s="422"/>
    </row>
    <row r="16643" spans="191:191" x14ac:dyDescent="0.2">
      <c r="GI16643" s="422"/>
    </row>
    <row r="16644" spans="191:191" x14ac:dyDescent="0.2">
      <c r="GI16644" s="422"/>
    </row>
    <row r="16645" spans="191:191" x14ac:dyDescent="0.2">
      <c r="GI16645" s="422"/>
    </row>
    <row r="16646" spans="191:191" x14ac:dyDescent="0.2">
      <c r="GI16646" s="422"/>
    </row>
    <row r="16647" spans="191:191" x14ac:dyDescent="0.2">
      <c r="GI16647" s="422"/>
    </row>
    <row r="16648" spans="191:191" x14ac:dyDescent="0.2">
      <c r="GI16648" s="422"/>
    </row>
    <row r="16649" spans="191:191" x14ac:dyDescent="0.2">
      <c r="GI16649" s="422"/>
    </row>
    <row r="16650" spans="191:191" x14ac:dyDescent="0.2">
      <c r="GI16650" s="422"/>
    </row>
    <row r="16651" spans="191:191" x14ac:dyDescent="0.2">
      <c r="GI16651" s="422"/>
    </row>
    <row r="16652" spans="191:191" x14ac:dyDescent="0.2">
      <c r="GI16652" s="422"/>
    </row>
    <row r="16653" spans="191:191" x14ac:dyDescent="0.2">
      <c r="GI16653" s="422"/>
    </row>
    <row r="16654" spans="191:191" x14ac:dyDescent="0.2">
      <c r="GI16654" s="422"/>
    </row>
    <row r="16655" spans="191:191" x14ac:dyDescent="0.2">
      <c r="GI16655" s="422"/>
    </row>
    <row r="16656" spans="191:191" x14ac:dyDescent="0.2">
      <c r="GI16656" s="422"/>
    </row>
    <row r="16657" spans="191:191" x14ac:dyDescent="0.2">
      <c r="GI16657" s="422"/>
    </row>
    <row r="16658" spans="191:191" x14ac:dyDescent="0.2">
      <c r="GI16658" s="422"/>
    </row>
    <row r="16659" spans="191:191" x14ac:dyDescent="0.2">
      <c r="GI16659" s="422"/>
    </row>
    <row r="16660" spans="191:191" x14ac:dyDescent="0.2">
      <c r="GI16660" s="422"/>
    </row>
    <row r="16661" spans="191:191" x14ac:dyDescent="0.2">
      <c r="GI16661" s="422"/>
    </row>
    <row r="16662" spans="191:191" x14ac:dyDescent="0.2">
      <c r="GI16662" s="422"/>
    </row>
    <row r="16663" spans="191:191" x14ac:dyDescent="0.2">
      <c r="GI16663" s="422"/>
    </row>
    <row r="16664" spans="191:191" x14ac:dyDescent="0.2">
      <c r="GI16664" s="422"/>
    </row>
    <row r="16665" spans="191:191" x14ac:dyDescent="0.2">
      <c r="GI16665" s="422"/>
    </row>
    <row r="16666" spans="191:191" x14ac:dyDescent="0.2">
      <c r="GI16666" s="422"/>
    </row>
    <row r="16667" spans="191:191" x14ac:dyDescent="0.2">
      <c r="GI16667" s="422"/>
    </row>
    <row r="16668" spans="191:191" x14ac:dyDescent="0.2">
      <c r="GI16668" s="422"/>
    </row>
    <row r="16669" spans="191:191" x14ac:dyDescent="0.2">
      <c r="GI16669" s="422"/>
    </row>
    <row r="16670" spans="191:191" x14ac:dyDescent="0.2">
      <c r="GI16670" s="422"/>
    </row>
    <row r="16671" spans="191:191" x14ac:dyDescent="0.2">
      <c r="GI16671" s="422"/>
    </row>
    <row r="16672" spans="191:191" x14ac:dyDescent="0.2">
      <c r="GI16672" s="422"/>
    </row>
    <row r="16673" spans="191:191" x14ac:dyDescent="0.2">
      <c r="GI16673" s="422"/>
    </row>
    <row r="16674" spans="191:191" x14ac:dyDescent="0.2">
      <c r="GI16674" s="422"/>
    </row>
    <row r="16675" spans="191:191" x14ac:dyDescent="0.2">
      <c r="GI16675" s="422"/>
    </row>
    <row r="16676" spans="191:191" x14ac:dyDescent="0.2">
      <c r="GI16676" s="422"/>
    </row>
    <row r="16677" spans="191:191" x14ac:dyDescent="0.2">
      <c r="GI16677" s="422"/>
    </row>
    <row r="16678" spans="191:191" x14ac:dyDescent="0.2">
      <c r="GI16678" s="422"/>
    </row>
    <row r="16679" spans="191:191" x14ac:dyDescent="0.2">
      <c r="GI16679" s="422"/>
    </row>
    <row r="16680" spans="191:191" x14ac:dyDescent="0.2">
      <c r="GI16680" s="422"/>
    </row>
    <row r="16681" spans="191:191" x14ac:dyDescent="0.2">
      <c r="GI16681" s="422"/>
    </row>
    <row r="16682" spans="191:191" x14ac:dyDescent="0.2">
      <c r="GI16682" s="422"/>
    </row>
    <row r="16683" spans="191:191" x14ac:dyDescent="0.2">
      <c r="GI16683" s="422"/>
    </row>
    <row r="16684" spans="191:191" x14ac:dyDescent="0.2">
      <c r="GI16684" s="422"/>
    </row>
    <row r="16685" spans="191:191" x14ac:dyDescent="0.2">
      <c r="GI16685" s="422"/>
    </row>
    <row r="16686" spans="191:191" x14ac:dyDescent="0.2">
      <c r="GI16686" s="422"/>
    </row>
    <row r="16687" spans="191:191" x14ac:dyDescent="0.2">
      <c r="GI16687" s="422"/>
    </row>
    <row r="16688" spans="191:191" x14ac:dyDescent="0.2">
      <c r="GI16688" s="422"/>
    </row>
    <row r="16689" spans="191:191" x14ac:dyDescent="0.2">
      <c r="GI16689" s="422"/>
    </row>
    <row r="16690" spans="191:191" x14ac:dyDescent="0.2">
      <c r="GI16690" s="422"/>
    </row>
    <row r="16691" spans="191:191" x14ac:dyDescent="0.2">
      <c r="GI16691" s="422"/>
    </row>
    <row r="16692" spans="191:191" x14ac:dyDescent="0.2">
      <c r="GI16692" s="422"/>
    </row>
    <row r="16693" spans="191:191" x14ac:dyDescent="0.2">
      <c r="GI16693" s="422"/>
    </row>
    <row r="16694" spans="191:191" x14ac:dyDescent="0.2">
      <c r="GI16694" s="422"/>
    </row>
    <row r="16695" spans="191:191" x14ac:dyDescent="0.2">
      <c r="GI16695" s="422"/>
    </row>
    <row r="16696" spans="191:191" x14ac:dyDescent="0.2">
      <c r="GI16696" s="422"/>
    </row>
    <row r="16697" spans="191:191" x14ac:dyDescent="0.2">
      <c r="GI16697" s="422"/>
    </row>
    <row r="16698" spans="191:191" x14ac:dyDescent="0.2">
      <c r="GI16698" s="422"/>
    </row>
    <row r="16699" spans="191:191" x14ac:dyDescent="0.2">
      <c r="GI16699" s="422"/>
    </row>
    <row r="16700" spans="191:191" x14ac:dyDescent="0.2">
      <c r="GI16700" s="422"/>
    </row>
    <row r="16701" spans="191:191" x14ac:dyDescent="0.2">
      <c r="GI16701" s="422"/>
    </row>
    <row r="16702" spans="191:191" x14ac:dyDescent="0.2">
      <c r="GI16702" s="422"/>
    </row>
    <row r="16703" spans="191:191" x14ac:dyDescent="0.2">
      <c r="GI16703" s="422"/>
    </row>
    <row r="16704" spans="191:191" x14ac:dyDescent="0.2">
      <c r="GI16704" s="422"/>
    </row>
    <row r="16705" spans="191:191" x14ac:dyDescent="0.2">
      <c r="GI16705" s="422"/>
    </row>
    <row r="16706" spans="191:191" x14ac:dyDescent="0.2">
      <c r="GI16706" s="422"/>
    </row>
    <row r="16707" spans="191:191" x14ac:dyDescent="0.2">
      <c r="GI16707" s="422"/>
    </row>
    <row r="16708" spans="191:191" x14ac:dyDescent="0.2">
      <c r="GI16708" s="422"/>
    </row>
    <row r="16709" spans="191:191" x14ac:dyDescent="0.2">
      <c r="GI16709" s="422"/>
    </row>
    <row r="16710" spans="191:191" x14ac:dyDescent="0.2">
      <c r="GI16710" s="422"/>
    </row>
    <row r="16711" spans="191:191" x14ac:dyDescent="0.2">
      <c r="GI16711" s="422"/>
    </row>
    <row r="16712" spans="191:191" x14ac:dyDescent="0.2">
      <c r="GI16712" s="422"/>
    </row>
    <row r="16713" spans="191:191" x14ac:dyDescent="0.2">
      <c r="GI16713" s="422"/>
    </row>
    <row r="16714" spans="191:191" x14ac:dyDescent="0.2">
      <c r="GI16714" s="422"/>
    </row>
    <row r="16715" spans="191:191" x14ac:dyDescent="0.2">
      <c r="GI16715" s="422"/>
    </row>
    <row r="16716" spans="191:191" x14ac:dyDescent="0.2">
      <c r="GI16716" s="422"/>
    </row>
    <row r="16717" spans="191:191" x14ac:dyDescent="0.2">
      <c r="GI16717" s="422"/>
    </row>
    <row r="16718" spans="191:191" x14ac:dyDescent="0.2">
      <c r="GI16718" s="422"/>
    </row>
    <row r="16719" spans="191:191" x14ac:dyDescent="0.2">
      <c r="GI16719" s="422"/>
    </row>
    <row r="16720" spans="191:191" x14ac:dyDescent="0.2">
      <c r="GI16720" s="422"/>
    </row>
    <row r="16721" spans="191:191" x14ac:dyDescent="0.2">
      <c r="GI16721" s="422"/>
    </row>
    <row r="16722" spans="191:191" x14ac:dyDescent="0.2">
      <c r="GI16722" s="422"/>
    </row>
    <row r="16723" spans="191:191" x14ac:dyDescent="0.2">
      <c r="GI16723" s="422"/>
    </row>
    <row r="16724" spans="191:191" x14ac:dyDescent="0.2">
      <c r="GI16724" s="422"/>
    </row>
    <row r="16725" spans="191:191" x14ac:dyDescent="0.2">
      <c r="GI16725" s="422"/>
    </row>
    <row r="16726" spans="191:191" x14ac:dyDescent="0.2">
      <c r="GI16726" s="422"/>
    </row>
    <row r="16727" spans="191:191" x14ac:dyDescent="0.2">
      <c r="GI16727" s="422"/>
    </row>
    <row r="16728" spans="191:191" x14ac:dyDescent="0.2">
      <c r="GI16728" s="422"/>
    </row>
    <row r="16729" spans="191:191" x14ac:dyDescent="0.2">
      <c r="GI16729" s="422"/>
    </row>
    <row r="16730" spans="191:191" x14ac:dyDescent="0.2">
      <c r="GI16730" s="422"/>
    </row>
    <row r="16731" spans="191:191" x14ac:dyDescent="0.2">
      <c r="GI16731" s="422"/>
    </row>
    <row r="16732" spans="191:191" x14ac:dyDescent="0.2">
      <c r="GI16732" s="422"/>
    </row>
    <row r="16733" spans="191:191" x14ac:dyDescent="0.2">
      <c r="GI16733" s="422"/>
    </row>
    <row r="16734" spans="191:191" x14ac:dyDescent="0.2">
      <c r="GI16734" s="422"/>
    </row>
    <row r="16735" spans="191:191" x14ac:dyDescent="0.2">
      <c r="GI16735" s="422"/>
    </row>
    <row r="16736" spans="191:191" x14ac:dyDescent="0.2">
      <c r="GI16736" s="422"/>
    </row>
    <row r="16737" spans="191:191" x14ac:dyDescent="0.2">
      <c r="GI16737" s="422"/>
    </row>
    <row r="16738" spans="191:191" x14ac:dyDescent="0.2">
      <c r="GI16738" s="422"/>
    </row>
    <row r="16739" spans="191:191" x14ac:dyDescent="0.2">
      <c r="GI16739" s="422"/>
    </row>
    <row r="16740" spans="191:191" x14ac:dyDescent="0.2">
      <c r="GI16740" s="422"/>
    </row>
    <row r="16741" spans="191:191" x14ac:dyDescent="0.2">
      <c r="GI16741" s="422"/>
    </row>
    <row r="16742" spans="191:191" x14ac:dyDescent="0.2">
      <c r="GI16742" s="422"/>
    </row>
    <row r="16743" spans="191:191" x14ac:dyDescent="0.2">
      <c r="GI16743" s="422"/>
    </row>
    <row r="16744" spans="191:191" x14ac:dyDescent="0.2">
      <c r="GI16744" s="422"/>
    </row>
    <row r="16745" spans="191:191" x14ac:dyDescent="0.2">
      <c r="GI16745" s="422"/>
    </row>
    <row r="16746" spans="191:191" x14ac:dyDescent="0.2">
      <c r="GI16746" s="422"/>
    </row>
    <row r="16747" spans="191:191" x14ac:dyDescent="0.2">
      <c r="GI16747" s="422"/>
    </row>
    <row r="16748" spans="191:191" x14ac:dyDescent="0.2">
      <c r="GI16748" s="422"/>
    </row>
    <row r="16749" spans="191:191" x14ac:dyDescent="0.2">
      <c r="GI16749" s="422"/>
    </row>
    <row r="16750" spans="191:191" x14ac:dyDescent="0.2">
      <c r="GI16750" s="422"/>
    </row>
    <row r="16751" spans="191:191" x14ac:dyDescent="0.2">
      <c r="GI16751" s="422"/>
    </row>
    <row r="16752" spans="191:191" x14ac:dyDescent="0.2">
      <c r="GI16752" s="422"/>
    </row>
    <row r="16753" spans="191:191" x14ac:dyDescent="0.2">
      <c r="GI16753" s="422"/>
    </row>
    <row r="16754" spans="191:191" x14ac:dyDescent="0.2">
      <c r="GI16754" s="422"/>
    </row>
    <row r="16755" spans="191:191" x14ac:dyDescent="0.2">
      <c r="GI16755" s="422"/>
    </row>
    <row r="16756" spans="191:191" x14ac:dyDescent="0.2">
      <c r="GI16756" s="422"/>
    </row>
    <row r="16757" spans="191:191" x14ac:dyDescent="0.2">
      <c r="GI16757" s="422"/>
    </row>
    <row r="16758" spans="191:191" x14ac:dyDescent="0.2">
      <c r="GI16758" s="422"/>
    </row>
    <row r="16759" spans="191:191" x14ac:dyDescent="0.2">
      <c r="GI16759" s="422"/>
    </row>
    <row r="16760" spans="191:191" x14ac:dyDescent="0.2">
      <c r="GI16760" s="422"/>
    </row>
    <row r="16761" spans="191:191" x14ac:dyDescent="0.2">
      <c r="GI16761" s="422"/>
    </row>
    <row r="16762" spans="191:191" x14ac:dyDescent="0.2">
      <c r="GI16762" s="422"/>
    </row>
    <row r="16763" spans="191:191" x14ac:dyDescent="0.2">
      <c r="GI16763" s="422"/>
    </row>
    <row r="16764" spans="191:191" x14ac:dyDescent="0.2">
      <c r="GI16764" s="422"/>
    </row>
    <row r="16765" spans="191:191" x14ac:dyDescent="0.2">
      <c r="GI16765" s="422"/>
    </row>
    <row r="16766" spans="191:191" x14ac:dyDescent="0.2">
      <c r="GI16766" s="422"/>
    </row>
    <row r="16767" spans="191:191" x14ac:dyDescent="0.2">
      <c r="GI16767" s="422"/>
    </row>
    <row r="16768" spans="191:191" x14ac:dyDescent="0.2">
      <c r="GI16768" s="422"/>
    </row>
    <row r="16769" spans="191:191" x14ac:dyDescent="0.2">
      <c r="GI16769" s="422"/>
    </row>
    <row r="16770" spans="191:191" x14ac:dyDescent="0.2">
      <c r="GI16770" s="422"/>
    </row>
    <row r="16771" spans="191:191" x14ac:dyDescent="0.2">
      <c r="GI16771" s="422"/>
    </row>
    <row r="16772" spans="191:191" x14ac:dyDescent="0.2">
      <c r="GI16772" s="422"/>
    </row>
    <row r="16773" spans="191:191" x14ac:dyDescent="0.2">
      <c r="GI16773" s="422"/>
    </row>
    <row r="16774" spans="191:191" x14ac:dyDescent="0.2">
      <c r="GI16774" s="422"/>
    </row>
    <row r="16775" spans="191:191" x14ac:dyDescent="0.2">
      <c r="GI16775" s="422"/>
    </row>
    <row r="16776" spans="191:191" x14ac:dyDescent="0.2">
      <c r="GI16776" s="422"/>
    </row>
    <row r="16777" spans="191:191" x14ac:dyDescent="0.2">
      <c r="GI16777" s="422"/>
    </row>
    <row r="16778" spans="191:191" x14ac:dyDescent="0.2">
      <c r="GI16778" s="422"/>
    </row>
    <row r="16779" spans="191:191" x14ac:dyDescent="0.2">
      <c r="GI16779" s="422"/>
    </row>
    <row r="16780" spans="191:191" x14ac:dyDescent="0.2">
      <c r="GI16780" s="422"/>
    </row>
    <row r="16781" spans="191:191" x14ac:dyDescent="0.2">
      <c r="GI16781" s="422"/>
    </row>
    <row r="16782" spans="191:191" x14ac:dyDescent="0.2">
      <c r="GI16782" s="422"/>
    </row>
    <row r="16783" spans="191:191" x14ac:dyDescent="0.2">
      <c r="GI16783" s="422"/>
    </row>
    <row r="16784" spans="191:191" x14ac:dyDescent="0.2">
      <c r="GI16784" s="422"/>
    </row>
    <row r="16785" spans="191:191" x14ac:dyDescent="0.2">
      <c r="GI16785" s="422"/>
    </row>
    <row r="16786" spans="191:191" x14ac:dyDescent="0.2">
      <c r="GI16786" s="422"/>
    </row>
    <row r="16787" spans="191:191" x14ac:dyDescent="0.2">
      <c r="GI16787" s="422"/>
    </row>
    <row r="16788" spans="191:191" x14ac:dyDescent="0.2">
      <c r="GI16788" s="422"/>
    </row>
    <row r="16789" spans="191:191" x14ac:dyDescent="0.2">
      <c r="GI16789" s="422"/>
    </row>
    <row r="16790" spans="191:191" x14ac:dyDescent="0.2">
      <c r="GI16790" s="422"/>
    </row>
    <row r="16791" spans="191:191" x14ac:dyDescent="0.2">
      <c r="GI16791" s="422"/>
    </row>
    <row r="16792" spans="191:191" x14ac:dyDescent="0.2">
      <c r="GI16792" s="422"/>
    </row>
    <row r="16793" spans="191:191" x14ac:dyDescent="0.2">
      <c r="GI16793" s="422"/>
    </row>
    <row r="16794" spans="191:191" x14ac:dyDescent="0.2">
      <c r="GI16794" s="422"/>
    </row>
    <row r="16795" spans="191:191" x14ac:dyDescent="0.2">
      <c r="GI16795" s="422"/>
    </row>
    <row r="16796" spans="191:191" x14ac:dyDescent="0.2">
      <c r="GI16796" s="422"/>
    </row>
    <row r="16797" spans="191:191" x14ac:dyDescent="0.2">
      <c r="GI16797" s="422"/>
    </row>
    <row r="16798" spans="191:191" x14ac:dyDescent="0.2">
      <c r="GI16798" s="422"/>
    </row>
    <row r="16799" spans="191:191" x14ac:dyDescent="0.2">
      <c r="GI16799" s="422"/>
    </row>
    <row r="16800" spans="191:191" x14ac:dyDescent="0.2">
      <c r="GI16800" s="422"/>
    </row>
    <row r="16801" spans="191:191" x14ac:dyDescent="0.2">
      <c r="GI16801" s="422"/>
    </row>
    <row r="16802" spans="191:191" x14ac:dyDescent="0.2">
      <c r="GI16802" s="422"/>
    </row>
    <row r="16803" spans="191:191" x14ac:dyDescent="0.2">
      <c r="GI16803" s="422"/>
    </row>
    <row r="16804" spans="191:191" x14ac:dyDescent="0.2">
      <c r="GI16804" s="422"/>
    </row>
    <row r="16805" spans="191:191" x14ac:dyDescent="0.2">
      <c r="GI16805" s="422"/>
    </row>
    <row r="16806" spans="191:191" x14ac:dyDescent="0.2">
      <c r="GI16806" s="422"/>
    </row>
    <row r="16807" spans="191:191" x14ac:dyDescent="0.2">
      <c r="GI16807" s="422"/>
    </row>
    <row r="16808" spans="191:191" x14ac:dyDescent="0.2">
      <c r="GI16808" s="422"/>
    </row>
    <row r="16809" spans="191:191" x14ac:dyDescent="0.2">
      <c r="GI16809" s="422"/>
    </row>
    <row r="16810" spans="191:191" x14ac:dyDescent="0.2">
      <c r="GI16810" s="422"/>
    </row>
    <row r="16811" spans="191:191" x14ac:dyDescent="0.2">
      <c r="GI16811" s="422"/>
    </row>
    <row r="16812" spans="191:191" x14ac:dyDescent="0.2">
      <c r="GI16812" s="422"/>
    </row>
    <row r="16813" spans="191:191" x14ac:dyDescent="0.2">
      <c r="GI16813" s="422"/>
    </row>
    <row r="16814" spans="191:191" x14ac:dyDescent="0.2">
      <c r="GI16814" s="422"/>
    </row>
    <row r="16815" spans="191:191" x14ac:dyDescent="0.2">
      <c r="GI16815" s="422"/>
    </row>
    <row r="16816" spans="191:191" x14ac:dyDescent="0.2">
      <c r="GI16816" s="422"/>
    </row>
    <row r="16817" spans="191:191" x14ac:dyDescent="0.2">
      <c r="GI16817" s="422"/>
    </row>
    <row r="16818" spans="191:191" x14ac:dyDescent="0.2">
      <c r="GI16818" s="422"/>
    </row>
    <row r="16819" spans="191:191" x14ac:dyDescent="0.2">
      <c r="GI16819" s="422"/>
    </row>
    <row r="16820" spans="191:191" x14ac:dyDescent="0.2">
      <c r="GI16820" s="422"/>
    </row>
    <row r="16821" spans="191:191" x14ac:dyDescent="0.2">
      <c r="GI16821" s="422"/>
    </row>
    <row r="16822" spans="191:191" x14ac:dyDescent="0.2">
      <c r="GI16822" s="422"/>
    </row>
    <row r="16823" spans="191:191" x14ac:dyDescent="0.2">
      <c r="GI16823" s="422"/>
    </row>
    <row r="16824" spans="191:191" x14ac:dyDescent="0.2">
      <c r="GI16824" s="422"/>
    </row>
    <row r="16825" spans="191:191" x14ac:dyDescent="0.2">
      <c r="GI16825" s="422"/>
    </row>
    <row r="16826" spans="191:191" x14ac:dyDescent="0.2">
      <c r="GI16826" s="422"/>
    </row>
    <row r="16827" spans="191:191" x14ac:dyDescent="0.2">
      <c r="GI16827" s="422"/>
    </row>
    <row r="16828" spans="191:191" x14ac:dyDescent="0.2">
      <c r="GI16828" s="422"/>
    </row>
    <row r="16829" spans="191:191" x14ac:dyDescent="0.2">
      <c r="GI16829" s="422"/>
    </row>
    <row r="16830" spans="191:191" x14ac:dyDescent="0.2">
      <c r="GI16830" s="422"/>
    </row>
    <row r="16831" spans="191:191" x14ac:dyDescent="0.2">
      <c r="GI16831" s="422"/>
    </row>
    <row r="16832" spans="191:191" x14ac:dyDescent="0.2">
      <c r="GI16832" s="422"/>
    </row>
    <row r="16833" spans="191:191" x14ac:dyDescent="0.2">
      <c r="GI16833" s="422"/>
    </row>
    <row r="16834" spans="191:191" x14ac:dyDescent="0.2">
      <c r="GI16834" s="422"/>
    </row>
    <row r="16835" spans="191:191" x14ac:dyDescent="0.2">
      <c r="GI16835" s="422"/>
    </row>
    <row r="16836" spans="191:191" x14ac:dyDescent="0.2">
      <c r="GI16836" s="422"/>
    </row>
    <row r="16837" spans="191:191" x14ac:dyDescent="0.2">
      <c r="GI16837" s="422"/>
    </row>
    <row r="16838" spans="191:191" x14ac:dyDescent="0.2">
      <c r="GI16838" s="422"/>
    </row>
    <row r="16839" spans="191:191" x14ac:dyDescent="0.2">
      <c r="GI16839" s="422"/>
    </row>
    <row r="16840" spans="191:191" x14ac:dyDescent="0.2">
      <c r="GI16840" s="422"/>
    </row>
    <row r="16841" spans="191:191" x14ac:dyDescent="0.2">
      <c r="GI16841" s="422"/>
    </row>
    <row r="16842" spans="191:191" x14ac:dyDescent="0.2">
      <c r="GI16842" s="422"/>
    </row>
    <row r="16843" spans="191:191" x14ac:dyDescent="0.2">
      <c r="GI16843" s="422"/>
    </row>
    <row r="16844" spans="191:191" x14ac:dyDescent="0.2">
      <c r="GI16844" s="422"/>
    </row>
    <row r="16845" spans="191:191" x14ac:dyDescent="0.2">
      <c r="GI16845" s="422"/>
    </row>
    <row r="16846" spans="191:191" x14ac:dyDescent="0.2">
      <c r="GI16846" s="422"/>
    </row>
    <row r="16847" spans="191:191" x14ac:dyDescent="0.2">
      <c r="GI16847" s="422"/>
    </row>
    <row r="16848" spans="191:191" x14ac:dyDescent="0.2">
      <c r="GI16848" s="422"/>
    </row>
    <row r="16849" spans="191:191" x14ac:dyDescent="0.2">
      <c r="GI16849" s="422"/>
    </row>
    <row r="16850" spans="191:191" x14ac:dyDescent="0.2">
      <c r="GI16850" s="422"/>
    </row>
    <row r="16851" spans="191:191" x14ac:dyDescent="0.2">
      <c r="GI16851" s="422"/>
    </row>
    <row r="16852" spans="191:191" x14ac:dyDescent="0.2">
      <c r="GI16852" s="422"/>
    </row>
    <row r="16853" spans="191:191" x14ac:dyDescent="0.2">
      <c r="GI16853" s="422"/>
    </row>
    <row r="16854" spans="191:191" x14ac:dyDescent="0.2">
      <c r="GI16854" s="422"/>
    </row>
    <row r="16855" spans="191:191" x14ac:dyDescent="0.2">
      <c r="GI16855" s="422"/>
    </row>
    <row r="16856" spans="191:191" x14ac:dyDescent="0.2">
      <c r="GI16856" s="422"/>
    </row>
    <row r="16857" spans="191:191" x14ac:dyDescent="0.2">
      <c r="GI16857" s="422"/>
    </row>
    <row r="16858" spans="191:191" x14ac:dyDescent="0.2">
      <c r="GI16858" s="422"/>
    </row>
    <row r="16859" spans="191:191" x14ac:dyDescent="0.2">
      <c r="GI16859" s="422"/>
    </row>
    <row r="16860" spans="191:191" x14ac:dyDescent="0.2">
      <c r="GI16860" s="422"/>
    </row>
    <row r="16861" spans="191:191" x14ac:dyDescent="0.2">
      <c r="GI16861" s="422"/>
    </row>
    <row r="16862" spans="191:191" x14ac:dyDescent="0.2">
      <c r="GI16862" s="422"/>
    </row>
    <row r="16863" spans="191:191" x14ac:dyDescent="0.2">
      <c r="GI16863" s="422"/>
    </row>
    <row r="16864" spans="191:191" x14ac:dyDescent="0.2">
      <c r="GI16864" s="422"/>
    </row>
    <row r="16865" spans="191:191" x14ac:dyDescent="0.2">
      <c r="GI16865" s="422"/>
    </row>
    <row r="16866" spans="191:191" x14ac:dyDescent="0.2">
      <c r="GI16866" s="422"/>
    </row>
    <row r="16867" spans="191:191" x14ac:dyDescent="0.2">
      <c r="GI16867" s="422"/>
    </row>
    <row r="16868" spans="191:191" x14ac:dyDescent="0.2">
      <c r="GI16868" s="422"/>
    </row>
    <row r="16869" spans="191:191" x14ac:dyDescent="0.2">
      <c r="GI16869" s="422"/>
    </row>
    <row r="16870" spans="191:191" x14ac:dyDescent="0.2">
      <c r="GI16870" s="422"/>
    </row>
    <row r="16871" spans="191:191" x14ac:dyDescent="0.2">
      <c r="GI16871" s="422"/>
    </row>
    <row r="16872" spans="191:191" x14ac:dyDescent="0.2">
      <c r="GI16872" s="422"/>
    </row>
    <row r="16873" spans="191:191" x14ac:dyDescent="0.2">
      <c r="GI16873" s="422"/>
    </row>
    <row r="16874" spans="191:191" x14ac:dyDescent="0.2">
      <c r="GI16874" s="422"/>
    </row>
    <row r="16875" spans="191:191" x14ac:dyDescent="0.2">
      <c r="GI16875" s="422"/>
    </row>
    <row r="16876" spans="191:191" x14ac:dyDescent="0.2">
      <c r="GI16876" s="422"/>
    </row>
    <row r="16877" spans="191:191" x14ac:dyDescent="0.2">
      <c r="GI16877" s="422"/>
    </row>
    <row r="16878" spans="191:191" x14ac:dyDescent="0.2">
      <c r="GI16878" s="422"/>
    </row>
    <row r="16879" spans="191:191" x14ac:dyDescent="0.2">
      <c r="GI16879" s="422"/>
    </row>
    <row r="16880" spans="191:191" x14ac:dyDescent="0.2">
      <c r="GI16880" s="422"/>
    </row>
    <row r="16881" spans="191:191" x14ac:dyDescent="0.2">
      <c r="GI16881" s="422"/>
    </row>
    <row r="16882" spans="191:191" x14ac:dyDescent="0.2">
      <c r="GI16882" s="422"/>
    </row>
    <row r="16883" spans="191:191" x14ac:dyDescent="0.2">
      <c r="GI16883" s="422"/>
    </row>
    <row r="16884" spans="191:191" x14ac:dyDescent="0.2">
      <c r="GI16884" s="422"/>
    </row>
    <row r="16885" spans="191:191" x14ac:dyDescent="0.2">
      <c r="GI16885" s="422"/>
    </row>
    <row r="16886" spans="191:191" x14ac:dyDescent="0.2">
      <c r="GI16886" s="422"/>
    </row>
    <row r="16887" spans="191:191" x14ac:dyDescent="0.2">
      <c r="GI16887" s="422"/>
    </row>
    <row r="16888" spans="191:191" x14ac:dyDescent="0.2">
      <c r="GI16888" s="422"/>
    </row>
    <row r="16889" spans="191:191" x14ac:dyDescent="0.2">
      <c r="GI16889" s="422"/>
    </row>
    <row r="16890" spans="191:191" x14ac:dyDescent="0.2">
      <c r="GI16890" s="422"/>
    </row>
    <row r="16891" spans="191:191" x14ac:dyDescent="0.2">
      <c r="GI16891" s="422"/>
    </row>
    <row r="16892" spans="191:191" x14ac:dyDescent="0.2">
      <c r="GI16892" s="422"/>
    </row>
    <row r="16893" spans="191:191" x14ac:dyDescent="0.2">
      <c r="GI16893" s="422"/>
    </row>
    <row r="16894" spans="191:191" x14ac:dyDescent="0.2">
      <c r="GI16894" s="422"/>
    </row>
    <row r="16895" spans="191:191" x14ac:dyDescent="0.2">
      <c r="GI16895" s="422"/>
    </row>
    <row r="16896" spans="191:191" x14ac:dyDescent="0.2">
      <c r="GI16896" s="422"/>
    </row>
    <row r="16897" spans="191:191" x14ac:dyDescent="0.2">
      <c r="GI16897" s="422"/>
    </row>
    <row r="16898" spans="191:191" x14ac:dyDescent="0.2">
      <c r="GI16898" s="422"/>
    </row>
    <row r="16899" spans="191:191" x14ac:dyDescent="0.2">
      <c r="GI16899" s="422"/>
    </row>
    <row r="16900" spans="191:191" x14ac:dyDescent="0.2">
      <c r="GI16900" s="422"/>
    </row>
    <row r="16901" spans="191:191" x14ac:dyDescent="0.2">
      <c r="GI16901" s="422"/>
    </row>
    <row r="16902" spans="191:191" x14ac:dyDescent="0.2">
      <c r="GI16902" s="422"/>
    </row>
    <row r="16903" spans="191:191" x14ac:dyDescent="0.2">
      <c r="GI16903" s="422"/>
    </row>
    <row r="16904" spans="191:191" x14ac:dyDescent="0.2">
      <c r="GI16904" s="422"/>
    </row>
    <row r="16905" spans="191:191" x14ac:dyDescent="0.2">
      <c r="GI16905" s="422"/>
    </row>
    <row r="16906" spans="191:191" x14ac:dyDescent="0.2">
      <c r="GI16906" s="422"/>
    </row>
    <row r="16907" spans="191:191" x14ac:dyDescent="0.2">
      <c r="GI16907" s="422"/>
    </row>
    <row r="16908" spans="191:191" x14ac:dyDescent="0.2">
      <c r="GI16908" s="422"/>
    </row>
    <row r="16909" spans="191:191" x14ac:dyDescent="0.2">
      <c r="GI16909" s="422"/>
    </row>
    <row r="16910" spans="191:191" x14ac:dyDescent="0.2">
      <c r="GI16910" s="422"/>
    </row>
    <row r="16911" spans="191:191" x14ac:dyDescent="0.2">
      <c r="GI16911" s="422"/>
    </row>
    <row r="16912" spans="191:191" x14ac:dyDescent="0.2">
      <c r="GI16912" s="422"/>
    </row>
    <row r="16913" spans="191:191" x14ac:dyDescent="0.2">
      <c r="GI16913" s="422"/>
    </row>
    <row r="16914" spans="191:191" x14ac:dyDescent="0.2">
      <c r="GI16914" s="422"/>
    </row>
    <row r="16915" spans="191:191" x14ac:dyDescent="0.2">
      <c r="GI16915" s="422"/>
    </row>
    <row r="16916" spans="191:191" x14ac:dyDescent="0.2">
      <c r="GI16916" s="422"/>
    </row>
    <row r="16917" spans="191:191" x14ac:dyDescent="0.2">
      <c r="GI16917" s="422"/>
    </row>
    <row r="16918" spans="191:191" x14ac:dyDescent="0.2">
      <c r="GI16918" s="422"/>
    </row>
    <row r="16919" spans="191:191" x14ac:dyDescent="0.2">
      <c r="GI16919" s="422"/>
    </row>
    <row r="16920" spans="191:191" x14ac:dyDescent="0.2">
      <c r="GI16920" s="422"/>
    </row>
    <row r="16921" spans="191:191" x14ac:dyDescent="0.2">
      <c r="GI16921" s="422"/>
    </row>
    <row r="16922" spans="191:191" x14ac:dyDescent="0.2">
      <c r="GI16922" s="422"/>
    </row>
    <row r="16923" spans="191:191" x14ac:dyDescent="0.2">
      <c r="GI16923" s="422"/>
    </row>
    <row r="16924" spans="191:191" x14ac:dyDescent="0.2">
      <c r="GI16924" s="422"/>
    </row>
    <row r="16925" spans="191:191" x14ac:dyDescent="0.2">
      <c r="GI16925" s="422"/>
    </row>
    <row r="16926" spans="191:191" x14ac:dyDescent="0.2">
      <c r="GI16926" s="422"/>
    </row>
    <row r="16927" spans="191:191" x14ac:dyDescent="0.2">
      <c r="GI16927" s="422"/>
    </row>
    <row r="16928" spans="191:191" x14ac:dyDescent="0.2">
      <c r="GI16928" s="422"/>
    </row>
    <row r="16929" spans="191:191" x14ac:dyDescent="0.2">
      <c r="GI16929" s="422"/>
    </row>
    <row r="16930" spans="191:191" x14ac:dyDescent="0.2">
      <c r="GI16930" s="422"/>
    </row>
    <row r="16931" spans="191:191" x14ac:dyDescent="0.2">
      <c r="GI16931" s="422"/>
    </row>
    <row r="16932" spans="191:191" x14ac:dyDescent="0.2">
      <c r="GI16932" s="422"/>
    </row>
    <row r="16933" spans="191:191" x14ac:dyDescent="0.2">
      <c r="GI16933" s="422"/>
    </row>
    <row r="16934" spans="191:191" x14ac:dyDescent="0.2">
      <c r="GI16934" s="422"/>
    </row>
    <row r="16935" spans="191:191" x14ac:dyDescent="0.2">
      <c r="GI16935" s="422"/>
    </row>
    <row r="16936" spans="191:191" x14ac:dyDescent="0.2">
      <c r="GI16936" s="422"/>
    </row>
    <row r="16937" spans="191:191" x14ac:dyDescent="0.2">
      <c r="GI16937" s="422"/>
    </row>
    <row r="16938" spans="191:191" x14ac:dyDescent="0.2">
      <c r="GI16938" s="422"/>
    </row>
    <row r="16939" spans="191:191" x14ac:dyDescent="0.2">
      <c r="GI16939" s="422"/>
    </row>
    <row r="16940" spans="191:191" x14ac:dyDescent="0.2">
      <c r="GI16940" s="422"/>
    </row>
    <row r="16941" spans="191:191" x14ac:dyDescent="0.2">
      <c r="GI16941" s="422"/>
    </row>
    <row r="16942" spans="191:191" x14ac:dyDescent="0.2">
      <c r="GI16942" s="422"/>
    </row>
    <row r="16943" spans="191:191" x14ac:dyDescent="0.2">
      <c r="GI16943" s="422"/>
    </row>
    <row r="16944" spans="191:191" x14ac:dyDescent="0.2">
      <c r="GI16944" s="422"/>
    </row>
    <row r="16945" spans="191:191" x14ac:dyDescent="0.2">
      <c r="GI16945" s="422"/>
    </row>
    <row r="16946" spans="191:191" x14ac:dyDescent="0.2">
      <c r="GI16946" s="422"/>
    </row>
    <row r="16947" spans="191:191" x14ac:dyDescent="0.2">
      <c r="GI16947" s="422"/>
    </row>
    <row r="16948" spans="191:191" x14ac:dyDescent="0.2">
      <c r="GI16948" s="422"/>
    </row>
    <row r="16949" spans="191:191" x14ac:dyDescent="0.2">
      <c r="GI16949" s="422"/>
    </row>
    <row r="16950" spans="191:191" x14ac:dyDescent="0.2">
      <c r="GI16950" s="422"/>
    </row>
    <row r="16951" spans="191:191" x14ac:dyDescent="0.2">
      <c r="GI16951" s="422"/>
    </row>
    <row r="16952" spans="191:191" x14ac:dyDescent="0.2">
      <c r="GI16952" s="422"/>
    </row>
    <row r="16953" spans="191:191" x14ac:dyDescent="0.2">
      <c r="GI16953" s="422"/>
    </row>
    <row r="16954" spans="191:191" x14ac:dyDescent="0.2">
      <c r="GI16954" s="422"/>
    </row>
    <row r="16955" spans="191:191" x14ac:dyDescent="0.2">
      <c r="GI16955" s="422"/>
    </row>
    <row r="16956" spans="191:191" x14ac:dyDescent="0.2">
      <c r="GI16956" s="422"/>
    </row>
    <row r="16957" spans="191:191" x14ac:dyDescent="0.2">
      <c r="GI16957" s="422"/>
    </row>
    <row r="16958" spans="191:191" x14ac:dyDescent="0.2">
      <c r="GI16958" s="422"/>
    </row>
    <row r="16959" spans="191:191" x14ac:dyDescent="0.2">
      <c r="GI16959" s="422"/>
    </row>
    <row r="16960" spans="191:191" x14ac:dyDescent="0.2">
      <c r="GI16960" s="422"/>
    </row>
    <row r="16961" spans="191:191" x14ac:dyDescent="0.2">
      <c r="GI16961" s="422"/>
    </row>
    <row r="16962" spans="191:191" x14ac:dyDescent="0.2">
      <c r="GI16962" s="422"/>
    </row>
    <row r="16963" spans="191:191" x14ac:dyDescent="0.2">
      <c r="GI16963" s="422"/>
    </row>
    <row r="16964" spans="191:191" x14ac:dyDescent="0.2">
      <c r="GI16964" s="422"/>
    </row>
    <row r="16965" spans="191:191" x14ac:dyDescent="0.2">
      <c r="GI16965" s="422"/>
    </row>
    <row r="16966" spans="191:191" x14ac:dyDescent="0.2">
      <c r="GI16966" s="422"/>
    </row>
    <row r="16967" spans="191:191" x14ac:dyDescent="0.2">
      <c r="GI16967" s="422"/>
    </row>
    <row r="16968" spans="191:191" x14ac:dyDescent="0.2">
      <c r="GI16968" s="422"/>
    </row>
    <row r="16969" spans="191:191" x14ac:dyDescent="0.2">
      <c r="GI16969" s="422"/>
    </row>
    <row r="16970" spans="191:191" x14ac:dyDescent="0.2">
      <c r="GI16970" s="422"/>
    </row>
    <row r="16971" spans="191:191" x14ac:dyDescent="0.2">
      <c r="GI16971" s="422"/>
    </row>
    <row r="16972" spans="191:191" x14ac:dyDescent="0.2">
      <c r="GI16972" s="422"/>
    </row>
    <row r="16973" spans="191:191" x14ac:dyDescent="0.2">
      <c r="GI16973" s="422"/>
    </row>
    <row r="16974" spans="191:191" x14ac:dyDescent="0.2">
      <c r="GI16974" s="422"/>
    </row>
    <row r="16975" spans="191:191" x14ac:dyDescent="0.2">
      <c r="GI16975" s="422"/>
    </row>
    <row r="16976" spans="191:191" x14ac:dyDescent="0.2">
      <c r="GI16976" s="422"/>
    </row>
    <row r="16977" spans="191:191" x14ac:dyDescent="0.2">
      <c r="GI16977" s="422"/>
    </row>
    <row r="16978" spans="191:191" x14ac:dyDescent="0.2">
      <c r="GI16978" s="422"/>
    </row>
    <row r="16979" spans="191:191" x14ac:dyDescent="0.2">
      <c r="GI16979" s="422"/>
    </row>
    <row r="16980" spans="191:191" x14ac:dyDescent="0.2">
      <c r="GI16980" s="422"/>
    </row>
    <row r="16981" spans="191:191" x14ac:dyDescent="0.2">
      <c r="GI16981" s="422"/>
    </row>
    <row r="16982" spans="191:191" x14ac:dyDescent="0.2">
      <c r="GI16982" s="422"/>
    </row>
    <row r="16983" spans="191:191" x14ac:dyDescent="0.2">
      <c r="GI16983" s="422"/>
    </row>
    <row r="16984" spans="191:191" x14ac:dyDescent="0.2">
      <c r="GI16984" s="422"/>
    </row>
    <row r="16985" spans="191:191" x14ac:dyDescent="0.2">
      <c r="GI16985" s="422"/>
    </row>
    <row r="16986" spans="191:191" x14ac:dyDescent="0.2">
      <c r="GI16986" s="422"/>
    </row>
    <row r="16987" spans="191:191" x14ac:dyDescent="0.2">
      <c r="GI16987" s="422"/>
    </row>
    <row r="16988" spans="191:191" x14ac:dyDescent="0.2">
      <c r="GI16988" s="422"/>
    </row>
    <row r="16989" spans="191:191" x14ac:dyDescent="0.2">
      <c r="GI16989" s="422"/>
    </row>
    <row r="16990" spans="191:191" x14ac:dyDescent="0.2">
      <c r="GI16990" s="422"/>
    </row>
    <row r="16991" spans="191:191" x14ac:dyDescent="0.2">
      <c r="GI16991" s="422"/>
    </row>
    <row r="16992" spans="191:191" x14ac:dyDescent="0.2">
      <c r="GI16992" s="422"/>
    </row>
    <row r="16993" spans="191:191" x14ac:dyDescent="0.2">
      <c r="GI16993" s="422"/>
    </row>
    <row r="16994" spans="191:191" x14ac:dyDescent="0.2">
      <c r="GI16994" s="422"/>
    </row>
    <row r="16995" spans="191:191" x14ac:dyDescent="0.2">
      <c r="GI16995" s="422"/>
    </row>
    <row r="16996" spans="191:191" x14ac:dyDescent="0.2">
      <c r="GI16996" s="422"/>
    </row>
    <row r="16997" spans="191:191" x14ac:dyDescent="0.2">
      <c r="GI16997" s="422"/>
    </row>
    <row r="16998" spans="191:191" x14ac:dyDescent="0.2">
      <c r="GI16998" s="422"/>
    </row>
    <row r="16999" spans="191:191" x14ac:dyDescent="0.2">
      <c r="GI16999" s="422"/>
    </row>
    <row r="17000" spans="191:191" x14ac:dyDescent="0.2">
      <c r="GI17000" s="422"/>
    </row>
    <row r="17001" spans="191:191" x14ac:dyDescent="0.2">
      <c r="GI17001" s="422"/>
    </row>
    <row r="17002" spans="191:191" x14ac:dyDescent="0.2">
      <c r="GI17002" s="422"/>
    </row>
    <row r="17003" spans="191:191" x14ac:dyDescent="0.2">
      <c r="GI17003" s="422"/>
    </row>
    <row r="17004" spans="191:191" x14ac:dyDescent="0.2">
      <c r="GI17004" s="422"/>
    </row>
    <row r="17005" spans="191:191" x14ac:dyDescent="0.2">
      <c r="GI17005" s="422"/>
    </row>
    <row r="17006" spans="191:191" x14ac:dyDescent="0.2">
      <c r="GI17006" s="422"/>
    </row>
    <row r="17007" spans="191:191" x14ac:dyDescent="0.2">
      <c r="GI17007" s="422"/>
    </row>
    <row r="17008" spans="191:191" x14ac:dyDescent="0.2">
      <c r="GI17008" s="422"/>
    </row>
    <row r="17009" spans="191:191" x14ac:dyDescent="0.2">
      <c r="GI17009" s="422"/>
    </row>
    <row r="17010" spans="191:191" x14ac:dyDescent="0.2">
      <c r="GI17010" s="422"/>
    </row>
    <row r="17011" spans="191:191" x14ac:dyDescent="0.2">
      <c r="GI17011" s="422"/>
    </row>
    <row r="17012" spans="191:191" x14ac:dyDescent="0.2">
      <c r="GI17012" s="422"/>
    </row>
    <row r="17013" spans="191:191" x14ac:dyDescent="0.2">
      <c r="GI17013" s="422"/>
    </row>
    <row r="17014" spans="191:191" x14ac:dyDescent="0.2">
      <c r="GI17014" s="422"/>
    </row>
    <row r="17015" spans="191:191" x14ac:dyDescent="0.2">
      <c r="GI17015" s="422"/>
    </row>
    <row r="17016" spans="191:191" x14ac:dyDescent="0.2">
      <c r="GI17016" s="422"/>
    </row>
    <row r="17017" spans="191:191" x14ac:dyDescent="0.2">
      <c r="GI17017" s="422"/>
    </row>
    <row r="17018" spans="191:191" x14ac:dyDescent="0.2">
      <c r="GI17018" s="422"/>
    </row>
    <row r="17019" spans="191:191" x14ac:dyDescent="0.2">
      <c r="GI17019" s="422"/>
    </row>
    <row r="17020" spans="191:191" x14ac:dyDescent="0.2">
      <c r="GI17020" s="422"/>
    </row>
    <row r="17021" spans="191:191" x14ac:dyDescent="0.2">
      <c r="GI17021" s="422"/>
    </row>
    <row r="17022" spans="191:191" x14ac:dyDescent="0.2">
      <c r="GI17022" s="422"/>
    </row>
    <row r="17023" spans="191:191" x14ac:dyDescent="0.2">
      <c r="GI17023" s="422"/>
    </row>
    <row r="17024" spans="191:191" x14ac:dyDescent="0.2">
      <c r="GI17024" s="422"/>
    </row>
    <row r="17025" spans="191:191" x14ac:dyDescent="0.2">
      <c r="GI17025" s="422"/>
    </row>
    <row r="17026" spans="191:191" x14ac:dyDescent="0.2">
      <c r="GI17026" s="422"/>
    </row>
    <row r="17027" spans="191:191" x14ac:dyDescent="0.2">
      <c r="GI17027" s="422"/>
    </row>
    <row r="17028" spans="191:191" x14ac:dyDescent="0.2">
      <c r="GI17028" s="422"/>
    </row>
    <row r="17029" spans="191:191" x14ac:dyDescent="0.2">
      <c r="GI17029" s="422"/>
    </row>
    <row r="17030" spans="191:191" x14ac:dyDescent="0.2">
      <c r="GI17030" s="422"/>
    </row>
    <row r="17031" spans="191:191" x14ac:dyDescent="0.2">
      <c r="GI17031" s="422"/>
    </row>
    <row r="17032" spans="191:191" x14ac:dyDescent="0.2">
      <c r="GI17032" s="422"/>
    </row>
    <row r="17033" spans="191:191" x14ac:dyDescent="0.2">
      <c r="GI17033" s="422"/>
    </row>
    <row r="17034" spans="191:191" x14ac:dyDescent="0.2">
      <c r="GI17034" s="422"/>
    </row>
    <row r="17035" spans="191:191" x14ac:dyDescent="0.2">
      <c r="GI17035" s="422"/>
    </row>
    <row r="17036" spans="191:191" x14ac:dyDescent="0.2">
      <c r="GI17036" s="422"/>
    </row>
    <row r="17037" spans="191:191" x14ac:dyDescent="0.2">
      <c r="GI17037" s="422"/>
    </row>
    <row r="17038" spans="191:191" x14ac:dyDescent="0.2">
      <c r="GI17038" s="422"/>
    </row>
    <row r="17039" spans="191:191" x14ac:dyDescent="0.2">
      <c r="GI17039" s="422"/>
    </row>
    <row r="17040" spans="191:191" x14ac:dyDescent="0.2">
      <c r="GI17040" s="422"/>
    </row>
    <row r="17041" spans="191:191" x14ac:dyDescent="0.2">
      <c r="GI17041" s="422"/>
    </row>
    <row r="17042" spans="191:191" x14ac:dyDescent="0.2">
      <c r="GI17042" s="422"/>
    </row>
    <row r="17043" spans="191:191" x14ac:dyDescent="0.2">
      <c r="GI17043" s="422"/>
    </row>
    <row r="17044" spans="191:191" x14ac:dyDescent="0.2">
      <c r="GI17044" s="422"/>
    </row>
    <row r="17045" spans="191:191" x14ac:dyDescent="0.2">
      <c r="GI17045" s="422"/>
    </row>
    <row r="17046" spans="191:191" x14ac:dyDescent="0.2">
      <c r="GI17046" s="422"/>
    </row>
    <row r="17047" spans="191:191" x14ac:dyDescent="0.2">
      <c r="GI17047" s="422"/>
    </row>
    <row r="17048" spans="191:191" x14ac:dyDescent="0.2">
      <c r="GI17048" s="422"/>
    </row>
    <row r="17049" spans="191:191" x14ac:dyDescent="0.2">
      <c r="GI17049" s="422"/>
    </row>
    <row r="17050" spans="191:191" x14ac:dyDescent="0.2">
      <c r="GI17050" s="422"/>
    </row>
    <row r="17051" spans="191:191" x14ac:dyDescent="0.2">
      <c r="GI17051" s="422"/>
    </row>
    <row r="17052" spans="191:191" x14ac:dyDescent="0.2">
      <c r="GI17052" s="422"/>
    </row>
    <row r="17053" spans="191:191" x14ac:dyDescent="0.2">
      <c r="GI17053" s="422"/>
    </row>
    <row r="17054" spans="191:191" x14ac:dyDescent="0.2">
      <c r="GI17054" s="422"/>
    </row>
    <row r="17055" spans="191:191" x14ac:dyDescent="0.2">
      <c r="GI17055" s="422"/>
    </row>
    <row r="17056" spans="191:191" x14ac:dyDescent="0.2">
      <c r="GI17056" s="422"/>
    </row>
    <row r="17057" spans="191:191" x14ac:dyDescent="0.2">
      <c r="GI17057" s="422"/>
    </row>
    <row r="17058" spans="191:191" x14ac:dyDescent="0.2">
      <c r="GI17058" s="422"/>
    </row>
    <row r="17059" spans="191:191" x14ac:dyDescent="0.2">
      <c r="GI17059" s="422"/>
    </row>
    <row r="17060" spans="191:191" x14ac:dyDescent="0.2">
      <c r="GI17060" s="422"/>
    </row>
    <row r="17061" spans="191:191" x14ac:dyDescent="0.2">
      <c r="GI17061" s="422"/>
    </row>
    <row r="17062" spans="191:191" x14ac:dyDescent="0.2">
      <c r="GI17062" s="422"/>
    </row>
    <row r="17063" spans="191:191" x14ac:dyDescent="0.2">
      <c r="GI17063" s="422"/>
    </row>
    <row r="17064" spans="191:191" x14ac:dyDescent="0.2">
      <c r="GI17064" s="422"/>
    </row>
    <row r="17065" spans="191:191" x14ac:dyDescent="0.2">
      <c r="GI17065" s="422"/>
    </row>
    <row r="17066" spans="191:191" x14ac:dyDescent="0.2">
      <c r="GI17066" s="422"/>
    </row>
    <row r="17067" spans="191:191" x14ac:dyDescent="0.2">
      <c r="GI17067" s="422"/>
    </row>
    <row r="17068" spans="191:191" x14ac:dyDescent="0.2">
      <c r="GI17068" s="422"/>
    </row>
    <row r="17069" spans="191:191" x14ac:dyDescent="0.2">
      <c r="GI17069" s="422"/>
    </row>
    <row r="17070" spans="191:191" x14ac:dyDescent="0.2">
      <c r="GI17070" s="422"/>
    </row>
    <row r="17071" spans="191:191" x14ac:dyDescent="0.2">
      <c r="GI17071" s="422"/>
    </row>
    <row r="17072" spans="191:191" x14ac:dyDescent="0.2">
      <c r="GI17072" s="422"/>
    </row>
    <row r="17073" spans="191:191" x14ac:dyDescent="0.2">
      <c r="GI17073" s="422"/>
    </row>
    <row r="17074" spans="191:191" x14ac:dyDescent="0.2">
      <c r="GI17074" s="422"/>
    </row>
    <row r="17075" spans="191:191" x14ac:dyDescent="0.2">
      <c r="GI17075" s="422"/>
    </row>
    <row r="17076" spans="191:191" x14ac:dyDescent="0.2">
      <c r="GI17076" s="422"/>
    </row>
    <row r="17077" spans="191:191" x14ac:dyDescent="0.2">
      <c r="GI17077" s="422"/>
    </row>
    <row r="17078" spans="191:191" x14ac:dyDescent="0.2">
      <c r="GI17078" s="422"/>
    </row>
    <row r="17079" spans="191:191" x14ac:dyDescent="0.2">
      <c r="GI17079" s="422"/>
    </row>
    <row r="17080" spans="191:191" x14ac:dyDescent="0.2">
      <c r="GI17080" s="422"/>
    </row>
    <row r="17081" spans="191:191" x14ac:dyDescent="0.2">
      <c r="GI17081" s="422"/>
    </row>
    <row r="17082" spans="191:191" x14ac:dyDescent="0.2">
      <c r="GI17082" s="422"/>
    </row>
    <row r="17083" spans="191:191" x14ac:dyDescent="0.2">
      <c r="GI17083" s="422"/>
    </row>
    <row r="17084" spans="191:191" x14ac:dyDescent="0.2">
      <c r="GI17084" s="422"/>
    </row>
    <row r="17085" spans="191:191" x14ac:dyDescent="0.2">
      <c r="GI17085" s="422"/>
    </row>
    <row r="17086" spans="191:191" x14ac:dyDescent="0.2">
      <c r="GI17086" s="422"/>
    </row>
    <row r="17087" spans="191:191" x14ac:dyDescent="0.2">
      <c r="GI17087" s="422"/>
    </row>
    <row r="17088" spans="191:191" x14ac:dyDescent="0.2">
      <c r="GI17088" s="422"/>
    </row>
    <row r="17089" spans="191:191" x14ac:dyDescent="0.2">
      <c r="GI17089" s="422"/>
    </row>
    <row r="17090" spans="191:191" x14ac:dyDescent="0.2">
      <c r="GI17090" s="422"/>
    </row>
    <row r="17091" spans="191:191" x14ac:dyDescent="0.2">
      <c r="GI17091" s="422"/>
    </row>
    <row r="17092" spans="191:191" x14ac:dyDescent="0.2">
      <c r="GI17092" s="422"/>
    </row>
    <row r="17093" spans="191:191" x14ac:dyDescent="0.2">
      <c r="GI17093" s="422"/>
    </row>
    <row r="17094" spans="191:191" x14ac:dyDescent="0.2">
      <c r="GI17094" s="422"/>
    </row>
    <row r="17095" spans="191:191" x14ac:dyDescent="0.2">
      <c r="GI17095" s="422"/>
    </row>
    <row r="17096" spans="191:191" x14ac:dyDescent="0.2">
      <c r="GI17096" s="422"/>
    </row>
    <row r="17097" spans="191:191" x14ac:dyDescent="0.2">
      <c r="GI17097" s="422"/>
    </row>
    <row r="17098" spans="191:191" x14ac:dyDescent="0.2">
      <c r="GI17098" s="422"/>
    </row>
    <row r="17099" spans="191:191" x14ac:dyDescent="0.2">
      <c r="GI17099" s="422"/>
    </row>
    <row r="17100" spans="191:191" x14ac:dyDescent="0.2">
      <c r="GI17100" s="422"/>
    </row>
    <row r="17101" spans="191:191" x14ac:dyDescent="0.2">
      <c r="GI17101" s="422"/>
    </row>
    <row r="17102" spans="191:191" x14ac:dyDescent="0.2">
      <c r="GI17102" s="422"/>
    </row>
    <row r="17103" spans="191:191" x14ac:dyDescent="0.2">
      <c r="GI17103" s="422"/>
    </row>
    <row r="17104" spans="191:191" x14ac:dyDescent="0.2">
      <c r="GI17104" s="422"/>
    </row>
    <row r="17105" spans="191:191" x14ac:dyDescent="0.2">
      <c r="GI17105" s="422"/>
    </row>
    <row r="17106" spans="191:191" x14ac:dyDescent="0.2">
      <c r="GI17106" s="422"/>
    </row>
    <row r="17107" spans="191:191" x14ac:dyDescent="0.2">
      <c r="GI17107" s="422"/>
    </row>
    <row r="17108" spans="191:191" x14ac:dyDescent="0.2">
      <c r="GI17108" s="422"/>
    </row>
    <row r="17109" spans="191:191" x14ac:dyDescent="0.2">
      <c r="GI17109" s="422"/>
    </row>
    <row r="17110" spans="191:191" x14ac:dyDescent="0.2">
      <c r="GI17110" s="422"/>
    </row>
    <row r="17111" spans="191:191" x14ac:dyDescent="0.2">
      <c r="GI17111" s="422"/>
    </row>
    <row r="17112" spans="191:191" x14ac:dyDescent="0.2">
      <c r="GI17112" s="422"/>
    </row>
    <row r="17113" spans="191:191" x14ac:dyDescent="0.2">
      <c r="GI17113" s="422"/>
    </row>
    <row r="17114" spans="191:191" x14ac:dyDescent="0.2">
      <c r="GI17114" s="422"/>
    </row>
    <row r="17115" spans="191:191" x14ac:dyDescent="0.2">
      <c r="GI17115" s="422"/>
    </row>
    <row r="17116" spans="191:191" x14ac:dyDescent="0.2">
      <c r="GI17116" s="422"/>
    </row>
    <row r="17117" spans="191:191" x14ac:dyDescent="0.2">
      <c r="GI17117" s="422"/>
    </row>
    <row r="17118" spans="191:191" x14ac:dyDescent="0.2">
      <c r="GI17118" s="422"/>
    </row>
    <row r="17119" spans="191:191" x14ac:dyDescent="0.2">
      <c r="GI17119" s="422"/>
    </row>
    <row r="17120" spans="191:191" x14ac:dyDescent="0.2">
      <c r="GI17120" s="422"/>
    </row>
    <row r="17121" spans="191:191" x14ac:dyDescent="0.2">
      <c r="GI17121" s="422"/>
    </row>
    <row r="17122" spans="191:191" x14ac:dyDescent="0.2">
      <c r="GI17122" s="422"/>
    </row>
    <row r="17123" spans="191:191" x14ac:dyDescent="0.2">
      <c r="GI17123" s="422"/>
    </row>
    <row r="17124" spans="191:191" x14ac:dyDescent="0.2">
      <c r="GI17124" s="422"/>
    </row>
    <row r="17125" spans="191:191" x14ac:dyDescent="0.2">
      <c r="GI17125" s="422"/>
    </row>
    <row r="17126" spans="191:191" x14ac:dyDescent="0.2">
      <c r="GI17126" s="422"/>
    </row>
    <row r="17127" spans="191:191" x14ac:dyDescent="0.2">
      <c r="GI17127" s="422"/>
    </row>
    <row r="17128" spans="191:191" x14ac:dyDescent="0.2">
      <c r="GI17128" s="422"/>
    </row>
    <row r="17129" spans="191:191" x14ac:dyDescent="0.2">
      <c r="GI17129" s="422"/>
    </row>
    <row r="17130" spans="191:191" x14ac:dyDescent="0.2">
      <c r="GI17130" s="422"/>
    </row>
    <row r="17131" spans="191:191" x14ac:dyDescent="0.2">
      <c r="GI17131" s="422"/>
    </row>
    <row r="17132" spans="191:191" x14ac:dyDescent="0.2">
      <c r="GI17132" s="422"/>
    </row>
    <row r="17133" spans="191:191" x14ac:dyDescent="0.2">
      <c r="GI17133" s="422"/>
    </row>
    <row r="17134" spans="191:191" x14ac:dyDescent="0.2">
      <c r="GI17134" s="422"/>
    </row>
    <row r="17135" spans="191:191" x14ac:dyDescent="0.2">
      <c r="GI17135" s="422"/>
    </row>
    <row r="17136" spans="191:191" x14ac:dyDescent="0.2">
      <c r="GI17136" s="422"/>
    </row>
    <row r="17137" spans="191:191" x14ac:dyDescent="0.2">
      <c r="GI17137" s="422"/>
    </row>
    <row r="17138" spans="191:191" x14ac:dyDescent="0.2">
      <c r="GI17138" s="422"/>
    </row>
    <row r="17139" spans="191:191" x14ac:dyDescent="0.2">
      <c r="GI17139" s="422"/>
    </row>
    <row r="17140" spans="191:191" x14ac:dyDescent="0.2">
      <c r="GI17140" s="422"/>
    </row>
    <row r="17141" spans="191:191" x14ac:dyDescent="0.2">
      <c r="GI17141" s="422"/>
    </row>
    <row r="17142" spans="191:191" x14ac:dyDescent="0.2">
      <c r="GI17142" s="422"/>
    </row>
    <row r="17143" spans="191:191" x14ac:dyDescent="0.2">
      <c r="GI17143" s="422"/>
    </row>
    <row r="17144" spans="191:191" x14ac:dyDescent="0.2">
      <c r="GI17144" s="422"/>
    </row>
    <row r="17145" spans="191:191" x14ac:dyDescent="0.2">
      <c r="GI17145" s="422"/>
    </row>
    <row r="17146" spans="191:191" x14ac:dyDescent="0.2">
      <c r="GI17146" s="422"/>
    </row>
    <row r="17147" spans="191:191" x14ac:dyDescent="0.2">
      <c r="GI17147" s="422"/>
    </row>
    <row r="17148" spans="191:191" x14ac:dyDescent="0.2">
      <c r="GI17148" s="422"/>
    </row>
    <row r="17149" spans="191:191" x14ac:dyDescent="0.2">
      <c r="GI17149" s="422"/>
    </row>
    <row r="17150" spans="191:191" x14ac:dyDescent="0.2">
      <c r="GI17150" s="422"/>
    </row>
    <row r="17151" spans="191:191" x14ac:dyDescent="0.2">
      <c r="GI17151" s="422"/>
    </row>
    <row r="17152" spans="191:191" x14ac:dyDescent="0.2">
      <c r="GI17152" s="422"/>
    </row>
    <row r="17153" spans="191:191" x14ac:dyDescent="0.2">
      <c r="GI17153" s="422"/>
    </row>
    <row r="17154" spans="191:191" x14ac:dyDescent="0.2">
      <c r="GI17154" s="422"/>
    </row>
    <row r="17155" spans="191:191" x14ac:dyDescent="0.2">
      <c r="GI17155" s="422"/>
    </row>
    <row r="17156" spans="191:191" x14ac:dyDescent="0.2">
      <c r="GI17156" s="422"/>
    </row>
    <row r="17157" spans="191:191" x14ac:dyDescent="0.2">
      <c r="GI17157" s="422"/>
    </row>
    <row r="17158" spans="191:191" x14ac:dyDescent="0.2">
      <c r="GI17158" s="422"/>
    </row>
    <row r="17159" spans="191:191" x14ac:dyDescent="0.2">
      <c r="GI17159" s="422"/>
    </row>
    <row r="17160" spans="191:191" x14ac:dyDescent="0.2">
      <c r="GI17160" s="422"/>
    </row>
    <row r="17161" spans="191:191" x14ac:dyDescent="0.2">
      <c r="GI17161" s="422"/>
    </row>
    <row r="17162" spans="191:191" x14ac:dyDescent="0.2">
      <c r="GI17162" s="422"/>
    </row>
    <row r="17163" spans="191:191" x14ac:dyDescent="0.2">
      <c r="GI17163" s="422"/>
    </row>
    <row r="17164" spans="191:191" x14ac:dyDescent="0.2">
      <c r="GI17164" s="422"/>
    </row>
    <row r="17165" spans="191:191" x14ac:dyDescent="0.2">
      <c r="GI17165" s="422"/>
    </row>
    <row r="17166" spans="191:191" x14ac:dyDescent="0.2">
      <c r="GI17166" s="422"/>
    </row>
    <row r="17167" spans="191:191" x14ac:dyDescent="0.2">
      <c r="GI17167" s="422"/>
    </row>
    <row r="17168" spans="191:191" x14ac:dyDescent="0.2">
      <c r="GI17168" s="422"/>
    </row>
    <row r="17169" spans="191:191" x14ac:dyDescent="0.2">
      <c r="GI17169" s="422"/>
    </row>
    <row r="17170" spans="191:191" x14ac:dyDescent="0.2">
      <c r="GI17170" s="422"/>
    </row>
    <row r="17171" spans="191:191" x14ac:dyDescent="0.2">
      <c r="GI17171" s="422"/>
    </row>
    <row r="17172" spans="191:191" x14ac:dyDescent="0.2">
      <c r="GI17172" s="422"/>
    </row>
    <row r="17173" spans="191:191" x14ac:dyDescent="0.2">
      <c r="GI17173" s="422"/>
    </row>
    <row r="17174" spans="191:191" x14ac:dyDescent="0.2">
      <c r="GI17174" s="422"/>
    </row>
    <row r="17175" spans="191:191" x14ac:dyDescent="0.2">
      <c r="GI17175" s="422"/>
    </row>
    <row r="17176" spans="191:191" x14ac:dyDescent="0.2">
      <c r="GI17176" s="422"/>
    </row>
    <row r="17177" spans="191:191" x14ac:dyDescent="0.2">
      <c r="GI17177" s="422"/>
    </row>
    <row r="17178" spans="191:191" x14ac:dyDescent="0.2">
      <c r="GI17178" s="422"/>
    </row>
    <row r="17179" spans="191:191" x14ac:dyDescent="0.2">
      <c r="GI17179" s="422"/>
    </row>
    <row r="17180" spans="191:191" x14ac:dyDescent="0.2">
      <c r="GI17180" s="422"/>
    </row>
    <row r="17181" spans="191:191" x14ac:dyDescent="0.2">
      <c r="GI17181" s="422"/>
    </row>
    <row r="17182" spans="191:191" x14ac:dyDescent="0.2">
      <c r="GI17182" s="422"/>
    </row>
    <row r="17183" spans="191:191" x14ac:dyDescent="0.2">
      <c r="GI17183" s="422"/>
    </row>
    <row r="17184" spans="191:191" x14ac:dyDescent="0.2">
      <c r="GI17184" s="422"/>
    </row>
    <row r="17185" spans="191:191" x14ac:dyDescent="0.2">
      <c r="GI17185" s="422"/>
    </row>
    <row r="17186" spans="191:191" x14ac:dyDescent="0.2">
      <c r="GI17186" s="422"/>
    </row>
    <row r="17187" spans="191:191" x14ac:dyDescent="0.2">
      <c r="GI17187" s="422"/>
    </row>
    <row r="17188" spans="191:191" x14ac:dyDescent="0.2">
      <c r="GI17188" s="422"/>
    </row>
    <row r="17189" spans="191:191" x14ac:dyDescent="0.2">
      <c r="GI17189" s="422"/>
    </row>
    <row r="17190" spans="191:191" x14ac:dyDescent="0.2">
      <c r="GI17190" s="422"/>
    </row>
    <row r="17191" spans="191:191" x14ac:dyDescent="0.2">
      <c r="GI17191" s="422"/>
    </row>
    <row r="17192" spans="191:191" x14ac:dyDescent="0.2">
      <c r="GI17192" s="422"/>
    </row>
    <row r="17193" spans="191:191" x14ac:dyDescent="0.2">
      <c r="GI17193" s="422"/>
    </row>
    <row r="17194" spans="191:191" x14ac:dyDescent="0.2">
      <c r="GI17194" s="422"/>
    </row>
    <row r="17195" spans="191:191" x14ac:dyDescent="0.2">
      <c r="GI17195" s="422"/>
    </row>
    <row r="17196" spans="191:191" x14ac:dyDescent="0.2">
      <c r="GI17196" s="422"/>
    </row>
    <row r="17197" spans="191:191" x14ac:dyDescent="0.2">
      <c r="GI17197" s="422"/>
    </row>
    <row r="17198" spans="191:191" x14ac:dyDescent="0.2">
      <c r="GI17198" s="422"/>
    </row>
    <row r="17199" spans="191:191" x14ac:dyDescent="0.2">
      <c r="GI17199" s="422"/>
    </row>
    <row r="17200" spans="191:191" x14ac:dyDescent="0.2">
      <c r="GI17200" s="422"/>
    </row>
    <row r="17201" spans="191:191" x14ac:dyDescent="0.2">
      <c r="GI17201" s="422"/>
    </row>
    <row r="17202" spans="191:191" x14ac:dyDescent="0.2">
      <c r="GI17202" s="422"/>
    </row>
    <row r="17203" spans="191:191" x14ac:dyDescent="0.2">
      <c r="GI17203" s="422"/>
    </row>
    <row r="17204" spans="191:191" x14ac:dyDescent="0.2">
      <c r="GI17204" s="422"/>
    </row>
    <row r="17205" spans="191:191" x14ac:dyDescent="0.2">
      <c r="GI17205" s="422"/>
    </row>
    <row r="17206" spans="191:191" x14ac:dyDescent="0.2">
      <c r="GI17206" s="422"/>
    </row>
    <row r="17207" spans="191:191" x14ac:dyDescent="0.2">
      <c r="GI17207" s="422"/>
    </row>
    <row r="17208" spans="191:191" x14ac:dyDescent="0.2">
      <c r="GI17208" s="422"/>
    </row>
    <row r="17209" spans="191:191" x14ac:dyDescent="0.2">
      <c r="GI17209" s="422"/>
    </row>
    <row r="17210" spans="191:191" x14ac:dyDescent="0.2">
      <c r="GI17210" s="422"/>
    </row>
    <row r="17211" spans="191:191" x14ac:dyDescent="0.2">
      <c r="GI17211" s="422"/>
    </row>
    <row r="17212" spans="191:191" x14ac:dyDescent="0.2">
      <c r="GI17212" s="422"/>
    </row>
    <row r="17213" spans="191:191" x14ac:dyDescent="0.2">
      <c r="GI17213" s="422"/>
    </row>
    <row r="17214" spans="191:191" x14ac:dyDescent="0.2">
      <c r="GI17214" s="422"/>
    </row>
    <row r="17215" spans="191:191" x14ac:dyDescent="0.2">
      <c r="GI17215" s="422"/>
    </row>
    <row r="17216" spans="191:191" x14ac:dyDescent="0.2">
      <c r="GI17216" s="422"/>
    </row>
    <row r="17217" spans="191:191" x14ac:dyDescent="0.2">
      <c r="GI17217" s="422"/>
    </row>
    <row r="17218" spans="191:191" x14ac:dyDescent="0.2">
      <c r="GI17218" s="422"/>
    </row>
    <row r="17219" spans="191:191" x14ac:dyDescent="0.2">
      <c r="GI17219" s="422"/>
    </row>
    <row r="17220" spans="191:191" x14ac:dyDescent="0.2">
      <c r="GI17220" s="422"/>
    </row>
    <row r="17221" spans="191:191" x14ac:dyDescent="0.2">
      <c r="GI17221" s="422"/>
    </row>
    <row r="17222" spans="191:191" x14ac:dyDescent="0.2">
      <c r="GI17222" s="422"/>
    </row>
    <row r="17223" spans="191:191" x14ac:dyDescent="0.2">
      <c r="GI17223" s="422"/>
    </row>
    <row r="17224" spans="191:191" x14ac:dyDescent="0.2">
      <c r="GI17224" s="422"/>
    </row>
    <row r="17225" spans="191:191" x14ac:dyDescent="0.2">
      <c r="GI17225" s="422"/>
    </row>
    <row r="17226" spans="191:191" x14ac:dyDescent="0.2">
      <c r="GI17226" s="422"/>
    </row>
    <row r="17227" spans="191:191" x14ac:dyDescent="0.2">
      <c r="GI17227" s="422"/>
    </row>
    <row r="17228" spans="191:191" x14ac:dyDescent="0.2">
      <c r="GI17228" s="422"/>
    </row>
    <row r="17229" spans="191:191" x14ac:dyDescent="0.2">
      <c r="GI17229" s="422"/>
    </row>
    <row r="17230" spans="191:191" x14ac:dyDescent="0.2">
      <c r="GI17230" s="422"/>
    </row>
    <row r="17231" spans="191:191" x14ac:dyDescent="0.2">
      <c r="GI17231" s="422"/>
    </row>
    <row r="17232" spans="191:191" x14ac:dyDescent="0.2">
      <c r="GI17232" s="422"/>
    </row>
    <row r="17233" spans="191:191" x14ac:dyDescent="0.2">
      <c r="GI17233" s="422"/>
    </row>
    <row r="17234" spans="191:191" x14ac:dyDescent="0.2">
      <c r="GI17234" s="422"/>
    </row>
    <row r="17235" spans="191:191" x14ac:dyDescent="0.2">
      <c r="GI17235" s="422"/>
    </row>
    <row r="17236" spans="191:191" x14ac:dyDescent="0.2">
      <c r="GI17236" s="422"/>
    </row>
    <row r="17237" spans="191:191" x14ac:dyDescent="0.2">
      <c r="GI17237" s="422"/>
    </row>
    <row r="17238" spans="191:191" x14ac:dyDescent="0.2">
      <c r="GI17238" s="422"/>
    </row>
    <row r="17239" spans="191:191" x14ac:dyDescent="0.2">
      <c r="GI17239" s="422"/>
    </row>
    <row r="17240" spans="191:191" x14ac:dyDescent="0.2">
      <c r="GI17240" s="422"/>
    </row>
    <row r="17241" spans="191:191" x14ac:dyDescent="0.2">
      <c r="GI17241" s="422"/>
    </row>
    <row r="17242" spans="191:191" x14ac:dyDescent="0.2">
      <c r="GI17242" s="422"/>
    </row>
    <row r="17243" spans="191:191" x14ac:dyDescent="0.2">
      <c r="GI17243" s="422"/>
    </row>
    <row r="17244" spans="191:191" x14ac:dyDescent="0.2">
      <c r="GI17244" s="422"/>
    </row>
    <row r="17245" spans="191:191" x14ac:dyDescent="0.2">
      <c r="GI17245" s="422"/>
    </row>
    <row r="17246" spans="191:191" x14ac:dyDescent="0.2">
      <c r="GI17246" s="422"/>
    </row>
    <row r="17247" spans="191:191" x14ac:dyDescent="0.2">
      <c r="GI17247" s="422"/>
    </row>
    <row r="17248" spans="191:191" x14ac:dyDescent="0.2">
      <c r="GI17248" s="422"/>
    </row>
    <row r="17249" spans="191:191" x14ac:dyDescent="0.2">
      <c r="GI17249" s="422"/>
    </row>
    <row r="17250" spans="191:191" x14ac:dyDescent="0.2">
      <c r="GI17250" s="422"/>
    </row>
    <row r="17251" spans="191:191" x14ac:dyDescent="0.2">
      <c r="GI17251" s="422"/>
    </row>
    <row r="17252" spans="191:191" x14ac:dyDescent="0.2">
      <c r="GI17252" s="422"/>
    </row>
    <row r="17253" spans="191:191" x14ac:dyDescent="0.2">
      <c r="GI17253" s="422"/>
    </row>
    <row r="17254" spans="191:191" x14ac:dyDescent="0.2">
      <c r="GI17254" s="422"/>
    </row>
    <row r="17255" spans="191:191" x14ac:dyDescent="0.2">
      <c r="GI17255" s="422"/>
    </row>
    <row r="17256" spans="191:191" x14ac:dyDescent="0.2">
      <c r="GI17256" s="422"/>
    </row>
    <row r="17257" spans="191:191" x14ac:dyDescent="0.2">
      <c r="GI17257" s="422"/>
    </row>
    <row r="17258" spans="191:191" x14ac:dyDescent="0.2">
      <c r="GI17258" s="422"/>
    </row>
    <row r="17259" spans="191:191" x14ac:dyDescent="0.2">
      <c r="GI17259" s="422"/>
    </row>
    <row r="17260" spans="191:191" x14ac:dyDescent="0.2">
      <c r="GI17260" s="422"/>
    </row>
    <row r="17261" spans="191:191" x14ac:dyDescent="0.2">
      <c r="GI17261" s="422"/>
    </row>
    <row r="17262" spans="191:191" x14ac:dyDescent="0.2">
      <c r="GI17262" s="422"/>
    </row>
    <row r="17263" spans="191:191" x14ac:dyDescent="0.2">
      <c r="GI17263" s="422"/>
    </row>
    <row r="17264" spans="191:191" x14ac:dyDescent="0.2">
      <c r="GI17264" s="422"/>
    </row>
    <row r="17265" spans="191:191" x14ac:dyDescent="0.2">
      <c r="GI17265" s="422"/>
    </row>
    <row r="17266" spans="191:191" x14ac:dyDescent="0.2">
      <c r="GI17266" s="422"/>
    </row>
    <row r="17267" spans="191:191" x14ac:dyDescent="0.2">
      <c r="GI17267" s="422"/>
    </row>
    <row r="17268" spans="191:191" x14ac:dyDescent="0.2">
      <c r="GI17268" s="422"/>
    </row>
    <row r="17269" spans="191:191" x14ac:dyDescent="0.2">
      <c r="GI17269" s="422"/>
    </row>
    <row r="17270" spans="191:191" x14ac:dyDescent="0.2">
      <c r="GI17270" s="422"/>
    </row>
    <row r="17271" spans="191:191" x14ac:dyDescent="0.2">
      <c r="GI17271" s="422"/>
    </row>
    <row r="17272" spans="191:191" x14ac:dyDescent="0.2">
      <c r="GI17272" s="422"/>
    </row>
    <row r="17273" spans="191:191" x14ac:dyDescent="0.2">
      <c r="GI17273" s="422"/>
    </row>
    <row r="17274" spans="191:191" x14ac:dyDescent="0.2">
      <c r="GI17274" s="422"/>
    </row>
    <row r="17275" spans="191:191" x14ac:dyDescent="0.2">
      <c r="GI17275" s="422"/>
    </row>
    <row r="17276" spans="191:191" x14ac:dyDescent="0.2">
      <c r="GI17276" s="422"/>
    </row>
    <row r="17277" spans="191:191" x14ac:dyDescent="0.2">
      <c r="GI17277" s="422"/>
    </row>
    <row r="17278" spans="191:191" x14ac:dyDescent="0.2">
      <c r="GI17278" s="422"/>
    </row>
    <row r="17279" spans="191:191" x14ac:dyDescent="0.2">
      <c r="GI17279" s="422"/>
    </row>
    <row r="17280" spans="191:191" x14ac:dyDescent="0.2">
      <c r="GI17280" s="422"/>
    </row>
    <row r="17281" spans="191:191" x14ac:dyDescent="0.2">
      <c r="GI17281" s="422"/>
    </row>
    <row r="17282" spans="191:191" x14ac:dyDescent="0.2">
      <c r="GI17282" s="422"/>
    </row>
    <row r="17283" spans="191:191" x14ac:dyDescent="0.2">
      <c r="GI17283" s="422"/>
    </row>
    <row r="17284" spans="191:191" x14ac:dyDescent="0.2">
      <c r="GI17284" s="422"/>
    </row>
    <row r="17285" spans="191:191" x14ac:dyDescent="0.2">
      <c r="GI17285" s="422"/>
    </row>
    <row r="17286" spans="191:191" x14ac:dyDescent="0.2">
      <c r="GI17286" s="422"/>
    </row>
    <row r="17287" spans="191:191" x14ac:dyDescent="0.2">
      <c r="GI17287" s="422"/>
    </row>
    <row r="17288" spans="191:191" x14ac:dyDescent="0.2">
      <c r="GI17288" s="422"/>
    </row>
    <row r="17289" spans="191:191" x14ac:dyDescent="0.2">
      <c r="GI17289" s="422"/>
    </row>
    <row r="17290" spans="191:191" x14ac:dyDescent="0.2">
      <c r="GI17290" s="422"/>
    </row>
    <row r="17291" spans="191:191" x14ac:dyDescent="0.2">
      <c r="GI17291" s="422"/>
    </row>
    <row r="17292" spans="191:191" x14ac:dyDescent="0.2">
      <c r="GI17292" s="422"/>
    </row>
    <row r="17293" spans="191:191" x14ac:dyDescent="0.2">
      <c r="GI17293" s="422"/>
    </row>
    <row r="17294" spans="191:191" x14ac:dyDescent="0.2">
      <c r="GI17294" s="422"/>
    </row>
    <row r="17295" spans="191:191" x14ac:dyDescent="0.2">
      <c r="GI17295" s="422"/>
    </row>
    <row r="17296" spans="191:191" x14ac:dyDescent="0.2">
      <c r="GI17296" s="422"/>
    </row>
    <row r="17297" spans="191:191" x14ac:dyDescent="0.2">
      <c r="GI17297" s="422"/>
    </row>
    <row r="17298" spans="191:191" x14ac:dyDescent="0.2">
      <c r="GI17298" s="422"/>
    </row>
    <row r="17299" spans="191:191" x14ac:dyDescent="0.2">
      <c r="GI17299" s="422"/>
    </row>
    <row r="17300" spans="191:191" x14ac:dyDescent="0.2">
      <c r="GI17300" s="422"/>
    </row>
    <row r="17301" spans="191:191" x14ac:dyDescent="0.2">
      <c r="GI17301" s="422"/>
    </row>
    <row r="17302" spans="191:191" x14ac:dyDescent="0.2">
      <c r="GI17302" s="422"/>
    </row>
    <row r="17303" spans="191:191" x14ac:dyDescent="0.2">
      <c r="GI17303" s="422"/>
    </row>
    <row r="17304" spans="191:191" x14ac:dyDescent="0.2">
      <c r="GI17304" s="422"/>
    </row>
    <row r="17305" spans="191:191" x14ac:dyDescent="0.2">
      <c r="GI17305" s="422"/>
    </row>
    <row r="17306" spans="191:191" x14ac:dyDescent="0.2">
      <c r="GI17306" s="422"/>
    </row>
    <row r="17307" spans="191:191" x14ac:dyDescent="0.2">
      <c r="GI17307" s="422"/>
    </row>
    <row r="17308" spans="191:191" x14ac:dyDescent="0.2">
      <c r="GI17308" s="422"/>
    </row>
    <row r="17309" spans="191:191" x14ac:dyDescent="0.2">
      <c r="GI17309" s="422"/>
    </row>
    <row r="17310" spans="191:191" x14ac:dyDescent="0.2">
      <c r="GI17310" s="422"/>
    </row>
    <row r="17311" spans="191:191" x14ac:dyDescent="0.2">
      <c r="GI17311" s="422"/>
    </row>
    <row r="17312" spans="191:191" x14ac:dyDescent="0.2">
      <c r="GI17312" s="422"/>
    </row>
    <row r="17313" spans="191:191" x14ac:dyDescent="0.2">
      <c r="GI17313" s="422"/>
    </row>
    <row r="17314" spans="191:191" x14ac:dyDescent="0.2">
      <c r="GI17314" s="422"/>
    </row>
    <row r="17315" spans="191:191" x14ac:dyDescent="0.2">
      <c r="GI17315" s="422"/>
    </row>
    <row r="17316" spans="191:191" x14ac:dyDescent="0.2">
      <c r="GI17316" s="422"/>
    </row>
    <row r="17317" spans="191:191" x14ac:dyDescent="0.2">
      <c r="GI17317" s="422"/>
    </row>
    <row r="17318" spans="191:191" x14ac:dyDescent="0.2">
      <c r="GI17318" s="422"/>
    </row>
    <row r="17319" spans="191:191" x14ac:dyDescent="0.2">
      <c r="GI17319" s="422"/>
    </row>
    <row r="17320" spans="191:191" x14ac:dyDescent="0.2">
      <c r="GI17320" s="422"/>
    </row>
    <row r="17321" spans="191:191" x14ac:dyDescent="0.2">
      <c r="GI17321" s="422"/>
    </row>
    <row r="17322" spans="191:191" x14ac:dyDescent="0.2">
      <c r="GI17322" s="422"/>
    </row>
    <row r="17323" spans="191:191" x14ac:dyDescent="0.2">
      <c r="GI17323" s="422"/>
    </row>
    <row r="17324" spans="191:191" x14ac:dyDescent="0.2">
      <c r="GI17324" s="422"/>
    </row>
    <row r="17325" spans="191:191" x14ac:dyDescent="0.2">
      <c r="GI17325" s="422"/>
    </row>
    <row r="17326" spans="191:191" x14ac:dyDescent="0.2">
      <c r="GI17326" s="422"/>
    </row>
    <row r="17327" spans="191:191" x14ac:dyDescent="0.2">
      <c r="GI17327" s="422"/>
    </row>
    <row r="17328" spans="191:191" x14ac:dyDescent="0.2">
      <c r="GI17328" s="422"/>
    </row>
    <row r="17329" spans="191:191" x14ac:dyDescent="0.2">
      <c r="GI17329" s="422"/>
    </row>
    <row r="17330" spans="191:191" x14ac:dyDescent="0.2">
      <c r="GI17330" s="422"/>
    </row>
    <row r="17331" spans="191:191" x14ac:dyDescent="0.2">
      <c r="GI17331" s="422"/>
    </row>
    <row r="17332" spans="191:191" x14ac:dyDescent="0.2">
      <c r="GI17332" s="422"/>
    </row>
    <row r="17333" spans="191:191" x14ac:dyDescent="0.2">
      <c r="GI17333" s="422"/>
    </row>
    <row r="17334" spans="191:191" x14ac:dyDescent="0.2">
      <c r="GI17334" s="422"/>
    </row>
    <row r="17335" spans="191:191" x14ac:dyDescent="0.2">
      <c r="GI17335" s="422"/>
    </row>
    <row r="17336" spans="191:191" x14ac:dyDescent="0.2">
      <c r="GI17336" s="422"/>
    </row>
    <row r="17337" spans="191:191" x14ac:dyDescent="0.2">
      <c r="GI17337" s="422"/>
    </row>
    <row r="17338" spans="191:191" x14ac:dyDescent="0.2">
      <c r="GI17338" s="422"/>
    </row>
    <row r="17339" spans="191:191" x14ac:dyDescent="0.2">
      <c r="GI17339" s="422"/>
    </row>
    <row r="17340" spans="191:191" x14ac:dyDescent="0.2">
      <c r="GI17340" s="422"/>
    </row>
    <row r="17341" spans="191:191" x14ac:dyDescent="0.2">
      <c r="GI17341" s="422"/>
    </row>
    <row r="17342" spans="191:191" x14ac:dyDescent="0.2">
      <c r="GI17342" s="422"/>
    </row>
    <row r="17343" spans="191:191" x14ac:dyDescent="0.2">
      <c r="GI17343" s="422"/>
    </row>
    <row r="17344" spans="191:191" x14ac:dyDescent="0.2">
      <c r="GI17344" s="422"/>
    </row>
    <row r="17345" spans="191:191" x14ac:dyDescent="0.2">
      <c r="GI17345" s="422"/>
    </row>
    <row r="17346" spans="191:191" x14ac:dyDescent="0.2">
      <c r="GI17346" s="422"/>
    </row>
    <row r="17347" spans="191:191" x14ac:dyDescent="0.2">
      <c r="GI17347" s="422"/>
    </row>
    <row r="17348" spans="191:191" x14ac:dyDescent="0.2">
      <c r="GI17348" s="422"/>
    </row>
    <row r="17349" spans="191:191" x14ac:dyDescent="0.2">
      <c r="GI17349" s="422"/>
    </row>
    <row r="17350" spans="191:191" x14ac:dyDescent="0.2">
      <c r="GI17350" s="422"/>
    </row>
    <row r="17351" spans="191:191" x14ac:dyDescent="0.2">
      <c r="GI17351" s="422"/>
    </row>
    <row r="17352" spans="191:191" x14ac:dyDescent="0.2">
      <c r="GI17352" s="422"/>
    </row>
    <row r="17353" spans="191:191" x14ac:dyDescent="0.2">
      <c r="GI17353" s="422"/>
    </row>
    <row r="17354" spans="191:191" x14ac:dyDescent="0.2">
      <c r="GI17354" s="422"/>
    </row>
    <row r="17355" spans="191:191" x14ac:dyDescent="0.2">
      <c r="GI17355" s="422"/>
    </row>
    <row r="17356" spans="191:191" x14ac:dyDescent="0.2">
      <c r="GI17356" s="422"/>
    </row>
    <row r="17357" spans="191:191" x14ac:dyDescent="0.2">
      <c r="GI17357" s="422"/>
    </row>
    <row r="17358" spans="191:191" x14ac:dyDescent="0.2">
      <c r="GI17358" s="422"/>
    </row>
    <row r="17359" spans="191:191" x14ac:dyDescent="0.2">
      <c r="GI17359" s="422"/>
    </row>
    <row r="17360" spans="191:191" x14ac:dyDescent="0.2">
      <c r="GI17360" s="422"/>
    </row>
    <row r="17361" spans="191:191" x14ac:dyDescent="0.2">
      <c r="GI17361" s="422"/>
    </row>
    <row r="17362" spans="191:191" x14ac:dyDescent="0.2">
      <c r="GI17362" s="422"/>
    </row>
    <row r="17363" spans="191:191" x14ac:dyDescent="0.2">
      <c r="GI17363" s="422"/>
    </row>
    <row r="17364" spans="191:191" x14ac:dyDescent="0.2">
      <c r="GI17364" s="422"/>
    </row>
    <row r="17365" spans="191:191" x14ac:dyDescent="0.2">
      <c r="GI17365" s="422"/>
    </row>
    <row r="17366" spans="191:191" x14ac:dyDescent="0.2">
      <c r="GI17366" s="422"/>
    </row>
    <row r="17367" spans="191:191" x14ac:dyDescent="0.2">
      <c r="GI17367" s="422"/>
    </row>
    <row r="17368" spans="191:191" x14ac:dyDescent="0.2">
      <c r="GI17368" s="422"/>
    </row>
    <row r="17369" spans="191:191" x14ac:dyDescent="0.2">
      <c r="GI17369" s="422"/>
    </row>
    <row r="17370" spans="191:191" x14ac:dyDescent="0.2">
      <c r="GI17370" s="422"/>
    </row>
    <row r="17371" spans="191:191" x14ac:dyDescent="0.2">
      <c r="GI17371" s="422"/>
    </row>
    <row r="17372" spans="191:191" x14ac:dyDescent="0.2">
      <c r="GI17372" s="422"/>
    </row>
    <row r="17373" spans="191:191" x14ac:dyDescent="0.2">
      <c r="GI17373" s="422"/>
    </row>
    <row r="17374" spans="191:191" x14ac:dyDescent="0.2">
      <c r="GI17374" s="422"/>
    </row>
    <row r="17375" spans="191:191" x14ac:dyDescent="0.2">
      <c r="GI17375" s="422"/>
    </row>
    <row r="17376" spans="191:191" x14ac:dyDescent="0.2">
      <c r="GI17376" s="422"/>
    </row>
    <row r="17377" spans="191:191" x14ac:dyDescent="0.2">
      <c r="GI17377" s="422"/>
    </row>
    <row r="17378" spans="191:191" x14ac:dyDescent="0.2">
      <c r="GI17378" s="422"/>
    </row>
    <row r="17379" spans="191:191" x14ac:dyDescent="0.2">
      <c r="GI17379" s="422"/>
    </row>
    <row r="17380" spans="191:191" x14ac:dyDescent="0.2">
      <c r="GI17380" s="422"/>
    </row>
    <row r="17381" spans="191:191" x14ac:dyDescent="0.2">
      <c r="GI17381" s="422"/>
    </row>
    <row r="17382" spans="191:191" x14ac:dyDescent="0.2">
      <c r="GI17382" s="422"/>
    </row>
    <row r="17383" spans="191:191" x14ac:dyDescent="0.2">
      <c r="GI17383" s="422"/>
    </row>
    <row r="17384" spans="191:191" x14ac:dyDescent="0.2">
      <c r="GI17384" s="422"/>
    </row>
    <row r="17385" spans="191:191" x14ac:dyDescent="0.2">
      <c r="GI17385" s="422"/>
    </row>
    <row r="17386" spans="191:191" x14ac:dyDescent="0.2">
      <c r="GI17386" s="422"/>
    </row>
    <row r="17387" spans="191:191" x14ac:dyDescent="0.2">
      <c r="GI17387" s="422"/>
    </row>
    <row r="17388" spans="191:191" x14ac:dyDescent="0.2">
      <c r="GI17388" s="422"/>
    </row>
    <row r="17389" spans="191:191" x14ac:dyDescent="0.2">
      <c r="GI17389" s="422"/>
    </row>
    <row r="17390" spans="191:191" x14ac:dyDescent="0.2">
      <c r="GI17390" s="422"/>
    </row>
    <row r="17391" spans="191:191" x14ac:dyDescent="0.2">
      <c r="GI17391" s="422"/>
    </row>
    <row r="17392" spans="191:191" x14ac:dyDescent="0.2">
      <c r="GI17392" s="422"/>
    </row>
    <row r="17393" spans="191:191" x14ac:dyDescent="0.2">
      <c r="GI17393" s="422"/>
    </row>
    <row r="17394" spans="191:191" x14ac:dyDescent="0.2">
      <c r="GI17394" s="422"/>
    </row>
    <row r="17395" spans="191:191" x14ac:dyDescent="0.2">
      <c r="GI17395" s="422"/>
    </row>
    <row r="17396" spans="191:191" x14ac:dyDescent="0.2">
      <c r="GI17396" s="422"/>
    </row>
    <row r="17397" spans="191:191" x14ac:dyDescent="0.2">
      <c r="GI17397" s="422"/>
    </row>
    <row r="17398" spans="191:191" x14ac:dyDescent="0.2">
      <c r="GI17398" s="422"/>
    </row>
    <row r="17399" spans="191:191" x14ac:dyDescent="0.2">
      <c r="GI17399" s="422"/>
    </row>
    <row r="17400" spans="191:191" x14ac:dyDescent="0.2">
      <c r="GI17400" s="422"/>
    </row>
    <row r="17401" spans="191:191" x14ac:dyDescent="0.2">
      <c r="GI17401" s="422"/>
    </row>
    <row r="17402" spans="191:191" x14ac:dyDescent="0.2">
      <c r="GI17402" s="422"/>
    </row>
    <row r="17403" spans="191:191" x14ac:dyDescent="0.2">
      <c r="GI17403" s="422"/>
    </row>
    <row r="17404" spans="191:191" x14ac:dyDescent="0.2">
      <c r="GI17404" s="422"/>
    </row>
    <row r="17405" spans="191:191" x14ac:dyDescent="0.2">
      <c r="GI17405" s="422"/>
    </row>
    <row r="17406" spans="191:191" x14ac:dyDescent="0.2">
      <c r="GI17406" s="422"/>
    </row>
    <row r="17407" spans="191:191" x14ac:dyDescent="0.2">
      <c r="GI17407" s="422"/>
    </row>
    <row r="17408" spans="191:191" x14ac:dyDescent="0.2">
      <c r="GI17408" s="422"/>
    </row>
    <row r="17409" spans="191:191" x14ac:dyDescent="0.2">
      <c r="GI17409" s="422"/>
    </row>
    <row r="17410" spans="191:191" x14ac:dyDescent="0.2">
      <c r="GI17410" s="422"/>
    </row>
    <row r="17411" spans="191:191" x14ac:dyDescent="0.2">
      <c r="GI17411" s="422"/>
    </row>
    <row r="17412" spans="191:191" x14ac:dyDescent="0.2">
      <c r="GI17412" s="422"/>
    </row>
    <row r="17413" spans="191:191" x14ac:dyDescent="0.2">
      <c r="GI17413" s="422"/>
    </row>
    <row r="17414" spans="191:191" x14ac:dyDescent="0.2">
      <c r="GI17414" s="422"/>
    </row>
    <row r="17415" spans="191:191" x14ac:dyDescent="0.2">
      <c r="GI17415" s="422"/>
    </row>
    <row r="17416" spans="191:191" x14ac:dyDescent="0.2">
      <c r="GI17416" s="422"/>
    </row>
    <row r="17417" spans="191:191" x14ac:dyDescent="0.2">
      <c r="GI17417" s="422"/>
    </row>
    <row r="17418" spans="191:191" x14ac:dyDescent="0.2">
      <c r="GI17418" s="422"/>
    </row>
    <row r="17419" spans="191:191" x14ac:dyDescent="0.2">
      <c r="GI17419" s="422"/>
    </row>
    <row r="17420" spans="191:191" x14ac:dyDescent="0.2">
      <c r="GI17420" s="422"/>
    </row>
    <row r="17421" spans="191:191" x14ac:dyDescent="0.2">
      <c r="GI17421" s="422"/>
    </row>
    <row r="17422" spans="191:191" x14ac:dyDescent="0.2">
      <c r="GI17422" s="422"/>
    </row>
    <row r="17423" spans="191:191" x14ac:dyDescent="0.2">
      <c r="GI17423" s="422"/>
    </row>
    <row r="17424" spans="191:191" x14ac:dyDescent="0.2">
      <c r="GI17424" s="422"/>
    </row>
    <row r="17425" spans="191:191" x14ac:dyDescent="0.2">
      <c r="GI17425" s="422"/>
    </row>
    <row r="17426" spans="191:191" x14ac:dyDescent="0.2">
      <c r="GI17426" s="422"/>
    </row>
    <row r="17427" spans="191:191" x14ac:dyDescent="0.2">
      <c r="GI17427" s="422"/>
    </row>
    <row r="17428" spans="191:191" x14ac:dyDescent="0.2">
      <c r="GI17428" s="422"/>
    </row>
    <row r="17429" spans="191:191" x14ac:dyDescent="0.2">
      <c r="GI17429" s="422"/>
    </row>
    <row r="17430" spans="191:191" x14ac:dyDescent="0.2">
      <c r="GI17430" s="422"/>
    </row>
    <row r="17431" spans="191:191" x14ac:dyDescent="0.2">
      <c r="GI17431" s="422"/>
    </row>
    <row r="17432" spans="191:191" x14ac:dyDescent="0.2">
      <c r="GI17432" s="422"/>
    </row>
    <row r="17433" spans="191:191" x14ac:dyDescent="0.2">
      <c r="GI17433" s="422"/>
    </row>
    <row r="17434" spans="191:191" x14ac:dyDescent="0.2">
      <c r="GI17434" s="422"/>
    </row>
    <row r="17435" spans="191:191" x14ac:dyDescent="0.2">
      <c r="GI17435" s="422"/>
    </row>
    <row r="17436" spans="191:191" x14ac:dyDescent="0.2">
      <c r="GI17436" s="422"/>
    </row>
    <row r="17437" spans="191:191" x14ac:dyDescent="0.2">
      <c r="GI17437" s="422"/>
    </row>
    <row r="17438" spans="191:191" x14ac:dyDescent="0.2">
      <c r="GI17438" s="422"/>
    </row>
    <row r="17439" spans="191:191" x14ac:dyDescent="0.2">
      <c r="GI17439" s="422"/>
    </row>
    <row r="17440" spans="191:191" x14ac:dyDescent="0.2">
      <c r="GI17440" s="422"/>
    </row>
    <row r="17441" spans="191:191" x14ac:dyDescent="0.2">
      <c r="GI17441" s="422"/>
    </row>
    <row r="17442" spans="191:191" x14ac:dyDescent="0.2">
      <c r="GI17442" s="422"/>
    </row>
    <row r="17443" spans="191:191" x14ac:dyDescent="0.2">
      <c r="GI17443" s="422"/>
    </row>
    <row r="17444" spans="191:191" x14ac:dyDescent="0.2">
      <c r="GI17444" s="422"/>
    </row>
    <row r="17445" spans="191:191" x14ac:dyDescent="0.2">
      <c r="GI17445" s="422"/>
    </row>
    <row r="17446" spans="191:191" x14ac:dyDescent="0.2">
      <c r="GI17446" s="422"/>
    </row>
    <row r="17447" spans="191:191" x14ac:dyDescent="0.2">
      <c r="GI17447" s="422"/>
    </row>
    <row r="17448" spans="191:191" x14ac:dyDescent="0.2">
      <c r="GI17448" s="422"/>
    </row>
    <row r="17449" spans="191:191" x14ac:dyDescent="0.2">
      <c r="GI17449" s="422"/>
    </row>
    <row r="17450" spans="191:191" x14ac:dyDescent="0.2">
      <c r="GI17450" s="422"/>
    </row>
    <row r="17451" spans="191:191" x14ac:dyDescent="0.2">
      <c r="GI17451" s="422"/>
    </row>
    <row r="17452" spans="191:191" x14ac:dyDescent="0.2">
      <c r="GI17452" s="422"/>
    </row>
    <row r="17453" spans="191:191" x14ac:dyDescent="0.2">
      <c r="GI17453" s="422"/>
    </row>
    <row r="17454" spans="191:191" x14ac:dyDescent="0.2">
      <c r="GI17454" s="422"/>
    </row>
    <row r="17455" spans="191:191" x14ac:dyDescent="0.2">
      <c r="GI17455" s="422"/>
    </row>
    <row r="17456" spans="191:191" x14ac:dyDescent="0.2">
      <c r="GI17456" s="422"/>
    </row>
    <row r="17457" spans="191:191" x14ac:dyDescent="0.2">
      <c r="GI17457" s="422"/>
    </row>
    <row r="17458" spans="191:191" x14ac:dyDescent="0.2">
      <c r="GI17458" s="422"/>
    </row>
    <row r="17459" spans="191:191" x14ac:dyDescent="0.2">
      <c r="GI17459" s="422"/>
    </row>
    <row r="17460" spans="191:191" x14ac:dyDescent="0.2">
      <c r="GI17460" s="422"/>
    </row>
    <row r="17461" spans="191:191" x14ac:dyDescent="0.2">
      <c r="GI17461" s="422"/>
    </row>
    <row r="17462" spans="191:191" x14ac:dyDescent="0.2">
      <c r="GI17462" s="422"/>
    </row>
    <row r="17463" spans="191:191" x14ac:dyDescent="0.2">
      <c r="GI17463" s="422"/>
    </row>
    <row r="17464" spans="191:191" x14ac:dyDescent="0.2">
      <c r="GI17464" s="422"/>
    </row>
    <row r="17465" spans="191:191" x14ac:dyDescent="0.2">
      <c r="GI17465" s="422"/>
    </row>
    <row r="17466" spans="191:191" x14ac:dyDescent="0.2">
      <c r="GI17466" s="422"/>
    </row>
    <row r="17467" spans="191:191" x14ac:dyDescent="0.2">
      <c r="GI17467" s="422"/>
    </row>
    <row r="17468" spans="191:191" x14ac:dyDescent="0.2">
      <c r="GI17468" s="422"/>
    </row>
    <row r="17469" spans="191:191" x14ac:dyDescent="0.2">
      <c r="GI17469" s="422"/>
    </row>
    <row r="17470" spans="191:191" x14ac:dyDescent="0.2">
      <c r="GI17470" s="422"/>
    </row>
    <row r="17471" spans="191:191" x14ac:dyDescent="0.2">
      <c r="GI17471" s="422"/>
    </row>
    <row r="17472" spans="191:191" x14ac:dyDescent="0.2">
      <c r="GI17472" s="422"/>
    </row>
    <row r="17473" spans="191:191" x14ac:dyDescent="0.2">
      <c r="GI17473" s="422"/>
    </row>
    <row r="17474" spans="191:191" x14ac:dyDescent="0.2">
      <c r="GI17474" s="422"/>
    </row>
    <row r="17475" spans="191:191" x14ac:dyDescent="0.2">
      <c r="GI17475" s="422"/>
    </row>
    <row r="17476" spans="191:191" x14ac:dyDescent="0.2">
      <c r="GI17476" s="422"/>
    </row>
    <row r="17477" spans="191:191" x14ac:dyDescent="0.2">
      <c r="GI17477" s="422"/>
    </row>
    <row r="17478" spans="191:191" x14ac:dyDescent="0.2">
      <c r="GI17478" s="422"/>
    </row>
    <row r="17479" spans="191:191" x14ac:dyDescent="0.2">
      <c r="GI17479" s="422"/>
    </row>
    <row r="17480" spans="191:191" x14ac:dyDescent="0.2">
      <c r="GI17480" s="422"/>
    </row>
    <row r="17481" spans="191:191" x14ac:dyDescent="0.2">
      <c r="GI17481" s="422"/>
    </row>
    <row r="17482" spans="191:191" x14ac:dyDescent="0.2">
      <c r="GI17482" s="422"/>
    </row>
    <row r="17483" spans="191:191" x14ac:dyDescent="0.2">
      <c r="GI17483" s="422"/>
    </row>
    <row r="17484" spans="191:191" x14ac:dyDescent="0.2">
      <c r="GI17484" s="422"/>
    </row>
    <row r="17485" spans="191:191" x14ac:dyDescent="0.2">
      <c r="GI17485" s="422"/>
    </row>
    <row r="17486" spans="191:191" x14ac:dyDescent="0.2">
      <c r="GI17486" s="422"/>
    </row>
    <row r="17487" spans="191:191" x14ac:dyDescent="0.2">
      <c r="GI17487" s="422"/>
    </row>
    <row r="17488" spans="191:191" x14ac:dyDescent="0.2">
      <c r="GI17488" s="422"/>
    </row>
    <row r="17489" spans="191:191" x14ac:dyDescent="0.2">
      <c r="GI17489" s="422"/>
    </row>
    <row r="17490" spans="191:191" x14ac:dyDescent="0.2">
      <c r="GI17490" s="422"/>
    </row>
    <row r="17491" spans="191:191" x14ac:dyDescent="0.2">
      <c r="GI17491" s="422"/>
    </row>
    <row r="17492" spans="191:191" x14ac:dyDescent="0.2">
      <c r="GI17492" s="422"/>
    </row>
    <row r="17493" spans="191:191" x14ac:dyDescent="0.2">
      <c r="GI17493" s="422"/>
    </row>
    <row r="17494" spans="191:191" x14ac:dyDescent="0.2">
      <c r="GI17494" s="422"/>
    </row>
    <row r="17495" spans="191:191" x14ac:dyDescent="0.2">
      <c r="GI17495" s="422"/>
    </row>
    <row r="17496" spans="191:191" x14ac:dyDescent="0.2">
      <c r="GI17496" s="422"/>
    </row>
    <row r="17497" spans="191:191" x14ac:dyDescent="0.2">
      <c r="GI17497" s="422"/>
    </row>
    <row r="17498" spans="191:191" x14ac:dyDescent="0.2">
      <c r="GI17498" s="422"/>
    </row>
    <row r="17499" spans="191:191" x14ac:dyDescent="0.2">
      <c r="GI17499" s="422"/>
    </row>
    <row r="17500" spans="191:191" x14ac:dyDescent="0.2">
      <c r="GI17500" s="422"/>
    </row>
    <row r="17501" spans="191:191" x14ac:dyDescent="0.2">
      <c r="GI17501" s="422"/>
    </row>
    <row r="17502" spans="191:191" x14ac:dyDescent="0.2">
      <c r="GI17502" s="422"/>
    </row>
    <row r="17503" spans="191:191" x14ac:dyDescent="0.2">
      <c r="GI17503" s="422"/>
    </row>
    <row r="17504" spans="191:191" x14ac:dyDescent="0.2">
      <c r="GI17504" s="422"/>
    </row>
    <row r="17505" spans="191:191" x14ac:dyDescent="0.2">
      <c r="GI17505" s="422"/>
    </row>
    <row r="17506" spans="191:191" x14ac:dyDescent="0.2">
      <c r="GI17506" s="422"/>
    </row>
    <row r="17507" spans="191:191" x14ac:dyDescent="0.2">
      <c r="GI17507" s="422"/>
    </row>
    <row r="17508" spans="191:191" x14ac:dyDescent="0.2">
      <c r="GI17508" s="422"/>
    </row>
    <row r="17509" spans="191:191" x14ac:dyDescent="0.2">
      <c r="GI17509" s="422"/>
    </row>
    <row r="17510" spans="191:191" x14ac:dyDescent="0.2">
      <c r="GI17510" s="422"/>
    </row>
    <row r="17511" spans="191:191" x14ac:dyDescent="0.2">
      <c r="GI17511" s="422"/>
    </row>
    <row r="17512" spans="191:191" x14ac:dyDescent="0.2">
      <c r="GI17512" s="422"/>
    </row>
    <row r="17513" spans="191:191" x14ac:dyDescent="0.2">
      <c r="GI17513" s="422"/>
    </row>
    <row r="17514" spans="191:191" x14ac:dyDescent="0.2">
      <c r="GI17514" s="422"/>
    </row>
    <row r="17515" spans="191:191" x14ac:dyDescent="0.2">
      <c r="GI17515" s="422"/>
    </row>
    <row r="17516" spans="191:191" x14ac:dyDescent="0.2">
      <c r="GI17516" s="422"/>
    </row>
    <row r="17517" spans="191:191" x14ac:dyDescent="0.2">
      <c r="GI17517" s="422"/>
    </row>
    <row r="17518" spans="191:191" x14ac:dyDescent="0.2">
      <c r="GI17518" s="422"/>
    </row>
    <row r="17519" spans="191:191" x14ac:dyDescent="0.2">
      <c r="GI17519" s="422"/>
    </row>
    <row r="17520" spans="191:191" x14ac:dyDescent="0.2">
      <c r="GI17520" s="422"/>
    </row>
    <row r="17521" spans="191:191" x14ac:dyDescent="0.2">
      <c r="GI17521" s="422"/>
    </row>
    <row r="17522" spans="191:191" x14ac:dyDescent="0.2">
      <c r="GI17522" s="422"/>
    </row>
    <row r="17523" spans="191:191" x14ac:dyDescent="0.2">
      <c r="GI17523" s="422"/>
    </row>
    <row r="17524" spans="191:191" x14ac:dyDescent="0.2">
      <c r="GI17524" s="422"/>
    </row>
    <row r="17525" spans="191:191" x14ac:dyDescent="0.2">
      <c r="GI17525" s="422"/>
    </row>
    <row r="17526" spans="191:191" x14ac:dyDescent="0.2">
      <c r="GI17526" s="422"/>
    </row>
    <row r="17527" spans="191:191" x14ac:dyDescent="0.2">
      <c r="GI17527" s="422"/>
    </row>
    <row r="17528" spans="191:191" x14ac:dyDescent="0.2">
      <c r="GI17528" s="422"/>
    </row>
    <row r="17529" spans="191:191" x14ac:dyDescent="0.2">
      <c r="GI17529" s="422"/>
    </row>
    <row r="17530" spans="191:191" x14ac:dyDescent="0.2">
      <c r="GI17530" s="422"/>
    </row>
    <row r="17531" spans="191:191" x14ac:dyDescent="0.2">
      <c r="GI17531" s="422"/>
    </row>
    <row r="17532" spans="191:191" x14ac:dyDescent="0.2">
      <c r="GI17532" s="422"/>
    </row>
    <row r="17533" spans="191:191" x14ac:dyDescent="0.2">
      <c r="GI17533" s="422"/>
    </row>
    <row r="17534" spans="191:191" x14ac:dyDescent="0.2">
      <c r="GI17534" s="422"/>
    </row>
    <row r="17535" spans="191:191" x14ac:dyDescent="0.2">
      <c r="GI17535" s="422"/>
    </row>
    <row r="17536" spans="191:191" x14ac:dyDescent="0.2">
      <c r="GI17536" s="422"/>
    </row>
    <row r="17537" spans="191:191" x14ac:dyDescent="0.2">
      <c r="GI17537" s="422"/>
    </row>
    <row r="17538" spans="191:191" x14ac:dyDescent="0.2">
      <c r="GI17538" s="422"/>
    </row>
    <row r="17539" spans="191:191" x14ac:dyDescent="0.2">
      <c r="GI17539" s="422"/>
    </row>
    <row r="17540" spans="191:191" x14ac:dyDescent="0.2">
      <c r="GI17540" s="422"/>
    </row>
    <row r="17541" spans="191:191" x14ac:dyDescent="0.2">
      <c r="GI17541" s="422"/>
    </row>
    <row r="17542" spans="191:191" x14ac:dyDescent="0.2">
      <c r="GI17542" s="422"/>
    </row>
    <row r="17543" spans="191:191" x14ac:dyDescent="0.2">
      <c r="GI17543" s="422"/>
    </row>
    <row r="17544" spans="191:191" x14ac:dyDescent="0.2">
      <c r="GI17544" s="422"/>
    </row>
    <row r="17545" spans="191:191" x14ac:dyDescent="0.2">
      <c r="GI17545" s="422"/>
    </row>
    <row r="17546" spans="191:191" x14ac:dyDescent="0.2">
      <c r="GI17546" s="422"/>
    </row>
    <row r="17547" spans="191:191" x14ac:dyDescent="0.2">
      <c r="GI17547" s="422"/>
    </row>
    <row r="17548" spans="191:191" x14ac:dyDescent="0.2">
      <c r="GI17548" s="422"/>
    </row>
    <row r="17549" spans="191:191" x14ac:dyDescent="0.2">
      <c r="GI17549" s="422"/>
    </row>
    <row r="17550" spans="191:191" x14ac:dyDescent="0.2">
      <c r="GI17550" s="422"/>
    </row>
    <row r="17551" spans="191:191" x14ac:dyDescent="0.2">
      <c r="GI17551" s="422"/>
    </row>
    <row r="17552" spans="191:191" x14ac:dyDescent="0.2">
      <c r="GI17552" s="422"/>
    </row>
    <row r="17553" spans="191:191" x14ac:dyDescent="0.2">
      <c r="GI17553" s="422"/>
    </row>
    <row r="17554" spans="191:191" x14ac:dyDescent="0.2">
      <c r="GI17554" s="422"/>
    </row>
    <row r="17555" spans="191:191" x14ac:dyDescent="0.2">
      <c r="GI17555" s="422"/>
    </row>
    <row r="17556" spans="191:191" x14ac:dyDescent="0.2">
      <c r="GI17556" s="422"/>
    </row>
    <row r="17557" spans="191:191" x14ac:dyDescent="0.2">
      <c r="GI17557" s="422"/>
    </row>
    <row r="17558" spans="191:191" x14ac:dyDescent="0.2">
      <c r="GI17558" s="422"/>
    </row>
    <row r="17559" spans="191:191" x14ac:dyDescent="0.2">
      <c r="GI17559" s="422"/>
    </row>
    <row r="17560" spans="191:191" x14ac:dyDescent="0.2">
      <c r="GI17560" s="422"/>
    </row>
    <row r="17561" spans="191:191" x14ac:dyDescent="0.2">
      <c r="GI17561" s="422"/>
    </row>
    <row r="17562" spans="191:191" x14ac:dyDescent="0.2">
      <c r="GI17562" s="422"/>
    </row>
    <row r="17563" spans="191:191" x14ac:dyDescent="0.2">
      <c r="GI17563" s="422"/>
    </row>
    <row r="17564" spans="191:191" x14ac:dyDescent="0.2">
      <c r="GI17564" s="422"/>
    </row>
    <row r="17565" spans="191:191" x14ac:dyDescent="0.2">
      <c r="GI17565" s="422"/>
    </row>
    <row r="17566" spans="191:191" x14ac:dyDescent="0.2">
      <c r="GI17566" s="422"/>
    </row>
    <row r="17567" spans="191:191" x14ac:dyDescent="0.2">
      <c r="GI17567" s="422"/>
    </row>
    <row r="17568" spans="191:191" x14ac:dyDescent="0.2">
      <c r="GI17568" s="422"/>
    </row>
    <row r="17569" spans="191:191" x14ac:dyDescent="0.2">
      <c r="GI17569" s="422"/>
    </row>
    <row r="17570" spans="191:191" x14ac:dyDescent="0.2">
      <c r="GI17570" s="422"/>
    </row>
    <row r="17571" spans="191:191" x14ac:dyDescent="0.2">
      <c r="GI17571" s="422"/>
    </row>
    <row r="17572" spans="191:191" x14ac:dyDescent="0.2">
      <c r="GI17572" s="422"/>
    </row>
    <row r="17573" spans="191:191" x14ac:dyDescent="0.2">
      <c r="GI17573" s="422"/>
    </row>
    <row r="17574" spans="191:191" x14ac:dyDescent="0.2">
      <c r="GI17574" s="422"/>
    </row>
    <row r="17575" spans="191:191" x14ac:dyDescent="0.2">
      <c r="GI17575" s="422"/>
    </row>
    <row r="17576" spans="191:191" x14ac:dyDescent="0.2">
      <c r="GI17576" s="422"/>
    </row>
    <row r="17577" spans="191:191" x14ac:dyDescent="0.2">
      <c r="GI17577" s="422"/>
    </row>
    <row r="17578" spans="191:191" x14ac:dyDescent="0.2">
      <c r="GI17578" s="422"/>
    </row>
    <row r="17579" spans="191:191" x14ac:dyDescent="0.2">
      <c r="GI17579" s="422"/>
    </row>
    <row r="17580" spans="191:191" x14ac:dyDescent="0.2">
      <c r="GI17580" s="422"/>
    </row>
    <row r="17581" spans="191:191" x14ac:dyDescent="0.2">
      <c r="GI17581" s="422"/>
    </row>
    <row r="17582" spans="191:191" x14ac:dyDescent="0.2">
      <c r="GI17582" s="422"/>
    </row>
    <row r="17583" spans="191:191" x14ac:dyDescent="0.2">
      <c r="GI17583" s="422"/>
    </row>
    <row r="17584" spans="191:191" x14ac:dyDescent="0.2">
      <c r="GI17584" s="422"/>
    </row>
    <row r="17585" spans="191:191" x14ac:dyDescent="0.2">
      <c r="GI17585" s="422"/>
    </row>
    <row r="17586" spans="191:191" x14ac:dyDescent="0.2">
      <c r="GI17586" s="422"/>
    </row>
    <row r="17587" spans="191:191" x14ac:dyDescent="0.2">
      <c r="GI17587" s="422"/>
    </row>
    <row r="17588" spans="191:191" x14ac:dyDescent="0.2">
      <c r="GI17588" s="422"/>
    </row>
    <row r="17589" spans="191:191" x14ac:dyDescent="0.2">
      <c r="GI17589" s="422"/>
    </row>
    <row r="17590" spans="191:191" x14ac:dyDescent="0.2">
      <c r="GI17590" s="422"/>
    </row>
    <row r="17591" spans="191:191" x14ac:dyDescent="0.2">
      <c r="GI17591" s="422"/>
    </row>
    <row r="17592" spans="191:191" x14ac:dyDescent="0.2">
      <c r="GI17592" s="422"/>
    </row>
    <row r="17593" spans="191:191" x14ac:dyDescent="0.2">
      <c r="GI17593" s="422"/>
    </row>
    <row r="17594" spans="191:191" x14ac:dyDescent="0.2">
      <c r="GI17594" s="422"/>
    </row>
    <row r="17595" spans="191:191" x14ac:dyDescent="0.2">
      <c r="GI17595" s="422"/>
    </row>
    <row r="17596" spans="191:191" x14ac:dyDescent="0.2">
      <c r="GI17596" s="422"/>
    </row>
    <row r="17597" spans="191:191" x14ac:dyDescent="0.2">
      <c r="GI17597" s="422"/>
    </row>
    <row r="17598" spans="191:191" x14ac:dyDescent="0.2">
      <c r="GI17598" s="422"/>
    </row>
    <row r="17599" spans="191:191" x14ac:dyDescent="0.2">
      <c r="GI17599" s="422"/>
    </row>
    <row r="17600" spans="191:191" x14ac:dyDescent="0.2">
      <c r="GI17600" s="422"/>
    </row>
    <row r="17601" spans="191:191" x14ac:dyDescent="0.2">
      <c r="GI17601" s="422"/>
    </row>
    <row r="17602" spans="191:191" x14ac:dyDescent="0.2">
      <c r="GI17602" s="422"/>
    </row>
    <row r="17603" spans="191:191" x14ac:dyDescent="0.2">
      <c r="GI17603" s="422"/>
    </row>
    <row r="17604" spans="191:191" x14ac:dyDescent="0.2">
      <c r="GI17604" s="422"/>
    </row>
    <row r="17605" spans="191:191" x14ac:dyDescent="0.2">
      <c r="GI17605" s="422"/>
    </row>
    <row r="17606" spans="191:191" x14ac:dyDescent="0.2">
      <c r="GI17606" s="422"/>
    </row>
    <row r="17607" spans="191:191" x14ac:dyDescent="0.2">
      <c r="GI17607" s="422"/>
    </row>
    <row r="17608" spans="191:191" x14ac:dyDescent="0.2">
      <c r="GI17608" s="422"/>
    </row>
    <row r="17609" spans="191:191" x14ac:dyDescent="0.2">
      <c r="GI17609" s="422"/>
    </row>
    <row r="17610" spans="191:191" x14ac:dyDescent="0.2">
      <c r="GI17610" s="422"/>
    </row>
    <row r="17611" spans="191:191" x14ac:dyDescent="0.2">
      <c r="GI17611" s="422"/>
    </row>
    <row r="17612" spans="191:191" x14ac:dyDescent="0.2">
      <c r="GI17612" s="422"/>
    </row>
    <row r="17613" spans="191:191" x14ac:dyDescent="0.2">
      <c r="GI17613" s="422"/>
    </row>
    <row r="17614" spans="191:191" x14ac:dyDescent="0.2">
      <c r="GI17614" s="422"/>
    </row>
    <row r="17615" spans="191:191" x14ac:dyDescent="0.2">
      <c r="GI17615" s="422"/>
    </row>
    <row r="17616" spans="191:191" x14ac:dyDescent="0.2">
      <c r="GI17616" s="422"/>
    </row>
    <row r="17617" spans="191:191" x14ac:dyDescent="0.2">
      <c r="GI17617" s="422"/>
    </row>
    <row r="17618" spans="191:191" x14ac:dyDescent="0.2">
      <c r="GI17618" s="422"/>
    </row>
    <row r="17619" spans="191:191" x14ac:dyDescent="0.2">
      <c r="GI17619" s="422"/>
    </row>
    <row r="17620" spans="191:191" x14ac:dyDescent="0.2">
      <c r="GI17620" s="422"/>
    </row>
    <row r="17621" spans="191:191" x14ac:dyDescent="0.2">
      <c r="GI17621" s="422"/>
    </row>
    <row r="17622" spans="191:191" x14ac:dyDescent="0.2">
      <c r="GI17622" s="422"/>
    </row>
    <row r="17623" spans="191:191" x14ac:dyDescent="0.2">
      <c r="GI17623" s="422"/>
    </row>
    <row r="17624" spans="191:191" x14ac:dyDescent="0.2">
      <c r="GI17624" s="422"/>
    </row>
    <row r="17625" spans="191:191" x14ac:dyDescent="0.2">
      <c r="GI17625" s="422"/>
    </row>
    <row r="17626" spans="191:191" x14ac:dyDescent="0.2">
      <c r="GI17626" s="422"/>
    </row>
    <row r="17627" spans="191:191" x14ac:dyDescent="0.2">
      <c r="GI17627" s="422"/>
    </row>
    <row r="17628" spans="191:191" x14ac:dyDescent="0.2">
      <c r="GI17628" s="422"/>
    </row>
    <row r="17629" spans="191:191" x14ac:dyDescent="0.2">
      <c r="GI17629" s="422"/>
    </row>
    <row r="17630" spans="191:191" x14ac:dyDescent="0.2">
      <c r="GI17630" s="422"/>
    </row>
    <row r="17631" spans="191:191" x14ac:dyDescent="0.2">
      <c r="GI17631" s="422"/>
    </row>
    <row r="17632" spans="191:191" x14ac:dyDescent="0.2">
      <c r="GI17632" s="422"/>
    </row>
    <row r="17633" spans="191:191" x14ac:dyDescent="0.2">
      <c r="GI17633" s="422"/>
    </row>
    <row r="17634" spans="191:191" x14ac:dyDescent="0.2">
      <c r="GI17634" s="422"/>
    </row>
    <row r="17635" spans="191:191" x14ac:dyDescent="0.2">
      <c r="GI17635" s="422"/>
    </row>
    <row r="17636" spans="191:191" x14ac:dyDescent="0.2">
      <c r="GI17636" s="422"/>
    </row>
    <row r="17637" spans="191:191" x14ac:dyDescent="0.2">
      <c r="GI17637" s="422"/>
    </row>
    <row r="17638" spans="191:191" x14ac:dyDescent="0.2">
      <c r="GI17638" s="422"/>
    </row>
    <row r="17639" spans="191:191" x14ac:dyDescent="0.2">
      <c r="GI17639" s="422"/>
    </row>
    <row r="17640" spans="191:191" x14ac:dyDescent="0.2">
      <c r="GI17640" s="422"/>
    </row>
    <row r="17641" spans="191:191" x14ac:dyDescent="0.2">
      <c r="GI17641" s="422"/>
    </row>
    <row r="17642" spans="191:191" x14ac:dyDescent="0.2">
      <c r="GI17642" s="422"/>
    </row>
    <row r="17643" spans="191:191" x14ac:dyDescent="0.2">
      <c r="GI17643" s="422"/>
    </row>
    <row r="17644" spans="191:191" x14ac:dyDescent="0.2">
      <c r="GI17644" s="422"/>
    </row>
    <row r="17645" spans="191:191" x14ac:dyDescent="0.2">
      <c r="GI17645" s="422"/>
    </row>
    <row r="17646" spans="191:191" x14ac:dyDescent="0.2">
      <c r="GI17646" s="422"/>
    </row>
    <row r="17647" spans="191:191" x14ac:dyDescent="0.2">
      <c r="GI17647" s="422"/>
    </row>
    <row r="17648" spans="191:191" x14ac:dyDescent="0.2">
      <c r="GI17648" s="422"/>
    </row>
    <row r="17649" spans="191:191" x14ac:dyDescent="0.2">
      <c r="GI17649" s="422"/>
    </row>
    <row r="17650" spans="191:191" x14ac:dyDescent="0.2">
      <c r="GI17650" s="422"/>
    </row>
    <row r="17651" spans="191:191" x14ac:dyDescent="0.2">
      <c r="GI17651" s="422"/>
    </row>
    <row r="17652" spans="191:191" x14ac:dyDescent="0.2">
      <c r="GI17652" s="422"/>
    </row>
    <row r="17653" spans="191:191" x14ac:dyDescent="0.2">
      <c r="GI17653" s="422"/>
    </row>
    <row r="17654" spans="191:191" x14ac:dyDescent="0.2">
      <c r="GI17654" s="422"/>
    </row>
    <row r="17655" spans="191:191" x14ac:dyDescent="0.2">
      <c r="GI17655" s="422"/>
    </row>
    <row r="17656" spans="191:191" x14ac:dyDescent="0.2">
      <c r="GI17656" s="422"/>
    </row>
    <row r="17657" spans="191:191" x14ac:dyDescent="0.2">
      <c r="GI17657" s="422"/>
    </row>
    <row r="17658" spans="191:191" x14ac:dyDescent="0.2">
      <c r="GI17658" s="422"/>
    </row>
    <row r="17659" spans="191:191" x14ac:dyDescent="0.2">
      <c r="GI17659" s="422"/>
    </row>
    <row r="17660" spans="191:191" x14ac:dyDescent="0.2">
      <c r="GI17660" s="422"/>
    </row>
    <row r="17661" spans="191:191" x14ac:dyDescent="0.2">
      <c r="GI17661" s="422"/>
    </row>
    <row r="17662" spans="191:191" x14ac:dyDescent="0.2">
      <c r="GI17662" s="422"/>
    </row>
    <row r="17663" spans="191:191" x14ac:dyDescent="0.2">
      <c r="GI17663" s="422"/>
    </row>
    <row r="17664" spans="191:191" x14ac:dyDescent="0.2">
      <c r="GI17664" s="422"/>
    </row>
    <row r="17665" spans="191:191" x14ac:dyDescent="0.2">
      <c r="GI17665" s="422"/>
    </row>
    <row r="17666" spans="191:191" x14ac:dyDescent="0.2">
      <c r="GI17666" s="422"/>
    </row>
    <row r="17667" spans="191:191" x14ac:dyDescent="0.2">
      <c r="GI17667" s="422"/>
    </row>
    <row r="17668" spans="191:191" x14ac:dyDescent="0.2">
      <c r="GI17668" s="422"/>
    </row>
    <row r="17669" spans="191:191" x14ac:dyDescent="0.2">
      <c r="GI17669" s="422"/>
    </row>
    <row r="17670" spans="191:191" x14ac:dyDescent="0.2">
      <c r="GI17670" s="422"/>
    </row>
    <row r="17671" spans="191:191" x14ac:dyDescent="0.2">
      <c r="GI17671" s="422"/>
    </row>
    <row r="17672" spans="191:191" x14ac:dyDescent="0.2">
      <c r="GI17672" s="422"/>
    </row>
    <row r="17673" spans="191:191" x14ac:dyDescent="0.2">
      <c r="GI17673" s="422"/>
    </row>
    <row r="17674" spans="191:191" x14ac:dyDescent="0.2">
      <c r="GI17674" s="422"/>
    </row>
    <row r="17675" spans="191:191" x14ac:dyDescent="0.2">
      <c r="GI17675" s="422"/>
    </row>
    <row r="17676" spans="191:191" x14ac:dyDescent="0.2">
      <c r="GI17676" s="422"/>
    </row>
    <row r="17677" spans="191:191" x14ac:dyDescent="0.2">
      <c r="GI17677" s="422"/>
    </row>
    <row r="17678" spans="191:191" x14ac:dyDescent="0.2">
      <c r="GI17678" s="422"/>
    </row>
    <row r="17679" spans="191:191" x14ac:dyDescent="0.2">
      <c r="GI17679" s="422"/>
    </row>
    <row r="17680" spans="191:191" x14ac:dyDescent="0.2">
      <c r="GI17680" s="422"/>
    </row>
    <row r="17681" spans="191:191" x14ac:dyDescent="0.2">
      <c r="GI17681" s="422"/>
    </row>
    <row r="17682" spans="191:191" x14ac:dyDescent="0.2">
      <c r="GI17682" s="422"/>
    </row>
    <row r="17683" spans="191:191" x14ac:dyDescent="0.2">
      <c r="GI17683" s="422"/>
    </row>
    <row r="17684" spans="191:191" x14ac:dyDescent="0.2">
      <c r="GI17684" s="422"/>
    </row>
    <row r="17685" spans="191:191" x14ac:dyDescent="0.2">
      <c r="GI17685" s="422"/>
    </row>
    <row r="17686" spans="191:191" x14ac:dyDescent="0.2">
      <c r="GI17686" s="422"/>
    </row>
    <row r="17687" spans="191:191" x14ac:dyDescent="0.2">
      <c r="GI17687" s="422"/>
    </row>
    <row r="17688" spans="191:191" x14ac:dyDescent="0.2">
      <c r="GI17688" s="422"/>
    </row>
    <row r="17689" spans="191:191" x14ac:dyDescent="0.2">
      <c r="GI17689" s="422"/>
    </row>
    <row r="17690" spans="191:191" x14ac:dyDescent="0.2">
      <c r="GI17690" s="422"/>
    </row>
    <row r="17691" spans="191:191" x14ac:dyDescent="0.2">
      <c r="GI17691" s="422"/>
    </row>
    <row r="17692" spans="191:191" x14ac:dyDescent="0.2">
      <c r="GI17692" s="422"/>
    </row>
    <row r="17693" spans="191:191" x14ac:dyDescent="0.2">
      <c r="GI17693" s="422"/>
    </row>
    <row r="17694" spans="191:191" x14ac:dyDescent="0.2">
      <c r="GI17694" s="422"/>
    </row>
    <row r="17695" spans="191:191" x14ac:dyDescent="0.2">
      <c r="GI17695" s="422"/>
    </row>
    <row r="17696" spans="191:191" x14ac:dyDescent="0.2">
      <c r="GI17696" s="422"/>
    </row>
    <row r="17697" spans="191:191" x14ac:dyDescent="0.2">
      <c r="GI17697" s="422"/>
    </row>
    <row r="17698" spans="191:191" x14ac:dyDescent="0.2">
      <c r="GI17698" s="422"/>
    </row>
    <row r="17699" spans="191:191" x14ac:dyDescent="0.2">
      <c r="GI17699" s="422"/>
    </row>
    <row r="17700" spans="191:191" x14ac:dyDescent="0.2">
      <c r="GI17700" s="422"/>
    </row>
    <row r="17701" spans="191:191" x14ac:dyDescent="0.2">
      <c r="GI17701" s="422"/>
    </row>
    <row r="17702" spans="191:191" x14ac:dyDescent="0.2">
      <c r="GI17702" s="422"/>
    </row>
    <row r="17703" spans="191:191" x14ac:dyDescent="0.2">
      <c r="GI17703" s="422"/>
    </row>
    <row r="17704" spans="191:191" x14ac:dyDescent="0.2">
      <c r="GI17704" s="422"/>
    </row>
    <row r="17705" spans="191:191" x14ac:dyDescent="0.2">
      <c r="GI17705" s="422"/>
    </row>
    <row r="17706" spans="191:191" x14ac:dyDescent="0.2">
      <c r="GI17706" s="422"/>
    </row>
    <row r="17707" spans="191:191" x14ac:dyDescent="0.2">
      <c r="GI17707" s="422"/>
    </row>
    <row r="17708" spans="191:191" x14ac:dyDescent="0.2">
      <c r="GI17708" s="422"/>
    </row>
    <row r="17709" spans="191:191" x14ac:dyDescent="0.2">
      <c r="GI17709" s="422"/>
    </row>
    <row r="17710" spans="191:191" x14ac:dyDescent="0.2">
      <c r="GI17710" s="422"/>
    </row>
    <row r="17711" spans="191:191" x14ac:dyDescent="0.2">
      <c r="GI17711" s="422"/>
    </row>
    <row r="17712" spans="191:191" x14ac:dyDescent="0.2">
      <c r="GI17712" s="422"/>
    </row>
    <row r="17713" spans="191:191" x14ac:dyDescent="0.2">
      <c r="GI17713" s="422"/>
    </row>
    <row r="17714" spans="191:191" x14ac:dyDescent="0.2">
      <c r="GI17714" s="422"/>
    </row>
    <row r="17715" spans="191:191" x14ac:dyDescent="0.2">
      <c r="GI17715" s="422"/>
    </row>
    <row r="17716" spans="191:191" x14ac:dyDescent="0.2">
      <c r="GI17716" s="422"/>
    </row>
    <row r="17717" spans="191:191" x14ac:dyDescent="0.2">
      <c r="GI17717" s="422"/>
    </row>
    <row r="17718" spans="191:191" x14ac:dyDescent="0.2">
      <c r="GI17718" s="422"/>
    </row>
    <row r="17719" spans="191:191" x14ac:dyDescent="0.2">
      <c r="GI17719" s="422"/>
    </row>
    <row r="17720" spans="191:191" x14ac:dyDescent="0.2">
      <c r="GI17720" s="422"/>
    </row>
    <row r="17721" spans="191:191" x14ac:dyDescent="0.2">
      <c r="GI17721" s="422"/>
    </row>
    <row r="17722" spans="191:191" x14ac:dyDescent="0.2">
      <c r="GI17722" s="422"/>
    </row>
    <row r="17723" spans="191:191" x14ac:dyDescent="0.2">
      <c r="GI17723" s="422"/>
    </row>
    <row r="17724" spans="191:191" x14ac:dyDescent="0.2">
      <c r="GI17724" s="422"/>
    </row>
    <row r="17725" spans="191:191" x14ac:dyDescent="0.2">
      <c r="GI17725" s="422"/>
    </row>
    <row r="17726" spans="191:191" x14ac:dyDescent="0.2">
      <c r="GI17726" s="422"/>
    </row>
    <row r="17727" spans="191:191" x14ac:dyDescent="0.2">
      <c r="GI17727" s="422"/>
    </row>
    <row r="17728" spans="191:191" x14ac:dyDescent="0.2">
      <c r="GI17728" s="422"/>
    </row>
    <row r="17729" spans="191:191" x14ac:dyDescent="0.2">
      <c r="GI17729" s="422"/>
    </row>
    <row r="17730" spans="191:191" x14ac:dyDescent="0.2">
      <c r="GI17730" s="422"/>
    </row>
    <row r="17731" spans="191:191" x14ac:dyDescent="0.2">
      <c r="GI17731" s="422"/>
    </row>
    <row r="17732" spans="191:191" x14ac:dyDescent="0.2">
      <c r="GI17732" s="422"/>
    </row>
    <row r="17733" spans="191:191" x14ac:dyDescent="0.2">
      <c r="GI17733" s="422"/>
    </row>
    <row r="17734" spans="191:191" x14ac:dyDescent="0.2">
      <c r="GI17734" s="422"/>
    </row>
    <row r="17735" spans="191:191" x14ac:dyDescent="0.2">
      <c r="GI17735" s="422"/>
    </row>
    <row r="17736" spans="191:191" x14ac:dyDescent="0.2">
      <c r="GI17736" s="422"/>
    </row>
    <row r="17737" spans="191:191" x14ac:dyDescent="0.2">
      <c r="GI17737" s="422"/>
    </row>
    <row r="17738" spans="191:191" x14ac:dyDescent="0.2">
      <c r="GI17738" s="422"/>
    </row>
    <row r="17739" spans="191:191" x14ac:dyDescent="0.2">
      <c r="GI17739" s="422"/>
    </row>
    <row r="17740" spans="191:191" x14ac:dyDescent="0.2">
      <c r="GI17740" s="422"/>
    </row>
    <row r="17741" spans="191:191" x14ac:dyDescent="0.2">
      <c r="GI17741" s="422"/>
    </row>
    <row r="17742" spans="191:191" x14ac:dyDescent="0.2">
      <c r="GI17742" s="422"/>
    </row>
    <row r="17743" spans="191:191" x14ac:dyDescent="0.2">
      <c r="GI17743" s="422"/>
    </row>
    <row r="17744" spans="191:191" x14ac:dyDescent="0.2">
      <c r="GI17744" s="422"/>
    </row>
    <row r="17745" spans="191:191" x14ac:dyDescent="0.2">
      <c r="GI17745" s="422"/>
    </row>
    <row r="17746" spans="191:191" x14ac:dyDescent="0.2">
      <c r="GI17746" s="422"/>
    </row>
    <row r="17747" spans="191:191" x14ac:dyDescent="0.2">
      <c r="GI17747" s="422"/>
    </row>
    <row r="17748" spans="191:191" x14ac:dyDescent="0.2">
      <c r="GI17748" s="422"/>
    </row>
    <row r="17749" spans="191:191" x14ac:dyDescent="0.2">
      <c r="GI17749" s="422"/>
    </row>
    <row r="17750" spans="191:191" x14ac:dyDescent="0.2">
      <c r="GI17750" s="422"/>
    </row>
    <row r="17751" spans="191:191" x14ac:dyDescent="0.2">
      <c r="GI17751" s="422"/>
    </row>
    <row r="17752" spans="191:191" x14ac:dyDescent="0.2">
      <c r="GI17752" s="422"/>
    </row>
    <row r="17753" spans="191:191" x14ac:dyDescent="0.2">
      <c r="GI17753" s="422"/>
    </row>
    <row r="17754" spans="191:191" x14ac:dyDescent="0.2">
      <c r="GI17754" s="422"/>
    </row>
    <row r="17755" spans="191:191" x14ac:dyDescent="0.2">
      <c r="GI17755" s="422"/>
    </row>
    <row r="17756" spans="191:191" x14ac:dyDescent="0.2">
      <c r="GI17756" s="422"/>
    </row>
    <row r="17757" spans="191:191" x14ac:dyDescent="0.2">
      <c r="GI17757" s="422"/>
    </row>
    <row r="17758" spans="191:191" x14ac:dyDescent="0.2">
      <c r="GI17758" s="422"/>
    </row>
    <row r="17759" spans="191:191" x14ac:dyDescent="0.2">
      <c r="GI17759" s="422"/>
    </row>
    <row r="17760" spans="191:191" x14ac:dyDescent="0.2">
      <c r="GI17760" s="422"/>
    </row>
    <row r="17761" spans="191:191" x14ac:dyDescent="0.2">
      <c r="GI17761" s="422"/>
    </row>
    <row r="17762" spans="191:191" x14ac:dyDescent="0.2">
      <c r="GI17762" s="422"/>
    </row>
    <row r="17763" spans="191:191" x14ac:dyDescent="0.2">
      <c r="GI17763" s="422"/>
    </row>
    <row r="17764" spans="191:191" x14ac:dyDescent="0.2">
      <c r="GI17764" s="422"/>
    </row>
    <row r="17765" spans="191:191" x14ac:dyDescent="0.2">
      <c r="GI17765" s="422"/>
    </row>
    <row r="17766" spans="191:191" x14ac:dyDescent="0.2">
      <c r="GI17766" s="422"/>
    </row>
    <row r="17767" spans="191:191" x14ac:dyDescent="0.2">
      <c r="GI17767" s="422"/>
    </row>
    <row r="17768" spans="191:191" x14ac:dyDescent="0.2">
      <c r="GI17768" s="422"/>
    </row>
    <row r="17769" spans="191:191" x14ac:dyDescent="0.2">
      <c r="GI17769" s="422"/>
    </row>
    <row r="17770" spans="191:191" x14ac:dyDescent="0.2">
      <c r="GI17770" s="422"/>
    </row>
    <row r="17771" spans="191:191" x14ac:dyDescent="0.2">
      <c r="GI17771" s="422"/>
    </row>
    <row r="17772" spans="191:191" x14ac:dyDescent="0.2">
      <c r="GI17772" s="422"/>
    </row>
    <row r="17773" spans="191:191" x14ac:dyDescent="0.2">
      <c r="GI17773" s="422"/>
    </row>
    <row r="17774" spans="191:191" x14ac:dyDescent="0.2">
      <c r="GI17774" s="422"/>
    </row>
    <row r="17775" spans="191:191" x14ac:dyDescent="0.2">
      <c r="GI17775" s="422"/>
    </row>
    <row r="17776" spans="191:191" x14ac:dyDescent="0.2">
      <c r="GI17776" s="422"/>
    </row>
    <row r="17777" spans="191:191" x14ac:dyDescent="0.2">
      <c r="GI17777" s="422"/>
    </row>
    <row r="17778" spans="191:191" x14ac:dyDescent="0.2">
      <c r="GI17778" s="422"/>
    </row>
    <row r="17779" spans="191:191" x14ac:dyDescent="0.2">
      <c r="GI17779" s="422"/>
    </row>
    <row r="17780" spans="191:191" x14ac:dyDescent="0.2">
      <c r="GI17780" s="422"/>
    </row>
    <row r="17781" spans="191:191" x14ac:dyDescent="0.2">
      <c r="GI17781" s="422"/>
    </row>
    <row r="17782" spans="191:191" x14ac:dyDescent="0.2">
      <c r="GI17782" s="422"/>
    </row>
    <row r="17783" spans="191:191" x14ac:dyDescent="0.2">
      <c r="GI17783" s="422"/>
    </row>
    <row r="17784" spans="191:191" x14ac:dyDescent="0.2">
      <c r="GI17784" s="422"/>
    </row>
    <row r="17785" spans="191:191" x14ac:dyDescent="0.2">
      <c r="GI17785" s="422"/>
    </row>
    <row r="17786" spans="191:191" x14ac:dyDescent="0.2">
      <c r="GI17786" s="422"/>
    </row>
    <row r="17787" spans="191:191" x14ac:dyDescent="0.2">
      <c r="GI17787" s="422"/>
    </row>
    <row r="17788" spans="191:191" x14ac:dyDescent="0.2">
      <c r="GI17788" s="422"/>
    </row>
    <row r="17789" spans="191:191" x14ac:dyDescent="0.2">
      <c r="GI17789" s="422"/>
    </row>
    <row r="17790" spans="191:191" x14ac:dyDescent="0.2">
      <c r="GI17790" s="422"/>
    </row>
    <row r="17791" spans="191:191" x14ac:dyDescent="0.2">
      <c r="GI17791" s="422"/>
    </row>
    <row r="17792" spans="191:191" x14ac:dyDescent="0.2">
      <c r="GI17792" s="422"/>
    </row>
    <row r="17793" spans="191:191" x14ac:dyDescent="0.2">
      <c r="GI17793" s="422"/>
    </row>
    <row r="17794" spans="191:191" x14ac:dyDescent="0.2">
      <c r="GI17794" s="422"/>
    </row>
    <row r="17795" spans="191:191" x14ac:dyDescent="0.2">
      <c r="GI17795" s="422"/>
    </row>
    <row r="17796" spans="191:191" x14ac:dyDescent="0.2">
      <c r="GI17796" s="422"/>
    </row>
    <row r="17797" spans="191:191" x14ac:dyDescent="0.2">
      <c r="GI17797" s="422"/>
    </row>
    <row r="17798" spans="191:191" x14ac:dyDescent="0.2">
      <c r="GI17798" s="422"/>
    </row>
    <row r="17799" spans="191:191" x14ac:dyDescent="0.2">
      <c r="GI17799" s="422"/>
    </row>
    <row r="17800" spans="191:191" x14ac:dyDescent="0.2">
      <c r="GI17800" s="422"/>
    </row>
    <row r="17801" spans="191:191" x14ac:dyDescent="0.2">
      <c r="GI17801" s="422"/>
    </row>
    <row r="17802" spans="191:191" x14ac:dyDescent="0.2">
      <c r="GI17802" s="422"/>
    </row>
    <row r="17803" spans="191:191" x14ac:dyDescent="0.2">
      <c r="GI17803" s="422"/>
    </row>
    <row r="17804" spans="191:191" x14ac:dyDescent="0.2">
      <c r="GI17804" s="422"/>
    </row>
    <row r="17805" spans="191:191" x14ac:dyDescent="0.2">
      <c r="GI17805" s="422"/>
    </row>
    <row r="17806" spans="191:191" x14ac:dyDescent="0.2">
      <c r="GI17806" s="422"/>
    </row>
    <row r="17807" spans="191:191" x14ac:dyDescent="0.2">
      <c r="GI17807" s="422"/>
    </row>
    <row r="17808" spans="191:191" x14ac:dyDescent="0.2">
      <c r="GI17808" s="422"/>
    </row>
    <row r="17809" spans="191:191" x14ac:dyDescent="0.2">
      <c r="GI17809" s="422"/>
    </row>
    <row r="17810" spans="191:191" x14ac:dyDescent="0.2">
      <c r="GI17810" s="422"/>
    </row>
    <row r="17811" spans="191:191" x14ac:dyDescent="0.2">
      <c r="GI17811" s="422"/>
    </row>
    <row r="17812" spans="191:191" x14ac:dyDescent="0.2">
      <c r="GI17812" s="422"/>
    </row>
    <row r="17813" spans="191:191" x14ac:dyDescent="0.2">
      <c r="GI17813" s="422"/>
    </row>
    <row r="17814" spans="191:191" x14ac:dyDescent="0.2">
      <c r="GI17814" s="422"/>
    </row>
    <row r="17815" spans="191:191" x14ac:dyDescent="0.2">
      <c r="GI17815" s="422"/>
    </row>
    <row r="17816" spans="191:191" x14ac:dyDescent="0.2">
      <c r="GI17816" s="422"/>
    </row>
    <row r="17817" spans="191:191" x14ac:dyDescent="0.2">
      <c r="GI17817" s="422"/>
    </row>
    <row r="17818" spans="191:191" x14ac:dyDescent="0.2">
      <c r="GI17818" s="422"/>
    </row>
    <row r="17819" spans="191:191" x14ac:dyDescent="0.2">
      <c r="GI17819" s="422"/>
    </row>
    <row r="17820" spans="191:191" x14ac:dyDescent="0.2">
      <c r="GI17820" s="422"/>
    </row>
    <row r="17821" spans="191:191" x14ac:dyDescent="0.2">
      <c r="GI17821" s="422"/>
    </row>
    <row r="17822" spans="191:191" x14ac:dyDescent="0.2">
      <c r="GI17822" s="422"/>
    </row>
    <row r="17823" spans="191:191" x14ac:dyDescent="0.2">
      <c r="GI17823" s="422"/>
    </row>
    <row r="17824" spans="191:191" x14ac:dyDescent="0.2">
      <c r="GI17824" s="422"/>
    </row>
    <row r="17825" spans="191:191" x14ac:dyDescent="0.2">
      <c r="GI17825" s="422"/>
    </row>
    <row r="17826" spans="191:191" x14ac:dyDescent="0.2">
      <c r="GI17826" s="422"/>
    </row>
    <row r="17827" spans="191:191" x14ac:dyDescent="0.2">
      <c r="GI17827" s="422"/>
    </row>
    <row r="17828" spans="191:191" x14ac:dyDescent="0.2">
      <c r="GI17828" s="422"/>
    </row>
    <row r="17829" spans="191:191" x14ac:dyDescent="0.2">
      <c r="GI17829" s="422"/>
    </row>
    <row r="17830" spans="191:191" x14ac:dyDescent="0.2">
      <c r="GI17830" s="422"/>
    </row>
    <row r="17831" spans="191:191" x14ac:dyDescent="0.2">
      <c r="GI17831" s="422"/>
    </row>
    <row r="17832" spans="191:191" x14ac:dyDescent="0.2">
      <c r="GI17832" s="422"/>
    </row>
    <row r="17833" spans="191:191" x14ac:dyDescent="0.2">
      <c r="GI17833" s="422"/>
    </row>
    <row r="17834" spans="191:191" x14ac:dyDescent="0.2">
      <c r="GI17834" s="422"/>
    </row>
    <row r="17835" spans="191:191" x14ac:dyDescent="0.2">
      <c r="GI17835" s="422"/>
    </row>
    <row r="17836" spans="191:191" x14ac:dyDescent="0.2">
      <c r="GI17836" s="422"/>
    </row>
    <row r="17837" spans="191:191" x14ac:dyDescent="0.2">
      <c r="GI17837" s="422"/>
    </row>
    <row r="17838" spans="191:191" x14ac:dyDescent="0.2">
      <c r="GI17838" s="422"/>
    </row>
    <row r="17839" spans="191:191" x14ac:dyDescent="0.2">
      <c r="GI17839" s="422"/>
    </row>
    <row r="17840" spans="191:191" x14ac:dyDescent="0.2">
      <c r="GI17840" s="422"/>
    </row>
    <row r="17841" spans="191:191" x14ac:dyDescent="0.2">
      <c r="GI17841" s="422"/>
    </row>
    <row r="17842" spans="191:191" x14ac:dyDescent="0.2">
      <c r="GI17842" s="422"/>
    </row>
    <row r="17843" spans="191:191" x14ac:dyDescent="0.2">
      <c r="GI17843" s="422"/>
    </row>
    <row r="17844" spans="191:191" x14ac:dyDescent="0.2">
      <c r="GI17844" s="422"/>
    </row>
    <row r="17845" spans="191:191" x14ac:dyDescent="0.2">
      <c r="GI17845" s="422"/>
    </row>
    <row r="17846" spans="191:191" x14ac:dyDescent="0.2">
      <c r="GI17846" s="422"/>
    </row>
    <row r="17847" spans="191:191" x14ac:dyDescent="0.2">
      <c r="GI17847" s="422"/>
    </row>
    <row r="17848" spans="191:191" x14ac:dyDescent="0.2">
      <c r="GI17848" s="422"/>
    </row>
    <row r="17849" spans="191:191" x14ac:dyDescent="0.2">
      <c r="GI17849" s="422"/>
    </row>
    <row r="17850" spans="191:191" x14ac:dyDescent="0.2">
      <c r="GI17850" s="422"/>
    </row>
    <row r="17851" spans="191:191" x14ac:dyDescent="0.2">
      <c r="GI17851" s="422"/>
    </row>
    <row r="17852" spans="191:191" x14ac:dyDescent="0.2">
      <c r="GI17852" s="422"/>
    </row>
    <row r="17853" spans="191:191" x14ac:dyDescent="0.2">
      <c r="GI17853" s="422"/>
    </row>
    <row r="17854" spans="191:191" x14ac:dyDescent="0.2">
      <c r="GI17854" s="422"/>
    </row>
    <row r="17855" spans="191:191" x14ac:dyDescent="0.2">
      <c r="GI17855" s="422"/>
    </row>
    <row r="17856" spans="191:191" x14ac:dyDescent="0.2">
      <c r="GI17856" s="422"/>
    </row>
    <row r="17857" spans="191:191" x14ac:dyDescent="0.2">
      <c r="GI17857" s="422"/>
    </row>
    <row r="17858" spans="191:191" x14ac:dyDescent="0.2">
      <c r="GI17858" s="422"/>
    </row>
    <row r="17859" spans="191:191" x14ac:dyDescent="0.2">
      <c r="GI17859" s="422"/>
    </row>
    <row r="17860" spans="191:191" x14ac:dyDescent="0.2">
      <c r="GI17860" s="422"/>
    </row>
    <row r="17861" spans="191:191" x14ac:dyDescent="0.2">
      <c r="GI17861" s="422"/>
    </row>
    <row r="17862" spans="191:191" x14ac:dyDescent="0.2">
      <c r="GI17862" s="422"/>
    </row>
    <row r="17863" spans="191:191" x14ac:dyDescent="0.2">
      <c r="GI17863" s="422"/>
    </row>
    <row r="17864" spans="191:191" x14ac:dyDescent="0.2">
      <c r="GI17864" s="422"/>
    </row>
    <row r="17865" spans="191:191" x14ac:dyDescent="0.2">
      <c r="GI17865" s="422"/>
    </row>
    <row r="17866" spans="191:191" x14ac:dyDescent="0.2">
      <c r="GI17866" s="422"/>
    </row>
    <row r="17867" spans="191:191" x14ac:dyDescent="0.2">
      <c r="GI17867" s="422"/>
    </row>
    <row r="17868" spans="191:191" x14ac:dyDescent="0.2">
      <c r="GI17868" s="422"/>
    </row>
    <row r="17869" spans="191:191" x14ac:dyDescent="0.2">
      <c r="GI17869" s="422"/>
    </row>
    <row r="17870" spans="191:191" x14ac:dyDescent="0.2">
      <c r="GI17870" s="422"/>
    </row>
    <row r="17871" spans="191:191" x14ac:dyDescent="0.2">
      <c r="GI17871" s="422"/>
    </row>
    <row r="17872" spans="191:191" x14ac:dyDescent="0.2">
      <c r="GI17872" s="422"/>
    </row>
    <row r="17873" spans="191:191" x14ac:dyDescent="0.2">
      <c r="GI17873" s="422"/>
    </row>
    <row r="17874" spans="191:191" x14ac:dyDescent="0.2">
      <c r="GI17874" s="422"/>
    </row>
    <row r="17875" spans="191:191" x14ac:dyDescent="0.2">
      <c r="GI17875" s="422"/>
    </row>
    <row r="17876" spans="191:191" x14ac:dyDescent="0.2">
      <c r="GI17876" s="422"/>
    </row>
    <row r="17877" spans="191:191" x14ac:dyDescent="0.2">
      <c r="GI17877" s="422"/>
    </row>
    <row r="17878" spans="191:191" x14ac:dyDescent="0.2">
      <c r="GI17878" s="422"/>
    </row>
    <row r="17879" spans="191:191" x14ac:dyDescent="0.2">
      <c r="GI17879" s="422"/>
    </row>
    <row r="17880" spans="191:191" x14ac:dyDescent="0.2">
      <c r="GI17880" s="422"/>
    </row>
    <row r="17881" spans="191:191" x14ac:dyDescent="0.2">
      <c r="GI17881" s="422"/>
    </row>
    <row r="17882" spans="191:191" x14ac:dyDescent="0.2">
      <c r="GI17882" s="422"/>
    </row>
    <row r="17883" spans="191:191" x14ac:dyDescent="0.2">
      <c r="GI17883" s="422"/>
    </row>
    <row r="17884" spans="191:191" x14ac:dyDescent="0.2">
      <c r="GI17884" s="422"/>
    </row>
    <row r="17885" spans="191:191" x14ac:dyDescent="0.2">
      <c r="GI17885" s="422"/>
    </row>
    <row r="17886" spans="191:191" x14ac:dyDescent="0.2">
      <c r="GI17886" s="422"/>
    </row>
    <row r="17887" spans="191:191" x14ac:dyDescent="0.2">
      <c r="GI17887" s="422"/>
    </row>
    <row r="17888" spans="191:191" x14ac:dyDescent="0.2">
      <c r="GI17888" s="422"/>
    </row>
    <row r="17889" spans="191:191" x14ac:dyDescent="0.2">
      <c r="GI17889" s="422"/>
    </row>
    <row r="17890" spans="191:191" x14ac:dyDescent="0.2">
      <c r="GI17890" s="422"/>
    </row>
    <row r="17891" spans="191:191" x14ac:dyDescent="0.2">
      <c r="GI17891" s="422"/>
    </row>
    <row r="17892" spans="191:191" x14ac:dyDescent="0.2">
      <c r="GI17892" s="422"/>
    </row>
    <row r="17893" spans="191:191" x14ac:dyDescent="0.2">
      <c r="GI17893" s="422"/>
    </row>
    <row r="17894" spans="191:191" x14ac:dyDescent="0.2">
      <c r="GI17894" s="422"/>
    </row>
    <row r="17895" spans="191:191" x14ac:dyDescent="0.2">
      <c r="GI17895" s="422"/>
    </row>
    <row r="17896" spans="191:191" x14ac:dyDescent="0.2">
      <c r="GI17896" s="422"/>
    </row>
    <row r="17897" spans="191:191" x14ac:dyDescent="0.2">
      <c r="GI17897" s="422"/>
    </row>
    <row r="17898" spans="191:191" x14ac:dyDescent="0.2">
      <c r="GI17898" s="422"/>
    </row>
    <row r="17899" spans="191:191" x14ac:dyDescent="0.2">
      <c r="GI17899" s="422"/>
    </row>
    <row r="17900" spans="191:191" x14ac:dyDescent="0.2">
      <c r="GI17900" s="422"/>
    </row>
    <row r="17901" spans="191:191" x14ac:dyDescent="0.2">
      <c r="GI17901" s="422"/>
    </row>
    <row r="17902" spans="191:191" x14ac:dyDescent="0.2">
      <c r="GI17902" s="422"/>
    </row>
    <row r="17903" spans="191:191" x14ac:dyDescent="0.2">
      <c r="GI17903" s="422"/>
    </row>
    <row r="17904" spans="191:191" x14ac:dyDescent="0.2">
      <c r="GI17904" s="422"/>
    </row>
    <row r="17905" spans="191:191" x14ac:dyDescent="0.2">
      <c r="GI17905" s="422"/>
    </row>
    <row r="17906" spans="191:191" x14ac:dyDescent="0.2">
      <c r="GI17906" s="422"/>
    </row>
    <row r="17907" spans="191:191" x14ac:dyDescent="0.2">
      <c r="GI17907" s="422"/>
    </row>
    <row r="17908" spans="191:191" x14ac:dyDescent="0.2">
      <c r="GI17908" s="422"/>
    </row>
    <row r="17909" spans="191:191" x14ac:dyDescent="0.2">
      <c r="GI17909" s="422"/>
    </row>
    <row r="17910" spans="191:191" x14ac:dyDescent="0.2">
      <c r="GI17910" s="422"/>
    </row>
    <row r="17911" spans="191:191" x14ac:dyDescent="0.2">
      <c r="GI17911" s="422"/>
    </row>
    <row r="17912" spans="191:191" x14ac:dyDescent="0.2">
      <c r="GI17912" s="422"/>
    </row>
    <row r="17913" spans="191:191" x14ac:dyDescent="0.2">
      <c r="GI17913" s="422"/>
    </row>
    <row r="17914" spans="191:191" x14ac:dyDescent="0.2">
      <c r="GI17914" s="422"/>
    </row>
    <row r="17915" spans="191:191" x14ac:dyDescent="0.2">
      <c r="GI17915" s="422"/>
    </row>
    <row r="17916" spans="191:191" x14ac:dyDescent="0.2">
      <c r="GI17916" s="422"/>
    </row>
    <row r="17917" spans="191:191" x14ac:dyDescent="0.2">
      <c r="GI17917" s="422"/>
    </row>
    <row r="17918" spans="191:191" x14ac:dyDescent="0.2">
      <c r="GI17918" s="422"/>
    </row>
    <row r="17919" spans="191:191" x14ac:dyDescent="0.2">
      <c r="GI17919" s="422"/>
    </row>
    <row r="17920" spans="191:191" x14ac:dyDescent="0.2">
      <c r="GI17920" s="422"/>
    </row>
    <row r="17921" spans="191:191" x14ac:dyDescent="0.2">
      <c r="GI17921" s="422"/>
    </row>
    <row r="17922" spans="191:191" x14ac:dyDescent="0.2">
      <c r="GI17922" s="422"/>
    </row>
    <row r="17923" spans="191:191" x14ac:dyDescent="0.2">
      <c r="GI17923" s="422"/>
    </row>
    <row r="17924" spans="191:191" x14ac:dyDescent="0.2">
      <c r="GI17924" s="422"/>
    </row>
    <row r="17925" spans="191:191" x14ac:dyDescent="0.2">
      <c r="GI17925" s="422"/>
    </row>
    <row r="17926" spans="191:191" x14ac:dyDescent="0.2">
      <c r="GI17926" s="422"/>
    </row>
    <row r="17927" spans="191:191" x14ac:dyDescent="0.2">
      <c r="GI17927" s="422"/>
    </row>
    <row r="17928" spans="191:191" x14ac:dyDescent="0.2">
      <c r="GI17928" s="422"/>
    </row>
    <row r="17929" spans="191:191" x14ac:dyDescent="0.2">
      <c r="GI17929" s="422"/>
    </row>
    <row r="17930" spans="191:191" x14ac:dyDescent="0.2">
      <c r="GI17930" s="422"/>
    </row>
    <row r="17931" spans="191:191" x14ac:dyDescent="0.2">
      <c r="GI17931" s="422"/>
    </row>
    <row r="17932" spans="191:191" x14ac:dyDescent="0.2">
      <c r="GI17932" s="422"/>
    </row>
    <row r="17933" spans="191:191" x14ac:dyDescent="0.2">
      <c r="GI17933" s="422"/>
    </row>
    <row r="17934" spans="191:191" x14ac:dyDescent="0.2">
      <c r="GI17934" s="422"/>
    </row>
    <row r="17935" spans="191:191" x14ac:dyDescent="0.2">
      <c r="GI17935" s="422"/>
    </row>
    <row r="17936" spans="191:191" x14ac:dyDescent="0.2">
      <c r="GI17936" s="422"/>
    </row>
    <row r="17937" spans="191:191" x14ac:dyDescent="0.2">
      <c r="GI17937" s="422"/>
    </row>
    <row r="17938" spans="191:191" x14ac:dyDescent="0.2">
      <c r="GI17938" s="422"/>
    </row>
    <row r="17939" spans="191:191" x14ac:dyDescent="0.2">
      <c r="GI17939" s="422"/>
    </row>
    <row r="17940" spans="191:191" x14ac:dyDescent="0.2">
      <c r="GI17940" s="422"/>
    </row>
    <row r="17941" spans="191:191" x14ac:dyDescent="0.2">
      <c r="GI17941" s="422"/>
    </row>
    <row r="17942" spans="191:191" x14ac:dyDescent="0.2">
      <c r="GI17942" s="422"/>
    </row>
    <row r="17943" spans="191:191" x14ac:dyDescent="0.2">
      <c r="GI17943" s="422"/>
    </row>
    <row r="17944" spans="191:191" x14ac:dyDescent="0.2">
      <c r="GI17944" s="422"/>
    </row>
    <row r="17945" spans="191:191" x14ac:dyDescent="0.2">
      <c r="GI17945" s="422"/>
    </row>
    <row r="17946" spans="191:191" x14ac:dyDescent="0.2">
      <c r="GI17946" s="422"/>
    </row>
    <row r="17947" spans="191:191" x14ac:dyDescent="0.2">
      <c r="GI17947" s="422"/>
    </row>
    <row r="17948" spans="191:191" x14ac:dyDescent="0.2">
      <c r="GI17948" s="422"/>
    </row>
    <row r="17949" spans="191:191" x14ac:dyDescent="0.2">
      <c r="GI17949" s="422"/>
    </row>
    <row r="17950" spans="191:191" x14ac:dyDescent="0.2">
      <c r="GI17950" s="422"/>
    </row>
    <row r="17951" spans="191:191" x14ac:dyDescent="0.2">
      <c r="GI17951" s="422"/>
    </row>
    <row r="17952" spans="191:191" x14ac:dyDescent="0.2">
      <c r="GI17952" s="422"/>
    </row>
    <row r="17953" spans="191:191" x14ac:dyDescent="0.2">
      <c r="GI17953" s="422"/>
    </row>
    <row r="17954" spans="191:191" x14ac:dyDescent="0.2">
      <c r="GI17954" s="422"/>
    </row>
    <row r="17955" spans="191:191" x14ac:dyDescent="0.2">
      <c r="GI17955" s="422"/>
    </row>
    <row r="17956" spans="191:191" x14ac:dyDescent="0.2">
      <c r="GI17956" s="422"/>
    </row>
    <row r="17957" spans="191:191" x14ac:dyDescent="0.2">
      <c r="GI17957" s="422"/>
    </row>
    <row r="17958" spans="191:191" x14ac:dyDescent="0.2">
      <c r="GI17958" s="422"/>
    </row>
    <row r="17959" spans="191:191" x14ac:dyDescent="0.2">
      <c r="GI17959" s="422"/>
    </row>
    <row r="17960" spans="191:191" x14ac:dyDescent="0.2">
      <c r="GI17960" s="422"/>
    </row>
    <row r="17961" spans="191:191" x14ac:dyDescent="0.2">
      <c r="GI17961" s="422"/>
    </row>
    <row r="17962" spans="191:191" x14ac:dyDescent="0.2">
      <c r="GI17962" s="422"/>
    </row>
    <row r="17963" spans="191:191" x14ac:dyDescent="0.2">
      <c r="GI17963" s="422"/>
    </row>
    <row r="17964" spans="191:191" x14ac:dyDescent="0.2">
      <c r="GI17964" s="422"/>
    </row>
    <row r="17965" spans="191:191" x14ac:dyDescent="0.2">
      <c r="GI17965" s="422"/>
    </row>
    <row r="17966" spans="191:191" x14ac:dyDescent="0.2">
      <c r="GI17966" s="422"/>
    </row>
    <row r="17967" spans="191:191" x14ac:dyDescent="0.2">
      <c r="GI17967" s="422"/>
    </row>
    <row r="17968" spans="191:191" x14ac:dyDescent="0.2">
      <c r="GI17968" s="422"/>
    </row>
    <row r="17969" spans="191:191" x14ac:dyDescent="0.2">
      <c r="GI17969" s="422"/>
    </row>
    <row r="17970" spans="191:191" x14ac:dyDescent="0.2">
      <c r="GI17970" s="422"/>
    </row>
    <row r="17971" spans="191:191" x14ac:dyDescent="0.2">
      <c r="GI17971" s="422"/>
    </row>
    <row r="17972" spans="191:191" x14ac:dyDescent="0.2">
      <c r="GI17972" s="422"/>
    </row>
    <row r="17973" spans="191:191" x14ac:dyDescent="0.2">
      <c r="GI17973" s="422"/>
    </row>
    <row r="17974" spans="191:191" x14ac:dyDescent="0.2">
      <c r="GI17974" s="422"/>
    </row>
    <row r="17975" spans="191:191" x14ac:dyDescent="0.2">
      <c r="GI17975" s="422"/>
    </row>
    <row r="17976" spans="191:191" x14ac:dyDescent="0.2">
      <c r="GI17976" s="422"/>
    </row>
    <row r="17977" spans="191:191" x14ac:dyDescent="0.2">
      <c r="GI17977" s="422"/>
    </row>
    <row r="17978" spans="191:191" x14ac:dyDescent="0.2">
      <c r="GI17978" s="422"/>
    </row>
    <row r="17979" spans="191:191" x14ac:dyDescent="0.2">
      <c r="GI17979" s="422"/>
    </row>
    <row r="17980" spans="191:191" x14ac:dyDescent="0.2">
      <c r="GI17980" s="422"/>
    </row>
    <row r="17981" spans="191:191" x14ac:dyDescent="0.2">
      <c r="GI17981" s="422"/>
    </row>
    <row r="17982" spans="191:191" x14ac:dyDescent="0.2">
      <c r="GI17982" s="422"/>
    </row>
    <row r="17983" spans="191:191" x14ac:dyDescent="0.2">
      <c r="GI17983" s="422"/>
    </row>
    <row r="17984" spans="191:191" x14ac:dyDescent="0.2">
      <c r="GI17984" s="422"/>
    </row>
    <row r="17985" spans="191:191" x14ac:dyDescent="0.2">
      <c r="GI17985" s="422"/>
    </row>
    <row r="17986" spans="191:191" x14ac:dyDescent="0.2">
      <c r="GI17986" s="422"/>
    </row>
    <row r="17987" spans="191:191" x14ac:dyDescent="0.2">
      <c r="GI17987" s="422"/>
    </row>
    <row r="17988" spans="191:191" x14ac:dyDescent="0.2">
      <c r="GI17988" s="422"/>
    </row>
    <row r="17989" spans="191:191" x14ac:dyDescent="0.2">
      <c r="GI17989" s="422"/>
    </row>
    <row r="17990" spans="191:191" x14ac:dyDescent="0.2">
      <c r="GI17990" s="422"/>
    </row>
    <row r="17991" spans="191:191" x14ac:dyDescent="0.2">
      <c r="GI17991" s="422"/>
    </row>
    <row r="17992" spans="191:191" x14ac:dyDescent="0.2">
      <c r="GI17992" s="422"/>
    </row>
    <row r="17993" spans="191:191" x14ac:dyDescent="0.2">
      <c r="GI17993" s="422"/>
    </row>
    <row r="17994" spans="191:191" x14ac:dyDescent="0.2">
      <c r="GI17994" s="422"/>
    </row>
    <row r="17995" spans="191:191" x14ac:dyDescent="0.2">
      <c r="GI17995" s="422"/>
    </row>
    <row r="17996" spans="191:191" x14ac:dyDescent="0.2">
      <c r="GI17996" s="422"/>
    </row>
    <row r="17997" spans="191:191" x14ac:dyDescent="0.2">
      <c r="GI17997" s="422"/>
    </row>
    <row r="17998" spans="191:191" x14ac:dyDescent="0.2">
      <c r="GI17998" s="422"/>
    </row>
    <row r="17999" spans="191:191" x14ac:dyDescent="0.2">
      <c r="GI17999" s="422"/>
    </row>
    <row r="18000" spans="191:191" x14ac:dyDescent="0.2">
      <c r="GI18000" s="422"/>
    </row>
    <row r="18001" spans="191:191" x14ac:dyDescent="0.2">
      <c r="GI18001" s="422"/>
    </row>
    <row r="18002" spans="191:191" x14ac:dyDescent="0.2">
      <c r="GI18002" s="422"/>
    </row>
    <row r="18003" spans="191:191" x14ac:dyDescent="0.2">
      <c r="GI18003" s="422"/>
    </row>
    <row r="18004" spans="191:191" x14ac:dyDescent="0.2">
      <c r="GI18004" s="422"/>
    </row>
    <row r="18005" spans="191:191" x14ac:dyDescent="0.2">
      <c r="GI18005" s="422"/>
    </row>
    <row r="18006" spans="191:191" x14ac:dyDescent="0.2">
      <c r="GI18006" s="422"/>
    </row>
    <row r="18007" spans="191:191" x14ac:dyDescent="0.2">
      <c r="GI18007" s="422"/>
    </row>
    <row r="18008" spans="191:191" x14ac:dyDescent="0.2">
      <c r="GI18008" s="422"/>
    </row>
    <row r="18009" spans="191:191" x14ac:dyDescent="0.2">
      <c r="GI18009" s="422"/>
    </row>
    <row r="18010" spans="191:191" x14ac:dyDescent="0.2">
      <c r="GI18010" s="422"/>
    </row>
    <row r="18011" spans="191:191" x14ac:dyDescent="0.2">
      <c r="GI18011" s="422"/>
    </row>
    <row r="18012" spans="191:191" x14ac:dyDescent="0.2">
      <c r="GI18012" s="422"/>
    </row>
    <row r="18013" spans="191:191" x14ac:dyDescent="0.2">
      <c r="GI18013" s="422"/>
    </row>
    <row r="18014" spans="191:191" x14ac:dyDescent="0.2">
      <c r="GI18014" s="422"/>
    </row>
    <row r="18015" spans="191:191" x14ac:dyDescent="0.2">
      <c r="GI18015" s="422"/>
    </row>
    <row r="18016" spans="191:191" x14ac:dyDescent="0.2">
      <c r="GI18016" s="422"/>
    </row>
    <row r="18017" spans="191:191" x14ac:dyDescent="0.2">
      <c r="GI18017" s="422"/>
    </row>
    <row r="18018" spans="191:191" x14ac:dyDescent="0.2">
      <c r="GI18018" s="422"/>
    </row>
    <row r="18019" spans="191:191" x14ac:dyDescent="0.2">
      <c r="GI18019" s="422"/>
    </row>
    <row r="18020" spans="191:191" x14ac:dyDescent="0.2">
      <c r="GI18020" s="422"/>
    </row>
    <row r="18021" spans="191:191" x14ac:dyDescent="0.2">
      <c r="GI18021" s="422"/>
    </row>
    <row r="18022" spans="191:191" x14ac:dyDescent="0.2">
      <c r="GI18022" s="422"/>
    </row>
    <row r="18023" spans="191:191" x14ac:dyDescent="0.2">
      <c r="GI18023" s="422"/>
    </row>
    <row r="18024" spans="191:191" x14ac:dyDescent="0.2">
      <c r="GI18024" s="422"/>
    </row>
    <row r="18025" spans="191:191" x14ac:dyDescent="0.2">
      <c r="GI18025" s="422"/>
    </row>
    <row r="18026" spans="191:191" x14ac:dyDescent="0.2">
      <c r="GI18026" s="422"/>
    </row>
    <row r="18027" spans="191:191" x14ac:dyDescent="0.2">
      <c r="GI18027" s="422"/>
    </row>
    <row r="18028" spans="191:191" x14ac:dyDescent="0.2">
      <c r="GI18028" s="422"/>
    </row>
    <row r="18029" spans="191:191" x14ac:dyDescent="0.2">
      <c r="GI18029" s="422"/>
    </row>
    <row r="18030" spans="191:191" x14ac:dyDescent="0.2">
      <c r="GI18030" s="422"/>
    </row>
    <row r="18031" spans="191:191" x14ac:dyDescent="0.2">
      <c r="GI18031" s="422"/>
    </row>
    <row r="18032" spans="191:191" x14ac:dyDescent="0.2">
      <c r="GI18032" s="422"/>
    </row>
    <row r="18033" spans="191:191" x14ac:dyDescent="0.2">
      <c r="GI18033" s="422"/>
    </row>
    <row r="18034" spans="191:191" x14ac:dyDescent="0.2">
      <c r="GI18034" s="422"/>
    </row>
    <row r="18035" spans="191:191" x14ac:dyDescent="0.2">
      <c r="GI18035" s="422"/>
    </row>
    <row r="18036" spans="191:191" x14ac:dyDescent="0.2">
      <c r="GI18036" s="422"/>
    </row>
    <row r="18037" spans="191:191" x14ac:dyDescent="0.2">
      <c r="GI18037" s="422"/>
    </row>
    <row r="18038" spans="191:191" x14ac:dyDescent="0.2">
      <c r="GI18038" s="422"/>
    </row>
    <row r="18039" spans="191:191" x14ac:dyDescent="0.2">
      <c r="GI18039" s="422"/>
    </row>
    <row r="18040" spans="191:191" x14ac:dyDescent="0.2">
      <c r="GI18040" s="422"/>
    </row>
    <row r="18041" spans="191:191" x14ac:dyDescent="0.2">
      <c r="GI18041" s="422"/>
    </row>
    <row r="18042" spans="191:191" x14ac:dyDescent="0.2">
      <c r="GI18042" s="422"/>
    </row>
    <row r="18043" spans="191:191" x14ac:dyDescent="0.2">
      <c r="GI18043" s="422"/>
    </row>
    <row r="18044" spans="191:191" x14ac:dyDescent="0.2">
      <c r="GI18044" s="422"/>
    </row>
    <row r="18045" spans="191:191" x14ac:dyDescent="0.2">
      <c r="GI18045" s="422"/>
    </row>
    <row r="18046" spans="191:191" x14ac:dyDescent="0.2">
      <c r="GI18046" s="422"/>
    </row>
    <row r="18047" spans="191:191" x14ac:dyDescent="0.2">
      <c r="GI18047" s="422"/>
    </row>
    <row r="18048" spans="191:191" x14ac:dyDescent="0.2">
      <c r="GI18048" s="422"/>
    </row>
    <row r="18049" spans="191:191" x14ac:dyDescent="0.2">
      <c r="GI18049" s="422"/>
    </row>
    <row r="18050" spans="191:191" x14ac:dyDescent="0.2">
      <c r="GI18050" s="422"/>
    </row>
    <row r="18051" spans="191:191" x14ac:dyDescent="0.2">
      <c r="GI18051" s="422"/>
    </row>
    <row r="18052" spans="191:191" x14ac:dyDescent="0.2">
      <c r="GI18052" s="422"/>
    </row>
    <row r="18053" spans="191:191" x14ac:dyDescent="0.2">
      <c r="GI18053" s="422"/>
    </row>
    <row r="18054" spans="191:191" x14ac:dyDescent="0.2">
      <c r="GI18054" s="422"/>
    </row>
    <row r="18055" spans="191:191" x14ac:dyDescent="0.2">
      <c r="GI18055" s="422"/>
    </row>
    <row r="18056" spans="191:191" x14ac:dyDescent="0.2">
      <c r="GI18056" s="422"/>
    </row>
    <row r="18057" spans="191:191" x14ac:dyDescent="0.2">
      <c r="GI18057" s="422"/>
    </row>
    <row r="18058" spans="191:191" x14ac:dyDescent="0.2">
      <c r="GI18058" s="422"/>
    </row>
    <row r="18059" spans="191:191" x14ac:dyDescent="0.2">
      <c r="GI18059" s="422"/>
    </row>
    <row r="18060" spans="191:191" x14ac:dyDescent="0.2">
      <c r="GI18060" s="422"/>
    </row>
    <row r="18061" spans="191:191" x14ac:dyDescent="0.2">
      <c r="GI18061" s="422"/>
    </row>
    <row r="18062" spans="191:191" x14ac:dyDescent="0.2">
      <c r="GI18062" s="422"/>
    </row>
    <row r="18063" spans="191:191" x14ac:dyDescent="0.2">
      <c r="GI18063" s="422"/>
    </row>
    <row r="18064" spans="191:191" x14ac:dyDescent="0.2">
      <c r="GI18064" s="422"/>
    </row>
    <row r="18065" spans="191:191" x14ac:dyDescent="0.2">
      <c r="GI18065" s="422"/>
    </row>
    <row r="18066" spans="191:191" x14ac:dyDescent="0.2">
      <c r="GI18066" s="422"/>
    </row>
    <row r="18067" spans="191:191" x14ac:dyDescent="0.2">
      <c r="GI18067" s="422"/>
    </row>
    <row r="18068" spans="191:191" x14ac:dyDescent="0.2">
      <c r="GI18068" s="422"/>
    </row>
    <row r="18069" spans="191:191" x14ac:dyDescent="0.2">
      <c r="GI18069" s="422"/>
    </row>
    <row r="18070" spans="191:191" x14ac:dyDescent="0.2">
      <c r="GI18070" s="422"/>
    </row>
    <row r="18071" spans="191:191" x14ac:dyDescent="0.2">
      <c r="GI18071" s="422"/>
    </row>
    <row r="18072" spans="191:191" x14ac:dyDescent="0.2">
      <c r="GI18072" s="422"/>
    </row>
    <row r="18073" spans="191:191" x14ac:dyDescent="0.2">
      <c r="GI18073" s="422"/>
    </row>
    <row r="18074" spans="191:191" x14ac:dyDescent="0.2">
      <c r="GI18074" s="422"/>
    </row>
    <row r="18075" spans="191:191" x14ac:dyDescent="0.2">
      <c r="GI18075" s="422"/>
    </row>
    <row r="18076" spans="191:191" x14ac:dyDescent="0.2">
      <c r="GI18076" s="422"/>
    </row>
    <row r="18077" spans="191:191" x14ac:dyDescent="0.2">
      <c r="GI18077" s="422"/>
    </row>
    <row r="18078" spans="191:191" x14ac:dyDescent="0.2">
      <c r="GI18078" s="422"/>
    </row>
    <row r="18079" spans="191:191" x14ac:dyDescent="0.2">
      <c r="GI18079" s="422"/>
    </row>
    <row r="18080" spans="191:191" x14ac:dyDescent="0.2">
      <c r="GI18080" s="422"/>
    </row>
    <row r="18081" spans="191:191" x14ac:dyDescent="0.2">
      <c r="GI18081" s="422"/>
    </row>
    <row r="18082" spans="191:191" x14ac:dyDescent="0.2">
      <c r="GI18082" s="422"/>
    </row>
    <row r="18083" spans="191:191" x14ac:dyDescent="0.2">
      <c r="GI18083" s="422"/>
    </row>
    <row r="18084" spans="191:191" x14ac:dyDescent="0.2">
      <c r="GI18084" s="422"/>
    </row>
    <row r="18085" spans="191:191" x14ac:dyDescent="0.2">
      <c r="GI18085" s="422"/>
    </row>
    <row r="18086" spans="191:191" x14ac:dyDescent="0.2">
      <c r="GI18086" s="422"/>
    </row>
    <row r="18087" spans="191:191" x14ac:dyDescent="0.2">
      <c r="GI18087" s="422"/>
    </row>
    <row r="18088" spans="191:191" x14ac:dyDescent="0.2">
      <c r="GI18088" s="422"/>
    </row>
    <row r="18089" spans="191:191" x14ac:dyDescent="0.2">
      <c r="GI18089" s="422"/>
    </row>
    <row r="18090" spans="191:191" x14ac:dyDescent="0.2">
      <c r="GI18090" s="422"/>
    </row>
    <row r="18091" spans="191:191" x14ac:dyDescent="0.2">
      <c r="GI18091" s="422"/>
    </row>
    <row r="18092" spans="191:191" x14ac:dyDescent="0.2">
      <c r="GI18092" s="422"/>
    </row>
    <row r="18093" spans="191:191" x14ac:dyDescent="0.2">
      <c r="GI18093" s="422"/>
    </row>
    <row r="18094" spans="191:191" x14ac:dyDescent="0.2">
      <c r="GI18094" s="422"/>
    </row>
    <row r="18095" spans="191:191" x14ac:dyDescent="0.2">
      <c r="GI18095" s="422"/>
    </row>
    <row r="18096" spans="191:191" x14ac:dyDescent="0.2">
      <c r="GI18096" s="422"/>
    </row>
    <row r="18097" spans="191:191" x14ac:dyDescent="0.2">
      <c r="GI18097" s="422"/>
    </row>
    <row r="18098" spans="191:191" x14ac:dyDescent="0.2">
      <c r="GI18098" s="422"/>
    </row>
    <row r="18099" spans="191:191" x14ac:dyDescent="0.2">
      <c r="GI18099" s="422"/>
    </row>
    <row r="18100" spans="191:191" x14ac:dyDescent="0.2">
      <c r="GI18100" s="422"/>
    </row>
    <row r="18101" spans="191:191" x14ac:dyDescent="0.2">
      <c r="GI18101" s="422"/>
    </row>
    <row r="18102" spans="191:191" x14ac:dyDescent="0.2">
      <c r="GI18102" s="422"/>
    </row>
    <row r="18103" spans="191:191" x14ac:dyDescent="0.2">
      <c r="GI18103" s="422"/>
    </row>
    <row r="18104" spans="191:191" x14ac:dyDescent="0.2">
      <c r="GI18104" s="422"/>
    </row>
    <row r="18105" spans="191:191" x14ac:dyDescent="0.2">
      <c r="GI18105" s="422"/>
    </row>
    <row r="18106" spans="191:191" x14ac:dyDescent="0.2">
      <c r="GI18106" s="422"/>
    </row>
    <row r="18107" spans="191:191" x14ac:dyDescent="0.2">
      <c r="GI18107" s="422"/>
    </row>
    <row r="18108" spans="191:191" x14ac:dyDescent="0.2">
      <c r="GI18108" s="422"/>
    </row>
    <row r="18109" spans="191:191" x14ac:dyDescent="0.2">
      <c r="GI18109" s="422"/>
    </row>
    <row r="18110" spans="191:191" x14ac:dyDescent="0.2">
      <c r="GI18110" s="422"/>
    </row>
    <row r="18111" spans="191:191" x14ac:dyDescent="0.2">
      <c r="GI18111" s="422"/>
    </row>
    <row r="18112" spans="191:191" x14ac:dyDescent="0.2">
      <c r="GI18112" s="422"/>
    </row>
    <row r="18113" spans="191:191" x14ac:dyDescent="0.2">
      <c r="GI18113" s="422"/>
    </row>
    <row r="18114" spans="191:191" x14ac:dyDescent="0.2">
      <c r="GI18114" s="422"/>
    </row>
    <row r="18115" spans="191:191" x14ac:dyDescent="0.2">
      <c r="GI18115" s="422"/>
    </row>
    <row r="18116" spans="191:191" x14ac:dyDescent="0.2">
      <c r="GI18116" s="422"/>
    </row>
    <row r="18117" spans="191:191" x14ac:dyDescent="0.2">
      <c r="GI18117" s="422"/>
    </row>
    <row r="18118" spans="191:191" x14ac:dyDescent="0.2">
      <c r="GI18118" s="422"/>
    </row>
    <row r="18119" spans="191:191" x14ac:dyDescent="0.2">
      <c r="GI18119" s="422"/>
    </row>
    <row r="18120" spans="191:191" x14ac:dyDescent="0.2">
      <c r="GI18120" s="422"/>
    </row>
    <row r="18121" spans="191:191" x14ac:dyDescent="0.2">
      <c r="GI18121" s="422"/>
    </row>
    <row r="18122" spans="191:191" x14ac:dyDescent="0.2">
      <c r="GI18122" s="422"/>
    </row>
    <row r="18123" spans="191:191" x14ac:dyDescent="0.2">
      <c r="GI18123" s="422"/>
    </row>
    <row r="18124" spans="191:191" x14ac:dyDescent="0.2">
      <c r="GI18124" s="422"/>
    </row>
    <row r="18125" spans="191:191" x14ac:dyDescent="0.2">
      <c r="GI18125" s="422"/>
    </row>
    <row r="18126" spans="191:191" x14ac:dyDescent="0.2">
      <c r="GI18126" s="422"/>
    </row>
    <row r="18127" spans="191:191" x14ac:dyDescent="0.2">
      <c r="GI18127" s="422"/>
    </row>
    <row r="18128" spans="191:191" x14ac:dyDescent="0.2">
      <c r="GI18128" s="422"/>
    </row>
    <row r="18129" spans="191:191" x14ac:dyDescent="0.2">
      <c r="GI18129" s="422"/>
    </row>
    <row r="18130" spans="191:191" x14ac:dyDescent="0.2">
      <c r="GI18130" s="422"/>
    </row>
    <row r="18131" spans="191:191" x14ac:dyDescent="0.2">
      <c r="GI18131" s="422"/>
    </row>
    <row r="18132" spans="191:191" x14ac:dyDescent="0.2">
      <c r="GI18132" s="422"/>
    </row>
    <row r="18133" spans="191:191" x14ac:dyDescent="0.2">
      <c r="GI18133" s="422"/>
    </row>
    <row r="18134" spans="191:191" x14ac:dyDescent="0.2">
      <c r="GI18134" s="422"/>
    </row>
    <row r="18135" spans="191:191" x14ac:dyDescent="0.2">
      <c r="GI18135" s="422"/>
    </row>
    <row r="18136" spans="191:191" x14ac:dyDescent="0.2">
      <c r="GI18136" s="422"/>
    </row>
    <row r="18137" spans="191:191" x14ac:dyDescent="0.2">
      <c r="GI18137" s="422"/>
    </row>
    <row r="18138" spans="191:191" x14ac:dyDescent="0.2">
      <c r="GI18138" s="422"/>
    </row>
    <row r="18139" spans="191:191" x14ac:dyDescent="0.2">
      <c r="GI18139" s="422"/>
    </row>
    <row r="18140" spans="191:191" x14ac:dyDescent="0.2">
      <c r="GI18140" s="422"/>
    </row>
    <row r="18141" spans="191:191" x14ac:dyDescent="0.2">
      <c r="GI18141" s="422"/>
    </row>
    <row r="18142" spans="191:191" x14ac:dyDescent="0.2">
      <c r="GI18142" s="422"/>
    </row>
    <row r="18143" spans="191:191" x14ac:dyDescent="0.2">
      <c r="GI18143" s="422"/>
    </row>
    <row r="18144" spans="191:191" x14ac:dyDescent="0.2">
      <c r="GI18144" s="422"/>
    </row>
    <row r="18145" spans="191:191" x14ac:dyDescent="0.2">
      <c r="GI18145" s="422"/>
    </row>
    <row r="18146" spans="191:191" x14ac:dyDescent="0.2">
      <c r="GI18146" s="422"/>
    </row>
    <row r="18147" spans="191:191" x14ac:dyDescent="0.2">
      <c r="GI18147" s="422"/>
    </row>
    <row r="18148" spans="191:191" x14ac:dyDescent="0.2">
      <c r="GI18148" s="422"/>
    </row>
    <row r="18149" spans="191:191" x14ac:dyDescent="0.2">
      <c r="GI18149" s="422"/>
    </row>
    <row r="18150" spans="191:191" x14ac:dyDescent="0.2">
      <c r="GI18150" s="422"/>
    </row>
    <row r="18151" spans="191:191" x14ac:dyDescent="0.2">
      <c r="GI18151" s="422"/>
    </row>
    <row r="18152" spans="191:191" x14ac:dyDescent="0.2">
      <c r="GI18152" s="422"/>
    </row>
    <row r="18153" spans="191:191" x14ac:dyDescent="0.2">
      <c r="GI18153" s="422"/>
    </row>
    <row r="18154" spans="191:191" x14ac:dyDescent="0.2">
      <c r="GI18154" s="422"/>
    </row>
    <row r="18155" spans="191:191" x14ac:dyDescent="0.2">
      <c r="GI18155" s="422"/>
    </row>
    <row r="18156" spans="191:191" x14ac:dyDescent="0.2">
      <c r="GI18156" s="422"/>
    </row>
    <row r="18157" spans="191:191" x14ac:dyDescent="0.2">
      <c r="GI18157" s="422"/>
    </row>
    <row r="18158" spans="191:191" x14ac:dyDescent="0.2">
      <c r="GI18158" s="422"/>
    </row>
    <row r="18159" spans="191:191" x14ac:dyDescent="0.2">
      <c r="GI18159" s="422"/>
    </row>
    <row r="18160" spans="191:191" x14ac:dyDescent="0.2">
      <c r="GI18160" s="422"/>
    </row>
    <row r="18161" spans="191:191" x14ac:dyDescent="0.2">
      <c r="GI18161" s="422"/>
    </row>
    <row r="18162" spans="191:191" x14ac:dyDescent="0.2">
      <c r="GI18162" s="422"/>
    </row>
    <row r="18163" spans="191:191" x14ac:dyDescent="0.2">
      <c r="GI18163" s="422"/>
    </row>
    <row r="18164" spans="191:191" x14ac:dyDescent="0.2">
      <c r="GI18164" s="422"/>
    </row>
    <row r="18165" spans="191:191" x14ac:dyDescent="0.2">
      <c r="GI18165" s="422"/>
    </row>
    <row r="18166" spans="191:191" x14ac:dyDescent="0.2">
      <c r="GI18166" s="422"/>
    </row>
    <row r="18167" spans="191:191" x14ac:dyDescent="0.2">
      <c r="GI18167" s="422"/>
    </row>
    <row r="18168" spans="191:191" x14ac:dyDescent="0.2">
      <c r="GI18168" s="422"/>
    </row>
    <row r="18169" spans="191:191" x14ac:dyDescent="0.2">
      <c r="GI18169" s="422"/>
    </row>
    <row r="18170" spans="191:191" x14ac:dyDescent="0.2">
      <c r="GI18170" s="422"/>
    </row>
    <row r="18171" spans="191:191" x14ac:dyDescent="0.2">
      <c r="GI18171" s="422"/>
    </row>
    <row r="18172" spans="191:191" x14ac:dyDescent="0.2">
      <c r="GI18172" s="422"/>
    </row>
    <row r="18173" spans="191:191" x14ac:dyDescent="0.2">
      <c r="GI18173" s="422"/>
    </row>
    <row r="18174" spans="191:191" x14ac:dyDescent="0.2">
      <c r="GI18174" s="422"/>
    </row>
    <row r="18175" spans="191:191" x14ac:dyDescent="0.2">
      <c r="GI18175" s="422"/>
    </row>
    <row r="18176" spans="191:191" x14ac:dyDescent="0.2">
      <c r="GI18176" s="422"/>
    </row>
    <row r="18177" spans="191:191" x14ac:dyDescent="0.2">
      <c r="GI18177" s="422"/>
    </row>
    <row r="18178" spans="191:191" x14ac:dyDescent="0.2">
      <c r="GI18178" s="422"/>
    </row>
    <row r="18179" spans="191:191" x14ac:dyDescent="0.2">
      <c r="GI18179" s="422"/>
    </row>
    <row r="18180" spans="191:191" x14ac:dyDescent="0.2">
      <c r="GI18180" s="422"/>
    </row>
    <row r="18181" spans="191:191" x14ac:dyDescent="0.2">
      <c r="GI18181" s="422"/>
    </row>
    <row r="18182" spans="191:191" x14ac:dyDescent="0.2">
      <c r="GI18182" s="422"/>
    </row>
    <row r="18183" spans="191:191" x14ac:dyDescent="0.2">
      <c r="GI18183" s="422"/>
    </row>
    <row r="18184" spans="191:191" x14ac:dyDescent="0.2">
      <c r="GI18184" s="422"/>
    </row>
    <row r="18185" spans="191:191" x14ac:dyDescent="0.2">
      <c r="GI18185" s="422"/>
    </row>
    <row r="18186" spans="191:191" x14ac:dyDescent="0.2">
      <c r="GI18186" s="422"/>
    </row>
    <row r="18187" spans="191:191" x14ac:dyDescent="0.2">
      <c r="GI18187" s="422"/>
    </row>
    <row r="18188" spans="191:191" x14ac:dyDescent="0.2">
      <c r="GI18188" s="422"/>
    </row>
    <row r="18189" spans="191:191" x14ac:dyDescent="0.2">
      <c r="GI18189" s="422"/>
    </row>
    <row r="18190" spans="191:191" x14ac:dyDescent="0.2">
      <c r="GI18190" s="422"/>
    </row>
    <row r="18191" spans="191:191" x14ac:dyDescent="0.2">
      <c r="GI18191" s="422"/>
    </row>
    <row r="18192" spans="191:191" x14ac:dyDescent="0.2">
      <c r="GI18192" s="422"/>
    </row>
    <row r="18193" spans="191:191" x14ac:dyDescent="0.2">
      <c r="GI18193" s="422"/>
    </row>
    <row r="18194" spans="191:191" x14ac:dyDescent="0.2">
      <c r="GI18194" s="422"/>
    </row>
    <row r="18195" spans="191:191" x14ac:dyDescent="0.2">
      <c r="GI18195" s="422"/>
    </row>
    <row r="18196" spans="191:191" x14ac:dyDescent="0.2">
      <c r="GI18196" s="422"/>
    </row>
    <row r="18197" spans="191:191" x14ac:dyDescent="0.2">
      <c r="GI18197" s="422"/>
    </row>
    <row r="18198" spans="191:191" x14ac:dyDescent="0.2">
      <c r="GI18198" s="422"/>
    </row>
    <row r="18199" spans="191:191" x14ac:dyDescent="0.2">
      <c r="GI18199" s="422"/>
    </row>
    <row r="18200" spans="191:191" x14ac:dyDescent="0.2">
      <c r="GI18200" s="422"/>
    </row>
    <row r="18201" spans="191:191" x14ac:dyDescent="0.2">
      <c r="GI18201" s="422"/>
    </row>
    <row r="18202" spans="191:191" x14ac:dyDescent="0.2">
      <c r="GI18202" s="422"/>
    </row>
    <row r="18203" spans="191:191" x14ac:dyDescent="0.2">
      <c r="GI18203" s="422"/>
    </row>
    <row r="18204" spans="191:191" x14ac:dyDescent="0.2">
      <c r="GI18204" s="422"/>
    </row>
    <row r="18205" spans="191:191" x14ac:dyDescent="0.2">
      <c r="GI18205" s="422"/>
    </row>
    <row r="18206" spans="191:191" x14ac:dyDescent="0.2">
      <c r="GI18206" s="422"/>
    </row>
    <row r="18207" spans="191:191" x14ac:dyDescent="0.2">
      <c r="GI18207" s="422"/>
    </row>
    <row r="18208" spans="191:191" x14ac:dyDescent="0.2">
      <c r="GI18208" s="422"/>
    </row>
    <row r="18209" spans="191:191" x14ac:dyDescent="0.2">
      <c r="GI18209" s="422"/>
    </row>
    <row r="18210" spans="191:191" x14ac:dyDescent="0.2">
      <c r="GI18210" s="422"/>
    </row>
    <row r="18211" spans="191:191" x14ac:dyDescent="0.2">
      <c r="GI18211" s="422"/>
    </row>
    <row r="18212" spans="191:191" x14ac:dyDescent="0.2">
      <c r="GI18212" s="422"/>
    </row>
    <row r="18213" spans="191:191" x14ac:dyDescent="0.2">
      <c r="GI18213" s="422"/>
    </row>
    <row r="18214" spans="191:191" x14ac:dyDescent="0.2">
      <c r="GI18214" s="422"/>
    </row>
    <row r="18215" spans="191:191" x14ac:dyDescent="0.2">
      <c r="GI18215" s="422"/>
    </row>
    <row r="18216" spans="191:191" x14ac:dyDescent="0.2">
      <c r="GI18216" s="422"/>
    </row>
    <row r="18217" spans="191:191" x14ac:dyDescent="0.2">
      <c r="GI18217" s="422"/>
    </row>
    <row r="18218" spans="191:191" x14ac:dyDescent="0.2">
      <c r="GI18218" s="422"/>
    </row>
    <row r="18219" spans="191:191" x14ac:dyDescent="0.2">
      <c r="GI18219" s="422"/>
    </row>
    <row r="18220" spans="191:191" x14ac:dyDescent="0.2">
      <c r="GI18220" s="422"/>
    </row>
    <row r="18221" spans="191:191" x14ac:dyDescent="0.2">
      <c r="GI18221" s="422"/>
    </row>
    <row r="18222" spans="191:191" x14ac:dyDescent="0.2">
      <c r="GI18222" s="422"/>
    </row>
    <row r="18223" spans="191:191" x14ac:dyDescent="0.2">
      <c r="GI18223" s="422"/>
    </row>
    <row r="18224" spans="191:191" x14ac:dyDescent="0.2">
      <c r="GI18224" s="422"/>
    </row>
    <row r="18225" spans="191:191" x14ac:dyDescent="0.2">
      <c r="GI18225" s="422"/>
    </row>
    <row r="18226" spans="191:191" x14ac:dyDescent="0.2">
      <c r="GI18226" s="422"/>
    </row>
    <row r="18227" spans="191:191" x14ac:dyDescent="0.2">
      <c r="GI18227" s="422"/>
    </row>
    <row r="18228" spans="191:191" x14ac:dyDescent="0.2">
      <c r="GI18228" s="422"/>
    </row>
    <row r="18229" spans="191:191" x14ac:dyDescent="0.2">
      <c r="GI18229" s="422"/>
    </row>
    <row r="18230" spans="191:191" x14ac:dyDescent="0.2">
      <c r="GI18230" s="422"/>
    </row>
    <row r="18231" spans="191:191" x14ac:dyDescent="0.2">
      <c r="GI18231" s="422"/>
    </row>
    <row r="18232" spans="191:191" x14ac:dyDescent="0.2">
      <c r="GI18232" s="422"/>
    </row>
    <row r="18233" spans="191:191" x14ac:dyDescent="0.2">
      <c r="GI18233" s="422"/>
    </row>
    <row r="18234" spans="191:191" x14ac:dyDescent="0.2">
      <c r="GI18234" s="422"/>
    </row>
    <row r="18235" spans="191:191" x14ac:dyDescent="0.2">
      <c r="GI18235" s="422"/>
    </row>
    <row r="18236" spans="191:191" x14ac:dyDescent="0.2">
      <c r="GI18236" s="422"/>
    </row>
    <row r="18237" spans="191:191" x14ac:dyDescent="0.2">
      <c r="GI18237" s="422"/>
    </row>
    <row r="18238" spans="191:191" x14ac:dyDescent="0.2">
      <c r="GI18238" s="422"/>
    </row>
    <row r="18239" spans="191:191" x14ac:dyDescent="0.2">
      <c r="GI18239" s="422"/>
    </row>
    <row r="18240" spans="191:191" x14ac:dyDescent="0.2">
      <c r="GI18240" s="422"/>
    </row>
    <row r="18241" spans="191:191" x14ac:dyDescent="0.2">
      <c r="GI18241" s="422"/>
    </row>
    <row r="18242" spans="191:191" x14ac:dyDescent="0.2">
      <c r="GI18242" s="422"/>
    </row>
    <row r="18243" spans="191:191" x14ac:dyDescent="0.2">
      <c r="GI18243" s="422"/>
    </row>
    <row r="18244" spans="191:191" x14ac:dyDescent="0.2">
      <c r="GI18244" s="422"/>
    </row>
    <row r="18245" spans="191:191" x14ac:dyDescent="0.2">
      <c r="GI18245" s="422"/>
    </row>
    <row r="18246" spans="191:191" x14ac:dyDescent="0.2">
      <c r="GI18246" s="422"/>
    </row>
    <row r="18247" spans="191:191" x14ac:dyDescent="0.2">
      <c r="GI18247" s="422"/>
    </row>
    <row r="18248" spans="191:191" x14ac:dyDescent="0.2">
      <c r="GI18248" s="422"/>
    </row>
    <row r="18249" spans="191:191" x14ac:dyDescent="0.2">
      <c r="GI18249" s="422"/>
    </row>
    <row r="18250" spans="191:191" x14ac:dyDescent="0.2">
      <c r="GI18250" s="422"/>
    </row>
    <row r="18251" spans="191:191" x14ac:dyDescent="0.2">
      <c r="GI18251" s="422"/>
    </row>
    <row r="18252" spans="191:191" x14ac:dyDescent="0.2">
      <c r="GI18252" s="422"/>
    </row>
    <row r="18253" spans="191:191" x14ac:dyDescent="0.2">
      <c r="GI18253" s="422"/>
    </row>
    <row r="18254" spans="191:191" x14ac:dyDescent="0.2">
      <c r="GI18254" s="422"/>
    </row>
    <row r="18255" spans="191:191" x14ac:dyDescent="0.2">
      <c r="GI18255" s="422"/>
    </row>
    <row r="18256" spans="191:191" x14ac:dyDescent="0.2">
      <c r="GI18256" s="422"/>
    </row>
    <row r="18257" spans="191:191" x14ac:dyDescent="0.2">
      <c r="GI18257" s="422"/>
    </row>
    <row r="18258" spans="191:191" x14ac:dyDescent="0.2">
      <c r="GI18258" s="422"/>
    </row>
    <row r="18259" spans="191:191" x14ac:dyDescent="0.2">
      <c r="GI18259" s="422"/>
    </row>
    <row r="18260" spans="191:191" x14ac:dyDescent="0.2">
      <c r="GI18260" s="422"/>
    </row>
    <row r="18261" spans="191:191" x14ac:dyDescent="0.2">
      <c r="GI18261" s="422"/>
    </row>
    <row r="18262" spans="191:191" x14ac:dyDescent="0.2">
      <c r="GI18262" s="422"/>
    </row>
    <row r="18263" spans="191:191" x14ac:dyDescent="0.2">
      <c r="GI18263" s="422"/>
    </row>
    <row r="18264" spans="191:191" x14ac:dyDescent="0.2">
      <c r="GI18264" s="422"/>
    </row>
    <row r="18265" spans="191:191" x14ac:dyDescent="0.2">
      <c r="GI18265" s="422"/>
    </row>
    <row r="18266" spans="191:191" x14ac:dyDescent="0.2">
      <c r="GI18266" s="422"/>
    </row>
    <row r="18267" spans="191:191" x14ac:dyDescent="0.2">
      <c r="GI18267" s="422"/>
    </row>
    <row r="18268" spans="191:191" x14ac:dyDescent="0.2">
      <c r="GI18268" s="422"/>
    </row>
    <row r="18269" spans="191:191" x14ac:dyDescent="0.2">
      <c r="GI18269" s="422"/>
    </row>
    <row r="18270" spans="191:191" x14ac:dyDescent="0.2">
      <c r="GI18270" s="422"/>
    </row>
    <row r="18271" spans="191:191" x14ac:dyDescent="0.2">
      <c r="GI18271" s="422"/>
    </row>
    <row r="18272" spans="191:191" x14ac:dyDescent="0.2">
      <c r="GI18272" s="422"/>
    </row>
    <row r="18273" spans="191:191" x14ac:dyDescent="0.2">
      <c r="GI18273" s="422"/>
    </row>
    <row r="18274" spans="191:191" x14ac:dyDescent="0.2">
      <c r="GI18274" s="422"/>
    </row>
    <row r="18275" spans="191:191" x14ac:dyDescent="0.2">
      <c r="GI18275" s="422"/>
    </row>
    <row r="18276" spans="191:191" x14ac:dyDescent="0.2">
      <c r="GI18276" s="422"/>
    </row>
    <row r="18277" spans="191:191" x14ac:dyDescent="0.2">
      <c r="GI18277" s="422"/>
    </row>
    <row r="18278" spans="191:191" x14ac:dyDescent="0.2">
      <c r="GI18278" s="422"/>
    </row>
    <row r="18279" spans="191:191" x14ac:dyDescent="0.2">
      <c r="GI18279" s="422"/>
    </row>
    <row r="18280" spans="191:191" x14ac:dyDescent="0.2">
      <c r="GI18280" s="422"/>
    </row>
    <row r="18281" spans="191:191" x14ac:dyDescent="0.2">
      <c r="GI18281" s="422"/>
    </row>
    <row r="18282" spans="191:191" x14ac:dyDescent="0.2">
      <c r="GI18282" s="422"/>
    </row>
    <row r="18283" spans="191:191" x14ac:dyDescent="0.2">
      <c r="GI18283" s="422"/>
    </row>
    <row r="18284" spans="191:191" x14ac:dyDescent="0.2">
      <c r="GI18284" s="422"/>
    </row>
    <row r="18285" spans="191:191" x14ac:dyDescent="0.2">
      <c r="GI18285" s="422"/>
    </row>
    <row r="18286" spans="191:191" x14ac:dyDescent="0.2">
      <c r="GI18286" s="422"/>
    </row>
    <row r="18287" spans="191:191" x14ac:dyDescent="0.2">
      <c r="GI18287" s="422"/>
    </row>
    <row r="18288" spans="191:191" x14ac:dyDescent="0.2">
      <c r="GI18288" s="422"/>
    </row>
    <row r="18289" spans="191:191" x14ac:dyDescent="0.2">
      <c r="GI18289" s="422"/>
    </row>
    <row r="18290" spans="191:191" x14ac:dyDescent="0.2">
      <c r="GI18290" s="422"/>
    </row>
    <row r="18291" spans="191:191" x14ac:dyDescent="0.2">
      <c r="GI18291" s="422"/>
    </row>
    <row r="18292" spans="191:191" x14ac:dyDescent="0.2">
      <c r="GI18292" s="422"/>
    </row>
    <row r="18293" spans="191:191" x14ac:dyDescent="0.2">
      <c r="GI18293" s="422"/>
    </row>
    <row r="18294" spans="191:191" x14ac:dyDescent="0.2">
      <c r="GI18294" s="422"/>
    </row>
    <row r="18295" spans="191:191" x14ac:dyDescent="0.2">
      <c r="GI18295" s="422"/>
    </row>
    <row r="18296" spans="191:191" x14ac:dyDescent="0.2">
      <c r="GI18296" s="422"/>
    </row>
    <row r="18297" spans="191:191" x14ac:dyDescent="0.2">
      <c r="GI18297" s="422"/>
    </row>
    <row r="18298" spans="191:191" x14ac:dyDescent="0.2">
      <c r="GI18298" s="422"/>
    </row>
    <row r="18299" spans="191:191" x14ac:dyDescent="0.2">
      <c r="GI18299" s="422"/>
    </row>
    <row r="18300" spans="191:191" x14ac:dyDescent="0.2">
      <c r="GI18300" s="422"/>
    </row>
    <row r="18301" spans="191:191" x14ac:dyDescent="0.2">
      <c r="GI18301" s="422"/>
    </row>
    <row r="18302" spans="191:191" x14ac:dyDescent="0.2">
      <c r="GI18302" s="422"/>
    </row>
    <row r="18303" spans="191:191" x14ac:dyDescent="0.2">
      <c r="GI18303" s="422"/>
    </row>
    <row r="18304" spans="191:191" x14ac:dyDescent="0.2">
      <c r="GI18304" s="422"/>
    </row>
    <row r="18305" spans="191:191" x14ac:dyDescent="0.2">
      <c r="GI18305" s="422"/>
    </row>
    <row r="18306" spans="191:191" x14ac:dyDescent="0.2">
      <c r="GI18306" s="422"/>
    </row>
    <row r="18307" spans="191:191" x14ac:dyDescent="0.2">
      <c r="GI18307" s="422"/>
    </row>
    <row r="18308" spans="191:191" x14ac:dyDescent="0.2">
      <c r="GI18308" s="422"/>
    </row>
    <row r="18309" spans="191:191" x14ac:dyDescent="0.2">
      <c r="GI18309" s="422"/>
    </row>
    <row r="18310" spans="191:191" x14ac:dyDescent="0.2">
      <c r="GI18310" s="422"/>
    </row>
    <row r="18311" spans="191:191" x14ac:dyDescent="0.2">
      <c r="GI18311" s="422"/>
    </row>
    <row r="18312" spans="191:191" x14ac:dyDescent="0.2">
      <c r="GI18312" s="422"/>
    </row>
    <row r="18313" spans="191:191" x14ac:dyDescent="0.2">
      <c r="GI18313" s="422"/>
    </row>
    <row r="18314" spans="191:191" x14ac:dyDescent="0.2">
      <c r="GI18314" s="422"/>
    </row>
    <row r="18315" spans="191:191" x14ac:dyDescent="0.2">
      <c r="GI18315" s="422"/>
    </row>
    <row r="18316" spans="191:191" x14ac:dyDescent="0.2">
      <c r="GI18316" s="422"/>
    </row>
    <row r="18317" spans="191:191" x14ac:dyDescent="0.2">
      <c r="GI18317" s="422"/>
    </row>
    <row r="18318" spans="191:191" x14ac:dyDescent="0.2">
      <c r="GI18318" s="422"/>
    </row>
    <row r="18319" spans="191:191" x14ac:dyDescent="0.2">
      <c r="GI18319" s="422"/>
    </row>
    <row r="18320" spans="191:191" x14ac:dyDescent="0.2">
      <c r="GI18320" s="422"/>
    </row>
    <row r="18321" spans="191:191" x14ac:dyDescent="0.2">
      <c r="GI18321" s="422"/>
    </row>
    <row r="18322" spans="191:191" x14ac:dyDescent="0.2">
      <c r="GI18322" s="422"/>
    </row>
    <row r="18323" spans="191:191" x14ac:dyDescent="0.2">
      <c r="GI18323" s="422"/>
    </row>
    <row r="18324" spans="191:191" x14ac:dyDescent="0.2">
      <c r="GI18324" s="422"/>
    </row>
    <row r="18325" spans="191:191" x14ac:dyDescent="0.2">
      <c r="GI18325" s="422"/>
    </row>
    <row r="18326" spans="191:191" x14ac:dyDescent="0.2">
      <c r="GI18326" s="422"/>
    </row>
    <row r="18327" spans="191:191" x14ac:dyDescent="0.2">
      <c r="GI18327" s="422"/>
    </row>
    <row r="18328" spans="191:191" x14ac:dyDescent="0.2">
      <c r="GI18328" s="422"/>
    </row>
    <row r="18329" spans="191:191" x14ac:dyDescent="0.2">
      <c r="GI18329" s="422"/>
    </row>
    <row r="18330" spans="191:191" x14ac:dyDescent="0.2">
      <c r="GI18330" s="422"/>
    </row>
    <row r="18331" spans="191:191" x14ac:dyDescent="0.2">
      <c r="GI18331" s="422"/>
    </row>
    <row r="18332" spans="191:191" x14ac:dyDescent="0.2">
      <c r="GI18332" s="422"/>
    </row>
    <row r="18333" spans="191:191" x14ac:dyDescent="0.2">
      <c r="GI18333" s="422"/>
    </row>
    <row r="18334" spans="191:191" x14ac:dyDescent="0.2">
      <c r="GI18334" s="422"/>
    </row>
    <row r="18335" spans="191:191" x14ac:dyDescent="0.2">
      <c r="GI18335" s="422"/>
    </row>
    <row r="18336" spans="191:191" x14ac:dyDescent="0.2">
      <c r="GI18336" s="422"/>
    </row>
    <row r="18337" spans="191:191" x14ac:dyDescent="0.2">
      <c r="GI18337" s="422"/>
    </row>
    <row r="18338" spans="191:191" x14ac:dyDescent="0.2">
      <c r="GI18338" s="422"/>
    </row>
    <row r="18339" spans="191:191" x14ac:dyDescent="0.2">
      <c r="GI18339" s="422"/>
    </row>
    <row r="18340" spans="191:191" x14ac:dyDescent="0.2">
      <c r="GI18340" s="422"/>
    </row>
    <row r="18341" spans="191:191" x14ac:dyDescent="0.2">
      <c r="GI18341" s="422"/>
    </row>
    <row r="18342" spans="191:191" x14ac:dyDescent="0.2">
      <c r="GI18342" s="422"/>
    </row>
    <row r="18343" spans="191:191" x14ac:dyDescent="0.2">
      <c r="GI18343" s="422"/>
    </row>
    <row r="18344" spans="191:191" x14ac:dyDescent="0.2">
      <c r="GI18344" s="422"/>
    </row>
    <row r="18345" spans="191:191" x14ac:dyDescent="0.2">
      <c r="GI18345" s="422"/>
    </row>
    <row r="18346" spans="191:191" x14ac:dyDescent="0.2">
      <c r="GI18346" s="422"/>
    </row>
    <row r="18347" spans="191:191" x14ac:dyDescent="0.2">
      <c r="GI18347" s="422"/>
    </row>
    <row r="18348" spans="191:191" x14ac:dyDescent="0.2">
      <c r="GI18348" s="422"/>
    </row>
    <row r="18349" spans="191:191" x14ac:dyDescent="0.2">
      <c r="GI18349" s="422"/>
    </row>
    <row r="18350" spans="191:191" x14ac:dyDescent="0.2">
      <c r="GI18350" s="422"/>
    </row>
    <row r="18351" spans="191:191" x14ac:dyDescent="0.2">
      <c r="GI18351" s="422"/>
    </row>
    <row r="18352" spans="191:191" x14ac:dyDescent="0.2">
      <c r="GI18352" s="422"/>
    </row>
    <row r="18353" spans="191:191" x14ac:dyDescent="0.2">
      <c r="GI18353" s="422"/>
    </row>
    <row r="18354" spans="191:191" x14ac:dyDescent="0.2">
      <c r="GI18354" s="422"/>
    </row>
    <row r="18355" spans="191:191" x14ac:dyDescent="0.2">
      <c r="GI18355" s="422"/>
    </row>
    <row r="18356" spans="191:191" x14ac:dyDescent="0.2">
      <c r="GI18356" s="422"/>
    </row>
    <row r="18357" spans="191:191" x14ac:dyDescent="0.2">
      <c r="GI18357" s="422"/>
    </row>
    <row r="18358" spans="191:191" x14ac:dyDescent="0.2">
      <c r="GI18358" s="422"/>
    </row>
    <row r="18359" spans="191:191" x14ac:dyDescent="0.2">
      <c r="GI18359" s="422"/>
    </row>
    <row r="18360" spans="191:191" x14ac:dyDescent="0.2">
      <c r="GI18360" s="422"/>
    </row>
    <row r="18361" spans="191:191" x14ac:dyDescent="0.2">
      <c r="GI18361" s="422"/>
    </row>
    <row r="18362" spans="191:191" x14ac:dyDescent="0.2">
      <c r="GI18362" s="422"/>
    </row>
    <row r="18363" spans="191:191" x14ac:dyDescent="0.2">
      <c r="GI18363" s="422"/>
    </row>
    <row r="18364" spans="191:191" x14ac:dyDescent="0.2">
      <c r="GI18364" s="422"/>
    </row>
    <row r="18365" spans="191:191" x14ac:dyDescent="0.2">
      <c r="GI18365" s="422"/>
    </row>
    <row r="18366" spans="191:191" x14ac:dyDescent="0.2">
      <c r="GI18366" s="422"/>
    </row>
    <row r="18367" spans="191:191" x14ac:dyDescent="0.2">
      <c r="GI18367" s="422"/>
    </row>
    <row r="18368" spans="191:191" x14ac:dyDescent="0.2">
      <c r="GI18368" s="422"/>
    </row>
    <row r="18369" spans="191:191" x14ac:dyDescent="0.2">
      <c r="GI18369" s="422"/>
    </row>
    <row r="18370" spans="191:191" x14ac:dyDescent="0.2">
      <c r="GI18370" s="422"/>
    </row>
    <row r="18371" spans="191:191" x14ac:dyDescent="0.2">
      <c r="GI18371" s="422"/>
    </row>
    <row r="18372" spans="191:191" x14ac:dyDescent="0.2">
      <c r="GI18372" s="422"/>
    </row>
    <row r="18373" spans="191:191" x14ac:dyDescent="0.2">
      <c r="GI18373" s="422"/>
    </row>
    <row r="18374" spans="191:191" x14ac:dyDescent="0.2">
      <c r="GI18374" s="422"/>
    </row>
    <row r="18375" spans="191:191" x14ac:dyDescent="0.2">
      <c r="GI18375" s="422"/>
    </row>
    <row r="18376" spans="191:191" x14ac:dyDescent="0.2">
      <c r="GI18376" s="422"/>
    </row>
    <row r="18377" spans="191:191" x14ac:dyDescent="0.2">
      <c r="GI18377" s="422"/>
    </row>
    <row r="18378" spans="191:191" x14ac:dyDescent="0.2">
      <c r="GI18378" s="422"/>
    </row>
    <row r="18379" spans="191:191" x14ac:dyDescent="0.2">
      <c r="GI18379" s="422"/>
    </row>
    <row r="18380" spans="191:191" x14ac:dyDescent="0.2">
      <c r="GI18380" s="422"/>
    </row>
    <row r="18381" spans="191:191" x14ac:dyDescent="0.2">
      <c r="GI18381" s="422"/>
    </row>
    <row r="18382" spans="191:191" x14ac:dyDescent="0.2">
      <c r="GI18382" s="422"/>
    </row>
    <row r="18383" spans="191:191" x14ac:dyDescent="0.2">
      <c r="GI18383" s="422"/>
    </row>
    <row r="18384" spans="191:191" x14ac:dyDescent="0.2">
      <c r="GI18384" s="422"/>
    </row>
    <row r="18385" spans="191:191" x14ac:dyDescent="0.2">
      <c r="GI18385" s="422"/>
    </row>
    <row r="18386" spans="191:191" x14ac:dyDescent="0.2">
      <c r="GI18386" s="422"/>
    </row>
    <row r="18387" spans="191:191" x14ac:dyDescent="0.2">
      <c r="GI18387" s="422"/>
    </row>
    <row r="18388" spans="191:191" x14ac:dyDescent="0.2">
      <c r="GI18388" s="422"/>
    </row>
    <row r="18389" spans="191:191" x14ac:dyDescent="0.2">
      <c r="GI18389" s="422"/>
    </row>
    <row r="18390" spans="191:191" x14ac:dyDescent="0.2">
      <c r="GI18390" s="422"/>
    </row>
    <row r="18391" spans="191:191" x14ac:dyDescent="0.2">
      <c r="GI18391" s="422"/>
    </row>
    <row r="18392" spans="191:191" x14ac:dyDescent="0.2">
      <c r="GI18392" s="422"/>
    </row>
    <row r="18393" spans="191:191" x14ac:dyDescent="0.2">
      <c r="GI18393" s="422"/>
    </row>
    <row r="18394" spans="191:191" x14ac:dyDescent="0.2">
      <c r="GI18394" s="422"/>
    </row>
    <row r="18395" spans="191:191" x14ac:dyDescent="0.2">
      <c r="GI18395" s="422"/>
    </row>
    <row r="18396" spans="191:191" x14ac:dyDescent="0.2">
      <c r="GI18396" s="422"/>
    </row>
    <row r="18397" spans="191:191" x14ac:dyDescent="0.2">
      <c r="GI18397" s="422"/>
    </row>
    <row r="18398" spans="191:191" x14ac:dyDescent="0.2">
      <c r="GI18398" s="422"/>
    </row>
    <row r="18399" spans="191:191" x14ac:dyDescent="0.2">
      <c r="GI18399" s="422"/>
    </row>
    <row r="18400" spans="191:191" x14ac:dyDescent="0.2">
      <c r="GI18400" s="422"/>
    </row>
    <row r="18401" spans="191:191" x14ac:dyDescent="0.2">
      <c r="GI18401" s="422"/>
    </row>
    <row r="18402" spans="191:191" x14ac:dyDescent="0.2">
      <c r="GI18402" s="422"/>
    </row>
    <row r="18403" spans="191:191" x14ac:dyDescent="0.2">
      <c r="GI18403" s="422"/>
    </row>
    <row r="18404" spans="191:191" x14ac:dyDescent="0.2">
      <c r="GI18404" s="422"/>
    </row>
    <row r="18405" spans="191:191" x14ac:dyDescent="0.2">
      <c r="GI18405" s="422"/>
    </row>
    <row r="18406" spans="191:191" x14ac:dyDescent="0.2">
      <c r="GI18406" s="422"/>
    </row>
    <row r="18407" spans="191:191" x14ac:dyDescent="0.2">
      <c r="GI18407" s="422"/>
    </row>
    <row r="18408" spans="191:191" x14ac:dyDescent="0.2">
      <c r="GI18408" s="422"/>
    </row>
    <row r="18409" spans="191:191" x14ac:dyDescent="0.2">
      <c r="GI18409" s="422"/>
    </row>
    <row r="18410" spans="191:191" x14ac:dyDescent="0.2">
      <c r="GI18410" s="422"/>
    </row>
    <row r="18411" spans="191:191" x14ac:dyDescent="0.2">
      <c r="GI18411" s="422"/>
    </row>
    <row r="18412" spans="191:191" x14ac:dyDescent="0.2">
      <c r="GI18412" s="422"/>
    </row>
    <row r="18413" spans="191:191" x14ac:dyDescent="0.2">
      <c r="GI18413" s="422"/>
    </row>
    <row r="18414" spans="191:191" x14ac:dyDescent="0.2">
      <c r="GI18414" s="422"/>
    </row>
    <row r="18415" spans="191:191" x14ac:dyDescent="0.2">
      <c r="GI18415" s="422"/>
    </row>
    <row r="18416" spans="191:191" x14ac:dyDescent="0.2">
      <c r="GI18416" s="422"/>
    </row>
    <row r="18417" spans="191:191" x14ac:dyDescent="0.2">
      <c r="GI18417" s="422"/>
    </row>
    <row r="18418" spans="191:191" x14ac:dyDescent="0.2">
      <c r="GI18418" s="422"/>
    </row>
    <row r="18419" spans="191:191" x14ac:dyDescent="0.2">
      <c r="GI18419" s="422"/>
    </row>
    <row r="18420" spans="191:191" x14ac:dyDescent="0.2">
      <c r="GI18420" s="422"/>
    </row>
    <row r="18421" spans="191:191" x14ac:dyDescent="0.2">
      <c r="GI18421" s="422"/>
    </row>
    <row r="18422" spans="191:191" x14ac:dyDescent="0.2">
      <c r="GI18422" s="422"/>
    </row>
    <row r="18423" spans="191:191" x14ac:dyDescent="0.2">
      <c r="GI18423" s="422"/>
    </row>
    <row r="18424" spans="191:191" x14ac:dyDescent="0.2">
      <c r="GI18424" s="422"/>
    </row>
    <row r="18425" spans="191:191" x14ac:dyDescent="0.2">
      <c r="GI18425" s="422"/>
    </row>
    <row r="18426" spans="191:191" x14ac:dyDescent="0.2">
      <c r="GI18426" s="422"/>
    </row>
    <row r="18427" spans="191:191" x14ac:dyDescent="0.2">
      <c r="GI18427" s="422"/>
    </row>
    <row r="18428" spans="191:191" x14ac:dyDescent="0.2">
      <c r="GI18428" s="422"/>
    </row>
    <row r="18429" spans="191:191" x14ac:dyDescent="0.2">
      <c r="GI18429" s="422"/>
    </row>
    <row r="18430" spans="191:191" x14ac:dyDescent="0.2">
      <c r="GI18430" s="422"/>
    </row>
    <row r="18431" spans="191:191" x14ac:dyDescent="0.2">
      <c r="GI18431" s="422"/>
    </row>
    <row r="18432" spans="191:191" x14ac:dyDescent="0.2">
      <c r="GI18432" s="422"/>
    </row>
    <row r="18433" spans="191:191" x14ac:dyDescent="0.2">
      <c r="GI18433" s="422"/>
    </row>
    <row r="18434" spans="191:191" x14ac:dyDescent="0.2">
      <c r="GI18434" s="422"/>
    </row>
    <row r="18435" spans="191:191" x14ac:dyDescent="0.2">
      <c r="GI18435" s="422"/>
    </row>
    <row r="18436" spans="191:191" x14ac:dyDescent="0.2">
      <c r="GI18436" s="422"/>
    </row>
    <row r="18437" spans="191:191" x14ac:dyDescent="0.2">
      <c r="GI18437" s="422"/>
    </row>
    <row r="18438" spans="191:191" x14ac:dyDescent="0.2">
      <c r="GI18438" s="422"/>
    </row>
    <row r="18439" spans="191:191" x14ac:dyDescent="0.2">
      <c r="GI18439" s="422"/>
    </row>
    <row r="18440" spans="191:191" x14ac:dyDescent="0.2">
      <c r="GI18440" s="422"/>
    </row>
    <row r="18441" spans="191:191" x14ac:dyDescent="0.2">
      <c r="GI18441" s="422"/>
    </row>
    <row r="18442" spans="191:191" x14ac:dyDescent="0.2">
      <c r="GI18442" s="422"/>
    </row>
    <row r="18443" spans="191:191" x14ac:dyDescent="0.2">
      <c r="GI18443" s="422"/>
    </row>
    <row r="18444" spans="191:191" x14ac:dyDescent="0.2">
      <c r="GI18444" s="422"/>
    </row>
    <row r="18445" spans="191:191" x14ac:dyDescent="0.2">
      <c r="GI18445" s="422"/>
    </row>
    <row r="18446" spans="191:191" x14ac:dyDescent="0.2">
      <c r="GI18446" s="422"/>
    </row>
    <row r="18447" spans="191:191" x14ac:dyDescent="0.2">
      <c r="GI18447" s="422"/>
    </row>
    <row r="18448" spans="191:191" x14ac:dyDescent="0.2">
      <c r="GI18448" s="422"/>
    </row>
    <row r="18449" spans="191:191" x14ac:dyDescent="0.2">
      <c r="GI18449" s="422"/>
    </row>
    <row r="18450" spans="191:191" x14ac:dyDescent="0.2">
      <c r="GI18450" s="422"/>
    </row>
    <row r="18451" spans="191:191" x14ac:dyDescent="0.2">
      <c r="GI18451" s="422"/>
    </row>
    <row r="18452" spans="191:191" x14ac:dyDescent="0.2">
      <c r="GI18452" s="422"/>
    </row>
    <row r="18453" spans="191:191" x14ac:dyDescent="0.2">
      <c r="GI18453" s="422"/>
    </row>
    <row r="18454" spans="191:191" x14ac:dyDescent="0.2">
      <c r="GI18454" s="422"/>
    </row>
    <row r="18455" spans="191:191" x14ac:dyDescent="0.2">
      <c r="GI18455" s="422"/>
    </row>
    <row r="18456" spans="191:191" x14ac:dyDescent="0.2">
      <c r="GI18456" s="422"/>
    </row>
    <row r="18457" spans="191:191" x14ac:dyDescent="0.2">
      <c r="GI18457" s="422"/>
    </row>
    <row r="18458" spans="191:191" x14ac:dyDescent="0.2">
      <c r="GI18458" s="422"/>
    </row>
    <row r="18459" spans="191:191" x14ac:dyDescent="0.2">
      <c r="GI18459" s="422"/>
    </row>
    <row r="18460" spans="191:191" x14ac:dyDescent="0.2">
      <c r="GI18460" s="422"/>
    </row>
    <row r="18461" spans="191:191" x14ac:dyDescent="0.2">
      <c r="GI18461" s="422"/>
    </row>
    <row r="18462" spans="191:191" x14ac:dyDescent="0.2">
      <c r="GI18462" s="422"/>
    </row>
    <row r="18463" spans="191:191" x14ac:dyDescent="0.2">
      <c r="GI18463" s="422"/>
    </row>
    <row r="18464" spans="191:191" x14ac:dyDescent="0.2">
      <c r="GI18464" s="422"/>
    </row>
    <row r="18465" spans="191:191" x14ac:dyDescent="0.2">
      <c r="GI18465" s="422"/>
    </row>
    <row r="18466" spans="191:191" x14ac:dyDescent="0.2">
      <c r="GI18466" s="422"/>
    </row>
    <row r="18467" spans="191:191" x14ac:dyDescent="0.2">
      <c r="GI18467" s="422"/>
    </row>
    <row r="18468" spans="191:191" x14ac:dyDescent="0.2">
      <c r="GI18468" s="422"/>
    </row>
    <row r="18469" spans="191:191" x14ac:dyDescent="0.2">
      <c r="GI18469" s="422"/>
    </row>
    <row r="18470" spans="191:191" x14ac:dyDescent="0.2">
      <c r="GI18470" s="422"/>
    </row>
    <row r="18471" spans="191:191" x14ac:dyDescent="0.2">
      <c r="GI18471" s="422"/>
    </row>
    <row r="18472" spans="191:191" x14ac:dyDescent="0.2">
      <c r="GI18472" s="422"/>
    </row>
    <row r="18473" spans="191:191" x14ac:dyDescent="0.2">
      <c r="GI18473" s="422"/>
    </row>
    <row r="18474" spans="191:191" x14ac:dyDescent="0.2">
      <c r="GI18474" s="422"/>
    </row>
    <row r="18475" spans="191:191" x14ac:dyDescent="0.2">
      <c r="GI18475" s="422"/>
    </row>
    <row r="18476" spans="191:191" x14ac:dyDescent="0.2">
      <c r="GI18476" s="422"/>
    </row>
    <row r="18477" spans="191:191" x14ac:dyDescent="0.2">
      <c r="GI18477" s="422"/>
    </row>
    <row r="18478" spans="191:191" x14ac:dyDescent="0.2">
      <c r="GI18478" s="422"/>
    </row>
    <row r="18479" spans="191:191" x14ac:dyDescent="0.2">
      <c r="GI18479" s="422"/>
    </row>
    <row r="18480" spans="191:191" x14ac:dyDescent="0.2">
      <c r="GI18480" s="422"/>
    </row>
    <row r="18481" spans="191:191" x14ac:dyDescent="0.2">
      <c r="GI18481" s="422"/>
    </row>
    <row r="18482" spans="191:191" x14ac:dyDescent="0.2">
      <c r="GI18482" s="422"/>
    </row>
    <row r="18483" spans="191:191" x14ac:dyDescent="0.2">
      <c r="GI18483" s="422"/>
    </row>
    <row r="18484" spans="191:191" x14ac:dyDescent="0.2">
      <c r="GI18484" s="422"/>
    </row>
    <row r="18485" spans="191:191" x14ac:dyDescent="0.2">
      <c r="GI18485" s="422"/>
    </row>
    <row r="18486" spans="191:191" x14ac:dyDescent="0.2">
      <c r="GI18486" s="422"/>
    </row>
    <row r="18487" spans="191:191" x14ac:dyDescent="0.2">
      <c r="GI18487" s="422"/>
    </row>
    <row r="18488" spans="191:191" x14ac:dyDescent="0.2">
      <c r="GI18488" s="422"/>
    </row>
    <row r="18489" spans="191:191" x14ac:dyDescent="0.2">
      <c r="GI18489" s="422"/>
    </row>
    <row r="18490" spans="191:191" x14ac:dyDescent="0.2">
      <c r="GI18490" s="422"/>
    </row>
    <row r="18491" spans="191:191" x14ac:dyDescent="0.2">
      <c r="GI18491" s="422"/>
    </row>
    <row r="18492" spans="191:191" x14ac:dyDescent="0.2">
      <c r="GI18492" s="422"/>
    </row>
    <row r="18493" spans="191:191" x14ac:dyDescent="0.2">
      <c r="GI18493" s="422"/>
    </row>
    <row r="18494" spans="191:191" x14ac:dyDescent="0.2">
      <c r="GI18494" s="422"/>
    </row>
    <row r="18495" spans="191:191" x14ac:dyDescent="0.2">
      <c r="GI18495" s="422"/>
    </row>
    <row r="18496" spans="191:191" x14ac:dyDescent="0.2">
      <c r="GI18496" s="422"/>
    </row>
    <row r="18497" spans="191:191" x14ac:dyDescent="0.2">
      <c r="GI18497" s="422"/>
    </row>
    <row r="18498" spans="191:191" x14ac:dyDescent="0.2">
      <c r="GI18498" s="422"/>
    </row>
    <row r="18499" spans="191:191" x14ac:dyDescent="0.2">
      <c r="GI18499" s="422"/>
    </row>
    <row r="18500" spans="191:191" x14ac:dyDescent="0.2">
      <c r="GI18500" s="422"/>
    </row>
    <row r="18501" spans="191:191" x14ac:dyDescent="0.2">
      <c r="GI18501" s="422"/>
    </row>
    <row r="18502" spans="191:191" x14ac:dyDescent="0.2">
      <c r="GI18502" s="422"/>
    </row>
    <row r="18503" spans="191:191" x14ac:dyDescent="0.2">
      <c r="GI18503" s="422"/>
    </row>
    <row r="18504" spans="191:191" x14ac:dyDescent="0.2">
      <c r="GI18504" s="422"/>
    </row>
    <row r="18505" spans="191:191" x14ac:dyDescent="0.2">
      <c r="GI18505" s="422"/>
    </row>
    <row r="18506" spans="191:191" x14ac:dyDescent="0.2">
      <c r="GI18506" s="422"/>
    </row>
    <row r="18507" spans="191:191" x14ac:dyDescent="0.2">
      <c r="GI18507" s="422"/>
    </row>
    <row r="18508" spans="191:191" x14ac:dyDescent="0.2">
      <c r="GI18508" s="422"/>
    </row>
    <row r="18509" spans="191:191" x14ac:dyDescent="0.2">
      <c r="GI18509" s="422"/>
    </row>
    <row r="18510" spans="191:191" x14ac:dyDescent="0.2">
      <c r="GI18510" s="422"/>
    </row>
    <row r="18511" spans="191:191" x14ac:dyDescent="0.2">
      <c r="GI18511" s="422"/>
    </row>
    <row r="18512" spans="191:191" x14ac:dyDescent="0.2">
      <c r="GI18512" s="422"/>
    </row>
    <row r="18513" spans="191:191" x14ac:dyDescent="0.2">
      <c r="GI18513" s="422"/>
    </row>
    <row r="18514" spans="191:191" x14ac:dyDescent="0.2">
      <c r="GI18514" s="422"/>
    </row>
    <row r="18515" spans="191:191" x14ac:dyDescent="0.2">
      <c r="GI18515" s="422"/>
    </row>
    <row r="18516" spans="191:191" x14ac:dyDescent="0.2">
      <c r="GI18516" s="422"/>
    </row>
    <row r="18517" spans="191:191" x14ac:dyDescent="0.2">
      <c r="GI18517" s="422"/>
    </row>
    <row r="18518" spans="191:191" x14ac:dyDescent="0.2">
      <c r="GI18518" s="422"/>
    </row>
    <row r="18519" spans="191:191" x14ac:dyDescent="0.2">
      <c r="GI18519" s="422"/>
    </row>
    <row r="18520" spans="191:191" x14ac:dyDescent="0.2">
      <c r="GI18520" s="422"/>
    </row>
    <row r="18521" spans="191:191" x14ac:dyDescent="0.2">
      <c r="GI18521" s="422"/>
    </row>
    <row r="18522" spans="191:191" x14ac:dyDescent="0.2">
      <c r="GI18522" s="422"/>
    </row>
    <row r="18523" spans="191:191" x14ac:dyDescent="0.2">
      <c r="GI18523" s="422"/>
    </row>
    <row r="18524" spans="191:191" x14ac:dyDescent="0.2">
      <c r="GI18524" s="422"/>
    </row>
    <row r="18525" spans="191:191" x14ac:dyDescent="0.2">
      <c r="GI18525" s="422"/>
    </row>
    <row r="18526" spans="191:191" x14ac:dyDescent="0.2">
      <c r="GI18526" s="422"/>
    </row>
    <row r="18527" spans="191:191" x14ac:dyDescent="0.2">
      <c r="GI18527" s="422"/>
    </row>
    <row r="18528" spans="191:191" x14ac:dyDescent="0.2">
      <c r="GI18528" s="422"/>
    </row>
    <row r="18529" spans="191:191" x14ac:dyDescent="0.2">
      <c r="GI18529" s="422"/>
    </row>
    <row r="18530" spans="191:191" x14ac:dyDescent="0.2">
      <c r="GI18530" s="422"/>
    </row>
    <row r="18531" spans="191:191" x14ac:dyDescent="0.2">
      <c r="GI18531" s="422"/>
    </row>
    <row r="18532" spans="191:191" x14ac:dyDescent="0.2">
      <c r="GI18532" s="422"/>
    </row>
    <row r="18533" spans="191:191" x14ac:dyDescent="0.2">
      <c r="GI18533" s="422"/>
    </row>
    <row r="18534" spans="191:191" x14ac:dyDescent="0.2">
      <c r="GI18534" s="422"/>
    </row>
    <row r="18535" spans="191:191" x14ac:dyDescent="0.2">
      <c r="GI18535" s="422"/>
    </row>
    <row r="18536" spans="191:191" x14ac:dyDescent="0.2">
      <c r="GI18536" s="422"/>
    </row>
    <row r="18537" spans="191:191" x14ac:dyDescent="0.2">
      <c r="GI18537" s="422"/>
    </row>
    <row r="18538" spans="191:191" x14ac:dyDescent="0.2">
      <c r="GI18538" s="422"/>
    </row>
    <row r="18539" spans="191:191" x14ac:dyDescent="0.2">
      <c r="GI18539" s="422"/>
    </row>
    <row r="18540" spans="191:191" x14ac:dyDescent="0.2">
      <c r="GI18540" s="422"/>
    </row>
    <row r="18541" spans="191:191" x14ac:dyDescent="0.2">
      <c r="GI18541" s="422"/>
    </row>
    <row r="18542" spans="191:191" x14ac:dyDescent="0.2">
      <c r="GI18542" s="422"/>
    </row>
    <row r="18543" spans="191:191" x14ac:dyDescent="0.2">
      <c r="GI18543" s="422"/>
    </row>
    <row r="18544" spans="191:191" x14ac:dyDescent="0.2">
      <c r="GI18544" s="422"/>
    </row>
    <row r="18545" spans="191:191" x14ac:dyDescent="0.2">
      <c r="GI18545" s="422"/>
    </row>
    <row r="18546" spans="191:191" x14ac:dyDescent="0.2">
      <c r="GI18546" s="422"/>
    </row>
    <row r="18547" spans="191:191" x14ac:dyDescent="0.2">
      <c r="GI18547" s="422"/>
    </row>
    <row r="18548" spans="191:191" x14ac:dyDescent="0.2">
      <c r="GI18548" s="422"/>
    </row>
    <row r="18549" spans="191:191" x14ac:dyDescent="0.2">
      <c r="GI18549" s="422"/>
    </row>
    <row r="18550" spans="191:191" x14ac:dyDescent="0.2">
      <c r="GI18550" s="422"/>
    </row>
    <row r="18551" spans="191:191" x14ac:dyDescent="0.2">
      <c r="GI18551" s="422"/>
    </row>
    <row r="18552" spans="191:191" x14ac:dyDescent="0.2">
      <c r="GI18552" s="422"/>
    </row>
    <row r="18553" spans="191:191" x14ac:dyDescent="0.2">
      <c r="GI18553" s="422"/>
    </row>
    <row r="18554" spans="191:191" x14ac:dyDescent="0.2">
      <c r="GI18554" s="422"/>
    </row>
    <row r="18555" spans="191:191" x14ac:dyDescent="0.2">
      <c r="GI18555" s="422"/>
    </row>
    <row r="18556" spans="191:191" x14ac:dyDescent="0.2">
      <c r="GI18556" s="422"/>
    </row>
    <row r="18557" spans="191:191" x14ac:dyDescent="0.2">
      <c r="GI18557" s="422"/>
    </row>
    <row r="18558" spans="191:191" x14ac:dyDescent="0.2">
      <c r="GI18558" s="422"/>
    </row>
    <row r="18559" spans="191:191" x14ac:dyDescent="0.2">
      <c r="GI18559" s="422"/>
    </row>
    <row r="18560" spans="191:191" x14ac:dyDescent="0.2">
      <c r="GI18560" s="422"/>
    </row>
    <row r="18561" spans="191:191" x14ac:dyDescent="0.2">
      <c r="GI18561" s="422"/>
    </row>
    <row r="18562" spans="191:191" x14ac:dyDescent="0.2">
      <c r="GI18562" s="422"/>
    </row>
    <row r="18563" spans="191:191" x14ac:dyDescent="0.2">
      <c r="GI18563" s="422"/>
    </row>
    <row r="18564" spans="191:191" x14ac:dyDescent="0.2">
      <c r="GI18564" s="422"/>
    </row>
    <row r="18565" spans="191:191" x14ac:dyDescent="0.2">
      <c r="GI18565" s="422"/>
    </row>
    <row r="18566" spans="191:191" x14ac:dyDescent="0.2">
      <c r="GI18566" s="422"/>
    </row>
    <row r="18567" spans="191:191" x14ac:dyDescent="0.2">
      <c r="GI18567" s="422"/>
    </row>
    <row r="18568" spans="191:191" x14ac:dyDescent="0.2">
      <c r="GI18568" s="422"/>
    </row>
    <row r="18569" spans="191:191" x14ac:dyDescent="0.2">
      <c r="GI18569" s="422"/>
    </row>
    <row r="18570" spans="191:191" x14ac:dyDescent="0.2">
      <c r="GI18570" s="422"/>
    </row>
    <row r="18571" spans="191:191" x14ac:dyDescent="0.2">
      <c r="GI18571" s="422"/>
    </row>
    <row r="18572" spans="191:191" x14ac:dyDescent="0.2">
      <c r="GI18572" s="422"/>
    </row>
    <row r="18573" spans="191:191" x14ac:dyDescent="0.2">
      <c r="GI18573" s="422"/>
    </row>
    <row r="18574" spans="191:191" x14ac:dyDescent="0.2">
      <c r="GI18574" s="422"/>
    </row>
    <row r="18575" spans="191:191" x14ac:dyDescent="0.2">
      <c r="GI18575" s="422"/>
    </row>
    <row r="18576" spans="191:191" x14ac:dyDescent="0.2">
      <c r="GI18576" s="422"/>
    </row>
    <row r="18577" spans="191:191" x14ac:dyDescent="0.2">
      <c r="GI18577" s="422"/>
    </row>
    <row r="18578" spans="191:191" x14ac:dyDescent="0.2">
      <c r="GI18578" s="422"/>
    </row>
    <row r="18579" spans="191:191" x14ac:dyDescent="0.2">
      <c r="GI18579" s="422"/>
    </row>
    <row r="18580" spans="191:191" x14ac:dyDescent="0.2">
      <c r="GI18580" s="422"/>
    </row>
    <row r="18581" spans="191:191" x14ac:dyDescent="0.2">
      <c r="GI18581" s="422"/>
    </row>
    <row r="18582" spans="191:191" x14ac:dyDescent="0.2">
      <c r="GI18582" s="422"/>
    </row>
    <row r="18583" spans="191:191" x14ac:dyDescent="0.2">
      <c r="GI18583" s="422"/>
    </row>
    <row r="18584" spans="191:191" x14ac:dyDescent="0.2">
      <c r="GI18584" s="422"/>
    </row>
    <row r="18585" spans="191:191" x14ac:dyDescent="0.2">
      <c r="GI18585" s="422"/>
    </row>
    <row r="18586" spans="191:191" x14ac:dyDescent="0.2">
      <c r="GI18586" s="422"/>
    </row>
    <row r="18587" spans="191:191" x14ac:dyDescent="0.2">
      <c r="GI18587" s="422"/>
    </row>
    <row r="18588" spans="191:191" x14ac:dyDescent="0.2">
      <c r="GI18588" s="422"/>
    </row>
    <row r="18589" spans="191:191" x14ac:dyDescent="0.2">
      <c r="GI18589" s="422"/>
    </row>
    <row r="18590" spans="191:191" x14ac:dyDescent="0.2">
      <c r="GI18590" s="422"/>
    </row>
    <row r="18591" spans="191:191" x14ac:dyDescent="0.2">
      <c r="GI18591" s="422"/>
    </row>
    <row r="18592" spans="191:191" x14ac:dyDescent="0.2">
      <c r="GI18592" s="422"/>
    </row>
    <row r="18593" spans="191:191" x14ac:dyDescent="0.2">
      <c r="GI18593" s="422"/>
    </row>
    <row r="18594" spans="191:191" x14ac:dyDescent="0.2">
      <c r="GI18594" s="422"/>
    </row>
    <row r="18595" spans="191:191" x14ac:dyDescent="0.2">
      <c r="GI18595" s="422"/>
    </row>
    <row r="18596" spans="191:191" x14ac:dyDescent="0.2">
      <c r="GI18596" s="422"/>
    </row>
    <row r="18597" spans="191:191" x14ac:dyDescent="0.2">
      <c r="GI18597" s="422"/>
    </row>
    <row r="18598" spans="191:191" x14ac:dyDescent="0.2">
      <c r="GI18598" s="422"/>
    </row>
    <row r="18599" spans="191:191" x14ac:dyDescent="0.2">
      <c r="GI18599" s="422"/>
    </row>
    <row r="18600" spans="191:191" x14ac:dyDescent="0.2">
      <c r="GI18600" s="422"/>
    </row>
    <row r="18601" spans="191:191" x14ac:dyDescent="0.2">
      <c r="GI18601" s="422"/>
    </row>
    <row r="18602" spans="191:191" x14ac:dyDescent="0.2">
      <c r="GI18602" s="422"/>
    </row>
    <row r="18603" spans="191:191" x14ac:dyDescent="0.2">
      <c r="GI18603" s="422"/>
    </row>
    <row r="18604" spans="191:191" x14ac:dyDescent="0.2">
      <c r="GI18604" s="422"/>
    </row>
    <row r="18605" spans="191:191" x14ac:dyDescent="0.2">
      <c r="GI18605" s="422"/>
    </row>
    <row r="18606" spans="191:191" x14ac:dyDescent="0.2">
      <c r="GI18606" s="422"/>
    </row>
    <row r="18607" spans="191:191" x14ac:dyDescent="0.2">
      <c r="GI18607" s="422"/>
    </row>
    <row r="18608" spans="191:191" x14ac:dyDescent="0.2">
      <c r="GI18608" s="422"/>
    </row>
    <row r="18609" spans="191:191" x14ac:dyDescent="0.2">
      <c r="GI18609" s="422"/>
    </row>
    <row r="18610" spans="191:191" x14ac:dyDescent="0.2">
      <c r="GI18610" s="422"/>
    </row>
    <row r="18611" spans="191:191" x14ac:dyDescent="0.2">
      <c r="GI18611" s="422"/>
    </row>
    <row r="18612" spans="191:191" x14ac:dyDescent="0.2">
      <c r="GI18612" s="422"/>
    </row>
    <row r="18613" spans="191:191" x14ac:dyDescent="0.2">
      <c r="GI18613" s="422"/>
    </row>
    <row r="18614" spans="191:191" x14ac:dyDescent="0.2">
      <c r="GI18614" s="422"/>
    </row>
    <row r="18615" spans="191:191" x14ac:dyDescent="0.2">
      <c r="GI18615" s="422"/>
    </row>
    <row r="18616" spans="191:191" x14ac:dyDescent="0.2">
      <c r="GI18616" s="422"/>
    </row>
    <row r="18617" spans="191:191" x14ac:dyDescent="0.2">
      <c r="GI18617" s="422"/>
    </row>
    <row r="18618" spans="191:191" x14ac:dyDescent="0.2">
      <c r="GI18618" s="422"/>
    </row>
    <row r="18619" spans="191:191" x14ac:dyDescent="0.2">
      <c r="GI18619" s="422"/>
    </row>
    <row r="18620" spans="191:191" x14ac:dyDescent="0.2">
      <c r="GI18620" s="422"/>
    </row>
    <row r="18621" spans="191:191" x14ac:dyDescent="0.2">
      <c r="GI18621" s="422"/>
    </row>
    <row r="18622" spans="191:191" x14ac:dyDescent="0.2">
      <c r="GI18622" s="422"/>
    </row>
    <row r="18623" spans="191:191" x14ac:dyDescent="0.2">
      <c r="GI18623" s="422"/>
    </row>
    <row r="18624" spans="191:191" x14ac:dyDescent="0.2">
      <c r="GI18624" s="422"/>
    </row>
    <row r="18625" spans="191:191" x14ac:dyDescent="0.2">
      <c r="GI18625" s="422"/>
    </row>
    <row r="18626" spans="191:191" x14ac:dyDescent="0.2">
      <c r="GI18626" s="422"/>
    </row>
    <row r="18627" spans="191:191" x14ac:dyDescent="0.2">
      <c r="GI18627" s="422"/>
    </row>
    <row r="18628" spans="191:191" x14ac:dyDescent="0.2">
      <c r="GI18628" s="422"/>
    </row>
    <row r="18629" spans="191:191" x14ac:dyDescent="0.2">
      <c r="GI18629" s="422"/>
    </row>
    <row r="18630" spans="191:191" x14ac:dyDescent="0.2">
      <c r="GI18630" s="422"/>
    </row>
    <row r="18631" spans="191:191" x14ac:dyDescent="0.2">
      <c r="GI18631" s="422"/>
    </row>
    <row r="18632" spans="191:191" x14ac:dyDescent="0.2">
      <c r="GI18632" s="422"/>
    </row>
    <row r="18633" spans="191:191" x14ac:dyDescent="0.2">
      <c r="GI18633" s="422"/>
    </row>
    <row r="18634" spans="191:191" x14ac:dyDescent="0.2">
      <c r="GI18634" s="422"/>
    </row>
    <row r="18635" spans="191:191" x14ac:dyDescent="0.2">
      <c r="GI18635" s="422"/>
    </row>
    <row r="18636" spans="191:191" x14ac:dyDescent="0.2">
      <c r="GI18636" s="422"/>
    </row>
    <row r="18637" spans="191:191" x14ac:dyDescent="0.2">
      <c r="GI18637" s="422"/>
    </row>
    <row r="18638" spans="191:191" x14ac:dyDescent="0.2">
      <c r="GI18638" s="422"/>
    </row>
    <row r="18639" spans="191:191" x14ac:dyDescent="0.2">
      <c r="GI18639" s="422"/>
    </row>
    <row r="18640" spans="191:191" x14ac:dyDescent="0.2">
      <c r="GI18640" s="422"/>
    </row>
    <row r="18641" spans="191:191" x14ac:dyDescent="0.2">
      <c r="GI18641" s="422"/>
    </row>
    <row r="18642" spans="191:191" x14ac:dyDescent="0.2">
      <c r="GI18642" s="422"/>
    </row>
    <row r="18643" spans="191:191" x14ac:dyDescent="0.2">
      <c r="GI18643" s="422"/>
    </row>
    <row r="18644" spans="191:191" x14ac:dyDescent="0.2">
      <c r="GI18644" s="422"/>
    </row>
    <row r="18645" spans="191:191" x14ac:dyDescent="0.2">
      <c r="GI18645" s="422"/>
    </row>
    <row r="18646" spans="191:191" x14ac:dyDescent="0.2">
      <c r="GI18646" s="422"/>
    </row>
    <row r="18647" spans="191:191" x14ac:dyDescent="0.2">
      <c r="GI18647" s="422"/>
    </row>
    <row r="18648" spans="191:191" x14ac:dyDescent="0.2">
      <c r="GI18648" s="422"/>
    </row>
    <row r="18649" spans="191:191" x14ac:dyDescent="0.2">
      <c r="GI18649" s="422"/>
    </row>
    <row r="18650" spans="191:191" x14ac:dyDescent="0.2">
      <c r="GI18650" s="422"/>
    </row>
    <row r="18651" spans="191:191" x14ac:dyDescent="0.2">
      <c r="GI18651" s="422"/>
    </row>
    <row r="18652" spans="191:191" x14ac:dyDescent="0.2">
      <c r="GI18652" s="422"/>
    </row>
    <row r="18653" spans="191:191" x14ac:dyDescent="0.2">
      <c r="GI18653" s="422"/>
    </row>
    <row r="18654" spans="191:191" x14ac:dyDescent="0.2">
      <c r="GI18654" s="422"/>
    </row>
    <row r="18655" spans="191:191" x14ac:dyDescent="0.2">
      <c r="GI18655" s="422"/>
    </row>
    <row r="18656" spans="191:191" x14ac:dyDescent="0.2">
      <c r="GI18656" s="422"/>
    </row>
    <row r="18657" spans="191:191" x14ac:dyDescent="0.2">
      <c r="GI18657" s="422"/>
    </row>
    <row r="18658" spans="191:191" x14ac:dyDescent="0.2">
      <c r="GI18658" s="422"/>
    </row>
    <row r="18659" spans="191:191" x14ac:dyDescent="0.2">
      <c r="GI18659" s="422"/>
    </row>
    <row r="18660" spans="191:191" x14ac:dyDescent="0.2">
      <c r="GI18660" s="422"/>
    </row>
    <row r="18661" spans="191:191" x14ac:dyDescent="0.2">
      <c r="GI18661" s="422"/>
    </row>
    <row r="18662" spans="191:191" x14ac:dyDescent="0.2">
      <c r="GI18662" s="422"/>
    </row>
    <row r="18663" spans="191:191" x14ac:dyDescent="0.2">
      <c r="GI18663" s="422"/>
    </row>
    <row r="18664" spans="191:191" x14ac:dyDescent="0.2">
      <c r="GI18664" s="422"/>
    </row>
    <row r="18665" spans="191:191" x14ac:dyDescent="0.2">
      <c r="GI18665" s="422"/>
    </row>
    <row r="18666" spans="191:191" x14ac:dyDescent="0.2">
      <c r="GI18666" s="422"/>
    </row>
    <row r="18667" spans="191:191" x14ac:dyDescent="0.2">
      <c r="GI18667" s="422"/>
    </row>
    <row r="18668" spans="191:191" x14ac:dyDescent="0.2">
      <c r="GI18668" s="422"/>
    </row>
    <row r="18669" spans="191:191" x14ac:dyDescent="0.2">
      <c r="GI18669" s="422"/>
    </row>
    <row r="18670" spans="191:191" x14ac:dyDescent="0.2">
      <c r="GI18670" s="422"/>
    </row>
    <row r="18671" spans="191:191" x14ac:dyDescent="0.2">
      <c r="GI18671" s="422"/>
    </row>
    <row r="18672" spans="191:191" x14ac:dyDescent="0.2">
      <c r="GI18672" s="422"/>
    </row>
    <row r="18673" spans="191:191" x14ac:dyDescent="0.2">
      <c r="GI18673" s="422"/>
    </row>
    <row r="18674" spans="191:191" x14ac:dyDescent="0.2">
      <c r="GI18674" s="422"/>
    </row>
    <row r="18675" spans="191:191" x14ac:dyDescent="0.2">
      <c r="GI18675" s="422"/>
    </row>
    <row r="18676" spans="191:191" x14ac:dyDescent="0.2">
      <c r="GI18676" s="422"/>
    </row>
    <row r="18677" spans="191:191" x14ac:dyDescent="0.2">
      <c r="GI18677" s="422"/>
    </row>
    <row r="18678" spans="191:191" x14ac:dyDescent="0.2">
      <c r="GI18678" s="422"/>
    </row>
    <row r="18679" spans="191:191" x14ac:dyDescent="0.2">
      <c r="GI18679" s="422"/>
    </row>
    <row r="18680" spans="191:191" x14ac:dyDescent="0.2">
      <c r="GI18680" s="422"/>
    </row>
    <row r="18681" spans="191:191" x14ac:dyDescent="0.2">
      <c r="GI18681" s="422"/>
    </row>
    <row r="18682" spans="191:191" x14ac:dyDescent="0.2">
      <c r="GI18682" s="422"/>
    </row>
    <row r="18683" spans="191:191" x14ac:dyDescent="0.2">
      <c r="GI18683" s="422"/>
    </row>
    <row r="18684" spans="191:191" x14ac:dyDescent="0.2">
      <c r="GI18684" s="422"/>
    </row>
    <row r="18685" spans="191:191" x14ac:dyDescent="0.2">
      <c r="GI18685" s="422"/>
    </row>
    <row r="18686" spans="191:191" x14ac:dyDescent="0.2">
      <c r="GI18686" s="422"/>
    </row>
    <row r="18687" spans="191:191" x14ac:dyDescent="0.2">
      <c r="GI18687" s="422"/>
    </row>
    <row r="18688" spans="191:191" x14ac:dyDescent="0.2">
      <c r="GI18688" s="422"/>
    </row>
    <row r="18689" spans="191:191" x14ac:dyDescent="0.2">
      <c r="GI18689" s="422"/>
    </row>
    <row r="18690" spans="191:191" x14ac:dyDescent="0.2">
      <c r="GI18690" s="422"/>
    </row>
    <row r="18691" spans="191:191" x14ac:dyDescent="0.2">
      <c r="GI18691" s="422"/>
    </row>
    <row r="18692" spans="191:191" x14ac:dyDescent="0.2">
      <c r="GI18692" s="422"/>
    </row>
    <row r="18693" spans="191:191" x14ac:dyDescent="0.2">
      <c r="GI18693" s="422"/>
    </row>
    <row r="18694" spans="191:191" x14ac:dyDescent="0.2">
      <c r="GI18694" s="422"/>
    </row>
    <row r="18695" spans="191:191" x14ac:dyDescent="0.2">
      <c r="GI18695" s="422"/>
    </row>
    <row r="18696" spans="191:191" x14ac:dyDescent="0.2">
      <c r="GI18696" s="422"/>
    </row>
    <row r="18697" spans="191:191" x14ac:dyDescent="0.2">
      <c r="GI18697" s="422"/>
    </row>
    <row r="18698" spans="191:191" x14ac:dyDescent="0.2">
      <c r="GI18698" s="422"/>
    </row>
    <row r="18699" spans="191:191" x14ac:dyDescent="0.2">
      <c r="GI18699" s="422"/>
    </row>
    <row r="18700" spans="191:191" x14ac:dyDescent="0.2">
      <c r="GI18700" s="422"/>
    </row>
    <row r="18701" spans="191:191" x14ac:dyDescent="0.2">
      <c r="GI18701" s="422"/>
    </row>
    <row r="18702" spans="191:191" x14ac:dyDescent="0.2">
      <c r="GI18702" s="422"/>
    </row>
    <row r="18703" spans="191:191" x14ac:dyDescent="0.2">
      <c r="GI18703" s="422"/>
    </row>
    <row r="18704" spans="191:191" x14ac:dyDescent="0.2">
      <c r="GI18704" s="422"/>
    </row>
    <row r="18705" spans="191:191" x14ac:dyDescent="0.2">
      <c r="GI18705" s="422"/>
    </row>
    <row r="18706" spans="191:191" x14ac:dyDescent="0.2">
      <c r="GI18706" s="422"/>
    </row>
    <row r="18707" spans="191:191" x14ac:dyDescent="0.2">
      <c r="GI18707" s="422"/>
    </row>
    <row r="18708" spans="191:191" x14ac:dyDescent="0.2">
      <c r="GI18708" s="422"/>
    </row>
    <row r="18709" spans="191:191" x14ac:dyDescent="0.2">
      <c r="GI18709" s="422"/>
    </row>
    <row r="18710" spans="191:191" x14ac:dyDescent="0.2">
      <c r="GI18710" s="422"/>
    </row>
    <row r="18711" spans="191:191" x14ac:dyDescent="0.2">
      <c r="GI18711" s="422"/>
    </row>
    <row r="18712" spans="191:191" x14ac:dyDescent="0.2">
      <c r="GI18712" s="422"/>
    </row>
    <row r="18713" spans="191:191" x14ac:dyDescent="0.2">
      <c r="GI18713" s="422"/>
    </row>
    <row r="18714" spans="191:191" x14ac:dyDescent="0.2">
      <c r="GI18714" s="422"/>
    </row>
    <row r="18715" spans="191:191" x14ac:dyDescent="0.2">
      <c r="GI18715" s="422"/>
    </row>
    <row r="18716" spans="191:191" x14ac:dyDescent="0.2">
      <c r="GI18716" s="422"/>
    </row>
    <row r="18717" spans="191:191" x14ac:dyDescent="0.2">
      <c r="GI18717" s="422"/>
    </row>
    <row r="18718" spans="191:191" x14ac:dyDescent="0.2">
      <c r="GI18718" s="422"/>
    </row>
    <row r="18719" spans="191:191" x14ac:dyDescent="0.2">
      <c r="GI18719" s="422"/>
    </row>
    <row r="18720" spans="191:191" x14ac:dyDescent="0.2">
      <c r="GI18720" s="422"/>
    </row>
    <row r="18721" spans="191:191" x14ac:dyDescent="0.2">
      <c r="GI18721" s="422"/>
    </row>
    <row r="18722" spans="191:191" x14ac:dyDescent="0.2">
      <c r="GI18722" s="422"/>
    </row>
    <row r="18723" spans="191:191" x14ac:dyDescent="0.2">
      <c r="GI18723" s="422"/>
    </row>
    <row r="18724" spans="191:191" x14ac:dyDescent="0.2">
      <c r="GI18724" s="422"/>
    </row>
    <row r="18725" spans="191:191" x14ac:dyDescent="0.2">
      <c r="GI18725" s="422"/>
    </row>
    <row r="18726" spans="191:191" x14ac:dyDescent="0.2">
      <c r="GI18726" s="422"/>
    </row>
    <row r="18727" spans="191:191" x14ac:dyDescent="0.2">
      <c r="GI18727" s="422"/>
    </row>
    <row r="18728" spans="191:191" x14ac:dyDescent="0.2">
      <c r="GI18728" s="422"/>
    </row>
    <row r="18729" spans="191:191" x14ac:dyDescent="0.2">
      <c r="GI18729" s="422"/>
    </row>
    <row r="18730" spans="191:191" x14ac:dyDescent="0.2">
      <c r="GI18730" s="422"/>
    </row>
    <row r="18731" spans="191:191" x14ac:dyDescent="0.2">
      <c r="GI18731" s="422"/>
    </row>
    <row r="18732" spans="191:191" x14ac:dyDescent="0.2">
      <c r="GI18732" s="422"/>
    </row>
    <row r="18733" spans="191:191" x14ac:dyDescent="0.2">
      <c r="GI18733" s="422"/>
    </row>
    <row r="18734" spans="191:191" x14ac:dyDescent="0.2">
      <c r="GI18734" s="422"/>
    </row>
    <row r="18735" spans="191:191" x14ac:dyDescent="0.2">
      <c r="GI18735" s="422"/>
    </row>
    <row r="18736" spans="191:191" x14ac:dyDescent="0.2">
      <c r="GI18736" s="422"/>
    </row>
    <row r="18737" spans="191:191" x14ac:dyDescent="0.2">
      <c r="GI18737" s="422"/>
    </row>
    <row r="18738" spans="191:191" x14ac:dyDescent="0.2">
      <c r="GI18738" s="422"/>
    </row>
    <row r="18739" spans="191:191" x14ac:dyDescent="0.2">
      <c r="GI18739" s="422"/>
    </row>
    <row r="18740" spans="191:191" x14ac:dyDescent="0.2">
      <c r="GI18740" s="422"/>
    </row>
    <row r="18741" spans="191:191" x14ac:dyDescent="0.2">
      <c r="GI18741" s="422"/>
    </row>
    <row r="18742" spans="191:191" x14ac:dyDescent="0.2">
      <c r="GI18742" s="422"/>
    </row>
    <row r="18743" spans="191:191" x14ac:dyDescent="0.2">
      <c r="GI18743" s="422"/>
    </row>
    <row r="18744" spans="191:191" x14ac:dyDescent="0.2">
      <c r="GI18744" s="422"/>
    </row>
    <row r="18745" spans="191:191" x14ac:dyDescent="0.2">
      <c r="GI18745" s="422"/>
    </row>
    <row r="18746" spans="191:191" x14ac:dyDescent="0.2">
      <c r="GI18746" s="422"/>
    </row>
    <row r="18747" spans="191:191" x14ac:dyDescent="0.2">
      <c r="GI18747" s="422"/>
    </row>
    <row r="18748" spans="191:191" x14ac:dyDescent="0.2">
      <c r="GI18748" s="422"/>
    </row>
    <row r="18749" spans="191:191" x14ac:dyDescent="0.2">
      <c r="GI18749" s="422"/>
    </row>
    <row r="18750" spans="191:191" x14ac:dyDescent="0.2">
      <c r="GI18750" s="422"/>
    </row>
    <row r="18751" spans="191:191" x14ac:dyDescent="0.2">
      <c r="GI18751" s="422"/>
    </row>
    <row r="18752" spans="191:191" x14ac:dyDescent="0.2">
      <c r="GI18752" s="422"/>
    </row>
    <row r="18753" spans="191:191" x14ac:dyDescent="0.2">
      <c r="GI18753" s="422"/>
    </row>
    <row r="18754" spans="191:191" x14ac:dyDescent="0.2">
      <c r="GI18754" s="422"/>
    </row>
    <row r="18755" spans="191:191" x14ac:dyDescent="0.2">
      <c r="GI18755" s="422"/>
    </row>
    <row r="18756" spans="191:191" x14ac:dyDescent="0.2">
      <c r="GI18756" s="422"/>
    </row>
    <row r="18757" spans="191:191" x14ac:dyDescent="0.2">
      <c r="GI18757" s="422"/>
    </row>
    <row r="18758" spans="191:191" x14ac:dyDescent="0.2">
      <c r="GI18758" s="422"/>
    </row>
    <row r="18759" spans="191:191" x14ac:dyDescent="0.2">
      <c r="GI18759" s="422"/>
    </row>
    <row r="18760" spans="191:191" x14ac:dyDescent="0.2">
      <c r="GI18760" s="422"/>
    </row>
    <row r="18761" spans="191:191" x14ac:dyDescent="0.2">
      <c r="GI18761" s="422"/>
    </row>
    <row r="18762" spans="191:191" x14ac:dyDescent="0.2">
      <c r="GI18762" s="422"/>
    </row>
    <row r="18763" spans="191:191" x14ac:dyDescent="0.2">
      <c r="GI18763" s="422"/>
    </row>
    <row r="18764" spans="191:191" x14ac:dyDescent="0.2">
      <c r="GI18764" s="422"/>
    </row>
    <row r="18765" spans="191:191" x14ac:dyDescent="0.2">
      <c r="GI18765" s="422"/>
    </row>
    <row r="18766" spans="191:191" x14ac:dyDescent="0.2">
      <c r="GI18766" s="422"/>
    </row>
    <row r="18767" spans="191:191" x14ac:dyDescent="0.2">
      <c r="GI18767" s="422"/>
    </row>
    <row r="18768" spans="191:191" x14ac:dyDescent="0.2">
      <c r="GI18768" s="422"/>
    </row>
    <row r="18769" spans="191:191" x14ac:dyDescent="0.2">
      <c r="GI18769" s="422"/>
    </row>
    <row r="18770" spans="191:191" x14ac:dyDescent="0.2">
      <c r="GI18770" s="422"/>
    </row>
    <row r="18771" spans="191:191" x14ac:dyDescent="0.2">
      <c r="GI18771" s="422"/>
    </row>
    <row r="18772" spans="191:191" x14ac:dyDescent="0.2">
      <c r="GI18772" s="422"/>
    </row>
    <row r="18773" spans="191:191" x14ac:dyDescent="0.2">
      <c r="GI18773" s="422"/>
    </row>
    <row r="18774" spans="191:191" x14ac:dyDescent="0.2">
      <c r="GI18774" s="422"/>
    </row>
    <row r="18775" spans="191:191" x14ac:dyDescent="0.2">
      <c r="GI18775" s="422"/>
    </row>
    <row r="18776" spans="191:191" x14ac:dyDescent="0.2">
      <c r="GI18776" s="422"/>
    </row>
    <row r="18777" spans="191:191" x14ac:dyDescent="0.2">
      <c r="GI18777" s="422"/>
    </row>
    <row r="18778" spans="191:191" x14ac:dyDescent="0.2">
      <c r="GI18778" s="422"/>
    </row>
    <row r="18779" spans="191:191" x14ac:dyDescent="0.2">
      <c r="GI18779" s="422"/>
    </row>
    <row r="18780" spans="191:191" x14ac:dyDescent="0.2">
      <c r="GI18780" s="422"/>
    </row>
    <row r="18781" spans="191:191" x14ac:dyDescent="0.2">
      <c r="GI18781" s="422"/>
    </row>
    <row r="18782" spans="191:191" x14ac:dyDescent="0.2">
      <c r="GI18782" s="422"/>
    </row>
    <row r="18783" spans="191:191" x14ac:dyDescent="0.2">
      <c r="GI18783" s="422"/>
    </row>
    <row r="18784" spans="191:191" x14ac:dyDescent="0.2">
      <c r="GI18784" s="422"/>
    </row>
    <row r="18785" spans="191:191" x14ac:dyDescent="0.2">
      <c r="GI18785" s="422"/>
    </row>
    <row r="18786" spans="191:191" x14ac:dyDescent="0.2">
      <c r="GI18786" s="422"/>
    </row>
    <row r="18787" spans="191:191" x14ac:dyDescent="0.2">
      <c r="GI18787" s="422"/>
    </row>
    <row r="18788" spans="191:191" x14ac:dyDescent="0.2">
      <c r="GI18788" s="422"/>
    </row>
    <row r="18789" spans="191:191" x14ac:dyDescent="0.2">
      <c r="GI18789" s="422"/>
    </row>
    <row r="18790" spans="191:191" x14ac:dyDescent="0.2">
      <c r="GI18790" s="422"/>
    </row>
    <row r="18791" spans="191:191" x14ac:dyDescent="0.2">
      <c r="GI18791" s="422"/>
    </row>
    <row r="18792" spans="191:191" x14ac:dyDescent="0.2">
      <c r="GI18792" s="422"/>
    </row>
    <row r="18793" spans="191:191" x14ac:dyDescent="0.2">
      <c r="GI18793" s="422"/>
    </row>
    <row r="18794" spans="191:191" x14ac:dyDescent="0.2">
      <c r="GI18794" s="422"/>
    </row>
    <row r="18795" spans="191:191" x14ac:dyDescent="0.2">
      <c r="GI18795" s="422"/>
    </row>
    <row r="18796" spans="191:191" x14ac:dyDescent="0.2">
      <c r="GI18796" s="422"/>
    </row>
    <row r="18797" spans="191:191" x14ac:dyDescent="0.2">
      <c r="GI18797" s="422"/>
    </row>
    <row r="18798" spans="191:191" x14ac:dyDescent="0.2">
      <c r="GI18798" s="422"/>
    </row>
    <row r="18799" spans="191:191" x14ac:dyDescent="0.2">
      <c r="GI18799" s="422"/>
    </row>
    <row r="18800" spans="191:191" x14ac:dyDescent="0.2">
      <c r="GI18800" s="422"/>
    </row>
    <row r="18801" spans="191:191" x14ac:dyDescent="0.2">
      <c r="GI18801" s="422"/>
    </row>
    <row r="18802" spans="191:191" x14ac:dyDescent="0.2">
      <c r="GI18802" s="422"/>
    </row>
    <row r="18803" spans="191:191" x14ac:dyDescent="0.2">
      <c r="GI18803" s="422"/>
    </row>
    <row r="18804" spans="191:191" x14ac:dyDescent="0.2">
      <c r="GI18804" s="422"/>
    </row>
    <row r="18805" spans="191:191" x14ac:dyDescent="0.2">
      <c r="GI18805" s="422"/>
    </row>
    <row r="18806" spans="191:191" x14ac:dyDescent="0.2">
      <c r="GI18806" s="422"/>
    </row>
    <row r="18807" spans="191:191" x14ac:dyDescent="0.2">
      <c r="GI18807" s="422"/>
    </row>
    <row r="18808" spans="191:191" x14ac:dyDescent="0.2">
      <c r="GI18808" s="422"/>
    </row>
    <row r="18809" spans="191:191" x14ac:dyDescent="0.2">
      <c r="GI18809" s="422"/>
    </row>
    <row r="18810" spans="191:191" x14ac:dyDescent="0.2">
      <c r="GI18810" s="422"/>
    </row>
    <row r="18811" spans="191:191" x14ac:dyDescent="0.2">
      <c r="GI18811" s="422"/>
    </row>
    <row r="18812" spans="191:191" x14ac:dyDescent="0.2">
      <c r="GI18812" s="422"/>
    </row>
    <row r="18813" spans="191:191" x14ac:dyDescent="0.2">
      <c r="GI18813" s="422"/>
    </row>
    <row r="18814" spans="191:191" x14ac:dyDescent="0.2">
      <c r="GI18814" s="422"/>
    </row>
    <row r="18815" spans="191:191" x14ac:dyDescent="0.2">
      <c r="GI18815" s="422"/>
    </row>
    <row r="18816" spans="191:191" x14ac:dyDescent="0.2">
      <c r="GI18816" s="422"/>
    </row>
    <row r="18817" spans="191:191" x14ac:dyDescent="0.2">
      <c r="GI18817" s="422"/>
    </row>
    <row r="18818" spans="191:191" x14ac:dyDescent="0.2">
      <c r="GI18818" s="422"/>
    </row>
    <row r="18819" spans="191:191" x14ac:dyDescent="0.2">
      <c r="GI18819" s="422"/>
    </row>
    <row r="18820" spans="191:191" x14ac:dyDescent="0.2">
      <c r="GI18820" s="422"/>
    </row>
    <row r="18821" spans="191:191" x14ac:dyDescent="0.2">
      <c r="GI18821" s="422"/>
    </row>
    <row r="18822" spans="191:191" x14ac:dyDescent="0.2">
      <c r="GI18822" s="422"/>
    </row>
    <row r="18823" spans="191:191" x14ac:dyDescent="0.2">
      <c r="GI18823" s="422"/>
    </row>
    <row r="18824" spans="191:191" x14ac:dyDescent="0.2">
      <c r="GI18824" s="422"/>
    </row>
    <row r="18825" spans="191:191" x14ac:dyDescent="0.2">
      <c r="GI18825" s="422"/>
    </row>
    <row r="18826" spans="191:191" x14ac:dyDescent="0.2">
      <c r="GI18826" s="422"/>
    </row>
    <row r="18827" spans="191:191" x14ac:dyDescent="0.2">
      <c r="GI18827" s="422"/>
    </row>
    <row r="18828" spans="191:191" x14ac:dyDescent="0.2">
      <c r="GI18828" s="422"/>
    </row>
    <row r="18829" spans="191:191" x14ac:dyDescent="0.2">
      <c r="GI18829" s="422"/>
    </row>
    <row r="18830" spans="191:191" x14ac:dyDescent="0.2">
      <c r="GI18830" s="422"/>
    </row>
    <row r="18831" spans="191:191" x14ac:dyDescent="0.2">
      <c r="GI18831" s="422"/>
    </row>
    <row r="18832" spans="191:191" x14ac:dyDescent="0.2">
      <c r="GI18832" s="422"/>
    </row>
    <row r="18833" spans="191:191" x14ac:dyDescent="0.2">
      <c r="GI18833" s="422"/>
    </row>
    <row r="18834" spans="191:191" x14ac:dyDescent="0.2">
      <c r="GI18834" s="422"/>
    </row>
    <row r="18835" spans="191:191" x14ac:dyDescent="0.2">
      <c r="GI18835" s="422"/>
    </row>
    <row r="18836" spans="191:191" x14ac:dyDescent="0.2">
      <c r="GI18836" s="422"/>
    </row>
    <row r="18837" spans="191:191" x14ac:dyDescent="0.2">
      <c r="GI18837" s="422"/>
    </row>
    <row r="18838" spans="191:191" x14ac:dyDescent="0.2">
      <c r="GI18838" s="422"/>
    </row>
    <row r="18839" spans="191:191" x14ac:dyDescent="0.2">
      <c r="GI18839" s="422"/>
    </row>
    <row r="18840" spans="191:191" x14ac:dyDescent="0.2">
      <c r="GI18840" s="422"/>
    </row>
    <row r="18841" spans="191:191" x14ac:dyDescent="0.2">
      <c r="GI18841" s="422"/>
    </row>
    <row r="18842" spans="191:191" x14ac:dyDescent="0.2">
      <c r="GI18842" s="422"/>
    </row>
    <row r="18843" spans="191:191" x14ac:dyDescent="0.2">
      <c r="GI18843" s="422"/>
    </row>
    <row r="18844" spans="191:191" x14ac:dyDescent="0.2">
      <c r="GI18844" s="422"/>
    </row>
    <row r="18845" spans="191:191" x14ac:dyDescent="0.2">
      <c r="GI18845" s="422"/>
    </row>
    <row r="18846" spans="191:191" x14ac:dyDescent="0.2">
      <c r="GI18846" s="422"/>
    </row>
    <row r="18847" spans="191:191" x14ac:dyDescent="0.2">
      <c r="GI18847" s="422"/>
    </row>
    <row r="18848" spans="191:191" x14ac:dyDescent="0.2">
      <c r="GI18848" s="422"/>
    </row>
    <row r="18849" spans="191:191" x14ac:dyDescent="0.2">
      <c r="GI18849" s="422"/>
    </row>
    <row r="18850" spans="191:191" x14ac:dyDescent="0.2">
      <c r="GI18850" s="422"/>
    </row>
    <row r="18851" spans="191:191" x14ac:dyDescent="0.2">
      <c r="GI18851" s="422"/>
    </row>
    <row r="18852" spans="191:191" x14ac:dyDescent="0.2">
      <c r="GI18852" s="422"/>
    </row>
    <row r="18853" spans="191:191" x14ac:dyDescent="0.2">
      <c r="GI18853" s="422"/>
    </row>
    <row r="18854" spans="191:191" x14ac:dyDescent="0.2">
      <c r="GI18854" s="422"/>
    </row>
    <row r="18855" spans="191:191" x14ac:dyDescent="0.2">
      <c r="GI18855" s="422"/>
    </row>
    <row r="18856" spans="191:191" x14ac:dyDescent="0.2">
      <c r="GI18856" s="422"/>
    </row>
    <row r="18857" spans="191:191" x14ac:dyDescent="0.2">
      <c r="GI18857" s="422"/>
    </row>
    <row r="18858" spans="191:191" x14ac:dyDescent="0.2">
      <c r="GI18858" s="422"/>
    </row>
    <row r="18859" spans="191:191" x14ac:dyDescent="0.2">
      <c r="GI18859" s="422"/>
    </row>
    <row r="18860" spans="191:191" x14ac:dyDescent="0.2">
      <c r="GI18860" s="422"/>
    </row>
    <row r="18861" spans="191:191" x14ac:dyDescent="0.2">
      <c r="GI18861" s="422"/>
    </row>
    <row r="18862" spans="191:191" x14ac:dyDescent="0.2">
      <c r="GI18862" s="422"/>
    </row>
    <row r="18863" spans="191:191" x14ac:dyDescent="0.2">
      <c r="GI18863" s="422"/>
    </row>
    <row r="18864" spans="191:191" x14ac:dyDescent="0.2">
      <c r="GI18864" s="422"/>
    </row>
    <row r="18865" spans="191:191" x14ac:dyDescent="0.2">
      <c r="GI18865" s="422"/>
    </row>
    <row r="18866" spans="191:191" x14ac:dyDescent="0.2">
      <c r="GI18866" s="422"/>
    </row>
    <row r="18867" spans="191:191" x14ac:dyDescent="0.2">
      <c r="GI18867" s="422"/>
    </row>
    <row r="18868" spans="191:191" x14ac:dyDescent="0.2">
      <c r="GI18868" s="422"/>
    </row>
    <row r="18869" spans="191:191" x14ac:dyDescent="0.2">
      <c r="GI18869" s="422"/>
    </row>
    <row r="18870" spans="191:191" x14ac:dyDescent="0.2">
      <c r="GI18870" s="422"/>
    </row>
    <row r="18871" spans="191:191" x14ac:dyDescent="0.2">
      <c r="GI18871" s="422"/>
    </row>
    <row r="18872" spans="191:191" x14ac:dyDescent="0.2">
      <c r="GI18872" s="422"/>
    </row>
    <row r="18873" spans="191:191" x14ac:dyDescent="0.2">
      <c r="GI18873" s="422"/>
    </row>
    <row r="18874" spans="191:191" x14ac:dyDescent="0.2">
      <c r="GI18874" s="422"/>
    </row>
    <row r="18875" spans="191:191" x14ac:dyDescent="0.2">
      <c r="GI18875" s="422"/>
    </row>
    <row r="18876" spans="191:191" x14ac:dyDescent="0.2">
      <c r="GI18876" s="422"/>
    </row>
    <row r="18877" spans="191:191" x14ac:dyDescent="0.2">
      <c r="GI18877" s="422"/>
    </row>
    <row r="18878" spans="191:191" x14ac:dyDescent="0.2">
      <c r="GI18878" s="422"/>
    </row>
    <row r="18879" spans="191:191" x14ac:dyDescent="0.2">
      <c r="GI18879" s="422"/>
    </row>
    <row r="18880" spans="191:191" x14ac:dyDescent="0.2">
      <c r="GI18880" s="422"/>
    </row>
    <row r="18881" spans="191:191" x14ac:dyDescent="0.2">
      <c r="GI18881" s="422"/>
    </row>
    <row r="18882" spans="191:191" x14ac:dyDescent="0.2">
      <c r="GI18882" s="422"/>
    </row>
    <row r="18883" spans="191:191" x14ac:dyDescent="0.2">
      <c r="GI18883" s="422"/>
    </row>
    <row r="18884" spans="191:191" x14ac:dyDescent="0.2">
      <c r="GI18884" s="422"/>
    </row>
    <row r="18885" spans="191:191" x14ac:dyDescent="0.2">
      <c r="GI18885" s="422"/>
    </row>
    <row r="18886" spans="191:191" x14ac:dyDescent="0.2">
      <c r="GI18886" s="422"/>
    </row>
    <row r="18887" spans="191:191" x14ac:dyDescent="0.2">
      <c r="GI18887" s="422"/>
    </row>
    <row r="18888" spans="191:191" x14ac:dyDescent="0.2">
      <c r="GI18888" s="422"/>
    </row>
    <row r="18889" spans="191:191" x14ac:dyDescent="0.2">
      <c r="GI18889" s="422"/>
    </row>
    <row r="18890" spans="191:191" x14ac:dyDescent="0.2">
      <c r="GI18890" s="422"/>
    </row>
    <row r="18891" spans="191:191" x14ac:dyDescent="0.2">
      <c r="GI18891" s="422"/>
    </row>
    <row r="18892" spans="191:191" x14ac:dyDescent="0.2">
      <c r="GI18892" s="422"/>
    </row>
    <row r="18893" spans="191:191" x14ac:dyDescent="0.2">
      <c r="GI18893" s="422"/>
    </row>
    <row r="18894" spans="191:191" x14ac:dyDescent="0.2">
      <c r="GI18894" s="422"/>
    </row>
    <row r="18895" spans="191:191" x14ac:dyDescent="0.2">
      <c r="GI18895" s="422"/>
    </row>
    <row r="18896" spans="191:191" x14ac:dyDescent="0.2">
      <c r="GI18896" s="422"/>
    </row>
    <row r="18897" spans="191:191" x14ac:dyDescent="0.2">
      <c r="GI18897" s="422"/>
    </row>
    <row r="18898" spans="191:191" x14ac:dyDescent="0.2">
      <c r="GI18898" s="422"/>
    </row>
    <row r="18899" spans="191:191" x14ac:dyDescent="0.2">
      <c r="GI18899" s="422"/>
    </row>
    <row r="18900" spans="191:191" x14ac:dyDescent="0.2">
      <c r="GI18900" s="422"/>
    </row>
    <row r="18901" spans="191:191" x14ac:dyDescent="0.2">
      <c r="GI18901" s="422"/>
    </row>
    <row r="18902" spans="191:191" x14ac:dyDescent="0.2">
      <c r="GI18902" s="422"/>
    </row>
    <row r="18903" spans="191:191" x14ac:dyDescent="0.2">
      <c r="GI18903" s="422"/>
    </row>
    <row r="18904" spans="191:191" x14ac:dyDescent="0.2">
      <c r="GI18904" s="422"/>
    </row>
    <row r="18905" spans="191:191" x14ac:dyDescent="0.2">
      <c r="GI18905" s="422"/>
    </row>
    <row r="18906" spans="191:191" x14ac:dyDescent="0.2">
      <c r="GI18906" s="422"/>
    </row>
    <row r="18907" spans="191:191" x14ac:dyDescent="0.2">
      <c r="GI18907" s="422"/>
    </row>
    <row r="18908" spans="191:191" x14ac:dyDescent="0.2">
      <c r="GI18908" s="422"/>
    </row>
    <row r="18909" spans="191:191" x14ac:dyDescent="0.2">
      <c r="GI18909" s="422"/>
    </row>
    <row r="18910" spans="191:191" x14ac:dyDescent="0.2">
      <c r="GI18910" s="422"/>
    </row>
    <row r="18911" spans="191:191" x14ac:dyDescent="0.2">
      <c r="GI18911" s="422"/>
    </row>
    <row r="18912" spans="191:191" x14ac:dyDescent="0.2">
      <c r="GI18912" s="422"/>
    </row>
    <row r="18913" spans="191:191" x14ac:dyDescent="0.2">
      <c r="GI18913" s="422"/>
    </row>
    <row r="18914" spans="191:191" x14ac:dyDescent="0.2">
      <c r="GI18914" s="422"/>
    </row>
    <row r="18915" spans="191:191" x14ac:dyDescent="0.2">
      <c r="GI18915" s="422"/>
    </row>
    <row r="18916" spans="191:191" x14ac:dyDescent="0.2">
      <c r="GI18916" s="422"/>
    </row>
    <row r="18917" spans="191:191" x14ac:dyDescent="0.2">
      <c r="GI18917" s="422"/>
    </row>
    <row r="18918" spans="191:191" x14ac:dyDescent="0.2">
      <c r="GI18918" s="422"/>
    </row>
    <row r="18919" spans="191:191" x14ac:dyDescent="0.2">
      <c r="GI18919" s="422"/>
    </row>
    <row r="18920" spans="191:191" x14ac:dyDescent="0.2">
      <c r="GI18920" s="422"/>
    </row>
    <row r="18921" spans="191:191" x14ac:dyDescent="0.2">
      <c r="GI18921" s="422"/>
    </row>
    <row r="18922" spans="191:191" x14ac:dyDescent="0.2">
      <c r="GI18922" s="422"/>
    </row>
    <row r="18923" spans="191:191" x14ac:dyDescent="0.2">
      <c r="GI18923" s="422"/>
    </row>
    <row r="18924" spans="191:191" x14ac:dyDescent="0.2">
      <c r="GI18924" s="422"/>
    </row>
    <row r="18925" spans="191:191" x14ac:dyDescent="0.2">
      <c r="GI18925" s="422"/>
    </row>
    <row r="18926" spans="191:191" x14ac:dyDescent="0.2">
      <c r="GI18926" s="422"/>
    </row>
    <row r="18927" spans="191:191" x14ac:dyDescent="0.2">
      <c r="GI18927" s="422"/>
    </row>
    <row r="18928" spans="191:191" x14ac:dyDescent="0.2">
      <c r="GI18928" s="422"/>
    </row>
    <row r="18929" spans="191:191" x14ac:dyDescent="0.2">
      <c r="GI18929" s="422"/>
    </row>
    <row r="18930" spans="191:191" x14ac:dyDescent="0.2">
      <c r="GI18930" s="422"/>
    </row>
    <row r="18931" spans="191:191" x14ac:dyDescent="0.2">
      <c r="GI18931" s="422"/>
    </row>
    <row r="18932" spans="191:191" x14ac:dyDescent="0.2">
      <c r="GI18932" s="422"/>
    </row>
    <row r="18933" spans="191:191" x14ac:dyDescent="0.2">
      <c r="GI18933" s="422"/>
    </row>
    <row r="18934" spans="191:191" x14ac:dyDescent="0.2">
      <c r="GI18934" s="422"/>
    </row>
    <row r="18935" spans="191:191" x14ac:dyDescent="0.2">
      <c r="GI18935" s="422"/>
    </row>
    <row r="18936" spans="191:191" x14ac:dyDescent="0.2">
      <c r="GI18936" s="422"/>
    </row>
    <row r="18937" spans="191:191" x14ac:dyDescent="0.2">
      <c r="GI18937" s="422"/>
    </row>
    <row r="18938" spans="191:191" x14ac:dyDescent="0.2">
      <c r="GI18938" s="422"/>
    </row>
    <row r="18939" spans="191:191" x14ac:dyDescent="0.2">
      <c r="GI18939" s="422"/>
    </row>
    <row r="18940" spans="191:191" x14ac:dyDescent="0.2">
      <c r="GI18940" s="422"/>
    </row>
    <row r="18941" spans="191:191" x14ac:dyDescent="0.2">
      <c r="GI18941" s="422"/>
    </row>
    <row r="18942" spans="191:191" x14ac:dyDescent="0.2">
      <c r="GI18942" s="422"/>
    </row>
    <row r="18943" spans="191:191" x14ac:dyDescent="0.2">
      <c r="GI18943" s="422"/>
    </row>
    <row r="18944" spans="191:191" x14ac:dyDescent="0.2">
      <c r="GI18944" s="422"/>
    </row>
    <row r="18945" spans="191:191" x14ac:dyDescent="0.2">
      <c r="GI18945" s="422"/>
    </row>
    <row r="18946" spans="191:191" x14ac:dyDescent="0.2">
      <c r="GI18946" s="422"/>
    </row>
    <row r="18947" spans="191:191" x14ac:dyDescent="0.2">
      <c r="GI18947" s="422"/>
    </row>
    <row r="18948" spans="191:191" x14ac:dyDescent="0.2">
      <c r="GI18948" s="422"/>
    </row>
    <row r="18949" spans="191:191" x14ac:dyDescent="0.2">
      <c r="GI18949" s="422"/>
    </row>
    <row r="18950" spans="191:191" x14ac:dyDescent="0.2">
      <c r="GI18950" s="422"/>
    </row>
    <row r="18951" spans="191:191" x14ac:dyDescent="0.2">
      <c r="GI18951" s="422"/>
    </row>
    <row r="18952" spans="191:191" x14ac:dyDescent="0.2">
      <c r="GI18952" s="422"/>
    </row>
    <row r="18953" spans="191:191" x14ac:dyDescent="0.2">
      <c r="GI18953" s="422"/>
    </row>
    <row r="18954" spans="191:191" x14ac:dyDescent="0.2">
      <c r="GI18954" s="422"/>
    </row>
    <row r="18955" spans="191:191" x14ac:dyDescent="0.2">
      <c r="GI18955" s="422"/>
    </row>
    <row r="18956" spans="191:191" x14ac:dyDescent="0.2">
      <c r="GI18956" s="422"/>
    </row>
    <row r="18957" spans="191:191" x14ac:dyDescent="0.2">
      <c r="GI18957" s="422"/>
    </row>
    <row r="18958" spans="191:191" x14ac:dyDescent="0.2">
      <c r="GI18958" s="422"/>
    </row>
    <row r="18959" spans="191:191" x14ac:dyDescent="0.2">
      <c r="GI18959" s="422"/>
    </row>
    <row r="18960" spans="191:191" x14ac:dyDescent="0.2">
      <c r="GI18960" s="422"/>
    </row>
    <row r="18961" spans="191:191" x14ac:dyDescent="0.2">
      <c r="GI18961" s="422"/>
    </row>
    <row r="18962" spans="191:191" x14ac:dyDescent="0.2">
      <c r="GI18962" s="422"/>
    </row>
    <row r="18963" spans="191:191" x14ac:dyDescent="0.2">
      <c r="GI18963" s="422"/>
    </row>
    <row r="18964" spans="191:191" x14ac:dyDescent="0.2">
      <c r="GI18964" s="422"/>
    </row>
    <row r="18965" spans="191:191" x14ac:dyDescent="0.2">
      <c r="GI18965" s="422"/>
    </row>
    <row r="18966" spans="191:191" x14ac:dyDescent="0.2">
      <c r="GI18966" s="422"/>
    </row>
    <row r="18967" spans="191:191" x14ac:dyDescent="0.2">
      <c r="GI18967" s="422"/>
    </row>
    <row r="18968" spans="191:191" x14ac:dyDescent="0.2">
      <c r="GI18968" s="422"/>
    </row>
    <row r="18969" spans="191:191" x14ac:dyDescent="0.2">
      <c r="GI18969" s="422"/>
    </row>
    <row r="18970" spans="191:191" x14ac:dyDescent="0.2">
      <c r="GI18970" s="422"/>
    </row>
    <row r="18971" spans="191:191" x14ac:dyDescent="0.2">
      <c r="GI18971" s="422"/>
    </row>
    <row r="18972" spans="191:191" x14ac:dyDescent="0.2">
      <c r="GI18972" s="422"/>
    </row>
    <row r="18973" spans="191:191" x14ac:dyDescent="0.2">
      <c r="GI18973" s="422"/>
    </row>
    <row r="18974" spans="191:191" x14ac:dyDescent="0.2">
      <c r="GI18974" s="422"/>
    </row>
    <row r="18975" spans="191:191" x14ac:dyDescent="0.2">
      <c r="GI18975" s="422"/>
    </row>
    <row r="18976" spans="191:191" x14ac:dyDescent="0.2">
      <c r="GI18976" s="422"/>
    </row>
    <row r="18977" spans="191:191" x14ac:dyDescent="0.2">
      <c r="GI18977" s="422"/>
    </row>
    <row r="18978" spans="191:191" x14ac:dyDescent="0.2">
      <c r="GI18978" s="422"/>
    </row>
    <row r="18979" spans="191:191" x14ac:dyDescent="0.2">
      <c r="GI18979" s="422"/>
    </row>
    <row r="18980" spans="191:191" x14ac:dyDescent="0.2">
      <c r="GI18980" s="422"/>
    </row>
    <row r="18981" spans="191:191" x14ac:dyDescent="0.2">
      <c r="GI18981" s="422"/>
    </row>
    <row r="18982" spans="191:191" x14ac:dyDescent="0.2">
      <c r="GI18982" s="422"/>
    </row>
    <row r="18983" spans="191:191" x14ac:dyDescent="0.2">
      <c r="GI18983" s="422"/>
    </row>
    <row r="18984" spans="191:191" x14ac:dyDescent="0.2">
      <c r="GI18984" s="422"/>
    </row>
    <row r="18985" spans="191:191" x14ac:dyDescent="0.2">
      <c r="GI18985" s="422"/>
    </row>
    <row r="18986" spans="191:191" x14ac:dyDescent="0.2">
      <c r="GI18986" s="422"/>
    </row>
    <row r="18987" spans="191:191" x14ac:dyDescent="0.2">
      <c r="GI18987" s="422"/>
    </row>
    <row r="18988" spans="191:191" x14ac:dyDescent="0.2">
      <c r="GI18988" s="422"/>
    </row>
    <row r="18989" spans="191:191" x14ac:dyDescent="0.2">
      <c r="GI18989" s="422"/>
    </row>
    <row r="18990" spans="191:191" x14ac:dyDescent="0.2">
      <c r="GI18990" s="422"/>
    </row>
    <row r="18991" spans="191:191" x14ac:dyDescent="0.2">
      <c r="GI18991" s="422"/>
    </row>
    <row r="18992" spans="191:191" x14ac:dyDescent="0.2">
      <c r="GI18992" s="422"/>
    </row>
    <row r="18993" spans="191:191" x14ac:dyDescent="0.2">
      <c r="GI18993" s="422"/>
    </row>
    <row r="18994" spans="191:191" x14ac:dyDescent="0.2">
      <c r="GI18994" s="422"/>
    </row>
    <row r="18995" spans="191:191" x14ac:dyDescent="0.2">
      <c r="GI18995" s="422"/>
    </row>
    <row r="18996" spans="191:191" x14ac:dyDescent="0.2">
      <c r="GI18996" s="422"/>
    </row>
    <row r="18997" spans="191:191" x14ac:dyDescent="0.2">
      <c r="GI18997" s="422"/>
    </row>
    <row r="18998" spans="191:191" x14ac:dyDescent="0.2">
      <c r="GI18998" s="422"/>
    </row>
    <row r="18999" spans="191:191" x14ac:dyDescent="0.2">
      <c r="GI18999" s="422"/>
    </row>
    <row r="19000" spans="191:191" x14ac:dyDescent="0.2">
      <c r="GI19000" s="422"/>
    </row>
    <row r="19001" spans="191:191" x14ac:dyDescent="0.2">
      <c r="GI19001" s="422"/>
    </row>
    <row r="19002" spans="191:191" x14ac:dyDescent="0.2">
      <c r="GI19002" s="422"/>
    </row>
    <row r="19003" spans="191:191" x14ac:dyDescent="0.2">
      <c r="GI19003" s="422"/>
    </row>
    <row r="19004" spans="191:191" x14ac:dyDescent="0.2">
      <c r="GI19004" s="422"/>
    </row>
    <row r="19005" spans="191:191" x14ac:dyDescent="0.2">
      <c r="GI19005" s="422"/>
    </row>
    <row r="19006" spans="191:191" x14ac:dyDescent="0.2">
      <c r="GI19006" s="422"/>
    </row>
    <row r="19007" spans="191:191" x14ac:dyDescent="0.2">
      <c r="GI19007" s="422"/>
    </row>
    <row r="19008" spans="191:191" x14ac:dyDescent="0.2">
      <c r="GI19008" s="422"/>
    </row>
    <row r="19009" spans="191:191" x14ac:dyDescent="0.2">
      <c r="GI19009" s="422"/>
    </row>
    <row r="19010" spans="191:191" x14ac:dyDescent="0.2">
      <c r="GI19010" s="422"/>
    </row>
    <row r="19011" spans="191:191" x14ac:dyDescent="0.2">
      <c r="GI19011" s="422"/>
    </row>
    <row r="19012" spans="191:191" x14ac:dyDescent="0.2">
      <c r="GI19012" s="422"/>
    </row>
    <row r="19013" spans="191:191" x14ac:dyDescent="0.2">
      <c r="GI19013" s="422"/>
    </row>
    <row r="19014" spans="191:191" x14ac:dyDescent="0.2">
      <c r="GI19014" s="422"/>
    </row>
    <row r="19015" spans="191:191" x14ac:dyDescent="0.2">
      <c r="GI19015" s="422"/>
    </row>
    <row r="19016" spans="191:191" x14ac:dyDescent="0.2">
      <c r="GI19016" s="422"/>
    </row>
    <row r="19017" spans="191:191" x14ac:dyDescent="0.2">
      <c r="GI19017" s="422"/>
    </row>
    <row r="19018" spans="191:191" x14ac:dyDescent="0.2">
      <c r="GI19018" s="422"/>
    </row>
    <row r="19019" spans="191:191" x14ac:dyDescent="0.2">
      <c r="GI19019" s="422"/>
    </row>
    <row r="19020" spans="191:191" x14ac:dyDescent="0.2">
      <c r="GI19020" s="422"/>
    </row>
    <row r="19021" spans="191:191" x14ac:dyDescent="0.2">
      <c r="GI19021" s="422"/>
    </row>
    <row r="19022" spans="191:191" x14ac:dyDescent="0.2">
      <c r="GI19022" s="422"/>
    </row>
    <row r="19023" spans="191:191" x14ac:dyDescent="0.2">
      <c r="GI19023" s="422"/>
    </row>
    <row r="19024" spans="191:191" x14ac:dyDescent="0.2">
      <c r="GI19024" s="422"/>
    </row>
    <row r="19025" spans="191:191" x14ac:dyDescent="0.2">
      <c r="GI19025" s="422"/>
    </row>
    <row r="19026" spans="191:191" x14ac:dyDescent="0.2">
      <c r="GI19026" s="422"/>
    </row>
    <row r="19027" spans="191:191" x14ac:dyDescent="0.2">
      <c r="GI19027" s="422"/>
    </row>
    <row r="19028" spans="191:191" x14ac:dyDescent="0.2">
      <c r="GI19028" s="422"/>
    </row>
    <row r="19029" spans="191:191" x14ac:dyDescent="0.2">
      <c r="GI19029" s="422"/>
    </row>
    <row r="19030" spans="191:191" x14ac:dyDescent="0.2">
      <c r="GI19030" s="422"/>
    </row>
    <row r="19031" spans="191:191" x14ac:dyDescent="0.2">
      <c r="GI19031" s="422"/>
    </row>
    <row r="19032" spans="191:191" x14ac:dyDescent="0.2">
      <c r="GI19032" s="422"/>
    </row>
    <row r="19033" spans="191:191" x14ac:dyDescent="0.2">
      <c r="GI19033" s="422"/>
    </row>
    <row r="19034" spans="191:191" x14ac:dyDescent="0.2">
      <c r="GI19034" s="422"/>
    </row>
    <row r="19035" spans="191:191" x14ac:dyDescent="0.2">
      <c r="GI19035" s="422"/>
    </row>
    <row r="19036" spans="191:191" x14ac:dyDescent="0.2">
      <c r="GI19036" s="422"/>
    </row>
    <row r="19037" spans="191:191" x14ac:dyDescent="0.2">
      <c r="GI19037" s="422"/>
    </row>
    <row r="19038" spans="191:191" x14ac:dyDescent="0.2">
      <c r="GI19038" s="422"/>
    </row>
    <row r="19039" spans="191:191" x14ac:dyDescent="0.2">
      <c r="GI19039" s="422"/>
    </row>
    <row r="19040" spans="191:191" x14ac:dyDescent="0.2">
      <c r="GI19040" s="422"/>
    </row>
    <row r="19041" spans="191:191" x14ac:dyDescent="0.2">
      <c r="GI19041" s="422"/>
    </row>
    <row r="19042" spans="191:191" x14ac:dyDescent="0.2">
      <c r="GI19042" s="422"/>
    </row>
    <row r="19043" spans="191:191" x14ac:dyDescent="0.2">
      <c r="GI19043" s="422"/>
    </row>
    <row r="19044" spans="191:191" x14ac:dyDescent="0.2">
      <c r="GI19044" s="422"/>
    </row>
    <row r="19045" spans="191:191" x14ac:dyDescent="0.2">
      <c r="GI19045" s="422"/>
    </row>
    <row r="19046" spans="191:191" x14ac:dyDescent="0.2">
      <c r="GI19046" s="422"/>
    </row>
    <row r="19047" spans="191:191" x14ac:dyDescent="0.2">
      <c r="GI19047" s="422"/>
    </row>
    <row r="19048" spans="191:191" x14ac:dyDescent="0.2">
      <c r="GI19048" s="422"/>
    </row>
    <row r="19049" spans="191:191" x14ac:dyDescent="0.2">
      <c r="GI19049" s="422"/>
    </row>
    <row r="19050" spans="191:191" x14ac:dyDescent="0.2">
      <c r="GI19050" s="422"/>
    </row>
    <row r="19051" spans="191:191" x14ac:dyDescent="0.2">
      <c r="GI19051" s="422"/>
    </row>
    <row r="19052" spans="191:191" x14ac:dyDescent="0.2">
      <c r="GI19052" s="422"/>
    </row>
    <row r="19053" spans="191:191" x14ac:dyDescent="0.2">
      <c r="GI19053" s="422"/>
    </row>
    <row r="19054" spans="191:191" x14ac:dyDescent="0.2">
      <c r="GI19054" s="422"/>
    </row>
    <row r="19055" spans="191:191" x14ac:dyDescent="0.2">
      <c r="GI19055" s="422"/>
    </row>
    <row r="19056" spans="191:191" x14ac:dyDescent="0.2">
      <c r="GI19056" s="422"/>
    </row>
    <row r="19057" spans="191:191" x14ac:dyDescent="0.2">
      <c r="GI19057" s="422"/>
    </row>
    <row r="19058" spans="191:191" x14ac:dyDescent="0.2">
      <c r="GI19058" s="422"/>
    </row>
    <row r="19059" spans="191:191" x14ac:dyDescent="0.2">
      <c r="GI19059" s="422"/>
    </row>
    <row r="19060" spans="191:191" x14ac:dyDescent="0.2">
      <c r="GI19060" s="422"/>
    </row>
    <row r="19061" spans="191:191" x14ac:dyDescent="0.2">
      <c r="GI19061" s="422"/>
    </row>
    <row r="19062" spans="191:191" x14ac:dyDescent="0.2">
      <c r="GI19062" s="422"/>
    </row>
    <row r="19063" spans="191:191" x14ac:dyDescent="0.2">
      <c r="GI19063" s="422"/>
    </row>
    <row r="19064" spans="191:191" x14ac:dyDescent="0.2">
      <c r="GI19064" s="422"/>
    </row>
    <row r="19065" spans="191:191" x14ac:dyDescent="0.2">
      <c r="GI19065" s="422"/>
    </row>
    <row r="19066" spans="191:191" x14ac:dyDescent="0.2">
      <c r="GI19066" s="422"/>
    </row>
    <row r="19067" spans="191:191" x14ac:dyDescent="0.2">
      <c r="GI19067" s="422"/>
    </row>
    <row r="19068" spans="191:191" x14ac:dyDescent="0.2">
      <c r="GI19068" s="422"/>
    </row>
    <row r="19069" spans="191:191" x14ac:dyDescent="0.2">
      <c r="GI19069" s="422"/>
    </row>
    <row r="19070" spans="191:191" x14ac:dyDescent="0.2">
      <c r="GI19070" s="422"/>
    </row>
    <row r="19071" spans="191:191" x14ac:dyDescent="0.2">
      <c r="GI19071" s="422"/>
    </row>
    <row r="19072" spans="191:191" x14ac:dyDescent="0.2">
      <c r="GI19072" s="422"/>
    </row>
    <row r="19073" spans="191:191" x14ac:dyDescent="0.2">
      <c r="GI19073" s="422"/>
    </row>
    <row r="19074" spans="191:191" x14ac:dyDescent="0.2">
      <c r="GI19074" s="422"/>
    </row>
    <row r="19075" spans="191:191" x14ac:dyDescent="0.2">
      <c r="GI19075" s="422"/>
    </row>
    <row r="19076" spans="191:191" x14ac:dyDescent="0.2">
      <c r="GI19076" s="422"/>
    </row>
    <row r="19077" spans="191:191" x14ac:dyDescent="0.2">
      <c r="GI19077" s="422"/>
    </row>
    <row r="19078" spans="191:191" x14ac:dyDescent="0.2">
      <c r="GI19078" s="422"/>
    </row>
    <row r="19079" spans="191:191" x14ac:dyDescent="0.2">
      <c r="GI19079" s="422"/>
    </row>
    <row r="19080" spans="191:191" x14ac:dyDescent="0.2">
      <c r="GI19080" s="422"/>
    </row>
    <row r="19081" spans="191:191" x14ac:dyDescent="0.2">
      <c r="GI19081" s="422"/>
    </row>
    <row r="19082" spans="191:191" x14ac:dyDescent="0.2">
      <c r="GI19082" s="422"/>
    </row>
    <row r="19083" spans="191:191" x14ac:dyDescent="0.2">
      <c r="GI19083" s="422"/>
    </row>
    <row r="19084" spans="191:191" x14ac:dyDescent="0.2">
      <c r="GI19084" s="422"/>
    </row>
    <row r="19085" spans="191:191" x14ac:dyDescent="0.2">
      <c r="GI19085" s="422"/>
    </row>
    <row r="19086" spans="191:191" x14ac:dyDescent="0.2">
      <c r="GI19086" s="422"/>
    </row>
    <row r="19087" spans="191:191" x14ac:dyDescent="0.2">
      <c r="GI19087" s="422"/>
    </row>
    <row r="19088" spans="191:191" x14ac:dyDescent="0.2">
      <c r="GI19088" s="422"/>
    </row>
    <row r="19089" spans="191:191" x14ac:dyDescent="0.2">
      <c r="GI19089" s="422"/>
    </row>
    <row r="19090" spans="191:191" x14ac:dyDescent="0.2">
      <c r="GI19090" s="422"/>
    </row>
    <row r="19091" spans="191:191" x14ac:dyDescent="0.2">
      <c r="GI19091" s="422"/>
    </row>
    <row r="19092" spans="191:191" x14ac:dyDescent="0.2">
      <c r="GI19092" s="422"/>
    </row>
    <row r="19093" spans="191:191" x14ac:dyDescent="0.2">
      <c r="GI19093" s="422"/>
    </row>
    <row r="19094" spans="191:191" x14ac:dyDescent="0.2">
      <c r="GI19094" s="422"/>
    </row>
    <row r="19095" spans="191:191" x14ac:dyDescent="0.2">
      <c r="GI19095" s="422"/>
    </row>
    <row r="19096" spans="191:191" x14ac:dyDescent="0.2">
      <c r="GI19096" s="422"/>
    </row>
    <row r="19097" spans="191:191" x14ac:dyDescent="0.2">
      <c r="GI19097" s="422"/>
    </row>
    <row r="19098" spans="191:191" x14ac:dyDescent="0.2">
      <c r="GI19098" s="422"/>
    </row>
    <row r="19099" spans="191:191" x14ac:dyDescent="0.2">
      <c r="GI19099" s="422"/>
    </row>
    <row r="19100" spans="191:191" x14ac:dyDescent="0.2">
      <c r="GI19100" s="422"/>
    </row>
    <row r="19101" spans="191:191" x14ac:dyDescent="0.2">
      <c r="GI19101" s="422"/>
    </row>
    <row r="19102" spans="191:191" x14ac:dyDescent="0.2">
      <c r="GI19102" s="422"/>
    </row>
    <row r="19103" spans="191:191" x14ac:dyDescent="0.2">
      <c r="GI19103" s="422"/>
    </row>
    <row r="19104" spans="191:191" x14ac:dyDescent="0.2">
      <c r="GI19104" s="422"/>
    </row>
    <row r="19105" spans="191:191" x14ac:dyDescent="0.2">
      <c r="GI19105" s="422"/>
    </row>
    <row r="19106" spans="191:191" x14ac:dyDescent="0.2">
      <c r="GI19106" s="422"/>
    </row>
    <row r="19107" spans="191:191" x14ac:dyDescent="0.2">
      <c r="GI19107" s="422"/>
    </row>
    <row r="19108" spans="191:191" x14ac:dyDescent="0.2">
      <c r="GI19108" s="422"/>
    </row>
    <row r="19109" spans="191:191" x14ac:dyDescent="0.2">
      <c r="GI19109" s="422"/>
    </row>
    <row r="19110" spans="191:191" x14ac:dyDescent="0.2">
      <c r="GI19110" s="422"/>
    </row>
    <row r="19111" spans="191:191" x14ac:dyDescent="0.2">
      <c r="GI19111" s="422"/>
    </row>
    <row r="19112" spans="191:191" x14ac:dyDescent="0.2">
      <c r="GI19112" s="422"/>
    </row>
    <row r="19113" spans="191:191" x14ac:dyDescent="0.2">
      <c r="GI19113" s="422"/>
    </row>
    <row r="19114" spans="191:191" x14ac:dyDescent="0.2">
      <c r="GI19114" s="422"/>
    </row>
    <row r="19115" spans="191:191" x14ac:dyDescent="0.2">
      <c r="GI19115" s="422"/>
    </row>
    <row r="19116" spans="191:191" x14ac:dyDescent="0.2">
      <c r="GI19116" s="422"/>
    </row>
    <row r="19117" spans="191:191" x14ac:dyDescent="0.2">
      <c r="GI19117" s="422"/>
    </row>
    <row r="19118" spans="191:191" x14ac:dyDescent="0.2">
      <c r="GI19118" s="422"/>
    </row>
    <row r="19119" spans="191:191" x14ac:dyDescent="0.2">
      <c r="GI19119" s="422"/>
    </row>
    <row r="19120" spans="191:191" x14ac:dyDescent="0.2">
      <c r="GI19120" s="422"/>
    </row>
    <row r="19121" spans="191:191" x14ac:dyDescent="0.2">
      <c r="GI19121" s="422"/>
    </row>
    <row r="19122" spans="191:191" x14ac:dyDescent="0.2">
      <c r="GI19122" s="422"/>
    </row>
    <row r="19123" spans="191:191" x14ac:dyDescent="0.2">
      <c r="GI19123" s="422"/>
    </row>
    <row r="19124" spans="191:191" x14ac:dyDescent="0.2">
      <c r="GI19124" s="422"/>
    </row>
    <row r="19125" spans="191:191" x14ac:dyDescent="0.2">
      <c r="GI19125" s="422"/>
    </row>
    <row r="19126" spans="191:191" x14ac:dyDescent="0.2">
      <c r="GI19126" s="422"/>
    </row>
    <row r="19127" spans="191:191" x14ac:dyDescent="0.2">
      <c r="GI19127" s="422"/>
    </row>
    <row r="19128" spans="191:191" x14ac:dyDescent="0.2">
      <c r="GI19128" s="422"/>
    </row>
    <row r="19129" spans="191:191" x14ac:dyDescent="0.2">
      <c r="GI19129" s="422"/>
    </row>
    <row r="19130" spans="191:191" x14ac:dyDescent="0.2">
      <c r="GI19130" s="422"/>
    </row>
    <row r="19131" spans="191:191" x14ac:dyDescent="0.2">
      <c r="GI19131" s="422"/>
    </row>
    <row r="19132" spans="191:191" x14ac:dyDescent="0.2">
      <c r="GI19132" s="422"/>
    </row>
    <row r="19133" spans="191:191" x14ac:dyDescent="0.2">
      <c r="GI19133" s="422"/>
    </row>
    <row r="19134" spans="191:191" x14ac:dyDescent="0.2">
      <c r="GI19134" s="422"/>
    </row>
    <row r="19135" spans="191:191" x14ac:dyDescent="0.2">
      <c r="GI19135" s="422"/>
    </row>
    <row r="19136" spans="191:191" x14ac:dyDescent="0.2">
      <c r="GI19136" s="422"/>
    </row>
    <row r="19137" spans="191:191" x14ac:dyDescent="0.2">
      <c r="GI19137" s="422"/>
    </row>
    <row r="19138" spans="191:191" x14ac:dyDescent="0.2">
      <c r="GI19138" s="422"/>
    </row>
    <row r="19139" spans="191:191" x14ac:dyDescent="0.2">
      <c r="GI19139" s="422"/>
    </row>
    <row r="19140" spans="191:191" x14ac:dyDescent="0.2">
      <c r="GI19140" s="422"/>
    </row>
    <row r="19141" spans="191:191" x14ac:dyDescent="0.2">
      <c r="GI19141" s="422"/>
    </row>
    <row r="19142" spans="191:191" x14ac:dyDescent="0.2">
      <c r="GI19142" s="422"/>
    </row>
    <row r="19143" spans="191:191" x14ac:dyDescent="0.2">
      <c r="GI19143" s="422"/>
    </row>
    <row r="19144" spans="191:191" x14ac:dyDescent="0.2">
      <c r="GI19144" s="422"/>
    </row>
    <row r="19145" spans="191:191" x14ac:dyDescent="0.2">
      <c r="GI19145" s="422"/>
    </row>
    <row r="19146" spans="191:191" x14ac:dyDescent="0.2">
      <c r="GI19146" s="422"/>
    </row>
    <row r="19147" spans="191:191" x14ac:dyDescent="0.2">
      <c r="GI19147" s="422"/>
    </row>
    <row r="19148" spans="191:191" x14ac:dyDescent="0.2">
      <c r="GI19148" s="422"/>
    </row>
    <row r="19149" spans="191:191" x14ac:dyDescent="0.2">
      <c r="GI19149" s="422"/>
    </row>
    <row r="19150" spans="191:191" x14ac:dyDescent="0.2">
      <c r="GI19150" s="422"/>
    </row>
    <row r="19151" spans="191:191" x14ac:dyDescent="0.2">
      <c r="GI19151" s="422"/>
    </row>
    <row r="19152" spans="191:191" x14ac:dyDescent="0.2">
      <c r="GI19152" s="422"/>
    </row>
    <row r="19153" spans="191:191" x14ac:dyDescent="0.2">
      <c r="GI19153" s="422"/>
    </row>
    <row r="19154" spans="191:191" x14ac:dyDescent="0.2">
      <c r="GI19154" s="422"/>
    </row>
    <row r="19155" spans="191:191" x14ac:dyDescent="0.2">
      <c r="GI19155" s="422"/>
    </row>
    <row r="19156" spans="191:191" x14ac:dyDescent="0.2">
      <c r="GI19156" s="422"/>
    </row>
    <row r="19157" spans="191:191" x14ac:dyDescent="0.2">
      <c r="GI19157" s="422"/>
    </row>
    <row r="19158" spans="191:191" x14ac:dyDescent="0.2">
      <c r="GI19158" s="422"/>
    </row>
    <row r="19159" spans="191:191" x14ac:dyDescent="0.2">
      <c r="GI19159" s="422"/>
    </row>
    <row r="19160" spans="191:191" x14ac:dyDescent="0.2">
      <c r="GI19160" s="422"/>
    </row>
    <row r="19161" spans="191:191" x14ac:dyDescent="0.2">
      <c r="GI19161" s="422"/>
    </row>
    <row r="19162" spans="191:191" x14ac:dyDescent="0.2">
      <c r="GI19162" s="422"/>
    </row>
    <row r="19163" spans="191:191" x14ac:dyDescent="0.2">
      <c r="GI19163" s="422"/>
    </row>
    <row r="19164" spans="191:191" x14ac:dyDescent="0.2">
      <c r="GI19164" s="422"/>
    </row>
    <row r="19165" spans="191:191" x14ac:dyDescent="0.2">
      <c r="GI19165" s="422"/>
    </row>
    <row r="19166" spans="191:191" x14ac:dyDescent="0.2">
      <c r="GI19166" s="422"/>
    </row>
    <row r="19167" spans="191:191" x14ac:dyDescent="0.2">
      <c r="GI19167" s="422"/>
    </row>
    <row r="19168" spans="191:191" x14ac:dyDescent="0.2">
      <c r="GI19168" s="422"/>
    </row>
    <row r="19169" spans="191:191" x14ac:dyDescent="0.2">
      <c r="GI19169" s="422"/>
    </row>
    <row r="19170" spans="191:191" x14ac:dyDescent="0.2">
      <c r="GI19170" s="422"/>
    </row>
    <row r="19171" spans="191:191" x14ac:dyDescent="0.2">
      <c r="GI19171" s="422"/>
    </row>
    <row r="19172" spans="191:191" x14ac:dyDescent="0.2">
      <c r="GI19172" s="422"/>
    </row>
    <row r="19173" spans="191:191" x14ac:dyDescent="0.2">
      <c r="GI19173" s="422"/>
    </row>
    <row r="19174" spans="191:191" x14ac:dyDescent="0.2">
      <c r="GI19174" s="422"/>
    </row>
    <row r="19175" spans="191:191" x14ac:dyDescent="0.2">
      <c r="GI19175" s="422"/>
    </row>
    <row r="19176" spans="191:191" x14ac:dyDescent="0.2">
      <c r="GI19176" s="422"/>
    </row>
    <row r="19177" spans="191:191" x14ac:dyDescent="0.2">
      <c r="GI19177" s="422"/>
    </row>
    <row r="19178" spans="191:191" x14ac:dyDescent="0.2">
      <c r="GI19178" s="422"/>
    </row>
    <row r="19179" spans="191:191" x14ac:dyDescent="0.2">
      <c r="GI19179" s="422"/>
    </row>
    <row r="19180" spans="191:191" x14ac:dyDescent="0.2">
      <c r="GI19180" s="422"/>
    </row>
    <row r="19181" spans="191:191" x14ac:dyDescent="0.2">
      <c r="GI19181" s="422"/>
    </row>
    <row r="19182" spans="191:191" x14ac:dyDescent="0.2">
      <c r="GI19182" s="422"/>
    </row>
    <row r="19183" spans="191:191" x14ac:dyDescent="0.2">
      <c r="GI19183" s="422"/>
    </row>
    <row r="19184" spans="191:191" x14ac:dyDescent="0.2">
      <c r="GI19184" s="422"/>
    </row>
    <row r="19185" spans="191:191" x14ac:dyDescent="0.2">
      <c r="GI19185" s="422"/>
    </row>
    <row r="19186" spans="191:191" x14ac:dyDescent="0.2">
      <c r="GI19186" s="422"/>
    </row>
    <row r="19187" spans="191:191" x14ac:dyDescent="0.2">
      <c r="GI19187" s="422"/>
    </row>
    <row r="19188" spans="191:191" x14ac:dyDescent="0.2">
      <c r="GI19188" s="422"/>
    </row>
    <row r="19189" spans="191:191" x14ac:dyDescent="0.2">
      <c r="GI19189" s="422"/>
    </row>
    <row r="19190" spans="191:191" x14ac:dyDescent="0.2">
      <c r="GI19190" s="422"/>
    </row>
    <row r="19191" spans="191:191" x14ac:dyDescent="0.2">
      <c r="GI19191" s="422"/>
    </row>
    <row r="19192" spans="191:191" x14ac:dyDescent="0.2">
      <c r="GI19192" s="422"/>
    </row>
    <row r="19193" spans="191:191" x14ac:dyDescent="0.2">
      <c r="GI19193" s="422"/>
    </row>
    <row r="19194" spans="191:191" x14ac:dyDescent="0.2">
      <c r="GI19194" s="422"/>
    </row>
    <row r="19195" spans="191:191" x14ac:dyDescent="0.2">
      <c r="GI19195" s="422"/>
    </row>
    <row r="19196" spans="191:191" x14ac:dyDescent="0.2">
      <c r="GI19196" s="422"/>
    </row>
    <row r="19197" spans="191:191" x14ac:dyDescent="0.2">
      <c r="GI19197" s="422"/>
    </row>
    <row r="19198" spans="191:191" x14ac:dyDescent="0.2">
      <c r="GI19198" s="422"/>
    </row>
    <row r="19199" spans="191:191" x14ac:dyDescent="0.2">
      <c r="GI19199" s="422"/>
    </row>
    <row r="19200" spans="191:191" x14ac:dyDescent="0.2">
      <c r="GI19200" s="422"/>
    </row>
    <row r="19201" spans="191:191" x14ac:dyDescent="0.2">
      <c r="GI19201" s="422"/>
    </row>
    <row r="19202" spans="191:191" x14ac:dyDescent="0.2">
      <c r="GI19202" s="422"/>
    </row>
    <row r="19203" spans="191:191" x14ac:dyDescent="0.2">
      <c r="GI19203" s="422"/>
    </row>
    <row r="19204" spans="191:191" x14ac:dyDescent="0.2">
      <c r="GI19204" s="422"/>
    </row>
    <row r="19205" spans="191:191" x14ac:dyDescent="0.2">
      <c r="GI19205" s="422"/>
    </row>
    <row r="19206" spans="191:191" x14ac:dyDescent="0.2">
      <c r="GI19206" s="422"/>
    </row>
    <row r="19207" spans="191:191" x14ac:dyDescent="0.2">
      <c r="GI19207" s="422"/>
    </row>
    <row r="19208" spans="191:191" x14ac:dyDescent="0.2">
      <c r="GI19208" s="422"/>
    </row>
    <row r="19209" spans="191:191" x14ac:dyDescent="0.2">
      <c r="GI19209" s="422"/>
    </row>
    <row r="19210" spans="191:191" x14ac:dyDescent="0.2">
      <c r="GI19210" s="422"/>
    </row>
    <row r="19211" spans="191:191" x14ac:dyDescent="0.2">
      <c r="GI19211" s="422"/>
    </row>
    <row r="19212" spans="191:191" x14ac:dyDescent="0.2">
      <c r="GI19212" s="422"/>
    </row>
    <row r="19213" spans="191:191" x14ac:dyDescent="0.2">
      <c r="GI19213" s="422"/>
    </row>
    <row r="19214" spans="191:191" x14ac:dyDescent="0.2">
      <c r="GI19214" s="422"/>
    </row>
    <row r="19215" spans="191:191" x14ac:dyDescent="0.2">
      <c r="GI19215" s="422"/>
    </row>
    <row r="19216" spans="191:191" x14ac:dyDescent="0.2">
      <c r="GI19216" s="422"/>
    </row>
    <row r="19217" spans="191:191" x14ac:dyDescent="0.2">
      <c r="GI19217" s="422"/>
    </row>
    <row r="19218" spans="191:191" x14ac:dyDescent="0.2">
      <c r="GI19218" s="422"/>
    </row>
    <row r="19219" spans="191:191" x14ac:dyDescent="0.2">
      <c r="GI19219" s="422"/>
    </row>
    <row r="19220" spans="191:191" x14ac:dyDescent="0.2">
      <c r="GI19220" s="422"/>
    </row>
    <row r="19221" spans="191:191" x14ac:dyDescent="0.2">
      <c r="GI19221" s="422"/>
    </row>
    <row r="19222" spans="191:191" x14ac:dyDescent="0.2">
      <c r="GI19222" s="422"/>
    </row>
    <row r="19223" spans="191:191" x14ac:dyDescent="0.2">
      <c r="GI19223" s="422"/>
    </row>
    <row r="19224" spans="191:191" x14ac:dyDescent="0.2">
      <c r="GI19224" s="422"/>
    </row>
    <row r="19225" spans="191:191" x14ac:dyDescent="0.2">
      <c r="GI19225" s="422"/>
    </row>
    <row r="19226" spans="191:191" x14ac:dyDescent="0.2">
      <c r="GI19226" s="422"/>
    </row>
    <row r="19227" spans="191:191" x14ac:dyDescent="0.2">
      <c r="GI19227" s="422"/>
    </row>
    <row r="19228" spans="191:191" x14ac:dyDescent="0.2">
      <c r="GI19228" s="422"/>
    </row>
    <row r="19229" spans="191:191" x14ac:dyDescent="0.2">
      <c r="GI19229" s="422"/>
    </row>
    <row r="19230" spans="191:191" x14ac:dyDescent="0.2">
      <c r="GI19230" s="422"/>
    </row>
    <row r="19231" spans="191:191" x14ac:dyDescent="0.2">
      <c r="GI19231" s="422"/>
    </row>
    <row r="19232" spans="191:191" x14ac:dyDescent="0.2">
      <c r="GI19232" s="422"/>
    </row>
    <row r="19233" spans="191:191" x14ac:dyDescent="0.2">
      <c r="GI19233" s="422"/>
    </row>
    <row r="19234" spans="191:191" x14ac:dyDescent="0.2">
      <c r="GI19234" s="422"/>
    </row>
    <row r="19235" spans="191:191" x14ac:dyDescent="0.2">
      <c r="GI19235" s="422"/>
    </row>
    <row r="19236" spans="191:191" x14ac:dyDescent="0.2">
      <c r="GI19236" s="422"/>
    </row>
    <row r="19237" spans="191:191" x14ac:dyDescent="0.2">
      <c r="GI19237" s="422"/>
    </row>
    <row r="19238" spans="191:191" x14ac:dyDescent="0.2">
      <c r="GI19238" s="422"/>
    </row>
    <row r="19239" spans="191:191" x14ac:dyDescent="0.2">
      <c r="GI19239" s="422"/>
    </row>
    <row r="19240" spans="191:191" x14ac:dyDescent="0.2">
      <c r="GI19240" s="422"/>
    </row>
    <row r="19241" spans="191:191" x14ac:dyDescent="0.2">
      <c r="GI19241" s="422"/>
    </row>
    <row r="19242" spans="191:191" x14ac:dyDescent="0.2">
      <c r="GI19242" s="422"/>
    </row>
    <row r="19243" spans="191:191" x14ac:dyDescent="0.2">
      <c r="GI19243" s="422"/>
    </row>
    <row r="19244" spans="191:191" x14ac:dyDescent="0.2">
      <c r="GI19244" s="422"/>
    </row>
    <row r="19245" spans="191:191" x14ac:dyDescent="0.2">
      <c r="GI19245" s="422"/>
    </row>
    <row r="19246" spans="191:191" x14ac:dyDescent="0.2">
      <c r="GI19246" s="422"/>
    </row>
    <row r="19247" spans="191:191" x14ac:dyDescent="0.2">
      <c r="GI19247" s="422"/>
    </row>
    <row r="19248" spans="191:191" x14ac:dyDescent="0.2">
      <c r="GI19248" s="422"/>
    </row>
    <row r="19249" spans="191:191" x14ac:dyDescent="0.2">
      <c r="GI19249" s="422"/>
    </row>
    <row r="19250" spans="191:191" x14ac:dyDescent="0.2">
      <c r="GI19250" s="422"/>
    </row>
    <row r="19251" spans="191:191" x14ac:dyDescent="0.2">
      <c r="GI19251" s="422"/>
    </row>
    <row r="19252" spans="191:191" x14ac:dyDescent="0.2">
      <c r="GI19252" s="422"/>
    </row>
    <row r="19253" spans="191:191" x14ac:dyDescent="0.2">
      <c r="GI19253" s="422"/>
    </row>
    <row r="19254" spans="191:191" x14ac:dyDescent="0.2">
      <c r="GI19254" s="422"/>
    </row>
    <row r="19255" spans="191:191" x14ac:dyDescent="0.2">
      <c r="GI19255" s="422"/>
    </row>
    <row r="19256" spans="191:191" x14ac:dyDescent="0.2">
      <c r="GI19256" s="422"/>
    </row>
    <row r="19257" spans="191:191" x14ac:dyDescent="0.2">
      <c r="GI19257" s="422"/>
    </row>
    <row r="19258" spans="191:191" x14ac:dyDescent="0.2">
      <c r="GI19258" s="422"/>
    </row>
    <row r="19259" spans="191:191" x14ac:dyDescent="0.2">
      <c r="GI19259" s="422"/>
    </row>
    <row r="19260" spans="191:191" x14ac:dyDescent="0.2">
      <c r="GI19260" s="422"/>
    </row>
    <row r="19261" spans="191:191" x14ac:dyDescent="0.2">
      <c r="GI19261" s="422"/>
    </row>
    <row r="19262" spans="191:191" x14ac:dyDescent="0.2">
      <c r="GI19262" s="422"/>
    </row>
    <row r="19263" spans="191:191" x14ac:dyDescent="0.2">
      <c r="GI19263" s="422"/>
    </row>
    <row r="19264" spans="191:191" x14ac:dyDescent="0.2">
      <c r="GI19264" s="422"/>
    </row>
    <row r="19265" spans="191:191" x14ac:dyDescent="0.2">
      <c r="GI19265" s="422"/>
    </row>
    <row r="19266" spans="191:191" x14ac:dyDescent="0.2">
      <c r="GI19266" s="422"/>
    </row>
    <row r="19267" spans="191:191" x14ac:dyDescent="0.2">
      <c r="GI19267" s="422"/>
    </row>
    <row r="19268" spans="191:191" x14ac:dyDescent="0.2">
      <c r="GI19268" s="422"/>
    </row>
    <row r="19269" spans="191:191" x14ac:dyDescent="0.2">
      <c r="GI19269" s="422"/>
    </row>
    <row r="19270" spans="191:191" x14ac:dyDescent="0.2">
      <c r="GI19270" s="422"/>
    </row>
    <row r="19271" spans="191:191" x14ac:dyDescent="0.2">
      <c r="GI19271" s="422"/>
    </row>
    <row r="19272" spans="191:191" x14ac:dyDescent="0.2">
      <c r="GI19272" s="422"/>
    </row>
    <row r="19273" spans="191:191" x14ac:dyDescent="0.2">
      <c r="GI19273" s="422"/>
    </row>
    <row r="19274" spans="191:191" x14ac:dyDescent="0.2">
      <c r="GI19274" s="422"/>
    </row>
    <row r="19275" spans="191:191" x14ac:dyDescent="0.2">
      <c r="GI19275" s="422"/>
    </row>
    <row r="19276" spans="191:191" x14ac:dyDescent="0.2">
      <c r="GI19276" s="422"/>
    </row>
    <row r="19277" spans="191:191" x14ac:dyDescent="0.2">
      <c r="GI19277" s="422"/>
    </row>
    <row r="19278" spans="191:191" x14ac:dyDescent="0.2">
      <c r="GI19278" s="422"/>
    </row>
    <row r="19279" spans="191:191" x14ac:dyDescent="0.2">
      <c r="GI19279" s="422"/>
    </row>
    <row r="19280" spans="191:191" x14ac:dyDescent="0.2">
      <c r="GI19280" s="422"/>
    </row>
    <row r="19281" spans="191:191" x14ac:dyDescent="0.2">
      <c r="GI19281" s="422"/>
    </row>
    <row r="19282" spans="191:191" x14ac:dyDescent="0.2">
      <c r="GI19282" s="422"/>
    </row>
    <row r="19283" spans="191:191" x14ac:dyDescent="0.2">
      <c r="GI19283" s="422"/>
    </row>
    <row r="19284" spans="191:191" x14ac:dyDescent="0.2">
      <c r="GI19284" s="422"/>
    </row>
    <row r="19285" spans="191:191" x14ac:dyDescent="0.2">
      <c r="GI19285" s="422"/>
    </row>
    <row r="19286" spans="191:191" x14ac:dyDescent="0.2">
      <c r="GI19286" s="422"/>
    </row>
    <row r="19287" spans="191:191" x14ac:dyDescent="0.2">
      <c r="GI19287" s="422"/>
    </row>
    <row r="19288" spans="191:191" x14ac:dyDescent="0.2">
      <c r="GI19288" s="422"/>
    </row>
    <row r="19289" spans="191:191" x14ac:dyDescent="0.2">
      <c r="GI19289" s="422"/>
    </row>
    <row r="19290" spans="191:191" x14ac:dyDescent="0.2">
      <c r="GI19290" s="422"/>
    </row>
    <row r="19291" spans="191:191" x14ac:dyDescent="0.2">
      <c r="GI19291" s="422"/>
    </row>
    <row r="19292" spans="191:191" x14ac:dyDescent="0.2">
      <c r="GI19292" s="422"/>
    </row>
    <row r="19293" spans="191:191" x14ac:dyDescent="0.2">
      <c r="GI19293" s="422"/>
    </row>
    <row r="19294" spans="191:191" x14ac:dyDescent="0.2">
      <c r="GI19294" s="422"/>
    </row>
    <row r="19295" spans="191:191" x14ac:dyDescent="0.2">
      <c r="GI19295" s="422"/>
    </row>
    <row r="19296" spans="191:191" x14ac:dyDescent="0.2">
      <c r="GI19296" s="422"/>
    </row>
    <row r="19297" spans="191:191" x14ac:dyDescent="0.2">
      <c r="GI19297" s="422"/>
    </row>
    <row r="19298" spans="191:191" x14ac:dyDescent="0.2">
      <c r="GI19298" s="422"/>
    </row>
    <row r="19299" spans="191:191" x14ac:dyDescent="0.2">
      <c r="GI19299" s="422"/>
    </row>
    <row r="19300" spans="191:191" x14ac:dyDescent="0.2">
      <c r="GI19300" s="422"/>
    </row>
    <row r="19301" spans="191:191" x14ac:dyDescent="0.2">
      <c r="GI19301" s="422"/>
    </row>
    <row r="19302" spans="191:191" x14ac:dyDescent="0.2">
      <c r="GI19302" s="422"/>
    </row>
    <row r="19303" spans="191:191" x14ac:dyDescent="0.2">
      <c r="GI19303" s="422"/>
    </row>
    <row r="19304" spans="191:191" x14ac:dyDescent="0.2">
      <c r="GI19304" s="422"/>
    </row>
    <row r="19305" spans="191:191" x14ac:dyDescent="0.2">
      <c r="GI19305" s="422"/>
    </row>
    <row r="19306" spans="191:191" x14ac:dyDescent="0.2">
      <c r="GI19306" s="422"/>
    </row>
    <row r="19307" spans="191:191" x14ac:dyDescent="0.2">
      <c r="GI19307" s="422"/>
    </row>
    <row r="19308" spans="191:191" x14ac:dyDescent="0.2">
      <c r="GI19308" s="422"/>
    </row>
    <row r="19309" spans="191:191" x14ac:dyDescent="0.2">
      <c r="GI19309" s="422"/>
    </row>
    <row r="19310" spans="191:191" x14ac:dyDescent="0.2">
      <c r="GI19310" s="422"/>
    </row>
    <row r="19311" spans="191:191" x14ac:dyDescent="0.2">
      <c r="GI19311" s="422"/>
    </row>
    <row r="19312" spans="191:191" x14ac:dyDescent="0.2">
      <c r="GI19312" s="422"/>
    </row>
    <row r="19313" spans="191:191" x14ac:dyDescent="0.2">
      <c r="GI19313" s="422"/>
    </row>
    <row r="19314" spans="191:191" x14ac:dyDescent="0.2">
      <c r="GI19314" s="422"/>
    </row>
    <row r="19315" spans="191:191" x14ac:dyDescent="0.2">
      <c r="GI19315" s="422"/>
    </row>
    <row r="19316" spans="191:191" x14ac:dyDescent="0.2">
      <c r="GI19316" s="422"/>
    </row>
    <row r="19317" spans="191:191" x14ac:dyDescent="0.2">
      <c r="GI19317" s="422"/>
    </row>
    <row r="19318" spans="191:191" x14ac:dyDescent="0.2">
      <c r="GI19318" s="422"/>
    </row>
    <row r="19319" spans="191:191" x14ac:dyDescent="0.2">
      <c r="GI19319" s="422"/>
    </row>
    <row r="19320" spans="191:191" x14ac:dyDescent="0.2">
      <c r="GI19320" s="422"/>
    </row>
    <row r="19321" spans="191:191" x14ac:dyDescent="0.2">
      <c r="GI19321" s="422"/>
    </row>
    <row r="19322" spans="191:191" x14ac:dyDescent="0.2">
      <c r="GI19322" s="422"/>
    </row>
    <row r="19323" spans="191:191" x14ac:dyDescent="0.2">
      <c r="GI19323" s="422"/>
    </row>
    <row r="19324" spans="191:191" x14ac:dyDescent="0.2">
      <c r="GI19324" s="422"/>
    </row>
    <row r="19325" spans="191:191" x14ac:dyDescent="0.2">
      <c r="GI19325" s="422"/>
    </row>
    <row r="19326" spans="191:191" x14ac:dyDescent="0.2">
      <c r="GI19326" s="422"/>
    </row>
    <row r="19327" spans="191:191" x14ac:dyDescent="0.2">
      <c r="GI19327" s="422"/>
    </row>
    <row r="19328" spans="191:191" x14ac:dyDescent="0.2">
      <c r="GI19328" s="422"/>
    </row>
    <row r="19329" spans="191:191" x14ac:dyDescent="0.2">
      <c r="GI19329" s="422"/>
    </row>
    <row r="19330" spans="191:191" x14ac:dyDescent="0.2">
      <c r="GI19330" s="422"/>
    </row>
    <row r="19331" spans="191:191" x14ac:dyDescent="0.2">
      <c r="GI19331" s="422"/>
    </row>
    <row r="19332" spans="191:191" x14ac:dyDescent="0.2">
      <c r="GI19332" s="422"/>
    </row>
    <row r="19333" spans="191:191" x14ac:dyDescent="0.2">
      <c r="GI19333" s="422"/>
    </row>
    <row r="19334" spans="191:191" x14ac:dyDescent="0.2">
      <c r="GI19334" s="422"/>
    </row>
    <row r="19335" spans="191:191" x14ac:dyDescent="0.2">
      <c r="GI19335" s="422"/>
    </row>
    <row r="19336" spans="191:191" x14ac:dyDescent="0.2">
      <c r="GI19336" s="422"/>
    </row>
    <row r="19337" spans="191:191" x14ac:dyDescent="0.2">
      <c r="GI19337" s="422"/>
    </row>
    <row r="19338" spans="191:191" x14ac:dyDescent="0.2">
      <c r="GI19338" s="422"/>
    </row>
    <row r="19339" spans="191:191" x14ac:dyDescent="0.2">
      <c r="GI19339" s="422"/>
    </row>
    <row r="19340" spans="191:191" x14ac:dyDescent="0.2">
      <c r="GI19340" s="422"/>
    </row>
    <row r="19341" spans="191:191" x14ac:dyDescent="0.2">
      <c r="GI19341" s="422"/>
    </row>
    <row r="19342" spans="191:191" x14ac:dyDescent="0.2">
      <c r="GI19342" s="422"/>
    </row>
    <row r="19343" spans="191:191" x14ac:dyDescent="0.2">
      <c r="GI19343" s="422"/>
    </row>
    <row r="19344" spans="191:191" x14ac:dyDescent="0.2">
      <c r="GI19344" s="422"/>
    </row>
    <row r="19345" spans="191:191" x14ac:dyDescent="0.2">
      <c r="GI19345" s="422"/>
    </row>
    <row r="19346" spans="191:191" x14ac:dyDescent="0.2">
      <c r="GI19346" s="422"/>
    </row>
    <row r="19347" spans="191:191" x14ac:dyDescent="0.2">
      <c r="GI19347" s="422"/>
    </row>
    <row r="19348" spans="191:191" x14ac:dyDescent="0.2">
      <c r="GI19348" s="422"/>
    </row>
    <row r="19349" spans="191:191" x14ac:dyDescent="0.2">
      <c r="GI19349" s="422"/>
    </row>
    <row r="19350" spans="191:191" x14ac:dyDescent="0.2">
      <c r="GI19350" s="422"/>
    </row>
    <row r="19351" spans="191:191" x14ac:dyDescent="0.2">
      <c r="GI19351" s="422"/>
    </row>
    <row r="19352" spans="191:191" x14ac:dyDescent="0.2">
      <c r="GI19352" s="422"/>
    </row>
    <row r="19353" spans="191:191" x14ac:dyDescent="0.2">
      <c r="GI19353" s="422"/>
    </row>
    <row r="19354" spans="191:191" x14ac:dyDescent="0.2">
      <c r="GI19354" s="422"/>
    </row>
    <row r="19355" spans="191:191" x14ac:dyDescent="0.2">
      <c r="GI19355" s="422"/>
    </row>
    <row r="19356" spans="191:191" x14ac:dyDescent="0.2">
      <c r="GI19356" s="422"/>
    </row>
    <row r="19357" spans="191:191" x14ac:dyDescent="0.2">
      <c r="GI19357" s="422"/>
    </row>
    <row r="19358" spans="191:191" x14ac:dyDescent="0.2">
      <c r="GI19358" s="422"/>
    </row>
    <row r="19359" spans="191:191" x14ac:dyDescent="0.2">
      <c r="GI19359" s="422"/>
    </row>
    <row r="19360" spans="191:191" x14ac:dyDescent="0.2">
      <c r="GI19360" s="422"/>
    </row>
    <row r="19361" spans="191:191" x14ac:dyDescent="0.2">
      <c r="GI19361" s="422"/>
    </row>
    <row r="19362" spans="191:191" x14ac:dyDescent="0.2">
      <c r="GI19362" s="422"/>
    </row>
    <row r="19363" spans="191:191" x14ac:dyDescent="0.2">
      <c r="GI19363" s="422"/>
    </row>
    <row r="19364" spans="191:191" x14ac:dyDescent="0.2">
      <c r="GI19364" s="422"/>
    </row>
    <row r="19365" spans="191:191" x14ac:dyDescent="0.2">
      <c r="GI19365" s="422"/>
    </row>
    <row r="19366" spans="191:191" x14ac:dyDescent="0.2">
      <c r="GI19366" s="422"/>
    </row>
    <row r="19367" spans="191:191" x14ac:dyDescent="0.2">
      <c r="GI19367" s="422"/>
    </row>
    <row r="19368" spans="191:191" x14ac:dyDescent="0.2">
      <c r="GI19368" s="422"/>
    </row>
    <row r="19369" spans="191:191" x14ac:dyDescent="0.2">
      <c r="GI19369" s="422"/>
    </row>
    <row r="19370" spans="191:191" x14ac:dyDescent="0.2">
      <c r="GI19370" s="422"/>
    </row>
    <row r="19371" spans="191:191" x14ac:dyDescent="0.2">
      <c r="GI19371" s="422"/>
    </row>
    <row r="19372" spans="191:191" x14ac:dyDescent="0.2">
      <c r="GI19372" s="422"/>
    </row>
    <row r="19373" spans="191:191" x14ac:dyDescent="0.2">
      <c r="GI19373" s="422"/>
    </row>
    <row r="19374" spans="191:191" x14ac:dyDescent="0.2">
      <c r="GI19374" s="422"/>
    </row>
    <row r="19375" spans="191:191" x14ac:dyDescent="0.2">
      <c r="GI19375" s="422"/>
    </row>
    <row r="19376" spans="191:191" x14ac:dyDescent="0.2">
      <c r="GI19376" s="422"/>
    </row>
    <row r="19377" spans="191:191" x14ac:dyDescent="0.2">
      <c r="GI19377" s="422"/>
    </row>
    <row r="19378" spans="191:191" x14ac:dyDescent="0.2">
      <c r="GI19378" s="422"/>
    </row>
    <row r="19379" spans="191:191" x14ac:dyDescent="0.2">
      <c r="GI19379" s="422"/>
    </row>
    <row r="19380" spans="191:191" x14ac:dyDescent="0.2">
      <c r="GI19380" s="422"/>
    </row>
    <row r="19381" spans="191:191" x14ac:dyDescent="0.2">
      <c r="GI19381" s="422"/>
    </row>
    <row r="19382" spans="191:191" x14ac:dyDescent="0.2">
      <c r="GI19382" s="422"/>
    </row>
    <row r="19383" spans="191:191" x14ac:dyDescent="0.2">
      <c r="GI19383" s="422"/>
    </row>
    <row r="19384" spans="191:191" x14ac:dyDescent="0.2">
      <c r="GI19384" s="422"/>
    </row>
    <row r="19385" spans="191:191" x14ac:dyDescent="0.2">
      <c r="GI19385" s="422"/>
    </row>
    <row r="19386" spans="191:191" x14ac:dyDescent="0.2">
      <c r="GI19386" s="422"/>
    </row>
    <row r="19387" spans="191:191" x14ac:dyDescent="0.2">
      <c r="GI19387" s="422"/>
    </row>
    <row r="19388" spans="191:191" x14ac:dyDescent="0.2">
      <c r="GI19388" s="422"/>
    </row>
    <row r="19389" spans="191:191" x14ac:dyDescent="0.2">
      <c r="GI19389" s="422"/>
    </row>
    <row r="19390" spans="191:191" x14ac:dyDescent="0.2">
      <c r="GI19390" s="422"/>
    </row>
    <row r="19391" spans="191:191" x14ac:dyDescent="0.2">
      <c r="GI19391" s="422"/>
    </row>
    <row r="19392" spans="191:191" x14ac:dyDescent="0.2">
      <c r="GI19392" s="422"/>
    </row>
    <row r="19393" spans="191:191" x14ac:dyDescent="0.2">
      <c r="GI19393" s="422"/>
    </row>
    <row r="19394" spans="191:191" x14ac:dyDescent="0.2">
      <c r="GI19394" s="422"/>
    </row>
    <row r="19395" spans="191:191" x14ac:dyDescent="0.2">
      <c r="GI19395" s="422"/>
    </row>
    <row r="19396" spans="191:191" x14ac:dyDescent="0.2">
      <c r="GI19396" s="422"/>
    </row>
    <row r="19397" spans="191:191" x14ac:dyDescent="0.2">
      <c r="GI19397" s="422"/>
    </row>
    <row r="19398" spans="191:191" x14ac:dyDescent="0.2">
      <c r="GI19398" s="422"/>
    </row>
    <row r="19399" spans="191:191" x14ac:dyDescent="0.2">
      <c r="GI19399" s="422"/>
    </row>
    <row r="19400" spans="191:191" x14ac:dyDescent="0.2">
      <c r="GI19400" s="422"/>
    </row>
    <row r="19401" spans="191:191" x14ac:dyDescent="0.2">
      <c r="GI19401" s="422"/>
    </row>
    <row r="19402" spans="191:191" x14ac:dyDescent="0.2">
      <c r="GI19402" s="422"/>
    </row>
    <row r="19403" spans="191:191" x14ac:dyDescent="0.2">
      <c r="GI19403" s="422"/>
    </row>
    <row r="19404" spans="191:191" x14ac:dyDescent="0.2">
      <c r="GI19404" s="422"/>
    </row>
    <row r="19405" spans="191:191" x14ac:dyDescent="0.2">
      <c r="GI19405" s="422"/>
    </row>
    <row r="19406" spans="191:191" x14ac:dyDescent="0.2">
      <c r="GI19406" s="422"/>
    </row>
    <row r="19407" spans="191:191" x14ac:dyDescent="0.2">
      <c r="GI19407" s="422"/>
    </row>
    <row r="19408" spans="191:191" x14ac:dyDescent="0.2">
      <c r="GI19408" s="422"/>
    </row>
    <row r="19409" spans="191:191" x14ac:dyDescent="0.2">
      <c r="GI19409" s="422"/>
    </row>
    <row r="19410" spans="191:191" x14ac:dyDescent="0.2">
      <c r="GI19410" s="422"/>
    </row>
    <row r="19411" spans="191:191" x14ac:dyDescent="0.2">
      <c r="GI19411" s="422"/>
    </row>
    <row r="19412" spans="191:191" x14ac:dyDescent="0.2">
      <c r="GI19412" s="422"/>
    </row>
    <row r="19413" spans="191:191" x14ac:dyDescent="0.2">
      <c r="GI19413" s="422"/>
    </row>
    <row r="19414" spans="191:191" x14ac:dyDescent="0.2">
      <c r="GI19414" s="422"/>
    </row>
    <row r="19415" spans="191:191" x14ac:dyDescent="0.2">
      <c r="GI19415" s="422"/>
    </row>
    <row r="19416" spans="191:191" x14ac:dyDescent="0.2">
      <c r="GI19416" s="422"/>
    </row>
    <row r="19417" spans="191:191" x14ac:dyDescent="0.2">
      <c r="GI19417" s="422"/>
    </row>
    <row r="19418" spans="191:191" x14ac:dyDescent="0.2">
      <c r="GI19418" s="422"/>
    </row>
    <row r="19419" spans="191:191" x14ac:dyDescent="0.2">
      <c r="GI19419" s="422"/>
    </row>
    <row r="19420" spans="191:191" x14ac:dyDescent="0.2">
      <c r="GI19420" s="422"/>
    </row>
    <row r="19421" spans="191:191" x14ac:dyDescent="0.2">
      <c r="GI19421" s="422"/>
    </row>
    <row r="19422" spans="191:191" x14ac:dyDescent="0.2">
      <c r="GI19422" s="422"/>
    </row>
    <row r="19423" spans="191:191" x14ac:dyDescent="0.2">
      <c r="GI19423" s="422"/>
    </row>
    <row r="19424" spans="191:191" x14ac:dyDescent="0.2">
      <c r="GI19424" s="422"/>
    </row>
    <row r="19425" spans="191:191" x14ac:dyDescent="0.2">
      <c r="GI19425" s="422"/>
    </row>
    <row r="19426" spans="191:191" x14ac:dyDescent="0.2">
      <c r="GI19426" s="422"/>
    </row>
    <row r="19427" spans="191:191" x14ac:dyDescent="0.2">
      <c r="GI19427" s="422"/>
    </row>
    <row r="19428" spans="191:191" x14ac:dyDescent="0.2">
      <c r="GI19428" s="422"/>
    </row>
    <row r="19429" spans="191:191" x14ac:dyDescent="0.2">
      <c r="GI19429" s="422"/>
    </row>
    <row r="19430" spans="191:191" x14ac:dyDescent="0.2">
      <c r="GI19430" s="422"/>
    </row>
    <row r="19431" spans="191:191" x14ac:dyDescent="0.2">
      <c r="GI19431" s="422"/>
    </row>
    <row r="19432" spans="191:191" x14ac:dyDescent="0.2">
      <c r="GI19432" s="422"/>
    </row>
    <row r="19433" spans="191:191" x14ac:dyDescent="0.2">
      <c r="GI19433" s="422"/>
    </row>
    <row r="19434" spans="191:191" x14ac:dyDescent="0.2">
      <c r="GI19434" s="422"/>
    </row>
    <row r="19435" spans="191:191" x14ac:dyDescent="0.2">
      <c r="GI19435" s="422"/>
    </row>
    <row r="19436" spans="191:191" x14ac:dyDescent="0.2">
      <c r="GI19436" s="422"/>
    </row>
    <row r="19437" spans="191:191" x14ac:dyDescent="0.2">
      <c r="GI19437" s="422"/>
    </row>
    <row r="19438" spans="191:191" x14ac:dyDescent="0.2">
      <c r="GI19438" s="422"/>
    </row>
    <row r="19439" spans="191:191" x14ac:dyDescent="0.2">
      <c r="GI19439" s="422"/>
    </row>
    <row r="19440" spans="191:191" x14ac:dyDescent="0.2">
      <c r="GI19440" s="422"/>
    </row>
    <row r="19441" spans="191:191" x14ac:dyDescent="0.2">
      <c r="GI19441" s="422"/>
    </row>
    <row r="19442" spans="191:191" x14ac:dyDescent="0.2">
      <c r="GI19442" s="422"/>
    </row>
    <row r="19443" spans="191:191" x14ac:dyDescent="0.2">
      <c r="GI19443" s="422"/>
    </row>
    <row r="19444" spans="191:191" x14ac:dyDescent="0.2">
      <c r="GI19444" s="422"/>
    </row>
    <row r="19445" spans="191:191" x14ac:dyDescent="0.2">
      <c r="GI19445" s="422"/>
    </row>
    <row r="19446" spans="191:191" x14ac:dyDescent="0.2">
      <c r="GI19446" s="422"/>
    </row>
    <row r="19447" spans="191:191" x14ac:dyDescent="0.2">
      <c r="GI19447" s="422"/>
    </row>
    <row r="19448" spans="191:191" x14ac:dyDescent="0.2">
      <c r="GI19448" s="422"/>
    </row>
    <row r="19449" spans="191:191" x14ac:dyDescent="0.2">
      <c r="GI19449" s="422"/>
    </row>
    <row r="19450" spans="191:191" x14ac:dyDescent="0.2">
      <c r="GI19450" s="422"/>
    </row>
    <row r="19451" spans="191:191" x14ac:dyDescent="0.2">
      <c r="GI19451" s="422"/>
    </row>
    <row r="19452" spans="191:191" x14ac:dyDescent="0.2">
      <c r="GI19452" s="422"/>
    </row>
    <row r="19453" spans="191:191" x14ac:dyDescent="0.2">
      <c r="GI19453" s="422"/>
    </row>
    <row r="19454" spans="191:191" x14ac:dyDescent="0.2">
      <c r="GI19454" s="422"/>
    </row>
    <row r="19455" spans="191:191" x14ac:dyDescent="0.2">
      <c r="GI19455" s="422"/>
    </row>
    <row r="19456" spans="191:191" x14ac:dyDescent="0.2">
      <c r="GI19456" s="422"/>
    </row>
    <row r="19457" spans="191:191" x14ac:dyDescent="0.2">
      <c r="GI19457" s="422"/>
    </row>
    <row r="19458" spans="191:191" x14ac:dyDescent="0.2">
      <c r="GI19458" s="422"/>
    </row>
    <row r="19459" spans="191:191" x14ac:dyDescent="0.2">
      <c r="GI19459" s="422"/>
    </row>
    <row r="19460" spans="191:191" x14ac:dyDescent="0.2">
      <c r="GI19460" s="422"/>
    </row>
    <row r="19461" spans="191:191" x14ac:dyDescent="0.2">
      <c r="GI19461" s="422"/>
    </row>
    <row r="19462" spans="191:191" x14ac:dyDescent="0.2">
      <c r="GI19462" s="422"/>
    </row>
    <row r="19463" spans="191:191" x14ac:dyDescent="0.2">
      <c r="GI19463" s="422"/>
    </row>
    <row r="19464" spans="191:191" x14ac:dyDescent="0.2">
      <c r="GI19464" s="422"/>
    </row>
    <row r="19465" spans="191:191" x14ac:dyDescent="0.2">
      <c r="GI19465" s="422"/>
    </row>
    <row r="19466" spans="191:191" x14ac:dyDescent="0.2">
      <c r="GI19466" s="422"/>
    </row>
    <row r="19467" spans="191:191" x14ac:dyDescent="0.2">
      <c r="GI19467" s="422"/>
    </row>
    <row r="19468" spans="191:191" x14ac:dyDescent="0.2">
      <c r="GI19468" s="422"/>
    </row>
    <row r="19469" spans="191:191" x14ac:dyDescent="0.2">
      <c r="GI19469" s="422"/>
    </row>
    <row r="19470" spans="191:191" x14ac:dyDescent="0.2">
      <c r="GI19470" s="422"/>
    </row>
    <row r="19471" spans="191:191" x14ac:dyDescent="0.2">
      <c r="GI19471" s="422"/>
    </row>
    <row r="19472" spans="191:191" x14ac:dyDescent="0.2">
      <c r="GI19472" s="422"/>
    </row>
    <row r="19473" spans="191:191" x14ac:dyDescent="0.2">
      <c r="GI19473" s="422"/>
    </row>
    <row r="19474" spans="191:191" x14ac:dyDescent="0.2">
      <c r="GI19474" s="422"/>
    </row>
    <row r="19475" spans="191:191" x14ac:dyDescent="0.2">
      <c r="GI19475" s="422"/>
    </row>
    <row r="19476" spans="191:191" x14ac:dyDescent="0.2">
      <c r="GI19476" s="422"/>
    </row>
    <row r="19477" spans="191:191" x14ac:dyDescent="0.2">
      <c r="GI19477" s="422"/>
    </row>
    <row r="19478" spans="191:191" x14ac:dyDescent="0.2">
      <c r="GI19478" s="422"/>
    </row>
    <row r="19479" spans="191:191" x14ac:dyDescent="0.2">
      <c r="GI19479" s="422"/>
    </row>
    <row r="19480" spans="191:191" x14ac:dyDescent="0.2">
      <c r="GI19480" s="422"/>
    </row>
    <row r="19481" spans="191:191" x14ac:dyDescent="0.2">
      <c r="GI19481" s="422"/>
    </row>
    <row r="19482" spans="191:191" x14ac:dyDescent="0.2">
      <c r="GI19482" s="422"/>
    </row>
    <row r="19483" spans="191:191" x14ac:dyDescent="0.2">
      <c r="GI19483" s="422"/>
    </row>
    <row r="19484" spans="191:191" x14ac:dyDescent="0.2">
      <c r="GI19484" s="422"/>
    </row>
    <row r="19485" spans="191:191" x14ac:dyDescent="0.2">
      <c r="GI19485" s="422"/>
    </row>
    <row r="19486" spans="191:191" x14ac:dyDescent="0.2">
      <c r="GI19486" s="422"/>
    </row>
    <row r="19487" spans="191:191" x14ac:dyDescent="0.2">
      <c r="GI19487" s="422"/>
    </row>
    <row r="19488" spans="191:191" x14ac:dyDescent="0.2">
      <c r="GI19488" s="422"/>
    </row>
    <row r="19489" spans="191:191" x14ac:dyDescent="0.2">
      <c r="GI19489" s="422"/>
    </row>
    <row r="19490" spans="191:191" x14ac:dyDescent="0.2">
      <c r="GI19490" s="422"/>
    </row>
    <row r="19491" spans="191:191" x14ac:dyDescent="0.2">
      <c r="GI19491" s="422"/>
    </row>
    <row r="19492" spans="191:191" x14ac:dyDescent="0.2">
      <c r="GI19492" s="422"/>
    </row>
    <row r="19493" spans="191:191" x14ac:dyDescent="0.2">
      <c r="GI19493" s="422"/>
    </row>
    <row r="19494" spans="191:191" x14ac:dyDescent="0.2">
      <c r="GI19494" s="422"/>
    </row>
    <row r="19495" spans="191:191" x14ac:dyDescent="0.2">
      <c r="GI19495" s="422"/>
    </row>
    <row r="19496" spans="191:191" x14ac:dyDescent="0.2">
      <c r="GI19496" s="422"/>
    </row>
    <row r="19497" spans="191:191" x14ac:dyDescent="0.2">
      <c r="GI19497" s="422"/>
    </row>
    <row r="19498" spans="191:191" x14ac:dyDescent="0.2">
      <c r="GI19498" s="422"/>
    </row>
    <row r="19499" spans="191:191" x14ac:dyDescent="0.2">
      <c r="GI19499" s="422"/>
    </row>
    <row r="19500" spans="191:191" x14ac:dyDescent="0.2">
      <c r="GI19500" s="422"/>
    </row>
    <row r="19501" spans="191:191" x14ac:dyDescent="0.2">
      <c r="GI19501" s="422"/>
    </row>
    <row r="19502" spans="191:191" x14ac:dyDescent="0.2">
      <c r="GI19502" s="422"/>
    </row>
    <row r="19503" spans="191:191" x14ac:dyDescent="0.2">
      <c r="GI19503" s="422"/>
    </row>
    <row r="19504" spans="191:191" x14ac:dyDescent="0.2">
      <c r="GI19504" s="422"/>
    </row>
    <row r="19505" spans="191:191" x14ac:dyDescent="0.2">
      <c r="GI19505" s="422"/>
    </row>
    <row r="19506" spans="191:191" x14ac:dyDescent="0.2">
      <c r="GI19506" s="422"/>
    </row>
    <row r="19507" spans="191:191" x14ac:dyDescent="0.2">
      <c r="GI19507" s="422"/>
    </row>
    <row r="19508" spans="191:191" x14ac:dyDescent="0.2">
      <c r="GI19508" s="422"/>
    </row>
    <row r="19509" spans="191:191" x14ac:dyDescent="0.2">
      <c r="GI19509" s="422"/>
    </row>
    <row r="19510" spans="191:191" x14ac:dyDescent="0.2">
      <c r="GI19510" s="422"/>
    </row>
    <row r="19511" spans="191:191" x14ac:dyDescent="0.2">
      <c r="GI19511" s="422"/>
    </row>
    <row r="19512" spans="191:191" x14ac:dyDescent="0.2">
      <c r="GI19512" s="422"/>
    </row>
    <row r="19513" spans="191:191" x14ac:dyDescent="0.2">
      <c r="GI19513" s="422"/>
    </row>
    <row r="19514" spans="191:191" x14ac:dyDescent="0.2">
      <c r="GI19514" s="422"/>
    </row>
    <row r="19515" spans="191:191" x14ac:dyDescent="0.2">
      <c r="GI19515" s="422"/>
    </row>
    <row r="19516" spans="191:191" x14ac:dyDescent="0.2">
      <c r="GI19516" s="422"/>
    </row>
    <row r="19517" spans="191:191" x14ac:dyDescent="0.2">
      <c r="GI19517" s="422"/>
    </row>
    <row r="19518" spans="191:191" x14ac:dyDescent="0.2">
      <c r="GI19518" s="422"/>
    </row>
    <row r="19519" spans="191:191" x14ac:dyDescent="0.2">
      <c r="GI19519" s="422"/>
    </row>
    <row r="19520" spans="191:191" x14ac:dyDescent="0.2">
      <c r="GI19520" s="422"/>
    </row>
    <row r="19521" spans="191:191" x14ac:dyDescent="0.2">
      <c r="GI19521" s="422"/>
    </row>
    <row r="19522" spans="191:191" x14ac:dyDescent="0.2">
      <c r="GI19522" s="422"/>
    </row>
    <row r="19523" spans="191:191" x14ac:dyDescent="0.2">
      <c r="GI19523" s="422"/>
    </row>
    <row r="19524" spans="191:191" x14ac:dyDescent="0.2">
      <c r="GI19524" s="422"/>
    </row>
    <row r="19525" spans="191:191" x14ac:dyDescent="0.2">
      <c r="GI19525" s="422"/>
    </row>
    <row r="19526" spans="191:191" x14ac:dyDescent="0.2">
      <c r="GI19526" s="422"/>
    </row>
    <row r="19527" spans="191:191" x14ac:dyDescent="0.2">
      <c r="GI19527" s="422"/>
    </row>
    <row r="19528" spans="191:191" x14ac:dyDescent="0.2">
      <c r="GI19528" s="422"/>
    </row>
    <row r="19529" spans="191:191" x14ac:dyDescent="0.2">
      <c r="GI19529" s="422"/>
    </row>
    <row r="19530" spans="191:191" x14ac:dyDescent="0.2">
      <c r="GI19530" s="422"/>
    </row>
    <row r="19531" spans="191:191" x14ac:dyDescent="0.2">
      <c r="GI19531" s="422"/>
    </row>
    <row r="19532" spans="191:191" x14ac:dyDescent="0.2">
      <c r="GI19532" s="422"/>
    </row>
    <row r="19533" spans="191:191" x14ac:dyDescent="0.2">
      <c r="GI19533" s="422"/>
    </row>
    <row r="19534" spans="191:191" x14ac:dyDescent="0.2">
      <c r="GI19534" s="422"/>
    </row>
    <row r="19535" spans="191:191" x14ac:dyDescent="0.2">
      <c r="GI19535" s="422"/>
    </row>
    <row r="19536" spans="191:191" x14ac:dyDescent="0.2">
      <c r="GI19536" s="422"/>
    </row>
    <row r="19537" spans="191:191" x14ac:dyDescent="0.2">
      <c r="GI19537" s="422"/>
    </row>
    <row r="19538" spans="191:191" x14ac:dyDescent="0.2">
      <c r="GI19538" s="422"/>
    </row>
    <row r="19539" spans="191:191" x14ac:dyDescent="0.2">
      <c r="GI19539" s="422"/>
    </row>
    <row r="19540" spans="191:191" x14ac:dyDescent="0.2">
      <c r="GI19540" s="422"/>
    </row>
    <row r="19541" spans="191:191" x14ac:dyDescent="0.2">
      <c r="GI19541" s="422"/>
    </row>
    <row r="19542" spans="191:191" x14ac:dyDescent="0.2">
      <c r="GI19542" s="422"/>
    </row>
    <row r="19543" spans="191:191" x14ac:dyDescent="0.2">
      <c r="GI19543" s="422"/>
    </row>
    <row r="19544" spans="191:191" x14ac:dyDescent="0.2">
      <c r="GI19544" s="422"/>
    </row>
    <row r="19545" spans="191:191" x14ac:dyDescent="0.2">
      <c r="GI19545" s="422"/>
    </row>
    <row r="19546" spans="191:191" x14ac:dyDescent="0.2">
      <c r="GI19546" s="422"/>
    </row>
    <row r="19547" spans="191:191" x14ac:dyDescent="0.2">
      <c r="GI19547" s="422"/>
    </row>
    <row r="19548" spans="191:191" x14ac:dyDescent="0.2">
      <c r="GI19548" s="422"/>
    </row>
    <row r="19549" spans="191:191" x14ac:dyDescent="0.2">
      <c r="GI19549" s="422"/>
    </row>
    <row r="19550" spans="191:191" x14ac:dyDescent="0.2">
      <c r="GI19550" s="422"/>
    </row>
    <row r="19551" spans="191:191" x14ac:dyDescent="0.2">
      <c r="GI19551" s="422"/>
    </row>
    <row r="19552" spans="191:191" x14ac:dyDescent="0.2">
      <c r="GI19552" s="422"/>
    </row>
    <row r="19553" spans="191:191" x14ac:dyDescent="0.2">
      <c r="GI19553" s="422"/>
    </row>
    <row r="19554" spans="191:191" x14ac:dyDescent="0.2">
      <c r="GI19554" s="422"/>
    </row>
    <row r="19555" spans="191:191" x14ac:dyDescent="0.2">
      <c r="GI19555" s="422"/>
    </row>
    <row r="19556" spans="191:191" x14ac:dyDescent="0.2">
      <c r="GI19556" s="422"/>
    </row>
    <row r="19557" spans="191:191" x14ac:dyDescent="0.2">
      <c r="GI19557" s="422"/>
    </row>
    <row r="19558" spans="191:191" x14ac:dyDescent="0.2">
      <c r="GI19558" s="422"/>
    </row>
    <row r="19559" spans="191:191" x14ac:dyDescent="0.2">
      <c r="GI19559" s="422"/>
    </row>
    <row r="19560" spans="191:191" x14ac:dyDescent="0.2">
      <c r="GI19560" s="422"/>
    </row>
    <row r="19561" spans="191:191" x14ac:dyDescent="0.2">
      <c r="GI19561" s="422"/>
    </row>
    <row r="19562" spans="191:191" x14ac:dyDescent="0.2">
      <c r="GI19562" s="422"/>
    </row>
    <row r="19563" spans="191:191" x14ac:dyDescent="0.2">
      <c r="GI19563" s="422"/>
    </row>
    <row r="19564" spans="191:191" x14ac:dyDescent="0.2">
      <c r="GI19564" s="422"/>
    </row>
    <row r="19565" spans="191:191" x14ac:dyDescent="0.2">
      <c r="GI19565" s="422"/>
    </row>
    <row r="19566" spans="191:191" x14ac:dyDescent="0.2">
      <c r="GI19566" s="422"/>
    </row>
    <row r="19567" spans="191:191" x14ac:dyDescent="0.2">
      <c r="GI19567" s="422"/>
    </row>
    <row r="19568" spans="191:191" x14ac:dyDescent="0.2">
      <c r="GI19568" s="422"/>
    </row>
    <row r="19569" spans="191:191" x14ac:dyDescent="0.2">
      <c r="GI19569" s="422"/>
    </row>
    <row r="19570" spans="191:191" x14ac:dyDescent="0.2">
      <c r="GI19570" s="422"/>
    </row>
    <row r="19571" spans="191:191" x14ac:dyDescent="0.2">
      <c r="GI19571" s="422"/>
    </row>
    <row r="19572" spans="191:191" x14ac:dyDescent="0.2">
      <c r="GI19572" s="422"/>
    </row>
    <row r="19573" spans="191:191" x14ac:dyDescent="0.2">
      <c r="GI19573" s="422"/>
    </row>
    <row r="19574" spans="191:191" x14ac:dyDescent="0.2">
      <c r="GI19574" s="422"/>
    </row>
    <row r="19575" spans="191:191" x14ac:dyDescent="0.2">
      <c r="GI19575" s="422"/>
    </row>
    <row r="19576" spans="191:191" x14ac:dyDescent="0.2">
      <c r="GI19576" s="422"/>
    </row>
    <row r="19577" spans="191:191" x14ac:dyDescent="0.2">
      <c r="GI19577" s="422"/>
    </row>
    <row r="19578" spans="191:191" x14ac:dyDescent="0.2">
      <c r="GI19578" s="422"/>
    </row>
    <row r="19579" spans="191:191" x14ac:dyDescent="0.2">
      <c r="GI19579" s="422"/>
    </row>
    <row r="19580" spans="191:191" x14ac:dyDescent="0.2">
      <c r="GI19580" s="422"/>
    </row>
    <row r="19581" spans="191:191" x14ac:dyDescent="0.2">
      <c r="GI19581" s="422"/>
    </row>
    <row r="19582" spans="191:191" x14ac:dyDescent="0.2">
      <c r="GI19582" s="422"/>
    </row>
    <row r="19583" spans="191:191" x14ac:dyDescent="0.2">
      <c r="GI19583" s="422"/>
    </row>
    <row r="19584" spans="191:191" x14ac:dyDescent="0.2">
      <c r="GI19584" s="422"/>
    </row>
    <row r="19585" spans="191:191" x14ac:dyDescent="0.2">
      <c r="GI19585" s="422"/>
    </row>
    <row r="19586" spans="191:191" x14ac:dyDescent="0.2">
      <c r="GI19586" s="422"/>
    </row>
    <row r="19587" spans="191:191" x14ac:dyDescent="0.2">
      <c r="GI19587" s="422"/>
    </row>
    <row r="19588" spans="191:191" x14ac:dyDescent="0.2">
      <c r="GI19588" s="422"/>
    </row>
    <row r="19589" spans="191:191" x14ac:dyDescent="0.2">
      <c r="GI19589" s="422"/>
    </row>
    <row r="19590" spans="191:191" x14ac:dyDescent="0.2">
      <c r="GI19590" s="422"/>
    </row>
    <row r="19591" spans="191:191" x14ac:dyDescent="0.2">
      <c r="GI19591" s="422"/>
    </row>
    <row r="19592" spans="191:191" x14ac:dyDescent="0.2">
      <c r="GI19592" s="422"/>
    </row>
    <row r="19593" spans="191:191" x14ac:dyDescent="0.2">
      <c r="GI19593" s="422"/>
    </row>
    <row r="19594" spans="191:191" x14ac:dyDescent="0.2">
      <c r="GI19594" s="422"/>
    </row>
    <row r="19595" spans="191:191" x14ac:dyDescent="0.2">
      <c r="GI19595" s="422"/>
    </row>
    <row r="19596" spans="191:191" x14ac:dyDescent="0.2">
      <c r="GI19596" s="422"/>
    </row>
    <row r="19597" spans="191:191" x14ac:dyDescent="0.2">
      <c r="GI19597" s="422"/>
    </row>
    <row r="19598" spans="191:191" x14ac:dyDescent="0.2">
      <c r="GI19598" s="422"/>
    </row>
    <row r="19599" spans="191:191" x14ac:dyDescent="0.2">
      <c r="GI19599" s="422"/>
    </row>
    <row r="19600" spans="191:191" x14ac:dyDescent="0.2">
      <c r="GI19600" s="422"/>
    </row>
    <row r="19601" spans="191:191" x14ac:dyDescent="0.2">
      <c r="GI19601" s="422"/>
    </row>
    <row r="19602" spans="191:191" x14ac:dyDescent="0.2">
      <c r="GI19602" s="422"/>
    </row>
    <row r="19603" spans="191:191" x14ac:dyDescent="0.2">
      <c r="GI19603" s="422"/>
    </row>
    <row r="19604" spans="191:191" x14ac:dyDescent="0.2">
      <c r="GI19604" s="422"/>
    </row>
    <row r="19605" spans="191:191" x14ac:dyDescent="0.2">
      <c r="GI19605" s="422"/>
    </row>
    <row r="19606" spans="191:191" x14ac:dyDescent="0.2">
      <c r="GI19606" s="422"/>
    </row>
    <row r="19607" spans="191:191" x14ac:dyDescent="0.2">
      <c r="GI19607" s="422"/>
    </row>
    <row r="19608" spans="191:191" x14ac:dyDescent="0.2">
      <c r="GI19608" s="422"/>
    </row>
    <row r="19609" spans="191:191" x14ac:dyDescent="0.2">
      <c r="GI19609" s="422"/>
    </row>
    <row r="19610" spans="191:191" x14ac:dyDescent="0.2">
      <c r="GI19610" s="422"/>
    </row>
    <row r="19611" spans="191:191" x14ac:dyDescent="0.2">
      <c r="GI19611" s="422"/>
    </row>
    <row r="19612" spans="191:191" x14ac:dyDescent="0.2">
      <c r="GI19612" s="422"/>
    </row>
    <row r="19613" spans="191:191" x14ac:dyDescent="0.2">
      <c r="GI19613" s="422"/>
    </row>
    <row r="19614" spans="191:191" x14ac:dyDescent="0.2">
      <c r="GI19614" s="422"/>
    </row>
    <row r="19615" spans="191:191" x14ac:dyDescent="0.2">
      <c r="GI19615" s="422"/>
    </row>
    <row r="19616" spans="191:191" x14ac:dyDescent="0.2">
      <c r="GI19616" s="422"/>
    </row>
    <row r="19617" spans="191:191" x14ac:dyDescent="0.2">
      <c r="GI19617" s="422"/>
    </row>
    <row r="19618" spans="191:191" x14ac:dyDescent="0.2">
      <c r="GI19618" s="422"/>
    </row>
    <row r="19619" spans="191:191" x14ac:dyDescent="0.2">
      <c r="GI19619" s="422"/>
    </row>
    <row r="19620" spans="191:191" x14ac:dyDescent="0.2">
      <c r="GI19620" s="422"/>
    </row>
    <row r="19621" spans="191:191" x14ac:dyDescent="0.2">
      <c r="GI19621" s="422"/>
    </row>
    <row r="19622" spans="191:191" x14ac:dyDescent="0.2">
      <c r="GI19622" s="422"/>
    </row>
    <row r="19623" spans="191:191" x14ac:dyDescent="0.2">
      <c r="GI19623" s="422"/>
    </row>
    <row r="19624" spans="191:191" x14ac:dyDescent="0.2">
      <c r="GI19624" s="422"/>
    </row>
    <row r="19625" spans="191:191" x14ac:dyDescent="0.2">
      <c r="GI19625" s="422"/>
    </row>
    <row r="19626" spans="191:191" x14ac:dyDescent="0.2">
      <c r="GI19626" s="422"/>
    </row>
    <row r="19627" spans="191:191" x14ac:dyDescent="0.2">
      <c r="GI19627" s="422"/>
    </row>
    <row r="19628" spans="191:191" x14ac:dyDescent="0.2">
      <c r="GI19628" s="422"/>
    </row>
    <row r="19629" spans="191:191" x14ac:dyDescent="0.2">
      <c r="GI19629" s="422"/>
    </row>
    <row r="19630" spans="191:191" x14ac:dyDescent="0.2">
      <c r="GI19630" s="422"/>
    </row>
    <row r="19631" spans="191:191" x14ac:dyDescent="0.2">
      <c r="GI19631" s="422"/>
    </row>
    <row r="19632" spans="191:191" x14ac:dyDescent="0.2">
      <c r="GI19632" s="422"/>
    </row>
    <row r="19633" spans="191:191" x14ac:dyDescent="0.2">
      <c r="GI19633" s="422"/>
    </row>
    <row r="19634" spans="191:191" x14ac:dyDescent="0.2">
      <c r="GI19634" s="422"/>
    </row>
    <row r="19635" spans="191:191" x14ac:dyDescent="0.2">
      <c r="GI19635" s="422"/>
    </row>
    <row r="19636" spans="191:191" x14ac:dyDescent="0.2">
      <c r="GI19636" s="422"/>
    </row>
    <row r="19637" spans="191:191" x14ac:dyDescent="0.2">
      <c r="GI19637" s="422"/>
    </row>
    <row r="19638" spans="191:191" x14ac:dyDescent="0.2">
      <c r="GI19638" s="422"/>
    </row>
    <row r="19639" spans="191:191" x14ac:dyDescent="0.2">
      <c r="GI19639" s="422"/>
    </row>
    <row r="19640" spans="191:191" x14ac:dyDescent="0.2">
      <c r="GI19640" s="422"/>
    </row>
    <row r="19641" spans="191:191" x14ac:dyDescent="0.2">
      <c r="GI19641" s="422"/>
    </row>
    <row r="19642" spans="191:191" x14ac:dyDescent="0.2">
      <c r="GI19642" s="422"/>
    </row>
    <row r="19643" spans="191:191" x14ac:dyDescent="0.2">
      <c r="GI19643" s="422"/>
    </row>
    <row r="19644" spans="191:191" x14ac:dyDescent="0.2">
      <c r="GI19644" s="422"/>
    </row>
    <row r="19645" spans="191:191" x14ac:dyDescent="0.2">
      <c r="GI19645" s="422"/>
    </row>
    <row r="19646" spans="191:191" x14ac:dyDescent="0.2">
      <c r="GI19646" s="422"/>
    </row>
    <row r="19647" spans="191:191" x14ac:dyDescent="0.2">
      <c r="GI19647" s="422"/>
    </row>
    <row r="19648" spans="191:191" x14ac:dyDescent="0.2">
      <c r="GI19648" s="422"/>
    </row>
    <row r="19649" spans="191:191" x14ac:dyDescent="0.2">
      <c r="GI19649" s="422"/>
    </row>
    <row r="19650" spans="191:191" x14ac:dyDescent="0.2">
      <c r="GI19650" s="422"/>
    </row>
    <row r="19651" spans="191:191" x14ac:dyDescent="0.2">
      <c r="GI19651" s="422"/>
    </row>
    <row r="19652" spans="191:191" x14ac:dyDescent="0.2">
      <c r="GI19652" s="422"/>
    </row>
    <row r="19653" spans="191:191" x14ac:dyDescent="0.2">
      <c r="GI19653" s="422"/>
    </row>
    <row r="19654" spans="191:191" x14ac:dyDescent="0.2">
      <c r="GI19654" s="422"/>
    </row>
    <row r="19655" spans="191:191" x14ac:dyDescent="0.2">
      <c r="GI19655" s="422"/>
    </row>
    <row r="19656" spans="191:191" x14ac:dyDescent="0.2">
      <c r="GI19656" s="422"/>
    </row>
    <row r="19657" spans="191:191" x14ac:dyDescent="0.2">
      <c r="GI19657" s="422"/>
    </row>
    <row r="19658" spans="191:191" x14ac:dyDescent="0.2">
      <c r="GI19658" s="422"/>
    </row>
    <row r="19659" spans="191:191" x14ac:dyDescent="0.2">
      <c r="GI19659" s="422"/>
    </row>
    <row r="19660" spans="191:191" x14ac:dyDescent="0.2">
      <c r="GI19660" s="422"/>
    </row>
    <row r="19661" spans="191:191" x14ac:dyDescent="0.2">
      <c r="GI19661" s="422"/>
    </row>
    <row r="19662" spans="191:191" x14ac:dyDescent="0.2">
      <c r="GI19662" s="422"/>
    </row>
    <row r="19663" spans="191:191" x14ac:dyDescent="0.2">
      <c r="GI19663" s="422"/>
    </row>
    <row r="19664" spans="191:191" x14ac:dyDescent="0.2">
      <c r="GI19664" s="422"/>
    </row>
    <row r="19665" spans="191:191" x14ac:dyDescent="0.2">
      <c r="GI19665" s="422"/>
    </row>
    <row r="19666" spans="191:191" x14ac:dyDescent="0.2">
      <c r="GI19666" s="422"/>
    </row>
    <row r="19667" spans="191:191" x14ac:dyDescent="0.2">
      <c r="GI19667" s="422"/>
    </row>
    <row r="19668" spans="191:191" x14ac:dyDescent="0.2">
      <c r="GI19668" s="422"/>
    </row>
    <row r="19669" spans="191:191" x14ac:dyDescent="0.2">
      <c r="GI19669" s="422"/>
    </row>
    <row r="19670" spans="191:191" x14ac:dyDescent="0.2">
      <c r="GI19670" s="422"/>
    </row>
    <row r="19671" spans="191:191" x14ac:dyDescent="0.2">
      <c r="GI19671" s="422"/>
    </row>
    <row r="19672" spans="191:191" x14ac:dyDescent="0.2">
      <c r="GI19672" s="422"/>
    </row>
    <row r="19673" spans="191:191" x14ac:dyDescent="0.2">
      <c r="GI19673" s="422"/>
    </row>
    <row r="19674" spans="191:191" x14ac:dyDescent="0.2">
      <c r="GI19674" s="422"/>
    </row>
    <row r="19675" spans="191:191" x14ac:dyDescent="0.2">
      <c r="GI19675" s="422"/>
    </row>
    <row r="19676" spans="191:191" x14ac:dyDescent="0.2">
      <c r="GI19676" s="422"/>
    </row>
    <row r="19677" spans="191:191" x14ac:dyDescent="0.2">
      <c r="GI19677" s="422"/>
    </row>
    <row r="19678" spans="191:191" x14ac:dyDescent="0.2">
      <c r="GI19678" s="422"/>
    </row>
    <row r="19679" spans="191:191" x14ac:dyDescent="0.2">
      <c r="GI19679" s="422"/>
    </row>
    <row r="19680" spans="191:191" x14ac:dyDescent="0.2">
      <c r="GI19680" s="422"/>
    </row>
    <row r="19681" spans="191:191" x14ac:dyDescent="0.2">
      <c r="GI19681" s="422"/>
    </row>
    <row r="19682" spans="191:191" x14ac:dyDescent="0.2">
      <c r="GI19682" s="422"/>
    </row>
    <row r="19683" spans="191:191" x14ac:dyDescent="0.2">
      <c r="GI19683" s="422"/>
    </row>
    <row r="19684" spans="191:191" x14ac:dyDescent="0.2">
      <c r="GI19684" s="422"/>
    </row>
    <row r="19685" spans="191:191" x14ac:dyDescent="0.2">
      <c r="GI19685" s="422"/>
    </row>
    <row r="19686" spans="191:191" x14ac:dyDescent="0.2">
      <c r="GI19686" s="422"/>
    </row>
    <row r="19687" spans="191:191" x14ac:dyDescent="0.2">
      <c r="GI19687" s="422"/>
    </row>
    <row r="19688" spans="191:191" x14ac:dyDescent="0.2">
      <c r="GI19688" s="422"/>
    </row>
    <row r="19689" spans="191:191" x14ac:dyDescent="0.2">
      <c r="GI19689" s="422"/>
    </row>
    <row r="19690" spans="191:191" x14ac:dyDescent="0.2">
      <c r="GI19690" s="422"/>
    </row>
    <row r="19691" spans="191:191" x14ac:dyDescent="0.2">
      <c r="GI19691" s="422"/>
    </row>
    <row r="19692" spans="191:191" x14ac:dyDescent="0.2">
      <c r="GI19692" s="422"/>
    </row>
    <row r="19693" spans="191:191" x14ac:dyDescent="0.2">
      <c r="GI19693" s="422"/>
    </row>
    <row r="19694" spans="191:191" x14ac:dyDescent="0.2">
      <c r="GI19694" s="422"/>
    </row>
    <row r="19695" spans="191:191" x14ac:dyDescent="0.2">
      <c r="GI19695" s="422"/>
    </row>
    <row r="19696" spans="191:191" x14ac:dyDescent="0.2">
      <c r="GI19696" s="422"/>
    </row>
    <row r="19697" spans="191:191" x14ac:dyDescent="0.2">
      <c r="GI19697" s="422"/>
    </row>
    <row r="19698" spans="191:191" x14ac:dyDescent="0.2">
      <c r="GI19698" s="422"/>
    </row>
    <row r="19699" spans="191:191" x14ac:dyDescent="0.2">
      <c r="GI19699" s="422"/>
    </row>
    <row r="19700" spans="191:191" x14ac:dyDescent="0.2">
      <c r="GI19700" s="422"/>
    </row>
    <row r="19701" spans="191:191" x14ac:dyDescent="0.2">
      <c r="GI19701" s="422"/>
    </row>
    <row r="19702" spans="191:191" x14ac:dyDescent="0.2">
      <c r="GI19702" s="422"/>
    </row>
    <row r="19703" spans="191:191" x14ac:dyDescent="0.2">
      <c r="GI19703" s="422"/>
    </row>
    <row r="19704" spans="191:191" x14ac:dyDescent="0.2">
      <c r="GI19704" s="422"/>
    </row>
    <row r="19705" spans="191:191" x14ac:dyDescent="0.2">
      <c r="GI19705" s="422"/>
    </row>
    <row r="19706" spans="191:191" x14ac:dyDescent="0.2">
      <c r="GI19706" s="422"/>
    </row>
    <row r="19707" spans="191:191" x14ac:dyDescent="0.2">
      <c r="GI19707" s="422"/>
    </row>
    <row r="19708" spans="191:191" x14ac:dyDescent="0.2">
      <c r="GI19708" s="422"/>
    </row>
    <row r="19709" spans="191:191" x14ac:dyDescent="0.2">
      <c r="GI19709" s="422"/>
    </row>
    <row r="19710" spans="191:191" x14ac:dyDescent="0.2">
      <c r="GI19710" s="422"/>
    </row>
    <row r="19711" spans="191:191" x14ac:dyDescent="0.2">
      <c r="GI19711" s="422"/>
    </row>
    <row r="19712" spans="191:191" x14ac:dyDescent="0.2">
      <c r="GI19712" s="422"/>
    </row>
    <row r="19713" spans="191:191" x14ac:dyDescent="0.2">
      <c r="GI19713" s="422"/>
    </row>
    <row r="19714" spans="191:191" x14ac:dyDescent="0.2">
      <c r="GI19714" s="422"/>
    </row>
    <row r="19715" spans="191:191" x14ac:dyDescent="0.2">
      <c r="GI19715" s="422"/>
    </row>
    <row r="19716" spans="191:191" x14ac:dyDescent="0.2">
      <c r="GI19716" s="422"/>
    </row>
    <row r="19717" spans="191:191" x14ac:dyDescent="0.2">
      <c r="GI19717" s="422"/>
    </row>
    <row r="19718" spans="191:191" x14ac:dyDescent="0.2">
      <c r="GI19718" s="422"/>
    </row>
    <row r="19719" spans="191:191" x14ac:dyDescent="0.2">
      <c r="GI19719" s="422"/>
    </row>
    <row r="19720" spans="191:191" x14ac:dyDescent="0.2">
      <c r="GI19720" s="422"/>
    </row>
    <row r="19721" spans="191:191" x14ac:dyDescent="0.2">
      <c r="GI19721" s="422"/>
    </row>
    <row r="19722" spans="191:191" x14ac:dyDescent="0.2">
      <c r="GI19722" s="422"/>
    </row>
    <row r="19723" spans="191:191" x14ac:dyDescent="0.2">
      <c r="GI19723" s="422"/>
    </row>
    <row r="19724" spans="191:191" x14ac:dyDescent="0.2">
      <c r="GI19724" s="422"/>
    </row>
    <row r="19725" spans="191:191" x14ac:dyDescent="0.2">
      <c r="GI19725" s="422"/>
    </row>
    <row r="19726" spans="191:191" x14ac:dyDescent="0.2">
      <c r="GI19726" s="422"/>
    </row>
    <row r="19727" spans="191:191" x14ac:dyDescent="0.2">
      <c r="GI19727" s="422"/>
    </row>
    <row r="19728" spans="191:191" x14ac:dyDescent="0.2">
      <c r="GI19728" s="422"/>
    </row>
    <row r="19729" spans="191:191" x14ac:dyDescent="0.2">
      <c r="GI19729" s="422"/>
    </row>
    <row r="19730" spans="191:191" x14ac:dyDescent="0.2">
      <c r="GI19730" s="422"/>
    </row>
    <row r="19731" spans="191:191" x14ac:dyDescent="0.2">
      <c r="GI19731" s="422"/>
    </row>
    <row r="19732" spans="191:191" x14ac:dyDescent="0.2">
      <c r="GI19732" s="422"/>
    </row>
    <row r="19733" spans="191:191" x14ac:dyDescent="0.2">
      <c r="GI19733" s="422"/>
    </row>
    <row r="19734" spans="191:191" x14ac:dyDescent="0.2">
      <c r="GI19734" s="422"/>
    </row>
    <row r="19735" spans="191:191" x14ac:dyDescent="0.2">
      <c r="GI19735" s="422"/>
    </row>
    <row r="19736" spans="191:191" x14ac:dyDescent="0.2">
      <c r="GI19736" s="422"/>
    </row>
    <row r="19737" spans="191:191" x14ac:dyDescent="0.2">
      <c r="GI19737" s="422"/>
    </row>
    <row r="19738" spans="191:191" x14ac:dyDescent="0.2">
      <c r="GI19738" s="422"/>
    </row>
    <row r="19739" spans="191:191" x14ac:dyDescent="0.2">
      <c r="GI19739" s="422"/>
    </row>
    <row r="19740" spans="191:191" x14ac:dyDescent="0.2">
      <c r="GI19740" s="422"/>
    </row>
    <row r="19741" spans="191:191" x14ac:dyDescent="0.2">
      <c r="GI19741" s="422"/>
    </row>
    <row r="19742" spans="191:191" x14ac:dyDescent="0.2">
      <c r="GI19742" s="422"/>
    </row>
    <row r="19743" spans="191:191" x14ac:dyDescent="0.2">
      <c r="GI19743" s="422"/>
    </row>
    <row r="19744" spans="191:191" x14ac:dyDescent="0.2">
      <c r="GI19744" s="422"/>
    </row>
    <row r="19745" spans="191:191" x14ac:dyDescent="0.2">
      <c r="GI19745" s="422"/>
    </row>
    <row r="19746" spans="191:191" x14ac:dyDescent="0.2">
      <c r="GI19746" s="422"/>
    </row>
    <row r="19747" spans="191:191" x14ac:dyDescent="0.2">
      <c r="GI19747" s="422"/>
    </row>
    <row r="19748" spans="191:191" x14ac:dyDescent="0.2">
      <c r="GI19748" s="422"/>
    </row>
    <row r="19749" spans="191:191" x14ac:dyDescent="0.2">
      <c r="GI19749" s="422"/>
    </row>
    <row r="19750" spans="191:191" x14ac:dyDescent="0.2">
      <c r="GI19750" s="422"/>
    </row>
    <row r="19751" spans="191:191" x14ac:dyDescent="0.2">
      <c r="GI19751" s="422"/>
    </row>
    <row r="19752" spans="191:191" x14ac:dyDescent="0.2">
      <c r="GI19752" s="422"/>
    </row>
    <row r="19753" spans="191:191" x14ac:dyDescent="0.2">
      <c r="GI19753" s="422"/>
    </row>
    <row r="19754" spans="191:191" x14ac:dyDescent="0.2">
      <c r="GI19754" s="422"/>
    </row>
    <row r="19755" spans="191:191" x14ac:dyDescent="0.2">
      <c r="GI19755" s="422"/>
    </row>
    <row r="19756" spans="191:191" x14ac:dyDescent="0.2">
      <c r="GI19756" s="422"/>
    </row>
    <row r="19757" spans="191:191" x14ac:dyDescent="0.2">
      <c r="GI19757" s="422"/>
    </row>
    <row r="19758" spans="191:191" x14ac:dyDescent="0.2">
      <c r="GI19758" s="422"/>
    </row>
    <row r="19759" spans="191:191" x14ac:dyDescent="0.2">
      <c r="GI19759" s="422"/>
    </row>
    <row r="19760" spans="191:191" x14ac:dyDescent="0.2">
      <c r="GI19760" s="422"/>
    </row>
    <row r="19761" spans="191:191" x14ac:dyDescent="0.2">
      <c r="GI19761" s="422"/>
    </row>
    <row r="19762" spans="191:191" x14ac:dyDescent="0.2">
      <c r="GI19762" s="422"/>
    </row>
    <row r="19763" spans="191:191" x14ac:dyDescent="0.2">
      <c r="GI19763" s="422"/>
    </row>
    <row r="19764" spans="191:191" x14ac:dyDescent="0.2">
      <c r="GI19764" s="422"/>
    </row>
    <row r="19765" spans="191:191" x14ac:dyDescent="0.2">
      <c r="GI19765" s="422"/>
    </row>
    <row r="19766" spans="191:191" x14ac:dyDescent="0.2">
      <c r="GI19766" s="422"/>
    </row>
    <row r="19767" spans="191:191" x14ac:dyDescent="0.2">
      <c r="GI19767" s="422"/>
    </row>
    <row r="19768" spans="191:191" x14ac:dyDescent="0.2">
      <c r="GI19768" s="422"/>
    </row>
    <row r="19769" spans="191:191" x14ac:dyDescent="0.2">
      <c r="GI19769" s="422"/>
    </row>
    <row r="19770" spans="191:191" x14ac:dyDescent="0.2">
      <c r="GI19770" s="422"/>
    </row>
    <row r="19771" spans="191:191" x14ac:dyDescent="0.2">
      <c r="GI19771" s="422"/>
    </row>
    <row r="19772" spans="191:191" x14ac:dyDescent="0.2">
      <c r="GI19772" s="422"/>
    </row>
    <row r="19773" spans="191:191" x14ac:dyDescent="0.2">
      <c r="GI19773" s="422"/>
    </row>
    <row r="19774" spans="191:191" x14ac:dyDescent="0.2">
      <c r="GI19774" s="422"/>
    </row>
    <row r="19775" spans="191:191" x14ac:dyDescent="0.2">
      <c r="GI19775" s="422"/>
    </row>
    <row r="19776" spans="191:191" x14ac:dyDescent="0.2">
      <c r="GI19776" s="422"/>
    </row>
    <row r="19777" spans="191:191" x14ac:dyDescent="0.2">
      <c r="GI19777" s="422"/>
    </row>
    <row r="19778" spans="191:191" x14ac:dyDescent="0.2">
      <c r="GI19778" s="422"/>
    </row>
    <row r="19779" spans="191:191" x14ac:dyDescent="0.2">
      <c r="GI19779" s="422"/>
    </row>
    <row r="19780" spans="191:191" x14ac:dyDescent="0.2">
      <c r="GI19780" s="422"/>
    </row>
    <row r="19781" spans="191:191" x14ac:dyDescent="0.2">
      <c r="GI19781" s="422"/>
    </row>
    <row r="19782" spans="191:191" x14ac:dyDescent="0.2">
      <c r="GI19782" s="422"/>
    </row>
    <row r="19783" spans="191:191" x14ac:dyDescent="0.2">
      <c r="GI19783" s="422"/>
    </row>
    <row r="19784" spans="191:191" x14ac:dyDescent="0.2">
      <c r="GI19784" s="422"/>
    </row>
    <row r="19785" spans="191:191" x14ac:dyDescent="0.2">
      <c r="GI19785" s="422"/>
    </row>
    <row r="19786" spans="191:191" x14ac:dyDescent="0.2">
      <c r="GI19786" s="422"/>
    </row>
    <row r="19787" spans="191:191" x14ac:dyDescent="0.2">
      <c r="GI19787" s="422"/>
    </row>
    <row r="19788" spans="191:191" x14ac:dyDescent="0.2">
      <c r="GI19788" s="422"/>
    </row>
    <row r="19789" spans="191:191" x14ac:dyDescent="0.2">
      <c r="GI19789" s="422"/>
    </row>
    <row r="19790" spans="191:191" x14ac:dyDescent="0.2">
      <c r="GI19790" s="422"/>
    </row>
    <row r="19791" spans="191:191" x14ac:dyDescent="0.2">
      <c r="GI19791" s="422"/>
    </row>
    <row r="19792" spans="191:191" x14ac:dyDescent="0.2">
      <c r="GI19792" s="422"/>
    </row>
    <row r="19793" spans="191:191" x14ac:dyDescent="0.2">
      <c r="GI19793" s="422"/>
    </row>
    <row r="19794" spans="191:191" x14ac:dyDescent="0.2">
      <c r="GI19794" s="422"/>
    </row>
    <row r="19795" spans="191:191" x14ac:dyDescent="0.2">
      <c r="GI19795" s="422"/>
    </row>
    <row r="19796" spans="191:191" x14ac:dyDescent="0.2">
      <c r="GI19796" s="422"/>
    </row>
    <row r="19797" spans="191:191" x14ac:dyDescent="0.2">
      <c r="GI19797" s="422"/>
    </row>
    <row r="19798" spans="191:191" x14ac:dyDescent="0.2">
      <c r="GI19798" s="422"/>
    </row>
    <row r="19799" spans="191:191" x14ac:dyDescent="0.2">
      <c r="GI19799" s="422"/>
    </row>
    <row r="19800" spans="191:191" x14ac:dyDescent="0.2">
      <c r="GI19800" s="422"/>
    </row>
    <row r="19801" spans="191:191" x14ac:dyDescent="0.2">
      <c r="GI19801" s="422"/>
    </row>
    <row r="19802" spans="191:191" x14ac:dyDescent="0.2">
      <c r="GI19802" s="422"/>
    </row>
    <row r="19803" spans="191:191" x14ac:dyDescent="0.2">
      <c r="GI19803" s="422"/>
    </row>
    <row r="19804" spans="191:191" x14ac:dyDescent="0.2">
      <c r="GI19804" s="422"/>
    </row>
    <row r="19805" spans="191:191" x14ac:dyDescent="0.2">
      <c r="GI19805" s="422"/>
    </row>
    <row r="19806" spans="191:191" x14ac:dyDescent="0.2">
      <c r="GI19806" s="422"/>
    </row>
    <row r="19807" spans="191:191" x14ac:dyDescent="0.2">
      <c r="GI19807" s="422"/>
    </row>
    <row r="19808" spans="191:191" x14ac:dyDescent="0.2">
      <c r="GI19808" s="422"/>
    </row>
    <row r="19809" spans="191:191" x14ac:dyDescent="0.2">
      <c r="GI19809" s="422"/>
    </row>
    <row r="19810" spans="191:191" x14ac:dyDescent="0.2">
      <c r="GI19810" s="422"/>
    </row>
    <row r="19811" spans="191:191" x14ac:dyDescent="0.2">
      <c r="GI19811" s="422"/>
    </row>
    <row r="19812" spans="191:191" x14ac:dyDescent="0.2">
      <c r="GI19812" s="422"/>
    </row>
    <row r="19813" spans="191:191" x14ac:dyDescent="0.2">
      <c r="GI19813" s="422"/>
    </row>
    <row r="19814" spans="191:191" x14ac:dyDescent="0.2">
      <c r="GI19814" s="422"/>
    </row>
    <row r="19815" spans="191:191" x14ac:dyDescent="0.2">
      <c r="GI19815" s="422"/>
    </row>
    <row r="19816" spans="191:191" x14ac:dyDescent="0.2">
      <c r="GI19816" s="422"/>
    </row>
    <row r="19817" spans="191:191" x14ac:dyDescent="0.2">
      <c r="GI19817" s="422"/>
    </row>
    <row r="19818" spans="191:191" x14ac:dyDescent="0.2">
      <c r="GI19818" s="422"/>
    </row>
    <row r="19819" spans="191:191" x14ac:dyDescent="0.2">
      <c r="GI19819" s="422"/>
    </row>
    <row r="19820" spans="191:191" x14ac:dyDescent="0.2">
      <c r="GI19820" s="422"/>
    </row>
    <row r="19821" spans="191:191" x14ac:dyDescent="0.2">
      <c r="GI19821" s="422"/>
    </row>
    <row r="19822" spans="191:191" x14ac:dyDescent="0.2">
      <c r="GI19822" s="422"/>
    </row>
    <row r="19823" spans="191:191" x14ac:dyDescent="0.2">
      <c r="GI19823" s="422"/>
    </row>
    <row r="19824" spans="191:191" x14ac:dyDescent="0.2">
      <c r="GI19824" s="422"/>
    </row>
    <row r="19825" spans="191:191" x14ac:dyDescent="0.2">
      <c r="GI19825" s="422"/>
    </row>
    <row r="19826" spans="191:191" x14ac:dyDescent="0.2">
      <c r="GI19826" s="422"/>
    </row>
    <row r="19827" spans="191:191" x14ac:dyDescent="0.2">
      <c r="GI19827" s="422"/>
    </row>
    <row r="19828" spans="191:191" x14ac:dyDescent="0.2">
      <c r="GI19828" s="422"/>
    </row>
    <row r="19829" spans="191:191" x14ac:dyDescent="0.2">
      <c r="GI19829" s="422"/>
    </row>
    <row r="19830" spans="191:191" x14ac:dyDescent="0.2">
      <c r="GI19830" s="422"/>
    </row>
    <row r="19831" spans="191:191" x14ac:dyDescent="0.2">
      <c r="GI19831" s="422"/>
    </row>
    <row r="19832" spans="191:191" x14ac:dyDescent="0.2">
      <c r="GI19832" s="422"/>
    </row>
    <row r="19833" spans="191:191" x14ac:dyDescent="0.2">
      <c r="GI19833" s="422"/>
    </row>
    <row r="19834" spans="191:191" x14ac:dyDescent="0.2">
      <c r="GI19834" s="422"/>
    </row>
    <row r="19835" spans="191:191" x14ac:dyDescent="0.2">
      <c r="GI19835" s="422"/>
    </row>
    <row r="19836" spans="191:191" x14ac:dyDescent="0.2">
      <c r="GI19836" s="422"/>
    </row>
    <row r="19837" spans="191:191" x14ac:dyDescent="0.2">
      <c r="GI19837" s="422"/>
    </row>
    <row r="19838" spans="191:191" x14ac:dyDescent="0.2">
      <c r="GI19838" s="422"/>
    </row>
    <row r="19839" spans="191:191" x14ac:dyDescent="0.2">
      <c r="GI19839" s="422"/>
    </row>
    <row r="19840" spans="191:191" x14ac:dyDescent="0.2">
      <c r="GI19840" s="422"/>
    </row>
    <row r="19841" spans="191:191" x14ac:dyDescent="0.2">
      <c r="GI19841" s="422"/>
    </row>
    <row r="19842" spans="191:191" x14ac:dyDescent="0.2">
      <c r="GI19842" s="422"/>
    </row>
    <row r="19843" spans="191:191" x14ac:dyDescent="0.2">
      <c r="GI19843" s="422"/>
    </row>
    <row r="19844" spans="191:191" x14ac:dyDescent="0.2">
      <c r="GI19844" s="422"/>
    </row>
    <row r="19845" spans="191:191" x14ac:dyDescent="0.2">
      <c r="GI19845" s="422"/>
    </row>
    <row r="19846" spans="191:191" x14ac:dyDescent="0.2">
      <c r="GI19846" s="422"/>
    </row>
    <row r="19847" spans="191:191" x14ac:dyDescent="0.2">
      <c r="GI19847" s="422"/>
    </row>
    <row r="19848" spans="191:191" x14ac:dyDescent="0.2">
      <c r="GI19848" s="422"/>
    </row>
    <row r="19849" spans="191:191" x14ac:dyDescent="0.2">
      <c r="GI19849" s="422"/>
    </row>
    <row r="19850" spans="191:191" x14ac:dyDescent="0.2">
      <c r="GI19850" s="422"/>
    </row>
    <row r="19851" spans="191:191" x14ac:dyDescent="0.2">
      <c r="GI19851" s="422"/>
    </row>
    <row r="19852" spans="191:191" x14ac:dyDescent="0.2">
      <c r="GI19852" s="422"/>
    </row>
    <row r="19853" spans="191:191" x14ac:dyDescent="0.2">
      <c r="GI19853" s="422"/>
    </row>
    <row r="19854" spans="191:191" x14ac:dyDescent="0.2">
      <c r="GI19854" s="422"/>
    </row>
    <row r="19855" spans="191:191" x14ac:dyDescent="0.2">
      <c r="GI19855" s="422"/>
    </row>
    <row r="19856" spans="191:191" x14ac:dyDescent="0.2">
      <c r="GI19856" s="422"/>
    </row>
    <row r="19857" spans="191:191" x14ac:dyDescent="0.2">
      <c r="GI19857" s="422"/>
    </row>
    <row r="19858" spans="191:191" x14ac:dyDescent="0.2">
      <c r="GI19858" s="422"/>
    </row>
    <row r="19859" spans="191:191" x14ac:dyDescent="0.2">
      <c r="GI19859" s="422"/>
    </row>
    <row r="19860" spans="191:191" x14ac:dyDescent="0.2">
      <c r="GI19860" s="422"/>
    </row>
    <row r="19861" spans="191:191" x14ac:dyDescent="0.2">
      <c r="GI19861" s="422"/>
    </row>
    <row r="19862" spans="191:191" x14ac:dyDescent="0.2">
      <c r="GI19862" s="422"/>
    </row>
    <row r="19863" spans="191:191" x14ac:dyDescent="0.2">
      <c r="GI19863" s="422"/>
    </row>
    <row r="19864" spans="191:191" x14ac:dyDescent="0.2">
      <c r="GI19864" s="422"/>
    </row>
    <row r="19865" spans="191:191" x14ac:dyDescent="0.2">
      <c r="GI19865" s="422"/>
    </row>
    <row r="19866" spans="191:191" x14ac:dyDescent="0.2">
      <c r="GI19866" s="422"/>
    </row>
    <row r="19867" spans="191:191" x14ac:dyDescent="0.2">
      <c r="GI19867" s="422"/>
    </row>
    <row r="19868" spans="191:191" x14ac:dyDescent="0.2">
      <c r="GI19868" s="422"/>
    </row>
    <row r="19869" spans="191:191" x14ac:dyDescent="0.2">
      <c r="GI19869" s="422"/>
    </row>
    <row r="19870" spans="191:191" x14ac:dyDescent="0.2">
      <c r="GI19870" s="422"/>
    </row>
    <row r="19871" spans="191:191" x14ac:dyDescent="0.2">
      <c r="GI19871" s="422"/>
    </row>
    <row r="19872" spans="191:191" x14ac:dyDescent="0.2">
      <c r="GI19872" s="422"/>
    </row>
    <row r="19873" spans="191:191" x14ac:dyDescent="0.2">
      <c r="GI19873" s="422"/>
    </row>
    <row r="19874" spans="191:191" x14ac:dyDescent="0.2">
      <c r="GI19874" s="422"/>
    </row>
    <row r="19875" spans="191:191" x14ac:dyDescent="0.2">
      <c r="GI19875" s="422"/>
    </row>
    <row r="19876" spans="191:191" x14ac:dyDescent="0.2">
      <c r="GI19876" s="422"/>
    </row>
    <row r="19877" spans="191:191" x14ac:dyDescent="0.2">
      <c r="GI19877" s="422"/>
    </row>
    <row r="19878" spans="191:191" x14ac:dyDescent="0.2">
      <c r="GI19878" s="422"/>
    </row>
    <row r="19879" spans="191:191" x14ac:dyDescent="0.2">
      <c r="GI19879" s="422"/>
    </row>
    <row r="19880" spans="191:191" x14ac:dyDescent="0.2">
      <c r="GI19880" s="422"/>
    </row>
    <row r="19881" spans="191:191" x14ac:dyDescent="0.2">
      <c r="GI19881" s="422"/>
    </row>
    <row r="19882" spans="191:191" x14ac:dyDescent="0.2">
      <c r="GI19882" s="422"/>
    </row>
    <row r="19883" spans="191:191" x14ac:dyDescent="0.2">
      <c r="GI19883" s="422"/>
    </row>
    <row r="19884" spans="191:191" x14ac:dyDescent="0.2">
      <c r="GI19884" s="422"/>
    </row>
    <row r="19885" spans="191:191" x14ac:dyDescent="0.2">
      <c r="GI19885" s="422"/>
    </row>
    <row r="19886" spans="191:191" x14ac:dyDescent="0.2">
      <c r="GI19886" s="422"/>
    </row>
    <row r="19887" spans="191:191" x14ac:dyDescent="0.2">
      <c r="GI19887" s="422"/>
    </row>
    <row r="19888" spans="191:191" x14ac:dyDescent="0.2">
      <c r="GI19888" s="422"/>
    </row>
    <row r="19889" spans="191:191" x14ac:dyDescent="0.2">
      <c r="GI19889" s="422"/>
    </row>
    <row r="19890" spans="191:191" x14ac:dyDescent="0.2">
      <c r="GI19890" s="422"/>
    </row>
    <row r="19891" spans="191:191" x14ac:dyDescent="0.2">
      <c r="GI19891" s="422"/>
    </row>
    <row r="19892" spans="191:191" x14ac:dyDescent="0.2">
      <c r="GI19892" s="422"/>
    </row>
    <row r="19893" spans="191:191" x14ac:dyDescent="0.2">
      <c r="GI19893" s="422"/>
    </row>
    <row r="19894" spans="191:191" x14ac:dyDescent="0.2">
      <c r="GI19894" s="422"/>
    </row>
    <row r="19895" spans="191:191" x14ac:dyDescent="0.2">
      <c r="GI19895" s="422"/>
    </row>
    <row r="19896" spans="191:191" x14ac:dyDescent="0.2">
      <c r="GI19896" s="422"/>
    </row>
    <row r="19897" spans="191:191" x14ac:dyDescent="0.2">
      <c r="GI19897" s="422"/>
    </row>
    <row r="19898" spans="191:191" x14ac:dyDescent="0.2">
      <c r="GI19898" s="422"/>
    </row>
    <row r="19899" spans="191:191" x14ac:dyDescent="0.2">
      <c r="GI19899" s="422"/>
    </row>
    <row r="19900" spans="191:191" x14ac:dyDescent="0.2">
      <c r="GI19900" s="422"/>
    </row>
    <row r="19901" spans="191:191" x14ac:dyDescent="0.2">
      <c r="GI19901" s="422"/>
    </row>
    <row r="19902" spans="191:191" x14ac:dyDescent="0.2">
      <c r="GI19902" s="422"/>
    </row>
    <row r="19903" spans="191:191" x14ac:dyDescent="0.2">
      <c r="GI19903" s="422"/>
    </row>
    <row r="19904" spans="191:191" x14ac:dyDescent="0.2">
      <c r="GI19904" s="422"/>
    </row>
    <row r="19905" spans="191:191" x14ac:dyDescent="0.2">
      <c r="GI19905" s="422"/>
    </row>
    <row r="19906" spans="191:191" x14ac:dyDescent="0.2">
      <c r="GI19906" s="422"/>
    </row>
    <row r="19907" spans="191:191" x14ac:dyDescent="0.2">
      <c r="GI19907" s="422"/>
    </row>
    <row r="19908" spans="191:191" x14ac:dyDescent="0.2">
      <c r="GI19908" s="422"/>
    </row>
    <row r="19909" spans="191:191" x14ac:dyDescent="0.2">
      <c r="GI19909" s="422"/>
    </row>
    <row r="19910" spans="191:191" x14ac:dyDescent="0.2">
      <c r="GI19910" s="422"/>
    </row>
    <row r="19911" spans="191:191" x14ac:dyDescent="0.2">
      <c r="GI19911" s="422"/>
    </row>
    <row r="19912" spans="191:191" x14ac:dyDescent="0.2">
      <c r="GI19912" s="422"/>
    </row>
    <row r="19913" spans="191:191" x14ac:dyDescent="0.2">
      <c r="GI19913" s="422"/>
    </row>
    <row r="19914" spans="191:191" x14ac:dyDescent="0.2">
      <c r="GI19914" s="422"/>
    </row>
    <row r="19915" spans="191:191" x14ac:dyDescent="0.2">
      <c r="GI19915" s="422"/>
    </row>
    <row r="19916" spans="191:191" x14ac:dyDescent="0.2">
      <c r="GI19916" s="422"/>
    </row>
    <row r="19917" spans="191:191" x14ac:dyDescent="0.2">
      <c r="GI19917" s="422"/>
    </row>
    <row r="19918" spans="191:191" x14ac:dyDescent="0.2">
      <c r="GI19918" s="422"/>
    </row>
    <row r="19919" spans="191:191" x14ac:dyDescent="0.2">
      <c r="GI19919" s="422"/>
    </row>
    <row r="19920" spans="191:191" x14ac:dyDescent="0.2">
      <c r="GI19920" s="422"/>
    </row>
    <row r="19921" spans="191:191" x14ac:dyDescent="0.2">
      <c r="GI19921" s="422"/>
    </row>
    <row r="19922" spans="191:191" x14ac:dyDescent="0.2">
      <c r="GI19922" s="422"/>
    </row>
    <row r="19923" spans="191:191" x14ac:dyDescent="0.2">
      <c r="GI19923" s="422"/>
    </row>
    <row r="19924" spans="191:191" x14ac:dyDescent="0.2">
      <c r="GI19924" s="422"/>
    </row>
    <row r="19925" spans="191:191" x14ac:dyDescent="0.2">
      <c r="GI19925" s="422"/>
    </row>
    <row r="19926" spans="191:191" x14ac:dyDescent="0.2">
      <c r="GI19926" s="422"/>
    </row>
    <row r="19927" spans="191:191" x14ac:dyDescent="0.2">
      <c r="GI19927" s="422"/>
    </row>
    <row r="19928" spans="191:191" x14ac:dyDescent="0.2">
      <c r="GI19928" s="422"/>
    </row>
    <row r="19929" spans="191:191" x14ac:dyDescent="0.2">
      <c r="GI19929" s="422"/>
    </row>
    <row r="19930" spans="191:191" x14ac:dyDescent="0.2">
      <c r="GI19930" s="422"/>
    </row>
    <row r="19931" spans="191:191" x14ac:dyDescent="0.2">
      <c r="GI19931" s="422"/>
    </row>
    <row r="19932" spans="191:191" x14ac:dyDescent="0.2">
      <c r="GI19932" s="422"/>
    </row>
    <row r="19933" spans="191:191" x14ac:dyDescent="0.2">
      <c r="GI19933" s="422"/>
    </row>
    <row r="19934" spans="191:191" x14ac:dyDescent="0.2">
      <c r="GI19934" s="422"/>
    </row>
    <row r="19935" spans="191:191" x14ac:dyDescent="0.2">
      <c r="GI19935" s="422"/>
    </row>
    <row r="19936" spans="191:191" x14ac:dyDescent="0.2">
      <c r="GI19936" s="422"/>
    </row>
    <row r="19937" spans="191:191" x14ac:dyDescent="0.2">
      <c r="GI19937" s="422"/>
    </row>
    <row r="19938" spans="191:191" x14ac:dyDescent="0.2">
      <c r="GI19938" s="422"/>
    </row>
    <row r="19939" spans="191:191" x14ac:dyDescent="0.2">
      <c r="GI19939" s="422"/>
    </row>
    <row r="19940" spans="191:191" x14ac:dyDescent="0.2">
      <c r="GI19940" s="422"/>
    </row>
    <row r="19941" spans="191:191" x14ac:dyDescent="0.2">
      <c r="GI19941" s="422"/>
    </row>
    <row r="19942" spans="191:191" x14ac:dyDescent="0.2">
      <c r="GI19942" s="422"/>
    </row>
    <row r="19943" spans="191:191" x14ac:dyDescent="0.2">
      <c r="GI19943" s="422"/>
    </row>
    <row r="19944" spans="191:191" x14ac:dyDescent="0.2">
      <c r="GI19944" s="422"/>
    </row>
    <row r="19945" spans="191:191" x14ac:dyDescent="0.2">
      <c r="GI19945" s="422"/>
    </row>
    <row r="19946" spans="191:191" x14ac:dyDescent="0.2">
      <c r="GI19946" s="422"/>
    </row>
    <row r="19947" spans="191:191" x14ac:dyDescent="0.2">
      <c r="GI19947" s="422"/>
    </row>
    <row r="19948" spans="191:191" x14ac:dyDescent="0.2">
      <c r="GI19948" s="422"/>
    </row>
    <row r="19949" spans="191:191" x14ac:dyDescent="0.2">
      <c r="GI19949" s="422"/>
    </row>
    <row r="19950" spans="191:191" x14ac:dyDescent="0.2">
      <c r="GI19950" s="422"/>
    </row>
    <row r="19951" spans="191:191" x14ac:dyDescent="0.2">
      <c r="GI19951" s="422"/>
    </row>
    <row r="19952" spans="191:191" x14ac:dyDescent="0.2">
      <c r="GI19952" s="422"/>
    </row>
    <row r="19953" spans="191:191" x14ac:dyDescent="0.2">
      <c r="GI19953" s="422"/>
    </row>
    <row r="19954" spans="191:191" x14ac:dyDescent="0.2">
      <c r="GI19954" s="422"/>
    </row>
    <row r="19955" spans="191:191" x14ac:dyDescent="0.2">
      <c r="GI19955" s="422"/>
    </row>
    <row r="19956" spans="191:191" x14ac:dyDescent="0.2">
      <c r="GI19956" s="422"/>
    </row>
    <row r="19957" spans="191:191" x14ac:dyDescent="0.2">
      <c r="GI19957" s="422"/>
    </row>
    <row r="19958" spans="191:191" x14ac:dyDescent="0.2">
      <c r="GI19958" s="422"/>
    </row>
    <row r="19959" spans="191:191" x14ac:dyDescent="0.2">
      <c r="GI19959" s="422"/>
    </row>
    <row r="19960" spans="191:191" x14ac:dyDescent="0.2">
      <c r="GI19960" s="422"/>
    </row>
    <row r="19961" spans="191:191" x14ac:dyDescent="0.2">
      <c r="GI19961" s="422"/>
    </row>
    <row r="19962" spans="191:191" x14ac:dyDescent="0.2">
      <c r="GI19962" s="422"/>
    </row>
    <row r="19963" spans="191:191" x14ac:dyDescent="0.2">
      <c r="GI19963" s="422"/>
    </row>
    <row r="19964" spans="191:191" x14ac:dyDescent="0.2">
      <c r="GI19964" s="422"/>
    </row>
    <row r="19965" spans="191:191" x14ac:dyDescent="0.2">
      <c r="GI19965" s="422"/>
    </row>
    <row r="19966" spans="191:191" x14ac:dyDescent="0.2">
      <c r="GI19966" s="422"/>
    </row>
    <row r="19967" spans="191:191" x14ac:dyDescent="0.2">
      <c r="GI19967" s="422"/>
    </row>
    <row r="19968" spans="191:191" x14ac:dyDescent="0.2">
      <c r="GI19968" s="422"/>
    </row>
    <row r="19969" spans="191:191" x14ac:dyDescent="0.2">
      <c r="GI19969" s="422"/>
    </row>
    <row r="19970" spans="191:191" x14ac:dyDescent="0.2">
      <c r="GI19970" s="422"/>
    </row>
    <row r="19971" spans="191:191" x14ac:dyDescent="0.2">
      <c r="GI19971" s="422"/>
    </row>
    <row r="19972" spans="191:191" x14ac:dyDescent="0.2">
      <c r="GI19972" s="422"/>
    </row>
    <row r="19973" spans="191:191" x14ac:dyDescent="0.2">
      <c r="GI19973" s="422"/>
    </row>
    <row r="19974" spans="191:191" x14ac:dyDescent="0.2">
      <c r="GI19974" s="422"/>
    </row>
    <row r="19975" spans="191:191" x14ac:dyDescent="0.2">
      <c r="GI19975" s="422"/>
    </row>
    <row r="19976" spans="191:191" x14ac:dyDescent="0.2">
      <c r="GI19976" s="422"/>
    </row>
    <row r="19977" spans="191:191" x14ac:dyDescent="0.2">
      <c r="GI19977" s="422"/>
    </row>
    <row r="19978" spans="191:191" x14ac:dyDescent="0.2">
      <c r="GI19978" s="422"/>
    </row>
    <row r="19979" spans="191:191" x14ac:dyDescent="0.2">
      <c r="GI19979" s="422"/>
    </row>
    <row r="19980" spans="191:191" x14ac:dyDescent="0.2">
      <c r="GI19980" s="422"/>
    </row>
    <row r="19981" spans="191:191" x14ac:dyDescent="0.2">
      <c r="GI19981" s="422"/>
    </row>
    <row r="19982" spans="191:191" x14ac:dyDescent="0.2">
      <c r="GI19982" s="422"/>
    </row>
    <row r="19983" spans="191:191" x14ac:dyDescent="0.2">
      <c r="GI19983" s="422"/>
    </row>
    <row r="19984" spans="191:191" x14ac:dyDescent="0.2">
      <c r="GI19984" s="422"/>
    </row>
    <row r="19985" spans="191:191" x14ac:dyDescent="0.2">
      <c r="GI19985" s="422"/>
    </row>
    <row r="19986" spans="191:191" x14ac:dyDescent="0.2">
      <c r="GI19986" s="422"/>
    </row>
    <row r="19987" spans="191:191" x14ac:dyDescent="0.2">
      <c r="GI19987" s="422"/>
    </row>
    <row r="19988" spans="191:191" x14ac:dyDescent="0.2">
      <c r="GI19988" s="422"/>
    </row>
    <row r="19989" spans="191:191" x14ac:dyDescent="0.2">
      <c r="GI19989" s="422"/>
    </row>
    <row r="19990" spans="191:191" x14ac:dyDescent="0.2">
      <c r="GI19990" s="422"/>
    </row>
    <row r="19991" spans="191:191" x14ac:dyDescent="0.2">
      <c r="GI19991" s="422"/>
    </row>
    <row r="19992" spans="191:191" x14ac:dyDescent="0.2">
      <c r="GI19992" s="422"/>
    </row>
    <row r="19993" spans="191:191" x14ac:dyDescent="0.2">
      <c r="GI19993" s="422"/>
    </row>
    <row r="19994" spans="191:191" x14ac:dyDescent="0.2">
      <c r="GI19994" s="422"/>
    </row>
    <row r="19995" spans="191:191" x14ac:dyDescent="0.2">
      <c r="GI19995" s="422"/>
    </row>
    <row r="19996" spans="191:191" x14ac:dyDescent="0.2">
      <c r="GI19996" s="422"/>
    </row>
    <row r="19997" spans="191:191" x14ac:dyDescent="0.2">
      <c r="GI19997" s="422"/>
    </row>
    <row r="19998" spans="191:191" x14ac:dyDescent="0.2">
      <c r="GI19998" s="422"/>
    </row>
    <row r="19999" spans="191:191" x14ac:dyDescent="0.2">
      <c r="GI19999" s="422"/>
    </row>
    <row r="20000" spans="191:191" x14ac:dyDescent="0.2">
      <c r="GI20000" s="422"/>
    </row>
    <row r="20001" spans="191:191" x14ac:dyDescent="0.2">
      <c r="GI20001" s="422"/>
    </row>
    <row r="20002" spans="191:191" x14ac:dyDescent="0.2">
      <c r="GI20002" s="422"/>
    </row>
    <row r="20003" spans="191:191" x14ac:dyDescent="0.2">
      <c r="GI20003" s="422"/>
    </row>
    <row r="20004" spans="191:191" x14ac:dyDescent="0.2">
      <c r="GI20004" s="422"/>
    </row>
    <row r="20005" spans="191:191" x14ac:dyDescent="0.2">
      <c r="GI20005" s="422"/>
    </row>
    <row r="20006" spans="191:191" x14ac:dyDescent="0.2">
      <c r="GI20006" s="422"/>
    </row>
    <row r="20007" spans="191:191" x14ac:dyDescent="0.2">
      <c r="GI20007" s="422"/>
    </row>
    <row r="20008" spans="191:191" x14ac:dyDescent="0.2">
      <c r="GI20008" s="422"/>
    </row>
    <row r="20009" spans="191:191" x14ac:dyDescent="0.2">
      <c r="GI20009" s="422"/>
    </row>
    <row r="20010" spans="191:191" x14ac:dyDescent="0.2">
      <c r="GI20010" s="422"/>
    </row>
    <row r="20011" spans="191:191" x14ac:dyDescent="0.2">
      <c r="GI20011" s="422"/>
    </row>
    <row r="20012" spans="191:191" x14ac:dyDescent="0.2">
      <c r="GI20012" s="422"/>
    </row>
    <row r="20013" spans="191:191" x14ac:dyDescent="0.2">
      <c r="GI20013" s="422"/>
    </row>
    <row r="20014" spans="191:191" x14ac:dyDescent="0.2">
      <c r="GI20014" s="422"/>
    </row>
    <row r="20015" spans="191:191" x14ac:dyDescent="0.2">
      <c r="GI20015" s="422"/>
    </row>
    <row r="20016" spans="191:191" x14ac:dyDescent="0.2">
      <c r="GI20016" s="422"/>
    </row>
    <row r="20017" spans="191:191" x14ac:dyDescent="0.2">
      <c r="GI20017" s="422"/>
    </row>
    <row r="20018" spans="191:191" x14ac:dyDescent="0.2">
      <c r="GI20018" s="422"/>
    </row>
    <row r="20019" spans="191:191" x14ac:dyDescent="0.2">
      <c r="GI20019" s="422"/>
    </row>
    <row r="20020" spans="191:191" x14ac:dyDescent="0.2">
      <c r="GI20020" s="422"/>
    </row>
    <row r="20021" spans="191:191" x14ac:dyDescent="0.2">
      <c r="GI20021" s="422"/>
    </row>
    <row r="20022" spans="191:191" x14ac:dyDescent="0.2">
      <c r="GI20022" s="422"/>
    </row>
    <row r="20023" spans="191:191" x14ac:dyDescent="0.2">
      <c r="GI20023" s="422"/>
    </row>
    <row r="20024" spans="191:191" x14ac:dyDescent="0.2">
      <c r="GI20024" s="422"/>
    </row>
    <row r="20025" spans="191:191" x14ac:dyDescent="0.2">
      <c r="GI20025" s="422"/>
    </row>
    <row r="20026" spans="191:191" x14ac:dyDescent="0.2">
      <c r="GI20026" s="422"/>
    </row>
    <row r="20027" spans="191:191" x14ac:dyDescent="0.2">
      <c r="GI20027" s="422"/>
    </row>
    <row r="20028" spans="191:191" x14ac:dyDescent="0.2">
      <c r="GI20028" s="422"/>
    </row>
    <row r="20029" spans="191:191" x14ac:dyDescent="0.2">
      <c r="GI20029" s="422"/>
    </row>
    <row r="20030" spans="191:191" x14ac:dyDescent="0.2">
      <c r="GI20030" s="422"/>
    </row>
    <row r="20031" spans="191:191" x14ac:dyDescent="0.2">
      <c r="GI20031" s="422"/>
    </row>
    <row r="20032" spans="191:191" x14ac:dyDescent="0.2">
      <c r="GI20032" s="422"/>
    </row>
    <row r="20033" spans="191:191" x14ac:dyDescent="0.2">
      <c r="GI20033" s="422"/>
    </row>
    <row r="20034" spans="191:191" x14ac:dyDescent="0.2">
      <c r="GI20034" s="422"/>
    </row>
    <row r="20035" spans="191:191" x14ac:dyDescent="0.2">
      <c r="GI20035" s="422"/>
    </row>
    <row r="20036" spans="191:191" x14ac:dyDescent="0.2">
      <c r="GI20036" s="422"/>
    </row>
    <row r="20037" spans="191:191" x14ac:dyDescent="0.2">
      <c r="GI20037" s="422"/>
    </row>
    <row r="20038" spans="191:191" x14ac:dyDescent="0.2">
      <c r="GI20038" s="422"/>
    </row>
    <row r="20039" spans="191:191" x14ac:dyDescent="0.2">
      <c r="GI20039" s="422"/>
    </row>
    <row r="20040" spans="191:191" x14ac:dyDescent="0.2">
      <c r="GI20040" s="422"/>
    </row>
    <row r="20041" spans="191:191" x14ac:dyDescent="0.2">
      <c r="GI20041" s="422"/>
    </row>
    <row r="20042" spans="191:191" x14ac:dyDescent="0.2">
      <c r="GI20042" s="422"/>
    </row>
    <row r="20043" spans="191:191" x14ac:dyDescent="0.2">
      <c r="GI20043" s="422"/>
    </row>
    <row r="20044" spans="191:191" x14ac:dyDescent="0.2">
      <c r="GI20044" s="422"/>
    </row>
    <row r="20045" spans="191:191" x14ac:dyDescent="0.2">
      <c r="GI20045" s="422"/>
    </row>
    <row r="20046" spans="191:191" x14ac:dyDescent="0.2">
      <c r="GI20046" s="422"/>
    </row>
    <row r="20047" spans="191:191" x14ac:dyDescent="0.2">
      <c r="GI20047" s="422"/>
    </row>
    <row r="20048" spans="191:191" x14ac:dyDescent="0.2">
      <c r="GI20048" s="422"/>
    </row>
    <row r="20049" spans="191:191" x14ac:dyDescent="0.2">
      <c r="GI20049" s="422"/>
    </row>
    <row r="20050" spans="191:191" x14ac:dyDescent="0.2">
      <c r="GI20050" s="422"/>
    </row>
    <row r="20051" spans="191:191" x14ac:dyDescent="0.2">
      <c r="GI20051" s="422"/>
    </row>
    <row r="20052" spans="191:191" x14ac:dyDescent="0.2">
      <c r="GI20052" s="422"/>
    </row>
    <row r="20053" spans="191:191" x14ac:dyDescent="0.2">
      <c r="GI20053" s="422"/>
    </row>
    <row r="20054" spans="191:191" x14ac:dyDescent="0.2">
      <c r="GI20054" s="422"/>
    </row>
    <row r="20055" spans="191:191" x14ac:dyDescent="0.2">
      <c r="GI20055" s="422"/>
    </row>
    <row r="20056" spans="191:191" x14ac:dyDescent="0.2">
      <c r="GI20056" s="422"/>
    </row>
    <row r="20057" spans="191:191" x14ac:dyDescent="0.2">
      <c r="GI20057" s="422"/>
    </row>
    <row r="20058" spans="191:191" x14ac:dyDescent="0.2">
      <c r="GI20058" s="422"/>
    </row>
    <row r="20059" spans="191:191" x14ac:dyDescent="0.2">
      <c r="GI20059" s="422"/>
    </row>
    <row r="20060" spans="191:191" x14ac:dyDescent="0.2">
      <c r="GI20060" s="422"/>
    </row>
    <row r="20061" spans="191:191" x14ac:dyDescent="0.2">
      <c r="GI20061" s="422"/>
    </row>
    <row r="20062" spans="191:191" x14ac:dyDescent="0.2">
      <c r="GI20062" s="422"/>
    </row>
    <row r="20063" spans="191:191" x14ac:dyDescent="0.2">
      <c r="GI20063" s="422"/>
    </row>
    <row r="20064" spans="191:191" x14ac:dyDescent="0.2">
      <c r="GI20064" s="422"/>
    </row>
    <row r="20065" spans="191:191" x14ac:dyDescent="0.2">
      <c r="GI20065" s="422"/>
    </row>
    <row r="20066" spans="191:191" x14ac:dyDescent="0.2">
      <c r="GI20066" s="422"/>
    </row>
    <row r="20067" spans="191:191" x14ac:dyDescent="0.2">
      <c r="GI20067" s="422"/>
    </row>
    <row r="20068" spans="191:191" x14ac:dyDescent="0.2">
      <c r="GI20068" s="422"/>
    </row>
    <row r="20069" spans="191:191" x14ac:dyDescent="0.2">
      <c r="GI20069" s="422"/>
    </row>
    <row r="20070" spans="191:191" x14ac:dyDescent="0.2">
      <c r="GI20070" s="422"/>
    </row>
    <row r="20071" spans="191:191" x14ac:dyDescent="0.2">
      <c r="GI20071" s="422"/>
    </row>
    <row r="20072" spans="191:191" x14ac:dyDescent="0.2">
      <c r="GI20072" s="422"/>
    </row>
    <row r="20073" spans="191:191" x14ac:dyDescent="0.2">
      <c r="GI20073" s="422"/>
    </row>
    <row r="20074" spans="191:191" x14ac:dyDescent="0.2">
      <c r="GI20074" s="422"/>
    </row>
    <row r="20075" spans="191:191" x14ac:dyDescent="0.2">
      <c r="GI20075" s="422"/>
    </row>
    <row r="20076" spans="191:191" x14ac:dyDescent="0.2">
      <c r="GI20076" s="422"/>
    </row>
    <row r="20077" spans="191:191" x14ac:dyDescent="0.2">
      <c r="GI20077" s="422"/>
    </row>
    <row r="20078" spans="191:191" x14ac:dyDescent="0.2">
      <c r="GI20078" s="422"/>
    </row>
    <row r="20079" spans="191:191" x14ac:dyDescent="0.2">
      <c r="GI20079" s="422"/>
    </row>
    <row r="20080" spans="191:191" x14ac:dyDescent="0.2">
      <c r="GI20080" s="422"/>
    </row>
    <row r="20081" spans="191:191" x14ac:dyDescent="0.2">
      <c r="GI20081" s="422"/>
    </row>
    <row r="20082" spans="191:191" x14ac:dyDescent="0.2">
      <c r="GI20082" s="422"/>
    </row>
    <row r="20083" spans="191:191" x14ac:dyDescent="0.2">
      <c r="GI20083" s="422"/>
    </row>
    <row r="20084" spans="191:191" x14ac:dyDescent="0.2">
      <c r="GI20084" s="422"/>
    </row>
    <row r="20085" spans="191:191" x14ac:dyDescent="0.2">
      <c r="GI20085" s="422"/>
    </row>
    <row r="20086" spans="191:191" x14ac:dyDescent="0.2">
      <c r="GI20086" s="422"/>
    </row>
    <row r="20087" spans="191:191" x14ac:dyDescent="0.2">
      <c r="GI20087" s="422"/>
    </row>
    <row r="20088" spans="191:191" x14ac:dyDescent="0.2">
      <c r="GI20088" s="422"/>
    </row>
    <row r="20089" spans="191:191" x14ac:dyDescent="0.2">
      <c r="GI20089" s="422"/>
    </row>
    <row r="20090" spans="191:191" x14ac:dyDescent="0.2">
      <c r="GI20090" s="422"/>
    </row>
    <row r="20091" spans="191:191" x14ac:dyDescent="0.2">
      <c r="GI20091" s="422"/>
    </row>
    <row r="20092" spans="191:191" x14ac:dyDescent="0.2">
      <c r="GI20092" s="422"/>
    </row>
    <row r="20093" spans="191:191" x14ac:dyDescent="0.2">
      <c r="GI20093" s="422"/>
    </row>
    <row r="20094" spans="191:191" x14ac:dyDescent="0.2">
      <c r="GI20094" s="422"/>
    </row>
    <row r="20095" spans="191:191" x14ac:dyDescent="0.2">
      <c r="GI20095" s="422"/>
    </row>
    <row r="20096" spans="191:191" x14ac:dyDescent="0.2">
      <c r="GI20096" s="422"/>
    </row>
    <row r="20097" spans="191:191" x14ac:dyDescent="0.2">
      <c r="GI20097" s="422"/>
    </row>
    <row r="20098" spans="191:191" x14ac:dyDescent="0.2">
      <c r="GI20098" s="422"/>
    </row>
    <row r="20099" spans="191:191" x14ac:dyDescent="0.2">
      <c r="GI20099" s="422"/>
    </row>
    <row r="20100" spans="191:191" x14ac:dyDescent="0.2">
      <c r="GI20100" s="422"/>
    </row>
    <row r="20101" spans="191:191" x14ac:dyDescent="0.2">
      <c r="GI20101" s="422"/>
    </row>
    <row r="20102" spans="191:191" x14ac:dyDescent="0.2">
      <c r="GI20102" s="422"/>
    </row>
    <row r="20103" spans="191:191" x14ac:dyDescent="0.2">
      <c r="GI20103" s="422"/>
    </row>
    <row r="20104" spans="191:191" x14ac:dyDescent="0.2">
      <c r="GI20104" s="422"/>
    </row>
    <row r="20105" spans="191:191" x14ac:dyDescent="0.2">
      <c r="GI20105" s="422"/>
    </row>
    <row r="20106" spans="191:191" x14ac:dyDescent="0.2">
      <c r="GI20106" s="422"/>
    </row>
    <row r="20107" spans="191:191" x14ac:dyDescent="0.2">
      <c r="GI20107" s="422"/>
    </row>
    <row r="20108" spans="191:191" x14ac:dyDescent="0.2">
      <c r="GI20108" s="422"/>
    </row>
    <row r="20109" spans="191:191" x14ac:dyDescent="0.2">
      <c r="GI20109" s="422"/>
    </row>
    <row r="20110" spans="191:191" x14ac:dyDescent="0.2">
      <c r="GI20110" s="422"/>
    </row>
    <row r="20111" spans="191:191" x14ac:dyDescent="0.2">
      <c r="GI20111" s="422"/>
    </row>
    <row r="20112" spans="191:191" x14ac:dyDescent="0.2">
      <c r="GI20112" s="422"/>
    </row>
    <row r="20113" spans="191:191" x14ac:dyDescent="0.2">
      <c r="GI20113" s="422"/>
    </row>
    <row r="20114" spans="191:191" x14ac:dyDescent="0.2">
      <c r="GI20114" s="422"/>
    </row>
    <row r="20115" spans="191:191" x14ac:dyDescent="0.2">
      <c r="GI20115" s="422"/>
    </row>
    <row r="20116" spans="191:191" x14ac:dyDescent="0.2">
      <c r="GI20116" s="422"/>
    </row>
    <row r="20117" spans="191:191" x14ac:dyDescent="0.2">
      <c r="GI20117" s="422"/>
    </row>
    <row r="20118" spans="191:191" x14ac:dyDescent="0.2">
      <c r="GI20118" s="422"/>
    </row>
    <row r="20119" spans="191:191" x14ac:dyDescent="0.2">
      <c r="GI20119" s="422"/>
    </row>
    <row r="20120" spans="191:191" x14ac:dyDescent="0.2">
      <c r="GI20120" s="422"/>
    </row>
    <row r="20121" spans="191:191" x14ac:dyDescent="0.2">
      <c r="GI20121" s="422"/>
    </row>
    <row r="20122" spans="191:191" x14ac:dyDescent="0.2">
      <c r="GI20122" s="422"/>
    </row>
    <row r="20123" spans="191:191" x14ac:dyDescent="0.2">
      <c r="GI20123" s="422"/>
    </row>
    <row r="20124" spans="191:191" x14ac:dyDescent="0.2">
      <c r="GI20124" s="422"/>
    </row>
    <row r="20125" spans="191:191" x14ac:dyDescent="0.2">
      <c r="GI20125" s="422"/>
    </row>
    <row r="20126" spans="191:191" x14ac:dyDescent="0.2">
      <c r="GI20126" s="422"/>
    </row>
    <row r="20127" spans="191:191" x14ac:dyDescent="0.2">
      <c r="GI20127" s="422"/>
    </row>
    <row r="20128" spans="191:191" x14ac:dyDescent="0.2">
      <c r="GI20128" s="422"/>
    </row>
    <row r="20129" spans="191:191" x14ac:dyDescent="0.2">
      <c r="GI20129" s="422"/>
    </row>
    <row r="20130" spans="191:191" x14ac:dyDescent="0.2">
      <c r="GI20130" s="422"/>
    </row>
    <row r="20131" spans="191:191" x14ac:dyDescent="0.2">
      <c r="GI20131" s="422"/>
    </row>
    <row r="20132" spans="191:191" x14ac:dyDescent="0.2">
      <c r="GI20132" s="422"/>
    </row>
    <row r="20133" spans="191:191" x14ac:dyDescent="0.2">
      <c r="GI20133" s="422"/>
    </row>
    <row r="20134" spans="191:191" x14ac:dyDescent="0.2">
      <c r="GI20134" s="422"/>
    </row>
    <row r="20135" spans="191:191" x14ac:dyDescent="0.2">
      <c r="GI20135" s="422"/>
    </row>
    <row r="20136" spans="191:191" x14ac:dyDescent="0.2">
      <c r="GI20136" s="422"/>
    </row>
    <row r="20137" spans="191:191" x14ac:dyDescent="0.2">
      <c r="GI20137" s="422"/>
    </row>
    <row r="20138" spans="191:191" x14ac:dyDescent="0.2">
      <c r="GI20138" s="422"/>
    </row>
    <row r="20139" spans="191:191" x14ac:dyDescent="0.2">
      <c r="GI20139" s="422"/>
    </row>
    <row r="20140" spans="191:191" x14ac:dyDescent="0.2">
      <c r="GI20140" s="422"/>
    </row>
    <row r="20141" spans="191:191" x14ac:dyDescent="0.2">
      <c r="GI20141" s="422"/>
    </row>
    <row r="20142" spans="191:191" x14ac:dyDescent="0.2">
      <c r="GI20142" s="422"/>
    </row>
    <row r="20143" spans="191:191" x14ac:dyDescent="0.2">
      <c r="GI20143" s="422"/>
    </row>
    <row r="20144" spans="191:191" x14ac:dyDescent="0.2">
      <c r="GI20144" s="422"/>
    </row>
    <row r="20145" spans="191:191" x14ac:dyDescent="0.2">
      <c r="GI20145" s="422"/>
    </row>
    <row r="20146" spans="191:191" x14ac:dyDescent="0.2">
      <c r="GI20146" s="422"/>
    </row>
    <row r="20147" spans="191:191" x14ac:dyDescent="0.2">
      <c r="GI20147" s="422"/>
    </row>
    <row r="20148" spans="191:191" x14ac:dyDescent="0.2">
      <c r="GI20148" s="422"/>
    </row>
    <row r="20149" spans="191:191" x14ac:dyDescent="0.2">
      <c r="GI20149" s="422"/>
    </row>
    <row r="20150" spans="191:191" x14ac:dyDescent="0.2">
      <c r="GI20150" s="422"/>
    </row>
    <row r="20151" spans="191:191" x14ac:dyDescent="0.2">
      <c r="GI20151" s="422"/>
    </row>
    <row r="20152" spans="191:191" x14ac:dyDescent="0.2">
      <c r="GI20152" s="422"/>
    </row>
    <row r="20153" spans="191:191" x14ac:dyDescent="0.2">
      <c r="GI20153" s="422"/>
    </row>
    <row r="20154" spans="191:191" x14ac:dyDescent="0.2">
      <c r="GI20154" s="422"/>
    </row>
    <row r="20155" spans="191:191" x14ac:dyDescent="0.2">
      <c r="GI20155" s="422"/>
    </row>
    <row r="20156" spans="191:191" x14ac:dyDescent="0.2">
      <c r="GI20156" s="422"/>
    </row>
    <row r="20157" spans="191:191" x14ac:dyDescent="0.2">
      <c r="GI20157" s="422"/>
    </row>
    <row r="20158" spans="191:191" x14ac:dyDescent="0.2">
      <c r="GI20158" s="422"/>
    </row>
    <row r="20159" spans="191:191" x14ac:dyDescent="0.2">
      <c r="GI20159" s="422"/>
    </row>
    <row r="20160" spans="191:191" x14ac:dyDescent="0.2">
      <c r="GI20160" s="422"/>
    </row>
    <row r="20161" spans="191:191" x14ac:dyDescent="0.2">
      <c r="GI20161" s="422"/>
    </row>
    <row r="20162" spans="191:191" x14ac:dyDescent="0.2">
      <c r="GI20162" s="422"/>
    </row>
    <row r="20163" spans="191:191" x14ac:dyDescent="0.2">
      <c r="GI20163" s="422"/>
    </row>
    <row r="20164" spans="191:191" x14ac:dyDescent="0.2">
      <c r="GI20164" s="422"/>
    </row>
    <row r="20165" spans="191:191" x14ac:dyDescent="0.2">
      <c r="GI20165" s="422"/>
    </row>
    <row r="20166" spans="191:191" x14ac:dyDescent="0.2">
      <c r="GI20166" s="422"/>
    </row>
    <row r="20167" spans="191:191" x14ac:dyDescent="0.2">
      <c r="GI20167" s="422"/>
    </row>
    <row r="20168" spans="191:191" x14ac:dyDescent="0.2">
      <c r="GI20168" s="422"/>
    </row>
    <row r="20169" spans="191:191" x14ac:dyDescent="0.2">
      <c r="GI20169" s="422"/>
    </row>
    <row r="20170" spans="191:191" x14ac:dyDescent="0.2">
      <c r="GI20170" s="422"/>
    </row>
    <row r="20171" spans="191:191" x14ac:dyDescent="0.2">
      <c r="GI20171" s="422"/>
    </row>
    <row r="20172" spans="191:191" x14ac:dyDescent="0.2">
      <c r="GI20172" s="422"/>
    </row>
    <row r="20173" spans="191:191" x14ac:dyDescent="0.2">
      <c r="GI20173" s="422"/>
    </row>
    <row r="20174" spans="191:191" x14ac:dyDescent="0.2">
      <c r="GI20174" s="422"/>
    </row>
    <row r="20175" spans="191:191" x14ac:dyDescent="0.2">
      <c r="GI20175" s="422"/>
    </row>
    <row r="20176" spans="191:191" x14ac:dyDescent="0.2">
      <c r="GI20176" s="422"/>
    </row>
    <row r="20177" spans="191:191" x14ac:dyDescent="0.2">
      <c r="GI20177" s="422"/>
    </row>
    <row r="20178" spans="191:191" x14ac:dyDescent="0.2">
      <c r="GI20178" s="422"/>
    </row>
    <row r="20179" spans="191:191" x14ac:dyDescent="0.2">
      <c r="GI20179" s="422"/>
    </row>
    <row r="20180" spans="191:191" x14ac:dyDescent="0.2">
      <c r="GI20180" s="422"/>
    </row>
    <row r="20181" spans="191:191" x14ac:dyDescent="0.2">
      <c r="GI20181" s="422"/>
    </row>
    <row r="20182" spans="191:191" x14ac:dyDescent="0.2">
      <c r="GI20182" s="422"/>
    </row>
    <row r="20183" spans="191:191" x14ac:dyDescent="0.2">
      <c r="GI20183" s="422"/>
    </row>
    <row r="20184" spans="191:191" x14ac:dyDescent="0.2">
      <c r="GI20184" s="422"/>
    </row>
    <row r="20185" spans="191:191" x14ac:dyDescent="0.2">
      <c r="GI20185" s="422"/>
    </row>
    <row r="20186" spans="191:191" x14ac:dyDescent="0.2">
      <c r="GI20186" s="422"/>
    </row>
    <row r="20187" spans="191:191" x14ac:dyDescent="0.2">
      <c r="GI20187" s="422"/>
    </row>
    <row r="20188" spans="191:191" x14ac:dyDescent="0.2">
      <c r="GI20188" s="422"/>
    </row>
    <row r="20189" spans="191:191" x14ac:dyDescent="0.2">
      <c r="GI20189" s="422"/>
    </row>
    <row r="20190" spans="191:191" x14ac:dyDescent="0.2">
      <c r="GI20190" s="422"/>
    </row>
    <row r="20191" spans="191:191" x14ac:dyDescent="0.2">
      <c r="GI20191" s="422"/>
    </row>
    <row r="20192" spans="191:191" x14ac:dyDescent="0.2">
      <c r="GI20192" s="422"/>
    </row>
    <row r="20193" spans="191:191" x14ac:dyDescent="0.2">
      <c r="GI20193" s="422"/>
    </row>
    <row r="20194" spans="191:191" x14ac:dyDescent="0.2">
      <c r="GI20194" s="422"/>
    </row>
    <row r="20195" spans="191:191" x14ac:dyDescent="0.2">
      <c r="GI20195" s="422"/>
    </row>
    <row r="20196" spans="191:191" x14ac:dyDescent="0.2">
      <c r="GI20196" s="422"/>
    </row>
    <row r="20197" spans="191:191" x14ac:dyDescent="0.2">
      <c r="GI20197" s="422"/>
    </row>
    <row r="20198" spans="191:191" x14ac:dyDescent="0.2">
      <c r="GI20198" s="422"/>
    </row>
    <row r="20199" spans="191:191" x14ac:dyDescent="0.2">
      <c r="GI20199" s="422"/>
    </row>
    <row r="20200" spans="191:191" x14ac:dyDescent="0.2">
      <c r="GI20200" s="422"/>
    </row>
    <row r="20201" spans="191:191" x14ac:dyDescent="0.2">
      <c r="GI20201" s="422"/>
    </row>
    <row r="20202" spans="191:191" x14ac:dyDescent="0.2">
      <c r="GI20202" s="422"/>
    </row>
    <row r="20203" spans="191:191" x14ac:dyDescent="0.2">
      <c r="GI20203" s="422"/>
    </row>
    <row r="20204" spans="191:191" x14ac:dyDescent="0.2">
      <c r="GI20204" s="422"/>
    </row>
    <row r="20205" spans="191:191" x14ac:dyDescent="0.2">
      <c r="GI20205" s="422"/>
    </row>
    <row r="20206" spans="191:191" x14ac:dyDescent="0.2">
      <c r="GI20206" s="422"/>
    </row>
    <row r="20207" spans="191:191" x14ac:dyDescent="0.2">
      <c r="GI20207" s="422"/>
    </row>
    <row r="20208" spans="191:191" x14ac:dyDescent="0.2">
      <c r="GI20208" s="422"/>
    </row>
    <row r="20209" spans="191:191" x14ac:dyDescent="0.2">
      <c r="GI20209" s="422"/>
    </row>
    <row r="20210" spans="191:191" x14ac:dyDescent="0.2">
      <c r="GI20210" s="422"/>
    </row>
    <row r="20211" spans="191:191" x14ac:dyDescent="0.2">
      <c r="GI20211" s="422"/>
    </row>
    <row r="20212" spans="191:191" x14ac:dyDescent="0.2">
      <c r="GI20212" s="422"/>
    </row>
    <row r="20213" spans="191:191" x14ac:dyDescent="0.2">
      <c r="GI20213" s="422"/>
    </row>
    <row r="20214" spans="191:191" x14ac:dyDescent="0.2">
      <c r="GI20214" s="422"/>
    </row>
    <row r="20215" spans="191:191" x14ac:dyDescent="0.2">
      <c r="GI20215" s="422"/>
    </row>
    <row r="20216" spans="191:191" x14ac:dyDescent="0.2">
      <c r="GI20216" s="422"/>
    </row>
    <row r="20217" spans="191:191" x14ac:dyDescent="0.2">
      <c r="GI20217" s="422"/>
    </row>
    <row r="20218" spans="191:191" x14ac:dyDescent="0.2">
      <c r="GI20218" s="422"/>
    </row>
    <row r="20219" spans="191:191" x14ac:dyDescent="0.2">
      <c r="GI20219" s="422"/>
    </row>
    <row r="20220" spans="191:191" x14ac:dyDescent="0.2">
      <c r="GI20220" s="422"/>
    </row>
    <row r="20221" spans="191:191" x14ac:dyDescent="0.2">
      <c r="GI20221" s="422"/>
    </row>
    <row r="20222" spans="191:191" x14ac:dyDescent="0.2">
      <c r="GI20222" s="422"/>
    </row>
    <row r="20223" spans="191:191" x14ac:dyDescent="0.2">
      <c r="GI20223" s="422"/>
    </row>
    <row r="20224" spans="191:191" x14ac:dyDescent="0.2">
      <c r="GI20224" s="422"/>
    </row>
    <row r="20225" spans="191:191" x14ac:dyDescent="0.2">
      <c r="GI20225" s="422"/>
    </row>
    <row r="20226" spans="191:191" x14ac:dyDescent="0.2">
      <c r="GI20226" s="422"/>
    </row>
    <row r="20227" spans="191:191" x14ac:dyDescent="0.2">
      <c r="GI20227" s="422"/>
    </row>
    <row r="20228" spans="191:191" x14ac:dyDescent="0.2">
      <c r="GI20228" s="422"/>
    </row>
    <row r="20229" spans="191:191" x14ac:dyDescent="0.2">
      <c r="GI20229" s="422"/>
    </row>
    <row r="20230" spans="191:191" x14ac:dyDescent="0.2">
      <c r="GI20230" s="422"/>
    </row>
    <row r="20231" spans="191:191" x14ac:dyDescent="0.2">
      <c r="GI20231" s="422"/>
    </row>
    <row r="20232" spans="191:191" x14ac:dyDescent="0.2">
      <c r="GI20232" s="422"/>
    </row>
    <row r="20233" spans="191:191" x14ac:dyDescent="0.2">
      <c r="GI20233" s="422"/>
    </row>
    <row r="20234" spans="191:191" x14ac:dyDescent="0.2">
      <c r="GI20234" s="422"/>
    </row>
    <row r="20235" spans="191:191" x14ac:dyDescent="0.2">
      <c r="GI20235" s="422"/>
    </row>
    <row r="20236" spans="191:191" x14ac:dyDescent="0.2">
      <c r="GI20236" s="422"/>
    </row>
    <row r="20237" spans="191:191" x14ac:dyDescent="0.2">
      <c r="GI20237" s="422"/>
    </row>
    <row r="20238" spans="191:191" x14ac:dyDescent="0.2">
      <c r="GI20238" s="422"/>
    </row>
    <row r="20239" spans="191:191" x14ac:dyDescent="0.2">
      <c r="GI20239" s="422"/>
    </row>
    <row r="20240" spans="191:191" x14ac:dyDescent="0.2">
      <c r="GI20240" s="422"/>
    </row>
    <row r="20241" spans="191:191" x14ac:dyDescent="0.2">
      <c r="GI20241" s="422"/>
    </row>
    <row r="20242" spans="191:191" x14ac:dyDescent="0.2">
      <c r="GI20242" s="422"/>
    </row>
    <row r="20243" spans="191:191" x14ac:dyDescent="0.2">
      <c r="GI20243" s="422"/>
    </row>
    <row r="20244" spans="191:191" x14ac:dyDescent="0.2">
      <c r="GI20244" s="422"/>
    </row>
    <row r="20245" spans="191:191" x14ac:dyDescent="0.2">
      <c r="GI20245" s="422"/>
    </row>
    <row r="20246" spans="191:191" x14ac:dyDescent="0.2">
      <c r="GI20246" s="422"/>
    </row>
    <row r="20247" spans="191:191" x14ac:dyDescent="0.2">
      <c r="GI20247" s="422"/>
    </row>
    <row r="20248" spans="191:191" x14ac:dyDescent="0.2">
      <c r="GI20248" s="422"/>
    </row>
    <row r="20249" spans="191:191" x14ac:dyDescent="0.2">
      <c r="GI20249" s="422"/>
    </row>
    <row r="20250" spans="191:191" x14ac:dyDescent="0.2">
      <c r="GI20250" s="422"/>
    </row>
    <row r="20251" spans="191:191" x14ac:dyDescent="0.2">
      <c r="GI20251" s="422"/>
    </row>
    <row r="20252" spans="191:191" x14ac:dyDescent="0.2">
      <c r="GI20252" s="422"/>
    </row>
    <row r="20253" spans="191:191" x14ac:dyDescent="0.2">
      <c r="GI20253" s="422"/>
    </row>
    <row r="20254" spans="191:191" x14ac:dyDescent="0.2">
      <c r="GI20254" s="422"/>
    </row>
    <row r="20255" spans="191:191" x14ac:dyDescent="0.2">
      <c r="GI20255" s="422"/>
    </row>
    <row r="20256" spans="191:191" x14ac:dyDescent="0.2">
      <c r="GI20256" s="422"/>
    </row>
    <row r="20257" spans="191:191" x14ac:dyDescent="0.2">
      <c r="GI20257" s="422"/>
    </row>
    <row r="20258" spans="191:191" x14ac:dyDescent="0.2">
      <c r="GI20258" s="422"/>
    </row>
    <row r="20259" spans="191:191" x14ac:dyDescent="0.2">
      <c r="GI20259" s="422"/>
    </row>
    <row r="20260" spans="191:191" x14ac:dyDescent="0.2">
      <c r="GI20260" s="422"/>
    </row>
    <row r="20261" spans="191:191" x14ac:dyDescent="0.2">
      <c r="GI20261" s="422"/>
    </row>
    <row r="20262" spans="191:191" x14ac:dyDescent="0.2">
      <c r="GI20262" s="422"/>
    </row>
    <row r="20263" spans="191:191" x14ac:dyDescent="0.2">
      <c r="GI20263" s="422"/>
    </row>
    <row r="20264" spans="191:191" x14ac:dyDescent="0.2">
      <c r="GI20264" s="422"/>
    </row>
    <row r="20265" spans="191:191" x14ac:dyDescent="0.2">
      <c r="GI20265" s="422"/>
    </row>
    <row r="20266" spans="191:191" x14ac:dyDescent="0.2">
      <c r="GI20266" s="422"/>
    </row>
    <row r="20267" spans="191:191" x14ac:dyDescent="0.2">
      <c r="GI20267" s="422"/>
    </row>
    <row r="20268" spans="191:191" x14ac:dyDescent="0.2">
      <c r="GI20268" s="422"/>
    </row>
    <row r="20269" spans="191:191" x14ac:dyDescent="0.2">
      <c r="GI20269" s="422"/>
    </row>
    <row r="20270" spans="191:191" x14ac:dyDescent="0.2">
      <c r="GI20270" s="422"/>
    </row>
    <row r="20271" spans="191:191" x14ac:dyDescent="0.2">
      <c r="GI20271" s="422"/>
    </row>
    <row r="20272" spans="191:191" x14ac:dyDescent="0.2">
      <c r="GI20272" s="422"/>
    </row>
    <row r="20273" spans="191:191" x14ac:dyDescent="0.2">
      <c r="GI20273" s="422"/>
    </row>
    <row r="20274" spans="191:191" x14ac:dyDescent="0.2">
      <c r="GI20274" s="422"/>
    </row>
    <row r="20275" spans="191:191" x14ac:dyDescent="0.2">
      <c r="GI20275" s="422"/>
    </row>
    <row r="20276" spans="191:191" x14ac:dyDescent="0.2">
      <c r="GI20276" s="422"/>
    </row>
    <row r="20277" spans="191:191" x14ac:dyDescent="0.2">
      <c r="GI20277" s="422"/>
    </row>
    <row r="20278" spans="191:191" x14ac:dyDescent="0.2">
      <c r="GI20278" s="422"/>
    </row>
    <row r="20279" spans="191:191" x14ac:dyDescent="0.2">
      <c r="GI20279" s="422"/>
    </row>
    <row r="20280" spans="191:191" x14ac:dyDescent="0.2">
      <c r="GI20280" s="422"/>
    </row>
    <row r="20281" spans="191:191" x14ac:dyDescent="0.2">
      <c r="GI20281" s="422"/>
    </row>
    <row r="20282" spans="191:191" x14ac:dyDescent="0.2">
      <c r="GI20282" s="422"/>
    </row>
    <row r="20283" spans="191:191" x14ac:dyDescent="0.2">
      <c r="GI20283" s="422"/>
    </row>
    <row r="20284" spans="191:191" x14ac:dyDescent="0.2">
      <c r="GI20284" s="422"/>
    </row>
    <row r="20285" spans="191:191" x14ac:dyDescent="0.2">
      <c r="GI20285" s="422"/>
    </row>
    <row r="20286" spans="191:191" x14ac:dyDescent="0.2">
      <c r="GI20286" s="422"/>
    </row>
    <row r="20287" spans="191:191" x14ac:dyDescent="0.2">
      <c r="GI20287" s="422"/>
    </row>
    <row r="20288" spans="191:191" x14ac:dyDescent="0.2">
      <c r="GI20288" s="422"/>
    </row>
    <row r="20289" spans="191:191" x14ac:dyDescent="0.2">
      <c r="GI20289" s="422"/>
    </row>
    <row r="20290" spans="191:191" x14ac:dyDescent="0.2">
      <c r="GI20290" s="422"/>
    </row>
    <row r="20291" spans="191:191" x14ac:dyDescent="0.2">
      <c r="GI20291" s="422"/>
    </row>
    <row r="20292" spans="191:191" x14ac:dyDescent="0.2">
      <c r="GI20292" s="422"/>
    </row>
    <row r="20293" spans="191:191" x14ac:dyDescent="0.2">
      <c r="GI20293" s="422"/>
    </row>
    <row r="20294" spans="191:191" x14ac:dyDescent="0.2">
      <c r="GI20294" s="422"/>
    </row>
    <row r="20295" spans="191:191" x14ac:dyDescent="0.2">
      <c r="GI20295" s="422"/>
    </row>
    <row r="20296" spans="191:191" x14ac:dyDescent="0.2">
      <c r="GI20296" s="422"/>
    </row>
    <row r="20297" spans="191:191" x14ac:dyDescent="0.2">
      <c r="GI20297" s="422"/>
    </row>
    <row r="20298" spans="191:191" x14ac:dyDescent="0.2">
      <c r="GI20298" s="422"/>
    </row>
    <row r="20299" spans="191:191" x14ac:dyDescent="0.2">
      <c r="GI20299" s="422"/>
    </row>
    <row r="20300" spans="191:191" x14ac:dyDescent="0.2">
      <c r="GI20300" s="422"/>
    </row>
    <row r="20301" spans="191:191" x14ac:dyDescent="0.2">
      <c r="GI20301" s="422"/>
    </row>
    <row r="20302" spans="191:191" x14ac:dyDescent="0.2">
      <c r="GI20302" s="422"/>
    </row>
    <row r="20303" spans="191:191" x14ac:dyDescent="0.2">
      <c r="GI20303" s="422"/>
    </row>
    <row r="20304" spans="191:191" x14ac:dyDescent="0.2">
      <c r="GI20304" s="422"/>
    </row>
    <row r="20305" spans="191:191" x14ac:dyDescent="0.2">
      <c r="GI20305" s="422"/>
    </row>
    <row r="20306" spans="191:191" x14ac:dyDescent="0.2">
      <c r="GI20306" s="422"/>
    </row>
    <row r="20307" spans="191:191" x14ac:dyDescent="0.2">
      <c r="GI20307" s="422"/>
    </row>
    <row r="20308" spans="191:191" x14ac:dyDescent="0.2">
      <c r="GI20308" s="422"/>
    </row>
    <row r="20309" spans="191:191" x14ac:dyDescent="0.2">
      <c r="GI20309" s="422"/>
    </row>
    <row r="20310" spans="191:191" x14ac:dyDescent="0.2">
      <c r="GI20310" s="422"/>
    </row>
    <row r="20311" spans="191:191" x14ac:dyDescent="0.2">
      <c r="GI20311" s="422"/>
    </row>
    <row r="20312" spans="191:191" x14ac:dyDescent="0.2">
      <c r="GI20312" s="422"/>
    </row>
    <row r="20313" spans="191:191" x14ac:dyDescent="0.2">
      <c r="GI20313" s="422"/>
    </row>
    <row r="20314" spans="191:191" x14ac:dyDescent="0.2">
      <c r="GI20314" s="422"/>
    </row>
    <row r="20315" spans="191:191" x14ac:dyDescent="0.2">
      <c r="GI20315" s="422"/>
    </row>
    <row r="20316" spans="191:191" x14ac:dyDescent="0.2">
      <c r="GI20316" s="422"/>
    </row>
    <row r="20317" spans="191:191" x14ac:dyDescent="0.2">
      <c r="GI20317" s="422"/>
    </row>
    <row r="20318" spans="191:191" x14ac:dyDescent="0.2">
      <c r="GI20318" s="422"/>
    </row>
    <row r="20319" spans="191:191" x14ac:dyDescent="0.2">
      <c r="GI20319" s="422"/>
    </row>
    <row r="20320" spans="191:191" x14ac:dyDescent="0.2">
      <c r="GI20320" s="422"/>
    </row>
    <row r="20321" spans="191:191" x14ac:dyDescent="0.2">
      <c r="GI20321" s="422"/>
    </row>
    <row r="20322" spans="191:191" x14ac:dyDescent="0.2">
      <c r="GI20322" s="422"/>
    </row>
    <row r="20323" spans="191:191" x14ac:dyDescent="0.2">
      <c r="GI20323" s="422"/>
    </row>
    <row r="20324" spans="191:191" x14ac:dyDescent="0.2">
      <c r="GI20324" s="422"/>
    </row>
    <row r="20325" spans="191:191" x14ac:dyDescent="0.2">
      <c r="GI20325" s="422"/>
    </row>
    <row r="20326" spans="191:191" x14ac:dyDescent="0.2">
      <c r="GI20326" s="422"/>
    </row>
    <row r="20327" spans="191:191" x14ac:dyDescent="0.2">
      <c r="GI20327" s="422"/>
    </row>
    <row r="20328" spans="191:191" x14ac:dyDescent="0.2">
      <c r="GI20328" s="422"/>
    </row>
    <row r="20329" spans="191:191" x14ac:dyDescent="0.2">
      <c r="GI20329" s="422"/>
    </row>
    <row r="20330" spans="191:191" x14ac:dyDescent="0.2">
      <c r="GI20330" s="422"/>
    </row>
    <row r="20331" spans="191:191" x14ac:dyDescent="0.2">
      <c r="GI20331" s="422"/>
    </row>
    <row r="20332" spans="191:191" x14ac:dyDescent="0.2">
      <c r="GI20332" s="422"/>
    </row>
    <row r="20333" spans="191:191" x14ac:dyDescent="0.2">
      <c r="GI20333" s="422"/>
    </row>
    <row r="20334" spans="191:191" x14ac:dyDescent="0.2">
      <c r="GI20334" s="422"/>
    </row>
    <row r="20335" spans="191:191" x14ac:dyDescent="0.2">
      <c r="GI20335" s="422"/>
    </row>
    <row r="20336" spans="191:191" x14ac:dyDescent="0.2">
      <c r="GI20336" s="422"/>
    </row>
    <row r="20337" spans="191:191" x14ac:dyDescent="0.2">
      <c r="GI20337" s="422"/>
    </row>
    <row r="20338" spans="191:191" x14ac:dyDescent="0.2">
      <c r="GI20338" s="422"/>
    </row>
    <row r="20339" spans="191:191" x14ac:dyDescent="0.2">
      <c r="GI20339" s="422"/>
    </row>
    <row r="20340" spans="191:191" x14ac:dyDescent="0.2">
      <c r="GI20340" s="422"/>
    </row>
    <row r="20341" spans="191:191" x14ac:dyDescent="0.2">
      <c r="GI20341" s="422"/>
    </row>
    <row r="20342" spans="191:191" x14ac:dyDescent="0.2">
      <c r="GI20342" s="422"/>
    </row>
    <row r="20343" spans="191:191" x14ac:dyDescent="0.2">
      <c r="GI20343" s="422"/>
    </row>
    <row r="20344" spans="191:191" x14ac:dyDescent="0.2">
      <c r="GI20344" s="422"/>
    </row>
    <row r="20345" spans="191:191" x14ac:dyDescent="0.2">
      <c r="GI20345" s="422"/>
    </row>
    <row r="20346" spans="191:191" x14ac:dyDescent="0.2">
      <c r="GI20346" s="422"/>
    </row>
    <row r="20347" spans="191:191" x14ac:dyDescent="0.2">
      <c r="GI20347" s="422"/>
    </row>
    <row r="20348" spans="191:191" x14ac:dyDescent="0.2">
      <c r="GI20348" s="422"/>
    </row>
    <row r="20349" spans="191:191" x14ac:dyDescent="0.2">
      <c r="GI20349" s="422"/>
    </row>
    <row r="20350" spans="191:191" x14ac:dyDescent="0.2">
      <c r="GI20350" s="422"/>
    </row>
    <row r="20351" spans="191:191" x14ac:dyDescent="0.2">
      <c r="GI20351" s="422"/>
    </row>
    <row r="20352" spans="191:191" x14ac:dyDescent="0.2">
      <c r="GI20352" s="422"/>
    </row>
    <row r="20353" spans="191:191" x14ac:dyDescent="0.2">
      <c r="GI20353" s="422"/>
    </row>
    <row r="20354" spans="191:191" x14ac:dyDescent="0.2">
      <c r="GI20354" s="422"/>
    </row>
    <row r="20355" spans="191:191" x14ac:dyDescent="0.2">
      <c r="GI20355" s="422"/>
    </row>
    <row r="20356" spans="191:191" x14ac:dyDescent="0.2">
      <c r="GI20356" s="422"/>
    </row>
    <row r="20357" spans="191:191" x14ac:dyDescent="0.2">
      <c r="GI20357" s="422"/>
    </row>
    <row r="20358" spans="191:191" x14ac:dyDescent="0.2">
      <c r="GI20358" s="422"/>
    </row>
    <row r="20359" spans="191:191" x14ac:dyDescent="0.2">
      <c r="GI20359" s="422"/>
    </row>
    <row r="20360" spans="191:191" x14ac:dyDescent="0.2">
      <c r="GI20360" s="422"/>
    </row>
    <row r="20361" spans="191:191" x14ac:dyDescent="0.2">
      <c r="GI20361" s="422"/>
    </row>
    <row r="20362" spans="191:191" x14ac:dyDescent="0.2">
      <c r="GI20362" s="422"/>
    </row>
    <row r="20363" spans="191:191" x14ac:dyDescent="0.2">
      <c r="GI20363" s="422"/>
    </row>
    <row r="20364" spans="191:191" x14ac:dyDescent="0.2">
      <c r="GI20364" s="422"/>
    </row>
    <row r="20365" spans="191:191" x14ac:dyDescent="0.2">
      <c r="GI20365" s="422"/>
    </row>
    <row r="20366" spans="191:191" x14ac:dyDescent="0.2">
      <c r="GI20366" s="422"/>
    </row>
    <row r="20367" spans="191:191" x14ac:dyDescent="0.2">
      <c r="GI20367" s="422"/>
    </row>
    <row r="20368" spans="191:191" x14ac:dyDescent="0.2">
      <c r="GI20368" s="422"/>
    </row>
    <row r="20369" spans="191:191" x14ac:dyDescent="0.2">
      <c r="GI20369" s="422"/>
    </row>
    <row r="20370" spans="191:191" x14ac:dyDescent="0.2">
      <c r="GI20370" s="422"/>
    </row>
    <row r="20371" spans="191:191" x14ac:dyDescent="0.2">
      <c r="GI20371" s="422"/>
    </row>
    <row r="20372" spans="191:191" x14ac:dyDescent="0.2">
      <c r="GI20372" s="422"/>
    </row>
    <row r="20373" spans="191:191" x14ac:dyDescent="0.2">
      <c r="GI20373" s="422"/>
    </row>
    <row r="20374" spans="191:191" x14ac:dyDescent="0.2">
      <c r="GI20374" s="422"/>
    </row>
    <row r="20375" spans="191:191" x14ac:dyDescent="0.2">
      <c r="GI20375" s="422"/>
    </row>
    <row r="20376" spans="191:191" x14ac:dyDescent="0.2">
      <c r="GI20376" s="422"/>
    </row>
    <row r="20377" spans="191:191" x14ac:dyDescent="0.2">
      <c r="GI20377" s="422"/>
    </row>
    <row r="20378" spans="191:191" x14ac:dyDescent="0.2">
      <c r="GI20378" s="422"/>
    </row>
    <row r="20379" spans="191:191" x14ac:dyDescent="0.2">
      <c r="GI20379" s="422"/>
    </row>
    <row r="20380" spans="191:191" x14ac:dyDescent="0.2">
      <c r="GI20380" s="422"/>
    </row>
    <row r="20381" spans="191:191" x14ac:dyDescent="0.2">
      <c r="GI20381" s="422"/>
    </row>
    <row r="20382" spans="191:191" x14ac:dyDescent="0.2">
      <c r="GI20382" s="422"/>
    </row>
    <row r="20383" spans="191:191" x14ac:dyDescent="0.2">
      <c r="GI20383" s="422"/>
    </row>
    <row r="20384" spans="191:191" x14ac:dyDescent="0.2">
      <c r="GI20384" s="422"/>
    </row>
    <row r="20385" spans="191:191" x14ac:dyDescent="0.2">
      <c r="GI20385" s="422"/>
    </row>
    <row r="20386" spans="191:191" x14ac:dyDescent="0.2">
      <c r="GI20386" s="422"/>
    </row>
    <row r="20387" spans="191:191" x14ac:dyDescent="0.2">
      <c r="GI20387" s="422"/>
    </row>
    <row r="20388" spans="191:191" x14ac:dyDescent="0.2">
      <c r="GI20388" s="422"/>
    </row>
    <row r="20389" spans="191:191" x14ac:dyDescent="0.2">
      <c r="GI20389" s="422"/>
    </row>
    <row r="20390" spans="191:191" x14ac:dyDescent="0.2">
      <c r="GI20390" s="422"/>
    </row>
    <row r="20391" spans="191:191" x14ac:dyDescent="0.2">
      <c r="GI20391" s="422"/>
    </row>
    <row r="20392" spans="191:191" x14ac:dyDescent="0.2">
      <c r="GI20392" s="422"/>
    </row>
    <row r="20393" spans="191:191" x14ac:dyDescent="0.2">
      <c r="GI20393" s="422"/>
    </row>
    <row r="20394" spans="191:191" x14ac:dyDescent="0.2">
      <c r="GI20394" s="422"/>
    </row>
    <row r="20395" spans="191:191" x14ac:dyDescent="0.2">
      <c r="GI20395" s="422"/>
    </row>
    <row r="20396" spans="191:191" x14ac:dyDescent="0.2">
      <c r="GI20396" s="422"/>
    </row>
    <row r="20397" spans="191:191" x14ac:dyDescent="0.2">
      <c r="GI20397" s="422"/>
    </row>
    <row r="20398" spans="191:191" x14ac:dyDescent="0.2">
      <c r="GI20398" s="422"/>
    </row>
    <row r="20399" spans="191:191" x14ac:dyDescent="0.2">
      <c r="GI20399" s="422"/>
    </row>
    <row r="20400" spans="191:191" x14ac:dyDescent="0.2">
      <c r="GI20400" s="422"/>
    </row>
    <row r="20401" spans="191:191" x14ac:dyDescent="0.2">
      <c r="GI20401" s="422"/>
    </row>
    <row r="20402" spans="191:191" x14ac:dyDescent="0.2">
      <c r="GI20402" s="422"/>
    </row>
    <row r="20403" spans="191:191" x14ac:dyDescent="0.2">
      <c r="GI20403" s="422"/>
    </row>
    <row r="20404" spans="191:191" x14ac:dyDescent="0.2">
      <c r="GI20404" s="422"/>
    </row>
    <row r="20405" spans="191:191" x14ac:dyDescent="0.2">
      <c r="GI20405" s="422"/>
    </row>
    <row r="20406" spans="191:191" x14ac:dyDescent="0.2">
      <c r="GI20406" s="422"/>
    </row>
    <row r="20407" spans="191:191" x14ac:dyDescent="0.2">
      <c r="GI20407" s="422"/>
    </row>
    <row r="20408" spans="191:191" x14ac:dyDescent="0.2">
      <c r="GI20408" s="422"/>
    </row>
    <row r="20409" spans="191:191" x14ac:dyDescent="0.2">
      <c r="GI20409" s="422"/>
    </row>
    <row r="20410" spans="191:191" x14ac:dyDescent="0.2">
      <c r="GI20410" s="422"/>
    </row>
    <row r="20411" spans="191:191" x14ac:dyDescent="0.2">
      <c r="GI20411" s="422"/>
    </row>
    <row r="20412" spans="191:191" x14ac:dyDescent="0.2">
      <c r="GI20412" s="422"/>
    </row>
    <row r="20413" spans="191:191" x14ac:dyDescent="0.2">
      <c r="GI20413" s="422"/>
    </row>
    <row r="20414" spans="191:191" x14ac:dyDescent="0.2">
      <c r="GI20414" s="422"/>
    </row>
    <row r="20415" spans="191:191" x14ac:dyDescent="0.2">
      <c r="GI20415" s="422"/>
    </row>
    <row r="20416" spans="191:191" x14ac:dyDescent="0.2">
      <c r="GI20416" s="422"/>
    </row>
    <row r="20417" spans="191:191" x14ac:dyDescent="0.2">
      <c r="GI20417" s="422"/>
    </row>
    <row r="20418" spans="191:191" x14ac:dyDescent="0.2">
      <c r="GI20418" s="422"/>
    </row>
    <row r="20419" spans="191:191" x14ac:dyDescent="0.2">
      <c r="GI20419" s="422"/>
    </row>
    <row r="20420" spans="191:191" x14ac:dyDescent="0.2">
      <c r="GI20420" s="422"/>
    </row>
    <row r="20421" spans="191:191" x14ac:dyDescent="0.2">
      <c r="GI20421" s="422"/>
    </row>
    <row r="20422" spans="191:191" x14ac:dyDescent="0.2">
      <c r="GI20422" s="422"/>
    </row>
    <row r="20423" spans="191:191" x14ac:dyDescent="0.2">
      <c r="GI20423" s="422"/>
    </row>
    <row r="20424" spans="191:191" x14ac:dyDescent="0.2">
      <c r="GI20424" s="422"/>
    </row>
    <row r="20425" spans="191:191" x14ac:dyDescent="0.2">
      <c r="GI20425" s="422"/>
    </row>
    <row r="20426" spans="191:191" x14ac:dyDescent="0.2">
      <c r="GI20426" s="422"/>
    </row>
    <row r="20427" spans="191:191" x14ac:dyDescent="0.2">
      <c r="GI20427" s="422"/>
    </row>
    <row r="20428" spans="191:191" x14ac:dyDescent="0.2">
      <c r="GI20428" s="422"/>
    </row>
    <row r="20429" spans="191:191" x14ac:dyDescent="0.2">
      <c r="GI20429" s="422"/>
    </row>
    <row r="20430" spans="191:191" x14ac:dyDescent="0.2">
      <c r="GI20430" s="422"/>
    </row>
    <row r="20431" spans="191:191" x14ac:dyDescent="0.2">
      <c r="GI20431" s="422"/>
    </row>
    <row r="20432" spans="191:191" x14ac:dyDescent="0.2">
      <c r="GI20432" s="422"/>
    </row>
    <row r="20433" spans="191:191" x14ac:dyDescent="0.2">
      <c r="GI20433" s="422"/>
    </row>
    <row r="20434" spans="191:191" x14ac:dyDescent="0.2">
      <c r="GI20434" s="422"/>
    </row>
    <row r="20435" spans="191:191" x14ac:dyDescent="0.2">
      <c r="GI20435" s="422"/>
    </row>
    <row r="20436" spans="191:191" x14ac:dyDescent="0.2">
      <c r="GI20436" s="422"/>
    </row>
    <row r="20437" spans="191:191" x14ac:dyDescent="0.2">
      <c r="GI20437" s="422"/>
    </row>
    <row r="20438" spans="191:191" x14ac:dyDescent="0.2">
      <c r="GI20438" s="422"/>
    </row>
    <row r="20439" spans="191:191" x14ac:dyDescent="0.2">
      <c r="GI20439" s="422"/>
    </row>
    <row r="20440" spans="191:191" x14ac:dyDescent="0.2">
      <c r="GI20440" s="422"/>
    </row>
    <row r="20441" spans="191:191" x14ac:dyDescent="0.2">
      <c r="GI20441" s="422"/>
    </row>
    <row r="20442" spans="191:191" x14ac:dyDescent="0.2">
      <c r="GI20442" s="422"/>
    </row>
    <row r="20443" spans="191:191" x14ac:dyDescent="0.2">
      <c r="GI20443" s="422"/>
    </row>
    <row r="20444" spans="191:191" x14ac:dyDescent="0.2">
      <c r="GI20444" s="422"/>
    </row>
    <row r="20445" spans="191:191" x14ac:dyDescent="0.2">
      <c r="GI20445" s="422"/>
    </row>
    <row r="20446" spans="191:191" x14ac:dyDescent="0.2">
      <c r="GI20446" s="422"/>
    </row>
    <row r="20447" spans="191:191" x14ac:dyDescent="0.2">
      <c r="GI20447" s="422"/>
    </row>
    <row r="20448" spans="191:191" x14ac:dyDescent="0.2">
      <c r="GI20448" s="422"/>
    </row>
    <row r="20449" spans="191:191" x14ac:dyDescent="0.2">
      <c r="GI20449" s="422"/>
    </row>
    <row r="20450" spans="191:191" x14ac:dyDescent="0.2">
      <c r="GI20450" s="422"/>
    </row>
    <row r="20451" spans="191:191" x14ac:dyDescent="0.2">
      <c r="GI20451" s="422"/>
    </row>
    <row r="20452" spans="191:191" x14ac:dyDescent="0.2">
      <c r="GI20452" s="422"/>
    </row>
    <row r="20453" spans="191:191" x14ac:dyDescent="0.2">
      <c r="GI20453" s="422"/>
    </row>
    <row r="20454" spans="191:191" x14ac:dyDescent="0.2">
      <c r="GI20454" s="422"/>
    </row>
    <row r="20455" spans="191:191" x14ac:dyDescent="0.2">
      <c r="GI20455" s="422"/>
    </row>
    <row r="20456" spans="191:191" x14ac:dyDescent="0.2">
      <c r="GI20456" s="422"/>
    </row>
    <row r="20457" spans="191:191" x14ac:dyDescent="0.2">
      <c r="GI20457" s="422"/>
    </row>
    <row r="20458" spans="191:191" x14ac:dyDescent="0.2">
      <c r="GI20458" s="422"/>
    </row>
    <row r="20459" spans="191:191" x14ac:dyDescent="0.2">
      <c r="GI20459" s="422"/>
    </row>
    <row r="20460" spans="191:191" x14ac:dyDescent="0.2">
      <c r="GI20460" s="422"/>
    </row>
    <row r="20461" spans="191:191" x14ac:dyDescent="0.2">
      <c r="GI20461" s="422"/>
    </row>
    <row r="20462" spans="191:191" x14ac:dyDescent="0.2">
      <c r="GI20462" s="422"/>
    </row>
    <row r="20463" spans="191:191" x14ac:dyDescent="0.2">
      <c r="GI20463" s="422"/>
    </row>
    <row r="20464" spans="191:191" x14ac:dyDescent="0.2">
      <c r="GI20464" s="422"/>
    </row>
    <row r="20465" spans="191:191" x14ac:dyDescent="0.2">
      <c r="GI20465" s="422"/>
    </row>
    <row r="20466" spans="191:191" x14ac:dyDescent="0.2">
      <c r="GI20466" s="422"/>
    </row>
    <row r="20467" spans="191:191" x14ac:dyDescent="0.2">
      <c r="GI20467" s="422"/>
    </row>
    <row r="20468" spans="191:191" x14ac:dyDescent="0.2">
      <c r="GI20468" s="422"/>
    </row>
    <row r="20469" spans="191:191" x14ac:dyDescent="0.2">
      <c r="GI20469" s="422"/>
    </row>
    <row r="20470" spans="191:191" x14ac:dyDescent="0.2">
      <c r="GI20470" s="422"/>
    </row>
    <row r="20471" spans="191:191" x14ac:dyDescent="0.2">
      <c r="GI20471" s="422"/>
    </row>
    <row r="20472" spans="191:191" x14ac:dyDescent="0.2">
      <c r="GI20472" s="422"/>
    </row>
    <row r="20473" spans="191:191" x14ac:dyDescent="0.2">
      <c r="GI20473" s="422"/>
    </row>
    <row r="20474" spans="191:191" x14ac:dyDescent="0.2">
      <c r="GI20474" s="422"/>
    </row>
    <row r="20475" spans="191:191" x14ac:dyDescent="0.2">
      <c r="GI20475" s="422"/>
    </row>
    <row r="20476" spans="191:191" x14ac:dyDescent="0.2">
      <c r="GI20476" s="422"/>
    </row>
    <row r="20477" spans="191:191" x14ac:dyDescent="0.2">
      <c r="GI20477" s="422"/>
    </row>
    <row r="20478" spans="191:191" x14ac:dyDescent="0.2">
      <c r="GI20478" s="422"/>
    </row>
    <row r="20479" spans="191:191" x14ac:dyDescent="0.2">
      <c r="GI20479" s="422"/>
    </row>
    <row r="20480" spans="191:191" x14ac:dyDescent="0.2">
      <c r="GI20480" s="422"/>
    </row>
    <row r="20481" spans="191:191" x14ac:dyDescent="0.2">
      <c r="GI20481" s="422"/>
    </row>
    <row r="20482" spans="191:191" x14ac:dyDescent="0.2">
      <c r="GI20482" s="422"/>
    </row>
    <row r="20483" spans="191:191" x14ac:dyDescent="0.2">
      <c r="GI20483" s="422"/>
    </row>
    <row r="20484" spans="191:191" x14ac:dyDescent="0.2">
      <c r="GI20484" s="422"/>
    </row>
    <row r="20485" spans="191:191" x14ac:dyDescent="0.2">
      <c r="GI20485" s="422"/>
    </row>
    <row r="20486" spans="191:191" x14ac:dyDescent="0.2">
      <c r="GI20486" s="422"/>
    </row>
    <row r="20487" spans="191:191" x14ac:dyDescent="0.2">
      <c r="GI20487" s="422"/>
    </row>
    <row r="20488" spans="191:191" x14ac:dyDescent="0.2">
      <c r="GI20488" s="422"/>
    </row>
    <row r="20489" spans="191:191" x14ac:dyDescent="0.2">
      <c r="GI20489" s="422"/>
    </row>
    <row r="20490" spans="191:191" x14ac:dyDescent="0.2">
      <c r="GI20490" s="422"/>
    </row>
    <row r="20491" spans="191:191" x14ac:dyDescent="0.2">
      <c r="GI20491" s="422"/>
    </row>
    <row r="20492" spans="191:191" x14ac:dyDescent="0.2">
      <c r="GI20492" s="422"/>
    </row>
    <row r="20493" spans="191:191" x14ac:dyDescent="0.2">
      <c r="GI20493" s="422"/>
    </row>
    <row r="20494" spans="191:191" x14ac:dyDescent="0.2">
      <c r="GI20494" s="422"/>
    </row>
    <row r="20495" spans="191:191" x14ac:dyDescent="0.2">
      <c r="GI20495" s="422"/>
    </row>
    <row r="20496" spans="191:191" x14ac:dyDescent="0.2">
      <c r="GI20496" s="422"/>
    </row>
    <row r="20497" spans="191:191" x14ac:dyDescent="0.2">
      <c r="GI20497" s="422"/>
    </row>
    <row r="20498" spans="191:191" x14ac:dyDescent="0.2">
      <c r="GI20498" s="422"/>
    </row>
    <row r="20499" spans="191:191" x14ac:dyDescent="0.2">
      <c r="GI20499" s="422"/>
    </row>
    <row r="20500" spans="191:191" x14ac:dyDescent="0.2">
      <c r="GI20500" s="422"/>
    </row>
    <row r="20501" spans="191:191" x14ac:dyDescent="0.2">
      <c r="GI20501" s="422"/>
    </row>
    <row r="20502" spans="191:191" x14ac:dyDescent="0.2">
      <c r="GI20502" s="422"/>
    </row>
    <row r="20503" spans="191:191" x14ac:dyDescent="0.2">
      <c r="GI20503" s="422"/>
    </row>
    <row r="20504" spans="191:191" x14ac:dyDescent="0.2">
      <c r="GI20504" s="422"/>
    </row>
    <row r="20505" spans="191:191" x14ac:dyDescent="0.2">
      <c r="GI20505" s="422"/>
    </row>
    <row r="20506" spans="191:191" x14ac:dyDescent="0.2">
      <c r="GI20506" s="422"/>
    </row>
    <row r="20507" spans="191:191" x14ac:dyDescent="0.2">
      <c r="GI20507" s="422"/>
    </row>
    <row r="20508" spans="191:191" x14ac:dyDescent="0.2">
      <c r="GI20508" s="422"/>
    </row>
    <row r="20509" spans="191:191" x14ac:dyDescent="0.2">
      <c r="GI20509" s="422"/>
    </row>
    <row r="20510" spans="191:191" x14ac:dyDescent="0.2">
      <c r="GI20510" s="422"/>
    </row>
    <row r="20511" spans="191:191" x14ac:dyDescent="0.2">
      <c r="GI20511" s="422"/>
    </row>
    <row r="20512" spans="191:191" x14ac:dyDescent="0.2">
      <c r="GI20512" s="422"/>
    </row>
    <row r="20513" spans="191:191" x14ac:dyDescent="0.2">
      <c r="GI20513" s="422"/>
    </row>
    <row r="20514" spans="191:191" x14ac:dyDescent="0.2">
      <c r="GI20514" s="422"/>
    </row>
    <row r="20515" spans="191:191" x14ac:dyDescent="0.2">
      <c r="GI20515" s="422"/>
    </row>
    <row r="20516" spans="191:191" x14ac:dyDescent="0.2">
      <c r="GI20516" s="422"/>
    </row>
    <row r="20517" spans="191:191" x14ac:dyDescent="0.2">
      <c r="GI20517" s="422"/>
    </row>
    <row r="20518" spans="191:191" x14ac:dyDescent="0.2">
      <c r="GI20518" s="422"/>
    </row>
    <row r="20519" spans="191:191" x14ac:dyDescent="0.2">
      <c r="GI20519" s="422"/>
    </row>
    <row r="20520" spans="191:191" x14ac:dyDescent="0.2">
      <c r="GI20520" s="422"/>
    </row>
    <row r="20521" spans="191:191" x14ac:dyDescent="0.2">
      <c r="GI20521" s="422"/>
    </row>
    <row r="20522" spans="191:191" x14ac:dyDescent="0.2">
      <c r="GI20522" s="422"/>
    </row>
    <row r="20523" spans="191:191" x14ac:dyDescent="0.2">
      <c r="GI20523" s="422"/>
    </row>
    <row r="20524" spans="191:191" x14ac:dyDescent="0.2">
      <c r="GI20524" s="422"/>
    </row>
    <row r="20525" spans="191:191" x14ac:dyDescent="0.2">
      <c r="GI20525" s="422"/>
    </row>
    <row r="20526" spans="191:191" x14ac:dyDescent="0.2">
      <c r="GI20526" s="422"/>
    </row>
    <row r="20527" spans="191:191" x14ac:dyDescent="0.2">
      <c r="GI20527" s="422"/>
    </row>
    <row r="20528" spans="191:191" x14ac:dyDescent="0.2">
      <c r="GI20528" s="422"/>
    </row>
    <row r="20529" spans="191:191" x14ac:dyDescent="0.2">
      <c r="GI20529" s="422"/>
    </row>
    <row r="20530" spans="191:191" x14ac:dyDescent="0.2">
      <c r="GI20530" s="422"/>
    </row>
    <row r="20531" spans="191:191" x14ac:dyDescent="0.2">
      <c r="GI20531" s="422"/>
    </row>
    <row r="20532" spans="191:191" x14ac:dyDescent="0.2">
      <c r="GI20532" s="422"/>
    </row>
    <row r="20533" spans="191:191" x14ac:dyDescent="0.2">
      <c r="GI20533" s="422"/>
    </row>
    <row r="20534" spans="191:191" x14ac:dyDescent="0.2">
      <c r="GI20534" s="422"/>
    </row>
    <row r="20535" spans="191:191" x14ac:dyDescent="0.2">
      <c r="GI20535" s="422"/>
    </row>
    <row r="20536" spans="191:191" x14ac:dyDescent="0.2">
      <c r="GI20536" s="422"/>
    </row>
    <row r="20537" spans="191:191" x14ac:dyDescent="0.2">
      <c r="GI20537" s="422"/>
    </row>
    <row r="20538" spans="191:191" x14ac:dyDescent="0.2">
      <c r="GI20538" s="422"/>
    </row>
    <row r="20539" spans="191:191" x14ac:dyDescent="0.2">
      <c r="GI20539" s="422"/>
    </row>
    <row r="20540" spans="191:191" x14ac:dyDescent="0.2">
      <c r="GI20540" s="422"/>
    </row>
    <row r="20541" spans="191:191" x14ac:dyDescent="0.2">
      <c r="GI20541" s="422"/>
    </row>
    <row r="20542" spans="191:191" x14ac:dyDescent="0.2">
      <c r="GI20542" s="422"/>
    </row>
    <row r="20543" spans="191:191" x14ac:dyDescent="0.2">
      <c r="GI20543" s="422"/>
    </row>
    <row r="20544" spans="191:191" x14ac:dyDescent="0.2">
      <c r="GI20544" s="422"/>
    </row>
    <row r="20545" spans="191:191" x14ac:dyDescent="0.2">
      <c r="GI20545" s="422"/>
    </row>
    <row r="20546" spans="191:191" x14ac:dyDescent="0.2">
      <c r="GI20546" s="422"/>
    </row>
    <row r="20547" spans="191:191" x14ac:dyDescent="0.2">
      <c r="GI20547" s="422"/>
    </row>
    <row r="20548" spans="191:191" x14ac:dyDescent="0.2">
      <c r="GI20548" s="422"/>
    </row>
    <row r="20549" spans="191:191" x14ac:dyDescent="0.2">
      <c r="GI20549" s="422"/>
    </row>
    <row r="20550" spans="191:191" x14ac:dyDescent="0.2">
      <c r="GI20550" s="422"/>
    </row>
    <row r="20551" spans="191:191" x14ac:dyDescent="0.2">
      <c r="GI20551" s="422"/>
    </row>
    <row r="20552" spans="191:191" x14ac:dyDescent="0.2">
      <c r="GI20552" s="422"/>
    </row>
    <row r="20553" spans="191:191" x14ac:dyDescent="0.2">
      <c r="GI20553" s="422"/>
    </row>
    <row r="20554" spans="191:191" x14ac:dyDescent="0.2">
      <c r="GI20554" s="422"/>
    </row>
    <row r="20555" spans="191:191" x14ac:dyDescent="0.2">
      <c r="GI20555" s="422"/>
    </row>
    <row r="20556" spans="191:191" x14ac:dyDescent="0.2">
      <c r="GI20556" s="422"/>
    </row>
    <row r="20557" spans="191:191" x14ac:dyDescent="0.2">
      <c r="GI20557" s="422"/>
    </row>
    <row r="20558" spans="191:191" x14ac:dyDescent="0.2">
      <c r="GI20558" s="422"/>
    </row>
    <row r="20559" spans="191:191" x14ac:dyDescent="0.2">
      <c r="GI20559" s="422"/>
    </row>
    <row r="20560" spans="191:191" x14ac:dyDescent="0.2">
      <c r="GI20560" s="422"/>
    </row>
    <row r="20561" spans="191:191" x14ac:dyDescent="0.2">
      <c r="GI20561" s="422"/>
    </row>
    <row r="20562" spans="191:191" x14ac:dyDescent="0.2">
      <c r="GI20562" s="422"/>
    </row>
    <row r="20563" spans="191:191" x14ac:dyDescent="0.2">
      <c r="GI20563" s="422"/>
    </row>
    <row r="20564" spans="191:191" x14ac:dyDescent="0.2">
      <c r="GI20564" s="422"/>
    </row>
    <row r="20565" spans="191:191" x14ac:dyDescent="0.2">
      <c r="GI20565" s="422"/>
    </row>
    <row r="20566" spans="191:191" x14ac:dyDescent="0.2">
      <c r="GI20566" s="422"/>
    </row>
    <row r="20567" spans="191:191" x14ac:dyDescent="0.2">
      <c r="GI20567" s="422"/>
    </row>
    <row r="20568" spans="191:191" x14ac:dyDescent="0.2">
      <c r="GI20568" s="422"/>
    </row>
    <row r="20569" spans="191:191" x14ac:dyDescent="0.2">
      <c r="GI20569" s="422"/>
    </row>
    <row r="20570" spans="191:191" x14ac:dyDescent="0.2">
      <c r="GI20570" s="422"/>
    </row>
    <row r="20571" spans="191:191" x14ac:dyDescent="0.2">
      <c r="GI20571" s="422"/>
    </row>
    <row r="20572" spans="191:191" x14ac:dyDescent="0.2">
      <c r="GI20572" s="422"/>
    </row>
    <row r="20573" spans="191:191" x14ac:dyDescent="0.2">
      <c r="GI20573" s="422"/>
    </row>
    <row r="20574" spans="191:191" x14ac:dyDescent="0.2">
      <c r="GI20574" s="422"/>
    </row>
    <row r="20575" spans="191:191" x14ac:dyDescent="0.2">
      <c r="GI20575" s="422"/>
    </row>
    <row r="20576" spans="191:191" x14ac:dyDescent="0.2">
      <c r="GI20576" s="422"/>
    </row>
    <row r="20577" spans="191:191" x14ac:dyDescent="0.2">
      <c r="GI20577" s="422"/>
    </row>
    <row r="20578" spans="191:191" x14ac:dyDescent="0.2">
      <c r="GI20578" s="422"/>
    </row>
    <row r="20579" spans="191:191" x14ac:dyDescent="0.2">
      <c r="GI20579" s="422"/>
    </row>
    <row r="20580" spans="191:191" x14ac:dyDescent="0.2">
      <c r="GI20580" s="422"/>
    </row>
    <row r="20581" spans="191:191" x14ac:dyDescent="0.2">
      <c r="GI20581" s="422"/>
    </row>
    <row r="20582" spans="191:191" x14ac:dyDescent="0.2">
      <c r="GI20582" s="422"/>
    </row>
    <row r="20583" spans="191:191" x14ac:dyDescent="0.2">
      <c r="GI20583" s="422"/>
    </row>
    <row r="20584" spans="191:191" x14ac:dyDescent="0.2">
      <c r="GI20584" s="422"/>
    </row>
    <row r="20585" spans="191:191" x14ac:dyDescent="0.2">
      <c r="GI20585" s="422"/>
    </row>
    <row r="20586" spans="191:191" x14ac:dyDescent="0.2">
      <c r="GI20586" s="422"/>
    </row>
    <row r="20587" spans="191:191" x14ac:dyDescent="0.2">
      <c r="GI20587" s="422"/>
    </row>
    <row r="20588" spans="191:191" x14ac:dyDescent="0.2">
      <c r="GI20588" s="422"/>
    </row>
    <row r="20589" spans="191:191" x14ac:dyDescent="0.2">
      <c r="GI20589" s="422"/>
    </row>
    <row r="20590" spans="191:191" x14ac:dyDescent="0.2">
      <c r="GI20590" s="422"/>
    </row>
    <row r="20591" spans="191:191" x14ac:dyDescent="0.2">
      <c r="GI20591" s="422"/>
    </row>
    <row r="20592" spans="191:191" x14ac:dyDescent="0.2">
      <c r="GI20592" s="422"/>
    </row>
    <row r="20593" spans="191:191" x14ac:dyDescent="0.2">
      <c r="GI20593" s="422"/>
    </row>
    <row r="20594" spans="191:191" x14ac:dyDescent="0.2">
      <c r="GI20594" s="422"/>
    </row>
    <row r="20595" spans="191:191" x14ac:dyDescent="0.2">
      <c r="GI20595" s="422"/>
    </row>
    <row r="20596" spans="191:191" x14ac:dyDescent="0.2">
      <c r="GI20596" s="422"/>
    </row>
    <row r="20597" spans="191:191" x14ac:dyDescent="0.2">
      <c r="GI20597" s="422"/>
    </row>
    <row r="20598" spans="191:191" x14ac:dyDescent="0.2">
      <c r="GI20598" s="422"/>
    </row>
    <row r="20599" spans="191:191" x14ac:dyDescent="0.2">
      <c r="GI20599" s="422"/>
    </row>
    <row r="20600" spans="191:191" x14ac:dyDescent="0.2">
      <c r="GI20600" s="422"/>
    </row>
    <row r="20601" spans="191:191" x14ac:dyDescent="0.2">
      <c r="GI20601" s="422"/>
    </row>
    <row r="20602" spans="191:191" x14ac:dyDescent="0.2">
      <c r="GI20602" s="422"/>
    </row>
    <row r="20603" spans="191:191" x14ac:dyDescent="0.2">
      <c r="GI20603" s="422"/>
    </row>
    <row r="20604" spans="191:191" x14ac:dyDescent="0.2">
      <c r="GI20604" s="422"/>
    </row>
    <row r="20605" spans="191:191" x14ac:dyDescent="0.2">
      <c r="GI20605" s="422"/>
    </row>
    <row r="20606" spans="191:191" x14ac:dyDescent="0.2">
      <c r="GI20606" s="422"/>
    </row>
    <row r="20607" spans="191:191" x14ac:dyDescent="0.2">
      <c r="GI20607" s="422"/>
    </row>
    <row r="20608" spans="191:191" x14ac:dyDescent="0.2">
      <c r="GI20608" s="422"/>
    </row>
    <row r="20609" spans="191:191" x14ac:dyDescent="0.2">
      <c r="GI20609" s="422"/>
    </row>
    <row r="20610" spans="191:191" x14ac:dyDescent="0.2">
      <c r="GI20610" s="422"/>
    </row>
    <row r="20611" spans="191:191" x14ac:dyDescent="0.2">
      <c r="GI20611" s="422"/>
    </row>
    <row r="20612" spans="191:191" x14ac:dyDescent="0.2">
      <c r="GI20612" s="422"/>
    </row>
    <row r="20613" spans="191:191" x14ac:dyDescent="0.2">
      <c r="GI20613" s="422"/>
    </row>
    <row r="20614" spans="191:191" x14ac:dyDescent="0.2">
      <c r="GI20614" s="422"/>
    </row>
    <row r="20615" spans="191:191" x14ac:dyDescent="0.2">
      <c r="GI20615" s="422"/>
    </row>
    <row r="20616" spans="191:191" x14ac:dyDescent="0.2">
      <c r="GI20616" s="422"/>
    </row>
    <row r="20617" spans="191:191" x14ac:dyDescent="0.2">
      <c r="GI20617" s="422"/>
    </row>
    <row r="20618" spans="191:191" x14ac:dyDescent="0.2">
      <c r="GI20618" s="422"/>
    </row>
    <row r="20619" spans="191:191" x14ac:dyDescent="0.2">
      <c r="GI20619" s="422"/>
    </row>
    <row r="20620" spans="191:191" x14ac:dyDescent="0.2">
      <c r="GI20620" s="422"/>
    </row>
    <row r="20621" spans="191:191" x14ac:dyDescent="0.2">
      <c r="GI20621" s="422"/>
    </row>
    <row r="20622" spans="191:191" x14ac:dyDescent="0.2">
      <c r="GI20622" s="422"/>
    </row>
    <row r="20623" spans="191:191" x14ac:dyDescent="0.2">
      <c r="GI20623" s="422"/>
    </row>
    <row r="20624" spans="191:191" x14ac:dyDescent="0.2">
      <c r="GI20624" s="422"/>
    </row>
    <row r="20625" spans="191:191" x14ac:dyDescent="0.2">
      <c r="GI20625" s="422"/>
    </row>
    <row r="20626" spans="191:191" x14ac:dyDescent="0.2">
      <c r="GI20626" s="422"/>
    </row>
    <row r="20627" spans="191:191" x14ac:dyDescent="0.2">
      <c r="GI20627" s="422"/>
    </row>
    <row r="20628" spans="191:191" x14ac:dyDescent="0.2">
      <c r="GI20628" s="422"/>
    </row>
    <row r="20629" spans="191:191" x14ac:dyDescent="0.2">
      <c r="GI20629" s="422"/>
    </row>
    <row r="20630" spans="191:191" x14ac:dyDescent="0.2">
      <c r="GI20630" s="422"/>
    </row>
    <row r="20631" spans="191:191" x14ac:dyDescent="0.2">
      <c r="GI20631" s="422"/>
    </row>
    <row r="20632" spans="191:191" x14ac:dyDescent="0.2">
      <c r="GI20632" s="422"/>
    </row>
    <row r="20633" spans="191:191" x14ac:dyDescent="0.2">
      <c r="GI20633" s="422"/>
    </row>
    <row r="20634" spans="191:191" x14ac:dyDescent="0.2">
      <c r="GI20634" s="422"/>
    </row>
    <row r="20635" spans="191:191" x14ac:dyDescent="0.2">
      <c r="GI20635" s="422"/>
    </row>
    <row r="20636" spans="191:191" x14ac:dyDescent="0.2">
      <c r="GI20636" s="422"/>
    </row>
    <row r="20637" spans="191:191" x14ac:dyDescent="0.2">
      <c r="GI20637" s="422"/>
    </row>
    <row r="20638" spans="191:191" x14ac:dyDescent="0.2">
      <c r="GI20638" s="422"/>
    </row>
    <row r="20639" spans="191:191" x14ac:dyDescent="0.2">
      <c r="GI20639" s="422"/>
    </row>
    <row r="20640" spans="191:191" x14ac:dyDescent="0.2">
      <c r="GI20640" s="422"/>
    </row>
    <row r="20641" spans="191:191" x14ac:dyDescent="0.2">
      <c r="GI20641" s="422"/>
    </row>
    <row r="20642" spans="191:191" x14ac:dyDescent="0.2">
      <c r="GI20642" s="422"/>
    </row>
    <row r="20643" spans="191:191" x14ac:dyDescent="0.2">
      <c r="GI20643" s="422"/>
    </row>
    <row r="20644" spans="191:191" x14ac:dyDescent="0.2">
      <c r="GI20644" s="422"/>
    </row>
    <row r="20645" spans="191:191" x14ac:dyDescent="0.2">
      <c r="GI20645" s="422"/>
    </row>
    <row r="20646" spans="191:191" x14ac:dyDescent="0.2">
      <c r="GI20646" s="422"/>
    </row>
    <row r="20647" spans="191:191" x14ac:dyDescent="0.2">
      <c r="GI20647" s="422"/>
    </row>
    <row r="20648" spans="191:191" x14ac:dyDescent="0.2">
      <c r="GI20648" s="422"/>
    </row>
    <row r="20649" spans="191:191" x14ac:dyDescent="0.2">
      <c r="GI20649" s="422"/>
    </row>
    <row r="20650" spans="191:191" x14ac:dyDescent="0.2">
      <c r="GI20650" s="422"/>
    </row>
    <row r="20651" spans="191:191" x14ac:dyDescent="0.2">
      <c r="GI20651" s="422"/>
    </row>
    <row r="20652" spans="191:191" x14ac:dyDescent="0.2">
      <c r="GI20652" s="422"/>
    </row>
    <row r="20653" spans="191:191" x14ac:dyDescent="0.2">
      <c r="GI20653" s="422"/>
    </row>
    <row r="20654" spans="191:191" x14ac:dyDescent="0.2">
      <c r="GI20654" s="422"/>
    </row>
    <row r="20655" spans="191:191" x14ac:dyDescent="0.2">
      <c r="GI20655" s="422"/>
    </row>
    <row r="20656" spans="191:191" x14ac:dyDescent="0.2">
      <c r="GI20656" s="422"/>
    </row>
    <row r="20657" spans="191:191" x14ac:dyDescent="0.2">
      <c r="GI20657" s="422"/>
    </row>
    <row r="20658" spans="191:191" x14ac:dyDescent="0.2">
      <c r="GI20658" s="422"/>
    </row>
    <row r="20659" spans="191:191" x14ac:dyDescent="0.2">
      <c r="GI20659" s="422"/>
    </row>
    <row r="20660" spans="191:191" x14ac:dyDescent="0.2">
      <c r="GI20660" s="422"/>
    </row>
    <row r="20661" spans="191:191" x14ac:dyDescent="0.2">
      <c r="GI20661" s="422"/>
    </row>
    <row r="20662" spans="191:191" x14ac:dyDescent="0.2">
      <c r="GI20662" s="422"/>
    </row>
    <row r="20663" spans="191:191" x14ac:dyDescent="0.2">
      <c r="GI20663" s="422"/>
    </row>
    <row r="20664" spans="191:191" x14ac:dyDescent="0.2">
      <c r="GI20664" s="422"/>
    </row>
    <row r="20665" spans="191:191" x14ac:dyDescent="0.2">
      <c r="GI20665" s="422"/>
    </row>
    <row r="20666" spans="191:191" x14ac:dyDescent="0.2">
      <c r="GI20666" s="422"/>
    </row>
    <row r="20667" spans="191:191" x14ac:dyDescent="0.2">
      <c r="GI20667" s="422"/>
    </row>
    <row r="20668" spans="191:191" x14ac:dyDescent="0.2">
      <c r="GI20668" s="422"/>
    </row>
    <row r="20669" spans="191:191" x14ac:dyDescent="0.2">
      <c r="GI20669" s="422"/>
    </row>
    <row r="20670" spans="191:191" x14ac:dyDescent="0.2">
      <c r="GI20670" s="422"/>
    </row>
    <row r="20671" spans="191:191" x14ac:dyDescent="0.2">
      <c r="GI20671" s="422"/>
    </row>
    <row r="20672" spans="191:191" x14ac:dyDescent="0.2">
      <c r="GI20672" s="422"/>
    </row>
    <row r="20673" spans="191:191" x14ac:dyDescent="0.2">
      <c r="GI20673" s="422"/>
    </row>
    <row r="20674" spans="191:191" x14ac:dyDescent="0.2">
      <c r="GI20674" s="422"/>
    </row>
    <row r="20675" spans="191:191" x14ac:dyDescent="0.2">
      <c r="GI20675" s="422"/>
    </row>
    <row r="20676" spans="191:191" x14ac:dyDescent="0.2">
      <c r="GI20676" s="422"/>
    </row>
    <row r="20677" spans="191:191" x14ac:dyDescent="0.2">
      <c r="GI20677" s="422"/>
    </row>
    <row r="20678" spans="191:191" x14ac:dyDescent="0.2">
      <c r="GI20678" s="422"/>
    </row>
    <row r="20679" spans="191:191" x14ac:dyDescent="0.2">
      <c r="GI20679" s="422"/>
    </row>
    <row r="20680" spans="191:191" x14ac:dyDescent="0.2">
      <c r="GI20680" s="422"/>
    </row>
    <row r="20681" spans="191:191" x14ac:dyDescent="0.2">
      <c r="GI20681" s="422"/>
    </row>
    <row r="20682" spans="191:191" x14ac:dyDescent="0.2">
      <c r="GI20682" s="422"/>
    </row>
    <row r="20683" spans="191:191" x14ac:dyDescent="0.2">
      <c r="GI20683" s="422"/>
    </row>
    <row r="20684" spans="191:191" x14ac:dyDescent="0.2">
      <c r="GI20684" s="422"/>
    </row>
    <row r="20685" spans="191:191" x14ac:dyDescent="0.2">
      <c r="GI20685" s="422"/>
    </row>
    <row r="20686" spans="191:191" x14ac:dyDescent="0.2">
      <c r="GI20686" s="422"/>
    </row>
    <row r="20687" spans="191:191" x14ac:dyDescent="0.2">
      <c r="GI20687" s="422"/>
    </row>
    <row r="20688" spans="191:191" x14ac:dyDescent="0.2">
      <c r="GI20688" s="422"/>
    </row>
    <row r="20689" spans="191:191" x14ac:dyDescent="0.2">
      <c r="GI20689" s="422"/>
    </row>
    <row r="20690" spans="191:191" x14ac:dyDescent="0.2">
      <c r="GI20690" s="422"/>
    </row>
    <row r="20691" spans="191:191" x14ac:dyDescent="0.2">
      <c r="GI20691" s="422"/>
    </row>
    <row r="20692" spans="191:191" x14ac:dyDescent="0.2">
      <c r="GI20692" s="422"/>
    </row>
    <row r="20693" spans="191:191" x14ac:dyDescent="0.2">
      <c r="GI20693" s="422"/>
    </row>
    <row r="20694" spans="191:191" x14ac:dyDescent="0.2">
      <c r="GI20694" s="422"/>
    </row>
    <row r="20695" spans="191:191" x14ac:dyDescent="0.2">
      <c r="GI20695" s="422"/>
    </row>
    <row r="20696" spans="191:191" x14ac:dyDescent="0.2">
      <c r="GI20696" s="422"/>
    </row>
    <row r="20697" spans="191:191" x14ac:dyDescent="0.2">
      <c r="GI20697" s="422"/>
    </row>
    <row r="20698" spans="191:191" x14ac:dyDescent="0.2">
      <c r="GI20698" s="422"/>
    </row>
    <row r="20699" spans="191:191" x14ac:dyDescent="0.2">
      <c r="GI20699" s="422"/>
    </row>
    <row r="20700" spans="191:191" x14ac:dyDescent="0.2">
      <c r="GI20700" s="422"/>
    </row>
    <row r="20701" spans="191:191" x14ac:dyDescent="0.2">
      <c r="GI20701" s="422"/>
    </row>
    <row r="20702" spans="191:191" x14ac:dyDescent="0.2">
      <c r="GI20702" s="422"/>
    </row>
    <row r="20703" spans="191:191" x14ac:dyDescent="0.2">
      <c r="GI20703" s="422"/>
    </row>
    <row r="20704" spans="191:191" x14ac:dyDescent="0.2">
      <c r="GI20704" s="422"/>
    </row>
    <row r="20705" spans="191:191" x14ac:dyDescent="0.2">
      <c r="GI20705" s="422"/>
    </row>
    <row r="20706" spans="191:191" x14ac:dyDescent="0.2">
      <c r="GI20706" s="422"/>
    </row>
    <row r="20707" spans="191:191" x14ac:dyDescent="0.2">
      <c r="GI20707" s="422"/>
    </row>
    <row r="20708" spans="191:191" x14ac:dyDescent="0.2">
      <c r="GI20708" s="422"/>
    </row>
    <row r="20709" spans="191:191" x14ac:dyDescent="0.2">
      <c r="GI20709" s="422"/>
    </row>
    <row r="20710" spans="191:191" x14ac:dyDescent="0.2">
      <c r="GI20710" s="422"/>
    </row>
    <row r="20711" spans="191:191" x14ac:dyDescent="0.2">
      <c r="GI20711" s="422"/>
    </row>
    <row r="20712" spans="191:191" x14ac:dyDescent="0.2">
      <c r="GI20712" s="422"/>
    </row>
    <row r="20713" spans="191:191" x14ac:dyDescent="0.2">
      <c r="GI20713" s="422"/>
    </row>
    <row r="20714" spans="191:191" x14ac:dyDescent="0.2">
      <c r="GI20714" s="422"/>
    </row>
    <row r="20715" spans="191:191" x14ac:dyDescent="0.2">
      <c r="GI20715" s="422"/>
    </row>
    <row r="20716" spans="191:191" x14ac:dyDescent="0.2">
      <c r="GI20716" s="422"/>
    </row>
    <row r="20717" spans="191:191" x14ac:dyDescent="0.2">
      <c r="GI20717" s="422"/>
    </row>
    <row r="20718" spans="191:191" x14ac:dyDescent="0.2">
      <c r="GI20718" s="422"/>
    </row>
    <row r="20719" spans="191:191" x14ac:dyDescent="0.2">
      <c r="GI20719" s="422"/>
    </row>
    <row r="20720" spans="191:191" x14ac:dyDescent="0.2">
      <c r="GI20720" s="422"/>
    </row>
    <row r="20721" spans="191:191" x14ac:dyDescent="0.2">
      <c r="GI20721" s="422"/>
    </row>
    <row r="20722" spans="191:191" x14ac:dyDescent="0.2">
      <c r="GI20722" s="422"/>
    </row>
    <row r="20723" spans="191:191" x14ac:dyDescent="0.2">
      <c r="GI20723" s="422"/>
    </row>
    <row r="20724" spans="191:191" x14ac:dyDescent="0.2">
      <c r="GI20724" s="422"/>
    </row>
    <row r="20725" spans="191:191" x14ac:dyDescent="0.2">
      <c r="GI20725" s="422"/>
    </row>
    <row r="20726" spans="191:191" x14ac:dyDescent="0.2">
      <c r="GI20726" s="422"/>
    </row>
    <row r="20727" spans="191:191" x14ac:dyDescent="0.2">
      <c r="GI20727" s="422"/>
    </row>
    <row r="20728" spans="191:191" x14ac:dyDescent="0.2">
      <c r="GI20728" s="422"/>
    </row>
    <row r="20729" spans="191:191" x14ac:dyDescent="0.2">
      <c r="GI20729" s="422"/>
    </row>
    <row r="20730" spans="191:191" x14ac:dyDescent="0.2">
      <c r="GI20730" s="422"/>
    </row>
    <row r="20731" spans="191:191" x14ac:dyDescent="0.2">
      <c r="GI20731" s="422"/>
    </row>
    <row r="20732" spans="191:191" x14ac:dyDescent="0.2">
      <c r="GI20732" s="422"/>
    </row>
    <row r="20733" spans="191:191" x14ac:dyDescent="0.2">
      <c r="GI20733" s="422"/>
    </row>
    <row r="20734" spans="191:191" x14ac:dyDescent="0.2">
      <c r="GI20734" s="422"/>
    </row>
    <row r="20735" spans="191:191" x14ac:dyDescent="0.2">
      <c r="GI20735" s="422"/>
    </row>
    <row r="20736" spans="191:191" x14ac:dyDescent="0.2">
      <c r="GI20736" s="422"/>
    </row>
    <row r="20737" spans="191:191" x14ac:dyDescent="0.2">
      <c r="GI20737" s="422"/>
    </row>
    <row r="20738" spans="191:191" x14ac:dyDescent="0.2">
      <c r="GI20738" s="422"/>
    </row>
    <row r="20739" spans="191:191" x14ac:dyDescent="0.2">
      <c r="GI20739" s="422"/>
    </row>
    <row r="20740" spans="191:191" x14ac:dyDescent="0.2">
      <c r="GI20740" s="422"/>
    </row>
    <row r="20741" spans="191:191" x14ac:dyDescent="0.2">
      <c r="GI20741" s="422"/>
    </row>
    <row r="20742" spans="191:191" x14ac:dyDescent="0.2">
      <c r="GI20742" s="422"/>
    </row>
    <row r="20743" spans="191:191" x14ac:dyDescent="0.2">
      <c r="GI20743" s="422"/>
    </row>
    <row r="20744" spans="191:191" x14ac:dyDescent="0.2">
      <c r="GI20744" s="422"/>
    </row>
    <row r="20745" spans="191:191" x14ac:dyDescent="0.2">
      <c r="GI20745" s="422"/>
    </row>
    <row r="20746" spans="191:191" x14ac:dyDescent="0.2">
      <c r="GI20746" s="422"/>
    </row>
    <row r="20747" spans="191:191" x14ac:dyDescent="0.2">
      <c r="GI20747" s="422"/>
    </row>
    <row r="20748" spans="191:191" x14ac:dyDescent="0.2">
      <c r="GI20748" s="422"/>
    </row>
    <row r="20749" spans="191:191" x14ac:dyDescent="0.2">
      <c r="GI20749" s="422"/>
    </row>
    <row r="20750" spans="191:191" x14ac:dyDescent="0.2">
      <c r="GI20750" s="422"/>
    </row>
    <row r="20751" spans="191:191" x14ac:dyDescent="0.2">
      <c r="GI20751" s="422"/>
    </row>
    <row r="20752" spans="191:191" x14ac:dyDescent="0.2">
      <c r="GI20752" s="422"/>
    </row>
    <row r="20753" spans="191:191" x14ac:dyDescent="0.2">
      <c r="GI20753" s="422"/>
    </row>
    <row r="20754" spans="191:191" x14ac:dyDescent="0.2">
      <c r="GI20754" s="422"/>
    </row>
    <row r="20755" spans="191:191" x14ac:dyDescent="0.2">
      <c r="GI20755" s="422"/>
    </row>
    <row r="20756" spans="191:191" x14ac:dyDescent="0.2">
      <c r="GI20756" s="422"/>
    </row>
    <row r="20757" spans="191:191" x14ac:dyDescent="0.2">
      <c r="GI20757" s="422"/>
    </row>
    <row r="20758" spans="191:191" x14ac:dyDescent="0.2">
      <c r="GI20758" s="422"/>
    </row>
    <row r="20759" spans="191:191" x14ac:dyDescent="0.2">
      <c r="GI20759" s="422"/>
    </row>
    <row r="20760" spans="191:191" x14ac:dyDescent="0.2">
      <c r="GI20760" s="422"/>
    </row>
    <row r="20761" spans="191:191" x14ac:dyDescent="0.2">
      <c r="GI20761" s="422"/>
    </row>
    <row r="20762" spans="191:191" x14ac:dyDescent="0.2">
      <c r="GI20762" s="422"/>
    </row>
    <row r="20763" spans="191:191" x14ac:dyDescent="0.2">
      <c r="GI20763" s="422"/>
    </row>
    <row r="20764" spans="191:191" x14ac:dyDescent="0.2">
      <c r="GI20764" s="422"/>
    </row>
    <row r="20765" spans="191:191" x14ac:dyDescent="0.2">
      <c r="GI20765" s="422"/>
    </row>
    <row r="20766" spans="191:191" x14ac:dyDescent="0.2">
      <c r="GI20766" s="422"/>
    </row>
    <row r="20767" spans="191:191" x14ac:dyDescent="0.2">
      <c r="GI20767" s="422"/>
    </row>
    <row r="20768" spans="191:191" x14ac:dyDescent="0.2">
      <c r="GI20768" s="422"/>
    </row>
    <row r="20769" spans="191:191" x14ac:dyDescent="0.2">
      <c r="GI20769" s="422"/>
    </row>
    <row r="20770" spans="191:191" x14ac:dyDescent="0.2">
      <c r="GI20770" s="422"/>
    </row>
    <row r="20771" spans="191:191" x14ac:dyDescent="0.2">
      <c r="GI20771" s="422"/>
    </row>
    <row r="20772" spans="191:191" x14ac:dyDescent="0.2">
      <c r="GI20772" s="422"/>
    </row>
    <row r="20773" spans="191:191" x14ac:dyDescent="0.2">
      <c r="GI20773" s="422"/>
    </row>
    <row r="20774" spans="191:191" x14ac:dyDescent="0.2">
      <c r="GI20774" s="422"/>
    </row>
    <row r="20775" spans="191:191" x14ac:dyDescent="0.2">
      <c r="GI20775" s="422"/>
    </row>
    <row r="20776" spans="191:191" x14ac:dyDescent="0.2">
      <c r="GI20776" s="422"/>
    </row>
    <row r="20777" spans="191:191" x14ac:dyDescent="0.2">
      <c r="GI20777" s="422"/>
    </row>
    <row r="20778" spans="191:191" x14ac:dyDescent="0.2">
      <c r="GI20778" s="422"/>
    </row>
    <row r="20779" spans="191:191" x14ac:dyDescent="0.2">
      <c r="GI20779" s="422"/>
    </row>
    <row r="20780" spans="191:191" x14ac:dyDescent="0.2">
      <c r="GI20780" s="422"/>
    </row>
    <row r="20781" spans="191:191" x14ac:dyDescent="0.2">
      <c r="GI20781" s="422"/>
    </row>
    <row r="20782" spans="191:191" x14ac:dyDescent="0.2">
      <c r="GI20782" s="422"/>
    </row>
    <row r="20783" spans="191:191" x14ac:dyDescent="0.2">
      <c r="GI20783" s="422"/>
    </row>
    <row r="20784" spans="191:191" x14ac:dyDescent="0.2">
      <c r="GI20784" s="422"/>
    </row>
    <row r="20785" spans="191:191" x14ac:dyDescent="0.2">
      <c r="GI20785" s="422"/>
    </row>
    <row r="20786" spans="191:191" x14ac:dyDescent="0.2">
      <c r="GI20786" s="422"/>
    </row>
    <row r="20787" spans="191:191" x14ac:dyDescent="0.2">
      <c r="GI20787" s="422"/>
    </row>
    <row r="20788" spans="191:191" x14ac:dyDescent="0.2">
      <c r="GI20788" s="422"/>
    </row>
    <row r="20789" spans="191:191" x14ac:dyDescent="0.2">
      <c r="GI20789" s="422"/>
    </row>
    <row r="20790" spans="191:191" x14ac:dyDescent="0.2">
      <c r="GI20790" s="422"/>
    </row>
    <row r="20791" spans="191:191" x14ac:dyDescent="0.2">
      <c r="GI20791" s="422"/>
    </row>
    <row r="20792" spans="191:191" x14ac:dyDescent="0.2">
      <c r="GI20792" s="422"/>
    </row>
    <row r="20793" spans="191:191" x14ac:dyDescent="0.2">
      <c r="GI20793" s="422"/>
    </row>
    <row r="20794" spans="191:191" x14ac:dyDescent="0.2">
      <c r="GI20794" s="422"/>
    </row>
    <row r="20795" spans="191:191" x14ac:dyDescent="0.2">
      <c r="GI20795" s="422"/>
    </row>
    <row r="20796" spans="191:191" x14ac:dyDescent="0.2">
      <c r="GI20796" s="422"/>
    </row>
    <row r="20797" spans="191:191" x14ac:dyDescent="0.2">
      <c r="GI20797" s="422"/>
    </row>
    <row r="20798" spans="191:191" x14ac:dyDescent="0.2">
      <c r="GI20798" s="422"/>
    </row>
    <row r="20799" spans="191:191" x14ac:dyDescent="0.2">
      <c r="GI20799" s="422"/>
    </row>
    <row r="20800" spans="191:191" x14ac:dyDescent="0.2">
      <c r="GI20800" s="422"/>
    </row>
    <row r="20801" spans="191:191" x14ac:dyDescent="0.2">
      <c r="GI20801" s="422"/>
    </row>
    <row r="20802" spans="191:191" x14ac:dyDescent="0.2">
      <c r="GI20802" s="422"/>
    </row>
    <row r="20803" spans="191:191" x14ac:dyDescent="0.2">
      <c r="GI20803" s="422"/>
    </row>
    <row r="20804" spans="191:191" x14ac:dyDescent="0.2">
      <c r="GI20804" s="422"/>
    </row>
    <row r="20805" spans="191:191" x14ac:dyDescent="0.2">
      <c r="GI20805" s="422"/>
    </row>
    <row r="20806" spans="191:191" x14ac:dyDescent="0.2">
      <c r="GI20806" s="422"/>
    </row>
    <row r="20807" spans="191:191" x14ac:dyDescent="0.2">
      <c r="GI20807" s="422"/>
    </row>
    <row r="20808" spans="191:191" x14ac:dyDescent="0.2">
      <c r="GI20808" s="422"/>
    </row>
    <row r="20809" spans="191:191" x14ac:dyDescent="0.2">
      <c r="GI20809" s="422"/>
    </row>
    <row r="20810" spans="191:191" x14ac:dyDescent="0.2">
      <c r="GI20810" s="422"/>
    </row>
    <row r="20811" spans="191:191" x14ac:dyDescent="0.2">
      <c r="GI20811" s="422"/>
    </row>
    <row r="20812" spans="191:191" x14ac:dyDescent="0.2">
      <c r="GI20812" s="422"/>
    </row>
    <row r="20813" spans="191:191" x14ac:dyDescent="0.2">
      <c r="GI20813" s="422"/>
    </row>
    <row r="20814" spans="191:191" x14ac:dyDescent="0.2">
      <c r="GI20814" s="422"/>
    </row>
    <row r="20815" spans="191:191" x14ac:dyDescent="0.2">
      <c r="GI20815" s="422"/>
    </row>
    <row r="20816" spans="191:191" x14ac:dyDescent="0.2">
      <c r="GI20816" s="422"/>
    </row>
    <row r="20817" spans="191:191" x14ac:dyDescent="0.2">
      <c r="GI20817" s="422"/>
    </row>
    <row r="20818" spans="191:191" x14ac:dyDescent="0.2">
      <c r="GI20818" s="422"/>
    </row>
    <row r="20819" spans="191:191" x14ac:dyDescent="0.2">
      <c r="GI20819" s="422"/>
    </row>
    <row r="20820" spans="191:191" x14ac:dyDescent="0.2">
      <c r="GI20820" s="422"/>
    </row>
    <row r="20821" spans="191:191" x14ac:dyDescent="0.2">
      <c r="GI20821" s="422"/>
    </row>
    <row r="20822" spans="191:191" x14ac:dyDescent="0.2">
      <c r="GI20822" s="422"/>
    </row>
    <row r="20823" spans="191:191" x14ac:dyDescent="0.2">
      <c r="GI20823" s="422"/>
    </row>
    <row r="20824" spans="191:191" x14ac:dyDescent="0.2">
      <c r="GI20824" s="422"/>
    </row>
    <row r="20825" spans="191:191" x14ac:dyDescent="0.2">
      <c r="GI20825" s="422"/>
    </row>
    <row r="20826" spans="191:191" x14ac:dyDescent="0.2">
      <c r="GI20826" s="422"/>
    </row>
    <row r="20827" spans="191:191" x14ac:dyDescent="0.2">
      <c r="GI20827" s="422"/>
    </row>
    <row r="20828" spans="191:191" x14ac:dyDescent="0.2">
      <c r="GI20828" s="422"/>
    </row>
    <row r="20829" spans="191:191" x14ac:dyDescent="0.2">
      <c r="GI20829" s="422"/>
    </row>
    <row r="20830" spans="191:191" x14ac:dyDescent="0.2">
      <c r="GI20830" s="422"/>
    </row>
    <row r="20831" spans="191:191" x14ac:dyDescent="0.2">
      <c r="GI20831" s="422"/>
    </row>
    <row r="20832" spans="191:191" x14ac:dyDescent="0.2">
      <c r="GI20832" s="422"/>
    </row>
    <row r="20833" spans="191:191" x14ac:dyDescent="0.2">
      <c r="GI20833" s="422"/>
    </row>
    <row r="20834" spans="191:191" x14ac:dyDescent="0.2">
      <c r="GI20834" s="422"/>
    </row>
    <row r="20835" spans="191:191" x14ac:dyDescent="0.2">
      <c r="GI20835" s="422"/>
    </row>
    <row r="20836" spans="191:191" x14ac:dyDescent="0.2">
      <c r="GI20836" s="422"/>
    </row>
    <row r="20837" spans="191:191" x14ac:dyDescent="0.2">
      <c r="GI20837" s="422"/>
    </row>
    <row r="20838" spans="191:191" x14ac:dyDescent="0.2">
      <c r="GI20838" s="422"/>
    </row>
    <row r="20839" spans="191:191" x14ac:dyDescent="0.2">
      <c r="GI20839" s="422"/>
    </row>
    <row r="20840" spans="191:191" x14ac:dyDescent="0.2">
      <c r="GI20840" s="422"/>
    </row>
    <row r="20841" spans="191:191" x14ac:dyDescent="0.2">
      <c r="GI20841" s="422"/>
    </row>
    <row r="20842" spans="191:191" x14ac:dyDescent="0.2">
      <c r="GI20842" s="422"/>
    </row>
    <row r="20843" spans="191:191" x14ac:dyDescent="0.2">
      <c r="GI20843" s="422"/>
    </row>
    <row r="20844" spans="191:191" x14ac:dyDescent="0.2">
      <c r="GI20844" s="422"/>
    </row>
    <row r="20845" spans="191:191" x14ac:dyDescent="0.2">
      <c r="GI20845" s="422"/>
    </row>
    <row r="20846" spans="191:191" x14ac:dyDescent="0.2">
      <c r="GI20846" s="422"/>
    </row>
    <row r="20847" spans="191:191" x14ac:dyDescent="0.2">
      <c r="GI20847" s="422"/>
    </row>
    <row r="20848" spans="191:191" x14ac:dyDescent="0.2">
      <c r="GI20848" s="422"/>
    </row>
    <row r="20849" spans="191:191" x14ac:dyDescent="0.2">
      <c r="GI20849" s="422"/>
    </row>
    <row r="20850" spans="191:191" x14ac:dyDescent="0.2">
      <c r="GI20850" s="422"/>
    </row>
    <row r="20851" spans="191:191" x14ac:dyDescent="0.2">
      <c r="GI20851" s="422"/>
    </row>
    <row r="20852" spans="191:191" x14ac:dyDescent="0.2">
      <c r="GI20852" s="422"/>
    </row>
    <row r="20853" spans="191:191" x14ac:dyDescent="0.2">
      <c r="GI20853" s="422"/>
    </row>
    <row r="20854" spans="191:191" x14ac:dyDescent="0.2">
      <c r="GI20854" s="422"/>
    </row>
    <row r="20855" spans="191:191" x14ac:dyDescent="0.2">
      <c r="GI20855" s="422"/>
    </row>
    <row r="20856" spans="191:191" x14ac:dyDescent="0.2">
      <c r="GI20856" s="422"/>
    </row>
    <row r="20857" spans="191:191" x14ac:dyDescent="0.2">
      <c r="GI20857" s="422"/>
    </row>
    <row r="20858" spans="191:191" x14ac:dyDescent="0.2">
      <c r="GI20858" s="422"/>
    </row>
    <row r="20859" spans="191:191" x14ac:dyDescent="0.2">
      <c r="GI20859" s="422"/>
    </row>
    <row r="20860" spans="191:191" x14ac:dyDescent="0.2">
      <c r="GI20860" s="422"/>
    </row>
    <row r="20861" spans="191:191" x14ac:dyDescent="0.2">
      <c r="GI20861" s="422"/>
    </row>
    <row r="20862" spans="191:191" x14ac:dyDescent="0.2">
      <c r="GI20862" s="422"/>
    </row>
    <row r="20863" spans="191:191" x14ac:dyDescent="0.2">
      <c r="GI20863" s="422"/>
    </row>
    <row r="20864" spans="191:191" x14ac:dyDescent="0.2">
      <c r="GI20864" s="422"/>
    </row>
    <row r="20865" spans="191:191" x14ac:dyDescent="0.2">
      <c r="GI20865" s="422"/>
    </row>
    <row r="20866" spans="191:191" x14ac:dyDescent="0.2">
      <c r="GI20866" s="422"/>
    </row>
    <row r="20867" spans="191:191" x14ac:dyDescent="0.2">
      <c r="GI20867" s="422"/>
    </row>
    <row r="20868" spans="191:191" x14ac:dyDescent="0.2">
      <c r="GI20868" s="422"/>
    </row>
    <row r="20869" spans="191:191" x14ac:dyDescent="0.2">
      <c r="GI20869" s="422"/>
    </row>
    <row r="20870" spans="191:191" x14ac:dyDescent="0.2">
      <c r="GI20870" s="422"/>
    </row>
    <row r="20871" spans="191:191" x14ac:dyDescent="0.2">
      <c r="GI20871" s="422"/>
    </row>
    <row r="20872" spans="191:191" x14ac:dyDescent="0.2">
      <c r="GI20872" s="422"/>
    </row>
    <row r="20873" spans="191:191" x14ac:dyDescent="0.2">
      <c r="GI20873" s="422"/>
    </row>
    <row r="20874" spans="191:191" x14ac:dyDescent="0.2">
      <c r="GI20874" s="422"/>
    </row>
    <row r="20875" spans="191:191" x14ac:dyDescent="0.2">
      <c r="GI20875" s="422"/>
    </row>
    <row r="20876" spans="191:191" x14ac:dyDescent="0.2">
      <c r="GI20876" s="422"/>
    </row>
    <row r="20877" spans="191:191" x14ac:dyDescent="0.2">
      <c r="GI20877" s="422"/>
    </row>
    <row r="20878" spans="191:191" x14ac:dyDescent="0.2">
      <c r="GI20878" s="422"/>
    </row>
    <row r="20879" spans="191:191" x14ac:dyDescent="0.2">
      <c r="GI20879" s="422"/>
    </row>
    <row r="20880" spans="191:191" x14ac:dyDescent="0.2">
      <c r="GI20880" s="422"/>
    </row>
    <row r="20881" spans="191:191" x14ac:dyDescent="0.2">
      <c r="GI20881" s="422"/>
    </row>
    <row r="20882" spans="191:191" x14ac:dyDescent="0.2">
      <c r="GI20882" s="422"/>
    </row>
    <row r="20883" spans="191:191" x14ac:dyDescent="0.2">
      <c r="GI20883" s="422"/>
    </row>
    <row r="20884" spans="191:191" x14ac:dyDescent="0.2">
      <c r="GI20884" s="422"/>
    </row>
    <row r="20885" spans="191:191" x14ac:dyDescent="0.2">
      <c r="GI20885" s="422"/>
    </row>
    <row r="20886" spans="191:191" x14ac:dyDescent="0.2">
      <c r="GI20886" s="422"/>
    </row>
    <row r="20887" spans="191:191" x14ac:dyDescent="0.2">
      <c r="GI20887" s="422"/>
    </row>
    <row r="20888" spans="191:191" x14ac:dyDescent="0.2">
      <c r="GI20888" s="422"/>
    </row>
    <row r="20889" spans="191:191" x14ac:dyDescent="0.2">
      <c r="GI20889" s="422"/>
    </row>
    <row r="20890" spans="191:191" x14ac:dyDescent="0.2">
      <c r="GI20890" s="422"/>
    </row>
    <row r="20891" spans="191:191" x14ac:dyDescent="0.2">
      <c r="GI20891" s="422"/>
    </row>
    <row r="20892" spans="191:191" x14ac:dyDescent="0.2">
      <c r="GI20892" s="422"/>
    </row>
    <row r="20893" spans="191:191" x14ac:dyDescent="0.2">
      <c r="GI20893" s="422"/>
    </row>
    <row r="20894" spans="191:191" x14ac:dyDescent="0.2">
      <c r="GI20894" s="422"/>
    </row>
    <row r="20895" spans="191:191" x14ac:dyDescent="0.2">
      <c r="GI20895" s="422"/>
    </row>
    <row r="20896" spans="191:191" x14ac:dyDescent="0.2">
      <c r="GI20896" s="422"/>
    </row>
    <row r="20897" spans="191:191" x14ac:dyDescent="0.2">
      <c r="GI20897" s="422"/>
    </row>
    <row r="20898" spans="191:191" x14ac:dyDescent="0.2">
      <c r="GI20898" s="422"/>
    </row>
    <row r="20899" spans="191:191" x14ac:dyDescent="0.2">
      <c r="GI20899" s="422"/>
    </row>
    <row r="20900" spans="191:191" x14ac:dyDescent="0.2">
      <c r="GI20900" s="422"/>
    </row>
    <row r="20901" spans="191:191" x14ac:dyDescent="0.2">
      <c r="GI20901" s="422"/>
    </row>
    <row r="20902" spans="191:191" x14ac:dyDescent="0.2">
      <c r="GI20902" s="422"/>
    </row>
    <row r="20903" spans="191:191" x14ac:dyDescent="0.2">
      <c r="GI20903" s="422"/>
    </row>
    <row r="20904" spans="191:191" x14ac:dyDescent="0.2">
      <c r="GI20904" s="422"/>
    </row>
    <row r="20905" spans="191:191" x14ac:dyDescent="0.2">
      <c r="GI20905" s="422"/>
    </row>
    <row r="20906" spans="191:191" x14ac:dyDescent="0.2">
      <c r="GI20906" s="422"/>
    </row>
    <row r="20907" spans="191:191" x14ac:dyDescent="0.2">
      <c r="GI20907" s="422"/>
    </row>
    <row r="20908" spans="191:191" x14ac:dyDescent="0.2">
      <c r="GI20908" s="422"/>
    </row>
    <row r="20909" spans="191:191" x14ac:dyDescent="0.2">
      <c r="GI20909" s="422"/>
    </row>
    <row r="20910" spans="191:191" x14ac:dyDescent="0.2">
      <c r="GI20910" s="422"/>
    </row>
    <row r="20911" spans="191:191" x14ac:dyDescent="0.2">
      <c r="GI20911" s="422"/>
    </row>
    <row r="20912" spans="191:191" x14ac:dyDescent="0.2">
      <c r="GI20912" s="422"/>
    </row>
    <row r="20913" spans="191:191" x14ac:dyDescent="0.2">
      <c r="GI20913" s="422"/>
    </row>
    <row r="20914" spans="191:191" x14ac:dyDescent="0.2">
      <c r="GI20914" s="422"/>
    </row>
    <row r="20915" spans="191:191" x14ac:dyDescent="0.2">
      <c r="GI20915" s="422"/>
    </row>
    <row r="20916" spans="191:191" x14ac:dyDescent="0.2">
      <c r="GI20916" s="422"/>
    </row>
    <row r="20917" spans="191:191" x14ac:dyDescent="0.2">
      <c r="GI20917" s="422"/>
    </row>
    <row r="20918" spans="191:191" x14ac:dyDescent="0.2">
      <c r="GI20918" s="422"/>
    </row>
    <row r="20919" spans="191:191" x14ac:dyDescent="0.2">
      <c r="GI20919" s="422"/>
    </row>
    <row r="20920" spans="191:191" x14ac:dyDescent="0.2">
      <c r="GI20920" s="422"/>
    </row>
    <row r="20921" spans="191:191" x14ac:dyDescent="0.2">
      <c r="GI20921" s="422"/>
    </row>
    <row r="20922" spans="191:191" x14ac:dyDescent="0.2">
      <c r="GI20922" s="422"/>
    </row>
    <row r="20923" spans="191:191" x14ac:dyDescent="0.2">
      <c r="GI20923" s="422"/>
    </row>
    <row r="20924" spans="191:191" x14ac:dyDescent="0.2">
      <c r="GI20924" s="422"/>
    </row>
    <row r="20925" spans="191:191" x14ac:dyDescent="0.2">
      <c r="GI20925" s="422"/>
    </row>
    <row r="20926" spans="191:191" x14ac:dyDescent="0.2">
      <c r="GI20926" s="422"/>
    </row>
    <row r="20927" spans="191:191" x14ac:dyDescent="0.2">
      <c r="GI20927" s="422"/>
    </row>
    <row r="20928" spans="191:191" x14ac:dyDescent="0.2">
      <c r="GI20928" s="422"/>
    </row>
    <row r="20929" spans="191:191" x14ac:dyDescent="0.2">
      <c r="GI20929" s="422"/>
    </row>
    <row r="20930" spans="191:191" x14ac:dyDescent="0.2">
      <c r="GI20930" s="422"/>
    </row>
    <row r="20931" spans="191:191" x14ac:dyDescent="0.2">
      <c r="GI20931" s="422"/>
    </row>
    <row r="20932" spans="191:191" x14ac:dyDescent="0.2">
      <c r="GI20932" s="422"/>
    </row>
    <row r="20933" spans="191:191" x14ac:dyDescent="0.2">
      <c r="GI20933" s="422"/>
    </row>
    <row r="20934" spans="191:191" x14ac:dyDescent="0.2">
      <c r="GI20934" s="422"/>
    </row>
    <row r="20935" spans="191:191" x14ac:dyDescent="0.2">
      <c r="GI20935" s="422"/>
    </row>
    <row r="20936" spans="191:191" x14ac:dyDescent="0.2">
      <c r="GI20936" s="422"/>
    </row>
    <row r="20937" spans="191:191" x14ac:dyDescent="0.2">
      <c r="GI20937" s="422"/>
    </row>
    <row r="20938" spans="191:191" x14ac:dyDescent="0.2">
      <c r="GI20938" s="422"/>
    </row>
    <row r="20939" spans="191:191" x14ac:dyDescent="0.2">
      <c r="GI20939" s="422"/>
    </row>
    <row r="20940" spans="191:191" x14ac:dyDescent="0.2">
      <c r="GI20940" s="422"/>
    </row>
    <row r="20941" spans="191:191" x14ac:dyDescent="0.2">
      <c r="GI20941" s="422"/>
    </row>
    <row r="20942" spans="191:191" x14ac:dyDescent="0.2">
      <c r="GI20942" s="422"/>
    </row>
    <row r="20943" spans="191:191" x14ac:dyDescent="0.2">
      <c r="GI20943" s="422"/>
    </row>
    <row r="20944" spans="191:191" x14ac:dyDescent="0.2">
      <c r="GI20944" s="422"/>
    </row>
    <row r="20945" spans="191:191" x14ac:dyDescent="0.2">
      <c r="GI20945" s="422"/>
    </row>
    <row r="20946" spans="191:191" x14ac:dyDescent="0.2">
      <c r="GI20946" s="422"/>
    </row>
    <row r="20947" spans="191:191" x14ac:dyDescent="0.2">
      <c r="GI20947" s="422"/>
    </row>
    <row r="20948" spans="191:191" x14ac:dyDescent="0.2">
      <c r="GI20948" s="422"/>
    </row>
    <row r="20949" spans="191:191" x14ac:dyDescent="0.2">
      <c r="GI20949" s="422"/>
    </row>
    <row r="20950" spans="191:191" x14ac:dyDescent="0.2">
      <c r="GI20950" s="422"/>
    </row>
    <row r="20951" spans="191:191" x14ac:dyDescent="0.2">
      <c r="GI20951" s="422"/>
    </row>
    <row r="20952" spans="191:191" x14ac:dyDescent="0.2">
      <c r="GI20952" s="422"/>
    </row>
    <row r="20953" spans="191:191" x14ac:dyDescent="0.2">
      <c r="GI20953" s="422"/>
    </row>
    <row r="20954" spans="191:191" x14ac:dyDescent="0.2">
      <c r="GI20954" s="422"/>
    </row>
    <row r="20955" spans="191:191" x14ac:dyDescent="0.2">
      <c r="GI20955" s="422"/>
    </row>
    <row r="20956" spans="191:191" x14ac:dyDescent="0.2">
      <c r="GI20956" s="422"/>
    </row>
    <row r="20957" spans="191:191" x14ac:dyDescent="0.2">
      <c r="GI20957" s="422"/>
    </row>
    <row r="20958" spans="191:191" x14ac:dyDescent="0.2">
      <c r="GI20958" s="422"/>
    </row>
    <row r="20959" spans="191:191" x14ac:dyDescent="0.2">
      <c r="GI20959" s="422"/>
    </row>
    <row r="20960" spans="191:191" x14ac:dyDescent="0.2">
      <c r="GI20960" s="422"/>
    </row>
    <row r="20961" spans="191:191" x14ac:dyDescent="0.2">
      <c r="GI20961" s="422"/>
    </row>
    <row r="20962" spans="191:191" x14ac:dyDescent="0.2">
      <c r="GI20962" s="422"/>
    </row>
    <row r="20963" spans="191:191" x14ac:dyDescent="0.2">
      <c r="GI20963" s="422"/>
    </row>
    <row r="20964" spans="191:191" x14ac:dyDescent="0.2">
      <c r="GI20964" s="422"/>
    </row>
    <row r="20965" spans="191:191" x14ac:dyDescent="0.2">
      <c r="GI20965" s="422"/>
    </row>
    <row r="20966" spans="191:191" x14ac:dyDescent="0.2">
      <c r="GI20966" s="422"/>
    </row>
    <row r="20967" spans="191:191" x14ac:dyDescent="0.2">
      <c r="GI20967" s="422"/>
    </row>
    <row r="20968" spans="191:191" x14ac:dyDescent="0.2">
      <c r="GI20968" s="422"/>
    </row>
    <row r="20969" spans="191:191" x14ac:dyDescent="0.2">
      <c r="GI20969" s="422"/>
    </row>
    <row r="20970" spans="191:191" x14ac:dyDescent="0.2">
      <c r="GI20970" s="422"/>
    </row>
    <row r="20971" spans="191:191" x14ac:dyDescent="0.2">
      <c r="GI20971" s="422"/>
    </row>
    <row r="20972" spans="191:191" x14ac:dyDescent="0.2">
      <c r="GI20972" s="422"/>
    </row>
    <row r="20973" spans="191:191" x14ac:dyDescent="0.2">
      <c r="GI20973" s="422"/>
    </row>
    <row r="20974" spans="191:191" x14ac:dyDescent="0.2">
      <c r="GI20974" s="422"/>
    </row>
    <row r="20975" spans="191:191" x14ac:dyDescent="0.2">
      <c r="GI20975" s="422"/>
    </row>
    <row r="20976" spans="191:191" x14ac:dyDescent="0.2">
      <c r="GI20976" s="422"/>
    </row>
    <row r="20977" spans="191:191" x14ac:dyDescent="0.2">
      <c r="GI20977" s="422"/>
    </row>
    <row r="20978" spans="191:191" x14ac:dyDescent="0.2">
      <c r="GI20978" s="422"/>
    </row>
    <row r="20979" spans="191:191" x14ac:dyDescent="0.2">
      <c r="GI20979" s="422"/>
    </row>
    <row r="20980" spans="191:191" x14ac:dyDescent="0.2">
      <c r="GI20980" s="422"/>
    </row>
    <row r="20981" spans="191:191" x14ac:dyDescent="0.2">
      <c r="GI20981" s="422"/>
    </row>
    <row r="20982" spans="191:191" x14ac:dyDescent="0.2">
      <c r="GI20982" s="422"/>
    </row>
    <row r="20983" spans="191:191" x14ac:dyDescent="0.2">
      <c r="GI20983" s="422"/>
    </row>
    <row r="20984" spans="191:191" x14ac:dyDescent="0.2">
      <c r="GI20984" s="422"/>
    </row>
    <row r="20985" spans="191:191" x14ac:dyDescent="0.2">
      <c r="GI20985" s="422"/>
    </row>
    <row r="20986" spans="191:191" x14ac:dyDescent="0.2">
      <c r="GI20986" s="422"/>
    </row>
    <row r="20987" spans="191:191" x14ac:dyDescent="0.2">
      <c r="GI20987" s="422"/>
    </row>
    <row r="20988" spans="191:191" x14ac:dyDescent="0.2">
      <c r="GI20988" s="422"/>
    </row>
    <row r="20989" spans="191:191" x14ac:dyDescent="0.2">
      <c r="GI20989" s="422"/>
    </row>
    <row r="20990" spans="191:191" x14ac:dyDescent="0.2">
      <c r="GI20990" s="422"/>
    </row>
    <row r="20991" spans="191:191" x14ac:dyDescent="0.2">
      <c r="GI20991" s="422"/>
    </row>
    <row r="20992" spans="191:191" x14ac:dyDescent="0.2">
      <c r="GI20992" s="422"/>
    </row>
    <row r="20993" spans="191:191" x14ac:dyDescent="0.2">
      <c r="GI20993" s="422"/>
    </row>
    <row r="20994" spans="191:191" x14ac:dyDescent="0.2">
      <c r="GI20994" s="422"/>
    </row>
    <row r="20995" spans="191:191" x14ac:dyDescent="0.2">
      <c r="GI20995" s="422"/>
    </row>
    <row r="20996" spans="191:191" x14ac:dyDescent="0.2">
      <c r="GI20996" s="422"/>
    </row>
    <row r="20997" spans="191:191" x14ac:dyDescent="0.2">
      <c r="GI20997" s="422"/>
    </row>
    <row r="20998" spans="191:191" x14ac:dyDescent="0.2">
      <c r="GI20998" s="422"/>
    </row>
    <row r="20999" spans="191:191" x14ac:dyDescent="0.2">
      <c r="GI20999" s="422"/>
    </row>
    <row r="21000" spans="191:191" x14ac:dyDescent="0.2">
      <c r="GI21000" s="422"/>
    </row>
    <row r="21001" spans="191:191" x14ac:dyDescent="0.2">
      <c r="GI21001" s="422"/>
    </row>
    <row r="21002" spans="191:191" x14ac:dyDescent="0.2">
      <c r="GI21002" s="422"/>
    </row>
    <row r="21003" spans="191:191" x14ac:dyDescent="0.2">
      <c r="GI21003" s="422"/>
    </row>
    <row r="21004" spans="191:191" x14ac:dyDescent="0.2">
      <c r="GI21004" s="422"/>
    </row>
    <row r="21005" spans="191:191" x14ac:dyDescent="0.2">
      <c r="GI21005" s="422"/>
    </row>
    <row r="21006" spans="191:191" x14ac:dyDescent="0.2">
      <c r="GI21006" s="422"/>
    </row>
    <row r="21007" spans="191:191" x14ac:dyDescent="0.2">
      <c r="GI21007" s="422"/>
    </row>
    <row r="21008" spans="191:191" x14ac:dyDescent="0.2">
      <c r="GI21008" s="422"/>
    </row>
    <row r="21009" spans="191:191" x14ac:dyDescent="0.2">
      <c r="GI21009" s="422"/>
    </row>
    <row r="21010" spans="191:191" x14ac:dyDescent="0.2">
      <c r="GI21010" s="422"/>
    </row>
    <row r="21011" spans="191:191" x14ac:dyDescent="0.2">
      <c r="GI21011" s="422"/>
    </row>
    <row r="21012" spans="191:191" x14ac:dyDescent="0.2">
      <c r="GI21012" s="422"/>
    </row>
    <row r="21013" spans="191:191" x14ac:dyDescent="0.2">
      <c r="GI21013" s="422"/>
    </row>
    <row r="21014" spans="191:191" x14ac:dyDescent="0.2">
      <c r="GI21014" s="422"/>
    </row>
    <row r="21015" spans="191:191" x14ac:dyDescent="0.2">
      <c r="GI21015" s="422"/>
    </row>
    <row r="21016" spans="191:191" x14ac:dyDescent="0.2">
      <c r="GI21016" s="422"/>
    </row>
    <row r="21017" spans="191:191" x14ac:dyDescent="0.2">
      <c r="GI21017" s="422"/>
    </row>
    <row r="21018" spans="191:191" x14ac:dyDescent="0.2">
      <c r="GI21018" s="422"/>
    </row>
    <row r="21019" spans="191:191" x14ac:dyDescent="0.2">
      <c r="GI21019" s="422"/>
    </row>
    <row r="21020" spans="191:191" x14ac:dyDescent="0.2">
      <c r="GI21020" s="422"/>
    </row>
    <row r="21021" spans="191:191" x14ac:dyDescent="0.2">
      <c r="GI21021" s="422"/>
    </row>
    <row r="21022" spans="191:191" x14ac:dyDescent="0.2">
      <c r="GI21022" s="422"/>
    </row>
    <row r="21023" spans="191:191" x14ac:dyDescent="0.2">
      <c r="GI21023" s="422"/>
    </row>
    <row r="21024" spans="191:191" x14ac:dyDescent="0.2">
      <c r="GI21024" s="422"/>
    </row>
    <row r="21025" spans="191:191" x14ac:dyDescent="0.2">
      <c r="GI21025" s="422"/>
    </row>
    <row r="21026" spans="191:191" x14ac:dyDescent="0.2">
      <c r="GI21026" s="422"/>
    </row>
    <row r="21027" spans="191:191" x14ac:dyDescent="0.2">
      <c r="GI21027" s="422"/>
    </row>
    <row r="21028" spans="191:191" x14ac:dyDescent="0.2">
      <c r="GI21028" s="422"/>
    </row>
    <row r="21029" spans="191:191" x14ac:dyDescent="0.2">
      <c r="GI21029" s="422"/>
    </row>
    <row r="21030" spans="191:191" x14ac:dyDescent="0.2">
      <c r="GI21030" s="422"/>
    </row>
    <row r="21031" spans="191:191" x14ac:dyDescent="0.2">
      <c r="GI21031" s="422"/>
    </row>
    <row r="21032" spans="191:191" x14ac:dyDescent="0.2">
      <c r="GI21032" s="422"/>
    </row>
    <row r="21033" spans="191:191" x14ac:dyDescent="0.2">
      <c r="GI21033" s="422"/>
    </row>
    <row r="21034" spans="191:191" x14ac:dyDescent="0.2">
      <c r="GI21034" s="422"/>
    </row>
    <row r="21035" spans="191:191" x14ac:dyDescent="0.2">
      <c r="GI21035" s="422"/>
    </row>
    <row r="21036" spans="191:191" x14ac:dyDescent="0.2">
      <c r="GI21036" s="422"/>
    </row>
    <row r="21037" spans="191:191" x14ac:dyDescent="0.2">
      <c r="GI21037" s="422"/>
    </row>
    <row r="21038" spans="191:191" x14ac:dyDescent="0.2">
      <c r="GI21038" s="422"/>
    </row>
    <row r="21039" spans="191:191" x14ac:dyDescent="0.2">
      <c r="GI21039" s="422"/>
    </row>
    <row r="21040" spans="191:191" x14ac:dyDescent="0.2">
      <c r="GI21040" s="422"/>
    </row>
    <row r="21041" spans="191:191" x14ac:dyDescent="0.2">
      <c r="GI21041" s="422"/>
    </row>
    <row r="21042" spans="191:191" x14ac:dyDescent="0.2">
      <c r="GI21042" s="422"/>
    </row>
    <row r="21043" spans="191:191" x14ac:dyDescent="0.2">
      <c r="GI21043" s="422"/>
    </row>
    <row r="21044" spans="191:191" x14ac:dyDescent="0.2">
      <c r="GI21044" s="422"/>
    </row>
    <row r="21045" spans="191:191" x14ac:dyDescent="0.2">
      <c r="GI21045" s="422"/>
    </row>
    <row r="21046" spans="191:191" x14ac:dyDescent="0.2">
      <c r="GI21046" s="422"/>
    </row>
    <row r="21047" spans="191:191" x14ac:dyDescent="0.2">
      <c r="GI21047" s="422"/>
    </row>
    <row r="21048" spans="191:191" x14ac:dyDescent="0.2">
      <c r="GI21048" s="422"/>
    </row>
    <row r="21049" spans="191:191" x14ac:dyDescent="0.2">
      <c r="GI21049" s="422"/>
    </row>
    <row r="21050" spans="191:191" x14ac:dyDescent="0.2">
      <c r="GI21050" s="422"/>
    </row>
    <row r="21051" spans="191:191" x14ac:dyDescent="0.2">
      <c r="GI21051" s="422"/>
    </row>
    <row r="21052" spans="191:191" x14ac:dyDescent="0.2">
      <c r="GI21052" s="422"/>
    </row>
    <row r="21053" spans="191:191" x14ac:dyDescent="0.2">
      <c r="GI21053" s="422"/>
    </row>
    <row r="21054" spans="191:191" x14ac:dyDescent="0.2">
      <c r="GI21054" s="422"/>
    </row>
    <row r="21055" spans="191:191" x14ac:dyDescent="0.2">
      <c r="GI21055" s="422"/>
    </row>
    <row r="21056" spans="191:191" x14ac:dyDescent="0.2">
      <c r="GI21056" s="422"/>
    </row>
    <row r="21057" spans="191:191" x14ac:dyDescent="0.2">
      <c r="GI21057" s="422"/>
    </row>
    <row r="21058" spans="191:191" x14ac:dyDescent="0.2">
      <c r="GI21058" s="422"/>
    </row>
    <row r="21059" spans="191:191" x14ac:dyDescent="0.2">
      <c r="GI21059" s="422"/>
    </row>
    <row r="21060" spans="191:191" x14ac:dyDescent="0.2">
      <c r="GI21060" s="422"/>
    </row>
    <row r="21061" spans="191:191" x14ac:dyDescent="0.2">
      <c r="GI21061" s="422"/>
    </row>
    <row r="21062" spans="191:191" x14ac:dyDescent="0.2">
      <c r="GI21062" s="422"/>
    </row>
    <row r="21063" spans="191:191" x14ac:dyDescent="0.2">
      <c r="GI21063" s="422"/>
    </row>
    <row r="21064" spans="191:191" x14ac:dyDescent="0.2">
      <c r="GI21064" s="422"/>
    </row>
    <row r="21065" spans="191:191" x14ac:dyDescent="0.2">
      <c r="GI21065" s="422"/>
    </row>
    <row r="21066" spans="191:191" x14ac:dyDescent="0.2">
      <c r="GI21066" s="422"/>
    </row>
    <row r="21067" spans="191:191" x14ac:dyDescent="0.2">
      <c r="GI21067" s="422"/>
    </row>
    <row r="21068" spans="191:191" x14ac:dyDescent="0.2">
      <c r="GI21068" s="422"/>
    </row>
    <row r="21069" spans="191:191" x14ac:dyDescent="0.2">
      <c r="GI21069" s="422"/>
    </row>
    <row r="21070" spans="191:191" x14ac:dyDescent="0.2">
      <c r="GI21070" s="422"/>
    </row>
    <row r="21071" spans="191:191" x14ac:dyDescent="0.2">
      <c r="GI21071" s="422"/>
    </row>
    <row r="21072" spans="191:191" x14ac:dyDescent="0.2">
      <c r="GI21072" s="422"/>
    </row>
    <row r="21073" spans="191:191" x14ac:dyDescent="0.2">
      <c r="GI21073" s="422"/>
    </row>
    <row r="21074" spans="191:191" x14ac:dyDescent="0.2">
      <c r="GI21074" s="422"/>
    </row>
    <row r="21075" spans="191:191" x14ac:dyDescent="0.2">
      <c r="GI21075" s="422"/>
    </row>
    <row r="21076" spans="191:191" x14ac:dyDescent="0.2">
      <c r="GI21076" s="422"/>
    </row>
    <row r="21077" spans="191:191" x14ac:dyDescent="0.2">
      <c r="GI21077" s="422"/>
    </row>
    <row r="21078" spans="191:191" x14ac:dyDescent="0.2">
      <c r="GI21078" s="422"/>
    </row>
    <row r="21079" spans="191:191" x14ac:dyDescent="0.2">
      <c r="GI21079" s="422"/>
    </row>
    <row r="21080" spans="191:191" x14ac:dyDescent="0.2">
      <c r="GI21080" s="422"/>
    </row>
    <row r="21081" spans="191:191" x14ac:dyDescent="0.2">
      <c r="GI21081" s="422"/>
    </row>
    <row r="21082" spans="191:191" x14ac:dyDescent="0.2">
      <c r="GI21082" s="422"/>
    </row>
    <row r="21083" spans="191:191" x14ac:dyDescent="0.2">
      <c r="GI21083" s="422"/>
    </row>
    <row r="21084" spans="191:191" x14ac:dyDescent="0.2">
      <c r="GI21084" s="422"/>
    </row>
    <row r="21085" spans="191:191" x14ac:dyDescent="0.2">
      <c r="GI21085" s="422"/>
    </row>
    <row r="21086" spans="191:191" x14ac:dyDescent="0.2">
      <c r="GI21086" s="422"/>
    </row>
    <row r="21087" spans="191:191" x14ac:dyDescent="0.2">
      <c r="GI21087" s="422"/>
    </row>
    <row r="21088" spans="191:191" x14ac:dyDescent="0.2">
      <c r="GI21088" s="422"/>
    </row>
    <row r="21089" spans="191:191" x14ac:dyDescent="0.2">
      <c r="GI21089" s="422"/>
    </row>
    <row r="21090" spans="191:191" x14ac:dyDescent="0.2">
      <c r="GI21090" s="422"/>
    </row>
    <row r="21091" spans="191:191" x14ac:dyDescent="0.2">
      <c r="GI21091" s="422"/>
    </row>
    <row r="21092" spans="191:191" x14ac:dyDescent="0.2">
      <c r="GI21092" s="422"/>
    </row>
    <row r="21093" spans="191:191" x14ac:dyDescent="0.2">
      <c r="GI21093" s="422"/>
    </row>
    <row r="21094" spans="191:191" x14ac:dyDescent="0.2">
      <c r="GI21094" s="422"/>
    </row>
    <row r="21095" spans="191:191" x14ac:dyDescent="0.2">
      <c r="GI21095" s="422"/>
    </row>
    <row r="21096" spans="191:191" x14ac:dyDescent="0.2">
      <c r="GI21096" s="422"/>
    </row>
    <row r="21097" spans="191:191" x14ac:dyDescent="0.2">
      <c r="GI21097" s="422"/>
    </row>
    <row r="21098" spans="191:191" x14ac:dyDescent="0.2">
      <c r="GI21098" s="422"/>
    </row>
    <row r="21099" spans="191:191" x14ac:dyDescent="0.2">
      <c r="GI21099" s="422"/>
    </row>
    <row r="21100" spans="191:191" x14ac:dyDescent="0.2">
      <c r="GI21100" s="422"/>
    </row>
    <row r="21101" spans="191:191" x14ac:dyDescent="0.2">
      <c r="GI21101" s="422"/>
    </row>
    <row r="21102" spans="191:191" x14ac:dyDescent="0.2">
      <c r="GI21102" s="422"/>
    </row>
    <row r="21103" spans="191:191" x14ac:dyDescent="0.2">
      <c r="GI21103" s="422"/>
    </row>
    <row r="21104" spans="191:191" x14ac:dyDescent="0.2">
      <c r="GI21104" s="422"/>
    </row>
    <row r="21105" spans="191:191" x14ac:dyDescent="0.2">
      <c r="GI21105" s="422"/>
    </row>
    <row r="21106" spans="191:191" x14ac:dyDescent="0.2">
      <c r="GI21106" s="422"/>
    </row>
    <row r="21107" spans="191:191" x14ac:dyDescent="0.2">
      <c r="GI21107" s="422"/>
    </row>
    <row r="21108" spans="191:191" x14ac:dyDescent="0.2">
      <c r="GI21108" s="422"/>
    </row>
    <row r="21109" spans="191:191" x14ac:dyDescent="0.2">
      <c r="GI21109" s="422"/>
    </row>
    <row r="21110" spans="191:191" x14ac:dyDescent="0.2">
      <c r="GI21110" s="422"/>
    </row>
    <row r="21111" spans="191:191" x14ac:dyDescent="0.2">
      <c r="GI21111" s="422"/>
    </row>
    <row r="21112" spans="191:191" x14ac:dyDescent="0.2">
      <c r="GI21112" s="422"/>
    </row>
    <row r="21113" spans="191:191" x14ac:dyDescent="0.2">
      <c r="GI21113" s="422"/>
    </row>
    <row r="21114" spans="191:191" x14ac:dyDescent="0.2">
      <c r="GI21114" s="422"/>
    </row>
    <row r="21115" spans="191:191" x14ac:dyDescent="0.2">
      <c r="GI21115" s="422"/>
    </row>
    <row r="21116" spans="191:191" x14ac:dyDescent="0.2">
      <c r="GI21116" s="422"/>
    </row>
    <row r="21117" spans="191:191" x14ac:dyDescent="0.2">
      <c r="GI21117" s="422"/>
    </row>
    <row r="21118" spans="191:191" x14ac:dyDescent="0.2">
      <c r="GI21118" s="422"/>
    </row>
    <row r="21119" spans="191:191" x14ac:dyDescent="0.2">
      <c r="GI21119" s="422"/>
    </row>
    <row r="21120" spans="191:191" x14ac:dyDescent="0.2">
      <c r="GI21120" s="422"/>
    </row>
    <row r="21121" spans="191:191" x14ac:dyDescent="0.2">
      <c r="GI21121" s="422"/>
    </row>
    <row r="21122" spans="191:191" x14ac:dyDescent="0.2">
      <c r="GI21122" s="422"/>
    </row>
    <row r="21123" spans="191:191" x14ac:dyDescent="0.2">
      <c r="GI21123" s="422"/>
    </row>
    <row r="21124" spans="191:191" x14ac:dyDescent="0.2">
      <c r="GI21124" s="422"/>
    </row>
    <row r="21125" spans="191:191" x14ac:dyDescent="0.2">
      <c r="GI21125" s="422"/>
    </row>
    <row r="21126" spans="191:191" x14ac:dyDescent="0.2">
      <c r="GI21126" s="422"/>
    </row>
    <row r="21127" spans="191:191" x14ac:dyDescent="0.2">
      <c r="GI21127" s="422"/>
    </row>
    <row r="21128" spans="191:191" x14ac:dyDescent="0.2">
      <c r="GI21128" s="422"/>
    </row>
    <row r="21129" spans="191:191" x14ac:dyDescent="0.2">
      <c r="GI21129" s="422"/>
    </row>
    <row r="21130" spans="191:191" x14ac:dyDescent="0.2">
      <c r="GI21130" s="422"/>
    </row>
    <row r="21131" spans="191:191" x14ac:dyDescent="0.2">
      <c r="GI21131" s="422"/>
    </row>
    <row r="21132" spans="191:191" x14ac:dyDescent="0.2">
      <c r="GI21132" s="422"/>
    </row>
    <row r="21133" spans="191:191" x14ac:dyDescent="0.2">
      <c r="GI21133" s="422"/>
    </row>
    <row r="21134" spans="191:191" x14ac:dyDescent="0.2">
      <c r="GI21134" s="422"/>
    </row>
    <row r="21135" spans="191:191" x14ac:dyDescent="0.2">
      <c r="GI21135" s="422"/>
    </row>
    <row r="21136" spans="191:191" x14ac:dyDescent="0.2">
      <c r="GI21136" s="422"/>
    </row>
    <row r="21137" spans="191:191" x14ac:dyDescent="0.2">
      <c r="GI21137" s="422"/>
    </row>
    <row r="21138" spans="191:191" x14ac:dyDescent="0.2">
      <c r="GI21138" s="422"/>
    </row>
    <row r="21139" spans="191:191" x14ac:dyDescent="0.2">
      <c r="GI21139" s="422"/>
    </row>
    <row r="21140" spans="191:191" x14ac:dyDescent="0.2">
      <c r="GI21140" s="422"/>
    </row>
    <row r="21141" spans="191:191" x14ac:dyDescent="0.2">
      <c r="GI21141" s="422"/>
    </row>
    <row r="21142" spans="191:191" x14ac:dyDescent="0.2">
      <c r="GI21142" s="422"/>
    </row>
    <row r="21143" spans="191:191" x14ac:dyDescent="0.2">
      <c r="GI21143" s="422"/>
    </row>
    <row r="21144" spans="191:191" x14ac:dyDescent="0.2">
      <c r="GI21144" s="422"/>
    </row>
    <row r="21145" spans="191:191" x14ac:dyDescent="0.2">
      <c r="GI21145" s="422"/>
    </row>
    <row r="21146" spans="191:191" x14ac:dyDescent="0.2">
      <c r="GI21146" s="422"/>
    </row>
    <row r="21147" spans="191:191" x14ac:dyDescent="0.2">
      <c r="GI21147" s="422"/>
    </row>
    <row r="21148" spans="191:191" x14ac:dyDescent="0.2">
      <c r="GI21148" s="422"/>
    </row>
    <row r="21149" spans="191:191" x14ac:dyDescent="0.2">
      <c r="GI21149" s="422"/>
    </row>
    <row r="21150" spans="191:191" x14ac:dyDescent="0.2">
      <c r="GI21150" s="422"/>
    </row>
    <row r="21151" spans="191:191" x14ac:dyDescent="0.2">
      <c r="GI21151" s="422"/>
    </row>
    <row r="21152" spans="191:191" x14ac:dyDescent="0.2">
      <c r="GI21152" s="422"/>
    </row>
    <row r="21153" spans="191:191" x14ac:dyDescent="0.2">
      <c r="GI21153" s="422"/>
    </row>
    <row r="21154" spans="191:191" x14ac:dyDescent="0.2">
      <c r="GI21154" s="422"/>
    </row>
    <row r="21155" spans="191:191" x14ac:dyDescent="0.2">
      <c r="GI21155" s="422"/>
    </row>
    <row r="21156" spans="191:191" x14ac:dyDescent="0.2">
      <c r="GI21156" s="422"/>
    </row>
    <row r="21157" spans="191:191" x14ac:dyDescent="0.2">
      <c r="GI21157" s="422"/>
    </row>
    <row r="21158" spans="191:191" x14ac:dyDescent="0.2">
      <c r="GI21158" s="422"/>
    </row>
    <row r="21159" spans="191:191" x14ac:dyDescent="0.2">
      <c r="GI21159" s="422"/>
    </row>
    <row r="21160" spans="191:191" x14ac:dyDescent="0.2">
      <c r="GI21160" s="422"/>
    </row>
    <row r="21161" spans="191:191" x14ac:dyDescent="0.2">
      <c r="GI21161" s="422"/>
    </row>
    <row r="21162" spans="191:191" x14ac:dyDescent="0.2">
      <c r="GI21162" s="422"/>
    </row>
    <row r="21163" spans="191:191" x14ac:dyDescent="0.2">
      <c r="GI21163" s="422"/>
    </row>
    <row r="21164" spans="191:191" x14ac:dyDescent="0.2">
      <c r="GI21164" s="422"/>
    </row>
    <row r="21165" spans="191:191" x14ac:dyDescent="0.2">
      <c r="GI21165" s="422"/>
    </row>
    <row r="21166" spans="191:191" x14ac:dyDescent="0.2">
      <c r="GI21166" s="422"/>
    </row>
    <row r="21167" spans="191:191" x14ac:dyDescent="0.2">
      <c r="GI21167" s="422"/>
    </row>
    <row r="21168" spans="191:191" x14ac:dyDescent="0.2">
      <c r="GI21168" s="422"/>
    </row>
    <row r="21169" spans="191:191" x14ac:dyDescent="0.2">
      <c r="GI21169" s="422"/>
    </row>
    <row r="21170" spans="191:191" x14ac:dyDescent="0.2">
      <c r="GI21170" s="422"/>
    </row>
    <row r="21171" spans="191:191" x14ac:dyDescent="0.2">
      <c r="GI21171" s="422"/>
    </row>
    <row r="21172" spans="191:191" x14ac:dyDescent="0.2">
      <c r="GI21172" s="422"/>
    </row>
    <row r="21173" spans="191:191" x14ac:dyDescent="0.2">
      <c r="GI21173" s="422"/>
    </row>
    <row r="21174" spans="191:191" x14ac:dyDescent="0.2">
      <c r="GI21174" s="422"/>
    </row>
    <row r="21175" spans="191:191" x14ac:dyDescent="0.2">
      <c r="GI21175" s="422"/>
    </row>
    <row r="21176" spans="191:191" x14ac:dyDescent="0.2">
      <c r="GI21176" s="422"/>
    </row>
    <row r="21177" spans="191:191" x14ac:dyDescent="0.2">
      <c r="GI21177" s="422"/>
    </row>
    <row r="21178" spans="191:191" x14ac:dyDescent="0.2">
      <c r="GI21178" s="422"/>
    </row>
    <row r="21179" spans="191:191" x14ac:dyDescent="0.2">
      <c r="GI21179" s="422"/>
    </row>
    <row r="21180" spans="191:191" x14ac:dyDescent="0.2">
      <c r="GI21180" s="422"/>
    </row>
    <row r="21181" spans="191:191" x14ac:dyDescent="0.2">
      <c r="GI21181" s="422"/>
    </row>
    <row r="21182" spans="191:191" x14ac:dyDescent="0.2">
      <c r="GI21182" s="422"/>
    </row>
    <row r="21183" spans="191:191" x14ac:dyDescent="0.2">
      <c r="GI21183" s="422"/>
    </row>
    <row r="21184" spans="191:191" x14ac:dyDescent="0.2">
      <c r="GI21184" s="422"/>
    </row>
    <row r="21185" spans="191:191" x14ac:dyDescent="0.2">
      <c r="GI21185" s="422"/>
    </row>
    <row r="21186" spans="191:191" x14ac:dyDescent="0.2">
      <c r="GI21186" s="422"/>
    </row>
    <row r="21187" spans="191:191" x14ac:dyDescent="0.2">
      <c r="GI21187" s="422"/>
    </row>
    <row r="21188" spans="191:191" x14ac:dyDescent="0.2">
      <c r="GI21188" s="422"/>
    </row>
    <row r="21189" spans="191:191" x14ac:dyDescent="0.2">
      <c r="GI21189" s="422"/>
    </row>
    <row r="21190" spans="191:191" x14ac:dyDescent="0.2">
      <c r="GI21190" s="422"/>
    </row>
    <row r="21191" spans="191:191" x14ac:dyDescent="0.2">
      <c r="GI21191" s="422"/>
    </row>
    <row r="21192" spans="191:191" x14ac:dyDescent="0.2">
      <c r="GI21192" s="422"/>
    </row>
    <row r="21193" spans="191:191" x14ac:dyDescent="0.2">
      <c r="GI21193" s="422"/>
    </row>
    <row r="21194" spans="191:191" x14ac:dyDescent="0.2">
      <c r="GI21194" s="422"/>
    </row>
    <row r="21195" spans="191:191" x14ac:dyDescent="0.2">
      <c r="GI21195" s="422"/>
    </row>
    <row r="21196" spans="191:191" x14ac:dyDescent="0.2">
      <c r="GI21196" s="422"/>
    </row>
    <row r="21197" spans="191:191" x14ac:dyDescent="0.2">
      <c r="GI21197" s="422"/>
    </row>
    <row r="21198" spans="191:191" x14ac:dyDescent="0.2">
      <c r="GI21198" s="422"/>
    </row>
    <row r="21199" spans="191:191" x14ac:dyDescent="0.2">
      <c r="GI21199" s="422"/>
    </row>
    <row r="21200" spans="191:191" x14ac:dyDescent="0.2">
      <c r="GI21200" s="422"/>
    </row>
    <row r="21201" spans="191:191" x14ac:dyDescent="0.2">
      <c r="GI21201" s="422"/>
    </row>
    <row r="21202" spans="191:191" x14ac:dyDescent="0.2">
      <c r="GI21202" s="422"/>
    </row>
    <row r="21203" spans="191:191" x14ac:dyDescent="0.2">
      <c r="GI21203" s="422"/>
    </row>
    <row r="21204" spans="191:191" x14ac:dyDescent="0.2">
      <c r="GI21204" s="422"/>
    </row>
    <row r="21205" spans="191:191" x14ac:dyDescent="0.2">
      <c r="GI21205" s="422"/>
    </row>
    <row r="21206" spans="191:191" x14ac:dyDescent="0.2">
      <c r="GI21206" s="422"/>
    </row>
    <row r="21207" spans="191:191" x14ac:dyDescent="0.2">
      <c r="GI21207" s="422"/>
    </row>
    <row r="21208" spans="191:191" x14ac:dyDescent="0.2">
      <c r="GI21208" s="422"/>
    </row>
    <row r="21209" spans="191:191" x14ac:dyDescent="0.2">
      <c r="GI21209" s="422"/>
    </row>
    <row r="21210" spans="191:191" x14ac:dyDescent="0.2">
      <c r="GI21210" s="422"/>
    </row>
    <row r="21211" spans="191:191" x14ac:dyDescent="0.2">
      <c r="GI21211" s="422"/>
    </row>
    <row r="21212" spans="191:191" x14ac:dyDescent="0.2">
      <c r="GI21212" s="422"/>
    </row>
    <row r="21213" spans="191:191" x14ac:dyDescent="0.2">
      <c r="GI21213" s="422"/>
    </row>
    <row r="21214" spans="191:191" x14ac:dyDescent="0.2">
      <c r="GI21214" s="422"/>
    </row>
    <row r="21215" spans="191:191" x14ac:dyDescent="0.2">
      <c r="GI21215" s="422"/>
    </row>
    <row r="21216" spans="191:191" x14ac:dyDescent="0.2">
      <c r="GI21216" s="422"/>
    </row>
    <row r="21217" spans="191:191" x14ac:dyDescent="0.2">
      <c r="GI21217" s="422"/>
    </row>
    <row r="21218" spans="191:191" x14ac:dyDescent="0.2">
      <c r="GI21218" s="422"/>
    </row>
    <row r="21219" spans="191:191" x14ac:dyDescent="0.2">
      <c r="GI21219" s="422"/>
    </row>
    <row r="21220" spans="191:191" x14ac:dyDescent="0.2">
      <c r="GI21220" s="422"/>
    </row>
    <row r="21221" spans="191:191" x14ac:dyDescent="0.2">
      <c r="GI21221" s="422"/>
    </row>
    <row r="21222" spans="191:191" x14ac:dyDescent="0.2">
      <c r="GI21222" s="422"/>
    </row>
    <row r="21223" spans="191:191" x14ac:dyDescent="0.2">
      <c r="GI21223" s="422"/>
    </row>
    <row r="21224" spans="191:191" x14ac:dyDescent="0.2">
      <c r="GI21224" s="422"/>
    </row>
    <row r="21225" spans="191:191" x14ac:dyDescent="0.2">
      <c r="GI21225" s="422"/>
    </row>
    <row r="21226" spans="191:191" x14ac:dyDescent="0.2">
      <c r="GI21226" s="422"/>
    </row>
    <row r="21227" spans="191:191" x14ac:dyDescent="0.2">
      <c r="GI21227" s="422"/>
    </row>
    <row r="21228" spans="191:191" x14ac:dyDescent="0.2">
      <c r="GI21228" s="422"/>
    </row>
    <row r="21229" spans="191:191" x14ac:dyDescent="0.2">
      <c r="GI21229" s="422"/>
    </row>
    <row r="21230" spans="191:191" x14ac:dyDescent="0.2">
      <c r="GI21230" s="422"/>
    </row>
    <row r="21231" spans="191:191" x14ac:dyDescent="0.2">
      <c r="GI21231" s="422"/>
    </row>
    <row r="21232" spans="191:191" x14ac:dyDescent="0.2">
      <c r="GI21232" s="422"/>
    </row>
    <row r="21233" spans="191:191" x14ac:dyDescent="0.2">
      <c r="GI21233" s="422"/>
    </row>
    <row r="21234" spans="191:191" x14ac:dyDescent="0.2">
      <c r="GI21234" s="422"/>
    </row>
    <row r="21235" spans="191:191" x14ac:dyDescent="0.2">
      <c r="GI21235" s="422"/>
    </row>
    <row r="21236" spans="191:191" x14ac:dyDescent="0.2">
      <c r="GI21236" s="422"/>
    </row>
    <row r="21237" spans="191:191" x14ac:dyDescent="0.2">
      <c r="GI21237" s="422"/>
    </row>
    <row r="21238" spans="191:191" x14ac:dyDescent="0.2">
      <c r="GI21238" s="422"/>
    </row>
    <row r="21239" spans="191:191" x14ac:dyDescent="0.2">
      <c r="GI21239" s="422"/>
    </row>
    <row r="21240" spans="191:191" x14ac:dyDescent="0.2">
      <c r="GI21240" s="422"/>
    </row>
    <row r="21241" spans="191:191" x14ac:dyDescent="0.2">
      <c r="GI21241" s="422"/>
    </row>
    <row r="21242" spans="191:191" x14ac:dyDescent="0.2">
      <c r="GI21242" s="422"/>
    </row>
    <row r="21243" spans="191:191" x14ac:dyDescent="0.2">
      <c r="GI21243" s="422"/>
    </row>
    <row r="21244" spans="191:191" x14ac:dyDescent="0.2">
      <c r="GI21244" s="422"/>
    </row>
    <row r="21245" spans="191:191" x14ac:dyDescent="0.2">
      <c r="GI21245" s="422"/>
    </row>
    <row r="21246" spans="191:191" x14ac:dyDescent="0.2">
      <c r="GI21246" s="422"/>
    </row>
    <row r="21247" spans="191:191" x14ac:dyDescent="0.2">
      <c r="GI21247" s="422"/>
    </row>
    <row r="21248" spans="191:191" x14ac:dyDescent="0.2">
      <c r="GI21248" s="422"/>
    </row>
    <row r="21249" spans="191:191" x14ac:dyDescent="0.2">
      <c r="GI21249" s="422"/>
    </row>
    <row r="21250" spans="191:191" x14ac:dyDescent="0.2">
      <c r="GI21250" s="422"/>
    </row>
    <row r="21251" spans="191:191" x14ac:dyDescent="0.2">
      <c r="GI21251" s="422"/>
    </row>
    <row r="21252" spans="191:191" x14ac:dyDescent="0.2">
      <c r="GI21252" s="422"/>
    </row>
    <row r="21253" spans="191:191" x14ac:dyDescent="0.2">
      <c r="GI21253" s="422"/>
    </row>
    <row r="21254" spans="191:191" x14ac:dyDescent="0.2">
      <c r="GI21254" s="422"/>
    </row>
    <row r="21255" spans="191:191" x14ac:dyDescent="0.2">
      <c r="GI21255" s="422"/>
    </row>
    <row r="21256" spans="191:191" x14ac:dyDescent="0.2">
      <c r="GI21256" s="422"/>
    </row>
    <row r="21257" spans="191:191" x14ac:dyDescent="0.2">
      <c r="GI21257" s="422"/>
    </row>
    <row r="21258" spans="191:191" x14ac:dyDescent="0.2">
      <c r="GI21258" s="422"/>
    </row>
    <row r="21259" spans="191:191" x14ac:dyDescent="0.2">
      <c r="GI21259" s="422"/>
    </row>
    <row r="21260" spans="191:191" x14ac:dyDescent="0.2">
      <c r="GI21260" s="422"/>
    </row>
    <row r="21261" spans="191:191" x14ac:dyDescent="0.2">
      <c r="GI21261" s="422"/>
    </row>
    <row r="21262" spans="191:191" x14ac:dyDescent="0.2">
      <c r="GI21262" s="422"/>
    </row>
    <row r="21263" spans="191:191" x14ac:dyDescent="0.2">
      <c r="GI21263" s="422"/>
    </row>
    <row r="21264" spans="191:191" x14ac:dyDescent="0.2">
      <c r="GI21264" s="422"/>
    </row>
    <row r="21265" spans="191:191" x14ac:dyDescent="0.2">
      <c r="GI21265" s="422"/>
    </row>
    <row r="21266" spans="191:191" x14ac:dyDescent="0.2">
      <c r="GI21266" s="422"/>
    </row>
    <row r="21267" spans="191:191" x14ac:dyDescent="0.2">
      <c r="GI21267" s="422"/>
    </row>
    <row r="21268" spans="191:191" x14ac:dyDescent="0.2">
      <c r="GI21268" s="422"/>
    </row>
    <row r="21269" spans="191:191" x14ac:dyDescent="0.2">
      <c r="GI21269" s="422"/>
    </row>
    <row r="21270" spans="191:191" x14ac:dyDescent="0.2">
      <c r="GI21270" s="422"/>
    </row>
    <row r="21271" spans="191:191" x14ac:dyDescent="0.2">
      <c r="GI21271" s="422"/>
    </row>
    <row r="21272" spans="191:191" x14ac:dyDescent="0.2">
      <c r="GI21272" s="422"/>
    </row>
    <row r="21273" spans="191:191" x14ac:dyDescent="0.2">
      <c r="GI21273" s="422"/>
    </row>
    <row r="21274" spans="191:191" x14ac:dyDescent="0.2">
      <c r="GI21274" s="422"/>
    </row>
    <row r="21275" spans="191:191" x14ac:dyDescent="0.2">
      <c r="GI21275" s="422"/>
    </row>
    <row r="21276" spans="191:191" x14ac:dyDescent="0.2">
      <c r="GI21276" s="422"/>
    </row>
    <row r="21277" spans="191:191" x14ac:dyDescent="0.2">
      <c r="GI21277" s="422"/>
    </row>
    <row r="21278" spans="191:191" x14ac:dyDescent="0.2">
      <c r="GI21278" s="422"/>
    </row>
    <row r="21279" spans="191:191" x14ac:dyDescent="0.2">
      <c r="GI21279" s="422"/>
    </row>
    <row r="21280" spans="191:191" x14ac:dyDescent="0.2">
      <c r="GI21280" s="422"/>
    </row>
    <row r="21281" spans="191:191" x14ac:dyDescent="0.2">
      <c r="GI21281" s="422"/>
    </row>
    <row r="21282" spans="191:191" x14ac:dyDescent="0.2">
      <c r="GI21282" s="422"/>
    </row>
    <row r="21283" spans="191:191" x14ac:dyDescent="0.2">
      <c r="GI21283" s="422"/>
    </row>
    <row r="21284" spans="191:191" x14ac:dyDescent="0.2">
      <c r="GI21284" s="422"/>
    </row>
    <row r="21285" spans="191:191" x14ac:dyDescent="0.2">
      <c r="GI21285" s="422"/>
    </row>
    <row r="21286" spans="191:191" x14ac:dyDescent="0.2">
      <c r="GI21286" s="422"/>
    </row>
    <row r="21287" spans="191:191" x14ac:dyDescent="0.2">
      <c r="GI21287" s="422"/>
    </row>
    <row r="21288" spans="191:191" x14ac:dyDescent="0.2">
      <c r="GI21288" s="422"/>
    </row>
    <row r="21289" spans="191:191" x14ac:dyDescent="0.2">
      <c r="GI21289" s="422"/>
    </row>
    <row r="21290" spans="191:191" x14ac:dyDescent="0.2">
      <c r="GI21290" s="422"/>
    </row>
    <row r="21291" spans="191:191" x14ac:dyDescent="0.2">
      <c r="GI21291" s="422"/>
    </row>
    <row r="21292" spans="191:191" x14ac:dyDescent="0.2">
      <c r="GI21292" s="422"/>
    </row>
    <row r="21293" spans="191:191" x14ac:dyDescent="0.2">
      <c r="GI21293" s="422"/>
    </row>
    <row r="21294" spans="191:191" x14ac:dyDescent="0.2">
      <c r="GI21294" s="422"/>
    </row>
    <row r="21295" spans="191:191" x14ac:dyDescent="0.2">
      <c r="GI21295" s="422"/>
    </row>
    <row r="21296" spans="191:191" x14ac:dyDescent="0.2">
      <c r="GI21296" s="422"/>
    </row>
    <row r="21297" spans="191:191" x14ac:dyDescent="0.2">
      <c r="GI21297" s="422"/>
    </row>
    <row r="21298" spans="191:191" x14ac:dyDescent="0.2">
      <c r="GI21298" s="422"/>
    </row>
    <row r="21299" spans="191:191" x14ac:dyDescent="0.2">
      <c r="GI21299" s="422"/>
    </row>
    <row r="21300" spans="191:191" x14ac:dyDescent="0.2">
      <c r="GI21300" s="422"/>
    </row>
    <row r="21301" spans="191:191" x14ac:dyDescent="0.2">
      <c r="GI21301" s="422"/>
    </row>
    <row r="21302" spans="191:191" x14ac:dyDescent="0.2">
      <c r="GI21302" s="422"/>
    </row>
    <row r="21303" spans="191:191" x14ac:dyDescent="0.2">
      <c r="GI21303" s="422"/>
    </row>
    <row r="21304" spans="191:191" x14ac:dyDescent="0.2">
      <c r="GI21304" s="422"/>
    </row>
    <row r="21305" spans="191:191" x14ac:dyDescent="0.2">
      <c r="GI21305" s="422"/>
    </row>
    <row r="21306" spans="191:191" x14ac:dyDescent="0.2">
      <c r="GI21306" s="422"/>
    </row>
    <row r="21307" spans="191:191" x14ac:dyDescent="0.2">
      <c r="GI21307" s="422"/>
    </row>
    <row r="21308" spans="191:191" x14ac:dyDescent="0.2">
      <c r="GI21308" s="422"/>
    </row>
    <row r="21309" spans="191:191" x14ac:dyDescent="0.2">
      <c r="GI21309" s="422"/>
    </row>
    <row r="21310" spans="191:191" x14ac:dyDescent="0.2">
      <c r="GI21310" s="422"/>
    </row>
    <row r="21311" spans="191:191" x14ac:dyDescent="0.2">
      <c r="GI21311" s="422"/>
    </row>
    <row r="21312" spans="191:191" x14ac:dyDescent="0.2">
      <c r="GI21312" s="422"/>
    </row>
    <row r="21313" spans="191:191" x14ac:dyDescent="0.2">
      <c r="GI21313" s="422"/>
    </row>
    <row r="21314" spans="191:191" x14ac:dyDescent="0.2">
      <c r="GI21314" s="422"/>
    </row>
    <row r="21315" spans="191:191" x14ac:dyDescent="0.2">
      <c r="GI21315" s="422"/>
    </row>
    <row r="21316" spans="191:191" x14ac:dyDescent="0.2">
      <c r="GI21316" s="422"/>
    </row>
    <row r="21317" spans="191:191" x14ac:dyDescent="0.2">
      <c r="GI21317" s="422"/>
    </row>
    <row r="21318" spans="191:191" x14ac:dyDescent="0.2">
      <c r="GI21318" s="422"/>
    </row>
    <row r="21319" spans="191:191" x14ac:dyDescent="0.2">
      <c r="GI21319" s="422"/>
    </row>
    <row r="21320" spans="191:191" x14ac:dyDescent="0.2">
      <c r="GI21320" s="422"/>
    </row>
    <row r="21321" spans="191:191" x14ac:dyDescent="0.2">
      <c r="GI21321" s="422"/>
    </row>
    <row r="21322" spans="191:191" x14ac:dyDescent="0.2">
      <c r="GI21322" s="422"/>
    </row>
    <row r="21323" spans="191:191" x14ac:dyDescent="0.2">
      <c r="GI21323" s="422"/>
    </row>
    <row r="21324" spans="191:191" x14ac:dyDescent="0.2">
      <c r="GI21324" s="422"/>
    </row>
    <row r="21325" spans="191:191" x14ac:dyDescent="0.2">
      <c r="GI21325" s="422"/>
    </row>
    <row r="21326" spans="191:191" x14ac:dyDescent="0.2">
      <c r="GI21326" s="422"/>
    </row>
    <row r="21327" spans="191:191" x14ac:dyDescent="0.2">
      <c r="GI21327" s="422"/>
    </row>
    <row r="21328" spans="191:191" x14ac:dyDescent="0.2">
      <c r="GI21328" s="422"/>
    </row>
    <row r="21329" spans="191:191" x14ac:dyDescent="0.2">
      <c r="GI21329" s="422"/>
    </row>
    <row r="21330" spans="191:191" x14ac:dyDescent="0.2">
      <c r="GI21330" s="422"/>
    </row>
    <row r="21331" spans="191:191" x14ac:dyDescent="0.2">
      <c r="GI21331" s="422"/>
    </row>
    <row r="21332" spans="191:191" x14ac:dyDescent="0.2">
      <c r="GI21332" s="422"/>
    </row>
    <row r="21333" spans="191:191" x14ac:dyDescent="0.2">
      <c r="GI21333" s="422"/>
    </row>
    <row r="21334" spans="191:191" x14ac:dyDescent="0.2">
      <c r="GI21334" s="422"/>
    </row>
    <row r="21335" spans="191:191" x14ac:dyDescent="0.2">
      <c r="GI21335" s="422"/>
    </row>
    <row r="21336" spans="191:191" x14ac:dyDescent="0.2">
      <c r="GI21336" s="422"/>
    </row>
    <row r="21337" spans="191:191" x14ac:dyDescent="0.2">
      <c r="GI21337" s="422"/>
    </row>
    <row r="21338" spans="191:191" x14ac:dyDescent="0.2">
      <c r="GI21338" s="422"/>
    </row>
    <row r="21339" spans="191:191" x14ac:dyDescent="0.2">
      <c r="GI21339" s="422"/>
    </row>
    <row r="21340" spans="191:191" x14ac:dyDescent="0.2">
      <c r="GI21340" s="422"/>
    </row>
    <row r="21341" spans="191:191" x14ac:dyDescent="0.2">
      <c r="GI21341" s="422"/>
    </row>
    <row r="21342" spans="191:191" x14ac:dyDescent="0.2">
      <c r="GI21342" s="422"/>
    </row>
    <row r="21343" spans="191:191" x14ac:dyDescent="0.2">
      <c r="GI21343" s="422"/>
    </row>
    <row r="21344" spans="191:191" x14ac:dyDescent="0.2">
      <c r="GI21344" s="422"/>
    </row>
    <row r="21345" spans="191:191" x14ac:dyDescent="0.2">
      <c r="GI21345" s="422"/>
    </row>
    <row r="21346" spans="191:191" x14ac:dyDescent="0.2">
      <c r="GI21346" s="422"/>
    </row>
    <row r="21347" spans="191:191" x14ac:dyDescent="0.2">
      <c r="GI21347" s="422"/>
    </row>
    <row r="21348" spans="191:191" x14ac:dyDescent="0.2">
      <c r="GI21348" s="422"/>
    </row>
    <row r="21349" spans="191:191" x14ac:dyDescent="0.2">
      <c r="GI21349" s="422"/>
    </row>
    <row r="21350" spans="191:191" x14ac:dyDescent="0.2">
      <c r="GI21350" s="422"/>
    </row>
    <row r="21351" spans="191:191" x14ac:dyDescent="0.2">
      <c r="GI21351" s="422"/>
    </row>
    <row r="21352" spans="191:191" x14ac:dyDescent="0.2">
      <c r="GI21352" s="422"/>
    </row>
    <row r="21353" spans="191:191" x14ac:dyDescent="0.2">
      <c r="GI21353" s="422"/>
    </row>
    <row r="21354" spans="191:191" x14ac:dyDescent="0.2">
      <c r="GI21354" s="422"/>
    </row>
    <row r="21355" spans="191:191" x14ac:dyDescent="0.2">
      <c r="GI21355" s="422"/>
    </row>
    <row r="21356" spans="191:191" x14ac:dyDescent="0.2">
      <c r="GI21356" s="422"/>
    </row>
    <row r="21357" spans="191:191" x14ac:dyDescent="0.2">
      <c r="GI21357" s="422"/>
    </row>
    <row r="21358" spans="191:191" x14ac:dyDescent="0.2">
      <c r="GI21358" s="422"/>
    </row>
    <row r="21359" spans="191:191" x14ac:dyDescent="0.2">
      <c r="GI21359" s="422"/>
    </row>
    <row r="21360" spans="191:191" x14ac:dyDescent="0.2">
      <c r="GI21360" s="422"/>
    </row>
    <row r="21361" spans="191:191" x14ac:dyDescent="0.2">
      <c r="GI21361" s="422"/>
    </row>
    <row r="21362" spans="191:191" x14ac:dyDescent="0.2">
      <c r="GI21362" s="422"/>
    </row>
    <row r="21363" spans="191:191" x14ac:dyDescent="0.2">
      <c r="GI21363" s="422"/>
    </row>
    <row r="21364" spans="191:191" x14ac:dyDescent="0.2">
      <c r="GI21364" s="422"/>
    </row>
    <row r="21365" spans="191:191" x14ac:dyDescent="0.2">
      <c r="GI21365" s="422"/>
    </row>
    <row r="21366" spans="191:191" x14ac:dyDescent="0.2">
      <c r="GI21366" s="422"/>
    </row>
    <row r="21367" spans="191:191" x14ac:dyDescent="0.2">
      <c r="GI21367" s="422"/>
    </row>
    <row r="21368" spans="191:191" x14ac:dyDescent="0.2">
      <c r="GI21368" s="422"/>
    </row>
    <row r="21369" spans="191:191" x14ac:dyDescent="0.2">
      <c r="GI21369" s="422"/>
    </row>
    <row r="21370" spans="191:191" x14ac:dyDescent="0.2">
      <c r="GI21370" s="422"/>
    </row>
    <row r="21371" spans="191:191" x14ac:dyDescent="0.2">
      <c r="GI21371" s="422"/>
    </row>
    <row r="21372" spans="191:191" x14ac:dyDescent="0.2">
      <c r="GI21372" s="422"/>
    </row>
    <row r="21373" spans="191:191" x14ac:dyDescent="0.2">
      <c r="GI21373" s="422"/>
    </row>
    <row r="21374" spans="191:191" x14ac:dyDescent="0.2">
      <c r="GI21374" s="422"/>
    </row>
    <row r="21375" spans="191:191" x14ac:dyDescent="0.2">
      <c r="GI21375" s="422"/>
    </row>
    <row r="21376" spans="191:191" x14ac:dyDescent="0.2">
      <c r="GI21376" s="422"/>
    </row>
    <row r="21377" spans="191:191" x14ac:dyDescent="0.2">
      <c r="GI21377" s="422"/>
    </row>
    <row r="21378" spans="191:191" x14ac:dyDescent="0.2">
      <c r="GI21378" s="422"/>
    </row>
    <row r="21379" spans="191:191" x14ac:dyDescent="0.2">
      <c r="GI21379" s="422"/>
    </row>
    <row r="21380" spans="191:191" x14ac:dyDescent="0.2">
      <c r="GI21380" s="422"/>
    </row>
    <row r="21381" spans="191:191" x14ac:dyDescent="0.2">
      <c r="GI21381" s="422"/>
    </row>
    <row r="21382" spans="191:191" x14ac:dyDescent="0.2">
      <c r="GI21382" s="422"/>
    </row>
    <row r="21383" spans="191:191" x14ac:dyDescent="0.2">
      <c r="GI21383" s="422"/>
    </row>
    <row r="21384" spans="191:191" x14ac:dyDescent="0.2">
      <c r="GI21384" s="422"/>
    </row>
    <row r="21385" spans="191:191" x14ac:dyDescent="0.2">
      <c r="GI21385" s="422"/>
    </row>
    <row r="21386" spans="191:191" x14ac:dyDescent="0.2">
      <c r="GI21386" s="422"/>
    </row>
    <row r="21387" spans="191:191" x14ac:dyDescent="0.2">
      <c r="GI21387" s="422"/>
    </row>
    <row r="21388" spans="191:191" x14ac:dyDescent="0.2">
      <c r="GI21388" s="422"/>
    </row>
    <row r="21389" spans="191:191" x14ac:dyDescent="0.2">
      <c r="GI21389" s="422"/>
    </row>
    <row r="21390" spans="191:191" x14ac:dyDescent="0.2">
      <c r="GI21390" s="422"/>
    </row>
    <row r="21391" spans="191:191" x14ac:dyDescent="0.2">
      <c r="GI21391" s="422"/>
    </row>
    <row r="21392" spans="191:191" x14ac:dyDescent="0.2">
      <c r="GI21392" s="422"/>
    </row>
    <row r="21393" spans="191:191" x14ac:dyDescent="0.2">
      <c r="GI21393" s="422"/>
    </row>
    <row r="21394" spans="191:191" x14ac:dyDescent="0.2">
      <c r="GI21394" s="422"/>
    </row>
    <row r="21395" spans="191:191" x14ac:dyDescent="0.2">
      <c r="GI21395" s="422"/>
    </row>
    <row r="21396" spans="191:191" x14ac:dyDescent="0.2">
      <c r="GI21396" s="422"/>
    </row>
    <row r="21397" spans="191:191" x14ac:dyDescent="0.2">
      <c r="GI21397" s="422"/>
    </row>
    <row r="21398" spans="191:191" x14ac:dyDescent="0.2">
      <c r="GI21398" s="422"/>
    </row>
    <row r="21399" spans="191:191" x14ac:dyDescent="0.2">
      <c r="GI21399" s="422"/>
    </row>
    <row r="21400" spans="191:191" x14ac:dyDescent="0.2">
      <c r="GI21400" s="422"/>
    </row>
    <row r="21401" spans="191:191" x14ac:dyDescent="0.2">
      <c r="GI21401" s="422"/>
    </row>
    <row r="21402" spans="191:191" x14ac:dyDescent="0.2">
      <c r="GI21402" s="422"/>
    </row>
    <row r="21403" spans="191:191" x14ac:dyDescent="0.2">
      <c r="GI21403" s="422"/>
    </row>
    <row r="21404" spans="191:191" x14ac:dyDescent="0.2">
      <c r="GI21404" s="422"/>
    </row>
    <row r="21405" spans="191:191" x14ac:dyDescent="0.2">
      <c r="GI21405" s="422"/>
    </row>
    <row r="21406" spans="191:191" x14ac:dyDescent="0.2">
      <c r="GI21406" s="422"/>
    </row>
    <row r="21407" spans="191:191" x14ac:dyDescent="0.2">
      <c r="GI21407" s="422"/>
    </row>
    <row r="21408" spans="191:191" x14ac:dyDescent="0.2">
      <c r="GI21408" s="422"/>
    </row>
    <row r="21409" spans="191:191" x14ac:dyDescent="0.2">
      <c r="GI21409" s="422"/>
    </row>
    <row r="21410" spans="191:191" x14ac:dyDescent="0.2">
      <c r="GI21410" s="422"/>
    </row>
    <row r="21411" spans="191:191" x14ac:dyDescent="0.2">
      <c r="GI21411" s="422"/>
    </row>
    <row r="21412" spans="191:191" x14ac:dyDescent="0.2">
      <c r="GI21412" s="422"/>
    </row>
    <row r="21413" spans="191:191" x14ac:dyDescent="0.2">
      <c r="GI21413" s="422"/>
    </row>
    <row r="21414" spans="191:191" x14ac:dyDescent="0.2">
      <c r="GI21414" s="422"/>
    </row>
    <row r="21415" spans="191:191" x14ac:dyDescent="0.2">
      <c r="GI21415" s="422"/>
    </row>
    <row r="21416" spans="191:191" x14ac:dyDescent="0.2">
      <c r="GI21416" s="422"/>
    </row>
    <row r="21417" spans="191:191" x14ac:dyDescent="0.2">
      <c r="GI21417" s="422"/>
    </row>
    <row r="21418" spans="191:191" x14ac:dyDescent="0.2">
      <c r="GI21418" s="422"/>
    </row>
    <row r="21419" spans="191:191" x14ac:dyDescent="0.2">
      <c r="GI21419" s="422"/>
    </row>
    <row r="21420" spans="191:191" x14ac:dyDescent="0.2">
      <c r="GI21420" s="422"/>
    </row>
    <row r="21421" spans="191:191" x14ac:dyDescent="0.2">
      <c r="GI21421" s="422"/>
    </row>
    <row r="21422" spans="191:191" x14ac:dyDescent="0.2">
      <c r="GI21422" s="422"/>
    </row>
    <row r="21423" spans="191:191" x14ac:dyDescent="0.2">
      <c r="GI21423" s="422"/>
    </row>
    <row r="21424" spans="191:191" x14ac:dyDescent="0.2">
      <c r="GI21424" s="422"/>
    </row>
    <row r="21425" spans="191:191" x14ac:dyDescent="0.2">
      <c r="GI21425" s="422"/>
    </row>
    <row r="21426" spans="191:191" x14ac:dyDescent="0.2">
      <c r="GI21426" s="422"/>
    </row>
    <row r="21427" spans="191:191" x14ac:dyDescent="0.2">
      <c r="GI21427" s="422"/>
    </row>
    <row r="21428" spans="191:191" x14ac:dyDescent="0.2">
      <c r="GI21428" s="422"/>
    </row>
    <row r="21429" spans="191:191" x14ac:dyDescent="0.2">
      <c r="GI21429" s="422"/>
    </row>
    <row r="21430" spans="191:191" x14ac:dyDescent="0.2">
      <c r="GI21430" s="422"/>
    </row>
    <row r="21431" spans="191:191" x14ac:dyDescent="0.2">
      <c r="GI21431" s="422"/>
    </row>
    <row r="21432" spans="191:191" x14ac:dyDescent="0.2">
      <c r="GI21432" s="422"/>
    </row>
    <row r="21433" spans="191:191" x14ac:dyDescent="0.2">
      <c r="GI21433" s="422"/>
    </row>
    <row r="21434" spans="191:191" x14ac:dyDescent="0.2">
      <c r="GI21434" s="422"/>
    </row>
    <row r="21435" spans="191:191" x14ac:dyDescent="0.2">
      <c r="GI21435" s="422"/>
    </row>
    <row r="21436" spans="191:191" x14ac:dyDescent="0.2">
      <c r="GI21436" s="422"/>
    </row>
    <row r="21437" spans="191:191" x14ac:dyDescent="0.2">
      <c r="GI21437" s="422"/>
    </row>
    <row r="21438" spans="191:191" x14ac:dyDescent="0.2">
      <c r="GI21438" s="422"/>
    </row>
    <row r="21439" spans="191:191" x14ac:dyDescent="0.2">
      <c r="GI21439" s="422"/>
    </row>
    <row r="21440" spans="191:191" x14ac:dyDescent="0.2">
      <c r="GI21440" s="422"/>
    </row>
    <row r="21441" spans="191:191" x14ac:dyDescent="0.2">
      <c r="GI21441" s="422"/>
    </row>
    <row r="21442" spans="191:191" x14ac:dyDescent="0.2">
      <c r="GI21442" s="422"/>
    </row>
    <row r="21443" spans="191:191" x14ac:dyDescent="0.2">
      <c r="GI21443" s="422"/>
    </row>
    <row r="21444" spans="191:191" x14ac:dyDescent="0.2">
      <c r="GI21444" s="422"/>
    </row>
    <row r="21445" spans="191:191" x14ac:dyDescent="0.2">
      <c r="GI21445" s="422"/>
    </row>
    <row r="21446" spans="191:191" x14ac:dyDescent="0.2">
      <c r="GI21446" s="422"/>
    </row>
    <row r="21447" spans="191:191" x14ac:dyDescent="0.2">
      <c r="GI21447" s="422"/>
    </row>
    <row r="21448" spans="191:191" x14ac:dyDescent="0.2">
      <c r="GI21448" s="422"/>
    </row>
    <row r="21449" spans="191:191" x14ac:dyDescent="0.2">
      <c r="GI21449" s="422"/>
    </row>
    <row r="21450" spans="191:191" x14ac:dyDescent="0.2">
      <c r="GI21450" s="422"/>
    </row>
    <row r="21451" spans="191:191" x14ac:dyDescent="0.2">
      <c r="GI21451" s="422"/>
    </row>
    <row r="21452" spans="191:191" x14ac:dyDescent="0.2">
      <c r="GI21452" s="422"/>
    </row>
    <row r="21453" spans="191:191" x14ac:dyDescent="0.2">
      <c r="GI21453" s="422"/>
    </row>
    <row r="21454" spans="191:191" x14ac:dyDescent="0.2">
      <c r="GI21454" s="422"/>
    </row>
    <row r="21455" spans="191:191" x14ac:dyDescent="0.2">
      <c r="GI21455" s="422"/>
    </row>
    <row r="21456" spans="191:191" x14ac:dyDescent="0.2">
      <c r="GI21456" s="422"/>
    </row>
    <row r="21457" spans="191:191" x14ac:dyDescent="0.2">
      <c r="GI21457" s="422"/>
    </row>
    <row r="21458" spans="191:191" x14ac:dyDescent="0.2">
      <c r="GI21458" s="422"/>
    </row>
    <row r="21459" spans="191:191" x14ac:dyDescent="0.2">
      <c r="GI21459" s="422"/>
    </row>
    <row r="21460" spans="191:191" x14ac:dyDescent="0.2">
      <c r="GI21460" s="422"/>
    </row>
    <row r="21461" spans="191:191" x14ac:dyDescent="0.2">
      <c r="GI21461" s="422"/>
    </row>
    <row r="21462" spans="191:191" x14ac:dyDescent="0.2">
      <c r="GI21462" s="422"/>
    </row>
    <row r="21463" spans="191:191" x14ac:dyDescent="0.2">
      <c r="GI21463" s="422"/>
    </row>
    <row r="21464" spans="191:191" x14ac:dyDescent="0.2">
      <c r="GI21464" s="422"/>
    </row>
    <row r="21465" spans="191:191" x14ac:dyDescent="0.2">
      <c r="GI21465" s="422"/>
    </row>
    <row r="21466" spans="191:191" x14ac:dyDescent="0.2">
      <c r="GI21466" s="422"/>
    </row>
    <row r="21467" spans="191:191" x14ac:dyDescent="0.2">
      <c r="GI21467" s="422"/>
    </row>
    <row r="21468" spans="191:191" x14ac:dyDescent="0.2">
      <c r="GI21468" s="422"/>
    </row>
    <row r="21469" spans="191:191" x14ac:dyDescent="0.2">
      <c r="GI21469" s="422"/>
    </row>
    <row r="21470" spans="191:191" x14ac:dyDescent="0.2">
      <c r="GI21470" s="422"/>
    </row>
    <row r="21471" spans="191:191" x14ac:dyDescent="0.2">
      <c r="GI21471" s="422"/>
    </row>
    <row r="21472" spans="191:191" x14ac:dyDescent="0.2">
      <c r="GI21472" s="422"/>
    </row>
    <row r="21473" spans="191:191" x14ac:dyDescent="0.2">
      <c r="GI21473" s="422"/>
    </row>
    <row r="21474" spans="191:191" x14ac:dyDescent="0.2">
      <c r="GI21474" s="422"/>
    </row>
    <row r="21475" spans="191:191" x14ac:dyDescent="0.2">
      <c r="GI21475" s="422"/>
    </row>
    <row r="21476" spans="191:191" x14ac:dyDescent="0.2">
      <c r="GI21476" s="422"/>
    </row>
    <row r="21477" spans="191:191" x14ac:dyDescent="0.2">
      <c r="GI21477" s="422"/>
    </row>
    <row r="21478" spans="191:191" x14ac:dyDescent="0.2">
      <c r="GI21478" s="422"/>
    </row>
    <row r="21479" spans="191:191" x14ac:dyDescent="0.2">
      <c r="GI21479" s="422"/>
    </row>
    <row r="21480" spans="191:191" x14ac:dyDescent="0.2">
      <c r="GI21480" s="422"/>
    </row>
    <row r="21481" spans="191:191" x14ac:dyDescent="0.2">
      <c r="GI21481" s="422"/>
    </row>
    <row r="21482" spans="191:191" x14ac:dyDescent="0.2">
      <c r="GI21482" s="422"/>
    </row>
    <row r="21483" spans="191:191" x14ac:dyDescent="0.2">
      <c r="GI21483" s="422"/>
    </row>
    <row r="21484" spans="191:191" x14ac:dyDescent="0.2">
      <c r="GI21484" s="422"/>
    </row>
    <row r="21485" spans="191:191" x14ac:dyDescent="0.2">
      <c r="GI21485" s="422"/>
    </row>
    <row r="21486" spans="191:191" x14ac:dyDescent="0.2">
      <c r="GI21486" s="422"/>
    </row>
    <row r="21487" spans="191:191" x14ac:dyDescent="0.2">
      <c r="GI21487" s="422"/>
    </row>
    <row r="21488" spans="191:191" x14ac:dyDescent="0.2">
      <c r="GI21488" s="422"/>
    </row>
    <row r="21489" spans="191:191" x14ac:dyDescent="0.2">
      <c r="GI21489" s="422"/>
    </row>
    <row r="21490" spans="191:191" x14ac:dyDescent="0.2">
      <c r="GI21490" s="422"/>
    </row>
    <row r="21491" spans="191:191" x14ac:dyDescent="0.2">
      <c r="GI21491" s="422"/>
    </row>
    <row r="21492" spans="191:191" x14ac:dyDescent="0.2">
      <c r="GI21492" s="422"/>
    </row>
    <row r="21493" spans="191:191" x14ac:dyDescent="0.2">
      <c r="GI21493" s="422"/>
    </row>
    <row r="21494" spans="191:191" x14ac:dyDescent="0.2">
      <c r="GI21494" s="422"/>
    </row>
    <row r="21495" spans="191:191" x14ac:dyDescent="0.2">
      <c r="GI21495" s="422"/>
    </row>
    <row r="21496" spans="191:191" x14ac:dyDescent="0.2">
      <c r="GI21496" s="422"/>
    </row>
    <row r="21497" spans="191:191" x14ac:dyDescent="0.2">
      <c r="GI21497" s="422"/>
    </row>
    <row r="21498" spans="191:191" x14ac:dyDescent="0.2">
      <c r="GI21498" s="422"/>
    </row>
    <row r="21499" spans="191:191" x14ac:dyDescent="0.2">
      <c r="GI21499" s="422"/>
    </row>
    <row r="21500" spans="191:191" x14ac:dyDescent="0.2">
      <c r="GI21500" s="422"/>
    </row>
    <row r="21501" spans="191:191" x14ac:dyDescent="0.2">
      <c r="GI21501" s="422"/>
    </row>
    <row r="21502" spans="191:191" x14ac:dyDescent="0.2">
      <c r="GI21502" s="422"/>
    </row>
    <row r="21503" spans="191:191" x14ac:dyDescent="0.2">
      <c r="GI21503" s="422"/>
    </row>
    <row r="21504" spans="191:191" x14ac:dyDescent="0.2">
      <c r="GI21504" s="422"/>
    </row>
    <row r="21505" spans="191:191" x14ac:dyDescent="0.2">
      <c r="GI21505" s="422"/>
    </row>
    <row r="21506" spans="191:191" x14ac:dyDescent="0.2">
      <c r="GI21506" s="422"/>
    </row>
    <row r="21507" spans="191:191" x14ac:dyDescent="0.2">
      <c r="GI21507" s="422"/>
    </row>
    <row r="21508" spans="191:191" x14ac:dyDescent="0.2">
      <c r="GI21508" s="422"/>
    </row>
    <row r="21509" spans="191:191" x14ac:dyDescent="0.2">
      <c r="GI21509" s="422"/>
    </row>
    <row r="21510" spans="191:191" x14ac:dyDescent="0.2">
      <c r="GI21510" s="422"/>
    </row>
    <row r="21511" spans="191:191" x14ac:dyDescent="0.2">
      <c r="GI21511" s="422"/>
    </row>
    <row r="21512" spans="191:191" x14ac:dyDescent="0.2">
      <c r="GI21512" s="422"/>
    </row>
    <row r="21513" spans="191:191" x14ac:dyDescent="0.2">
      <c r="GI21513" s="422"/>
    </row>
    <row r="21514" spans="191:191" x14ac:dyDescent="0.2">
      <c r="GI21514" s="422"/>
    </row>
    <row r="21515" spans="191:191" x14ac:dyDescent="0.2">
      <c r="GI21515" s="422"/>
    </row>
    <row r="21516" spans="191:191" x14ac:dyDescent="0.2">
      <c r="GI21516" s="422"/>
    </row>
    <row r="21517" spans="191:191" x14ac:dyDescent="0.2">
      <c r="GI21517" s="422"/>
    </row>
    <row r="21518" spans="191:191" x14ac:dyDescent="0.2">
      <c r="GI21518" s="422"/>
    </row>
    <row r="21519" spans="191:191" x14ac:dyDescent="0.2">
      <c r="GI21519" s="422"/>
    </row>
    <row r="21520" spans="191:191" x14ac:dyDescent="0.2">
      <c r="GI21520" s="422"/>
    </row>
    <row r="21521" spans="191:191" x14ac:dyDescent="0.2">
      <c r="GI21521" s="422"/>
    </row>
    <row r="21522" spans="191:191" x14ac:dyDescent="0.2">
      <c r="GI21522" s="422"/>
    </row>
    <row r="21523" spans="191:191" x14ac:dyDescent="0.2">
      <c r="GI21523" s="422"/>
    </row>
    <row r="21524" spans="191:191" x14ac:dyDescent="0.2">
      <c r="GI21524" s="422"/>
    </row>
    <row r="21525" spans="191:191" x14ac:dyDescent="0.2">
      <c r="GI21525" s="422"/>
    </row>
    <row r="21526" spans="191:191" x14ac:dyDescent="0.2">
      <c r="GI21526" s="422"/>
    </row>
    <row r="21527" spans="191:191" x14ac:dyDescent="0.2">
      <c r="GI21527" s="422"/>
    </row>
    <row r="21528" spans="191:191" x14ac:dyDescent="0.2">
      <c r="GI21528" s="422"/>
    </row>
    <row r="21529" spans="191:191" x14ac:dyDescent="0.2">
      <c r="GI21529" s="422"/>
    </row>
    <row r="21530" spans="191:191" x14ac:dyDescent="0.2">
      <c r="GI21530" s="422"/>
    </row>
    <row r="21531" spans="191:191" x14ac:dyDescent="0.2">
      <c r="GI21531" s="422"/>
    </row>
    <row r="21532" spans="191:191" x14ac:dyDescent="0.2">
      <c r="GI21532" s="422"/>
    </row>
    <row r="21533" spans="191:191" x14ac:dyDescent="0.2">
      <c r="GI21533" s="422"/>
    </row>
    <row r="21534" spans="191:191" x14ac:dyDescent="0.2">
      <c r="GI21534" s="422"/>
    </row>
    <row r="21535" spans="191:191" x14ac:dyDescent="0.2">
      <c r="GI21535" s="422"/>
    </row>
    <row r="21536" spans="191:191" x14ac:dyDescent="0.2">
      <c r="GI21536" s="422"/>
    </row>
    <row r="21537" spans="191:191" x14ac:dyDescent="0.2">
      <c r="GI21537" s="422"/>
    </row>
    <row r="21538" spans="191:191" x14ac:dyDescent="0.2">
      <c r="GI21538" s="422"/>
    </row>
    <row r="21539" spans="191:191" x14ac:dyDescent="0.2">
      <c r="GI21539" s="422"/>
    </row>
    <row r="21540" spans="191:191" x14ac:dyDescent="0.2">
      <c r="GI21540" s="422"/>
    </row>
    <row r="21541" spans="191:191" x14ac:dyDescent="0.2">
      <c r="GI21541" s="422"/>
    </row>
    <row r="21542" spans="191:191" x14ac:dyDescent="0.2">
      <c r="GI21542" s="422"/>
    </row>
    <row r="21543" spans="191:191" x14ac:dyDescent="0.2">
      <c r="GI21543" s="422"/>
    </row>
    <row r="21544" spans="191:191" x14ac:dyDescent="0.2">
      <c r="GI21544" s="422"/>
    </row>
    <row r="21545" spans="191:191" x14ac:dyDescent="0.2">
      <c r="GI21545" s="422"/>
    </row>
    <row r="21546" spans="191:191" x14ac:dyDescent="0.2">
      <c r="GI21546" s="422"/>
    </row>
    <row r="21547" spans="191:191" x14ac:dyDescent="0.2">
      <c r="GI21547" s="422"/>
    </row>
    <row r="21548" spans="191:191" x14ac:dyDescent="0.2">
      <c r="GI21548" s="422"/>
    </row>
    <row r="21549" spans="191:191" x14ac:dyDescent="0.2">
      <c r="GI21549" s="422"/>
    </row>
    <row r="21550" spans="191:191" x14ac:dyDescent="0.2">
      <c r="GI21550" s="422"/>
    </row>
    <row r="21551" spans="191:191" x14ac:dyDescent="0.2">
      <c r="GI21551" s="422"/>
    </row>
    <row r="21552" spans="191:191" x14ac:dyDescent="0.2">
      <c r="GI21552" s="422"/>
    </row>
    <row r="21553" spans="191:191" x14ac:dyDescent="0.2">
      <c r="GI21553" s="422"/>
    </row>
    <row r="21554" spans="191:191" x14ac:dyDescent="0.2">
      <c r="GI21554" s="422"/>
    </row>
    <row r="21555" spans="191:191" x14ac:dyDescent="0.2">
      <c r="GI21555" s="422"/>
    </row>
    <row r="21556" spans="191:191" x14ac:dyDescent="0.2">
      <c r="GI21556" s="422"/>
    </row>
    <row r="21557" spans="191:191" x14ac:dyDescent="0.2">
      <c r="GI21557" s="422"/>
    </row>
    <row r="21558" spans="191:191" x14ac:dyDescent="0.2">
      <c r="GI21558" s="422"/>
    </row>
    <row r="21559" spans="191:191" x14ac:dyDescent="0.2">
      <c r="GI21559" s="422"/>
    </row>
    <row r="21560" spans="191:191" x14ac:dyDescent="0.2">
      <c r="GI21560" s="422"/>
    </row>
    <row r="21561" spans="191:191" x14ac:dyDescent="0.2">
      <c r="GI21561" s="422"/>
    </row>
    <row r="21562" spans="191:191" x14ac:dyDescent="0.2">
      <c r="GI21562" s="422"/>
    </row>
    <row r="21563" spans="191:191" x14ac:dyDescent="0.2">
      <c r="GI21563" s="422"/>
    </row>
    <row r="21564" spans="191:191" x14ac:dyDescent="0.2">
      <c r="GI21564" s="422"/>
    </row>
    <row r="21565" spans="191:191" x14ac:dyDescent="0.2">
      <c r="GI21565" s="422"/>
    </row>
    <row r="21566" spans="191:191" x14ac:dyDescent="0.2">
      <c r="GI21566" s="422"/>
    </row>
    <row r="21567" spans="191:191" x14ac:dyDescent="0.2">
      <c r="GI21567" s="422"/>
    </row>
    <row r="21568" spans="191:191" x14ac:dyDescent="0.2">
      <c r="GI21568" s="422"/>
    </row>
    <row r="21569" spans="191:191" x14ac:dyDescent="0.2">
      <c r="GI21569" s="422"/>
    </row>
    <row r="21570" spans="191:191" x14ac:dyDescent="0.2">
      <c r="GI21570" s="422"/>
    </row>
    <row r="21571" spans="191:191" x14ac:dyDescent="0.2">
      <c r="GI21571" s="422"/>
    </row>
    <row r="21572" spans="191:191" x14ac:dyDescent="0.2">
      <c r="GI21572" s="422"/>
    </row>
    <row r="21573" spans="191:191" x14ac:dyDescent="0.2">
      <c r="GI21573" s="422"/>
    </row>
    <row r="21574" spans="191:191" x14ac:dyDescent="0.2">
      <c r="GI21574" s="422"/>
    </row>
    <row r="21575" spans="191:191" x14ac:dyDescent="0.2">
      <c r="GI21575" s="422"/>
    </row>
    <row r="21576" spans="191:191" x14ac:dyDescent="0.2">
      <c r="GI21576" s="422"/>
    </row>
    <row r="21577" spans="191:191" x14ac:dyDescent="0.2">
      <c r="GI21577" s="422"/>
    </row>
    <row r="21578" spans="191:191" x14ac:dyDescent="0.2">
      <c r="GI21578" s="422"/>
    </row>
    <row r="21579" spans="191:191" x14ac:dyDescent="0.2">
      <c r="GI21579" s="422"/>
    </row>
    <row r="21580" spans="191:191" x14ac:dyDescent="0.2">
      <c r="GI21580" s="422"/>
    </row>
    <row r="21581" spans="191:191" x14ac:dyDescent="0.2">
      <c r="GI21581" s="422"/>
    </row>
    <row r="21582" spans="191:191" x14ac:dyDescent="0.2">
      <c r="GI21582" s="422"/>
    </row>
    <row r="21583" spans="191:191" x14ac:dyDescent="0.2">
      <c r="GI21583" s="422"/>
    </row>
    <row r="21584" spans="191:191" x14ac:dyDescent="0.2">
      <c r="GI21584" s="422"/>
    </row>
    <row r="21585" spans="191:191" x14ac:dyDescent="0.2">
      <c r="GI21585" s="422"/>
    </row>
    <row r="21586" spans="191:191" x14ac:dyDescent="0.2">
      <c r="GI21586" s="422"/>
    </row>
    <row r="21587" spans="191:191" x14ac:dyDescent="0.2">
      <c r="GI21587" s="422"/>
    </row>
    <row r="21588" spans="191:191" x14ac:dyDescent="0.2">
      <c r="GI21588" s="422"/>
    </row>
    <row r="21589" spans="191:191" x14ac:dyDescent="0.2">
      <c r="GI21589" s="422"/>
    </row>
    <row r="21590" spans="191:191" x14ac:dyDescent="0.2">
      <c r="GI21590" s="422"/>
    </row>
    <row r="21591" spans="191:191" x14ac:dyDescent="0.2">
      <c r="GI21591" s="422"/>
    </row>
    <row r="21592" spans="191:191" x14ac:dyDescent="0.2">
      <c r="GI21592" s="422"/>
    </row>
    <row r="21593" spans="191:191" x14ac:dyDescent="0.2">
      <c r="GI21593" s="422"/>
    </row>
    <row r="21594" spans="191:191" x14ac:dyDescent="0.2">
      <c r="GI21594" s="422"/>
    </row>
    <row r="21595" spans="191:191" x14ac:dyDescent="0.2">
      <c r="GI21595" s="422"/>
    </row>
    <row r="21596" spans="191:191" x14ac:dyDescent="0.2">
      <c r="GI21596" s="422"/>
    </row>
    <row r="21597" spans="191:191" x14ac:dyDescent="0.2">
      <c r="GI21597" s="422"/>
    </row>
    <row r="21598" spans="191:191" x14ac:dyDescent="0.2">
      <c r="GI21598" s="422"/>
    </row>
    <row r="21599" spans="191:191" x14ac:dyDescent="0.2">
      <c r="GI21599" s="422"/>
    </row>
    <row r="21600" spans="191:191" x14ac:dyDescent="0.2">
      <c r="GI21600" s="422"/>
    </row>
    <row r="21601" spans="191:191" x14ac:dyDescent="0.2">
      <c r="GI21601" s="422"/>
    </row>
    <row r="21602" spans="191:191" x14ac:dyDescent="0.2">
      <c r="GI21602" s="422"/>
    </row>
    <row r="21603" spans="191:191" x14ac:dyDescent="0.2">
      <c r="GI21603" s="422"/>
    </row>
    <row r="21604" spans="191:191" x14ac:dyDescent="0.2">
      <c r="GI21604" s="422"/>
    </row>
    <row r="21605" spans="191:191" x14ac:dyDescent="0.2">
      <c r="GI21605" s="422"/>
    </row>
    <row r="21606" spans="191:191" x14ac:dyDescent="0.2">
      <c r="GI21606" s="422"/>
    </row>
    <row r="21607" spans="191:191" x14ac:dyDescent="0.2">
      <c r="GI21607" s="422"/>
    </row>
    <row r="21608" spans="191:191" x14ac:dyDescent="0.2">
      <c r="GI21608" s="422"/>
    </row>
    <row r="21609" spans="191:191" x14ac:dyDescent="0.2">
      <c r="GI21609" s="422"/>
    </row>
    <row r="21610" spans="191:191" x14ac:dyDescent="0.2">
      <c r="GI21610" s="422"/>
    </row>
    <row r="21611" spans="191:191" x14ac:dyDescent="0.2">
      <c r="GI21611" s="422"/>
    </row>
    <row r="21612" spans="191:191" x14ac:dyDescent="0.2">
      <c r="GI21612" s="422"/>
    </row>
    <row r="21613" spans="191:191" x14ac:dyDescent="0.2">
      <c r="GI21613" s="422"/>
    </row>
    <row r="21614" spans="191:191" x14ac:dyDescent="0.2">
      <c r="GI21614" s="422"/>
    </row>
    <row r="21615" spans="191:191" x14ac:dyDescent="0.2">
      <c r="GI21615" s="422"/>
    </row>
    <row r="21616" spans="191:191" x14ac:dyDescent="0.2">
      <c r="GI21616" s="422"/>
    </row>
    <row r="21617" spans="191:191" x14ac:dyDescent="0.2">
      <c r="GI21617" s="422"/>
    </row>
    <row r="21618" spans="191:191" x14ac:dyDescent="0.2">
      <c r="GI21618" s="422"/>
    </row>
    <row r="21619" spans="191:191" x14ac:dyDescent="0.2">
      <c r="GI21619" s="422"/>
    </row>
    <row r="21620" spans="191:191" x14ac:dyDescent="0.2">
      <c r="GI21620" s="422"/>
    </row>
    <row r="21621" spans="191:191" x14ac:dyDescent="0.2">
      <c r="GI21621" s="422"/>
    </row>
    <row r="21622" spans="191:191" x14ac:dyDescent="0.2">
      <c r="GI21622" s="422"/>
    </row>
    <row r="21623" spans="191:191" x14ac:dyDescent="0.2">
      <c r="GI21623" s="422"/>
    </row>
    <row r="21624" spans="191:191" x14ac:dyDescent="0.2">
      <c r="GI21624" s="422"/>
    </row>
    <row r="21625" spans="191:191" x14ac:dyDescent="0.2">
      <c r="GI21625" s="422"/>
    </row>
    <row r="21626" spans="191:191" x14ac:dyDescent="0.2">
      <c r="GI21626" s="422"/>
    </row>
    <row r="21627" spans="191:191" x14ac:dyDescent="0.2">
      <c r="GI21627" s="422"/>
    </row>
    <row r="21628" spans="191:191" x14ac:dyDescent="0.2">
      <c r="GI21628" s="422"/>
    </row>
    <row r="21629" spans="191:191" x14ac:dyDescent="0.2">
      <c r="GI21629" s="422"/>
    </row>
    <row r="21630" spans="191:191" x14ac:dyDescent="0.2">
      <c r="GI21630" s="422"/>
    </row>
    <row r="21631" spans="191:191" x14ac:dyDescent="0.2">
      <c r="GI21631" s="422"/>
    </row>
    <row r="21632" spans="191:191" x14ac:dyDescent="0.2">
      <c r="GI21632" s="422"/>
    </row>
    <row r="21633" spans="191:191" x14ac:dyDescent="0.2">
      <c r="GI21633" s="422"/>
    </row>
    <row r="21634" spans="191:191" x14ac:dyDescent="0.2">
      <c r="GI21634" s="422"/>
    </row>
    <row r="21635" spans="191:191" x14ac:dyDescent="0.2">
      <c r="GI21635" s="422"/>
    </row>
    <row r="21636" spans="191:191" x14ac:dyDescent="0.2">
      <c r="GI21636" s="422"/>
    </row>
    <row r="21637" spans="191:191" x14ac:dyDescent="0.2">
      <c r="GI21637" s="422"/>
    </row>
    <row r="21638" spans="191:191" x14ac:dyDescent="0.2">
      <c r="GI21638" s="422"/>
    </row>
    <row r="21639" spans="191:191" x14ac:dyDescent="0.2">
      <c r="GI21639" s="422"/>
    </row>
    <row r="21640" spans="191:191" x14ac:dyDescent="0.2">
      <c r="GI21640" s="422"/>
    </row>
    <row r="21641" spans="191:191" x14ac:dyDescent="0.2">
      <c r="GI21641" s="422"/>
    </row>
    <row r="21642" spans="191:191" x14ac:dyDescent="0.2">
      <c r="GI21642" s="422"/>
    </row>
    <row r="21643" spans="191:191" x14ac:dyDescent="0.2">
      <c r="GI21643" s="422"/>
    </row>
    <row r="21644" spans="191:191" x14ac:dyDescent="0.2">
      <c r="GI21644" s="422"/>
    </row>
    <row r="21645" spans="191:191" x14ac:dyDescent="0.2">
      <c r="GI21645" s="422"/>
    </row>
    <row r="21646" spans="191:191" x14ac:dyDescent="0.2">
      <c r="GI21646" s="422"/>
    </row>
    <row r="21647" spans="191:191" x14ac:dyDescent="0.2">
      <c r="GI21647" s="422"/>
    </row>
    <row r="21648" spans="191:191" x14ac:dyDescent="0.2">
      <c r="GI21648" s="422"/>
    </row>
    <row r="21649" spans="191:191" x14ac:dyDescent="0.2">
      <c r="GI21649" s="422"/>
    </row>
    <row r="21650" spans="191:191" x14ac:dyDescent="0.2">
      <c r="GI21650" s="422"/>
    </row>
    <row r="21651" spans="191:191" x14ac:dyDescent="0.2">
      <c r="GI21651" s="422"/>
    </row>
    <row r="21652" spans="191:191" x14ac:dyDescent="0.2">
      <c r="GI21652" s="422"/>
    </row>
    <row r="21653" spans="191:191" x14ac:dyDescent="0.2">
      <c r="GI21653" s="422"/>
    </row>
    <row r="21654" spans="191:191" x14ac:dyDescent="0.2">
      <c r="GI21654" s="422"/>
    </row>
    <row r="21655" spans="191:191" x14ac:dyDescent="0.2">
      <c r="GI21655" s="422"/>
    </row>
    <row r="21656" spans="191:191" x14ac:dyDescent="0.2">
      <c r="GI21656" s="422"/>
    </row>
    <row r="21657" spans="191:191" x14ac:dyDescent="0.2">
      <c r="GI21657" s="422"/>
    </row>
    <row r="21658" spans="191:191" x14ac:dyDescent="0.2">
      <c r="GI21658" s="422"/>
    </row>
    <row r="21659" spans="191:191" x14ac:dyDescent="0.2">
      <c r="GI21659" s="422"/>
    </row>
    <row r="21660" spans="191:191" x14ac:dyDescent="0.2">
      <c r="GI21660" s="422"/>
    </row>
    <row r="21661" spans="191:191" x14ac:dyDescent="0.2">
      <c r="GI21661" s="422"/>
    </row>
    <row r="21662" spans="191:191" x14ac:dyDescent="0.2">
      <c r="GI21662" s="422"/>
    </row>
    <row r="21663" spans="191:191" x14ac:dyDescent="0.2">
      <c r="GI21663" s="422"/>
    </row>
    <row r="21664" spans="191:191" x14ac:dyDescent="0.2">
      <c r="GI21664" s="422"/>
    </row>
    <row r="21665" spans="191:191" x14ac:dyDescent="0.2">
      <c r="GI21665" s="422"/>
    </row>
    <row r="21666" spans="191:191" x14ac:dyDescent="0.2">
      <c r="GI21666" s="422"/>
    </row>
    <row r="21667" spans="191:191" x14ac:dyDescent="0.2">
      <c r="GI21667" s="422"/>
    </row>
    <row r="21668" spans="191:191" x14ac:dyDescent="0.2">
      <c r="GI21668" s="422"/>
    </row>
    <row r="21669" spans="191:191" x14ac:dyDescent="0.2">
      <c r="GI21669" s="422"/>
    </row>
    <row r="21670" spans="191:191" x14ac:dyDescent="0.2">
      <c r="GI21670" s="422"/>
    </row>
    <row r="21671" spans="191:191" x14ac:dyDescent="0.2">
      <c r="GI21671" s="422"/>
    </row>
    <row r="21672" spans="191:191" x14ac:dyDescent="0.2">
      <c r="GI21672" s="422"/>
    </row>
    <row r="21673" spans="191:191" x14ac:dyDescent="0.2">
      <c r="GI21673" s="422"/>
    </row>
    <row r="21674" spans="191:191" x14ac:dyDescent="0.2">
      <c r="GI21674" s="422"/>
    </row>
    <row r="21675" spans="191:191" x14ac:dyDescent="0.2">
      <c r="GI21675" s="422"/>
    </row>
    <row r="21676" spans="191:191" x14ac:dyDescent="0.2">
      <c r="GI21676" s="422"/>
    </row>
    <row r="21677" spans="191:191" x14ac:dyDescent="0.2">
      <c r="GI21677" s="422"/>
    </row>
    <row r="21678" spans="191:191" x14ac:dyDescent="0.2">
      <c r="GI21678" s="422"/>
    </row>
    <row r="21679" spans="191:191" x14ac:dyDescent="0.2">
      <c r="GI21679" s="422"/>
    </row>
    <row r="21680" spans="191:191" x14ac:dyDescent="0.2">
      <c r="GI21680" s="422"/>
    </row>
    <row r="21681" spans="191:191" x14ac:dyDescent="0.2">
      <c r="GI21681" s="422"/>
    </row>
    <row r="21682" spans="191:191" x14ac:dyDescent="0.2">
      <c r="GI21682" s="422"/>
    </row>
    <row r="21683" spans="191:191" x14ac:dyDescent="0.2">
      <c r="GI21683" s="422"/>
    </row>
    <row r="21684" spans="191:191" x14ac:dyDescent="0.2">
      <c r="GI21684" s="422"/>
    </row>
    <row r="21685" spans="191:191" x14ac:dyDescent="0.2">
      <c r="GI21685" s="422"/>
    </row>
    <row r="21686" spans="191:191" x14ac:dyDescent="0.2">
      <c r="GI21686" s="422"/>
    </row>
    <row r="21687" spans="191:191" x14ac:dyDescent="0.2">
      <c r="GI21687" s="422"/>
    </row>
    <row r="21688" spans="191:191" x14ac:dyDescent="0.2">
      <c r="GI21688" s="422"/>
    </row>
    <row r="21689" spans="191:191" x14ac:dyDescent="0.2">
      <c r="GI21689" s="422"/>
    </row>
    <row r="21690" spans="191:191" x14ac:dyDescent="0.2">
      <c r="GI21690" s="422"/>
    </row>
    <row r="21691" spans="191:191" x14ac:dyDescent="0.2">
      <c r="GI21691" s="422"/>
    </row>
    <row r="21692" spans="191:191" x14ac:dyDescent="0.2">
      <c r="GI21692" s="422"/>
    </row>
    <row r="21693" spans="191:191" x14ac:dyDescent="0.2">
      <c r="GI21693" s="422"/>
    </row>
    <row r="21694" spans="191:191" x14ac:dyDescent="0.2">
      <c r="GI21694" s="422"/>
    </row>
    <row r="21695" spans="191:191" x14ac:dyDescent="0.2">
      <c r="GI21695" s="422"/>
    </row>
    <row r="21696" spans="191:191" x14ac:dyDescent="0.2">
      <c r="GI21696" s="422"/>
    </row>
    <row r="21697" spans="191:191" x14ac:dyDescent="0.2">
      <c r="GI21697" s="422"/>
    </row>
    <row r="21698" spans="191:191" x14ac:dyDescent="0.2">
      <c r="GI21698" s="422"/>
    </row>
    <row r="21699" spans="191:191" x14ac:dyDescent="0.2">
      <c r="GI21699" s="422"/>
    </row>
    <row r="21700" spans="191:191" x14ac:dyDescent="0.2">
      <c r="GI21700" s="422"/>
    </row>
    <row r="21701" spans="191:191" x14ac:dyDescent="0.2">
      <c r="GI21701" s="422"/>
    </row>
    <row r="21702" spans="191:191" x14ac:dyDescent="0.2">
      <c r="GI21702" s="422"/>
    </row>
    <row r="21703" spans="191:191" x14ac:dyDescent="0.2">
      <c r="GI21703" s="422"/>
    </row>
    <row r="21704" spans="191:191" x14ac:dyDescent="0.2">
      <c r="GI21704" s="422"/>
    </row>
    <row r="21705" spans="191:191" x14ac:dyDescent="0.2">
      <c r="GI21705" s="422"/>
    </row>
    <row r="21706" spans="191:191" x14ac:dyDescent="0.2">
      <c r="GI21706" s="422"/>
    </row>
    <row r="21707" spans="191:191" x14ac:dyDescent="0.2">
      <c r="GI21707" s="422"/>
    </row>
    <row r="21708" spans="191:191" x14ac:dyDescent="0.2">
      <c r="GI21708" s="422"/>
    </row>
    <row r="21709" spans="191:191" x14ac:dyDescent="0.2">
      <c r="GI21709" s="422"/>
    </row>
    <row r="21710" spans="191:191" x14ac:dyDescent="0.2">
      <c r="GI21710" s="422"/>
    </row>
    <row r="21711" spans="191:191" x14ac:dyDescent="0.2">
      <c r="GI21711" s="422"/>
    </row>
    <row r="21712" spans="191:191" x14ac:dyDescent="0.2">
      <c r="GI21712" s="422"/>
    </row>
    <row r="21713" spans="191:191" x14ac:dyDescent="0.2">
      <c r="GI21713" s="422"/>
    </row>
    <row r="21714" spans="191:191" x14ac:dyDescent="0.2">
      <c r="GI21714" s="422"/>
    </row>
    <row r="21715" spans="191:191" x14ac:dyDescent="0.2">
      <c r="GI21715" s="422"/>
    </row>
    <row r="21716" spans="191:191" x14ac:dyDescent="0.2">
      <c r="GI21716" s="422"/>
    </row>
    <row r="21717" spans="191:191" x14ac:dyDescent="0.2">
      <c r="GI21717" s="422"/>
    </row>
    <row r="21718" spans="191:191" x14ac:dyDescent="0.2">
      <c r="GI21718" s="422"/>
    </row>
    <row r="21719" spans="191:191" x14ac:dyDescent="0.2">
      <c r="GI21719" s="422"/>
    </row>
    <row r="21720" spans="191:191" x14ac:dyDescent="0.2">
      <c r="GI21720" s="422"/>
    </row>
    <row r="21721" spans="191:191" x14ac:dyDescent="0.2">
      <c r="GI21721" s="422"/>
    </row>
    <row r="21722" spans="191:191" x14ac:dyDescent="0.2">
      <c r="GI21722" s="422"/>
    </row>
    <row r="21723" spans="191:191" x14ac:dyDescent="0.2">
      <c r="GI21723" s="422"/>
    </row>
    <row r="21724" spans="191:191" x14ac:dyDescent="0.2">
      <c r="GI21724" s="422"/>
    </row>
    <row r="21725" spans="191:191" x14ac:dyDescent="0.2">
      <c r="GI21725" s="422"/>
    </row>
    <row r="21726" spans="191:191" x14ac:dyDescent="0.2">
      <c r="GI21726" s="422"/>
    </row>
    <row r="21727" spans="191:191" x14ac:dyDescent="0.2">
      <c r="GI21727" s="422"/>
    </row>
    <row r="21728" spans="191:191" x14ac:dyDescent="0.2">
      <c r="GI21728" s="422"/>
    </row>
    <row r="21729" spans="191:191" x14ac:dyDescent="0.2">
      <c r="GI21729" s="422"/>
    </row>
    <row r="21730" spans="191:191" x14ac:dyDescent="0.2">
      <c r="GI21730" s="422"/>
    </row>
    <row r="21731" spans="191:191" x14ac:dyDescent="0.2">
      <c r="GI21731" s="422"/>
    </row>
    <row r="21732" spans="191:191" x14ac:dyDescent="0.2">
      <c r="GI21732" s="422"/>
    </row>
    <row r="21733" spans="191:191" x14ac:dyDescent="0.2">
      <c r="GI21733" s="422"/>
    </row>
    <row r="21734" spans="191:191" x14ac:dyDescent="0.2">
      <c r="GI21734" s="422"/>
    </row>
    <row r="21735" spans="191:191" x14ac:dyDescent="0.2">
      <c r="GI21735" s="422"/>
    </row>
    <row r="21736" spans="191:191" x14ac:dyDescent="0.2">
      <c r="GI21736" s="422"/>
    </row>
    <row r="21737" spans="191:191" x14ac:dyDescent="0.2">
      <c r="GI21737" s="422"/>
    </row>
    <row r="21738" spans="191:191" x14ac:dyDescent="0.2">
      <c r="GI21738" s="422"/>
    </row>
    <row r="21739" spans="191:191" x14ac:dyDescent="0.2">
      <c r="GI21739" s="422"/>
    </row>
    <row r="21740" spans="191:191" x14ac:dyDescent="0.2">
      <c r="GI21740" s="422"/>
    </row>
    <row r="21741" spans="191:191" x14ac:dyDescent="0.2">
      <c r="GI21741" s="422"/>
    </row>
    <row r="21742" spans="191:191" x14ac:dyDescent="0.2">
      <c r="GI21742" s="422"/>
    </row>
    <row r="21743" spans="191:191" x14ac:dyDescent="0.2">
      <c r="GI21743" s="422"/>
    </row>
    <row r="21744" spans="191:191" x14ac:dyDescent="0.2">
      <c r="GI21744" s="422"/>
    </row>
    <row r="21745" spans="191:191" x14ac:dyDescent="0.2">
      <c r="GI21745" s="422"/>
    </row>
    <row r="21746" spans="191:191" x14ac:dyDescent="0.2">
      <c r="GI21746" s="422"/>
    </row>
    <row r="21747" spans="191:191" x14ac:dyDescent="0.2">
      <c r="GI21747" s="422"/>
    </row>
    <row r="21748" spans="191:191" x14ac:dyDescent="0.2">
      <c r="GI21748" s="422"/>
    </row>
    <row r="21749" spans="191:191" x14ac:dyDescent="0.2">
      <c r="GI21749" s="422"/>
    </row>
    <row r="21750" spans="191:191" x14ac:dyDescent="0.2">
      <c r="GI21750" s="422"/>
    </row>
    <row r="21751" spans="191:191" x14ac:dyDescent="0.2">
      <c r="GI21751" s="422"/>
    </row>
    <row r="21752" spans="191:191" x14ac:dyDescent="0.2">
      <c r="GI21752" s="422"/>
    </row>
    <row r="21753" spans="191:191" x14ac:dyDescent="0.2">
      <c r="GI21753" s="422"/>
    </row>
    <row r="21754" spans="191:191" x14ac:dyDescent="0.2">
      <c r="GI21754" s="422"/>
    </row>
    <row r="21755" spans="191:191" x14ac:dyDescent="0.2">
      <c r="GI21755" s="422"/>
    </row>
    <row r="21756" spans="191:191" x14ac:dyDescent="0.2">
      <c r="GI21756" s="422"/>
    </row>
    <row r="21757" spans="191:191" x14ac:dyDescent="0.2">
      <c r="GI21757" s="422"/>
    </row>
    <row r="21758" spans="191:191" x14ac:dyDescent="0.2">
      <c r="GI21758" s="422"/>
    </row>
    <row r="21759" spans="191:191" x14ac:dyDescent="0.2">
      <c r="GI21759" s="422"/>
    </row>
    <row r="21760" spans="191:191" x14ac:dyDescent="0.2">
      <c r="GI21760" s="422"/>
    </row>
    <row r="21761" spans="191:191" x14ac:dyDescent="0.2">
      <c r="GI21761" s="422"/>
    </row>
    <row r="21762" spans="191:191" x14ac:dyDescent="0.2">
      <c r="GI21762" s="422"/>
    </row>
    <row r="21763" spans="191:191" x14ac:dyDescent="0.2">
      <c r="GI21763" s="422"/>
    </row>
    <row r="21764" spans="191:191" x14ac:dyDescent="0.2">
      <c r="GI21764" s="422"/>
    </row>
    <row r="21765" spans="191:191" x14ac:dyDescent="0.2">
      <c r="GI21765" s="422"/>
    </row>
    <row r="21766" spans="191:191" x14ac:dyDescent="0.2">
      <c r="GI21766" s="422"/>
    </row>
    <row r="21767" spans="191:191" x14ac:dyDescent="0.2">
      <c r="GI21767" s="422"/>
    </row>
    <row r="21768" spans="191:191" x14ac:dyDescent="0.2">
      <c r="GI21768" s="422"/>
    </row>
    <row r="21769" spans="191:191" x14ac:dyDescent="0.2">
      <c r="GI21769" s="422"/>
    </row>
    <row r="21770" spans="191:191" x14ac:dyDescent="0.2">
      <c r="GI21770" s="422"/>
    </row>
    <row r="21771" spans="191:191" x14ac:dyDescent="0.2">
      <c r="GI21771" s="422"/>
    </row>
    <row r="21772" spans="191:191" x14ac:dyDescent="0.2">
      <c r="GI21772" s="422"/>
    </row>
    <row r="21773" spans="191:191" x14ac:dyDescent="0.2">
      <c r="GI21773" s="422"/>
    </row>
    <row r="21774" spans="191:191" x14ac:dyDescent="0.2">
      <c r="GI21774" s="422"/>
    </row>
    <row r="21775" spans="191:191" x14ac:dyDescent="0.2">
      <c r="GI21775" s="422"/>
    </row>
    <row r="21776" spans="191:191" x14ac:dyDescent="0.2">
      <c r="GI21776" s="422"/>
    </row>
    <row r="21777" spans="191:191" x14ac:dyDescent="0.2">
      <c r="GI21777" s="422"/>
    </row>
    <row r="21778" spans="191:191" x14ac:dyDescent="0.2">
      <c r="GI21778" s="422"/>
    </row>
    <row r="21779" spans="191:191" x14ac:dyDescent="0.2">
      <c r="GI21779" s="422"/>
    </row>
    <row r="21780" spans="191:191" x14ac:dyDescent="0.2">
      <c r="GI21780" s="422"/>
    </row>
    <row r="21781" spans="191:191" x14ac:dyDescent="0.2">
      <c r="GI21781" s="422"/>
    </row>
    <row r="21782" spans="191:191" x14ac:dyDescent="0.2">
      <c r="GI21782" s="422"/>
    </row>
    <row r="21783" spans="191:191" x14ac:dyDescent="0.2">
      <c r="GI21783" s="422"/>
    </row>
    <row r="21784" spans="191:191" x14ac:dyDescent="0.2">
      <c r="GI21784" s="422"/>
    </row>
    <row r="21785" spans="191:191" x14ac:dyDescent="0.2">
      <c r="GI21785" s="422"/>
    </row>
    <row r="21786" spans="191:191" x14ac:dyDescent="0.2">
      <c r="GI21786" s="422"/>
    </row>
    <row r="21787" spans="191:191" x14ac:dyDescent="0.2">
      <c r="GI21787" s="422"/>
    </row>
    <row r="21788" spans="191:191" x14ac:dyDescent="0.2">
      <c r="GI21788" s="422"/>
    </row>
    <row r="21789" spans="191:191" x14ac:dyDescent="0.2">
      <c r="GI21789" s="422"/>
    </row>
    <row r="21790" spans="191:191" x14ac:dyDescent="0.2">
      <c r="GI21790" s="422"/>
    </row>
    <row r="21791" spans="191:191" x14ac:dyDescent="0.2">
      <c r="GI21791" s="422"/>
    </row>
    <row r="21792" spans="191:191" x14ac:dyDescent="0.2">
      <c r="GI21792" s="422"/>
    </row>
    <row r="21793" spans="191:191" x14ac:dyDescent="0.2">
      <c r="GI21793" s="422"/>
    </row>
    <row r="21794" spans="191:191" x14ac:dyDescent="0.2">
      <c r="GI21794" s="422"/>
    </row>
    <row r="21795" spans="191:191" x14ac:dyDescent="0.2">
      <c r="GI21795" s="422"/>
    </row>
    <row r="21796" spans="191:191" x14ac:dyDescent="0.2">
      <c r="GI21796" s="422"/>
    </row>
    <row r="21797" spans="191:191" x14ac:dyDescent="0.2">
      <c r="GI21797" s="422"/>
    </row>
    <row r="21798" spans="191:191" x14ac:dyDescent="0.2">
      <c r="GI21798" s="422"/>
    </row>
    <row r="21799" spans="191:191" x14ac:dyDescent="0.2">
      <c r="GI21799" s="422"/>
    </row>
    <row r="21800" spans="191:191" x14ac:dyDescent="0.2">
      <c r="GI21800" s="422"/>
    </row>
    <row r="21801" spans="191:191" x14ac:dyDescent="0.2">
      <c r="GI21801" s="422"/>
    </row>
    <row r="21802" spans="191:191" x14ac:dyDescent="0.2">
      <c r="GI21802" s="422"/>
    </row>
    <row r="21803" spans="191:191" x14ac:dyDescent="0.2">
      <c r="GI21803" s="422"/>
    </row>
    <row r="21804" spans="191:191" x14ac:dyDescent="0.2">
      <c r="GI21804" s="422"/>
    </row>
    <row r="21805" spans="191:191" x14ac:dyDescent="0.2">
      <c r="GI21805" s="422"/>
    </row>
    <row r="21806" spans="191:191" x14ac:dyDescent="0.2">
      <c r="GI21806" s="422"/>
    </row>
    <row r="21807" spans="191:191" x14ac:dyDescent="0.2">
      <c r="GI21807" s="422"/>
    </row>
    <row r="21808" spans="191:191" x14ac:dyDescent="0.2">
      <c r="GI21808" s="422"/>
    </row>
    <row r="21809" spans="191:191" x14ac:dyDescent="0.2">
      <c r="GI21809" s="422"/>
    </row>
    <row r="21810" spans="191:191" x14ac:dyDescent="0.2">
      <c r="GI21810" s="422"/>
    </row>
    <row r="21811" spans="191:191" x14ac:dyDescent="0.2">
      <c r="GI21811" s="422"/>
    </row>
    <row r="21812" spans="191:191" x14ac:dyDescent="0.2">
      <c r="GI21812" s="422"/>
    </row>
    <row r="21813" spans="191:191" x14ac:dyDescent="0.2">
      <c r="GI21813" s="422"/>
    </row>
    <row r="21814" spans="191:191" x14ac:dyDescent="0.2">
      <c r="GI21814" s="422"/>
    </row>
    <row r="21815" spans="191:191" x14ac:dyDescent="0.2">
      <c r="GI21815" s="422"/>
    </row>
    <row r="21816" spans="191:191" x14ac:dyDescent="0.2">
      <c r="GI21816" s="422"/>
    </row>
    <row r="21817" spans="191:191" x14ac:dyDescent="0.2">
      <c r="GI21817" s="422"/>
    </row>
    <row r="21818" spans="191:191" x14ac:dyDescent="0.2">
      <c r="GI21818" s="422"/>
    </row>
    <row r="21819" spans="191:191" x14ac:dyDescent="0.2">
      <c r="GI21819" s="422"/>
    </row>
    <row r="21820" spans="191:191" x14ac:dyDescent="0.2">
      <c r="GI21820" s="422"/>
    </row>
    <row r="21821" spans="191:191" x14ac:dyDescent="0.2">
      <c r="GI21821" s="422"/>
    </row>
    <row r="21822" spans="191:191" x14ac:dyDescent="0.2">
      <c r="GI21822" s="422"/>
    </row>
    <row r="21823" spans="191:191" x14ac:dyDescent="0.2">
      <c r="GI21823" s="422"/>
    </row>
    <row r="21824" spans="191:191" x14ac:dyDescent="0.2">
      <c r="GI21824" s="422"/>
    </row>
    <row r="21825" spans="191:191" x14ac:dyDescent="0.2">
      <c r="GI21825" s="422"/>
    </row>
    <row r="21826" spans="191:191" x14ac:dyDescent="0.2">
      <c r="GI21826" s="422"/>
    </row>
    <row r="21827" spans="191:191" x14ac:dyDescent="0.2">
      <c r="GI21827" s="422"/>
    </row>
    <row r="21828" spans="191:191" x14ac:dyDescent="0.2">
      <c r="GI21828" s="422"/>
    </row>
    <row r="21829" spans="191:191" x14ac:dyDescent="0.2">
      <c r="GI21829" s="422"/>
    </row>
    <row r="21830" spans="191:191" x14ac:dyDescent="0.2">
      <c r="GI21830" s="422"/>
    </row>
    <row r="21831" spans="191:191" x14ac:dyDescent="0.2">
      <c r="GI21831" s="422"/>
    </row>
    <row r="21832" spans="191:191" x14ac:dyDescent="0.2">
      <c r="GI21832" s="422"/>
    </row>
    <row r="21833" spans="191:191" x14ac:dyDescent="0.2">
      <c r="GI21833" s="422"/>
    </row>
    <row r="21834" spans="191:191" x14ac:dyDescent="0.2">
      <c r="GI21834" s="422"/>
    </row>
    <row r="21835" spans="191:191" x14ac:dyDescent="0.2">
      <c r="GI21835" s="422"/>
    </row>
    <row r="21836" spans="191:191" x14ac:dyDescent="0.2">
      <c r="GI21836" s="422"/>
    </row>
    <row r="21837" spans="191:191" x14ac:dyDescent="0.2">
      <c r="GI21837" s="422"/>
    </row>
    <row r="21838" spans="191:191" x14ac:dyDescent="0.2">
      <c r="GI21838" s="422"/>
    </row>
    <row r="21839" spans="191:191" x14ac:dyDescent="0.2">
      <c r="GI21839" s="422"/>
    </row>
    <row r="21840" spans="191:191" x14ac:dyDescent="0.2">
      <c r="GI21840" s="422"/>
    </row>
    <row r="21841" spans="191:191" x14ac:dyDescent="0.2">
      <c r="GI21841" s="422"/>
    </row>
    <row r="21842" spans="191:191" x14ac:dyDescent="0.2">
      <c r="GI21842" s="422"/>
    </row>
    <row r="21843" spans="191:191" x14ac:dyDescent="0.2">
      <c r="GI21843" s="422"/>
    </row>
    <row r="21844" spans="191:191" x14ac:dyDescent="0.2">
      <c r="GI21844" s="422"/>
    </row>
    <row r="21845" spans="191:191" x14ac:dyDescent="0.2">
      <c r="GI21845" s="422"/>
    </row>
    <row r="21846" spans="191:191" x14ac:dyDescent="0.2">
      <c r="GI21846" s="422"/>
    </row>
    <row r="21847" spans="191:191" x14ac:dyDescent="0.2">
      <c r="GI21847" s="422"/>
    </row>
    <row r="21848" spans="191:191" x14ac:dyDescent="0.2">
      <c r="GI21848" s="422"/>
    </row>
    <row r="21849" spans="191:191" x14ac:dyDescent="0.2">
      <c r="GI21849" s="422"/>
    </row>
    <row r="21850" spans="191:191" x14ac:dyDescent="0.2">
      <c r="GI21850" s="422"/>
    </row>
    <row r="21851" spans="191:191" x14ac:dyDescent="0.2">
      <c r="GI21851" s="422"/>
    </row>
    <row r="21852" spans="191:191" x14ac:dyDescent="0.2">
      <c r="GI21852" s="422"/>
    </row>
    <row r="21853" spans="191:191" x14ac:dyDescent="0.2">
      <c r="GI21853" s="422"/>
    </row>
    <row r="21854" spans="191:191" x14ac:dyDescent="0.2">
      <c r="GI21854" s="422"/>
    </row>
    <row r="21855" spans="191:191" x14ac:dyDescent="0.2">
      <c r="GI21855" s="422"/>
    </row>
    <row r="21856" spans="191:191" x14ac:dyDescent="0.2">
      <c r="GI21856" s="422"/>
    </row>
    <row r="21857" spans="191:191" x14ac:dyDescent="0.2">
      <c r="GI21857" s="422"/>
    </row>
    <row r="21858" spans="191:191" x14ac:dyDescent="0.2">
      <c r="GI21858" s="422"/>
    </row>
    <row r="21859" spans="191:191" x14ac:dyDescent="0.2">
      <c r="GI21859" s="422"/>
    </row>
    <row r="21860" spans="191:191" x14ac:dyDescent="0.2">
      <c r="GI21860" s="422"/>
    </row>
    <row r="21861" spans="191:191" x14ac:dyDescent="0.2">
      <c r="GI21861" s="422"/>
    </row>
    <row r="21862" spans="191:191" x14ac:dyDescent="0.2">
      <c r="GI21862" s="422"/>
    </row>
    <row r="21863" spans="191:191" x14ac:dyDescent="0.2">
      <c r="GI21863" s="422"/>
    </row>
    <row r="21864" spans="191:191" x14ac:dyDescent="0.2">
      <c r="GI21864" s="422"/>
    </row>
    <row r="21865" spans="191:191" x14ac:dyDescent="0.2">
      <c r="GI21865" s="422"/>
    </row>
    <row r="21866" spans="191:191" x14ac:dyDescent="0.2">
      <c r="GI21866" s="422"/>
    </row>
    <row r="21867" spans="191:191" x14ac:dyDescent="0.2">
      <c r="GI21867" s="422"/>
    </row>
    <row r="21868" spans="191:191" x14ac:dyDescent="0.2">
      <c r="GI21868" s="422"/>
    </row>
    <row r="21869" spans="191:191" x14ac:dyDescent="0.2">
      <c r="GI21869" s="422"/>
    </row>
    <row r="21870" spans="191:191" x14ac:dyDescent="0.2">
      <c r="GI21870" s="422"/>
    </row>
    <row r="21871" spans="191:191" x14ac:dyDescent="0.2">
      <c r="GI21871" s="422"/>
    </row>
    <row r="21872" spans="191:191" x14ac:dyDescent="0.2">
      <c r="GI21872" s="422"/>
    </row>
    <row r="21873" spans="191:191" x14ac:dyDescent="0.2">
      <c r="GI21873" s="422"/>
    </row>
    <row r="21874" spans="191:191" x14ac:dyDescent="0.2">
      <c r="GI21874" s="422"/>
    </row>
    <row r="21875" spans="191:191" x14ac:dyDescent="0.2">
      <c r="GI21875" s="422"/>
    </row>
    <row r="21876" spans="191:191" x14ac:dyDescent="0.2">
      <c r="GI21876" s="422"/>
    </row>
    <row r="21877" spans="191:191" x14ac:dyDescent="0.2">
      <c r="GI21877" s="422"/>
    </row>
    <row r="21878" spans="191:191" x14ac:dyDescent="0.2">
      <c r="GI21878" s="422"/>
    </row>
    <row r="21879" spans="191:191" x14ac:dyDescent="0.2">
      <c r="GI21879" s="422"/>
    </row>
    <row r="21880" spans="191:191" x14ac:dyDescent="0.2">
      <c r="GI21880" s="422"/>
    </row>
    <row r="21881" spans="191:191" x14ac:dyDescent="0.2">
      <c r="GI21881" s="422"/>
    </row>
    <row r="21882" spans="191:191" x14ac:dyDescent="0.2">
      <c r="GI21882" s="422"/>
    </row>
    <row r="21883" spans="191:191" x14ac:dyDescent="0.2">
      <c r="GI21883" s="422"/>
    </row>
    <row r="21884" spans="191:191" x14ac:dyDescent="0.2">
      <c r="GI21884" s="422"/>
    </row>
    <row r="21885" spans="191:191" x14ac:dyDescent="0.2">
      <c r="GI21885" s="422"/>
    </row>
    <row r="21886" spans="191:191" x14ac:dyDescent="0.2">
      <c r="GI21886" s="422"/>
    </row>
    <row r="21887" spans="191:191" x14ac:dyDescent="0.2">
      <c r="GI21887" s="422"/>
    </row>
    <row r="21888" spans="191:191" x14ac:dyDescent="0.2">
      <c r="GI21888" s="422"/>
    </row>
    <row r="21889" spans="191:191" x14ac:dyDescent="0.2">
      <c r="GI21889" s="422"/>
    </row>
    <row r="21890" spans="191:191" x14ac:dyDescent="0.2">
      <c r="GI21890" s="422"/>
    </row>
    <row r="21891" spans="191:191" x14ac:dyDescent="0.2">
      <c r="GI21891" s="422"/>
    </row>
    <row r="21892" spans="191:191" x14ac:dyDescent="0.2">
      <c r="GI21892" s="422"/>
    </row>
    <row r="21893" spans="191:191" x14ac:dyDescent="0.2">
      <c r="GI21893" s="422"/>
    </row>
    <row r="21894" spans="191:191" x14ac:dyDescent="0.2">
      <c r="GI21894" s="422"/>
    </row>
    <row r="21895" spans="191:191" x14ac:dyDescent="0.2">
      <c r="GI21895" s="422"/>
    </row>
    <row r="21896" spans="191:191" x14ac:dyDescent="0.2">
      <c r="GI21896" s="422"/>
    </row>
    <row r="21897" spans="191:191" x14ac:dyDescent="0.2">
      <c r="GI21897" s="422"/>
    </row>
    <row r="21898" spans="191:191" x14ac:dyDescent="0.2">
      <c r="GI21898" s="422"/>
    </row>
    <row r="21899" spans="191:191" x14ac:dyDescent="0.2">
      <c r="GI21899" s="422"/>
    </row>
    <row r="21900" spans="191:191" x14ac:dyDescent="0.2">
      <c r="GI21900" s="422"/>
    </row>
    <row r="21901" spans="191:191" x14ac:dyDescent="0.2">
      <c r="GI21901" s="422"/>
    </row>
    <row r="21902" spans="191:191" x14ac:dyDescent="0.2">
      <c r="GI21902" s="422"/>
    </row>
    <row r="21903" spans="191:191" x14ac:dyDescent="0.2">
      <c r="GI21903" s="422"/>
    </row>
    <row r="21904" spans="191:191" x14ac:dyDescent="0.2">
      <c r="GI21904" s="422"/>
    </row>
    <row r="21905" spans="191:191" x14ac:dyDescent="0.2">
      <c r="GI21905" s="422"/>
    </row>
    <row r="21906" spans="191:191" x14ac:dyDescent="0.2">
      <c r="GI21906" s="422"/>
    </row>
    <row r="21907" spans="191:191" x14ac:dyDescent="0.2">
      <c r="GI21907" s="422"/>
    </row>
    <row r="21908" spans="191:191" x14ac:dyDescent="0.2">
      <c r="GI21908" s="422"/>
    </row>
    <row r="21909" spans="191:191" x14ac:dyDescent="0.2">
      <c r="GI21909" s="422"/>
    </row>
    <row r="21910" spans="191:191" x14ac:dyDescent="0.2">
      <c r="GI21910" s="422"/>
    </row>
    <row r="21911" spans="191:191" x14ac:dyDescent="0.2">
      <c r="GI21911" s="422"/>
    </row>
    <row r="21912" spans="191:191" x14ac:dyDescent="0.2">
      <c r="GI21912" s="422"/>
    </row>
    <row r="21913" spans="191:191" x14ac:dyDescent="0.2">
      <c r="GI21913" s="422"/>
    </row>
    <row r="21914" spans="191:191" x14ac:dyDescent="0.2">
      <c r="GI21914" s="422"/>
    </row>
    <row r="21915" spans="191:191" x14ac:dyDescent="0.2">
      <c r="GI21915" s="422"/>
    </row>
    <row r="21916" spans="191:191" x14ac:dyDescent="0.2">
      <c r="GI21916" s="422"/>
    </row>
    <row r="21917" spans="191:191" x14ac:dyDescent="0.2">
      <c r="GI21917" s="422"/>
    </row>
    <row r="21918" spans="191:191" x14ac:dyDescent="0.2">
      <c r="GI21918" s="422"/>
    </row>
    <row r="21919" spans="191:191" x14ac:dyDescent="0.2">
      <c r="GI21919" s="422"/>
    </row>
    <row r="21920" spans="191:191" x14ac:dyDescent="0.2">
      <c r="GI21920" s="422"/>
    </row>
    <row r="21921" spans="191:191" x14ac:dyDescent="0.2">
      <c r="GI21921" s="422"/>
    </row>
    <row r="21922" spans="191:191" x14ac:dyDescent="0.2">
      <c r="GI21922" s="422"/>
    </row>
    <row r="21923" spans="191:191" x14ac:dyDescent="0.2">
      <c r="GI21923" s="422"/>
    </row>
    <row r="21924" spans="191:191" x14ac:dyDescent="0.2">
      <c r="GI21924" s="422"/>
    </row>
    <row r="21925" spans="191:191" x14ac:dyDescent="0.2">
      <c r="GI21925" s="422"/>
    </row>
    <row r="21926" spans="191:191" x14ac:dyDescent="0.2">
      <c r="GI21926" s="422"/>
    </row>
    <row r="21927" spans="191:191" x14ac:dyDescent="0.2">
      <c r="GI21927" s="422"/>
    </row>
    <row r="21928" spans="191:191" x14ac:dyDescent="0.2">
      <c r="GI21928" s="422"/>
    </row>
    <row r="21929" spans="191:191" x14ac:dyDescent="0.2">
      <c r="GI21929" s="422"/>
    </row>
    <row r="21930" spans="191:191" x14ac:dyDescent="0.2">
      <c r="GI21930" s="422"/>
    </row>
    <row r="21931" spans="191:191" x14ac:dyDescent="0.2">
      <c r="GI21931" s="422"/>
    </row>
    <row r="21932" spans="191:191" x14ac:dyDescent="0.2">
      <c r="GI21932" s="422"/>
    </row>
    <row r="21933" spans="191:191" x14ac:dyDescent="0.2">
      <c r="GI21933" s="422"/>
    </row>
    <row r="21934" spans="191:191" x14ac:dyDescent="0.2">
      <c r="GI21934" s="422"/>
    </row>
    <row r="21935" spans="191:191" x14ac:dyDescent="0.2">
      <c r="GI21935" s="422"/>
    </row>
    <row r="21936" spans="191:191" x14ac:dyDescent="0.2">
      <c r="GI21936" s="422"/>
    </row>
    <row r="21937" spans="191:191" x14ac:dyDescent="0.2">
      <c r="GI21937" s="422"/>
    </row>
    <row r="21938" spans="191:191" x14ac:dyDescent="0.2">
      <c r="GI21938" s="422"/>
    </row>
    <row r="21939" spans="191:191" x14ac:dyDescent="0.2">
      <c r="GI21939" s="422"/>
    </row>
    <row r="21940" spans="191:191" x14ac:dyDescent="0.2">
      <c r="GI21940" s="422"/>
    </row>
    <row r="21941" spans="191:191" x14ac:dyDescent="0.2">
      <c r="GI21941" s="422"/>
    </row>
    <row r="21942" spans="191:191" x14ac:dyDescent="0.2">
      <c r="GI21942" s="422"/>
    </row>
    <row r="21943" spans="191:191" x14ac:dyDescent="0.2">
      <c r="GI21943" s="422"/>
    </row>
    <row r="21944" spans="191:191" x14ac:dyDescent="0.2">
      <c r="GI21944" s="422"/>
    </row>
    <row r="21945" spans="191:191" x14ac:dyDescent="0.2">
      <c r="GI21945" s="422"/>
    </row>
    <row r="21946" spans="191:191" x14ac:dyDescent="0.2">
      <c r="GI21946" s="422"/>
    </row>
    <row r="21947" spans="191:191" x14ac:dyDescent="0.2">
      <c r="GI21947" s="422"/>
    </row>
    <row r="21948" spans="191:191" x14ac:dyDescent="0.2">
      <c r="GI21948" s="422"/>
    </row>
    <row r="21949" spans="191:191" x14ac:dyDescent="0.2">
      <c r="GI21949" s="422"/>
    </row>
    <row r="21950" spans="191:191" x14ac:dyDescent="0.2">
      <c r="GI21950" s="422"/>
    </row>
    <row r="21951" spans="191:191" x14ac:dyDescent="0.2">
      <c r="GI21951" s="422"/>
    </row>
    <row r="21952" spans="191:191" x14ac:dyDescent="0.2">
      <c r="GI21952" s="422"/>
    </row>
    <row r="21953" spans="191:191" x14ac:dyDescent="0.2">
      <c r="GI21953" s="422"/>
    </row>
    <row r="21954" spans="191:191" x14ac:dyDescent="0.2">
      <c r="GI21954" s="422"/>
    </row>
    <row r="21955" spans="191:191" x14ac:dyDescent="0.2">
      <c r="GI21955" s="422"/>
    </row>
    <row r="21956" spans="191:191" x14ac:dyDescent="0.2">
      <c r="GI21956" s="422"/>
    </row>
    <row r="21957" spans="191:191" x14ac:dyDescent="0.2">
      <c r="GI21957" s="422"/>
    </row>
    <row r="21958" spans="191:191" x14ac:dyDescent="0.2">
      <c r="GI21958" s="422"/>
    </row>
    <row r="21959" spans="191:191" x14ac:dyDescent="0.2">
      <c r="GI21959" s="422"/>
    </row>
    <row r="21960" spans="191:191" x14ac:dyDescent="0.2">
      <c r="GI21960" s="422"/>
    </row>
    <row r="21961" spans="191:191" x14ac:dyDescent="0.2">
      <c r="GI21961" s="422"/>
    </row>
    <row r="21962" spans="191:191" x14ac:dyDescent="0.2">
      <c r="GI21962" s="422"/>
    </row>
    <row r="21963" spans="191:191" x14ac:dyDescent="0.2">
      <c r="GI21963" s="422"/>
    </row>
    <row r="21964" spans="191:191" x14ac:dyDescent="0.2">
      <c r="GI21964" s="422"/>
    </row>
    <row r="21965" spans="191:191" x14ac:dyDescent="0.2">
      <c r="GI21965" s="422"/>
    </row>
    <row r="21966" spans="191:191" x14ac:dyDescent="0.2">
      <c r="GI21966" s="422"/>
    </row>
    <row r="21967" spans="191:191" x14ac:dyDescent="0.2">
      <c r="GI21967" s="422"/>
    </row>
    <row r="21968" spans="191:191" x14ac:dyDescent="0.2">
      <c r="GI21968" s="422"/>
    </row>
    <row r="21969" spans="191:191" x14ac:dyDescent="0.2">
      <c r="GI21969" s="422"/>
    </row>
    <row r="21970" spans="191:191" x14ac:dyDescent="0.2">
      <c r="GI21970" s="422"/>
    </row>
    <row r="21971" spans="191:191" x14ac:dyDescent="0.2">
      <c r="GI21971" s="422"/>
    </row>
    <row r="21972" spans="191:191" x14ac:dyDescent="0.2">
      <c r="GI21972" s="422"/>
    </row>
    <row r="21973" spans="191:191" x14ac:dyDescent="0.2">
      <c r="GI21973" s="422"/>
    </row>
    <row r="21974" spans="191:191" x14ac:dyDescent="0.2">
      <c r="GI21974" s="422"/>
    </row>
    <row r="21975" spans="191:191" x14ac:dyDescent="0.2">
      <c r="GI21975" s="422"/>
    </row>
    <row r="21976" spans="191:191" x14ac:dyDescent="0.2">
      <c r="GI21976" s="422"/>
    </row>
    <row r="21977" spans="191:191" x14ac:dyDescent="0.2">
      <c r="GI21977" s="422"/>
    </row>
    <row r="21978" spans="191:191" x14ac:dyDescent="0.2">
      <c r="GI21978" s="422"/>
    </row>
    <row r="21979" spans="191:191" x14ac:dyDescent="0.2">
      <c r="GI21979" s="422"/>
    </row>
    <row r="21980" spans="191:191" x14ac:dyDescent="0.2">
      <c r="GI21980" s="422"/>
    </row>
    <row r="21981" spans="191:191" x14ac:dyDescent="0.2">
      <c r="GI21981" s="422"/>
    </row>
    <row r="21982" spans="191:191" x14ac:dyDescent="0.2">
      <c r="GI21982" s="422"/>
    </row>
    <row r="21983" spans="191:191" x14ac:dyDescent="0.2">
      <c r="GI21983" s="422"/>
    </row>
    <row r="21984" spans="191:191" x14ac:dyDescent="0.2">
      <c r="GI21984" s="422"/>
    </row>
    <row r="21985" spans="191:191" x14ac:dyDescent="0.2">
      <c r="GI21985" s="422"/>
    </row>
    <row r="21986" spans="191:191" x14ac:dyDescent="0.2">
      <c r="GI21986" s="422"/>
    </row>
    <row r="21987" spans="191:191" x14ac:dyDescent="0.2">
      <c r="GI21987" s="422"/>
    </row>
    <row r="21988" spans="191:191" x14ac:dyDescent="0.2">
      <c r="GI21988" s="422"/>
    </row>
    <row r="21989" spans="191:191" x14ac:dyDescent="0.2">
      <c r="GI21989" s="422"/>
    </row>
    <row r="21990" spans="191:191" x14ac:dyDescent="0.2">
      <c r="GI21990" s="422"/>
    </row>
    <row r="21991" spans="191:191" x14ac:dyDescent="0.2">
      <c r="GI21991" s="422"/>
    </row>
    <row r="21992" spans="191:191" x14ac:dyDescent="0.2">
      <c r="GI21992" s="422"/>
    </row>
    <row r="21993" spans="191:191" x14ac:dyDescent="0.2">
      <c r="GI21993" s="422"/>
    </row>
    <row r="21994" spans="191:191" x14ac:dyDescent="0.2">
      <c r="GI21994" s="422"/>
    </row>
    <row r="21995" spans="191:191" x14ac:dyDescent="0.2">
      <c r="GI21995" s="422"/>
    </row>
    <row r="21996" spans="191:191" x14ac:dyDescent="0.2">
      <c r="GI21996" s="422"/>
    </row>
    <row r="21997" spans="191:191" x14ac:dyDescent="0.2">
      <c r="GI21997" s="422"/>
    </row>
    <row r="21998" spans="191:191" x14ac:dyDescent="0.2">
      <c r="GI21998" s="422"/>
    </row>
    <row r="21999" spans="191:191" x14ac:dyDescent="0.2">
      <c r="GI21999" s="422"/>
    </row>
    <row r="22000" spans="191:191" x14ac:dyDescent="0.2">
      <c r="GI22000" s="422"/>
    </row>
    <row r="22001" spans="191:191" x14ac:dyDescent="0.2">
      <c r="GI22001" s="422"/>
    </row>
    <row r="22002" spans="191:191" x14ac:dyDescent="0.2">
      <c r="GI22002" s="422"/>
    </row>
    <row r="22003" spans="191:191" x14ac:dyDescent="0.2">
      <c r="GI22003" s="422"/>
    </row>
    <row r="22004" spans="191:191" x14ac:dyDescent="0.2">
      <c r="GI22004" s="422"/>
    </row>
    <row r="22005" spans="191:191" x14ac:dyDescent="0.2">
      <c r="GI22005" s="422"/>
    </row>
    <row r="22006" spans="191:191" x14ac:dyDescent="0.2">
      <c r="GI22006" s="422"/>
    </row>
    <row r="22007" spans="191:191" x14ac:dyDescent="0.2">
      <c r="GI22007" s="422"/>
    </row>
    <row r="22008" spans="191:191" x14ac:dyDescent="0.2">
      <c r="GI22008" s="422"/>
    </row>
    <row r="22009" spans="191:191" x14ac:dyDescent="0.2">
      <c r="GI22009" s="422"/>
    </row>
    <row r="22010" spans="191:191" x14ac:dyDescent="0.2">
      <c r="GI22010" s="422"/>
    </row>
    <row r="22011" spans="191:191" x14ac:dyDescent="0.2">
      <c r="GI22011" s="422"/>
    </row>
    <row r="22012" spans="191:191" x14ac:dyDescent="0.2">
      <c r="GI22012" s="422"/>
    </row>
    <row r="22013" spans="191:191" x14ac:dyDescent="0.2">
      <c r="GI22013" s="422"/>
    </row>
    <row r="22014" spans="191:191" x14ac:dyDescent="0.2">
      <c r="GI22014" s="422"/>
    </row>
    <row r="22015" spans="191:191" x14ac:dyDescent="0.2">
      <c r="GI22015" s="422"/>
    </row>
    <row r="22016" spans="191:191" x14ac:dyDescent="0.2">
      <c r="GI22016" s="422"/>
    </row>
    <row r="22017" spans="191:191" x14ac:dyDescent="0.2">
      <c r="GI22017" s="422"/>
    </row>
    <row r="22018" spans="191:191" x14ac:dyDescent="0.2">
      <c r="GI22018" s="422"/>
    </row>
    <row r="22019" spans="191:191" x14ac:dyDescent="0.2">
      <c r="GI22019" s="422"/>
    </row>
    <row r="22020" spans="191:191" x14ac:dyDescent="0.2">
      <c r="GI22020" s="422"/>
    </row>
    <row r="22021" spans="191:191" x14ac:dyDescent="0.2">
      <c r="GI22021" s="422"/>
    </row>
    <row r="22022" spans="191:191" x14ac:dyDescent="0.2">
      <c r="GI22022" s="422"/>
    </row>
    <row r="22023" spans="191:191" x14ac:dyDescent="0.2">
      <c r="GI22023" s="422"/>
    </row>
    <row r="22024" spans="191:191" x14ac:dyDescent="0.2">
      <c r="GI22024" s="422"/>
    </row>
    <row r="22025" spans="191:191" x14ac:dyDescent="0.2">
      <c r="GI22025" s="422"/>
    </row>
    <row r="22026" spans="191:191" x14ac:dyDescent="0.2">
      <c r="GI22026" s="422"/>
    </row>
    <row r="22027" spans="191:191" x14ac:dyDescent="0.2">
      <c r="GI22027" s="422"/>
    </row>
    <row r="22028" spans="191:191" x14ac:dyDescent="0.2">
      <c r="GI22028" s="422"/>
    </row>
    <row r="22029" spans="191:191" x14ac:dyDescent="0.2">
      <c r="GI22029" s="422"/>
    </row>
    <row r="22030" spans="191:191" x14ac:dyDescent="0.2">
      <c r="GI22030" s="422"/>
    </row>
    <row r="22031" spans="191:191" x14ac:dyDescent="0.2">
      <c r="GI22031" s="422"/>
    </row>
    <row r="22032" spans="191:191" x14ac:dyDescent="0.2">
      <c r="GI22032" s="422"/>
    </row>
    <row r="22033" spans="191:191" x14ac:dyDescent="0.2">
      <c r="GI22033" s="422"/>
    </row>
    <row r="22034" spans="191:191" x14ac:dyDescent="0.2">
      <c r="GI22034" s="422"/>
    </row>
    <row r="22035" spans="191:191" x14ac:dyDescent="0.2">
      <c r="GI22035" s="422"/>
    </row>
    <row r="22036" spans="191:191" x14ac:dyDescent="0.2">
      <c r="GI22036" s="422"/>
    </row>
    <row r="22037" spans="191:191" x14ac:dyDescent="0.2">
      <c r="GI22037" s="422"/>
    </row>
    <row r="22038" spans="191:191" x14ac:dyDescent="0.2">
      <c r="GI22038" s="422"/>
    </row>
    <row r="22039" spans="191:191" x14ac:dyDescent="0.2">
      <c r="GI22039" s="422"/>
    </row>
    <row r="22040" spans="191:191" x14ac:dyDescent="0.2">
      <c r="GI22040" s="422"/>
    </row>
    <row r="22041" spans="191:191" x14ac:dyDescent="0.2">
      <c r="GI22041" s="422"/>
    </row>
    <row r="22042" spans="191:191" x14ac:dyDescent="0.2">
      <c r="GI22042" s="422"/>
    </row>
    <row r="22043" spans="191:191" x14ac:dyDescent="0.2">
      <c r="GI22043" s="422"/>
    </row>
    <row r="22044" spans="191:191" x14ac:dyDescent="0.2">
      <c r="GI22044" s="422"/>
    </row>
    <row r="22045" spans="191:191" x14ac:dyDescent="0.2">
      <c r="GI22045" s="422"/>
    </row>
    <row r="22046" spans="191:191" x14ac:dyDescent="0.2">
      <c r="GI22046" s="422"/>
    </row>
    <row r="22047" spans="191:191" x14ac:dyDescent="0.2">
      <c r="GI22047" s="422"/>
    </row>
    <row r="22048" spans="191:191" x14ac:dyDescent="0.2">
      <c r="GI22048" s="422"/>
    </row>
    <row r="22049" spans="191:191" x14ac:dyDescent="0.2">
      <c r="GI22049" s="422"/>
    </row>
    <row r="22050" spans="191:191" x14ac:dyDescent="0.2">
      <c r="GI22050" s="422"/>
    </row>
    <row r="22051" spans="191:191" x14ac:dyDescent="0.2">
      <c r="GI22051" s="422"/>
    </row>
    <row r="22052" spans="191:191" x14ac:dyDescent="0.2">
      <c r="GI22052" s="422"/>
    </row>
    <row r="22053" spans="191:191" x14ac:dyDescent="0.2">
      <c r="GI22053" s="422"/>
    </row>
    <row r="22054" spans="191:191" x14ac:dyDescent="0.2">
      <c r="GI22054" s="422"/>
    </row>
    <row r="22055" spans="191:191" x14ac:dyDescent="0.2">
      <c r="GI22055" s="422"/>
    </row>
    <row r="22056" spans="191:191" x14ac:dyDescent="0.2">
      <c r="GI22056" s="422"/>
    </row>
    <row r="22057" spans="191:191" x14ac:dyDescent="0.2">
      <c r="GI22057" s="422"/>
    </row>
    <row r="22058" spans="191:191" x14ac:dyDescent="0.2">
      <c r="GI22058" s="422"/>
    </row>
    <row r="22059" spans="191:191" x14ac:dyDescent="0.2">
      <c r="GI22059" s="422"/>
    </row>
    <row r="22060" spans="191:191" x14ac:dyDescent="0.2">
      <c r="GI22060" s="422"/>
    </row>
    <row r="22061" spans="191:191" x14ac:dyDescent="0.2">
      <c r="GI22061" s="422"/>
    </row>
    <row r="22062" spans="191:191" x14ac:dyDescent="0.2">
      <c r="GI22062" s="422"/>
    </row>
    <row r="22063" spans="191:191" x14ac:dyDescent="0.2">
      <c r="GI22063" s="422"/>
    </row>
    <row r="22064" spans="191:191" x14ac:dyDescent="0.2">
      <c r="GI22064" s="422"/>
    </row>
    <row r="22065" spans="191:191" x14ac:dyDescent="0.2">
      <c r="GI22065" s="422"/>
    </row>
    <row r="22066" spans="191:191" x14ac:dyDescent="0.2">
      <c r="GI22066" s="422"/>
    </row>
    <row r="22067" spans="191:191" x14ac:dyDescent="0.2">
      <c r="GI22067" s="422"/>
    </row>
    <row r="22068" spans="191:191" x14ac:dyDescent="0.2">
      <c r="GI22068" s="422"/>
    </row>
    <row r="22069" spans="191:191" x14ac:dyDescent="0.2">
      <c r="GI22069" s="422"/>
    </row>
    <row r="22070" spans="191:191" x14ac:dyDescent="0.2">
      <c r="GI22070" s="422"/>
    </row>
    <row r="22071" spans="191:191" x14ac:dyDescent="0.2">
      <c r="GI22071" s="422"/>
    </row>
    <row r="22072" spans="191:191" x14ac:dyDescent="0.2">
      <c r="GI22072" s="422"/>
    </row>
    <row r="22073" spans="191:191" x14ac:dyDescent="0.2">
      <c r="GI22073" s="422"/>
    </row>
    <row r="22074" spans="191:191" x14ac:dyDescent="0.2">
      <c r="GI22074" s="422"/>
    </row>
    <row r="22075" spans="191:191" x14ac:dyDescent="0.2">
      <c r="GI22075" s="422"/>
    </row>
    <row r="22076" spans="191:191" x14ac:dyDescent="0.2">
      <c r="GI22076" s="422"/>
    </row>
    <row r="22077" spans="191:191" x14ac:dyDescent="0.2">
      <c r="GI22077" s="422"/>
    </row>
    <row r="22078" spans="191:191" x14ac:dyDescent="0.2">
      <c r="GI22078" s="422"/>
    </row>
    <row r="22079" spans="191:191" x14ac:dyDescent="0.2">
      <c r="GI22079" s="422"/>
    </row>
    <row r="22080" spans="191:191" x14ac:dyDescent="0.2">
      <c r="GI22080" s="422"/>
    </row>
    <row r="22081" spans="191:191" x14ac:dyDescent="0.2">
      <c r="GI22081" s="422"/>
    </row>
    <row r="22082" spans="191:191" x14ac:dyDescent="0.2">
      <c r="GI22082" s="422"/>
    </row>
    <row r="22083" spans="191:191" x14ac:dyDescent="0.2">
      <c r="GI22083" s="422"/>
    </row>
    <row r="22084" spans="191:191" x14ac:dyDescent="0.2">
      <c r="GI22084" s="422"/>
    </row>
    <row r="22085" spans="191:191" x14ac:dyDescent="0.2">
      <c r="GI22085" s="422"/>
    </row>
    <row r="22086" spans="191:191" x14ac:dyDescent="0.2">
      <c r="GI22086" s="422"/>
    </row>
    <row r="22087" spans="191:191" x14ac:dyDescent="0.2">
      <c r="GI22087" s="422"/>
    </row>
    <row r="22088" spans="191:191" x14ac:dyDescent="0.2">
      <c r="GI22088" s="422"/>
    </row>
    <row r="22089" spans="191:191" x14ac:dyDescent="0.2">
      <c r="GI22089" s="422"/>
    </row>
    <row r="22090" spans="191:191" x14ac:dyDescent="0.2">
      <c r="GI22090" s="422"/>
    </row>
    <row r="22091" spans="191:191" x14ac:dyDescent="0.2">
      <c r="GI22091" s="422"/>
    </row>
    <row r="22092" spans="191:191" x14ac:dyDescent="0.2">
      <c r="GI22092" s="422"/>
    </row>
    <row r="22093" spans="191:191" x14ac:dyDescent="0.2">
      <c r="GI22093" s="422"/>
    </row>
    <row r="22094" spans="191:191" x14ac:dyDescent="0.2">
      <c r="GI22094" s="422"/>
    </row>
    <row r="22095" spans="191:191" x14ac:dyDescent="0.2">
      <c r="GI22095" s="422"/>
    </row>
    <row r="22096" spans="191:191" x14ac:dyDescent="0.2">
      <c r="GI22096" s="422"/>
    </row>
    <row r="22097" spans="191:191" x14ac:dyDescent="0.2">
      <c r="GI22097" s="422"/>
    </row>
    <row r="22098" spans="191:191" x14ac:dyDescent="0.2">
      <c r="GI22098" s="422"/>
    </row>
    <row r="22099" spans="191:191" x14ac:dyDescent="0.2">
      <c r="GI22099" s="422"/>
    </row>
    <row r="22100" spans="191:191" x14ac:dyDescent="0.2">
      <c r="GI22100" s="422"/>
    </row>
    <row r="22101" spans="191:191" x14ac:dyDescent="0.2">
      <c r="GI22101" s="422"/>
    </row>
    <row r="22102" spans="191:191" x14ac:dyDescent="0.2">
      <c r="GI22102" s="422"/>
    </row>
    <row r="22103" spans="191:191" x14ac:dyDescent="0.2">
      <c r="GI22103" s="422"/>
    </row>
    <row r="22104" spans="191:191" x14ac:dyDescent="0.2">
      <c r="GI22104" s="422"/>
    </row>
    <row r="22105" spans="191:191" x14ac:dyDescent="0.2">
      <c r="GI22105" s="422"/>
    </row>
    <row r="22106" spans="191:191" x14ac:dyDescent="0.2">
      <c r="GI22106" s="422"/>
    </row>
    <row r="22107" spans="191:191" x14ac:dyDescent="0.2">
      <c r="GI22107" s="422"/>
    </row>
    <row r="22108" spans="191:191" x14ac:dyDescent="0.2">
      <c r="GI22108" s="422"/>
    </row>
    <row r="22109" spans="191:191" x14ac:dyDescent="0.2">
      <c r="GI22109" s="422"/>
    </row>
    <row r="22110" spans="191:191" x14ac:dyDescent="0.2">
      <c r="GI22110" s="422"/>
    </row>
    <row r="22111" spans="191:191" x14ac:dyDescent="0.2">
      <c r="GI22111" s="422"/>
    </row>
    <row r="22112" spans="191:191" x14ac:dyDescent="0.2">
      <c r="GI22112" s="422"/>
    </row>
    <row r="22113" spans="191:191" x14ac:dyDescent="0.2">
      <c r="GI22113" s="422"/>
    </row>
    <row r="22114" spans="191:191" x14ac:dyDescent="0.2">
      <c r="GI22114" s="422"/>
    </row>
    <row r="22115" spans="191:191" x14ac:dyDescent="0.2">
      <c r="GI22115" s="422"/>
    </row>
    <row r="22116" spans="191:191" x14ac:dyDescent="0.2">
      <c r="GI22116" s="422"/>
    </row>
    <row r="22117" spans="191:191" x14ac:dyDescent="0.2">
      <c r="GI22117" s="422"/>
    </row>
    <row r="22118" spans="191:191" x14ac:dyDescent="0.2">
      <c r="GI22118" s="422"/>
    </row>
    <row r="22119" spans="191:191" x14ac:dyDescent="0.2">
      <c r="GI22119" s="422"/>
    </row>
    <row r="22120" spans="191:191" x14ac:dyDescent="0.2">
      <c r="GI22120" s="422"/>
    </row>
    <row r="22121" spans="191:191" x14ac:dyDescent="0.2">
      <c r="GI22121" s="422"/>
    </row>
    <row r="22122" spans="191:191" x14ac:dyDescent="0.2">
      <c r="GI22122" s="422"/>
    </row>
    <row r="22123" spans="191:191" x14ac:dyDescent="0.2">
      <c r="GI22123" s="422"/>
    </row>
    <row r="22124" spans="191:191" x14ac:dyDescent="0.2">
      <c r="GI22124" s="422"/>
    </row>
    <row r="22125" spans="191:191" x14ac:dyDescent="0.2">
      <c r="GI22125" s="422"/>
    </row>
    <row r="22126" spans="191:191" x14ac:dyDescent="0.2">
      <c r="GI22126" s="422"/>
    </row>
    <row r="22127" spans="191:191" x14ac:dyDescent="0.2">
      <c r="GI22127" s="422"/>
    </row>
    <row r="22128" spans="191:191" x14ac:dyDescent="0.2">
      <c r="GI22128" s="422"/>
    </row>
    <row r="22129" spans="191:191" x14ac:dyDescent="0.2">
      <c r="GI22129" s="422"/>
    </row>
    <row r="22130" spans="191:191" x14ac:dyDescent="0.2">
      <c r="GI22130" s="422"/>
    </row>
    <row r="22131" spans="191:191" x14ac:dyDescent="0.2">
      <c r="GI22131" s="422"/>
    </row>
    <row r="22132" spans="191:191" x14ac:dyDescent="0.2">
      <c r="GI22132" s="422"/>
    </row>
    <row r="22133" spans="191:191" x14ac:dyDescent="0.2">
      <c r="GI22133" s="422"/>
    </row>
    <row r="22134" spans="191:191" x14ac:dyDescent="0.2">
      <c r="GI22134" s="422"/>
    </row>
    <row r="22135" spans="191:191" x14ac:dyDescent="0.2">
      <c r="GI22135" s="422"/>
    </row>
    <row r="22136" spans="191:191" x14ac:dyDescent="0.2">
      <c r="GI22136" s="422"/>
    </row>
    <row r="22137" spans="191:191" x14ac:dyDescent="0.2">
      <c r="GI22137" s="422"/>
    </row>
    <row r="22138" spans="191:191" x14ac:dyDescent="0.2">
      <c r="GI22138" s="422"/>
    </row>
    <row r="22139" spans="191:191" x14ac:dyDescent="0.2">
      <c r="GI22139" s="422"/>
    </row>
    <row r="22140" spans="191:191" x14ac:dyDescent="0.2">
      <c r="GI22140" s="422"/>
    </row>
    <row r="22141" spans="191:191" x14ac:dyDescent="0.2">
      <c r="GI22141" s="422"/>
    </row>
    <row r="22142" spans="191:191" x14ac:dyDescent="0.2">
      <c r="GI22142" s="422"/>
    </row>
    <row r="22143" spans="191:191" x14ac:dyDescent="0.2">
      <c r="GI22143" s="422"/>
    </row>
    <row r="22144" spans="191:191" x14ac:dyDescent="0.2">
      <c r="GI22144" s="422"/>
    </row>
    <row r="22145" spans="191:191" x14ac:dyDescent="0.2">
      <c r="GI22145" s="422"/>
    </row>
    <row r="22146" spans="191:191" x14ac:dyDescent="0.2">
      <c r="GI22146" s="422"/>
    </row>
    <row r="22147" spans="191:191" x14ac:dyDescent="0.2">
      <c r="GI22147" s="422"/>
    </row>
    <row r="22148" spans="191:191" x14ac:dyDescent="0.2">
      <c r="GI22148" s="422"/>
    </row>
    <row r="22149" spans="191:191" x14ac:dyDescent="0.2">
      <c r="GI22149" s="422"/>
    </row>
    <row r="22150" spans="191:191" x14ac:dyDescent="0.2">
      <c r="GI22150" s="422"/>
    </row>
    <row r="22151" spans="191:191" x14ac:dyDescent="0.2">
      <c r="GI22151" s="422"/>
    </row>
    <row r="22152" spans="191:191" x14ac:dyDescent="0.2">
      <c r="GI22152" s="422"/>
    </row>
    <row r="22153" spans="191:191" x14ac:dyDescent="0.2">
      <c r="GI22153" s="422"/>
    </row>
    <row r="22154" spans="191:191" x14ac:dyDescent="0.2">
      <c r="GI22154" s="422"/>
    </row>
    <row r="22155" spans="191:191" x14ac:dyDescent="0.2">
      <c r="GI22155" s="422"/>
    </row>
    <row r="22156" spans="191:191" x14ac:dyDescent="0.2">
      <c r="GI22156" s="422"/>
    </row>
    <row r="22157" spans="191:191" x14ac:dyDescent="0.2">
      <c r="GI22157" s="422"/>
    </row>
    <row r="22158" spans="191:191" x14ac:dyDescent="0.2">
      <c r="GI22158" s="422"/>
    </row>
    <row r="22159" spans="191:191" x14ac:dyDescent="0.2">
      <c r="GI22159" s="422"/>
    </row>
    <row r="22160" spans="191:191" x14ac:dyDescent="0.2">
      <c r="GI22160" s="422"/>
    </row>
    <row r="22161" spans="191:191" x14ac:dyDescent="0.2">
      <c r="GI22161" s="422"/>
    </row>
    <row r="22162" spans="191:191" x14ac:dyDescent="0.2">
      <c r="GI22162" s="422"/>
    </row>
    <row r="22163" spans="191:191" x14ac:dyDescent="0.2">
      <c r="GI22163" s="422"/>
    </row>
    <row r="22164" spans="191:191" x14ac:dyDescent="0.2">
      <c r="GI22164" s="422"/>
    </row>
    <row r="22165" spans="191:191" x14ac:dyDescent="0.2">
      <c r="GI22165" s="422"/>
    </row>
    <row r="22166" spans="191:191" x14ac:dyDescent="0.2">
      <c r="GI22166" s="422"/>
    </row>
    <row r="22167" spans="191:191" x14ac:dyDescent="0.2">
      <c r="GI22167" s="422"/>
    </row>
    <row r="22168" spans="191:191" x14ac:dyDescent="0.2">
      <c r="GI22168" s="422"/>
    </row>
    <row r="22169" spans="191:191" x14ac:dyDescent="0.2">
      <c r="GI22169" s="422"/>
    </row>
    <row r="22170" spans="191:191" x14ac:dyDescent="0.2">
      <c r="GI22170" s="422"/>
    </row>
    <row r="22171" spans="191:191" x14ac:dyDescent="0.2">
      <c r="GI22171" s="422"/>
    </row>
    <row r="22172" spans="191:191" x14ac:dyDescent="0.2">
      <c r="GI22172" s="422"/>
    </row>
    <row r="22173" spans="191:191" x14ac:dyDescent="0.2">
      <c r="GI22173" s="422"/>
    </row>
    <row r="22174" spans="191:191" x14ac:dyDescent="0.2">
      <c r="GI22174" s="422"/>
    </row>
    <row r="22175" spans="191:191" x14ac:dyDescent="0.2">
      <c r="GI22175" s="422"/>
    </row>
    <row r="22176" spans="191:191" x14ac:dyDescent="0.2">
      <c r="GI22176" s="422"/>
    </row>
    <row r="22177" spans="191:191" x14ac:dyDescent="0.2">
      <c r="GI22177" s="422"/>
    </row>
    <row r="22178" spans="191:191" x14ac:dyDescent="0.2">
      <c r="GI22178" s="422"/>
    </row>
    <row r="22179" spans="191:191" x14ac:dyDescent="0.2">
      <c r="GI22179" s="422"/>
    </row>
    <row r="22180" spans="191:191" x14ac:dyDescent="0.2">
      <c r="GI22180" s="422"/>
    </row>
    <row r="22181" spans="191:191" x14ac:dyDescent="0.2">
      <c r="GI22181" s="422"/>
    </row>
    <row r="22182" spans="191:191" x14ac:dyDescent="0.2">
      <c r="GI22182" s="422"/>
    </row>
    <row r="22183" spans="191:191" x14ac:dyDescent="0.2">
      <c r="GI22183" s="422"/>
    </row>
    <row r="22184" spans="191:191" x14ac:dyDescent="0.2">
      <c r="GI22184" s="422"/>
    </row>
    <row r="22185" spans="191:191" x14ac:dyDescent="0.2">
      <c r="GI22185" s="422"/>
    </row>
    <row r="22186" spans="191:191" x14ac:dyDescent="0.2">
      <c r="GI22186" s="422"/>
    </row>
    <row r="22187" spans="191:191" x14ac:dyDescent="0.2">
      <c r="GI22187" s="422"/>
    </row>
    <row r="22188" spans="191:191" x14ac:dyDescent="0.2">
      <c r="GI22188" s="422"/>
    </row>
    <row r="22189" spans="191:191" x14ac:dyDescent="0.2">
      <c r="GI22189" s="422"/>
    </row>
    <row r="22190" spans="191:191" x14ac:dyDescent="0.2">
      <c r="GI22190" s="422"/>
    </row>
    <row r="22191" spans="191:191" x14ac:dyDescent="0.2">
      <c r="GI22191" s="422"/>
    </row>
    <row r="22192" spans="191:191" x14ac:dyDescent="0.2">
      <c r="GI22192" s="422"/>
    </row>
    <row r="22193" spans="191:191" x14ac:dyDescent="0.2">
      <c r="GI22193" s="422"/>
    </row>
    <row r="22194" spans="191:191" x14ac:dyDescent="0.2">
      <c r="GI22194" s="422"/>
    </row>
    <row r="22195" spans="191:191" x14ac:dyDescent="0.2">
      <c r="GI22195" s="422"/>
    </row>
    <row r="22196" spans="191:191" x14ac:dyDescent="0.2">
      <c r="GI22196" s="422"/>
    </row>
    <row r="22197" spans="191:191" x14ac:dyDescent="0.2">
      <c r="GI22197" s="422"/>
    </row>
    <row r="22198" spans="191:191" x14ac:dyDescent="0.2">
      <c r="GI22198" s="422"/>
    </row>
    <row r="22199" spans="191:191" x14ac:dyDescent="0.2">
      <c r="GI22199" s="422"/>
    </row>
    <row r="22200" spans="191:191" x14ac:dyDescent="0.2">
      <c r="GI22200" s="422"/>
    </row>
    <row r="22201" spans="191:191" x14ac:dyDescent="0.2">
      <c r="GI22201" s="422"/>
    </row>
    <row r="22202" spans="191:191" x14ac:dyDescent="0.2">
      <c r="GI22202" s="422"/>
    </row>
    <row r="22203" spans="191:191" x14ac:dyDescent="0.2">
      <c r="GI22203" s="422"/>
    </row>
    <row r="22204" spans="191:191" x14ac:dyDescent="0.2">
      <c r="GI22204" s="422"/>
    </row>
    <row r="22205" spans="191:191" x14ac:dyDescent="0.2">
      <c r="GI22205" s="422"/>
    </row>
    <row r="22206" spans="191:191" x14ac:dyDescent="0.2">
      <c r="GI22206" s="422"/>
    </row>
    <row r="22207" spans="191:191" x14ac:dyDescent="0.2">
      <c r="GI22207" s="422"/>
    </row>
    <row r="22208" spans="191:191" x14ac:dyDescent="0.2">
      <c r="GI22208" s="422"/>
    </row>
    <row r="22209" spans="191:191" x14ac:dyDescent="0.2">
      <c r="GI22209" s="422"/>
    </row>
    <row r="22210" spans="191:191" x14ac:dyDescent="0.2">
      <c r="GI22210" s="422"/>
    </row>
    <row r="22211" spans="191:191" x14ac:dyDescent="0.2">
      <c r="GI22211" s="422"/>
    </row>
    <row r="22212" spans="191:191" x14ac:dyDescent="0.2">
      <c r="GI22212" s="422"/>
    </row>
    <row r="22213" spans="191:191" x14ac:dyDescent="0.2">
      <c r="GI22213" s="422"/>
    </row>
    <row r="22214" spans="191:191" x14ac:dyDescent="0.2">
      <c r="GI22214" s="422"/>
    </row>
    <row r="22215" spans="191:191" x14ac:dyDescent="0.2">
      <c r="GI22215" s="422"/>
    </row>
    <row r="22216" spans="191:191" x14ac:dyDescent="0.2">
      <c r="GI22216" s="422"/>
    </row>
    <row r="22217" spans="191:191" x14ac:dyDescent="0.2">
      <c r="GI22217" s="422"/>
    </row>
    <row r="22218" spans="191:191" x14ac:dyDescent="0.2">
      <c r="GI22218" s="422"/>
    </row>
    <row r="22219" spans="191:191" x14ac:dyDescent="0.2">
      <c r="GI22219" s="422"/>
    </row>
    <row r="22220" spans="191:191" x14ac:dyDescent="0.2">
      <c r="GI22220" s="422"/>
    </row>
    <row r="22221" spans="191:191" x14ac:dyDescent="0.2">
      <c r="GI22221" s="422"/>
    </row>
    <row r="22222" spans="191:191" x14ac:dyDescent="0.2">
      <c r="GI22222" s="422"/>
    </row>
    <row r="22223" spans="191:191" x14ac:dyDescent="0.2">
      <c r="GI22223" s="422"/>
    </row>
    <row r="22224" spans="191:191" x14ac:dyDescent="0.2">
      <c r="GI22224" s="422"/>
    </row>
    <row r="22225" spans="191:191" x14ac:dyDescent="0.2">
      <c r="GI22225" s="422"/>
    </row>
    <row r="22226" spans="191:191" x14ac:dyDescent="0.2">
      <c r="GI22226" s="422"/>
    </row>
    <row r="22227" spans="191:191" x14ac:dyDescent="0.2">
      <c r="GI22227" s="422"/>
    </row>
    <row r="22228" spans="191:191" x14ac:dyDescent="0.2">
      <c r="GI22228" s="422"/>
    </row>
    <row r="22229" spans="191:191" x14ac:dyDescent="0.2">
      <c r="GI22229" s="422"/>
    </row>
    <row r="22230" spans="191:191" x14ac:dyDescent="0.2">
      <c r="GI22230" s="422"/>
    </row>
    <row r="22231" spans="191:191" x14ac:dyDescent="0.2">
      <c r="GI22231" s="422"/>
    </row>
    <row r="22232" spans="191:191" x14ac:dyDescent="0.2">
      <c r="GI22232" s="422"/>
    </row>
    <row r="22233" spans="191:191" x14ac:dyDescent="0.2">
      <c r="GI22233" s="422"/>
    </row>
    <row r="22234" spans="191:191" x14ac:dyDescent="0.2">
      <c r="GI22234" s="422"/>
    </row>
    <row r="22235" spans="191:191" x14ac:dyDescent="0.2">
      <c r="GI22235" s="422"/>
    </row>
    <row r="22236" spans="191:191" x14ac:dyDescent="0.2">
      <c r="GI22236" s="422"/>
    </row>
    <row r="22237" spans="191:191" x14ac:dyDescent="0.2">
      <c r="GI22237" s="422"/>
    </row>
    <row r="22238" spans="191:191" x14ac:dyDescent="0.2">
      <c r="GI22238" s="422"/>
    </row>
    <row r="22239" spans="191:191" x14ac:dyDescent="0.2">
      <c r="GI22239" s="422"/>
    </row>
    <row r="22240" spans="191:191" x14ac:dyDescent="0.2">
      <c r="GI22240" s="422"/>
    </row>
    <row r="22241" spans="191:191" x14ac:dyDescent="0.2">
      <c r="GI22241" s="422"/>
    </row>
    <row r="22242" spans="191:191" x14ac:dyDescent="0.2">
      <c r="GI22242" s="422"/>
    </row>
    <row r="22243" spans="191:191" x14ac:dyDescent="0.2">
      <c r="GI22243" s="422"/>
    </row>
    <row r="22244" spans="191:191" x14ac:dyDescent="0.2">
      <c r="GI22244" s="422"/>
    </row>
    <row r="22245" spans="191:191" x14ac:dyDescent="0.2">
      <c r="GI22245" s="422"/>
    </row>
    <row r="22246" spans="191:191" x14ac:dyDescent="0.2">
      <c r="GI22246" s="422"/>
    </row>
    <row r="22247" spans="191:191" x14ac:dyDescent="0.2">
      <c r="GI22247" s="422"/>
    </row>
    <row r="22248" spans="191:191" x14ac:dyDescent="0.2">
      <c r="GI22248" s="422"/>
    </row>
    <row r="22249" spans="191:191" x14ac:dyDescent="0.2">
      <c r="GI22249" s="422"/>
    </row>
    <row r="22250" spans="191:191" x14ac:dyDescent="0.2">
      <c r="GI22250" s="422"/>
    </row>
    <row r="22251" spans="191:191" x14ac:dyDescent="0.2">
      <c r="GI22251" s="422"/>
    </row>
    <row r="22252" spans="191:191" x14ac:dyDescent="0.2">
      <c r="GI22252" s="422"/>
    </row>
    <row r="22253" spans="191:191" x14ac:dyDescent="0.2">
      <c r="GI22253" s="422"/>
    </row>
    <row r="22254" spans="191:191" x14ac:dyDescent="0.2">
      <c r="GI22254" s="422"/>
    </row>
    <row r="22255" spans="191:191" x14ac:dyDescent="0.2">
      <c r="GI22255" s="422"/>
    </row>
    <row r="22256" spans="191:191" x14ac:dyDescent="0.2">
      <c r="GI22256" s="422"/>
    </row>
    <row r="22257" spans="191:191" x14ac:dyDescent="0.2">
      <c r="GI22257" s="422"/>
    </row>
    <row r="22258" spans="191:191" x14ac:dyDescent="0.2">
      <c r="GI22258" s="422"/>
    </row>
    <row r="22259" spans="191:191" x14ac:dyDescent="0.2">
      <c r="GI22259" s="422"/>
    </row>
    <row r="22260" spans="191:191" x14ac:dyDescent="0.2">
      <c r="GI22260" s="422"/>
    </row>
    <row r="22261" spans="191:191" x14ac:dyDescent="0.2">
      <c r="GI22261" s="422"/>
    </row>
    <row r="22262" spans="191:191" x14ac:dyDescent="0.2">
      <c r="GI22262" s="422"/>
    </row>
    <row r="22263" spans="191:191" x14ac:dyDescent="0.2">
      <c r="GI22263" s="422"/>
    </row>
    <row r="22264" spans="191:191" x14ac:dyDescent="0.2">
      <c r="GI22264" s="422"/>
    </row>
    <row r="22265" spans="191:191" x14ac:dyDescent="0.2">
      <c r="GI22265" s="422"/>
    </row>
    <row r="22266" spans="191:191" x14ac:dyDescent="0.2">
      <c r="GI22266" s="422"/>
    </row>
    <row r="22267" spans="191:191" x14ac:dyDescent="0.2">
      <c r="GI22267" s="422"/>
    </row>
    <row r="22268" spans="191:191" x14ac:dyDescent="0.2">
      <c r="GI22268" s="422"/>
    </row>
    <row r="22269" spans="191:191" x14ac:dyDescent="0.2">
      <c r="GI22269" s="422"/>
    </row>
    <row r="22270" spans="191:191" x14ac:dyDescent="0.2">
      <c r="GI22270" s="422"/>
    </row>
    <row r="22271" spans="191:191" x14ac:dyDescent="0.2">
      <c r="GI22271" s="422"/>
    </row>
    <row r="22272" spans="191:191" x14ac:dyDescent="0.2">
      <c r="GI22272" s="422"/>
    </row>
    <row r="22273" spans="191:191" x14ac:dyDescent="0.2">
      <c r="GI22273" s="422"/>
    </row>
    <row r="22274" spans="191:191" x14ac:dyDescent="0.2">
      <c r="GI22274" s="422"/>
    </row>
    <row r="22275" spans="191:191" x14ac:dyDescent="0.2">
      <c r="GI22275" s="422"/>
    </row>
    <row r="22276" spans="191:191" x14ac:dyDescent="0.2">
      <c r="GI22276" s="422"/>
    </row>
    <row r="22277" spans="191:191" x14ac:dyDescent="0.2">
      <c r="GI22277" s="422"/>
    </row>
    <row r="22278" spans="191:191" x14ac:dyDescent="0.2">
      <c r="GI22278" s="422"/>
    </row>
    <row r="22279" spans="191:191" x14ac:dyDescent="0.2">
      <c r="GI22279" s="422"/>
    </row>
    <row r="22280" spans="191:191" x14ac:dyDescent="0.2">
      <c r="GI22280" s="422"/>
    </row>
    <row r="22281" spans="191:191" x14ac:dyDescent="0.2">
      <c r="GI22281" s="422"/>
    </row>
    <row r="22282" spans="191:191" x14ac:dyDescent="0.2">
      <c r="GI22282" s="422"/>
    </row>
    <row r="22283" spans="191:191" x14ac:dyDescent="0.2">
      <c r="GI22283" s="422"/>
    </row>
    <row r="22284" spans="191:191" x14ac:dyDescent="0.2">
      <c r="GI22284" s="422"/>
    </row>
    <row r="22285" spans="191:191" x14ac:dyDescent="0.2">
      <c r="GI22285" s="422"/>
    </row>
    <row r="22286" spans="191:191" x14ac:dyDescent="0.2">
      <c r="GI22286" s="422"/>
    </row>
    <row r="22287" spans="191:191" x14ac:dyDescent="0.2">
      <c r="GI22287" s="422"/>
    </row>
    <row r="22288" spans="191:191" x14ac:dyDescent="0.2">
      <c r="GI22288" s="422"/>
    </row>
    <row r="22289" spans="191:191" x14ac:dyDescent="0.2">
      <c r="GI22289" s="422"/>
    </row>
    <row r="22290" spans="191:191" x14ac:dyDescent="0.2">
      <c r="GI22290" s="422"/>
    </row>
    <row r="22291" spans="191:191" x14ac:dyDescent="0.2">
      <c r="GI22291" s="422"/>
    </row>
    <row r="22292" spans="191:191" x14ac:dyDescent="0.2">
      <c r="GI22292" s="422"/>
    </row>
    <row r="22293" spans="191:191" x14ac:dyDescent="0.2">
      <c r="GI22293" s="422"/>
    </row>
    <row r="22294" spans="191:191" x14ac:dyDescent="0.2">
      <c r="GI22294" s="422"/>
    </row>
    <row r="22295" spans="191:191" x14ac:dyDescent="0.2">
      <c r="GI22295" s="422"/>
    </row>
    <row r="22296" spans="191:191" x14ac:dyDescent="0.2">
      <c r="GI22296" s="422"/>
    </row>
    <row r="22297" spans="191:191" x14ac:dyDescent="0.2">
      <c r="GI22297" s="422"/>
    </row>
    <row r="22298" spans="191:191" x14ac:dyDescent="0.2">
      <c r="GI22298" s="422"/>
    </row>
    <row r="22299" spans="191:191" x14ac:dyDescent="0.2">
      <c r="GI22299" s="422"/>
    </row>
    <row r="22300" spans="191:191" x14ac:dyDescent="0.2">
      <c r="GI22300" s="422"/>
    </row>
    <row r="22301" spans="191:191" x14ac:dyDescent="0.2">
      <c r="GI22301" s="422"/>
    </row>
    <row r="22302" spans="191:191" x14ac:dyDescent="0.2">
      <c r="GI22302" s="422"/>
    </row>
    <row r="22303" spans="191:191" x14ac:dyDescent="0.2">
      <c r="GI22303" s="422"/>
    </row>
    <row r="22304" spans="191:191" x14ac:dyDescent="0.2">
      <c r="GI22304" s="422"/>
    </row>
    <row r="22305" spans="191:191" x14ac:dyDescent="0.2">
      <c r="GI22305" s="422"/>
    </row>
    <row r="22306" spans="191:191" x14ac:dyDescent="0.2">
      <c r="GI22306" s="422"/>
    </row>
    <row r="22307" spans="191:191" x14ac:dyDescent="0.2">
      <c r="GI22307" s="422"/>
    </row>
    <row r="22308" spans="191:191" x14ac:dyDescent="0.2">
      <c r="GI22308" s="422"/>
    </row>
    <row r="22309" spans="191:191" x14ac:dyDescent="0.2">
      <c r="GI22309" s="422"/>
    </row>
    <row r="22310" spans="191:191" x14ac:dyDescent="0.2">
      <c r="GI22310" s="422"/>
    </row>
    <row r="22311" spans="191:191" x14ac:dyDescent="0.2">
      <c r="GI22311" s="422"/>
    </row>
    <row r="22312" spans="191:191" x14ac:dyDescent="0.2">
      <c r="GI22312" s="422"/>
    </row>
    <row r="22313" spans="191:191" x14ac:dyDescent="0.2">
      <c r="GI22313" s="422"/>
    </row>
    <row r="22314" spans="191:191" x14ac:dyDescent="0.2">
      <c r="GI22314" s="422"/>
    </row>
    <row r="22315" spans="191:191" x14ac:dyDescent="0.2">
      <c r="GI22315" s="422"/>
    </row>
    <row r="22316" spans="191:191" x14ac:dyDescent="0.2">
      <c r="GI22316" s="422"/>
    </row>
    <row r="22317" spans="191:191" x14ac:dyDescent="0.2">
      <c r="GI22317" s="422"/>
    </row>
    <row r="22318" spans="191:191" x14ac:dyDescent="0.2">
      <c r="GI22318" s="422"/>
    </row>
    <row r="22319" spans="191:191" x14ac:dyDescent="0.2">
      <c r="GI22319" s="422"/>
    </row>
    <row r="22320" spans="191:191" x14ac:dyDescent="0.2">
      <c r="GI22320" s="422"/>
    </row>
    <row r="22321" spans="191:191" x14ac:dyDescent="0.2">
      <c r="GI22321" s="422"/>
    </row>
    <row r="22322" spans="191:191" x14ac:dyDescent="0.2">
      <c r="GI22322" s="422"/>
    </row>
    <row r="22323" spans="191:191" x14ac:dyDescent="0.2">
      <c r="GI22323" s="422"/>
    </row>
    <row r="22324" spans="191:191" x14ac:dyDescent="0.2">
      <c r="GI22324" s="422"/>
    </row>
    <row r="22325" spans="191:191" x14ac:dyDescent="0.2">
      <c r="GI22325" s="422"/>
    </row>
    <row r="22326" spans="191:191" x14ac:dyDescent="0.2">
      <c r="GI22326" s="422"/>
    </row>
    <row r="22327" spans="191:191" x14ac:dyDescent="0.2">
      <c r="GI22327" s="422"/>
    </row>
    <row r="22328" spans="191:191" x14ac:dyDescent="0.2">
      <c r="GI22328" s="422"/>
    </row>
    <row r="22329" spans="191:191" x14ac:dyDescent="0.2">
      <c r="GI22329" s="422"/>
    </row>
    <row r="22330" spans="191:191" x14ac:dyDescent="0.2">
      <c r="GI22330" s="422"/>
    </row>
    <row r="22331" spans="191:191" x14ac:dyDescent="0.2">
      <c r="GI22331" s="422"/>
    </row>
    <row r="22332" spans="191:191" x14ac:dyDescent="0.2">
      <c r="GI22332" s="422"/>
    </row>
    <row r="22333" spans="191:191" x14ac:dyDescent="0.2">
      <c r="GI22333" s="422"/>
    </row>
    <row r="22334" spans="191:191" x14ac:dyDescent="0.2">
      <c r="GI22334" s="422"/>
    </row>
    <row r="22335" spans="191:191" x14ac:dyDescent="0.2">
      <c r="GI22335" s="422"/>
    </row>
    <row r="22336" spans="191:191" x14ac:dyDescent="0.2">
      <c r="GI22336" s="422"/>
    </row>
    <row r="22337" spans="191:191" x14ac:dyDescent="0.2">
      <c r="GI22337" s="422"/>
    </row>
    <row r="22338" spans="191:191" x14ac:dyDescent="0.2">
      <c r="GI22338" s="422"/>
    </row>
    <row r="22339" spans="191:191" x14ac:dyDescent="0.2">
      <c r="GI22339" s="422"/>
    </row>
    <row r="22340" spans="191:191" x14ac:dyDescent="0.2">
      <c r="GI22340" s="422"/>
    </row>
    <row r="22341" spans="191:191" x14ac:dyDescent="0.2">
      <c r="GI22341" s="422"/>
    </row>
    <row r="22342" spans="191:191" x14ac:dyDescent="0.2">
      <c r="GI22342" s="422"/>
    </row>
    <row r="22343" spans="191:191" x14ac:dyDescent="0.2">
      <c r="GI22343" s="422"/>
    </row>
    <row r="22344" spans="191:191" x14ac:dyDescent="0.2">
      <c r="GI22344" s="422"/>
    </row>
    <row r="22345" spans="191:191" x14ac:dyDescent="0.2">
      <c r="GI22345" s="422"/>
    </row>
    <row r="22346" spans="191:191" x14ac:dyDescent="0.2">
      <c r="GI22346" s="422"/>
    </row>
    <row r="22347" spans="191:191" x14ac:dyDescent="0.2">
      <c r="GI22347" s="422"/>
    </row>
    <row r="22348" spans="191:191" x14ac:dyDescent="0.2">
      <c r="GI22348" s="422"/>
    </row>
    <row r="22349" spans="191:191" x14ac:dyDescent="0.2">
      <c r="GI22349" s="422"/>
    </row>
    <row r="22350" spans="191:191" x14ac:dyDescent="0.2">
      <c r="GI22350" s="422"/>
    </row>
    <row r="22351" spans="191:191" x14ac:dyDescent="0.2">
      <c r="GI22351" s="422"/>
    </row>
    <row r="22352" spans="191:191" x14ac:dyDescent="0.2">
      <c r="GI22352" s="422"/>
    </row>
    <row r="22353" spans="191:191" x14ac:dyDescent="0.2">
      <c r="GI22353" s="422"/>
    </row>
    <row r="22354" spans="191:191" x14ac:dyDescent="0.2">
      <c r="GI22354" s="422"/>
    </row>
    <row r="22355" spans="191:191" x14ac:dyDescent="0.2">
      <c r="GI22355" s="422"/>
    </row>
    <row r="22356" spans="191:191" x14ac:dyDescent="0.2">
      <c r="GI22356" s="422"/>
    </row>
    <row r="22357" spans="191:191" x14ac:dyDescent="0.2">
      <c r="GI22357" s="422"/>
    </row>
    <row r="22358" spans="191:191" x14ac:dyDescent="0.2">
      <c r="GI22358" s="422"/>
    </row>
    <row r="22359" spans="191:191" x14ac:dyDescent="0.2">
      <c r="GI22359" s="422"/>
    </row>
    <row r="22360" spans="191:191" x14ac:dyDescent="0.2">
      <c r="GI22360" s="422"/>
    </row>
    <row r="22361" spans="191:191" x14ac:dyDescent="0.2">
      <c r="GI22361" s="422"/>
    </row>
    <row r="22362" spans="191:191" x14ac:dyDescent="0.2">
      <c r="GI22362" s="422"/>
    </row>
    <row r="22363" spans="191:191" x14ac:dyDescent="0.2">
      <c r="GI22363" s="422"/>
    </row>
    <row r="22364" spans="191:191" x14ac:dyDescent="0.2">
      <c r="GI22364" s="422"/>
    </row>
    <row r="22365" spans="191:191" x14ac:dyDescent="0.2">
      <c r="GI22365" s="422"/>
    </row>
    <row r="22366" spans="191:191" x14ac:dyDescent="0.2">
      <c r="GI22366" s="422"/>
    </row>
    <row r="22367" spans="191:191" x14ac:dyDescent="0.2">
      <c r="GI22367" s="422"/>
    </row>
    <row r="22368" spans="191:191" x14ac:dyDescent="0.2">
      <c r="GI22368" s="422"/>
    </row>
    <row r="22369" spans="191:191" x14ac:dyDescent="0.2">
      <c r="GI22369" s="422"/>
    </row>
    <row r="22370" spans="191:191" x14ac:dyDescent="0.2">
      <c r="GI22370" s="422"/>
    </row>
    <row r="22371" spans="191:191" x14ac:dyDescent="0.2">
      <c r="GI22371" s="422"/>
    </row>
    <row r="22372" spans="191:191" x14ac:dyDescent="0.2">
      <c r="GI22372" s="422"/>
    </row>
    <row r="22373" spans="191:191" x14ac:dyDescent="0.2">
      <c r="GI22373" s="422"/>
    </row>
    <row r="22374" spans="191:191" x14ac:dyDescent="0.2">
      <c r="GI22374" s="422"/>
    </row>
    <row r="22375" spans="191:191" x14ac:dyDescent="0.2">
      <c r="GI22375" s="422"/>
    </row>
    <row r="22376" spans="191:191" x14ac:dyDescent="0.2">
      <c r="GI22376" s="422"/>
    </row>
    <row r="22377" spans="191:191" x14ac:dyDescent="0.2">
      <c r="GI22377" s="422"/>
    </row>
    <row r="22378" spans="191:191" x14ac:dyDescent="0.2">
      <c r="GI22378" s="422"/>
    </row>
    <row r="22379" spans="191:191" x14ac:dyDescent="0.2">
      <c r="GI22379" s="422"/>
    </row>
    <row r="22380" spans="191:191" x14ac:dyDescent="0.2">
      <c r="GI22380" s="422"/>
    </row>
    <row r="22381" spans="191:191" x14ac:dyDescent="0.2">
      <c r="GI22381" s="422"/>
    </row>
    <row r="22382" spans="191:191" x14ac:dyDescent="0.2">
      <c r="GI22382" s="422"/>
    </row>
    <row r="22383" spans="191:191" x14ac:dyDescent="0.2">
      <c r="GI22383" s="422"/>
    </row>
    <row r="22384" spans="191:191" x14ac:dyDescent="0.2">
      <c r="GI22384" s="422"/>
    </row>
    <row r="22385" spans="191:191" x14ac:dyDescent="0.2">
      <c r="GI22385" s="422"/>
    </row>
    <row r="22386" spans="191:191" x14ac:dyDescent="0.2">
      <c r="GI22386" s="422"/>
    </row>
    <row r="22387" spans="191:191" x14ac:dyDescent="0.2">
      <c r="GI22387" s="422"/>
    </row>
    <row r="22388" spans="191:191" x14ac:dyDescent="0.2">
      <c r="GI22388" s="422"/>
    </row>
    <row r="22389" spans="191:191" x14ac:dyDescent="0.2">
      <c r="GI22389" s="422"/>
    </row>
    <row r="22390" spans="191:191" x14ac:dyDescent="0.2">
      <c r="GI22390" s="422"/>
    </row>
    <row r="22391" spans="191:191" x14ac:dyDescent="0.2">
      <c r="GI22391" s="422"/>
    </row>
    <row r="22392" spans="191:191" x14ac:dyDescent="0.2">
      <c r="GI22392" s="422"/>
    </row>
    <row r="22393" spans="191:191" x14ac:dyDescent="0.2">
      <c r="GI22393" s="422"/>
    </row>
    <row r="22394" spans="191:191" x14ac:dyDescent="0.2">
      <c r="GI22394" s="422"/>
    </row>
    <row r="22395" spans="191:191" x14ac:dyDescent="0.2">
      <c r="GI22395" s="422"/>
    </row>
    <row r="22396" spans="191:191" x14ac:dyDescent="0.2">
      <c r="GI22396" s="422"/>
    </row>
    <row r="22397" spans="191:191" x14ac:dyDescent="0.2">
      <c r="GI22397" s="422"/>
    </row>
    <row r="22398" spans="191:191" x14ac:dyDescent="0.2">
      <c r="GI22398" s="422"/>
    </row>
    <row r="22399" spans="191:191" x14ac:dyDescent="0.2">
      <c r="GI22399" s="422"/>
    </row>
    <row r="22400" spans="191:191" x14ac:dyDescent="0.2">
      <c r="GI22400" s="422"/>
    </row>
    <row r="22401" spans="191:191" x14ac:dyDescent="0.2">
      <c r="GI22401" s="422"/>
    </row>
    <row r="22402" spans="191:191" x14ac:dyDescent="0.2">
      <c r="GI22402" s="422"/>
    </row>
    <row r="22403" spans="191:191" x14ac:dyDescent="0.2">
      <c r="GI22403" s="422"/>
    </row>
    <row r="22404" spans="191:191" x14ac:dyDescent="0.2">
      <c r="GI22404" s="422"/>
    </row>
    <row r="22405" spans="191:191" x14ac:dyDescent="0.2">
      <c r="GI22405" s="422"/>
    </row>
    <row r="22406" spans="191:191" x14ac:dyDescent="0.2">
      <c r="GI22406" s="422"/>
    </row>
    <row r="22407" spans="191:191" x14ac:dyDescent="0.2">
      <c r="GI22407" s="422"/>
    </row>
    <row r="22408" spans="191:191" x14ac:dyDescent="0.2">
      <c r="GI22408" s="422"/>
    </row>
    <row r="22409" spans="191:191" x14ac:dyDescent="0.2">
      <c r="GI22409" s="422"/>
    </row>
    <row r="22410" spans="191:191" x14ac:dyDescent="0.2">
      <c r="GI22410" s="422"/>
    </row>
    <row r="22411" spans="191:191" x14ac:dyDescent="0.2">
      <c r="GI22411" s="422"/>
    </row>
    <row r="22412" spans="191:191" x14ac:dyDescent="0.2">
      <c r="GI22412" s="422"/>
    </row>
    <row r="22413" spans="191:191" x14ac:dyDescent="0.2">
      <c r="GI22413" s="422"/>
    </row>
    <row r="22414" spans="191:191" x14ac:dyDescent="0.2">
      <c r="GI22414" s="422"/>
    </row>
    <row r="22415" spans="191:191" x14ac:dyDescent="0.2">
      <c r="GI22415" s="422"/>
    </row>
    <row r="22416" spans="191:191" x14ac:dyDescent="0.2">
      <c r="GI22416" s="422"/>
    </row>
    <row r="22417" spans="191:191" x14ac:dyDescent="0.2">
      <c r="GI22417" s="422"/>
    </row>
    <row r="22418" spans="191:191" x14ac:dyDescent="0.2">
      <c r="GI22418" s="422"/>
    </row>
    <row r="22419" spans="191:191" x14ac:dyDescent="0.2">
      <c r="GI22419" s="422"/>
    </row>
    <row r="22420" spans="191:191" x14ac:dyDescent="0.2">
      <c r="GI22420" s="422"/>
    </row>
    <row r="22421" spans="191:191" x14ac:dyDescent="0.2">
      <c r="GI22421" s="422"/>
    </row>
    <row r="22422" spans="191:191" x14ac:dyDescent="0.2">
      <c r="GI22422" s="422"/>
    </row>
    <row r="22423" spans="191:191" x14ac:dyDescent="0.2">
      <c r="GI22423" s="422"/>
    </row>
    <row r="22424" spans="191:191" x14ac:dyDescent="0.2">
      <c r="GI22424" s="422"/>
    </row>
    <row r="22425" spans="191:191" x14ac:dyDescent="0.2">
      <c r="GI22425" s="422"/>
    </row>
    <row r="22426" spans="191:191" x14ac:dyDescent="0.2">
      <c r="GI22426" s="422"/>
    </row>
    <row r="22427" spans="191:191" x14ac:dyDescent="0.2">
      <c r="GI22427" s="422"/>
    </row>
    <row r="22428" spans="191:191" x14ac:dyDescent="0.2">
      <c r="GI22428" s="422"/>
    </row>
    <row r="22429" spans="191:191" x14ac:dyDescent="0.2">
      <c r="GI22429" s="422"/>
    </row>
    <row r="22430" spans="191:191" x14ac:dyDescent="0.2">
      <c r="GI22430" s="422"/>
    </row>
    <row r="22431" spans="191:191" x14ac:dyDescent="0.2">
      <c r="GI22431" s="422"/>
    </row>
    <row r="22432" spans="191:191" x14ac:dyDescent="0.2">
      <c r="GI22432" s="422"/>
    </row>
    <row r="22433" spans="191:191" x14ac:dyDescent="0.2">
      <c r="GI22433" s="422"/>
    </row>
    <row r="22434" spans="191:191" x14ac:dyDescent="0.2">
      <c r="GI22434" s="422"/>
    </row>
    <row r="22435" spans="191:191" x14ac:dyDescent="0.2">
      <c r="GI22435" s="422"/>
    </row>
    <row r="22436" spans="191:191" x14ac:dyDescent="0.2">
      <c r="GI22436" s="422"/>
    </row>
    <row r="22437" spans="191:191" x14ac:dyDescent="0.2">
      <c r="GI22437" s="422"/>
    </row>
    <row r="22438" spans="191:191" x14ac:dyDescent="0.2">
      <c r="GI22438" s="422"/>
    </row>
    <row r="22439" spans="191:191" x14ac:dyDescent="0.2">
      <c r="GI22439" s="422"/>
    </row>
    <row r="22440" spans="191:191" x14ac:dyDescent="0.2">
      <c r="GI22440" s="422"/>
    </row>
    <row r="22441" spans="191:191" x14ac:dyDescent="0.2">
      <c r="GI22441" s="422"/>
    </row>
    <row r="22442" spans="191:191" x14ac:dyDescent="0.2">
      <c r="GI22442" s="422"/>
    </row>
    <row r="22443" spans="191:191" x14ac:dyDescent="0.2">
      <c r="GI22443" s="422"/>
    </row>
    <row r="22444" spans="191:191" x14ac:dyDescent="0.2">
      <c r="GI22444" s="422"/>
    </row>
    <row r="22445" spans="191:191" x14ac:dyDescent="0.2">
      <c r="GI22445" s="422"/>
    </row>
    <row r="22446" spans="191:191" x14ac:dyDescent="0.2">
      <c r="GI22446" s="422"/>
    </row>
    <row r="22447" spans="191:191" x14ac:dyDescent="0.2">
      <c r="GI22447" s="422"/>
    </row>
    <row r="22448" spans="191:191" x14ac:dyDescent="0.2">
      <c r="GI22448" s="422"/>
    </row>
    <row r="22449" spans="191:191" x14ac:dyDescent="0.2">
      <c r="GI22449" s="422"/>
    </row>
    <row r="22450" spans="191:191" x14ac:dyDescent="0.2">
      <c r="GI22450" s="422"/>
    </row>
    <row r="22451" spans="191:191" x14ac:dyDescent="0.2">
      <c r="GI22451" s="422"/>
    </row>
    <row r="22452" spans="191:191" x14ac:dyDescent="0.2">
      <c r="GI22452" s="422"/>
    </row>
    <row r="22453" spans="191:191" x14ac:dyDescent="0.2">
      <c r="GI22453" s="422"/>
    </row>
    <row r="22454" spans="191:191" x14ac:dyDescent="0.2">
      <c r="GI22454" s="422"/>
    </row>
    <row r="22455" spans="191:191" x14ac:dyDescent="0.2">
      <c r="GI22455" s="422"/>
    </row>
    <row r="22456" spans="191:191" x14ac:dyDescent="0.2">
      <c r="GI22456" s="422"/>
    </row>
    <row r="22457" spans="191:191" x14ac:dyDescent="0.2">
      <c r="GI22457" s="422"/>
    </row>
    <row r="22458" spans="191:191" x14ac:dyDescent="0.2">
      <c r="GI22458" s="422"/>
    </row>
    <row r="22459" spans="191:191" x14ac:dyDescent="0.2">
      <c r="GI22459" s="422"/>
    </row>
    <row r="22460" spans="191:191" x14ac:dyDescent="0.2">
      <c r="GI22460" s="422"/>
    </row>
    <row r="22461" spans="191:191" x14ac:dyDescent="0.2">
      <c r="GI22461" s="422"/>
    </row>
    <row r="22462" spans="191:191" x14ac:dyDescent="0.2">
      <c r="GI22462" s="422"/>
    </row>
    <row r="22463" spans="191:191" x14ac:dyDescent="0.2">
      <c r="GI22463" s="422"/>
    </row>
    <row r="22464" spans="191:191" x14ac:dyDescent="0.2">
      <c r="GI22464" s="422"/>
    </row>
    <row r="22465" spans="191:191" x14ac:dyDescent="0.2">
      <c r="GI22465" s="422"/>
    </row>
    <row r="22466" spans="191:191" x14ac:dyDescent="0.2">
      <c r="GI22466" s="422"/>
    </row>
    <row r="22467" spans="191:191" x14ac:dyDescent="0.2">
      <c r="GI22467" s="422"/>
    </row>
    <row r="22468" spans="191:191" x14ac:dyDescent="0.2">
      <c r="GI22468" s="422"/>
    </row>
    <row r="22469" spans="191:191" x14ac:dyDescent="0.2">
      <c r="GI22469" s="422"/>
    </row>
    <row r="22470" spans="191:191" x14ac:dyDescent="0.2">
      <c r="GI22470" s="422"/>
    </row>
    <row r="22471" spans="191:191" x14ac:dyDescent="0.2">
      <c r="GI22471" s="422"/>
    </row>
    <row r="22472" spans="191:191" x14ac:dyDescent="0.2">
      <c r="GI22472" s="422"/>
    </row>
    <row r="22473" spans="191:191" x14ac:dyDescent="0.2">
      <c r="GI22473" s="422"/>
    </row>
    <row r="22474" spans="191:191" x14ac:dyDescent="0.2">
      <c r="GI22474" s="422"/>
    </row>
    <row r="22475" spans="191:191" x14ac:dyDescent="0.2">
      <c r="GI22475" s="422"/>
    </row>
    <row r="22476" spans="191:191" x14ac:dyDescent="0.2">
      <c r="GI22476" s="422"/>
    </row>
    <row r="22477" spans="191:191" x14ac:dyDescent="0.2">
      <c r="GI22477" s="422"/>
    </row>
    <row r="22478" spans="191:191" x14ac:dyDescent="0.2">
      <c r="GI22478" s="422"/>
    </row>
    <row r="22479" spans="191:191" x14ac:dyDescent="0.2">
      <c r="GI22479" s="422"/>
    </row>
    <row r="22480" spans="191:191" x14ac:dyDescent="0.2">
      <c r="GI22480" s="422"/>
    </row>
    <row r="22481" spans="191:191" x14ac:dyDescent="0.2">
      <c r="GI22481" s="422"/>
    </row>
    <row r="22482" spans="191:191" x14ac:dyDescent="0.2">
      <c r="GI22482" s="422"/>
    </row>
    <row r="22483" spans="191:191" x14ac:dyDescent="0.2">
      <c r="GI22483" s="422"/>
    </row>
    <row r="22484" spans="191:191" x14ac:dyDescent="0.2">
      <c r="GI22484" s="422"/>
    </row>
    <row r="22485" spans="191:191" x14ac:dyDescent="0.2">
      <c r="GI22485" s="422"/>
    </row>
    <row r="22486" spans="191:191" x14ac:dyDescent="0.2">
      <c r="GI22486" s="422"/>
    </row>
    <row r="22487" spans="191:191" x14ac:dyDescent="0.2">
      <c r="GI22487" s="422"/>
    </row>
    <row r="22488" spans="191:191" x14ac:dyDescent="0.2">
      <c r="GI22488" s="422"/>
    </row>
    <row r="22489" spans="191:191" x14ac:dyDescent="0.2">
      <c r="GI22489" s="422"/>
    </row>
    <row r="22490" spans="191:191" x14ac:dyDescent="0.2">
      <c r="GI22490" s="422"/>
    </row>
    <row r="22491" spans="191:191" x14ac:dyDescent="0.2">
      <c r="GI22491" s="422"/>
    </row>
    <row r="22492" spans="191:191" x14ac:dyDescent="0.2">
      <c r="GI22492" s="422"/>
    </row>
    <row r="22493" spans="191:191" x14ac:dyDescent="0.2">
      <c r="GI22493" s="422"/>
    </row>
    <row r="22494" spans="191:191" x14ac:dyDescent="0.2">
      <c r="GI22494" s="422"/>
    </row>
    <row r="22495" spans="191:191" x14ac:dyDescent="0.2">
      <c r="GI22495" s="422"/>
    </row>
    <row r="22496" spans="191:191" x14ac:dyDescent="0.2">
      <c r="GI22496" s="422"/>
    </row>
    <row r="22497" spans="191:191" x14ac:dyDescent="0.2">
      <c r="GI22497" s="422"/>
    </row>
    <row r="22498" spans="191:191" x14ac:dyDescent="0.2">
      <c r="GI22498" s="422"/>
    </row>
    <row r="22499" spans="191:191" x14ac:dyDescent="0.2">
      <c r="GI22499" s="422"/>
    </row>
    <row r="22500" spans="191:191" x14ac:dyDescent="0.2">
      <c r="GI22500" s="422"/>
    </row>
    <row r="22501" spans="191:191" x14ac:dyDescent="0.2">
      <c r="GI22501" s="422"/>
    </row>
    <row r="22502" spans="191:191" x14ac:dyDescent="0.2">
      <c r="GI22502" s="422"/>
    </row>
    <row r="22503" spans="191:191" x14ac:dyDescent="0.2">
      <c r="GI22503" s="422"/>
    </row>
    <row r="22504" spans="191:191" x14ac:dyDescent="0.2">
      <c r="GI22504" s="422"/>
    </row>
    <row r="22505" spans="191:191" x14ac:dyDescent="0.2">
      <c r="GI22505" s="422"/>
    </row>
    <row r="22506" spans="191:191" x14ac:dyDescent="0.2">
      <c r="GI22506" s="422"/>
    </row>
    <row r="22507" spans="191:191" x14ac:dyDescent="0.2">
      <c r="GI22507" s="422"/>
    </row>
    <row r="22508" spans="191:191" x14ac:dyDescent="0.2">
      <c r="GI22508" s="422"/>
    </row>
    <row r="22509" spans="191:191" x14ac:dyDescent="0.2">
      <c r="GI22509" s="422"/>
    </row>
    <row r="22510" spans="191:191" x14ac:dyDescent="0.2">
      <c r="GI22510" s="422"/>
    </row>
    <row r="22511" spans="191:191" x14ac:dyDescent="0.2">
      <c r="GI22511" s="422"/>
    </row>
    <row r="22512" spans="191:191" x14ac:dyDescent="0.2">
      <c r="GI22512" s="422"/>
    </row>
    <row r="22513" spans="191:191" x14ac:dyDescent="0.2">
      <c r="GI22513" s="422"/>
    </row>
    <row r="22514" spans="191:191" x14ac:dyDescent="0.2">
      <c r="GI22514" s="422"/>
    </row>
    <row r="22515" spans="191:191" x14ac:dyDescent="0.2">
      <c r="GI22515" s="422"/>
    </row>
    <row r="22516" spans="191:191" x14ac:dyDescent="0.2">
      <c r="GI22516" s="422"/>
    </row>
    <row r="22517" spans="191:191" x14ac:dyDescent="0.2">
      <c r="GI22517" s="422"/>
    </row>
    <row r="22518" spans="191:191" x14ac:dyDescent="0.2">
      <c r="GI22518" s="422"/>
    </row>
    <row r="22519" spans="191:191" x14ac:dyDescent="0.2">
      <c r="GI22519" s="422"/>
    </row>
    <row r="22520" spans="191:191" x14ac:dyDescent="0.2">
      <c r="GI22520" s="422"/>
    </row>
    <row r="22521" spans="191:191" x14ac:dyDescent="0.2">
      <c r="GI22521" s="422"/>
    </row>
    <row r="22522" spans="191:191" x14ac:dyDescent="0.2">
      <c r="GI22522" s="422"/>
    </row>
    <row r="22523" spans="191:191" x14ac:dyDescent="0.2">
      <c r="GI22523" s="422"/>
    </row>
    <row r="22524" spans="191:191" x14ac:dyDescent="0.2">
      <c r="GI22524" s="422"/>
    </row>
    <row r="22525" spans="191:191" x14ac:dyDescent="0.2">
      <c r="GI22525" s="422"/>
    </row>
    <row r="22526" spans="191:191" x14ac:dyDescent="0.2">
      <c r="GI22526" s="422"/>
    </row>
    <row r="22527" spans="191:191" x14ac:dyDescent="0.2">
      <c r="GI22527" s="422"/>
    </row>
    <row r="22528" spans="191:191" x14ac:dyDescent="0.2">
      <c r="GI22528" s="422"/>
    </row>
    <row r="22529" spans="191:191" x14ac:dyDescent="0.2">
      <c r="GI22529" s="422"/>
    </row>
    <row r="22530" spans="191:191" x14ac:dyDescent="0.2">
      <c r="GI22530" s="422"/>
    </row>
    <row r="22531" spans="191:191" x14ac:dyDescent="0.2">
      <c r="GI22531" s="422"/>
    </row>
    <row r="22532" spans="191:191" x14ac:dyDescent="0.2">
      <c r="GI22532" s="422"/>
    </row>
    <row r="22533" spans="191:191" x14ac:dyDescent="0.2">
      <c r="GI22533" s="422"/>
    </row>
    <row r="22534" spans="191:191" x14ac:dyDescent="0.2">
      <c r="GI22534" s="422"/>
    </row>
    <row r="22535" spans="191:191" x14ac:dyDescent="0.2">
      <c r="GI22535" s="422"/>
    </row>
    <row r="22536" spans="191:191" x14ac:dyDescent="0.2">
      <c r="GI22536" s="422"/>
    </row>
    <row r="22537" spans="191:191" x14ac:dyDescent="0.2">
      <c r="GI22537" s="422"/>
    </row>
    <row r="22538" spans="191:191" x14ac:dyDescent="0.2">
      <c r="GI22538" s="422"/>
    </row>
    <row r="22539" spans="191:191" x14ac:dyDescent="0.2">
      <c r="GI22539" s="422"/>
    </row>
    <row r="22540" spans="191:191" x14ac:dyDescent="0.2">
      <c r="GI22540" s="422"/>
    </row>
    <row r="22541" spans="191:191" x14ac:dyDescent="0.2">
      <c r="GI22541" s="422"/>
    </row>
    <row r="22542" spans="191:191" x14ac:dyDescent="0.2">
      <c r="GI22542" s="422"/>
    </row>
    <row r="22543" spans="191:191" x14ac:dyDescent="0.2">
      <c r="GI22543" s="422"/>
    </row>
    <row r="22544" spans="191:191" x14ac:dyDescent="0.2">
      <c r="GI22544" s="422"/>
    </row>
    <row r="22545" spans="191:191" x14ac:dyDescent="0.2">
      <c r="GI22545" s="422"/>
    </row>
    <row r="22546" spans="191:191" x14ac:dyDescent="0.2">
      <c r="GI22546" s="422"/>
    </row>
    <row r="22547" spans="191:191" x14ac:dyDescent="0.2">
      <c r="GI22547" s="422"/>
    </row>
    <row r="22548" spans="191:191" x14ac:dyDescent="0.2">
      <c r="GI22548" s="422"/>
    </row>
    <row r="22549" spans="191:191" x14ac:dyDescent="0.2">
      <c r="GI22549" s="422"/>
    </row>
    <row r="22550" spans="191:191" x14ac:dyDescent="0.2">
      <c r="GI22550" s="422"/>
    </row>
    <row r="22551" spans="191:191" x14ac:dyDescent="0.2">
      <c r="GI22551" s="422"/>
    </row>
    <row r="22552" spans="191:191" x14ac:dyDescent="0.2">
      <c r="GI22552" s="422"/>
    </row>
    <row r="22553" spans="191:191" x14ac:dyDescent="0.2">
      <c r="GI22553" s="422"/>
    </row>
    <row r="22554" spans="191:191" x14ac:dyDescent="0.2">
      <c r="GI22554" s="422"/>
    </row>
    <row r="22555" spans="191:191" x14ac:dyDescent="0.2">
      <c r="GI22555" s="422"/>
    </row>
    <row r="22556" spans="191:191" x14ac:dyDescent="0.2">
      <c r="GI22556" s="422"/>
    </row>
    <row r="22557" spans="191:191" x14ac:dyDescent="0.2">
      <c r="GI22557" s="422"/>
    </row>
    <row r="22558" spans="191:191" x14ac:dyDescent="0.2">
      <c r="GI22558" s="422"/>
    </row>
    <row r="22559" spans="191:191" x14ac:dyDescent="0.2">
      <c r="GI22559" s="422"/>
    </row>
    <row r="22560" spans="191:191" x14ac:dyDescent="0.2">
      <c r="GI22560" s="422"/>
    </row>
    <row r="22561" spans="191:191" x14ac:dyDescent="0.2">
      <c r="GI22561" s="422"/>
    </row>
    <row r="22562" spans="191:191" x14ac:dyDescent="0.2">
      <c r="GI22562" s="422"/>
    </row>
    <row r="22563" spans="191:191" x14ac:dyDescent="0.2">
      <c r="GI22563" s="422"/>
    </row>
    <row r="22564" spans="191:191" x14ac:dyDescent="0.2">
      <c r="GI22564" s="422"/>
    </row>
    <row r="22565" spans="191:191" x14ac:dyDescent="0.2">
      <c r="GI22565" s="422"/>
    </row>
    <row r="22566" spans="191:191" x14ac:dyDescent="0.2">
      <c r="GI22566" s="422"/>
    </row>
    <row r="22567" spans="191:191" x14ac:dyDescent="0.2">
      <c r="GI22567" s="422"/>
    </row>
    <row r="22568" spans="191:191" x14ac:dyDescent="0.2">
      <c r="GI22568" s="422"/>
    </row>
    <row r="22569" spans="191:191" x14ac:dyDescent="0.2">
      <c r="GI22569" s="422"/>
    </row>
    <row r="22570" spans="191:191" x14ac:dyDescent="0.2">
      <c r="GI22570" s="422"/>
    </row>
    <row r="22571" spans="191:191" x14ac:dyDescent="0.2">
      <c r="GI22571" s="422"/>
    </row>
    <row r="22572" spans="191:191" x14ac:dyDescent="0.2">
      <c r="GI22572" s="422"/>
    </row>
    <row r="22573" spans="191:191" x14ac:dyDescent="0.2">
      <c r="GI22573" s="422"/>
    </row>
    <row r="22574" spans="191:191" x14ac:dyDescent="0.2">
      <c r="GI22574" s="422"/>
    </row>
    <row r="22575" spans="191:191" x14ac:dyDescent="0.2">
      <c r="GI22575" s="422"/>
    </row>
    <row r="22576" spans="191:191" x14ac:dyDescent="0.2">
      <c r="GI22576" s="422"/>
    </row>
    <row r="22577" spans="191:191" x14ac:dyDescent="0.2">
      <c r="GI22577" s="422"/>
    </row>
    <row r="22578" spans="191:191" x14ac:dyDescent="0.2">
      <c r="GI22578" s="422"/>
    </row>
    <row r="22579" spans="191:191" x14ac:dyDescent="0.2">
      <c r="GI22579" s="422"/>
    </row>
    <row r="22580" spans="191:191" x14ac:dyDescent="0.2">
      <c r="GI22580" s="422"/>
    </row>
    <row r="22581" spans="191:191" x14ac:dyDescent="0.2">
      <c r="GI22581" s="422"/>
    </row>
    <row r="22582" spans="191:191" x14ac:dyDescent="0.2">
      <c r="GI22582" s="422"/>
    </row>
    <row r="22583" spans="191:191" x14ac:dyDescent="0.2">
      <c r="GI22583" s="422"/>
    </row>
    <row r="22584" spans="191:191" x14ac:dyDescent="0.2">
      <c r="GI22584" s="422"/>
    </row>
    <row r="22585" spans="191:191" x14ac:dyDescent="0.2">
      <c r="GI22585" s="422"/>
    </row>
    <row r="22586" spans="191:191" x14ac:dyDescent="0.2">
      <c r="GI22586" s="422"/>
    </row>
    <row r="22587" spans="191:191" x14ac:dyDescent="0.2">
      <c r="GI22587" s="422"/>
    </row>
    <row r="22588" spans="191:191" x14ac:dyDescent="0.2">
      <c r="GI22588" s="422"/>
    </row>
    <row r="22589" spans="191:191" x14ac:dyDescent="0.2">
      <c r="GI22589" s="422"/>
    </row>
    <row r="22590" spans="191:191" x14ac:dyDescent="0.2">
      <c r="GI22590" s="422"/>
    </row>
    <row r="22591" spans="191:191" x14ac:dyDescent="0.2">
      <c r="GI22591" s="422"/>
    </row>
    <row r="22592" spans="191:191" x14ac:dyDescent="0.2">
      <c r="GI22592" s="422"/>
    </row>
    <row r="22593" spans="191:191" x14ac:dyDescent="0.2">
      <c r="GI22593" s="422"/>
    </row>
    <row r="22594" spans="191:191" x14ac:dyDescent="0.2">
      <c r="GI22594" s="422"/>
    </row>
    <row r="22595" spans="191:191" x14ac:dyDescent="0.2">
      <c r="GI22595" s="422"/>
    </row>
    <row r="22596" spans="191:191" x14ac:dyDescent="0.2">
      <c r="GI22596" s="422"/>
    </row>
    <row r="22597" spans="191:191" x14ac:dyDescent="0.2">
      <c r="GI22597" s="422"/>
    </row>
    <row r="22598" spans="191:191" x14ac:dyDescent="0.2">
      <c r="GI22598" s="422"/>
    </row>
    <row r="22599" spans="191:191" x14ac:dyDescent="0.2">
      <c r="GI22599" s="422"/>
    </row>
    <row r="22600" spans="191:191" x14ac:dyDescent="0.2">
      <c r="GI22600" s="422"/>
    </row>
    <row r="22601" spans="191:191" x14ac:dyDescent="0.2">
      <c r="GI22601" s="422"/>
    </row>
    <row r="22602" spans="191:191" x14ac:dyDescent="0.2">
      <c r="GI22602" s="422"/>
    </row>
    <row r="22603" spans="191:191" x14ac:dyDescent="0.2">
      <c r="GI22603" s="422"/>
    </row>
    <row r="22604" spans="191:191" x14ac:dyDescent="0.2">
      <c r="GI22604" s="422"/>
    </row>
    <row r="22605" spans="191:191" x14ac:dyDescent="0.2">
      <c r="GI22605" s="422"/>
    </row>
    <row r="22606" spans="191:191" x14ac:dyDescent="0.2">
      <c r="GI22606" s="422"/>
    </row>
    <row r="22607" spans="191:191" x14ac:dyDescent="0.2">
      <c r="GI22607" s="422"/>
    </row>
    <row r="22608" spans="191:191" x14ac:dyDescent="0.2">
      <c r="GI22608" s="422"/>
    </row>
    <row r="22609" spans="191:191" x14ac:dyDescent="0.2">
      <c r="GI22609" s="422"/>
    </row>
    <row r="22610" spans="191:191" x14ac:dyDescent="0.2">
      <c r="GI22610" s="422"/>
    </row>
    <row r="22611" spans="191:191" x14ac:dyDescent="0.2">
      <c r="GI22611" s="422"/>
    </row>
    <row r="22612" spans="191:191" x14ac:dyDescent="0.2">
      <c r="GI22612" s="422"/>
    </row>
    <row r="22613" spans="191:191" x14ac:dyDescent="0.2">
      <c r="GI22613" s="422"/>
    </row>
    <row r="22614" spans="191:191" x14ac:dyDescent="0.2">
      <c r="GI22614" s="422"/>
    </row>
    <row r="22615" spans="191:191" x14ac:dyDescent="0.2">
      <c r="GI22615" s="422"/>
    </row>
    <row r="22616" spans="191:191" x14ac:dyDescent="0.2">
      <c r="GI22616" s="422"/>
    </row>
    <row r="22617" spans="191:191" x14ac:dyDescent="0.2">
      <c r="GI22617" s="422"/>
    </row>
    <row r="22618" spans="191:191" x14ac:dyDescent="0.2">
      <c r="GI22618" s="422"/>
    </row>
    <row r="22619" spans="191:191" x14ac:dyDescent="0.2">
      <c r="GI22619" s="422"/>
    </row>
    <row r="22620" spans="191:191" x14ac:dyDescent="0.2">
      <c r="GI22620" s="422"/>
    </row>
    <row r="22621" spans="191:191" x14ac:dyDescent="0.2">
      <c r="GI22621" s="422"/>
    </row>
    <row r="22622" spans="191:191" x14ac:dyDescent="0.2">
      <c r="GI22622" s="422"/>
    </row>
    <row r="22623" spans="191:191" x14ac:dyDescent="0.2">
      <c r="GI22623" s="422"/>
    </row>
    <row r="22624" spans="191:191" x14ac:dyDescent="0.2">
      <c r="GI22624" s="422"/>
    </row>
    <row r="22625" spans="191:191" x14ac:dyDescent="0.2">
      <c r="GI22625" s="422"/>
    </row>
    <row r="22626" spans="191:191" x14ac:dyDescent="0.2">
      <c r="GI22626" s="422"/>
    </row>
    <row r="22627" spans="191:191" x14ac:dyDescent="0.2">
      <c r="GI22627" s="422"/>
    </row>
    <row r="22628" spans="191:191" x14ac:dyDescent="0.2">
      <c r="GI22628" s="422"/>
    </row>
    <row r="22629" spans="191:191" x14ac:dyDescent="0.2">
      <c r="GI22629" s="422"/>
    </row>
    <row r="22630" spans="191:191" x14ac:dyDescent="0.2">
      <c r="GI22630" s="422"/>
    </row>
    <row r="22631" spans="191:191" x14ac:dyDescent="0.2">
      <c r="GI22631" s="422"/>
    </row>
    <row r="22632" spans="191:191" x14ac:dyDescent="0.2">
      <c r="GI22632" s="422"/>
    </row>
    <row r="22633" spans="191:191" x14ac:dyDescent="0.2">
      <c r="GI22633" s="422"/>
    </row>
    <row r="22634" spans="191:191" x14ac:dyDescent="0.2">
      <c r="GI22634" s="422"/>
    </row>
    <row r="22635" spans="191:191" x14ac:dyDescent="0.2">
      <c r="GI22635" s="422"/>
    </row>
    <row r="22636" spans="191:191" x14ac:dyDescent="0.2">
      <c r="GI22636" s="422"/>
    </row>
    <row r="22637" spans="191:191" x14ac:dyDescent="0.2">
      <c r="GI22637" s="422"/>
    </row>
    <row r="22638" spans="191:191" x14ac:dyDescent="0.2">
      <c r="GI22638" s="422"/>
    </row>
    <row r="22639" spans="191:191" x14ac:dyDescent="0.2">
      <c r="GI22639" s="422"/>
    </row>
    <row r="22640" spans="191:191" x14ac:dyDescent="0.2">
      <c r="GI22640" s="422"/>
    </row>
    <row r="22641" spans="191:191" x14ac:dyDescent="0.2">
      <c r="GI22641" s="422"/>
    </row>
    <row r="22642" spans="191:191" x14ac:dyDescent="0.2">
      <c r="GI22642" s="422"/>
    </row>
    <row r="22643" spans="191:191" x14ac:dyDescent="0.2">
      <c r="GI22643" s="422"/>
    </row>
    <row r="22644" spans="191:191" x14ac:dyDescent="0.2">
      <c r="GI22644" s="422"/>
    </row>
    <row r="22645" spans="191:191" x14ac:dyDescent="0.2">
      <c r="GI22645" s="422"/>
    </row>
    <row r="22646" spans="191:191" x14ac:dyDescent="0.2">
      <c r="GI22646" s="422"/>
    </row>
    <row r="22647" spans="191:191" x14ac:dyDescent="0.2">
      <c r="GI22647" s="422"/>
    </row>
    <row r="22648" spans="191:191" x14ac:dyDescent="0.2">
      <c r="GI22648" s="422"/>
    </row>
    <row r="22649" spans="191:191" x14ac:dyDescent="0.2">
      <c r="GI22649" s="422"/>
    </row>
    <row r="22650" spans="191:191" x14ac:dyDescent="0.2">
      <c r="GI22650" s="422"/>
    </row>
    <row r="22651" spans="191:191" x14ac:dyDescent="0.2">
      <c r="GI22651" s="422"/>
    </row>
    <row r="22652" spans="191:191" x14ac:dyDescent="0.2">
      <c r="GI22652" s="422"/>
    </row>
    <row r="22653" spans="191:191" x14ac:dyDescent="0.2">
      <c r="GI22653" s="422"/>
    </row>
    <row r="22654" spans="191:191" x14ac:dyDescent="0.2">
      <c r="GI22654" s="422"/>
    </row>
    <row r="22655" spans="191:191" x14ac:dyDescent="0.2">
      <c r="GI22655" s="422"/>
    </row>
    <row r="22656" spans="191:191" x14ac:dyDescent="0.2">
      <c r="GI22656" s="422"/>
    </row>
    <row r="22657" spans="191:191" x14ac:dyDescent="0.2">
      <c r="GI22657" s="422"/>
    </row>
    <row r="22658" spans="191:191" x14ac:dyDescent="0.2">
      <c r="GI22658" s="422"/>
    </row>
    <row r="22659" spans="191:191" x14ac:dyDescent="0.2">
      <c r="GI22659" s="422"/>
    </row>
    <row r="22660" spans="191:191" x14ac:dyDescent="0.2">
      <c r="GI22660" s="422"/>
    </row>
    <row r="22661" spans="191:191" x14ac:dyDescent="0.2">
      <c r="GI22661" s="422"/>
    </row>
    <row r="22662" spans="191:191" x14ac:dyDescent="0.2">
      <c r="GI22662" s="422"/>
    </row>
    <row r="22663" spans="191:191" x14ac:dyDescent="0.2">
      <c r="GI22663" s="422"/>
    </row>
    <row r="22664" spans="191:191" x14ac:dyDescent="0.2">
      <c r="GI22664" s="422"/>
    </row>
    <row r="22665" spans="191:191" x14ac:dyDescent="0.2">
      <c r="GI22665" s="422"/>
    </row>
    <row r="22666" spans="191:191" x14ac:dyDescent="0.2">
      <c r="GI22666" s="422"/>
    </row>
    <row r="22667" spans="191:191" x14ac:dyDescent="0.2">
      <c r="GI22667" s="422"/>
    </row>
    <row r="22668" spans="191:191" x14ac:dyDescent="0.2">
      <c r="GI22668" s="422"/>
    </row>
    <row r="22669" spans="191:191" x14ac:dyDescent="0.2">
      <c r="GI22669" s="422"/>
    </row>
    <row r="22670" spans="191:191" x14ac:dyDescent="0.2">
      <c r="GI22670" s="422"/>
    </row>
    <row r="22671" spans="191:191" x14ac:dyDescent="0.2">
      <c r="GI22671" s="422"/>
    </row>
    <row r="22672" spans="191:191" x14ac:dyDescent="0.2">
      <c r="GI22672" s="422"/>
    </row>
    <row r="22673" spans="191:191" x14ac:dyDescent="0.2">
      <c r="GI22673" s="422"/>
    </row>
    <row r="22674" spans="191:191" x14ac:dyDescent="0.2">
      <c r="GI22674" s="422"/>
    </row>
    <row r="22675" spans="191:191" x14ac:dyDescent="0.2">
      <c r="GI22675" s="422"/>
    </row>
    <row r="22676" spans="191:191" x14ac:dyDescent="0.2">
      <c r="GI22676" s="422"/>
    </row>
    <row r="22677" spans="191:191" x14ac:dyDescent="0.2">
      <c r="GI22677" s="422"/>
    </row>
    <row r="22678" spans="191:191" x14ac:dyDescent="0.2">
      <c r="GI22678" s="422"/>
    </row>
    <row r="22679" spans="191:191" x14ac:dyDescent="0.2">
      <c r="GI22679" s="422"/>
    </row>
    <row r="22680" spans="191:191" x14ac:dyDescent="0.2">
      <c r="GI22680" s="422"/>
    </row>
    <row r="22681" spans="191:191" x14ac:dyDescent="0.2">
      <c r="GI22681" s="422"/>
    </row>
    <row r="22682" spans="191:191" x14ac:dyDescent="0.2">
      <c r="GI22682" s="422"/>
    </row>
    <row r="22683" spans="191:191" x14ac:dyDescent="0.2">
      <c r="GI22683" s="422"/>
    </row>
    <row r="22684" spans="191:191" x14ac:dyDescent="0.2">
      <c r="GI22684" s="422"/>
    </row>
    <row r="22685" spans="191:191" x14ac:dyDescent="0.2">
      <c r="GI22685" s="422"/>
    </row>
    <row r="22686" spans="191:191" x14ac:dyDescent="0.2">
      <c r="GI22686" s="422"/>
    </row>
    <row r="22687" spans="191:191" x14ac:dyDescent="0.2">
      <c r="GI22687" s="422"/>
    </row>
    <row r="22688" spans="191:191" x14ac:dyDescent="0.2">
      <c r="GI22688" s="422"/>
    </row>
    <row r="22689" spans="191:191" x14ac:dyDescent="0.2">
      <c r="GI22689" s="422"/>
    </row>
    <row r="22690" spans="191:191" x14ac:dyDescent="0.2">
      <c r="GI22690" s="422"/>
    </row>
    <row r="22691" spans="191:191" x14ac:dyDescent="0.2">
      <c r="GI22691" s="422"/>
    </row>
    <row r="22692" spans="191:191" x14ac:dyDescent="0.2">
      <c r="GI22692" s="422"/>
    </row>
    <row r="22693" spans="191:191" x14ac:dyDescent="0.2">
      <c r="GI22693" s="422"/>
    </row>
    <row r="22694" spans="191:191" x14ac:dyDescent="0.2">
      <c r="GI22694" s="422"/>
    </row>
    <row r="22695" spans="191:191" x14ac:dyDescent="0.2">
      <c r="GI22695" s="422"/>
    </row>
    <row r="22696" spans="191:191" x14ac:dyDescent="0.2">
      <c r="GI22696" s="422"/>
    </row>
    <row r="22697" spans="191:191" x14ac:dyDescent="0.2">
      <c r="GI22697" s="422"/>
    </row>
    <row r="22698" spans="191:191" x14ac:dyDescent="0.2">
      <c r="GI22698" s="422"/>
    </row>
    <row r="22699" spans="191:191" x14ac:dyDescent="0.2">
      <c r="GI22699" s="422"/>
    </row>
    <row r="22700" spans="191:191" x14ac:dyDescent="0.2">
      <c r="GI22700" s="422"/>
    </row>
    <row r="22701" spans="191:191" x14ac:dyDescent="0.2">
      <c r="GI22701" s="422"/>
    </row>
    <row r="22702" spans="191:191" x14ac:dyDescent="0.2">
      <c r="GI22702" s="422"/>
    </row>
    <row r="22703" spans="191:191" x14ac:dyDescent="0.2">
      <c r="GI22703" s="422"/>
    </row>
    <row r="22704" spans="191:191" x14ac:dyDescent="0.2">
      <c r="GI22704" s="422"/>
    </row>
    <row r="22705" spans="191:191" x14ac:dyDescent="0.2">
      <c r="GI22705" s="422"/>
    </row>
    <row r="22706" spans="191:191" x14ac:dyDescent="0.2">
      <c r="GI22706" s="422"/>
    </row>
    <row r="22707" spans="191:191" x14ac:dyDescent="0.2">
      <c r="GI22707" s="422"/>
    </row>
    <row r="22708" spans="191:191" x14ac:dyDescent="0.2">
      <c r="GI22708" s="422"/>
    </row>
    <row r="22709" spans="191:191" x14ac:dyDescent="0.2">
      <c r="GI22709" s="422"/>
    </row>
    <row r="22710" spans="191:191" x14ac:dyDescent="0.2">
      <c r="GI22710" s="422"/>
    </row>
    <row r="22711" spans="191:191" x14ac:dyDescent="0.2">
      <c r="GI22711" s="422"/>
    </row>
    <row r="22712" spans="191:191" x14ac:dyDescent="0.2">
      <c r="GI22712" s="422"/>
    </row>
    <row r="22713" spans="191:191" x14ac:dyDescent="0.2">
      <c r="GI22713" s="422"/>
    </row>
    <row r="22714" spans="191:191" x14ac:dyDescent="0.2">
      <c r="GI22714" s="422"/>
    </row>
    <row r="22715" spans="191:191" x14ac:dyDescent="0.2">
      <c r="GI22715" s="422"/>
    </row>
    <row r="22716" spans="191:191" x14ac:dyDescent="0.2">
      <c r="GI22716" s="422"/>
    </row>
    <row r="22717" spans="191:191" x14ac:dyDescent="0.2">
      <c r="GI22717" s="422"/>
    </row>
    <row r="22718" spans="191:191" x14ac:dyDescent="0.2">
      <c r="GI22718" s="422"/>
    </row>
    <row r="22719" spans="191:191" x14ac:dyDescent="0.2">
      <c r="GI22719" s="422"/>
    </row>
    <row r="22720" spans="191:191" x14ac:dyDescent="0.2">
      <c r="GI22720" s="422"/>
    </row>
    <row r="22721" spans="191:191" x14ac:dyDescent="0.2">
      <c r="GI22721" s="422"/>
    </row>
    <row r="22722" spans="191:191" x14ac:dyDescent="0.2">
      <c r="GI22722" s="422"/>
    </row>
    <row r="22723" spans="191:191" x14ac:dyDescent="0.2">
      <c r="GI22723" s="422"/>
    </row>
    <row r="22724" spans="191:191" x14ac:dyDescent="0.2">
      <c r="GI22724" s="422"/>
    </row>
    <row r="22725" spans="191:191" x14ac:dyDescent="0.2">
      <c r="GI22725" s="422"/>
    </row>
    <row r="22726" spans="191:191" x14ac:dyDescent="0.2">
      <c r="GI22726" s="422"/>
    </row>
    <row r="22727" spans="191:191" x14ac:dyDescent="0.2">
      <c r="GI22727" s="422"/>
    </row>
    <row r="22728" spans="191:191" x14ac:dyDescent="0.2">
      <c r="GI22728" s="422"/>
    </row>
    <row r="22729" spans="191:191" x14ac:dyDescent="0.2">
      <c r="GI22729" s="422"/>
    </row>
    <row r="22730" spans="191:191" x14ac:dyDescent="0.2">
      <c r="GI22730" s="422"/>
    </row>
    <row r="22731" spans="191:191" x14ac:dyDescent="0.2">
      <c r="GI22731" s="422"/>
    </row>
    <row r="22732" spans="191:191" x14ac:dyDescent="0.2">
      <c r="GI22732" s="422"/>
    </row>
    <row r="22733" spans="191:191" x14ac:dyDescent="0.2">
      <c r="GI22733" s="422"/>
    </row>
    <row r="22734" spans="191:191" x14ac:dyDescent="0.2">
      <c r="GI22734" s="422"/>
    </row>
    <row r="22735" spans="191:191" x14ac:dyDescent="0.2">
      <c r="GI22735" s="422"/>
    </row>
    <row r="22736" spans="191:191" x14ac:dyDescent="0.2">
      <c r="GI22736" s="422"/>
    </row>
    <row r="22737" spans="191:191" x14ac:dyDescent="0.2">
      <c r="GI22737" s="422"/>
    </row>
    <row r="22738" spans="191:191" x14ac:dyDescent="0.2">
      <c r="GI22738" s="422"/>
    </row>
    <row r="22739" spans="191:191" x14ac:dyDescent="0.2">
      <c r="GI22739" s="422"/>
    </row>
    <row r="22740" spans="191:191" x14ac:dyDescent="0.2">
      <c r="GI22740" s="422"/>
    </row>
    <row r="22741" spans="191:191" x14ac:dyDescent="0.2">
      <c r="GI22741" s="422"/>
    </row>
    <row r="22742" spans="191:191" x14ac:dyDescent="0.2">
      <c r="GI22742" s="422"/>
    </row>
    <row r="22743" spans="191:191" x14ac:dyDescent="0.2">
      <c r="GI22743" s="422"/>
    </row>
    <row r="22744" spans="191:191" x14ac:dyDescent="0.2">
      <c r="GI22744" s="422"/>
    </row>
    <row r="22745" spans="191:191" x14ac:dyDescent="0.2">
      <c r="GI22745" s="422"/>
    </row>
    <row r="22746" spans="191:191" x14ac:dyDescent="0.2">
      <c r="GI22746" s="422"/>
    </row>
    <row r="22747" spans="191:191" x14ac:dyDescent="0.2">
      <c r="GI22747" s="422"/>
    </row>
    <row r="22748" spans="191:191" x14ac:dyDescent="0.2">
      <c r="GI22748" s="422"/>
    </row>
    <row r="22749" spans="191:191" x14ac:dyDescent="0.2">
      <c r="GI22749" s="422"/>
    </row>
    <row r="22750" spans="191:191" x14ac:dyDescent="0.2">
      <c r="GI22750" s="422"/>
    </row>
    <row r="22751" spans="191:191" x14ac:dyDescent="0.2">
      <c r="GI22751" s="422"/>
    </row>
    <row r="22752" spans="191:191" x14ac:dyDescent="0.2">
      <c r="GI22752" s="422"/>
    </row>
    <row r="22753" spans="191:191" x14ac:dyDescent="0.2">
      <c r="GI22753" s="422"/>
    </row>
    <row r="22754" spans="191:191" x14ac:dyDescent="0.2">
      <c r="GI22754" s="422"/>
    </row>
    <row r="22755" spans="191:191" x14ac:dyDescent="0.2">
      <c r="GI22755" s="422"/>
    </row>
    <row r="22756" spans="191:191" x14ac:dyDescent="0.2">
      <c r="GI22756" s="422"/>
    </row>
    <row r="22757" spans="191:191" x14ac:dyDescent="0.2">
      <c r="GI22757" s="422"/>
    </row>
    <row r="22758" spans="191:191" x14ac:dyDescent="0.2">
      <c r="GI22758" s="422"/>
    </row>
    <row r="22759" spans="191:191" x14ac:dyDescent="0.2">
      <c r="GI22759" s="422"/>
    </row>
    <row r="22760" spans="191:191" x14ac:dyDescent="0.2">
      <c r="GI22760" s="422"/>
    </row>
    <row r="22761" spans="191:191" x14ac:dyDescent="0.2">
      <c r="GI22761" s="422"/>
    </row>
    <row r="22762" spans="191:191" x14ac:dyDescent="0.2">
      <c r="GI22762" s="422"/>
    </row>
    <row r="22763" spans="191:191" x14ac:dyDescent="0.2">
      <c r="GI22763" s="422"/>
    </row>
    <row r="22764" spans="191:191" x14ac:dyDescent="0.2">
      <c r="GI22764" s="422"/>
    </row>
    <row r="22765" spans="191:191" x14ac:dyDescent="0.2">
      <c r="GI22765" s="422"/>
    </row>
    <row r="22766" spans="191:191" x14ac:dyDescent="0.2">
      <c r="GI22766" s="422"/>
    </row>
    <row r="22767" spans="191:191" x14ac:dyDescent="0.2">
      <c r="GI22767" s="422"/>
    </row>
    <row r="22768" spans="191:191" x14ac:dyDescent="0.2">
      <c r="GI22768" s="422"/>
    </row>
    <row r="22769" spans="191:191" x14ac:dyDescent="0.2">
      <c r="GI22769" s="422"/>
    </row>
    <row r="22770" spans="191:191" x14ac:dyDescent="0.2">
      <c r="GI22770" s="422"/>
    </row>
    <row r="22771" spans="191:191" x14ac:dyDescent="0.2">
      <c r="GI22771" s="422"/>
    </row>
    <row r="22772" spans="191:191" x14ac:dyDescent="0.2">
      <c r="GI22772" s="422"/>
    </row>
    <row r="22773" spans="191:191" x14ac:dyDescent="0.2">
      <c r="GI22773" s="422"/>
    </row>
    <row r="22774" spans="191:191" x14ac:dyDescent="0.2">
      <c r="GI22774" s="422"/>
    </row>
    <row r="22775" spans="191:191" x14ac:dyDescent="0.2">
      <c r="GI22775" s="422"/>
    </row>
    <row r="22776" spans="191:191" x14ac:dyDescent="0.2">
      <c r="GI22776" s="422"/>
    </row>
    <row r="22777" spans="191:191" x14ac:dyDescent="0.2">
      <c r="GI22777" s="422"/>
    </row>
    <row r="22778" spans="191:191" x14ac:dyDescent="0.2">
      <c r="GI22778" s="422"/>
    </row>
    <row r="22779" spans="191:191" x14ac:dyDescent="0.2">
      <c r="GI22779" s="422"/>
    </row>
    <row r="22780" spans="191:191" x14ac:dyDescent="0.2">
      <c r="GI22780" s="422"/>
    </row>
    <row r="22781" spans="191:191" x14ac:dyDescent="0.2">
      <c r="GI22781" s="422"/>
    </row>
    <row r="22782" spans="191:191" x14ac:dyDescent="0.2">
      <c r="GI22782" s="422"/>
    </row>
    <row r="22783" spans="191:191" x14ac:dyDescent="0.2">
      <c r="GI22783" s="422"/>
    </row>
    <row r="22784" spans="191:191" x14ac:dyDescent="0.2">
      <c r="GI22784" s="422"/>
    </row>
    <row r="22785" spans="191:191" x14ac:dyDescent="0.2">
      <c r="GI22785" s="422"/>
    </row>
    <row r="22786" spans="191:191" x14ac:dyDescent="0.2">
      <c r="GI22786" s="422"/>
    </row>
    <row r="22787" spans="191:191" x14ac:dyDescent="0.2">
      <c r="GI22787" s="422"/>
    </row>
    <row r="22788" spans="191:191" x14ac:dyDescent="0.2">
      <c r="GI22788" s="422"/>
    </row>
    <row r="22789" spans="191:191" x14ac:dyDescent="0.2">
      <c r="GI22789" s="422"/>
    </row>
    <row r="22790" spans="191:191" x14ac:dyDescent="0.2">
      <c r="GI22790" s="422"/>
    </row>
    <row r="22791" spans="191:191" x14ac:dyDescent="0.2">
      <c r="GI22791" s="422"/>
    </row>
    <row r="22792" spans="191:191" x14ac:dyDescent="0.2">
      <c r="GI22792" s="422"/>
    </row>
    <row r="22793" spans="191:191" x14ac:dyDescent="0.2">
      <c r="GI22793" s="422"/>
    </row>
    <row r="22794" spans="191:191" x14ac:dyDescent="0.2">
      <c r="GI22794" s="422"/>
    </row>
    <row r="22795" spans="191:191" x14ac:dyDescent="0.2">
      <c r="GI22795" s="422"/>
    </row>
    <row r="22796" spans="191:191" x14ac:dyDescent="0.2">
      <c r="GI22796" s="422"/>
    </row>
    <row r="22797" spans="191:191" x14ac:dyDescent="0.2">
      <c r="GI22797" s="422"/>
    </row>
    <row r="22798" spans="191:191" x14ac:dyDescent="0.2">
      <c r="GI22798" s="422"/>
    </row>
    <row r="22799" spans="191:191" x14ac:dyDescent="0.2">
      <c r="GI22799" s="422"/>
    </row>
    <row r="22800" spans="191:191" x14ac:dyDescent="0.2">
      <c r="GI22800" s="422"/>
    </row>
    <row r="22801" spans="191:191" x14ac:dyDescent="0.2">
      <c r="GI22801" s="422"/>
    </row>
    <row r="22802" spans="191:191" x14ac:dyDescent="0.2">
      <c r="GI22802" s="422"/>
    </row>
    <row r="22803" spans="191:191" x14ac:dyDescent="0.2">
      <c r="GI22803" s="422"/>
    </row>
    <row r="22804" spans="191:191" x14ac:dyDescent="0.2">
      <c r="GI22804" s="422"/>
    </row>
    <row r="22805" spans="191:191" x14ac:dyDescent="0.2">
      <c r="GI22805" s="422"/>
    </row>
    <row r="22806" spans="191:191" x14ac:dyDescent="0.2">
      <c r="GI22806" s="422"/>
    </row>
    <row r="22807" spans="191:191" x14ac:dyDescent="0.2">
      <c r="GI22807" s="422"/>
    </row>
    <row r="22808" spans="191:191" x14ac:dyDescent="0.2">
      <c r="GI22808" s="422"/>
    </row>
    <row r="22809" spans="191:191" x14ac:dyDescent="0.2">
      <c r="GI22809" s="422"/>
    </row>
    <row r="22810" spans="191:191" x14ac:dyDescent="0.2">
      <c r="GI22810" s="422"/>
    </row>
    <row r="22811" spans="191:191" x14ac:dyDescent="0.2">
      <c r="GI22811" s="422"/>
    </row>
    <row r="22812" spans="191:191" x14ac:dyDescent="0.2">
      <c r="GI22812" s="422"/>
    </row>
    <row r="22813" spans="191:191" x14ac:dyDescent="0.2">
      <c r="GI22813" s="422"/>
    </row>
    <row r="22814" spans="191:191" x14ac:dyDescent="0.2">
      <c r="GI22814" s="422"/>
    </row>
    <row r="22815" spans="191:191" x14ac:dyDescent="0.2">
      <c r="GI22815" s="422"/>
    </row>
    <row r="22816" spans="191:191" x14ac:dyDescent="0.2">
      <c r="GI22816" s="422"/>
    </row>
    <row r="22817" spans="191:191" x14ac:dyDescent="0.2">
      <c r="GI22817" s="422"/>
    </row>
    <row r="22818" spans="191:191" x14ac:dyDescent="0.2">
      <c r="GI22818" s="422"/>
    </row>
    <row r="22819" spans="191:191" x14ac:dyDescent="0.2">
      <c r="GI22819" s="422"/>
    </row>
    <row r="22820" spans="191:191" x14ac:dyDescent="0.2">
      <c r="GI22820" s="422"/>
    </row>
    <row r="22821" spans="191:191" x14ac:dyDescent="0.2">
      <c r="GI22821" s="422"/>
    </row>
    <row r="22822" spans="191:191" x14ac:dyDescent="0.2">
      <c r="GI22822" s="422"/>
    </row>
    <row r="22823" spans="191:191" x14ac:dyDescent="0.2">
      <c r="GI22823" s="422"/>
    </row>
    <row r="22824" spans="191:191" x14ac:dyDescent="0.2">
      <c r="GI22824" s="422"/>
    </row>
    <row r="22825" spans="191:191" x14ac:dyDescent="0.2">
      <c r="GI22825" s="422"/>
    </row>
    <row r="22826" spans="191:191" x14ac:dyDescent="0.2">
      <c r="GI22826" s="422"/>
    </row>
    <row r="22827" spans="191:191" x14ac:dyDescent="0.2">
      <c r="GI22827" s="422"/>
    </row>
    <row r="22828" spans="191:191" x14ac:dyDescent="0.2">
      <c r="GI22828" s="422"/>
    </row>
    <row r="22829" spans="191:191" x14ac:dyDescent="0.2">
      <c r="GI22829" s="422"/>
    </row>
    <row r="22830" spans="191:191" x14ac:dyDescent="0.2">
      <c r="GI22830" s="422"/>
    </row>
    <row r="22831" spans="191:191" x14ac:dyDescent="0.2">
      <c r="GI22831" s="422"/>
    </row>
    <row r="22832" spans="191:191" x14ac:dyDescent="0.2">
      <c r="GI22832" s="422"/>
    </row>
    <row r="22833" spans="191:191" x14ac:dyDescent="0.2">
      <c r="GI22833" s="422"/>
    </row>
    <row r="22834" spans="191:191" x14ac:dyDescent="0.2">
      <c r="GI22834" s="422"/>
    </row>
    <row r="22835" spans="191:191" x14ac:dyDescent="0.2">
      <c r="GI22835" s="422"/>
    </row>
    <row r="22836" spans="191:191" x14ac:dyDescent="0.2">
      <c r="GI22836" s="422"/>
    </row>
    <row r="22837" spans="191:191" x14ac:dyDescent="0.2">
      <c r="GI22837" s="422"/>
    </row>
    <row r="22838" spans="191:191" x14ac:dyDescent="0.2">
      <c r="GI22838" s="422"/>
    </row>
    <row r="22839" spans="191:191" x14ac:dyDescent="0.2">
      <c r="GI22839" s="422"/>
    </row>
    <row r="22840" spans="191:191" x14ac:dyDescent="0.2">
      <c r="GI22840" s="422"/>
    </row>
    <row r="22841" spans="191:191" x14ac:dyDescent="0.2">
      <c r="GI22841" s="422"/>
    </row>
    <row r="22842" spans="191:191" x14ac:dyDescent="0.2">
      <c r="GI22842" s="422"/>
    </row>
    <row r="22843" spans="191:191" x14ac:dyDescent="0.2">
      <c r="GI22843" s="422"/>
    </row>
    <row r="22844" spans="191:191" x14ac:dyDescent="0.2">
      <c r="GI22844" s="422"/>
    </row>
    <row r="22845" spans="191:191" x14ac:dyDescent="0.2">
      <c r="GI22845" s="422"/>
    </row>
    <row r="22846" spans="191:191" x14ac:dyDescent="0.2">
      <c r="GI22846" s="422"/>
    </row>
    <row r="22847" spans="191:191" x14ac:dyDescent="0.2">
      <c r="GI22847" s="422"/>
    </row>
    <row r="22848" spans="191:191" x14ac:dyDescent="0.2">
      <c r="GI22848" s="422"/>
    </row>
    <row r="22849" spans="191:191" x14ac:dyDescent="0.2">
      <c r="GI22849" s="422"/>
    </row>
    <row r="22850" spans="191:191" x14ac:dyDescent="0.2">
      <c r="GI22850" s="422"/>
    </row>
    <row r="22851" spans="191:191" x14ac:dyDescent="0.2">
      <c r="GI22851" s="422"/>
    </row>
    <row r="22852" spans="191:191" x14ac:dyDescent="0.2">
      <c r="GI22852" s="422"/>
    </row>
    <row r="22853" spans="191:191" x14ac:dyDescent="0.2">
      <c r="GI22853" s="422"/>
    </row>
    <row r="22854" spans="191:191" x14ac:dyDescent="0.2">
      <c r="GI22854" s="422"/>
    </row>
    <row r="22855" spans="191:191" x14ac:dyDescent="0.2">
      <c r="GI22855" s="422"/>
    </row>
    <row r="22856" spans="191:191" x14ac:dyDescent="0.2">
      <c r="GI22856" s="422"/>
    </row>
    <row r="22857" spans="191:191" x14ac:dyDescent="0.2">
      <c r="GI22857" s="422"/>
    </row>
    <row r="22858" spans="191:191" x14ac:dyDescent="0.2">
      <c r="GI22858" s="422"/>
    </row>
    <row r="22859" spans="191:191" x14ac:dyDescent="0.2">
      <c r="GI22859" s="422"/>
    </row>
    <row r="22860" spans="191:191" x14ac:dyDescent="0.2">
      <c r="GI22860" s="422"/>
    </row>
    <row r="22861" spans="191:191" x14ac:dyDescent="0.2">
      <c r="GI22861" s="422"/>
    </row>
    <row r="22862" spans="191:191" x14ac:dyDescent="0.2">
      <c r="GI22862" s="422"/>
    </row>
    <row r="22863" spans="191:191" x14ac:dyDescent="0.2">
      <c r="GI22863" s="422"/>
    </row>
    <row r="22864" spans="191:191" x14ac:dyDescent="0.2">
      <c r="GI22864" s="422"/>
    </row>
    <row r="22865" spans="191:191" x14ac:dyDescent="0.2">
      <c r="GI22865" s="422"/>
    </row>
    <row r="22866" spans="191:191" x14ac:dyDescent="0.2">
      <c r="GI22866" s="422"/>
    </row>
    <row r="22867" spans="191:191" x14ac:dyDescent="0.2">
      <c r="GI22867" s="422"/>
    </row>
    <row r="22868" spans="191:191" x14ac:dyDescent="0.2">
      <c r="GI22868" s="422"/>
    </row>
    <row r="22869" spans="191:191" x14ac:dyDescent="0.2">
      <c r="GI22869" s="422"/>
    </row>
    <row r="22870" spans="191:191" x14ac:dyDescent="0.2">
      <c r="GI22870" s="422"/>
    </row>
    <row r="22871" spans="191:191" x14ac:dyDescent="0.2">
      <c r="GI22871" s="422"/>
    </row>
    <row r="22872" spans="191:191" x14ac:dyDescent="0.2">
      <c r="GI22872" s="422"/>
    </row>
    <row r="22873" spans="191:191" x14ac:dyDescent="0.2">
      <c r="GI22873" s="422"/>
    </row>
    <row r="22874" spans="191:191" x14ac:dyDescent="0.2">
      <c r="GI22874" s="422"/>
    </row>
    <row r="22875" spans="191:191" x14ac:dyDescent="0.2">
      <c r="GI22875" s="422"/>
    </row>
    <row r="22876" spans="191:191" x14ac:dyDescent="0.2">
      <c r="GI22876" s="422"/>
    </row>
    <row r="22877" spans="191:191" x14ac:dyDescent="0.2">
      <c r="GI22877" s="422"/>
    </row>
    <row r="22878" spans="191:191" x14ac:dyDescent="0.2">
      <c r="GI22878" s="422"/>
    </row>
    <row r="22879" spans="191:191" x14ac:dyDescent="0.2">
      <c r="GI22879" s="422"/>
    </row>
    <row r="22880" spans="191:191" x14ac:dyDescent="0.2">
      <c r="GI22880" s="422"/>
    </row>
    <row r="22881" spans="191:191" x14ac:dyDescent="0.2">
      <c r="GI22881" s="422"/>
    </row>
    <row r="22882" spans="191:191" x14ac:dyDescent="0.2">
      <c r="GI22882" s="422"/>
    </row>
    <row r="22883" spans="191:191" x14ac:dyDescent="0.2">
      <c r="GI22883" s="422"/>
    </row>
    <row r="22884" spans="191:191" x14ac:dyDescent="0.2">
      <c r="GI22884" s="422"/>
    </row>
    <row r="22885" spans="191:191" x14ac:dyDescent="0.2">
      <c r="GI22885" s="422"/>
    </row>
    <row r="22886" spans="191:191" x14ac:dyDescent="0.2">
      <c r="GI22886" s="422"/>
    </row>
    <row r="22887" spans="191:191" x14ac:dyDescent="0.2">
      <c r="GI22887" s="422"/>
    </row>
    <row r="22888" spans="191:191" x14ac:dyDescent="0.2">
      <c r="GI22888" s="422"/>
    </row>
    <row r="22889" spans="191:191" x14ac:dyDescent="0.2">
      <c r="GI22889" s="422"/>
    </row>
    <row r="22890" spans="191:191" x14ac:dyDescent="0.2">
      <c r="GI22890" s="422"/>
    </row>
    <row r="22891" spans="191:191" x14ac:dyDescent="0.2">
      <c r="GI22891" s="422"/>
    </row>
    <row r="22892" spans="191:191" x14ac:dyDescent="0.2">
      <c r="GI22892" s="422"/>
    </row>
    <row r="22893" spans="191:191" x14ac:dyDescent="0.2">
      <c r="GI22893" s="422"/>
    </row>
    <row r="22894" spans="191:191" x14ac:dyDescent="0.2">
      <c r="GI22894" s="422"/>
    </row>
    <row r="22895" spans="191:191" x14ac:dyDescent="0.2">
      <c r="GI22895" s="422"/>
    </row>
    <row r="22896" spans="191:191" x14ac:dyDescent="0.2">
      <c r="GI22896" s="422"/>
    </row>
    <row r="22897" spans="191:191" x14ac:dyDescent="0.2">
      <c r="GI22897" s="422"/>
    </row>
    <row r="22898" spans="191:191" x14ac:dyDescent="0.2">
      <c r="GI22898" s="422"/>
    </row>
    <row r="22899" spans="191:191" x14ac:dyDescent="0.2">
      <c r="GI22899" s="422"/>
    </row>
    <row r="22900" spans="191:191" x14ac:dyDescent="0.2">
      <c r="GI22900" s="422"/>
    </row>
    <row r="22901" spans="191:191" x14ac:dyDescent="0.2">
      <c r="GI22901" s="422"/>
    </row>
    <row r="22902" spans="191:191" x14ac:dyDescent="0.2">
      <c r="GI22902" s="422"/>
    </row>
    <row r="22903" spans="191:191" x14ac:dyDescent="0.2">
      <c r="GI22903" s="422"/>
    </row>
    <row r="22904" spans="191:191" x14ac:dyDescent="0.2">
      <c r="GI22904" s="422"/>
    </row>
    <row r="22905" spans="191:191" x14ac:dyDescent="0.2">
      <c r="GI22905" s="422"/>
    </row>
    <row r="22906" spans="191:191" x14ac:dyDescent="0.2">
      <c r="GI22906" s="422"/>
    </row>
    <row r="22907" spans="191:191" x14ac:dyDescent="0.2">
      <c r="GI22907" s="422"/>
    </row>
    <row r="22908" spans="191:191" x14ac:dyDescent="0.2">
      <c r="GI22908" s="422"/>
    </row>
    <row r="22909" spans="191:191" x14ac:dyDescent="0.2">
      <c r="GI22909" s="422"/>
    </row>
    <row r="22910" spans="191:191" x14ac:dyDescent="0.2">
      <c r="GI22910" s="422"/>
    </row>
    <row r="22911" spans="191:191" x14ac:dyDescent="0.2">
      <c r="GI22911" s="422"/>
    </row>
    <row r="22912" spans="191:191" x14ac:dyDescent="0.2">
      <c r="GI22912" s="422"/>
    </row>
    <row r="22913" spans="191:191" x14ac:dyDescent="0.2">
      <c r="GI22913" s="422"/>
    </row>
    <row r="22914" spans="191:191" x14ac:dyDescent="0.2">
      <c r="GI22914" s="422"/>
    </row>
    <row r="22915" spans="191:191" x14ac:dyDescent="0.2">
      <c r="GI22915" s="422"/>
    </row>
    <row r="22916" spans="191:191" x14ac:dyDescent="0.2">
      <c r="GI22916" s="422"/>
    </row>
    <row r="22917" spans="191:191" x14ac:dyDescent="0.2">
      <c r="GI22917" s="422"/>
    </row>
    <row r="22918" spans="191:191" x14ac:dyDescent="0.2">
      <c r="GI22918" s="422"/>
    </row>
    <row r="22919" spans="191:191" x14ac:dyDescent="0.2">
      <c r="GI22919" s="422"/>
    </row>
    <row r="22920" spans="191:191" x14ac:dyDescent="0.2">
      <c r="GI22920" s="422"/>
    </row>
    <row r="22921" spans="191:191" x14ac:dyDescent="0.2">
      <c r="GI22921" s="422"/>
    </row>
    <row r="22922" spans="191:191" x14ac:dyDescent="0.2">
      <c r="GI22922" s="422"/>
    </row>
    <row r="22923" spans="191:191" x14ac:dyDescent="0.2">
      <c r="GI22923" s="422"/>
    </row>
    <row r="22924" spans="191:191" x14ac:dyDescent="0.2">
      <c r="GI22924" s="422"/>
    </row>
    <row r="22925" spans="191:191" x14ac:dyDescent="0.2">
      <c r="GI22925" s="422"/>
    </row>
    <row r="22926" spans="191:191" x14ac:dyDescent="0.2">
      <c r="GI22926" s="422"/>
    </row>
    <row r="22927" spans="191:191" x14ac:dyDescent="0.2">
      <c r="GI22927" s="422"/>
    </row>
    <row r="22928" spans="191:191" x14ac:dyDescent="0.2">
      <c r="GI22928" s="422"/>
    </row>
    <row r="22929" spans="191:191" x14ac:dyDescent="0.2">
      <c r="GI22929" s="422"/>
    </row>
    <row r="22930" spans="191:191" x14ac:dyDescent="0.2">
      <c r="GI22930" s="422"/>
    </row>
    <row r="22931" spans="191:191" x14ac:dyDescent="0.2">
      <c r="GI22931" s="422"/>
    </row>
    <row r="22932" spans="191:191" x14ac:dyDescent="0.2">
      <c r="GI22932" s="422"/>
    </row>
    <row r="22933" spans="191:191" x14ac:dyDescent="0.2">
      <c r="GI22933" s="422"/>
    </row>
    <row r="22934" spans="191:191" x14ac:dyDescent="0.2">
      <c r="GI22934" s="422"/>
    </row>
    <row r="22935" spans="191:191" x14ac:dyDescent="0.2">
      <c r="GI22935" s="422"/>
    </row>
    <row r="22936" spans="191:191" x14ac:dyDescent="0.2">
      <c r="GI22936" s="422"/>
    </row>
    <row r="22937" spans="191:191" x14ac:dyDescent="0.2">
      <c r="GI22937" s="422"/>
    </row>
    <row r="22938" spans="191:191" x14ac:dyDescent="0.2">
      <c r="GI22938" s="422"/>
    </row>
    <row r="22939" spans="191:191" x14ac:dyDescent="0.2">
      <c r="GI22939" s="422"/>
    </row>
    <row r="22940" spans="191:191" x14ac:dyDescent="0.2">
      <c r="GI22940" s="422"/>
    </row>
    <row r="22941" spans="191:191" x14ac:dyDescent="0.2">
      <c r="GI22941" s="422"/>
    </row>
    <row r="22942" spans="191:191" x14ac:dyDescent="0.2">
      <c r="GI22942" s="422"/>
    </row>
    <row r="22943" spans="191:191" x14ac:dyDescent="0.2">
      <c r="GI22943" s="422"/>
    </row>
    <row r="22944" spans="191:191" x14ac:dyDescent="0.2">
      <c r="GI22944" s="422"/>
    </row>
    <row r="22945" spans="191:191" x14ac:dyDescent="0.2">
      <c r="GI22945" s="422"/>
    </row>
    <row r="22946" spans="191:191" x14ac:dyDescent="0.2">
      <c r="GI22946" s="422"/>
    </row>
    <row r="22947" spans="191:191" x14ac:dyDescent="0.2">
      <c r="GI22947" s="422"/>
    </row>
    <row r="22948" spans="191:191" x14ac:dyDescent="0.2">
      <c r="GI22948" s="422"/>
    </row>
    <row r="22949" spans="191:191" x14ac:dyDescent="0.2">
      <c r="GI22949" s="422"/>
    </row>
    <row r="22950" spans="191:191" x14ac:dyDescent="0.2">
      <c r="GI22950" s="422"/>
    </row>
    <row r="22951" spans="191:191" x14ac:dyDescent="0.2">
      <c r="GI22951" s="422"/>
    </row>
    <row r="22952" spans="191:191" x14ac:dyDescent="0.2">
      <c r="GI22952" s="422"/>
    </row>
    <row r="22953" spans="191:191" x14ac:dyDescent="0.2">
      <c r="GI22953" s="422"/>
    </row>
    <row r="22954" spans="191:191" x14ac:dyDescent="0.2">
      <c r="GI22954" s="422"/>
    </row>
    <row r="22955" spans="191:191" x14ac:dyDescent="0.2">
      <c r="GI22955" s="422"/>
    </row>
    <row r="22956" spans="191:191" x14ac:dyDescent="0.2">
      <c r="GI22956" s="422"/>
    </row>
    <row r="22957" spans="191:191" x14ac:dyDescent="0.2">
      <c r="GI22957" s="422"/>
    </row>
    <row r="22958" spans="191:191" x14ac:dyDescent="0.2">
      <c r="GI22958" s="422"/>
    </row>
    <row r="22959" spans="191:191" x14ac:dyDescent="0.2">
      <c r="GI22959" s="422"/>
    </row>
    <row r="22960" spans="191:191" x14ac:dyDescent="0.2">
      <c r="GI22960" s="422"/>
    </row>
    <row r="22961" spans="191:191" x14ac:dyDescent="0.2">
      <c r="GI22961" s="422"/>
    </row>
    <row r="22962" spans="191:191" x14ac:dyDescent="0.2">
      <c r="GI22962" s="422"/>
    </row>
    <row r="22963" spans="191:191" x14ac:dyDescent="0.2">
      <c r="GI22963" s="422"/>
    </row>
    <row r="22964" spans="191:191" x14ac:dyDescent="0.2">
      <c r="GI22964" s="422"/>
    </row>
    <row r="22965" spans="191:191" x14ac:dyDescent="0.2">
      <c r="GI22965" s="422"/>
    </row>
    <row r="22966" spans="191:191" x14ac:dyDescent="0.2">
      <c r="GI22966" s="422"/>
    </row>
    <row r="22967" spans="191:191" x14ac:dyDescent="0.2">
      <c r="GI22967" s="422"/>
    </row>
    <row r="22968" spans="191:191" x14ac:dyDescent="0.2">
      <c r="GI22968" s="422"/>
    </row>
    <row r="22969" spans="191:191" x14ac:dyDescent="0.2">
      <c r="GI22969" s="422"/>
    </row>
    <row r="22970" spans="191:191" x14ac:dyDescent="0.2">
      <c r="GI22970" s="422"/>
    </row>
    <row r="22971" spans="191:191" x14ac:dyDescent="0.2">
      <c r="GI22971" s="422"/>
    </row>
    <row r="22972" spans="191:191" x14ac:dyDescent="0.2">
      <c r="GI22972" s="422"/>
    </row>
    <row r="22973" spans="191:191" x14ac:dyDescent="0.2">
      <c r="GI22973" s="422"/>
    </row>
    <row r="22974" spans="191:191" x14ac:dyDescent="0.2">
      <c r="GI22974" s="422"/>
    </row>
    <row r="22975" spans="191:191" x14ac:dyDescent="0.2">
      <c r="GI22975" s="422"/>
    </row>
    <row r="22976" spans="191:191" x14ac:dyDescent="0.2">
      <c r="GI22976" s="422"/>
    </row>
    <row r="22977" spans="191:191" x14ac:dyDescent="0.2">
      <c r="GI22977" s="422"/>
    </row>
    <row r="22978" spans="191:191" x14ac:dyDescent="0.2">
      <c r="GI22978" s="422"/>
    </row>
    <row r="22979" spans="191:191" x14ac:dyDescent="0.2">
      <c r="GI22979" s="422"/>
    </row>
    <row r="22980" spans="191:191" x14ac:dyDescent="0.2">
      <c r="GI22980" s="422"/>
    </row>
    <row r="22981" spans="191:191" x14ac:dyDescent="0.2">
      <c r="GI22981" s="422"/>
    </row>
    <row r="22982" spans="191:191" x14ac:dyDescent="0.2">
      <c r="GI22982" s="422"/>
    </row>
    <row r="22983" spans="191:191" x14ac:dyDescent="0.2">
      <c r="GI22983" s="422"/>
    </row>
    <row r="22984" spans="191:191" x14ac:dyDescent="0.2">
      <c r="GI22984" s="422"/>
    </row>
    <row r="22985" spans="191:191" x14ac:dyDescent="0.2">
      <c r="GI22985" s="422"/>
    </row>
    <row r="22986" spans="191:191" x14ac:dyDescent="0.2">
      <c r="GI22986" s="422"/>
    </row>
    <row r="22987" spans="191:191" x14ac:dyDescent="0.2">
      <c r="GI22987" s="422"/>
    </row>
    <row r="22988" spans="191:191" x14ac:dyDescent="0.2">
      <c r="GI22988" s="422"/>
    </row>
    <row r="22989" spans="191:191" x14ac:dyDescent="0.2">
      <c r="GI22989" s="422"/>
    </row>
    <row r="22990" spans="191:191" x14ac:dyDescent="0.2">
      <c r="GI22990" s="422"/>
    </row>
    <row r="22991" spans="191:191" x14ac:dyDescent="0.2">
      <c r="GI22991" s="422"/>
    </row>
    <row r="22992" spans="191:191" x14ac:dyDescent="0.2">
      <c r="GI22992" s="422"/>
    </row>
    <row r="22993" spans="191:191" x14ac:dyDescent="0.2">
      <c r="GI22993" s="422"/>
    </row>
    <row r="22994" spans="191:191" x14ac:dyDescent="0.2">
      <c r="GI22994" s="422"/>
    </row>
    <row r="22995" spans="191:191" x14ac:dyDescent="0.2">
      <c r="GI22995" s="422"/>
    </row>
    <row r="22996" spans="191:191" x14ac:dyDescent="0.2">
      <c r="GI22996" s="422"/>
    </row>
    <row r="22997" spans="191:191" x14ac:dyDescent="0.2">
      <c r="GI22997" s="422"/>
    </row>
    <row r="22998" spans="191:191" x14ac:dyDescent="0.2">
      <c r="GI22998" s="422"/>
    </row>
    <row r="22999" spans="191:191" x14ac:dyDescent="0.2">
      <c r="GI22999" s="422"/>
    </row>
    <row r="23000" spans="191:191" x14ac:dyDescent="0.2">
      <c r="GI23000" s="422"/>
    </row>
    <row r="23001" spans="191:191" x14ac:dyDescent="0.2">
      <c r="GI23001" s="422"/>
    </row>
    <row r="23002" spans="191:191" x14ac:dyDescent="0.2">
      <c r="GI23002" s="422"/>
    </row>
    <row r="23003" spans="191:191" x14ac:dyDescent="0.2">
      <c r="GI23003" s="422"/>
    </row>
    <row r="23004" spans="191:191" x14ac:dyDescent="0.2">
      <c r="GI23004" s="422"/>
    </row>
    <row r="23005" spans="191:191" x14ac:dyDescent="0.2">
      <c r="GI23005" s="422"/>
    </row>
    <row r="23006" spans="191:191" x14ac:dyDescent="0.2">
      <c r="GI23006" s="422"/>
    </row>
    <row r="23007" spans="191:191" x14ac:dyDescent="0.2">
      <c r="GI23007" s="422"/>
    </row>
    <row r="23008" spans="191:191" x14ac:dyDescent="0.2">
      <c r="GI23008" s="422"/>
    </row>
    <row r="23009" spans="191:191" x14ac:dyDescent="0.2">
      <c r="GI23009" s="422"/>
    </row>
    <row r="23010" spans="191:191" x14ac:dyDescent="0.2">
      <c r="GI23010" s="422"/>
    </row>
    <row r="23011" spans="191:191" x14ac:dyDescent="0.2">
      <c r="GI23011" s="422"/>
    </row>
    <row r="23012" spans="191:191" x14ac:dyDescent="0.2">
      <c r="GI23012" s="422"/>
    </row>
    <row r="23013" spans="191:191" x14ac:dyDescent="0.2">
      <c r="GI23013" s="422"/>
    </row>
    <row r="23014" spans="191:191" x14ac:dyDescent="0.2">
      <c r="GI23014" s="422"/>
    </row>
    <row r="23015" spans="191:191" x14ac:dyDescent="0.2">
      <c r="GI23015" s="422"/>
    </row>
    <row r="23016" spans="191:191" x14ac:dyDescent="0.2">
      <c r="GI23016" s="422"/>
    </row>
    <row r="23017" spans="191:191" x14ac:dyDescent="0.2">
      <c r="GI23017" s="422"/>
    </row>
    <row r="23018" spans="191:191" x14ac:dyDescent="0.2">
      <c r="GI23018" s="422"/>
    </row>
    <row r="23019" spans="191:191" x14ac:dyDescent="0.2">
      <c r="GI23019" s="422"/>
    </row>
    <row r="23020" spans="191:191" x14ac:dyDescent="0.2">
      <c r="GI23020" s="422"/>
    </row>
    <row r="23021" spans="191:191" x14ac:dyDescent="0.2">
      <c r="GI23021" s="422"/>
    </row>
    <row r="23022" spans="191:191" x14ac:dyDescent="0.2">
      <c r="GI23022" s="422"/>
    </row>
    <row r="23023" spans="191:191" x14ac:dyDescent="0.2">
      <c r="GI23023" s="422"/>
    </row>
    <row r="23024" spans="191:191" x14ac:dyDescent="0.2">
      <c r="GI23024" s="422"/>
    </row>
    <row r="23025" spans="191:191" x14ac:dyDescent="0.2">
      <c r="GI23025" s="422"/>
    </row>
    <row r="23026" spans="191:191" x14ac:dyDescent="0.2">
      <c r="GI23026" s="422"/>
    </row>
    <row r="23027" spans="191:191" x14ac:dyDescent="0.2">
      <c r="GI23027" s="422"/>
    </row>
    <row r="23028" spans="191:191" x14ac:dyDescent="0.2">
      <c r="GI23028" s="422"/>
    </row>
    <row r="23029" spans="191:191" x14ac:dyDescent="0.2">
      <c r="GI23029" s="422"/>
    </row>
    <row r="23030" spans="191:191" x14ac:dyDescent="0.2">
      <c r="GI23030" s="422"/>
    </row>
    <row r="23031" spans="191:191" x14ac:dyDescent="0.2">
      <c r="GI23031" s="422"/>
    </row>
    <row r="23032" spans="191:191" x14ac:dyDescent="0.2">
      <c r="GI23032" s="422"/>
    </row>
    <row r="23033" spans="191:191" x14ac:dyDescent="0.2">
      <c r="GI23033" s="422"/>
    </row>
    <row r="23034" spans="191:191" x14ac:dyDescent="0.2">
      <c r="GI23034" s="422"/>
    </row>
    <row r="23035" spans="191:191" x14ac:dyDescent="0.2">
      <c r="GI23035" s="422"/>
    </row>
    <row r="23036" spans="191:191" x14ac:dyDescent="0.2">
      <c r="GI23036" s="422"/>
    </row>
    <row r="23037" spans="191:191" x14ac:dyDescent="0.2">
      <c r="GI23037" s="422"/>
    </row>
    <row r="23038" spans="191:191" x14ac:dyDescent="0.2">
      <c r="GI23038" s="422"/>
    </row>
    <row r="23039" spans="191:191" x14ac:dyDescent="0.2">
      <c r="GI23039" s="422"/>
    </row>
    <row r="23040" spans="191:191" x14ac:dyDescent="0.2">
      <c r="GI23040" s="422"/>
    </row>
    <row r="23041" spans="191:191" x14ac:dyDescent="0.2">
      <c r="GI23041" s="422"/>
    </row>
    <row r="23042" spans="191:191" x14ac:dyDescent="0.2">
      <c r="GI23042" s="422"/>
    </row>
    <row r="23043" spans="191:191" x14ac:dyDescent="0.2">
      <c r="GI23043" s="422"/>
    </row>
    <row r="23044" spans="191:191" x14ac:dyDescent="0.2">
      <c r="GI23044" s="422"/>
    </row>
    <row r="23045" spans="191:191" x14ac:dyDescent="0.2">
      <c r="GI23045" s="422"/>
    </row>
    <row r="23046" spans="191:191" x14ac:dyDescent="0.2">
      <c r="GI23046" s="422"/>
    </row>
    <row r="23047" spans="191:191" x14ac:dyDescent="0.2">
      <c r="GI23047" s="422"/>
    </row>
    <row r="23048" spans="191:191" x14ac:dyDescent="0.2">
      <c r="GI23048" s="422"/>
    </row>
    <row r="23049" spans="191:191" x14ac:dyDescent="0.2">
      <c r="GI23049" s="422"/>
    </row>
    <row r="23050" spans="191:191" x14ac:dyDescent="0.2">
      <c r="GI23050" s="422"/>
    </row>
    <row r="23051" spans="191:191" x14ac:dyDescent="0.2">
      <c r="GI23051" s="422"/>
    </row>
    <row r="23052" spans="191:191" x14ac:dyDescent="0.2">
      <c r="GI23052" s="422"/>
    </row>
    <row r="23053" spans="191:191" x14ac:dyDescent="0.2">
      <c r="GI23053" s="422"/>
    </row>
    <row r="23054" spans="191:191" x14ac:dyDescent="0.2">
      <c r="GI23054" s="422"/>
    </row>
    <row r="23055" spans="191:191" x14ac:dyDescent="0.2">
      <c r="GI23055" s="422"/>
    </row>
    <row r="23056" spans="191:191" x14ac:dyDescent="0.2">
      <c r="GI23056" s="422"/>
    </row>
    <row r="23057" spans="191:191" x14ac:dyDescent="0.2">
      <c r="GI23057" s="422"/>
    </row>
    <row r="23058" spans="191:191" x14ac:dyDescent="0.2">
      <c r="GI23058" s="422"/>
    </row>
    <row r="23059" spans="191:191" x14ac:dyDescent="0.2">
      <c r="GI23059" s="422"/>
    </row>
    <row r="23060" spans="191:191" x14ac:dyDescent="0.2">
      <c r="GI23060" s="422"/>
    </row>
    <row r="23061" spans="191:191" x14ac:dyDescent="0.2">
      <c r="GI23061" s="422"/>
    </row>
    <row r="23062" spans="191:191" x14ac:dyDescent="0.2">
      <c r="GI23062" s="422"/>
    </row>
    <row r="23063" spans="191:191" x14ac:dyDescent="0.2">
      <c r="GI23063" s="422"/>
    </row>
    <row r="23064" spans="191:191" x14ac:dyDescent="0.2">
      <c r="GI23064" s="422"/>
    </row>
    <row r="23065" spans="191:191" x14ac:dyDescent="0.2">
      <c r="GI23065" s="422"/>
    </row>
    <row r="23066" spans="191:191" x14ac:dyDescent="0.2">
      <c r="GI23066" s="422"/>
    </row>
    <row r="23067" spans="191:191" x14ac:dyDescent="0.2">
      <c r="GI23067" s="422"/>
    </row>
    <row r="23068" spans="191:191" x14ac:dyDescent="0.2">
      <c r="GI23068" s="422"/>
    </row>
    <row r="23069" spans="191:191" x14ac:dyDescent="0.2">
      <c r="GI23069" s="422"/>
    </row>
    <row r="23070" spans="191:191" x14ac:dyDescent="0.2">
      <c r="GI23070" s="422"/>
    </row>
    <row r="23071" spans="191:191" x14ac:dyDescent="0.2">
      <c r="GI23071" s="422"/>
    </row>
    <row r="23072" spans="191:191" x14ac:dyDescent="0.2">
      <c r="GI23072" s="422"/>
    </row>
    <row r="23073" spans="191:191" x14ac:dyDescent="0.2">
      <c r="GI23073" s="422"/>
    </row>
    <row r="23074" spans="191:191" x14ac:dyDescent="0.2">
      <c r="GI23074" s="422"/>
    </row>
    <row r="23075" spans="191:191" x14ac:dyDescent="0.2">
      <c r="GI23075" s="422"/>
    </row>
    <row r="23076" spans="191:191" x14ac:dyDescent="0.2">
      <c r="GI23076" s="422"/>
    </row>
    <row r="23077" spans="191:191" x14ac:dyDescent="0.2">
      <c r="GI23077" s="422"/>
    </row>
    <row r="23078" spans="191:191" x14ac:dyDescent="0.2">
      <c r="GI23078" s="422"/>
    </row>
    <row r="23079" spans="191:191" x14ac:dyDescent="0.2">
      <c r="GI23079" s="422"/>
    </row>
    <row r="23080" spans="191:191" x14ac:dyDescent="0.2">
      <c r="GI23080" s="422"/>
    </row>
    <row r="23081" spans="191:191" x14ac:dyDescent="0.2">
      <c r="GI23081" s="422"/>
    </row>
    <row r="23082" spans="191:191" x14ac:dyDescent="0.2">
      <c r="GI23082" s="422"/>
    </row>
    <row r="23083" spans="191:191" x14ac:dyDescent="0.2">
      <c r="GI23083" s="422"/>
    </row>
    <row r="23084" spans="191:191" x14ac:dyDescent="0.2">
      <c r="GI23084" s="422"/>
    </row>
    <row r="23085" spans="191:191" x14ac:dyDescent="0.2">
      <c r="GI23085" s="422"/>
    </row>
    <row r="23086" spans="191:191" x14ac:dyDescent="0.2">
      <c r="GI23086" s="422"/>
    </row>
    <row r="23087" spans="191:191" x14ac:dyDescent="0.2">
      <c r="GI23087" s="422"/>
    </row>
    <row r="23088" spans="191:191" x14ac:dyDescent="0.2">
      <c r="GI23088" s="422"/>
    </row>
    <row r="23089" spans="191:191" x14ac:dyDescent="0.2">
      <c r="GI23089" s="422"/>
    </row>
    <row r="23090" spans="191:191" x14ac:dyDescent="0.2">
      <c r="GI23090" s="422"/>
    </row>
    <row r="23091" spans="191:191" x14ac:dyDescent="0.2">
      <c r="GI23091" s="422"/>
    </row>
    <row r="23092" spans="191:191" x14ac:dyDescent="0.2">
      <c r="GI23092" s="422"/>
    </row>
    <row r="23093" spans="191:191" x14ac:dyDescent="0.2">
      <c r="GI23093" s="422"/>
    </row>
    <row r="23094" spans="191:191" x14ac:dyDescent="0.2">
      <c r="GI23094" s="422"/>
    </row>
    <row r="23095" spans="191:191" x14ac:dyDescent="0.2">
      <c r="GI23095" s="422"/>
    </row>
    <row r="23096" spans="191:191" x14ac:dyDescent="0.2">
      <c r="GI23096" s="422"/>
    </row>
    <row r="23097" spans="191:191" x14ac:dyDescent="0.2">
      <c r="GI23097" s="422"/>
    </row>
    <row r="23098" spans="191:191" x14ac:dyDescent="0.2">
      <c r="GI23098" s="422"/>
    </row>
    <row r="23099" spans="191:191" x14ac:dyDescent="0.2">
      <c r="GI23099" s="422"/>
    </row>
    <row r="23100" spans="191:191" x14ac:dyDescent="0.2">
      <c r="GI23100" s="422"/>
    </row>
    <row r="23101" spans="191:191" x14ac:dyDescent="0.2">
      <c r="GI23101" s="422"/>
    </row>
    <row r="23102" spans="191:191" x14ac:dyDescent="0.2">
      <c r="GI23102" s="422"/>
    </row>
    <row r="23103" spans="191:191" x14ac:dyDescent="0.2">
      <c r="GI23103" s="422"/>
    </row>
    <row r="23104" spans="191:191" x14ac:dyDescent="0.2">
      <c r="GI23104" s="422"/>
    </row>
    <row r="23105" spans="191:191" x14ac:dyDescent="0.2">
      <c r="GI23105" s="422"/>
    </row>
    <row r="23106" spans="191:191" x14ac:dyDescent="0.2">
      <c r="GI23106" s="422"/>
    </row>
    <row r="23107" spans="191:191" x14ac:dyDescent="0.2">
      <c r="GI23107" s="422"/>
    </row>
    <row r="23108" spans="191:191" x14ac:dyDescent="0.2">
      <c r="GI23108" s="422"/>
    </row>
    <row r="23109" spans="191:191" x14ac:dyDescent="0.2">
      <c r="GI23109" s="422"/>
    </row>
    <row r="23110" spans="191:191" x14ac:dyDescent="0.2">
      <c r="GI23110" s="422"/>
    </row>
    <row r="23111" spans="191:191" x14ac:dyDescent="0.2">
      <c r="GI23111" s="422"/>
    </row>
    <row r="23112" spans="191:191" x14ac:dyDescent="0.2">
      <c r="GI23112" s="422"/>
    </row>
    <row r="23113" spans="191:191" x14ac:dyDescent="0.2">
      <c r="GI23113" s="422"/>
    </row>
    <row r="23114" spans="191:191" x14ac:dyDescent="0.2">
      <c r="GI23114" s="422"/>
    </row>
    <row r="23115" spans="191:191" x14ac:dyDescent="0.2">
      <c r="GI23115" s="422"/>
    </row>
    <row r="23116" spans="191:191" x14ac:dyDescent="0.2">
      <c r="GI23116" s="422"/>
    </row>
    <row r="23117" spans="191:191" x14ac:dyDescent="0.2">
      <c r="GI23117" s="422"/>
    </row>
    <row r="23118" spans="191:191" x14ac:dyDescent="0.2">
      <c r="GI23118" s="422"/>
    </row>
    <row r="23119" spans="191:191" x14ac:dyDescent="0.2">
      <c r="GI23119" s="422"/>
    </row>
    <row r="23120" spans="191:191" x14ac:dyDescent="0.2">
      <c r="GI23120" s="422"/>
    </row>
    <row r="23121" spans="191:191" x14ac:dyDescent="0.2">
      <c r="GI23121" s="422"/>
    </row>
    <row r="23122" spans="191:191" x14ac:dyDescent="0.2">
      <c r="GI23122" s="422"/>
    </row>
    <row r="23123" spans="191:191" x14ac:dyDescent="0.2">
      <c r="GI23123" s="422"/>
    </row>
    <row r="23124" spans="191:191" x14ac:dyDescent="0.2">
      <c r="GI23124" s="422"/>
    </row>
    <row r="23125" spans="191:191" x14ac:dyDescent="0.2">
      <c r="GI23125" s="422"/>
    </row>
    <row r="23126" spans="191:191" x14ac:dyDescent="0.2">
      <c r="GI23126" s="422"/>
    </row>
    <row r="23127" spans="191:191" x14ac:dyDescent="0.2">
      <c r="GI23127" s="422"/>
    </row>
    <row r="23128" spans="191:191" x14ac:dyDescent="0.2">
      <c r="GI23128" s="422"/>
    </row>
    <row r="23129" spans="191:191" x14ac:dyDescent="0.2">
      <c r="GI23129" s="422"/>
    </row>
    <row r="23130" spans="191:191" x14ac:dyDescent="0.2">
      <c r="GI23130" s="422"/>
    </row>
    <row r="23131" spans="191:191" x14ac:dyDescent="0.2">
      <c r="GI23131" s="422"/>
    </row>
    <row r="23132" spans="191:191" x14ac:dyDescent="0.2">
      <c r="GI23132" s="422"/>
    </row>
    <row r="23133" spans="191:191" x14ac:dyDescent="0.2">
      <c r="GI23133" s="422"/>
    </row>
    <row r="23134" spans="191:191" x14ac:dyDescent="0.2">
      <c r="GI23134" s="422"/>
    </row>
    <row r="23135" spans="191:191" x14ac:dyDescent="0.2">
      <c r="GI23135" s="422"/>
    </row>
    <row r="23136" spans="191:191" x14ac:dyDescent="0.2">
      <c r="GI23136" s="422"/>
    </row>
    <row r="23137" spans="191:191" x14ac:dyDescent="0.2">
      <c r="GI23137" s="422"/>
    </row>
    <row r="23138" spans="191:191" x14ac:dyDescent="0.2">
      <c r="GI23138" s="422"/>
    </row>
    <row r="23139" spans="191:191" x14ac:dyDescent="0.2">
      <c r="GI23139" s="422"/>
    </row>
    <row r="23140" spans="191:191" x14ac:dyDescent="0.2">
      <c r="GI23140" s="422"/>
    </row>
    <row r="23141" spans="191:191" x14ac:dyDescent="0.2">
      <c r="GI23141" s="422"/>
    </row>
    <row r="23142" spans="191:191" x14ac:dyDescent="0.2">
      <c r="GI23142" s="422"/>
    </row>
    <row r="23143" spans="191:191" x14ac:dyDescent="0.2">
      <c r="GI23143" s="422"/>
    </row>
    <row r="23144" spans="191:191" x14ac:dyDescent="0.2">
      <c r="GI23144" s="422"/>
    </row>
    <row r="23145" spans="191:191" x14ac:dyDescent="0.2">
      <c r="GI23145" s="422"/>
    </row>
    <row r="23146" spans="191:191" x14ac:dyDescent="0.2">
      <c r="GI23146" s="422"/>
    </row>
    <row r="23147" spans="191:191" x14ac:dyDescent="0.2">
      <c r="GI23147" s="422"/>
    </row>
    <row r="23148" spans="191:191" x14ac:dyDescent="0.2">
      <c r="GI23148" s="422"/>
    </row>
    <row r="23149" spans="191:191" x14ac:dyDescent="0.2">
      <c r="GI23149" s="422"/>
    </row>
    <row r="23150" spans="191:191" x14ac:dyDescent="0.2">
      <c r="GI23150" s="422"/>
    </row>
    <row r="23151" spans="191:191" x14ac:dyDescent="0.2">
      <c r="GI23151" s="422"/>
    </row>
    <row r="23152" spans="191:191" x14ac:dyDescent="0.2">
      <c r="GI23152" s="422"/>
    </row>
    <row r="23153" spans="191:191" x14ac:dyDescent="0.2">
      <c r="GI23153" s="422"/>
    </row>
    <row r="23154" spans="191:191" x14ac:dyDescent="0.2">
      <c r="GI23154" s="422"/>
    </row>
    <row r="23155" spans="191:191" x14ac:dyDescent="0.2">
      <c r="GI23155" s="422"/>
    </row>
    <row r="23156" spans="191:191" x14ac:dyDescent="0.2">
      <c r="GI23156" s="422"/>
    </row>
    <row r="23157" spans="191:191" x14ac:dyDescent="0.2">
      <c r="GI23157" s="422"/>
    </row>
    <row r="23158" spans="191:191" x14ac:dyDescent="0.2">
      <c r="GI23158" s="422"/>
    </row>
    <row r="23159" spans="191:191" x14ac:dyDescent="0.2">
      <c r="GI23159" s="422"/>
    </row>
    <row r="23160" spans="191:191" x14ac:dyDescent="0.2">
      <c r="GI23160" s="422"/>
    </row>
    <row r="23161" spans="191:191" x14ac:dyDescent="0.2">
      <c r="GI23161" s="422"/>
    </row>
    <row r="23162" spans="191:191" x14ac:dyDescent="0.2">
      <c r="GI23162" s="422"/>
    </row>
    <row r="23163" spans="191:191" x14ac:dyDescent="0.2">
      <c r="GI23163" s="422"/>
    </row>
    <row r="23164" spans="191:191" x14ac:dyDescent="0.2">
      <c r="GI23164" s="422"/>
    </row>
    <row r="23165" spans="191:191" x14ac:dyDescent="0.2">
      <c r="GI23165" s="422"/>
    </row>
    <row r="23166" spans="191:191" x14ac:dyDescent="0.2">
      <c r="GI23166" s="422"/>
    </row>
    <row r="23167" spans="191:191" x14ac:dyDescent="0.2">
      <c r="GI23167" s="422"/>
    </row>
    <row r="23168" spans="191:191" x14ac:dyDescent="0.2">
      <c r="GI23168" s="422"/>
    </row>
    <row r="23169" spans="191:191" x14ac:dyDescent="0.2">
      <c r="GI23169" s="422"/>
    </row>
    <row r="23170" spans="191:191" x14ac:dyDescent="0.2">
      <c r="GI23170" s="422"/>
    </row>
    <row r="23171" spans="191:191" x14ac:dyDescent="0.2">
      <c r="GI23171" s="422"/>
    </row>
    <row r="23172" spans="191:191" x14ac:dyDescent="0.2">
      <c r="GI23172" s="422"/>
    </row>
    <row r="23173" spans="191:191" x14ac:dyDescent="0.2">
      <c r="GI23173" s="422"/>
    </row>
    <row r="23174" spans="191:191" x14ac:dyDescent="0.2">
      <c r="GI23174" s="422"/>
    </row>
    <row r="23175" spans="191:191" x14ac:dyDescent="0.2">
      <c r="GI23175" s="422"/>
    </row>
    <row r="23176" spans="191:191" x14ac:dyDescent="0.2">
      <c r="GI23176" s="422"/>
    </row>
    <row r="23177" spans="191:191" x14ac:dyDescent="0.2">
      <c r="GI23177" s="422"/>
    </row>
    <row r="23178" spans="191:191" x14ac:dyDescent="0.2">
      <c r="GI23178" s="422"/>
    </row>
    <row r="23179" spans="191:191" x14ac:dyDescent="0.2">
      <c r="GI23179" s="422"/>
    </row>
    <row r="23180" spans="191:191" x14ac:dyDescent="0.2">
      <c r="GI23180" s="422"/>
    </row>
    <row r="23181" spans="191:191" x14ac:dyDescent="0.2">
      <c r="GI23181" s="422"/>
    </row>
    <row r="23182" spans="191:191" x14ac:dyDescent="0.2">
      <c r="GI23182" s="422"/>
    </row>
    <row r="23183" spans="191:191" x14ac:dyDescent="0.2">
      <c r="GI23183" s="422"/>
    </row>
    <row r="23184" spans="191:191" x14ac:dyDescent="0.2">
      <c r="GI23184" s="422"/>
    </row>
    <row r="23185" spans="191:191" x14ac:dyDescent="0.2">
      <c r="GI23185" s="422"/>
    </row>
    <row r="23186" spans="191:191" x14ac:dyDescent="0.2">
      <c r="GI23186" s="422"/>
    </row>
    <row r="23187" spans="191:191" x14ac:dyDescent="0.2">
      <c r="GI23187" s="422"/>
    </row>
    <row r="23188" spans="191:191" x14ac:dyDescent="0.2">
      <c r="GI23188" s="422"/>
    </row>
    <row r="23189" spans="191:191" x14ac:dyDescent="0.2">
      <c r="GI23189" s="422"/>
    </row>
    <row r="23190" spans="191:191" x14ac:dyDescent="0.2">
      <c r="GI23190" s="422"/>
    </row>
    <row r="23191" spans="191:191" x14ac:dyDescent="0.2">
      <c r="GI23191" s="422"/>
    </row>
    <row r="23192" spans="191:191" x14ac:dyDescent="0.2">
      <c r="GI23192" s="422"/>
    </row>
    <row r="23193" spans="191:191" x14ac:dyDescent="0.2">
      <c r="GI23193" s="422"/>
    </row>
    <row r="23194" spans="191:191" x14ac:dyDescent="0.2">
      <c r="GI23194" s="422"/>
    </row>
    <row r="23195" spans="191:191" x14ac:dyDescent="0.2">
      <c r="GI23195" s="422"/>
    </row>
    <row r="23196" spans="191:191" x14ac:dyDescent="0.2">
      <c r="GI23196" s="422"/>
    </row>
    <row r="23197" spans="191:191" x14ac:dyDescent="0.2">
      <c r="GI23197" s="422"/>
    </row>
    <row r="23198" spans="191:191" x14ac:dyDescent="0.2">
      <c r="GI23198" s="422"/>
    </row>
    <row r="23199" spans="191:191" x14ac:dyDescent="0.2">
      <c r="GI23199" s="422"/>
    </row>
    <row r="23200" spans="191:191" x14ac:dyDescent="0.2">
      <c r="GI23200" s="422"/>
    </row>
    <row r="23201" spans="191:191" x14ac:dyDescent="0.2">
      <c r="GI23201" s="422"/>
    </row>
    <row r="23202" spans="191:191" x14ac:dyDescent="0.2">
      <c r="GI23202" s="422"/>
    </row>
    <row r="23203" spans="191:191" x14ac:dyDescent="0.2">
      <c r="GI23203" s="422"/>
    </row>
    <row r="23204" spans="191:191" x14ac:dyDescent="0.2">
      <c r="GI23204" s="422"/>
    </row>
    <row r="23205" spans="191:191" x14ac:dyDescent="0.2">
      <c r="GI23205" s="422"/>
    </row>
    <row r="23206" spans="191:191" x14ac:dyDescent="0.2">
      <c r="GI23206" s="422"/>
    </row>
    <row r="23207" spans="191:191" x14ac:dyDescent="0.2">
      <c r="GI23207" s="422"/>
    </row>
    <row r="23208" spans="191:191" x14ac:dyDescent="0.2">
      <c r="GI23208" s="422"/>
    </row>
    <row r="23209" spans="191:191" x14ac:dyDescent="0.2">
      <c r="GI23209" s="422"/>
    </row>
    <row r="23210" spans="191:191" x14ac:dyDescent="0.2">
      <c r="GI23210" s="422"/>
    </row>
    <row r="23211" spans="191:191" x14ac:dyDescent="0.2">
      <c r="GI23211" s="422"/>
    </row>
    <row r="23212" spans="191:191" x14ac:dyDescent="0.2">
      <c r="GI23212" s="422"/>
    </row>
    <row r="23213" spans="191:191" x14ac:dyDescent="0.2">
      <c r="GI23213" s="422"/>
    </row>
    <row r="23214" spans="191:191" x14ac:dyDescent="0.2">
      <c r="GI23214" s="422"/>
    </row>
    <row r="23215" spans="191:191" x14ac:dyDescent="0.2">
      <c r="GI23215" s="422"/>
    </row>
    <row r="23216" spans="191:191" x14ac:dyDescent="0.2">
      <c r="GI23216" s="422"/>
    </row>
    <row r="23217" spans="191:191" x14ac:dyDescent="0.2">
      <c r="GI23217" s="422"/>
    </row>
    <row r="23218" spans="191:191" x14ac:dyDescent="0.2">
      <c r="GI23218" s="422"/>
    </row>
    <row r="23219" spans="191:191" x14ac:dyDescent="0.2">
      <c r="GI23219" s="422"/>
    </row>
    <row r="23220" spans="191:191" x14ac:dyDescent="0.2">
      <c r="GI23220" s="422"/>
    </row>
    <row r="23221" spans="191:191" x14ac:dyDescent="0.2">
      <c r="GI23221" s="422"/>
    </row>
    <row r="23222" spans="191:191" x14ac:dyDescent="0.2">
      <c r="GI23222" s="422"/>
    </row>
    <row r="23223" spans="191:191" x14ac:dyDescent="0.2">
      <c r="GI23223" s="422"/>
    </row>
    <row r="23224" spans="191:191" x14ac:dyDescent="0.2">
      <c r="GI23224" s="422"/>
    </row>
    <row r="23225" spans="191:191" x14ac:dyDescent="0.2">
      <c r="GI23225" s="422"/>
    </row>
    <row r="23226" spans="191:191" x14ac:dyDescent="0.2">
      <c r="GI23226" s="422"/>
    </row>
    <row r="23227" spans="191:191" x14ac:dyDescent="0.2">
      <c r="GI23227" s="422"/>
    </row>
    <row r="23228" spans="191:191" x14ac:dyDescent="0.2">
      <c r="GI23228" s="422"/>
    </row>
    <row r="23229" spans="191:191" x14ac:dyDescent="0.2">
      <c r="GI23229" s="422"/>
    </row>
    <row r="23230" spans="191:191" x14ac:dyDescent="0.2">
      <c r="GI23230" s="422"/>
    </row>
    <row r="23231" spans="191:191" x14ac:dyDescent="0.2">
      <c r="GI23231" s="422"/>
    </row>
    <row r="23232" spans="191:191" x14ac:dyDescent="0.2">
      <c r="GI23232" s="422"/>
    </row>
    <row r="23233" spans="191:191" x14ac:dyDescent="0.2">
      <c r="GI23233" s="422"/>
    </row>
    <row r="23234" spans="191:191" x14ac:dyDescent="0.2">
      <c r="GI23234" s="422"/>
    </row>
    <row r="23235" spans="191:191" x14ac:dyDescent="0.2">
      <c r="GI23235" s="422"/>
    </row>
    <row r="23236" spans="191:191" x14ac:dyDescent="0.2">
      <c r="GI23236" s="422"/>
    </row>
    <row r="23237" spans="191:191" x14ac:dyDescent="0.2">
      <c r="GI23237" s="422"/>
    </row>
    <row r="23238" spans="191:191" x14ac:dyDescent="0.2">
      <c r="GI23238" s="422"/>
    </row>
    <row r="23239" spans="191:191" x14ac:dyDescent="0.2">
      <c r="GI23239" s="422"/>
    </row>
    <row r="23240" spans="191:191" x14ac:dyDescent="0.2">
      <c r="GI23240" s="422"/>
    </row>
    <row r="23241" spans="191:191" x14ac:dyDescent="0.2">
      <c r="GI23241" s="422"/>
    </row>
    <row r="23242" spans="191:191" x14ac:dyDescent="0.2">
      <c r="GI23242" s="422"/>
    </row>
    <row r="23243" spans="191:191" x14ac:dyDescent="0.2">
      <c r="GI23243" s="422"/>
    </row>
    <row r="23244" spans="191:191" x14ac:dyDescent="0.2">
      <c r="GI23244" s="422"/>
    </row>
    <row r="23245" spans="191:191" x14ac:dyDescent="0.2">
      <c r="GI23245" s="422"/>
    </row>
    <row r="23246" spans="191:191" x14ac:dyDescent="0.2">
      <c r="GI23246" s="422"/>
    </row>
    <row r="23247" spans="191:191" x14ac:dyDescent="0.2">
      <c r="GI23247" s="422"/>
    </row>
    <row r="23248" spans="191:191" x14ac:dyDescent="0.2">
      <c r="GI23248" s="422"/>
    </row>
    <row r="23249" spans="191:191" x14ac:dyDescent="0.2">
      <c r="GI23249" s="422"/>
    </row>
    <row r="23250" spans="191:191" x14ac:dyDescent="0.2">
      <c r="GI23250" s="422"/>
    </row>
    <row r="23251" spans="191:191" x14ac:dyDescent="0.2">
      <c r="GI23251" s="422"/>
    </row>
    <row r="23252" spans="191:191" x14ac:dyDescent="0.2">
      <c r="GI23252" s="422"/>
    </row>
    <row r="23253" spans="191:191" x14ac:dyDescent="0.2">
      <c r="GI23253" s="422"/>
    </row>
    <row r="23254" spans="191:191" x14ac:dyDescent="0.2">
      <c r="GI23254" s="422"/>
    </row>
    <row r="23255" spans="191:191" x14ac:dyDescent="0.2">
      <c r="GI23255" s="422"/>
    </row>
    <row r="23256" spans="191:191" x14ac:dyDescent="0.2">
      <c r="GI23256" s="422"/>
    </row>
    <row r="23257" spans="191:191" x14ac:dyDescent="0.2">
      <c r="GI23257" s="422"/>
    </row>
    <row r="23258" spans="191:191" x14ac:dyDescent="0.2">
      <c r="GI23258" s="422"/>
    </row>
    <row r="23259" spans="191:191" x14ac:dyDescent="0.2">
      <c r="GI23259" s="422"/>
    </row>
    <row r="23260" spans="191:191" x14ac:dyDescent="0.2">
      <c r="GI23260" s="422"/>
    </row>
    <row r="23261" spans="191:191" x14ac:dyDescent="0.2">
      <c r="GI23261" s="422"/>
    </row>
    <row r="23262" spans="191:191" x14ac:dyDescent="0.2">
      <c r="GI23262" s="422"/>
    </row>
    <row r="23263" spans="191:191" x14ac:dyDescent="0.2">
      <c r="GI23263" s="422"/>
    </row>
    <row r="23264" spans="191:191" x14ac:dyDescent="0.2">
      <c r="GI23264" s="422"/>
    </row>
    <row r="23265" spans="191:191" x14ac:dyDescent="0.2">
      <c r="GI23265" s="422"/>
    </row>
    <row r="23266" spans="191:191" x14ac:dyDescent="0.2">
      <c r="GI23266" s="422"/>
    </row>
    <row r="23267" spans="191:191" x14ac:dyDescent="0.2">
      <c r="GI23267" s="422"/>
    </row>
    <row r="23268" spans="191:191" x14ac:dyDescent="0.2">
      <c r="GI23268" s="422"/>
    </row>
    <row r="23269" spans="191:191" x14ac:dyDescent="0.2">
      <c r="GI23269" s="422"/>
    </row>
    <row r="23270" spans="191:191" x14ac:dyDescent="0.2">
      <c r="GI23270" s="422"/>
    </row>
    <row r="23271" spans="191:191" x14ac:dyDescent="0.2">
      <c r="GI23271" s="422"/>
    </row>
    <row r="23272" spans="191:191" x14ac:dyDescent="0.2">
      <c r="GI23272" s="422"/>
    </row>
    <row r="23273" spans="191:191" x14ac:dyDescent="0.2">
      <c r="GI23273" s="422"/>
    </row>
    <row r="23274" spans="191:191" x14ac:dyDescent="0.2">
      <c r="GI23274" s="422"/>
    </row>
    <row r="23275" spans="191:191" x14ac:dyDescent="0.2">
      <c r="GI23275" s="422"/>
    </row>
    <row r="23276" spans="191:191" x14ac:dyDescent="0.2">
      <c r="GI23276" s="422"/>
    </row>
    <row r="23277" spans="191:191" x14ac:dyDescent="0.2">
      <c r="GI23277" s="422"/>
    </row>
    <row r="23278" spans="191:191" x14ac:dyDescent="0.2">
      <c r="GI23278" s="422"/>
    </row>
    <row r="23279" spans="191:191" x14ac:dyDescent="0.2">
      <c r="GI23279" s="422"/>
    </row>
    <row r="23280" spans="191:191" x14ac:dyDescent="0.2">
      <c r="GI23280" s="422"/>
    </row>
    <row r="23281" spans="191:191" x14ac:dyDescent="0.2">
      <c r="GI23281" s="422"/>
    </row>
    <row r="23282" spans="191:191" x14ac:dyDescent="0.2">
      <c r="GI23282" s="422"/>
    </row>
    <row r="23283" spans="191:191" x14ac:dyDescent="0.2">
      <c r="GI23283" s="422"/>
    </row>
    <row r="23284" spans="191:191" x14ac:dyDescent="0.2">
      <c r="GI23284" s="422"/>
    </row>
    <row r="23285" spans="191:191" x14ac:dyDescent="0.2">
      <c r="GI23285" s="422"/>
    </row>
    <row r="23286" spans="191:191" x14ac:dyDescent="0.2">
      <c r="GI23286" s="422"/>
    </row>
    <row r="23287" spans="191:191" x14ac:dyDescent="0.2">
      <c r="GI23287" s="422"/>
    </row>
    <row r="23288" spans="191:191" x14ac:dyDescent="0.2">
      <c r="GI23288" s="422"/>
    </row>
    <row r="23289" spans="191:191" x14ac:dyDescent="0.2">
      <c r="GI23289" s="422"/>
    </row>
    <row r="23290" spans="191:191" x14ac:dyDescent="0.2">
      <c r="GI23290" s="422"/>
    </row>
    <row r="23291" spans="191:191" x14ac:dyDescent="0.2">
      <c r="GI23291" s="422"/>
    </row>
    <row r="23292" spans="191:191" x14ac:dyDescent="0.2">
      <c r="GI23292" s="422"/>
    </row>
    <row r="23293" spans="191:191" x14ac:dyDescent="0.2">
      <c r="GI23293" s="422"/>
    </row>
    <row r="23294" spans="191:191" x14ac:dyDescent="0.2">
      <c r="GI23294" s="422"/>
    </row>
    <row r="23295" spans="191:191" x14ac:dyDescent="0.2">
      <c r="GI23295" s="422"/>
    </row>
    <row r="23296" spans="191:191" x14ac:dyDescent="0.2">
      <c r="GI23296" s="422"/>
    </row>
    <row r="23297" spans="191:191" x14ac:dyDescent="0.2">
      <c r="GI23297" s="422"/>
    </row>
    <row r="23298" spans="191:191" x14ac:dyDescent="0.2">
      <c r="GI23298" s="422"/>
    </row>
    <row r="23299" spans="191:191" x14ac:dyDescent="0.2">
      <c r="GI23299" s="422"/>
    </row>
    <row r="23300" spans="191:191" x14ac:dyDescent="0.2">
      <c r="GI23300" s="422"/>
    </row>
    <row r="23301" spans="191:191" x14ac:dyDescent="0.2">
      <c r="GI23301" s="422"/>
    </row>
    <row r="23302" spans="191:191" x14ac:dyDescent="0.2">
      <c r="GI23302" s="422"/>
    </row>
    <row r="23303" spans="191:191" x14ac:dyDescent="0.2">
      <c r="GI23303" s="422"/>
    </row>
    <row r="23304" spans="191:191" x14ac:dyDescent="0.2">
      <c r="GI23304" s="422"/>
    </row>
    <row r="23305" spans="191:191" x14ac:dyDescent="0.2">
      <c r="GI23305" s="422"/>
    </row>
    <row r="23306" spans="191:191" x14ac:dyDescent="0.2">
      <c r="GI23306" s="422"/>
    </row>
    <row r="23307" spans="191:191" x14ac:dyDescent="0.2">
      <c r="GI23307" s="422"/>
    </row>
    <row r="23308" spans="191:191" x14ac:dyDescent="0.2">
      <c r="GI23308" s="422"/>
    </row>
    <row r="23309" spans="191:191" x14ac:dyDescent="0.2">
      <c r="GI23309" s="422"/>
    </row>
    <row r="23310" spans="191:191" x14ac:dyDescent="0.2">
      <c r="GI23310" s="422"/>
    </row>
    <row r="23311" spans="191:191" x14ac:dyDescent="0.2">
      <c r="GI23311" s="422"/>
    </row>
    <row r="23312" spans="191:191" x14ac:dyDescent="0.2">
      <c r="GI23312" s="422"/>
    </row>
    <row r="23313" spans="191:191" x14ac:dyDescent="0.2">
      <c r="GI23313" s="422"/>
    </row>
    <row r="23314" spans="191:191" x14ac:dyDescent="0.2">
      <c r="GI23314" s="422"/>
    </row>
    <row r="23315" spans="191:191" x14ac:dyDescent="0.2">
      <c r="GI23315" s="422"/>
    </row>
    <row r="23316" spans="191:191" x14ac:dyDescent="0.2">
      <c r="GI23316" s="422"/>
    </row>
    <row r="23317" spans="191:191" x14ac:dyDescent="0.2">
      <c r="GI23317" s="422"/>
    </row>
    <row r="23318" spans="191:191" x14ac:dyDescent="0.2">
      <c r="GI23318" s="422"/>
    </row>
    <row r="23319" spans="191:191" x14ac:dyDescent="0.2">
      <c r="GI23319" s="422"/>
    </row>
    <row r="23320" spans="191:191" x14ac:dyDescent="0.2">
      <c r="GI23320" s="422"/>
    </row>
    <row r="23321" spans="191:191" x14ac:dyDescent="0.2">
      <c r="GI23321" s="422"/>
    </row>
    <row r="23322" spans="191:191" x14ac:dyDescent="0.2">
      <c r="GI23322" s="422"/>
    </row>
    <row r="23323" spans="191:191" x14ac:dyDescent="0.2">
      <c r="GI23323" s="422"/>
    </row>
    <row r="23324" spans="191:191" x14ac:dyDescent="0.2">
      <c r="GI23324" s="422"/>
    </row>
    <row r="23325" spans="191:191" x14ac:dyDescent="0.2">
      <c r="GI23325" s="422"/>
    </row>
    <row r="23326" spans="191:191" x14ac:dyDescent="0.2">
      <c r="GI23326" s="422"/>
    </row>
    <row r="23327" spans="191:191" x14ac:dyDescent="0.2">
      <c r="GI23327" s="422"/>
    </row>
    <row r="23328" spans="191:191" x14ac:dyDescent="0.2">
      <c r="GI23328" s="422"/>
    </row>
    <row r="23329" spans="191:191" x14ac:dyDescent="0.2">
      <c r="GI23329" s="422"/>
    </row>
    <row r="23330" spans="191:191" x14ac:dyDescent="0.2">
      <c r="GI23330" s="422"/>
    </row>
    <row r="23331" spans="191:191" x14ac:dyDescent="0.2">
      <c r="GI23331" s="422"/>
    </row>
    <row r="23332" spans="191:191" x14ac:dyDescent="0.2">
      <c r="GI23332" s="422"/>
    </row>
    <row r="23333" spans="191:191" x14ac:dyDescent="0.2">
      <c r="GI23333" s="422"/>
    </row>
    <row r="23334" spans="191:191" x14ac:dyDescent="0.2">
      <c r="GI23334" s="422"/>
    </row>
    <row r="23335" spans="191:191" x14ac:dyDescent="0.2">
      <c r="GI23335" s="422"/>
    </row>
    <row r="23336" spans="191:191" x14ac:dyDescent="0.2">
      <c r="GI23336" s="422"/>
    </row>
    <row r="23337" spans="191:191" x14ac:dyDescent="0.2">
      <c r="GI23337" s="422"/>
    </row>
    <row r="23338" spans="191:191" x14ac:dyDescent="0.2">
      <c r="GI23338" s="422"/>
    </row>
    <row r="23339" spans="191:191" x14ac:dyDescent="0.2">
      <c r="GI23339" s="422"/>
    </row>
    <row r="23340" spans="191:191" x14ac:dyDescent="0.2">
      <c r="GI23340" s="422"/>
    </row>
    <row r="23341" spans="191:191" x14ac:dyDescent="0.2">
      <c r="GI23341" s="422"/>
    </row>
    <row r="23342" spans="191:191" x14ac:dyDescent="0.2">
      <c r="GI23342" s="422"/>
    </row>
    <row r="23343" spans="191:191" x14ac:dyDescent="0.2">
      <c r="GI23343" s="422"/>
    </row>
    <row r="23344" spans="191:191" x14ac:dyDescent="0.2">
      <c r="GI23344" s="422"/>
    </row>
    <row r="23345" spans="191:191" x14ac:dyDescent="0.2">
      <c r="GI23345" s="422"/>
    </row>
    <row r="23346" spans="191:191" x14ac:dyDescent="0.2">
      <c r="GI23346" s="422"/>
    </row>
    <row r="23347" spans="191:191" x14ac:dyDescent="0.2">
      <c r="GI23347" s="422"/>
    </row>
    <row r="23348" spans="191:191" x14ac:dyDescent="0.2">
      <c r="GI23348" s="422"/>
    </row>
    <row r="23349" spans="191:191" x14ac:dyDescent="0.2">
      <c r="GI23349" s="422"/>
    </row>
    <row r="23350" spans="191:191" x14ac:dyDescent="0.2">
      <c r="GI23350" s="422"/>
    </row>
    <row r="23351" spans="191:191" x14ac:dyDescent="0.2">
      <c r="GI23351" s="422"/>
    </row>
    <row r="23352" spans="191:191" x14ac:dyDescent="0.2">
      <c r="GI23352" s="422"/>
    </row>
    <row r="23353" spans="191:191" x14ac:dyDescent="0.2">
      <c r="GI23353" s="422"/>
    </row>
    <row r="23354" spans="191:191" x14ac:dyDescent="0.2">
      <c r="GI23354" s="422"/>
    </row>
    <row r="23355" spans="191:191" x14ac:dyDescent="0.2">
      <c r="GI23355" s="422"/>
    </row>
    <row r="23356" spans="191:191" x14ac:dyDescent="0.2">
      <c r="GI23356" s="422"/>
    </row>
    <row r="23357" spans="191:191" x14ac:dyDescent="0.2">
      <c r="GI23357" s="422"/>
    </row>
    <row r="23358" spans="191:191" x14ac:dyDescent="0.2">
      <c r="GI23358" s="422"/>
    </row>
    <row r="23359" spans="191:191" x14ac:dyDescent="0.2">
      <c r="GI23359" s="422"/>
    </row>
    <row r="23360" spans="191:191" x14ac:dyDescent="0.2">
      <c r="GI23360" s="422"/>
    </row>
    <row r="23361" spans="191:191" x14ac:dyDescent="0.2">
      <c r="GI23361" s="422"/>
    </row>
    <row r="23362" spans="191:191" x14ac:dyDescent="0.2">
      <c r="GI23362" s="422"/>
    </row>
    <row r="23363" spans="191:191" x14ac:dyDescent="0.2">
      <c r="GI23363" s="422"/>
    </row>
    <row r="23364" spans="191:191" x14ac:dyDescent="0.2">
      <c r="GI23364" s="422"/>
    </row>
    <row r="23365" spans="191:191" x14ac:dyDescent="0.2">
      <c r="GI23365" s="422"/>
    </row>
    <row r="23366" spans="191:191" x14ac:dyDescent="0.2">
      <c r="GI23366" s="422"/>
    </row>
    <row r="23367" spans="191:191" x14ac:dyDescent="0.2">
      <c r="GI23367" s="422"/>
    </row>
    <row r="23368" spans="191:191" x14ac:dyDescent="0.2">
      <c r="GI23368" s="422"/>
    </row>
    <row r="23369" spans="191:191" x14ac:dyDescent="0.2">
      <c r="GI23369" s="422"/>
    </row>
    <row r="23370" spans="191:191" x14ac:dyDescent="0.2">
      <c r="GI23370" s="422"/>
    </row>
    <row r="23371" spans="191:191" x14ac:dyDescent="0.2">
      <c r="GI23371" s="422"/>
    </row>
    <row r="23372" spans="191:191" x14ac:dyDescent="0.2">
      <c r="GI23372" s="422"/>
    </row>
    <row r="23373" spans="191:191" x14ac:dyDescent="0.2">
      <c r="GI23373" s="422"/>
    </row>
    <row r="23374" spans="191:191" x14ac:dyDescent="0.2">
      <c r="GI23374" s="422"/>
    </row>
    <row r="23375" spans="191:191" x14ac:dyDescent="0.2">
      <c r="GI23375" s="422"/>
    </row>
    <row r="23376" spans="191:191" x14ac:dyDescent="0.2">
      <c r="GI23376" s="422"/>
    </row>
    <row r="23377" spans="191:191" x14ac:dyDescent="0.2">
      <c r="GI23377" s="422"/>
    </row>
    <row r="23378" spans="191:191" x14ac:dyDescent="0.2">
      <c r="GI23378" s="422"/>
    </row>
    <row r="23379" spans="191:191" x14ac:dyDescent="0.2">
      <c r="GI23379" s="422"/>
    </row>
    <row r="23380" spans="191:191" x14ac:dyDescent="0.2">
      <c r="GI23380" s="422"/>
    </row>
    <row r="23381" spans="191:191" x14ac:dyDescent="0.2">
      <c r="GI23381" s="422"/>
    </row>
    <row r="23382" spans="191:191" x14ac:dyDescent="0.2">
      <c r="GI23382" s="422"/>
    </row>
    <row r="23383" spans="191:191" x14ac:dyDescent="0.2">
      <c r="GI23383" s="422"/>
    </row>
    <row r="23384" spans="191:191" x14ac:dyDescent="0.2">
      <c r="GI23384" s="422"/>
    </row>
    <row r="23385" spans="191:191" x14ac:dyDescent="0.2">
      <c r="GI23385" s="422"/>
    </row>
    <row r="23386" spans="191:191" x14ac:dyDescent="0.2">
      <c r="GI23386" s="422"/>
    </row>
    <row r="23387" spans="191:191" x14ac:dyDescent="0.2">
      <c r="GI23387" s="422"/>
    </row>
    <row r="23388" spans="191:191" x14ac:dyDescent="0.2">
      <c r="GI23388" s="422"/>
    </row>
    <row r="23389" spans="191:191" x14ac:dyDescent="0.2">
      <c r="GI23389" s="422"/>
    </row>
    <row r="23390" spans="191:191" x14ac:dyDescent="0.2">
      <c r="GI23390" s="422"/>
    </row>
    <row r="23391" spans="191:191" x14ac:dyDescent="0.2">
      <c r="GI23391" s="422"/>
    </row>
    <row r="23392" spans="191:191" x14ac:dyDescent="0.2">
      <c r="GI23392" s="422"/>
    </row>
    <row r="23393" spans="191:191" x14ac:dyDescent="0.2">
      <c r="GI23393" s="422"/>
    </row>
    <row r="23394" spans="191:191" x14ac:dyDescent="0.2">
      <c r="GI23394" s="422"/>
    </row>
    <row r="23395" spans="191:191" x14ac:dyDescent="0.2">
      <c r="GI23395" s="422"/>
    </row>
    <row r="23396" spans="191:191" x14ac:dyDescent="0.2">
      <c r="GI23396" s="422"/>
    </row>
    <row r="23397" spans="191:191" x14ac:dyDescent="0.2">
      <c r="GI23397" s="422"/>
    </row>
    <row r="23398" spans="191:191" x14ac:dyDescent="0.2">
      <c r="GI23398" s="422"/>
    </row>
    <row r="23399" spans="191:191" x14ac:dyDescent="0.2">
      <c r="GI23399" s="422"/>
    </row>
    <row r="23400" spans="191:191" x14ac:dyDescent="0.2">
      <c r="GI23400" s="422"/>
    </row>
    <row r="23401" spans="191:191" x14ac:dyDescent="0.2">
      <c r="GI23401" s="422"/>
    </row>
    <row r="23402" spans="191:191" x14ac:dyDescent="0.2">
      <c r="GI23402" s="422"/>
    </row>
    <row r="23403" spans="191:191" x14ac:dyDescent="0.2">
      <c r="GI23403" s="422"/>
    </row>
    <row r="23404" spans="191:191" x14ac:dyDescent="0.2">
      <c r="GI23404" s="422"/>
    </row>
    <row r="23405" spans="191:191" x14ac:dyDescent="0.2">
      <c r="GI23405" s="422"/>
    </row>
    <row r="23406" spans="191:191" x14ac:dyDescent="0.2">
      <c r="GI23406" s="422"/>
    </row>
    <row r="23407" spans="191:191" x14ac:dyDescent="0.2">
      <c r="GI23407" s="422"/>
    </row>
    <row r="23408" spans="191:191" x14ac:dyDescent="0.2">
      <c r="GI23408" s="422"/>
    </row>
    <row r="23409" spans="191:191" x14ac:dyDescent="0.2">
      <c r="GI23409" s="422"/>
    </row>
    <row r="23410" spans="191:191" x14ac:dyDescent="0.2">
      <c r="GI23410" s="422"/>
    </row>
    <row r="23411" spans="191:191" x14ac:dyDescent="0.2">
      <c r="GI23411" s="422"/>
    </row>
    <row r="23412" spans="191:191" x14ac:dyDescent="0.2">
      <c r="GI23412" s="422"/>
    </row>
    <row r="23413" spans="191:191" x14ac:dyDescent="0.2">
      <c r="GI23413" s="422"/>
    </row>
    <row r="23414" spans="191:191" x14ac:dyDescent="0.2">
      <c r="GI23414" s="422"/>
    </row>
    <row r="23415" spans="191:191" x14ac:dyDescent="0.2">
      <c r="GI23415" s="422"/>
    </row>
    <row r="23416" spans="191:191" x14ac:dyDescent="0.2">
      <c r="GI23416" s="422"/>
    </row>
    <row r="23417" spans="191:191" x14ac:dyDescent="0.2">
      <c r="GI23417" s="422"/>
    </row>
    <row r="23418" spans="191:191" x14ac:dyDescent="0.2">
      <c r="GI23418" s="422"/>
    </row>
    <row r="23419" spans="191:191" x14ac:dyDescent="0.2">
      <c r="GI23419" s="422"/>
    </row>
    <row r="23420" spans="191:191" x14ac:dyDescent="0.2">
      <c r="GI23420" s="422"/>
    </row>
    <row r="23421" spans="191:191" x14ac:dyDescent="0.2">
      <c r="GI23421" s="422"/>
    </row>
    <row r="23422" spans="191:191" x14ac:dyDescent="0.2">
      <c r="GI23422" s="422"/>
    </row>
    <row r="23423" spans="191:191" x14ac:dyDescent="0.2">
      <c r="GI23423" s="422"/>
    </row>
    <row r="23424" spans="191:191" x14ac:dyDescent="0.2">
      <c r="GI23424" s="422"/>
    </row>
    <row r="23425" spans="191:191" x14ac:dyDescent="0.2">
      <c r="GI23425" s="422"/>
    </row>
    <row r="23426" spans="191:191" x14ac:dyDescent="0.2">
      <c r="GI23426" s="422"/>
    </row>
    <row r="23427" spans="191:191" x14ac:dyDescent="0.2">
      <c r="GI23427" s="422"/>
    </row>
    <row r="23428" spans="191:191" x14ac:dyDescent="0.2">
      <c r="GI23428" s="422"/>
    </row>
    <row r="23429" spans="191:191" x14ac:dyDescent="0.2">
      <c r="GI23429" s="422"/>
    </row>
    <row r="23430" spans="191:191" x14ac:dyDescent="0.2">
      <c r="GI23430" s="422"/>
    </row>
    <row r="23431" spans="191:191" x14ac:dyDescent="0.2">
      <c r="GI23431" s="422"/>
    </row>
    <row r="23432" spans="191:191" x14ac:dyDescent="0.2">
      <c r="GI23432" s="422"/>
    </row>
    <row r="23433" spans="191:191" x14ac:dyDescent="0.2">
      <c r="GI23433" s="422"/>
    </row>
    <row r="23434" spans="191:191" x14ac:dyDescent="0.2">
      <c r="GI23434" s="422"/>
    </row>
    <row r="23435" spans="191:191" x14ac:dyDescent="0.2">
      <c r="GI23435" s="422"/>
    </row>
    <row r="23436" spans="191:191" x14ac:dyDescent="0.2">
      <c r="GI23436" s="422"/>
    </row>
    <row r="23437" spans="191:191" x14ac:dyDescent="0.2">
      <c r="GI23437" s="422"/>
    </row>
    <row r="23438" spans="191:191" x14ac:dyDescent="0.2">
      <c r="GI23438" s="422"/>
    </row>
    <row r="23439" spans="191:191" x14ac:dyDescent="0.2">
      <c r="GI23439" s="422"/>
    </row>
    <row r="23440" spans="191:191" x14ac:dyDescent="0.2">
      <c r="GI23440" s="422"/>
    </row>
    <row r="23441" spans="191:191" x14ac:dyDescent="0.2">
      <c r="GI23441" s="422"/>
    </row>
    <row r="23442" spans="191:191" x14ac:dyDescent="0.2">
      <c r="GI23442" s="422"/>
    </row>
    <row r="23443" spans="191:191" x14ac:dyDescent="0.2">
      <c r="GI23443" s="422"/>
    </row>
    <row r="23444" spans="191:191" x14ac:dyDescent="0.2">
      <c r="GI23444" s="422"/>
    </row>
    <row r="23445" spans="191:191" x14ac:dyDescent="0.2">
      <c r="GI23445" s="422"/>
    </row>
    <row r="23446" spans="191:191" x14ac:dyDescent="0.2">
      <c r="GI23446" s="422"/>
    </row>
    <row r="23447" spans="191:191" x14ac:dyDescent="0.2">
      <c r="GI23447" s="422"/>
    </row>
    <row r="23448" spans="191:191" x14ac:dyDescent="0.2">
      <c r="GI23448" s="422"/>
    </row>
    <row r="23449" spans="191:191" x14ac:dyDescent="0.2">
      <c r="GI23449" s="422"/>
    </row>
    <row r="23450" spans="191:191" x14ac:dyDescent="0.2">
      <c r="GI23450" s="422"/>
    </row>
    <row r="23451" spans="191:191" x14ac:dyDescent="0.2">
      <c r="GI23451" s="422"/>
    </row>
    <row r="23452" spans="191:191" x14ac:dyDescent="0.2">
      <c r="GI23452" s="422"/>
    </row>
    <row r="23453" spans="191:191" x14ac:dyDescent="0.2">
      <c r="GI23453" s="422"/>
    </row>
    <row r="23454" spans="191:191" x14ac:dyDescent="0.2">
      <c r="GI23454" s="422"/>
    </row>
    <row r="23455" spans="191:191" x14ac:dyDescent="0.2">
      <c r="GI23455" s="422"/>
    </row>
    <row r="23456" spans="191:191" x14ac:dyDescent="0.2">
      <c r="GI23456" s="422"/>
    </row>
    <row r="23457" spans="191:191" x14ac:dyDescent="0.2">
      <c r="GI23457" s="422"/>
    </row>
    <row r="23458" spans="191:191" x14ac:dyDescent="0.2">
      <c r="GI23458" s="422"/>
    </row>
    <row r="23459" spans="191:191" x14ac:dyDescent="0.2">
      <c r="GI23459" s="422"/>
    </row>
    <row r="23460" spans="191:191" x14ac:dyDescent="0.2">
      <c r="GI23460" s="422"/>
    </row>
    <row r="23461" spans="191:191" x14ac:dyDescent="0.2">
      <c r="GI23461" s="422"/>
    </row>
    <row r="23462" spans="191:191" x14ac:dyDescent="0.2">
      <c r="GI23462" s="422"/>
    </row>
    <row r="23463" spans="191:191" x14ac:dyDescent="0.2">
      <c r="GI23463" s="422"/>
    </row>
    <row r="23464" spans="191:191" x14ac:dyDescent="0.2">
      <c r="GI23464" s="422"/>
    </row>
    <row r="23465" spans="191:191" x14ac:dyDescent="0.2">
      <c r="GI23465" s="422"/>
    </row>
    <row r="23466" spans="191:191" x14ac:dyDescent="0.2">
      <c r="GI23466" s="422"/>
    </row>
    <row r="23467" spans="191:191" x14ac:dyDescent="0.2">
      <c r="GI23467" s="422"/>
    </row>
    <row r="23468" spans="191:191" x14ac:dyDescent="0.2">
      <c r="GI23468" s="422"/>
    </row>
    <row r="23469" spans="191:191" x14ac:dyDescent="0.2">
      <c r="GI23469" s="422"/>
    </row>
    <row r="23470" spans="191:191" x14ac:dyDescent="0.2">
      <c r="GI23470" s="422"/>
    </row>
    <row r="23471" spans="191:191" x14ac:dyDescent="0.2">
      <c r="GI23471" s="422"/>
    </row>
    <row r="23472" spans="191:191" x14ac:dyDescent="0.2">
      <c r="GI23472" s="422"/>
    </row>
    <row r="23473" spans="191:191" x14ac:dyDescent="0.2">
      <c r="GI23473" s="422"/>
    </row>
    <row r="23474" spans="191:191" x14ac:dyDescent="0.2">
      <c r="GI23474" s="422"/>
    </row>
    <row r="23475" spans="191:191" x14ac:dyDescent="0.2">
      <c r="GI23475" s="422"/>
    </row>
    <row r="23476" spans="191:191" x14ac:dyDescent="0.2">
      <c r="GI23476" s="422"/>
    </row>
    <row r="23477" spans="191:191" x14ac:dyDescent="0.2">
      <c r="GI23477" s="422"/>
    </row>
    <row r="23478" spans="191:191" x14ac:dyDescent="0.2">
      <c r="GI23478" s="422"/>
    </row>
    <row r="23479" spans="191:191" x14ac:dyDescent="0.2">
      <c r="GI23479" s="422"/>
    </row>
    <row r="23480" spans="191:191" x14ac:dyDescent="0.2">
      <c r="GI23480" s="422"/>
    </row>
    <row r="23481" spans="191:191" x14ac:dyDescent="0.2">
      <c r="GI23481" s="422"/>
    </row>
    <row r="23482" spans="191:191" x14ac:dyDescent="0.2">
      <c r="GI23482" s="422"/>
    </row>
    <row r="23483" spans="191:191" x14ac:dyDescent="0.2">
      <c r="GI23483" s="422"/>
    </row>
    <row r="23484" spans="191:191" x14ac:dyDescent="0.2">
      <c r="GI23484" s="422"/>
    </row>
    <row r="23485" spans="191:191" x14ac:dyDescent="0.2">
      <c r="GI23485" s="422"/>
    </row>
    <row r="23486" spans="191:191" x14ac:dyDescent="0.2">
      <c r="GI23486" s="422"/>
    </row>
    <row r="23487" spans="191:191" x14ac:dyDescent="0.2">
      <c r="GI23487" s="422"/>
    </row>
    <row r="23488" spans="191:191" x14ac:dyDescent="0.2">
      <c r="GI23488" s="422"/>
    </row>
    <row r="23489" spans="191:191" x14ac:dyDescent="0.2">
      <c r="GI23489" s="422"/>
    </row>
    <row r="23490" spans="191:191" x14ac:dyDescent="0.2">
      <c r="GI23490" s="422"/>
    </row>
    <row r="23491" spans="191:191" x14ac:dyDescent="0.2">
      <c r="GI23491" s="422"/>
    </row>
    <row r="23492" spans="191:191" x14ac:dyDescent="0.2">
      <c r="GI23492" s="422"/>
    </row>
    <row r="23493" spans="191:191" x14ac:dyDescent="0.2">
      <c r="GI23493" s="422"/>
    </row>
    <row r="23494" spans="191:191" x14ac:dyDescent="0.2">
      <c r="GI23494" s="422"/>
    </row>
    <row r="23495" spans="191:191" x14ac:dyDescent="0.2">
      <c r="GI23495" s="422"/>
    </row>
    <row r="23496" spans="191:191" x14ac:dyDescent="0.2">
      <c r="GI23496" s="422"/>
    </row>
    <row r="23497" spans="191:191" x14ac:dyDescent="0.2">
      <c r="GI23497" s="422"/>
    </row>
    <row r="23498" spans="191:191" x14ac:dyDescent="0.2">
      <c r="GI23498" s="422"/>
    </row>
    <row r="23499" spans="191:191" x14ac:dyDescent="0.2">
      <c r="GI23499" s="422"/>
    </row>
    <row r="23500" spans="191:191" x14ac:dyDescent="0.2">
      <c r="GI23500" s="422"/>
    </row>
    <row r="23501" spans="191:191" x14ac:dyDescent="0.2">
      <c r="GI23501" s="422"/>
    </row>
    <row r="23502" spans="191:191" x14ac:dyDescent="0.2">
      <c r="GI23502" s="422"/>
    </row>
    <row r="23503" spans="191:191" x14ac:dyDescent="0.2">
      <c r="GI23503" s="422"/>
    </row>
    <row r="23504" spans="191:191" x14ac:dyDescent="0.2">
      <c r="GI23504" s="422"/>
    </row>
    <row r="23505" spans="191:191" x14ac:dyDescent="0.2">
      <c r="GI23505" s="422"/>
    </row>
    <row r="23506" spans="191:191" x14ac:dyDescent="0.2">
      <c r="GI23506" s="422"/>
    </row>
    <row r="23507" spans="191:191" x14ac:dyDescent="0.2">
      <c r="GI23507" s="422"/>
    </row>
    <row r="23508" spans="191:191" x14ac:dyDescent="0.2">
      <c r="GI23508" s="422"/>
    </row>
    <row r="23509" spans="191:191" x14ac:dyDescent="0.2">
      <c r="GI23509" s="422"/>
    </row>
    <row r="23510" spans="191:191" x14ac:dyDescent="0.2">
      <c r="GI23510" s="422"/>
    </row>
    <row r="23511" spans="191:191" x14ac:dyDescent="0.2">
      <c r="GI23511" s="422"/>
    </row>
    <row r="23512" spans="191:191" x14ac:dyDescent="0.2">
      <c r="GI23512" s="422"/>
    </row>
    <row r="23513" spans="191:191" x14ac:dyDescent="0.2">
      <c r="GI23513" s="422"/>
    </row>
    <row r="23514" spans="191:191" x14ac:dyDescent="0.2">
      <c r="GI23514" s="422"/>
    </row>
    <row r="23515" spans="191:191" x14ac:dyDescent="0.2">
      <c r="GI23515" s="422"/>
    </row>
    <row r="23516" spans="191:191" x14ac:dyDescent="0.2">
      <c r="GI23516" s="422"/>
    </row>
    <row r="23517" spans="191:191" x14ac:dyDescent="0.2">
      <c r="GI23517" s="422"/>
    </row>
    <row r="23518" spans="191:191" x14ac:dyDescent="0.2">
      <c r="GI23518" s="422"/>
    </row>
    <row r="23519" spans="191:191" x14ac:dyDescent="0.2">
      <c r="GI23519" s="422"/>
    </row>
    <row r="23520" spans="191:191" x14ac:dyDescent="0.2">
      <c r="GI23520" s="422"/>
    </row>
    <row r="23521" spans="191:191" x14ac:dyDescent="0.2">
      <c r="GI23521" s="422"/>
    </row>
    <row r="23522" spans="191:191" x14ac:dyDescent="0.2">
      <c r="GI23522" s="422"/>
    </row>
    <row r="23523" spans="191:191" x14ac:dyDescent="0.2">
      <c r="GI23523" s="422"/>
    </row>
    <row r="23524" spans="191:191" x14ac:dyDescent="0.2">
      <c r="GI23524" s="422"/>
    </row>
    <row r="23525" spans="191:191" x14ac:dyDescent="0.2">
      <c r="GI23525" s="422"/>
    </row>
    <row r="23526" spans="191:191" x14ac:dyDescent="0.2">
      <c r="GI23526" s="422"/>
    </row>
    <row r="23527" spans="191:191" x14ac:dyDescent="0.2">
      <c r="GI23527" s="422"/>
    </row>
    <row r="23528" spans="191:191" x14ac:dyDescent="0.2">
      <c r="GI23528" s="422"/>
    </row>
    <row r="23529" spans="191:191" x14ac:dyDescent="0.2">
      <c r="GI23529" s="422"/>
    </row>
    <row r="23530" spans="191:191" x14ac:dyDescent="0.2">
      <c r="GI23530" s="422"/>
    </row>
    <row r="23531" spans="191:191" x14ac:dyDescent="0.2">
      <c r="GI23531" s="422"/>
    </row>
    <row r="23532" spans="191:191" x14ac:dyDescent="0.2">
      <c r="GI23532" s="422"/>
    </row>
    <row r="23533" spans="191:191" x14ac:dyDescent="0.2">
      <c r="GI23533" s="422"/>
    </row>
    <row r="23534" spans="191:191" x14ac:dyDescent="0.2">
      <c r="GI23534" s="422"/>
    </row>
    <row r="23535" spans="191:191" x14ac:dyDescent="0.2">
      <c r="GI23535" s="422"/>
    </row>
    <row r="23536" spans="191:191" x14ac:dyDescent="0.2">
      <c r="GI23536" s="422"/>
    </row>
    <row r="23537" spans="191:191" x14ac:dyDescent="0.2">
      <c r="GI23537" s="422"/>
    </row>
    <row r="23538" spans="191:191" x14ac:dyDescent="0.2">
      <c r="GI23538" s="422"/>
    </row>
    <row r="23539" spans="191:191" x14ac:dyDescent="0.2">
      <c r="GI23539" s="422"/>
    </row>
    <row r="23540" spans="191:191" x14ac:dyDescent="0.2">
      <c r="GI23540" s="422"/>
    </row>
    <row r="23541" spans="191:191" x14ac:dyDescent="0.2">
      <c r="GI23541" s="422"/>
    </row>
    <row r="23542" spans="191:191" x14ac:dyDescent="0.2">
      <c r="GI23542" s="422"/>
    </row>
    <row r="23543" spans="191:191" x14ac:dyDescent="0.2">
      <c r="GI23543" s="422"/>
    </row>
    <row r="23544" spans="191:191" x14ac:dyDescent="0.2">
      <c r="GI23544" s="422"/>
    </row>
    <row r="23545" spans="191:191" x14ac:dyDescent="0.2">
      <c r="GI23545" s="422"/>
    </row>
    <row r="23546" spans="191:191" x14ac:dyDescent="0.2">
      <c r="GI23546" s="422"/>
    </row>
    <row r="23547" spans="191:191" x14ac:dyDescent="0.2">
      <c r="GI23547" s="422"/>
    </row>
    <row r="23548" spans="191:191" x14ac:dyDescent="0.2">
      <c r="GI23548" s="422"/>
    </row>
    <row r="23549" spans="191:191" x14ac:dyDescent="0.2">
      <c r="GI23549" s="422"/>
    </row>
    <row r="23550" spans="191:191" x14ac:dyDescent="0.2">
      <c r="GI23550" s="422"/>
    </row>
    <row r="23551" spans="191:191" x14ac:dyDescent="0.2">
      <c r="GI23551" s="422"/>
    </row>
    <row r="23552" spans="191:191" x14ac:dyDescent="0.2">
      <c r="GI23552" s="422"/>
    </row>
    <row r="23553" spans="191:191" x14ac:dyDescent="0.2">
      <c r="GI23553" s="422"/>
    </row>
    <row r="23554" spans="191:191" x14ac:dyDescent="0.2">
      <c r="GI23554" s="422"/>
    </row>
    <row r="23555" spans="191:191" x14ac:dyDescent="0.2">
      <c r="GI23555" s="422"/>
    </row>
    <row r="23556" spans="191:191" x14ac:dyDescent="0.2">
      <c r="GI23556" s="422"/>
    </row>
    <row r="23557" spans="191:191" x14ac:dyDescent="0.2">
      <c r="GI23557" s="422"/>
    </row>
    <row r="23558" spans="191:191" x14ac:dyDescent="0.2">
      <c r="GI23558" s="422"/>
    </row>
    <row r="23559" spans="191:191" x14ac:dyDescent="0.2">
      <c r="GI23559" s="422"/>
    </row>
    <row r="23560" spans="191:191" x14ac:dyDescent="0.2">
      <c r="GI23560" s="422"/>
    </row>
    <row r="23561" spans="191:191" x14ac:dyDescent="0.2">
      <c r="GI23561" s="422"/>
    </row>
    <row r="23562" spans="191:191" x14ac:dyDescent="0.2">
      <c r="GI23562" s="422"/>
    </row>
    <row r="23563" spans="191:191" x14ac:dyDescent="0.2">
      <c r="GI23563" s="422"/>
    </row>
    <row r="23564" spans="191:191" x14ac:dyDescent="0.2">
      <c r="GI23564" s="422"/>
    </row>
    <row r="23565" spans="191:191" x14ac:dyDescent="0.2">
      <c r="GI23565" s="422"/>
    </row>
    <row r="23566" spans="191:191" x14ac:dyDescent="0.2">
      <c r="GI23566" s="422"/>
    </row>
    <row r="23567" spans="191:191" x14ac:dyDescent="0.2">
      <c r="GI23567" s="422"/>
    </row>
    <row r="23568" spans="191:191" x14ac:dyDescent="0.2">
      <c r="GI23568" s="422"/>
    </row>
    <row r="23569" spans="191:191" x14ac:dyDescent="0.2">
      <c r="GI23569" s="422"/>
    </row>
    <row r="23570" spans="191:191" x14ac:dyDescent="0.2">
      <c r="GI23570" s="422"/>
    </row>
    <row r="23571" spans="191:191" x14ac:dyDescent="0.2">
      <c r="GI23571" s="422"/>
    </row>
    <row r="23572" spans="191:191" x14ac:dyDescent="0.2">
      <c r="GI23572" s="422"/>
    </row>
    <row r="23573" spans="191:191" x14ac:dyDescent="0.2">
      <c r="GI23573" s="422"/>
    </row>
    <row r="23574" spans="191:191" x14ac:dyDescent="0.2">
      <c r="GI23574" s="422"/>
    </row>
    <row r="23575" spans="191:191" x14ac:dyDescent="0.2">
      <c r="GI23575" s="422"/>
    </row>
    <row r="23576" spans="191:191" x14ac:dyDescent="0.2">
      <c r="GI23576" s="422"/>
    </row>
    <row r="23577" spans="191:191" x14ac:dyDescent="0.2">
      <c r="GI23577" s="422"/>
    </row>
    <row r="23578" spans="191:191" x14ac:dyDescent="0.2">
      <c r="GI23578" s="422"/>
    </row>
    <row r="23579" spans="191:191" x14ac:dyDescent="0.2">
      <c r="GI23579" s="422"/>
    </row>
    <row r="23580" spans="191:191" x14ac:dyDescent="0.2">
      <c r="GI23580" s="422"/>
    </row>
    <row r="23581" spans="191:191" x14ac:dyDescent="0.2">
      <c r="GI23581" s="422"/>
    </row>
    <row r="23582" spans="191:191" x14ac:dyDescent="0.2">
      <c r="GI23582" s="422"/>
    </row>
    <row r="23583" spans="191:191" x14ac:dyDescent="0.2">
      <c r="GI23583" s="422"/>
    </row>
    <row r="23584" spans="191:191" x14ac:dyDescent="0.2">
      <c r="GI23584" s="422"/>
    </row>
    <row r="23585" spans="191:191" x14ac:dyDescent="0.2">
      <c r="GI23585" s="422"/>
    </row>
    <row r="23586" spans="191:191" x14ac:dyDescent="0.2">
      <c r="GI23586" s="422"/>
    </row>
    <row r="23587" spans="191:191" x14ac:dyDescent="0.2">
      <c r="GI23587" s="422"/>
    </row>
    <row r="23588" spans="191:191" x14ac:dyDescent="0.2">
      <c r="GI23588" s="422"/>
    </row>
    <row r="23589" spans="191:191" x14ac:dyDescent="0.2">
      <c r="GI23589" s="422"/>
    </row>
    <row r="23590" spans="191:191" x14ac:dyDescent="0.2">
      <c r="GI23590" s="422"/>
    </row>
    <row r="23591" spans="191:191" x14ac:dyDescent="0.2">
      <c r="GI23591" s="422"/>
    </row>
    <row r="23592" spans="191:191" x14ac:dyDescent="0.2">
      <c r="GI23592" s="422"/>
    </row>
    <row r="23593" spans="191:191" x14ac:dyDescent="0.2">
      <c r="GI23593" s="422"/>
    </row>
    <row r="23594" spans="191:191" x14ac:dyDescent="0.2">
      <c r="GI23594" s="422"/>
    </row>
    <row r="23595" spans="191:191" x14ac:dyDescent="0.2">
      <c r="GI23595" s="422"/>
    </row>
    <row r="23596" spans="191:191" x14ac:dyDescent="0.2">
      <c r="GI23596" s="422"/>
    </row>
    <row r="23597" spans="191:191" x14ac:dyDescent="0.2">
      <c r="GI23597" s="422"/>
    </row>
    <row r="23598" spans="191:191" x14ac:dyDescent="0.2">
      <c r="GI23598" s="422"/>
    </row>
    <row r="23599" spans="191:191" x14ac:dyDescent="0.2">
      <c r="GI23599" s="422"/>
    </row>
    <row r="23600" spans="191:191" x14ac:dyDescent="0.2">
      <c r="GI23600" s="422"/>
    </row>
    <row r="23601" spans="191:191" x14ac:dyDescent="0.2">
      <c r="GI23601" s="422"/>
    </row>
    <row r="23602" spans="191:191" x14ac:dyDescent="0.2">
      <c r="GI23602" s="422"/>
    </row>
    <row r="23603" spans="191:191" x14ac:dyDescent="0.2">
      <c r="GI23603" s="422"/>
    </row>
    <row r="23604" spans="191:191" x14ac:dyDescent="0.2">
      <c r="GI23604" s="422"/>
    </row>
    <row r="23605" spans="191:191" x14ac:dyDescent="0.2">
      <c r="GI23605" s="422"/>
    </row>
    <row r="23606" spans="191:191" x14ac:dyDescent="0.2">
      <c r="GI23606" s="422"/>
    </row>
    <row r="23607" spans="191:191" x14ac:dyDescent="0.2">
      <c r="GI23607" s="422"/>
    </row>
    <row r="23608" spans="191:191" x14ac:dyDescent="0.2">
      <c r="GI23608" s="422"/>
    </row>
    <row r="23609" spans="191:191" x14ac:dyDescent="0.2">
      <c r="GI23609" s="422"/>
    </row>
    <row r="23610" spans="191:191" x14ac:dyDescent="0.2">
      <c r="GI23610" s="422"/>
    </row>
    <row r="23611" spans="191:191" x14ac:dyDescent="0.2">
      <c r="GI23611" s="422"/>
    </row>
    <row r="23612" spans="191:191" x14ac:dyDescent="0.2">
      <c r="GI23612" s="422"/>
    </row>
    <row r="23613" spans="191:191" x14ac:dyDescent="0.2">
      <c r="GI23613" s="422"/>
    </row>
    <row r="23614" spans="191:191" x14ac:dyDescent="0.2">
      <c r="GI23614" s="422"/>
    </row>
    <row r="23615" spans="191:191" x14ac:dyDescent="0.2">
      <c r="GI23615" s="422"/>
    </row>
    <row r="23616" spans="191:191" x14ac:dyDescent="0.2">
      <c r="GI23616" s="422"/>
    </row>
    <row r="23617" spans="191:191" x14ac:dyDescent="0.2">
      <c r="GI23617" s="422"/>
    </row>
    <row r="23618" spans="191:191" x14ac:dyDescent="0.2">
      <c r="GI23618" s="422"/>
    </row>
    <row r="23619" spans="191:191" x14ac:dyDescent="0.2">
      <c r="GI23619" s="422"/>
    </row>
    <row r="23620" spans="191:191" x14ac:dyDescent="0.2">
      <c r="GI23620" s="422"/>
    </row>
    <row r="23621" spans="191:191" x14ac:dyDescent="0.2">
      <c r="GI23621" s="422"/>
    </row>
    <row r="23622" spans="191:191" x14ac:dyDescent="0.2">
      <c r="GI23622" s="422"/>
    </row>
    <row r="23623" spans="191:191" x14ac:dyDescent="0.2">
      <c r="GI23623" s="422"/>
    </row>
    <row r="23624" spans="191:191" x14ac:dyDescent="0.2">
      <c r="GI23624" s="422"/>
    </row>
    <row r="23625" spans="191:191" x14ac:dyDescent="0.2">
      <c r="GI23625" s="422"/>
    </row>
    <row r="23626" spans="191:191" x14ac:dyDescent="0.2">
      <c r="GI23626" s="422"/>
    </row>
    <row r="23627" spans="191:191" x14ac:dyDescent="0.2">
      <c r="GI23627" s="422"/>
    </row>
    <row r="23628" spans="191:191" x14ac:dyDescent="0.2">
      <c r="GI23628" s="422"/>
    </row>
    <row r="23629" spans="191:191" x14ac:dyDescent="0.2">
      <c r="GI23629" s="422"/>
    </row>
    <row r="23630" spans="191:191" x14ac:dyDescent="0.2">
      <c r="GI23630" s="422"/>
    </row>
    <row r="23631" spans="191:191" x14ac:dyDescent="0.2">
      <c r="GI23631" s="422"/>
    </row>
    <row r="23632" spans="191:191" x14ac:dyDescent="0.2">
      <c r="GI23632" s="422"/>
    </row>
    <row r="23633" spans="191:191" x14ac:dyDescent="0.2">
      <c r="GI23633" s="422"/>
    </row>
    <row r="23634" spans="191:191" x14ac:dyDescent="0.2">
      <c r="GI23634" s="422"/>
    </row>
    <row r="23635" spans="191:191" x14ac:dyDescent="0.2">
      <c r="GI23635" s="422"/>
    </row>
    <row r="23636" spans="191:191" x14ac:dyDescent="0.2">
      <c r="GI23636" s="422"/>
    </row>
    <row r="23637" spans="191:191" x14ac:dyDescent="0.2">
      <c r="GI23637" s="422"/>
    </row>
    <row r="23638" spans="191:191" x14ac:dyDescent="0.2">
      <c r="GI23638" s="422"/>
    </row>
    <row r="23639" spans="191:191" x14ac:dyDescent="0.2">
      <c r="GI23639" s="422"/>
    </row>
    <row r="23640" spans="191:191" x14ac:dyDescent="0.2">
      <c r="GI23640" s="422"/>
    </row>
    <row r="23641" spans="191:191" x14ac:dyDescent="0.2">
      <c r="GI23641" s="422"/>
    </row>
    <row r="23642" spans="191:191" x14ac:dyDescent="0.2">
      <c r="GI23642" s="422"/>
    </row>
    <row r="23643" spans="191:191" x14ac:dyDescent="0.2">
      <c r="GI23643" s="422"/>
    </row>
    <row r="23644" spans="191:191" x14ac:dyDescent="0.2">
      <c r="GI23644" s="422"/>
    </row>
    <row r="23645" spans="191:191" x14ac:dyDescent="0.2">
      <c r="GI23645" s="422"/>
    </row>
    <row r="23646" spans="191:191" x14ac:dyDescent="0.2">
      <c r="GI23646" s="422"/>
    </row>
    <row r="23647" spans="191:191" x14ac:dyDescent="0.2">
      <c r="GI23647" s="422"/>
    </row>
    <row r="23648" spans="191:191" x14ac:dyDescent="0.2">
      <c r="GI23648" s="422"/>
    </row>
    <row r="23649" spans="191:191" x14ac:dyDescent="0.2">
      <c r="GI23649" s="422"/>
    </row>
    <row r="23650" spans="191:191" x14ac:dyDescent="0.2">
      <c r="GI23650" s="422"/>
    </row>
    <row r="23651" spans="191:191" x14ac:dyDescent="0.2">
      <c r="GI23651" s="422"/>
    </row>
    <row r="23652" spans="191:191" x14ac:dyDescent="0.2">
      <c r="GI23652" s="422"/>
    </row>
    <row r="23653" spans="191:191" x14ac:dyDescent="0.2">
      <c r="GI23653" s="422"/>
    </row>
    <row r="23654" spans="191:191" x14ac:dyDescent="0.2">
      <c r="GI23654" s="422"/>
    </row>
    <row r="23655" spans="191:191" x14ac:dyDescent="0.2">
      <c r="GI23655" s="422"/>
    </row>
    <row r="23656" spans="191:191" x14ac:dyDescent="0.2">
      <c r="GI23656" s="422"/>
    </row>
    <row r="23657" spans="191:191" x14ac:dyDescent="0.2">
      <c r="GI23657" s="422"/>
    </row>
    <row r="23658" spans="191:191" x14ac:dyDescent="0.2">
      <c r="GI23658" s="422"/>
    </row>
    <row r="23659" spans="191:191" x14ac:dyDescent="0.2">
      <c r="GI23659" s="422"/>
    </row>
    <row r="23660" spans="191:191" x14ac:dyDescent="0.2">
      <c r="GI23660" s="422"/>
    </row>
    <row r="23661" spans="191:191" x14ac:dyDescent="0.2">
      <c r="GI23661" s="422"/>
    </row>
    <row r="23662" spans="191:191" x14ac:dyDescent="0.2">
      <c r="GI23662" s="422"/>
    </row>
    <row r="23663" spans="191:191" x14ac:dyDescent="0.2">
      <c r="GI23663" s="422"/>
    </row>
    <row r="23664" spans="191:191" x14ac:dyDescent="0.2">
      <c r="GI23664" s="422"/>
    </row>
    <row r="23665" spans="191:191" x14ac:dyDescent="0.2">
      <c r="GI23665" s="422"/>
    </row>
    <row r="23666" spans="191:191" x14ac:dyDescent="0.2">
      <c r="GI23666" s="422"/>
    </row>
    <row r="23667" spans="191:191" x14ac:dyDescent="0.2">
      <c r="GI23667" s="422"/>
    </row>
    <row r="23668" spans="191:191" x14ac:dyDescent="0.2">
      <c r="GI23668" s="422"/>
    </row>
    <row r="23669" spans="191:191" x14ac:dyDescent="0.2">
      <c r="GI23669" s="422"/>
    </row>
    <row r="23670" spans="191:191" x14ac:dyDescent="0.2">
      <c r="GI23670" s="422"/>
    </row>
    <row r="23671" spans="191:191" x14ac:dyDescent="0.2">
      <c r="GI23671" s="422"/>
    </row>
    <row r="23672" spans="191:191" x14ac:dyDescent="0.2">
      <c r="GI23672" s="422"/>
    </row>
    <row r="23673" spans="191:191" x14ac:dyDescent="0.2">
      <c r="GI23673" s="422"/>
    </row>
    <row r="23674" spans="191:191" x14ac:dyDescent="0.2">
      <c r="GI23674" s="422"/>
    </row>
    <row r="23675" spans="191:191" x14ac:dyDescent="0.2">
      <c r="GI23675" s="422"/>
    </row>
    <row r="23676" spans="191:191" x14ac:dyDescent="0.2">
      <c r="GI23676" s="422"/>
    </row>
    <row r="23677" spans="191:191" x14ac:dyDescent="0.2">
      <c r="GI23677" s="422"/>
    </row>
    <row r="23678" spans="191:191" x14ac:dyDescent="0.2">
      <c r="GI23678" s="422"/>
    </row>
    <row r="23679" spans="191:191" x14ac:dyDescent="0.2">
      <c r="GI23679" s="422"/>
    </row>
    <row r="23680" spans="191:191" x14ac:dyDescent="0.2">
      <c r="GI23680" s="422"/>
    </row>
    <row r="23681" spans="191:191" x14ac:dyDescent="0.2">
      <c r="GI23681" s="422"/>
    </row>
    <row r="23682" spans="191:191" x14ac:dyDescent="0.2">
      <c r="GI23682" s="422"/>
    </row>
    <row r="23683" spans="191:191" x14ac:dyDescent="0.2">
      <c r="GI23683" s="422"/>
    </row>
    <row r="23684" spans="191:191" x14ac:dyDescent="0.2">
      <c r="GI23684" s="422"/>
    </row>
    <row r="23685" spans="191:191" x14ac:dyDescent="0.2">
      <c r="GI23685" s="422"/>
    </row>
    <row r="23686" spans="191:191" x14ac:dyDescent="0.2">
      <c r="GI23686" s="422"/>
    </row>
    <row r="23687" spans="191:191" x14ac:dyDescent="0.2">
      <c r="GI23687" s="422"/>
    </row>
    <row r="23688" spans="191:191" x14ac:dyDescent="0.2">
      <c r="GI23688" s="422"/>
    </row>
    <row r="23689" spans="191:191" x14ac:dyDescent="0.2">
      <c r="GI23689" s="422"/>
    </row>
    <row r="23690" spans="191:191" x14ac:dyDescent="0.2">
      <c r="GI23690" s="422"/>
    </row>
    <row r="23691" spans="191:191" x14ac:dyDescent="0.2">
      <c r="GI23691" s="422"/>
    </row>
    <row r="23692" spans="191:191" x14ac:dyDescent="0.2">
      <c r="GI23692" s="422"/>
    </row>
    <row r="23693" spans="191:191" x14ac:dyDescent="0.2">
      <c r="GI23693" s="422"/>
    </row>
    <row r="23694" spans="191:191" x14ac:dyDescent="0.2">
      <c r="GI23694" s="422"/>
    </row>
    <row r="23695" spans="191:191" x14ac:dyDescent="0.2">
      <c r="GI23695" s="422"/>
    </row>
    <row r="23696" spans="191:191" x14ac:dyDescent="0.2">
      <c r="GI23696" s="422"/>
    </row>
    <row r="23697" spans="191:191" x14ac:dyDescent="0.2">
      <c r="GI23697" s="422"/>
    </row>
    <row r="23698" spans="191:191" x14ac:dyDescent="0.2">
      <c r="GI23698" s="422"/>
    </row>
    <row r="23699" spans="191:191" x14ac:dyDescent="0.2">
      <c r="GI23699" s="422"/>
    </row>
    <row r="23700" spans="191:191" x14ac:dyDescent="0.2">
      <c r="GI23700" s="422"/>
    </row>
    <row r="23701" spans="191:191" x14ac:dyDescent="0.2">
      <c r="GI23701" s="422"/>
    </row>
    <row r="23702" spans="191:191" x14ac:dyDescent="0.2">
      <c r="GI23702" s="422"/>
    </row>
    <row r="23703" spans="191:191" x14ac:dyDescent="0.2">
      <c r="GI23703" s="422"/>
    </row>
    <row r="23704" spans="191:191" x14ac:dyDescent="0.2">
      <c r="GI23704" s="422"/>
    </row>
    <row r="23705" spans="191:191" x14ac:dyDescent="0.2">
      <c r="GI23705" s="422"/>
    </row>
    <row r="23706" spans="191:191" x14ac:dyDescent="0.2">
      <c r="GI23706" s="422"/>
    </row>
    <row r="23707" spans="191:191" x14ac:dyDescent="0.2">
      <c r="GI23707" s="422"/>
    </row>
    <row r="23708" spans="191:191" x14ac:dyDescent="0.2">
      <c r="GI23708" s="422"/>
    </row>
    <row r="23709" spans="191:191" x14ac:dyDescent="0.2">
      <c r="GI23709" s="422"/>
    </row>
    <row r="23710" spans="191:191" x14ac:dyDescent="0.2">
      <c r="GI23710" s="422"/>
    </row>
    <row r="23711" spans="191:191" x14ac:dyDescent="0.2">
      <c r="GI23711" s="422"/>
    </row>
    <row r="23712" spans="191:191" x14ac:dyDescent="0.2">
      <c r="GI23712" s="422"/>
    </row>
    <row r="23713" spans="191:191" x14ac:dyDescent="0.2">
      <c r="GI23713" s="422"/>
    </row>
    <row r="23714" spans="191:191" x14ac:dyDescent="0.2">
      <c r="GI23714" s="422"/>
    </row>
    <row r="23715" spans="191:191" x14ac:dyDescent="0.2">
      <c r="GI23715" s="422"/>
    </row>
    <row r="23716" spans="191:191" x14ac:dyDescent="0.2">
      <c r="GI23716" s="422"/>
    </row>
    <row r="23717" spans="191:191" x14ac:dyDescent="0.2">
      <c r="GI23717" s="422"/>
    </row>
    <row r="23718" spans="191:191" x14ac:dyDescent="0.2">
      <c r="GI23718" s="422"/>
    </row>
    <row r="23719" spans="191:191" x14ac:dyDescent="0.2">
      <c r="GI23719" s="422"/>
    </row>
    <row r="23720" spans="191:191" x14ac:dyDescent="0.2">
      <c r="GI23720" s="422"/>
    </row>
    <row r="23721" spans="191:191" x14ac:dyDescent="0.2">
      <c r="GI23721" s="422"/>
    </row>
    <row r="23722" spans="191:191" x14ac:dyDescent="0.2">
      <c r="GI23722" s="422"/>
    </row>
    <row r="23723" spans="191:191" x14ac:dyDescent="0.2">
      <c r="GI23723" s="422"/>
    </row>
    <row r="23724" spans="191:191" x14ac:dyDescent="0.2">
      <c r="GI23724" s="422"/>
    </row>
    <row r="23725" spans="191:191" x14ac:dyDescent="0.2">
      <c r="GI23725" s="422"/>
    </row>
    <row r="23726" spans="191:191" x14ac:dyDescent="0.2">
      <c r="GI23726" s="422"/>
    </row>
    <row r="23727" spans="191:191" x14ac:dyDescent="0.2">
      <c r="GI23727" s="422"/>
    </row>
    <row r="23728" spans="191:191" x14ac:dyDescent="0.2">
      <c r="GI23728" s="422"/>
    </row>
    <row r="23729" spans="191:191" x14ac:dyDescent="0.2">
      <c r="GI23729" s="422"/>
    </row>
    <row r="23730" spans="191:191" x14ac:dyDescent="0.2">
      <c r="GI23730" s="422"/>
    </row>
    <row r="23731" spans="191:191" x14ac:dyDescent="0.2">
      <c r="GI23731" s="422"/>
    </row>
    <row r="23732" spans="191:191" x14ac:dyDescent="0.2">
      <c r="GI23732" s="422"/>
    </row>
    <row r="23733" spans="191:191" x14ac:dyDescent="0.2">
      <c r="GI23733" s="422"/>
    </row>
    <row r="23734" spans="191:191" x14ac:dyDescent="0.2">
      <c r="GI23734" s="422"/>
    </row>
    <row r="23735" spans="191:191" x14ac:dyDescent="0.2">
      <c r="GI23735" s="422"/>
    </row>
    <row r="23736" spans="191:191" x14ac:dyDescent="0.2">
      <c r="GI23736" s="422"/>
    </row>
    <row r="23737" spans="191:191" x14ac:dyDescent="0.2">
      <c r="GI23737" s="422"/>
    </row>
    <row r="23738" spans="191:191" x14ac:dyDescent="0.2">
      <c r="GI23738" s="422"/>
    </row>
    <row r="23739" spans="191:191" x14ac:dyDescent="0.2">
      <c r="GI23739" s="422"/>
    </row>
    <row r="23740" spans="191:191" x14ac:dyDescent="0.2">
      <c r="GI23740" s="422"/>
    </row>
    <row r="23741" spans="191:191" x14ac:dyDescent="0.2">
      <c r="GI23741" s="422"/>
    </row>
    <row r="23742" spans="191:191" x14ac:dyDescent="0.2">
      <c r="GI23742" s="422"/>
    </row>
    <row r="23743" spans="191:191" x14ac:dyDescent="0.2">
      <c r="GI23743" s="422"/>
    </row>
    <row r="23744" spans="191:191" x14ac:dyDescent="0.2">
      <c r="GI23744" s="422"/>
    </row>
    <row r="23745" spans="191:191" x14ac:dyDescent="0.2">
      <c r="GI23745" s="422"/>
    </row>
    <row r="23746" spans="191:191" x14ac:dyDescent="0.2">
      <c r="GI23746" s="422"/>
    </row>
    <row r="23747" spans="191:191" x14ac:dyDescent="0.2">
      <c r="GI23747" s="422"/>
    </row>
    <row r="23748" spans="191:191" x14ac:dyDescent="0.2">
      <c r="GI23748" s="422"/>
    </row>
    <row r="23749" spans="191:191" x14ac:dyDescent="0.2">
      <c r="GI23749" s="422"/>
    </row>
    <row r="23750" spans="191:191" x14ac:dyDescent="0.2">
      <c r="GI23750" s="422"/>
    </row>
    <row r="23751" spans="191:191" x14ac:dyDescent="0.2">
      <c r="GI23751" s="422"/>
    </row>
    <row r="23752" spans="191:191" x14ac:dyDescent="0.2">
      <c r="GI23752" s="422"/>
    </row>
    <row r="23753" spans="191:191" x14ac:dyDescent="0.2">
      <c r="GI23753" s="422"/>
    </row>
    <row r="23754" spans="191:191" x14ac:dyDescent="0.2">
      <c r="GI23754" s="422"/>
    </row>
    <row r="23755" spans="191:191" x14ac:dyDescent="0.2">
      <c r="GI23755" s="422"/>
    </row>
    <row r="23756" spans="191:191" x14ac:dyDescent="0.2">
      <c r="GI23756" s="422"/>
    </row>
    <row r="23757" spans="191:191" x14ac:dyDescent="0.2">
      <c r="GI23757" s="422"/>
    </row>
    <row r="23758" spans="191:191" x14ac:dyDescent="0.2">
      <c r="GI23758" s="422"/>
    </row>
    <row r="23759" spans="191:191" x14ac:dyDescent="0.2">
      <c r="GI23759" s="422"/>
    </row>
    <row r="23760" spans="191:191" x14ac:dyDescent="0.2">
      <c r="GI23760" s="422"/>
    </row>
    <row r="23761" spans="191:191" x14ac:dyDescent="0.2">
      <c r="GI23761" s="422"/>
    </row>
    <row r="23762" spans="191:191" x14ac:dyDescent="0.2">
      <c r="GI23762" s="422"/>
    </row>
    <row r="23763" spans="191:191" x14ac:dyDescent="0.2">
      <c r="GI23763" s="422"/>
    </row>
    <row r="23764" spans="191:191" x14ac:dyDescent="0.2">
      <c r="GI23764" s="422"/>
    </row>
    <row r="23765" spans="191:191" x14ac:dyDescent="0.2">
      <c r="GI23765" s="422"/>
    </row>
    <row r="23766" spans="191:191" x14ac:dyDescent="0.2">
      <c r="GI23766" s="422"/>
    </row>
    <row r="23767" spans="191:191" x14ac:dyDescent="0.2">
      <c r="GI23767" s="422"/>
    </row>
    <row r="23768" spans="191:191" x14ac:dyDescent="0.2">
      <c r="GI23768" s="422"/>
    </row>
    <row r="23769" spans="191:191" x14ac:dyDescent="0.2">
      <c r="GI23769" s="422"/>
    </row>
    <row r="23770" spans="191:191" x14ac:dyDescent="0.2">
      <c r="GI23770" s="422"/>
    </row>
    <row r="23771" spans="191:191" x14ac:dyDescent="0.2">
      <c r="GI23771" s="422"/>
    </row>
    <row r="23772" spans="191:191" x14ac:dyDescent="0.2">
      <c r="GI23772" s="422"/>
    </row>
    <row r="23773" spans="191:191" x14ac:dyDescent="0.2">
      <c r="GI23773" s="422"/>
    </row>
    <row r="23774" spans="191:191" x14ac:dyDescent="0.2">
      <c r="GI23774" s="422"/>
    </row>
    <row r="23775" spans="191:191" x14ac:dyDescent="0.2">
      <c r="GI23775" s="422"/>
    </row>
    <row r="23776" spans="191:191" x14ac:dyDescent="0.2">
      <c r="GI23776" s="422"/>
    </row>
    <row r="23777" spans="191:191" x14ac:dyDescent="0.2">
      <c r="GI23777" s="422"/>
    </row>
    <row r="23778" spans="191:191" x14ac:dyDescent="0.2">
      <c r="GI23778" s="422"/>
    </row>
    <row r="23779" spans="191:191" x14ac:dyDescent="0.2">
      <c r="GI23779" s="422"/>
    </row>
    <row r="23780" spans="191:191" x14ac:dyDescent="0.2">
      <c r="GI23780" s="422"/>
    </row>
    <row r="23781" spans="191:191" x14ac:dyDescent="0.2">
      <c r="GI23781" s="422"/>
    </row>
    <row r="23782" spans="191:191" x14ac:dyDescent="0.2">
      <c r="GI23782" s="422"/>
    </row>
    <row r="23783" spans="191:191" x14ac:dyDescent="0.2">
      <c r="GI23783" s="422"/>
    </row>
    <row r="23784" spans="191:191" x14ac:dyDescent="0.2">
      <c r="GI23784" s="422"/>
    </row>
    <row r="23785" spans="191:191" x14ac:dyDescent="0.2">
      <c r="GI23785" s="422"/>
    </row>
    <row r="23786" spans="191:191" x14ac:dyDescent="0.2">
      <c r="GI23786" s="422"/>
    </row>
    <row r="23787" spans="191:191" x14ac:dyDescent="0.2">
      <c r="GI23787" s="422"/>
    </row>
    <row r="23788" spans="191:191" x14ac:dyDescent="0.2">
      <c r="GI23788" s="422"/>
    </row>
    <row r="23789" spans="191:191" x14ac:dyDescent="0.2">
      <c r="GI23789" s="422"/>
    </row>
    <row r="23790" spans="191:191" x14ac:dyDescent="0.2">
      <c r="GI23790" s="422"/>
    </row>
    <row r="23791" spans="191:191" x14ac:dyDescent="0.2">
      <c r="GI23791" s="422"/>
    </row>
    <row r="23792" spans="191:191" x14ac:dyDescent="0.2">
      <c r="GI23792" s="422"/>
    </row>
    <row r="23793" spans="191:191" x14ac:dyDescent="0.2">
      <c r="GI23793" s="422"/>
    </row>
    <row r="23794" spans="191:191" x14ac:dyDescent="0.2">
      <c r="GI23794" s="422"/>
    </row>
    <row r="23795" spans="191:191" x14ac:dyDescent="0.2">
      <c r="GI23795" s="422"/>
    </row>
    <row r="23796" spans="191:191" x14ac:dyDescent="0.2">
      <c r="GI23796" s="422"/>
    </row>
    <row r="23797" spans="191:191" x14ac:dyDescent="0.2">
      <c r="GI23797" s="422"/>
    </row>
    <row r="23798" spans="191:191" x14ac:dyDescent="0.2">
      <c r="GI23798" s="422"/>
    </row>
    <row r="23799" spans="191:191" x14ac:dyDescent="0.2">
      <c r="GI23799" s="422"/>
    </row>
    <row r="23800" spans="191:191" x14ac:dyDescent="0.2">
      <c r="GI23800" s="422"/>
    </row>
    <row r="23801" spans="191:191" x14ac:dyDescent="0.2">
      <c r="GI23801" s="422"/>
    </row>
    <row r="23802" spans="191:191" x14ac:dyDescent="0.2">
      <c r="GI23802" s="422"/>
    </row>
    <row r="23803" spans="191:191" x14ac:dyDescent="0.2">
      <c r="GI23803" s="422"/>
    </row>
    <row r="23804" spans="191:191" x14ac:dyDescent="0.2">
      <c r="GI23804" s="422"/>
    </row>
    <row r="23805" spans="191:191" x14ac:dyDescent="0.2">
      <c r="GI23805" s="422"/>
    </row>
    <row r="23806" spans="191:191" x14ac:dyDescent="0.2">
      <c r="GI23806" s="422"/>
    </row>
    <row r="23807" spans="191:191" x14ac:dyDescent="0.2">
      <c r="GI23807" s="422"/>
    </row>
    <row r="23808" spans="191:191" x14ac:dyDescent="0.2">
      <c r="GI23808" s="422"/>
    </row>
    <row r="23809" spans="191:191" x14ac:dyDescent="0.2">
      <c r="GI23809" s="422"/>
    </row>
    <row r="23810" spans="191:191" x14ac:dyDescent="0.2">
      <c r="GI23810" s="422"/>
    </row>
    <row r="23811" spans="191:191" x14ac:dyDescent="0.2">
      <c r="GI23811" s="422"/>
    </row>
    <row r="23812" spans="191:191" x14ac:dyDescent="0.2">
      <c r="GI23812" s="422"/>
    </row>
    <row r="23813" spans="191:191" x14ac:dyDescent="0.2">
      <c r="GI23813" s="422"/>
    </row>
    <row r="23814" spans="191:191" x14ac:dyDescent="0.2">
      <c r="GI23814" s="422"/>
    </row>
    <row r="23815" spans="191:191" x14ac:dyDescent="0.2">
      <c r="GI23815" s="422"/>
    </row>
    <row r="23816" spans="191:191" x14ac:dyDescent="0.2">
      <c r="GI23816" s="422"/>
    </row>
    <row r="23817" spans="191:191" x14ac:dyDescent="0.2">
      <c r="GI23817" s="422"/>
    </row>
    <row r="23818" spans="191:191" x14ac:dyDescent="0.2">
      <c r="GI23818" s="422"/>
    </row>
    <row r="23819" spans="191:191" x14ac:dyDescent="0.2">
      <c r="GI23819" s="422"/>
    </row>
    <row r="23820" spans="191:191" x14ac:dyDescent="0.2">
      <c r="GI23820" s="422"/>
    </row>
    <row r="23821" spans="191:191" x14ac:dyDescent="0.2">
      <c r="GI23821" s="422"/>
    </row>
    <row r="23822" spans="191:191" x14ac:dyDescent="0.2">
      <c r="GI23822" s="422"/>
    </row>
    <row r="23823" spans="191:191" x14ac:dyDescent="0.2">
      <c r="GI23823" s="422"/>
    </row>
    <row r="23824" spans="191:191" x14ac:dyDescent="0.2">
      <c r="GI23824" s="422"/>
    </row>
    <row r="23825" spans="191:191" x14ac:dyDescent="0.2">
      <c r="GI23825" s="422"/>
    </row>
    <row r="23826" spans="191:191" x14ac:dyDescent="0.2">
      <c r="GI23826" s="422"/>
    </row>
    <row r="23827" spans="191:191" x14ac:dyDescent="0.2">
      <c r="GI23827" s="422"/>
    </row>
    <row r="23828" spans="191:191" x14ac:dyDescent="0.2">
      <c r="GI23828" s="422"/>
    </row>
    <row r="23829" spans="191:191" x14ac:dyDescent="0.2">
      <c r="GI23829" s="422"/>
    </row>
    <row r="23830" spans="191:191" x14ac:dyDescent="0.2">
      <c r="GI23830" s="422"/>
    </row>
    <row r="23831" spans="191:191" x14ac:dyDescent="0.2">
      <c r="GI23831" s="422"/>
    </row>
    <row r="23832" spans="191:191" x14ac:dyDescent="0.2">
      <c r="GI23832" s="422"/>
    </row>
    <row r="23833" spans="191:191" x14ac:dyDescent="0.2">
      <c r="GI23833" s="422"/>
    </row>
    <row r="23834" spans="191:191" x14ac:dyDescent="0.2">
      <c r="GI23834" s="422"/>
    </row>
    <row r="23835" spans="191:191" x14ac:dyDescent="0.2">
      <c r="GI23835" s="422"/>
    </row>
    <row r="23836" spans="191:191" x14ac:dyDescent="0.2">
      <c r="GI23836" s="422"/>
    </row>
    <row r="23837" spans="191:191" x14ac:dyDescent="0.2">
      <c r="GI23837" s="422"/>
    </row>
    <row r="23838" spans="191:191" x14ac:dyDescent="0.2">
      <c r="GI23838" s="422"/>
    </row>
    <row r="23839" spans="191:191" x14ac:dyDescent="0.2">
      <c r="GI23839" s="422"/>
    </row>
    <row r="23840" spans="191:191" x14ac:dyDescent="0.2">
      <c r="GI23840" s="422"/>
    </row>
    <row r="23841" spans="191:191" x14ac:dyDescent="0.2">
      <c r="GI23841" s="422"/>
    </row>
    <row r="23842" spans="191:191" x14ac:dyDescent="0.2">
      <c r="GI23842" s="422"/>
    </row>
    <row r="23843" spans="191:191" x14ac:dyDescent="0.2">
      <c r="GI23843" s="422"/>
    </row>
    <row r="23844" spans="191:191" x14ac:dyDescent="0.2">
      <c r="GI23844" s="422"/>
    </row>
    <row r="23845" spans="191:191" x14ac:dyDescent="0.2">
      <c r="GI23845" s="422"/>
    </row>
    <row r="23846" spans="191:191" x14ac:dyDescent="0.2">
      <c r="GI23846" s="422"/>
    </row>
    <row r="23847" spans="191:191" x14ac:dyDescent="0.2">
      <c r="GI23847" s="422"/>
    </row>
    <row r="23848" spans="191:191" x14ac:dyDescent="0.2">
      <c r="GI23848" s="422"/>
    </row>
    <row r="23849" spans="191:191" x14ac:dyDescent="0.2">
      <c r="GI23849" s="422"/>
    </row>
    <row r="23850" spans="191:191" x14ac:dyDescent="0.2">
      <c r="GI23850" s="422"/>
    </row>
    <row r="23851" spans="191:191" x14ac:dyDescent="0.2">
      <c r="GI23851" s="422"/>
    </row>
    <row r="23852" spans="191:191" x14ac:dyDescent="0.2">
      <c r="GI23852" s="422"/>
    </row>
    <row r="23853" spans="191:191" x14ac:dyDescent="0.2">
      <c r="GI23853" s="422"/>
    </row>
    <row r="23854" spans="191:191" x14ac:dyDescent="0.2">
      <c r="GI23854" s="422"/>
    </row>
    <row r="23855" spans="191:191" x14ac:dyDescent="0.2">
      <c r="GI23855" s="422"/>
    </row>
    <row r="23856" spans="191:191" x14ac:dyDescent="0.2">
      <c r="GI23856" s="422"/>
    </row>
    <row r="23857" spans="191:191" x14ac:dyDescent="0.2">
      <c r="GI23857" s="422"/>
    </row>
    <row r="23858" spans="191:191" x14ac:dyDescent="0.2">
      <c r="GI23858" s="422"/>
    </row>
    <row r="23859" spans="191:191" x14ac:dyDescent="0.2">
      <c r="GI23859" s="422"/>
    </row>
    <row r="23860" spans="191:191" x14ac:dyDescent="0.2">
      <c r="GI23860" s="422"/>
    </row>
    <row r="23861" spans="191:191" x14ac:dyDescent="0.2">
      <c r="GI23861" s="422"/>
    </row>
    <row r="23862" spans="191:191" x14ac:dyDescent="0.2">
      <c r="GI23862" s="422"/>
    </row>
    <row r="23863" spans="191:191" x14ac:dyDescent="0.2">
      <c r="GI23863" s="422"/>
    </row>
    <row r="23864" spans="191:191" x14ac:dyDescent="0.2">
      <c r="GI23864" s="422"/>
    </row>
    <row r="23865" spans="191:191" x14ac:dyDescent="0.2">
      <c r="GI23865" s="422"/>
    </row>
    <row r="23866" spans="191:191" x14ac:dyDescent="0.2">
      <c r="GI23866" s="422"/>
    </row>
    <row r="23867" spans="191:191" x14ac:dyDescent="0.2">
      <c r="GI23867" s="422"/>
    </row>
    <row r="23868" spans="191:191" x14ac:dyDescent="0.2">
      <c r="GI23868" s="422"/>
    </row>
    <row r="23869" spans="191:191" x14ac:dyDescent="0.2">
      <c r="GI23869" s="422"/>
    </row>
    <row r="23870" spans="191:191" x14ac:dyDescent="0.2">
      <c r="GI23870" s="422"/>
    </row>
    <row r="23871" spans="191:191" x14ac:dyDescent="0.2">
      <c r="GI23871" s="422"/>
    </row>
    <row r="23872" spans="191:191" x14ac:dyDescent="0.2">
      <c r="GI23872" s="422"/>
    </row>
    <row r="23873" spans="191:191" x14ac:dyDescent="0.2">
      <c r="GI23873" s="422"/>
    </row>
    <row r="23874" spans="191:191" x14ac:dyDescent="0.2">
      <c r="GI23874" s="422"/>
    </row>
    <row r="23875" spans="191:191" x14ac:dyDescent="0.2">
      <c r="GI23875" s="422"/>
    </row>
    <row r="23876" spans="191:191" x14ac:dyDescent="0.2">
      <c r="GI23876" s="422"/>
    </row>
    <row r="23877" spans="191:191" x14ac:dyDescent="0.2">
      <c r="GI23877" s="422"/>
    </row>
    <row r="23878" spans="191:191" x14ac:dyDescent="0.2">
      <c r="GI23878" s="422"/>
    </row>
    <row r="23879" spans="191:191" x14ac:dyDescent="0.2">
      <c r="GI23879" s="422"/>
    </row>
    <row r="23880" spans="191:191" x14ac:dyDescent="0.2">
      <c r="GI23880" s="422"/>
    </row>
    <row r="23881" spans="191:191" x14ac:dyDescent="0.2">
      <c r="GI23881" s="422"/>
    </row>
    <row r="23882" spans="191:191" x14ac:dyDescent="0.2">
      <c r="GI23882" s="422"/>
    </row>
    <row r="23883" spans="191:191" x14ac:dyDescent="0.2">
      <c r="GI23883" s="422"/>
    </row>
    <row r="23884" spans="191:191" x14ac:dyDescent="0.2">
      <c r="GI23884" s="422"/>
    </row>
    <row r="23885" spans="191:191" x14ac:dyDescent="0.2">
      <c r="GI23885" s="422"/>
    </row>
    <row r="23886" spans="191:191" x14ac:dyDescent="0.2">
      <c r="GI23886" s="422"/>
    </row>
    <row r="23887" spans="191:191" x14ac:dyDescent="0.2">
      <c r="GI23887" s="422"/>
    </row>
    <row r="23888" spans="191:191" x14ac:dyDescent="0.2">
      <c r="GI23888" s="422"/>
    </row>
    <row r="23889" spans="191:191" x14ac:dyDescent="0.2">
      <c r="GI23889" s="422"/>
    </row>
    <row r="23890" spans="191:191" x14ac:dyDescent="0.2">
      <c r="GI23890" s="422"/>
    </row>
    <row r="23891" spans="191:191" x14ac:dyDescent="0.2">
      <c r="GI23891" s="422"/>
    </row>
    <row r="23892" spans="191:191" x14ac:dyDescent="0.2">
      <c r="GI23892" s="422"/>
    </row>
    <row r="23893" spans="191:191" x14ac:dyDescent="0.2">
      <c r="GI23893" s="422"/>
    </row>
    <row r="23894" spans="191:191" x14ac:dyDescent="0.2">
      <c r="GI23894" s="422"/>
    </row>
    <row r="23895" spans="191:191" x14ac:dyDescent="0.2">
      <c r="GI23895" s="422"/>
    </row>
    <row r="23896" spans="191:191" x14ac:dyDescent="0.2">
      <c r="GI23896" s="422"/>
    </row>
    <row r="23897" spans="191:191" x14ac:dyDescent="0.2">
      <c r="GI23897" s="422"/>
    </row>
    <row r="23898" spans="191:191" x14ac:dyDescent="0.2">
      <c r="GI23898" s="422"/>
    </row>
    <row r="23899" spans="191:191" x14ac:dyDescent="0.2">
      <c r="GI23899" s="422"/>
    </row>
    <row r="23900" spans="191:191" x14ac:dyDescent="0.2">
      <c r="GI23900" s="422"/>
    </row>
    <row r="23901" spans="191:191" x14ac:dyDescent="0.2">
      <c r="GI23901" s="422"/>
    </row>
    <row r="23902" spans="191:191" x14ac:dyDescent="0.2">
      <c r="GI23902" s="422"/>
    </row>
    <row r="23903" spans="191:191" x14ac:dyDescent="0.2">
      <c r="GI23903" s="422"/>
    </row>
    <row r="23904" spans="191:191" x14ac:dyDescent="0.2">
      <c r="GI23904" s="422"/>
    </row>
    <row r="23905" spans="191:191" x14ac:dyDescent="0.2">
      <c r="GI23905" s="422"/>
    </row>
    <row r="23906" spans="191:191" x14ac:dyDescent="0.2">
      <c r="GI23906" s="422"/>
    </row>
    <row r="23907" spans="191:191" x14ac:dyDescent="0.2">
      <c r="GI23907" s="422"/>
    </row>
    <row r="23908" spans="191:191" x14ac:dyDescent="0.2">
      <c r="GI23908" s="422"/>
    </row>
    <row r="23909" spans="191:191" x14ac:dyDescent="0.2">
      <c r="GI23909" s="422"/>
    </row>
    <row r="23910" spans="191:191" x14ac:dyDescent="0.2">
      <c r="GI23910" s="422"/>
    </row>
    <row r="23911" spans="191:191" x14ac:dyDescent="0.2">
      <c r="GI23911" s="422"/>
    </row>
    <row r="23912" spans="191:191" x14ac:dyDescent="0.2">
      <c r="GI23912" s="422"/>
    </row>
    <row r="23913" spans="191:191" x14ac:dyDescent="0.2">
      <c r="GI23913" s="422"/>
    </row>
    <row r="23914" spans="191:191" x14ac:dyDescent="0.2">
      <c r="GI23914" s="422"/>
    </row>
    <row r="23915" spans="191:191" x14ac:dyDescent="0.2">
      <c r="GI23915" s="422"/>
    </row>
    <row r="23916" spans="191:191" x14ac:dyDescent="0.2">
      <c r="GI23916" s="422"/>
    </row>
    <row r="23917" spans="191:191" x14ac:dyDescent="0.2">
      <c r="GI23917" s="422"/>
    </row>
    <row r="23918" spans="191:191" x14ac:dyDescent="0.2">
      <c r="GI23918" s="422"/>
    </row>
    <row r="23919" spans="191:191" x14ac:dyDescent="0.2">
      <c r="GI23919" s="422"/>
    </row>
    <row r="23920" spans="191:191" x14ac:dyDescent="0.2">
      <c r="GI23920" s="422"/>
    </row>
    <row r="23921" spans="191:191" x14ac:dyDescent="0.2">
      <c r="GI23921" s="422"/>
    </row>
    <row r="23922" spans="191:191" x14ac:dyDescent="0.2">
      <c r="GI23922" s="422"/>
    </row>
    <row r="23923" spans="191:191" x14ac:dyDescent="0.2">
      <c r="GI23923" s="422"/>
    </row>
    <row r="23924" spans="191:191" x14ac:dyDescent="0.2">
      <c r="GI23924" s="422"/>
    </row>
    <row r="23925" spans="191:191" x14ac:dyDescent="0.2">
      <c r="GI23925" s="422"/>
    </row>
    <row r="23926" spans="191:191" x14ac:dyDescent="0.2">
      <c r="GI23926" s="422"/>
    </row>
    <row r="23927" spans="191:191" x14ac:dyDescent="0.2">
      <c r="GI23927" s="422"/>
    </row>
    <row r="23928" spans="191:191" x14ac:dyDescent="0.2">
      <c r="GI23928" s="422"/>
    </row>
    <row r="23929" spans="191:191" x14ac:dyDescent="0.2">
      <c r="GI23929" s="422"/>
    </row>
    <row r="23930" spans="191:191" x14ac:dyDescent="0.2">
      <c r="GI23930" s="422"/>
    </row>
    <row r="23931" spans="191:191" x14ac:dyDescent="0.2">
      <c r="GI23931" s="422"/>
    </row>
    <row r="23932" spans="191:191" x14ac:dyDescent="0.2">
      <c r="GI23932" s="422"/>
    </row>
    <row r="23933" spans="191:191" x14ac:dyDescent="0.2">
      <c r="GI23933" s="422"/>
    </row>
    <row r="23934" spans="191:191" x14ac:dyDescent="0.2">
      <c r="GI23934" s="422"/>
    </row>
    <row r="23935" spans="191:191" x14ac:dyDescent="0.2">
      <c r="GI23935" s="422"/>
    </row>
    <row r="23936" spans="191:191" x14ac:dyDescent="0.2">
      <c r="GI23936" s="422"/>
    </row>
    <row r="23937" spans="191:191" x14ac:dyDescent="0.2">
      <c r="GI23937" s="422"/>
    </row>
    <row r="23938" spans="191:191" x14ac:dyDescent="0.2">
      <c r="GI23938" s="422"/>
    </row>
    <row r="23939" spans="191:191" x14ac:dyDescent="0.2">
      <c r="GI23939" s="422"/>
    </row>
    <row r="23940" spans="191:191" x14ac:dyDescent="0.2">
      <c r="GI23940" s="422"/>
    </row>
    <row r="23941" spans="191:191" x14ac:dyDescent="0.2">
      <c r="GI23941" s="422"/>
    </row>
    <row r="23942" spans="191:191" x14ac:dyDescent="0.2">
      <c r="GI23942" s="422"/>
    </row>
    <row r="23943" spans="191:191" x14ac:dyDescent="0.2">
      <c r="GI23943" s="422"/>
    </row>
    <row r="23944" spans="191:191" x14ac:dyDescent="0.2">
      <c r="GI23944" s="422"/>
    </row>
    <row r="23945" spans="191:191" x14ac:dyDescent="0.2">
      <c r="GI23945" s="422"/>
    </row>
    <row r="23946" spans="191:191" x14ac:dyDescent="0.2">
      <c r="GI23946" s="422"/>
    </row>
    <row r="23947" spans="191:191" x14ac:dyDescent="0.2">
      <c r="GI23947" s="422"/>
    </row>
    <row r="23948" spans="191:191" x14ac:dyDescent="0.2">
      <c r="GI23948" s="422"/>
    </row>
    <row r="23949" spans="191:191" x14ac:dyDescent="0.2">
      <c r="GI23949" s="422"/>
    </row>
    <row r="23950" spans="191:191" x14ac:dyDescent="0.2">
      <c r="GI23950" s="422"/>
    </row>
    <row r="23951" spans="191:191" x14ac:dyDescent="0.2">
      <c r="GI23951" s="422"/>
    </row>
    <row r="23952" spans="191:191" x14ac:dyDescent="0.2">
      <c r="GI23952" s="422"/>
    </row>
    <row r="23953" spans="191:191" x14ac:dyDescent="0.2">
      <c r="GI23953" s="422"/>
    </row>
    <row r="23954" spans="191:191" x14ac:dyDescent="0.2">
      <c r="GI23954" s="422"/>
    </row>
    <row r="23955" spans="191:191" x14ac:dyDescent="0.2">
      <c r="GI23955" s="422"/>
    </row>
    <row r="23956" spans="191:191" x14ac:dyDescent="0.2">
      <c r="GI23956" s="422"/>
    </row>
    <row r="23957" spans="191:191" x14ac:dyDescent="0.2">
      <c r="GI23957" s="422"/>
    </row>
    <row r="23958" spans="191:191" x14ac:dyDescent="0.2">
      <c r="GI23958" s="422"/>
    </row>
    <row r="23959" spans="191:191" x14ac:dyDescent="0.2">
      <c r="GI23959" s="422"/>
    </row>
    <row r="23960" spans="191:191" x14ac:dyDescent="0.2">
      <c r="GI23960" s="422"/>
    </row>
    <row r="23961" spans="191:191" x14ac:dyDescent="0.2">
      <c r="GI23961" s="422"/>
    </row>
    <row r="23962" spans="191:191" x14ac:dyDescent="0.2">
      <c r="GI23962" s="422"/>
    </row>
    <row r="23963" spans="191:191" x14ac:dyDescent="0.2">
      <c r="GI23963" s="422"/>
    </row>
    <row r="23964" spans="191:191" x14ac:dyDescent="0.2">
      <c r="GI23964" s="422"/>
    </row>
    <row r="23965" spans="191:191" x14ac:dyDescent="0.2">
      <c r="GI23965" s="422"/>
    </row>
    <row r="23966" spans="191:191" x14ac:dyDescent="0.2">
      <c r="GI23966" s="422"/>
    </row>
    <row r="23967" spans="191:191" x14ac:dyDescent="0.2">
      <c r="GI23967" s="422"/>
    </row>
    <row r="23968" spans="191:191" x14ac:dyDescent="0.2">
      <c r="GI23968" s="422"/>
    </row>
    <row r="23969" spans="191:191" x14ac:dyDescent="0.2">
      <c r="GI23969" s="422"/>
    </row>
    <row r="23970" spans="191:191" x14ac:dyDescent="0.2">
      <c r="GI23970" s="422"/>
    </row>
    <row r="23971" spans="191:191" x14ac:dyDescent="0.2">
      <c r="GI23971" s="422"/>
    </row>
    <row r="23972" spans="191:191" x14ac:dyDescent="0.2">
      <c r="GI23972" s="422"/>
    </row>
    <row r="23973" spans="191:191" x14ac:dyDescent="0.2">
      <c r="GI23973" s="422"/>
    </row>
    <row r="23974" spans="191:191" x14ac:dyDescent="0.2">
      <c r="GI23974" s="422"/>
    </row>
    <row r="23975" spans="191:191" x14ac:dyDescent="0.2">
      <c r="GI23975" s="422"/>
    </row>
    <row r="23976" spans="191:191" x14ac:dyDescent="0.2">
      <c r="GI23976" s="422"/>
    </row>
    <row r="23977" spans="191:191" x14ac:dyDescent="0.2">
      <c r="GI23977" s="422"/>
    </row>
    <row r="23978" spans="191:191" x14ac:dyDescent="0.2">
      <c r="GI23978" s="422"/>
    </row>
    <row r="23979" spans="191:191" x14ac:dyDescent="0.2">
      <c r="GI23979" s="422"/>
    </row>
    <row r="23980" spans="191:191" x14ac:dyDescent="0.2">
      <c r="GI23980" s="422"/>
    </row>
    <row r="23981" spans="191:191" x14ac:dyDescent="0.2">
      <c r="GI23981" s="422"/>
    </row>
    <row r="23982" spans="191:191" x14ac:dyDescent="0.2">
      <c r="GI23982" s="422"/>
    </row>
    <row r="23983" spans="191:191" x14ac:dyDescent="0.2">
      <c r="GI23983" s="422"/>
    </row>
    <row r="23984" spans="191:191" x14ac:dyDescent="0.2">
      <c r="GI23984" s="422"/>
    </row>
    <row r="23985" spans="191:191" x14ac:dyDescent="0.2">
      <c r="GI23985" s="422"/>
    </row>
    <row r="23986" spans="191:191" x14ac:dyDescent="0.2">
      <c r="GI23986" s="422"/>
    </row>
    <row r="23987" spans="191:191" x14ac:dyDescent="0.2">
      <c r="GI23987" s="422"/>
    </row>
    <row r="23988" spans="191:191" x14ac:dyDescent="0.2">
      <c r="GI23988" s="422"/>
    </row>
    <row r="23989" spans="191:191" x14ac:dyDescent="0.2">
      <c r="GI23989" s="422"/>
    </row>
    <row r="23990" spans="191:191" x14ac:dyDescent="0.2">
      <c r="GI23990" s="422"/>
    </row>
    <row r="23991" spans="191:191" x14ac:dyDescent="0.2">
      <c r="GI23991" s="422"/>
    </row>
    <row r="23992" spans="191:191" x14ac:dyDescent="0.2">
      <c r="GI23992" s="422"/>
    </row>
    <row r="23993" spans="191:191" x14ac:dyDescent="0.2">
      <c r="GI23993" s="422"/>
    </row>
    <row r="23994" spans="191:191" x14ac:dyDescent="0.2">
      <c r="GI23994" s="422"/>
    </row>
    <row r="23995" spans="191:191" x14ac:dyDescent="0.2">
      <c r="GI23995" s="422"/>
    </row>
    <row r="23996" spans="191:191" x14ac:dyDescent="0.2">
      <c r="GI23996" s="422"/>
    </row>
    <row r="23997" spans="191:191" x14ac:dyDescent="0.2">
      <c r="GI23997" s="422"/>
    </row>
    <row r="23998" spans="191:191" x14ac:dyDescent="0.2">
      <c r="GI23998" s="422"/>
    </row>
    <row r="23999" spans="191:191" x14ac:dyDescent="0.2">
      <c r="GI23999" s="422"/>
    </row>
    <row r="24000" spans="191:191" x14ac:dyDescent="0.2">
      <c r="GI24000" s="422"/>
    </row>
    <row r="24001" spans="191:191" x14ac:dyDescent="0.2">
      <c r="GI24001" s="422"/>
    </row>
    <row r="24002" spans="191:191" x14ac:dyDescent="0.2">
      <c r="GI24002" s="422"/>
    </row>
    <row r="24003" spans="191:191" x14ac:dyDescent="0.2">
      <c r="GI24003" s="422"/>
    </row>
    <row r="24004" spans="191:191" x14ac:dyDescent="0.2">
      <c r="GI24004" s="422"/>
    </row>
    <row r="24005" spans="191:191" x14ac:dyDescent="0.2">
      <c r="GI24005" s="422"/>
    </row>
    <row r="24006" spans="191:191" x14ac:dyDescent="0.2">
      <c r="GI24006" s="422"/>
    </row>
    <row r="24007" spans="191:191" x14ac:dyDescent="0.2">
      <c r="GI24007" s="422"/>
    </row>
    <row r="24008" spans="191:191" x14ac:dyDescent="0.2">
      <c r="GI24008" s="422"/>
    </row>
    <row r="24009" spans="191:191" x14ac:dyDescent="0.2">
      <c r="GI24009" s="422"/>
    </row>
    <row r="24010" spans="191:191" x14ac:dyDescent="0.2">
      <c r="GI24010" s="422"/>
    </row>
    <row r="24011" spans="191:191" x14ac:dyDescent="0.2">
      <c r="GI24011" s="422"/>
    </row>
    <row r="24012" spans="191:191" x14ac:dyDescent="0.2">
      <c r="GI24012" s="422"/>
    </row>
    <row r="24013" spans="191:191" x14ac:dyDescent="0.2">
      <c r="GI24013" s="422"/>
    </row>
    <row r="24014" spans="191:191" x14ac:dyDescent="0.2">
      <c r="GI24014" s="422"/>
    </row>
    <row r="24015" spans="191:191" x14ac:dyDescent="0.2">
      <c r="GI24015" s="422"/>
    </row>
    <row r="24016" spans="191:191" x14ac:dyDescent="0.2">
      <c r="GI24016" s="422"/>
    </row>
    <row r="24017" spans="191:191" x14ac:dyDescent="0.2">
      <c r="GI24017" s="422"/>
    </row>
    <row r="24018" spans="191:191" x14ac:dyDescent="0.2">
      <c r="GI24018" s="422"/>
    </row>
    <row r="24019" spans="191:191" x14ac:dyDescent="0.2">
      <c r="GI24019" s="422"/>
    </row>
    <row r="24020" spans="191:191" x14ac:dyDescent="0.2">
      <c r="GI24020" s="422"/>
    </row>
    <row r="24021" spans="191:191" x14ac:dyDescent="0.2">
      <c r="GI24021" s="422"/>
    </row>
    <row r="24022" spans="191:191" x14ac:dyDescent="0.2">
      <c r="GI24022" s="422"/>
    </row>
    <row r="24023" spans="191:191" x14ac:dyDescent="0.2">
      <c r="GI24023" s="422"/>
    </row>
    <row r="24024" spans="191:191" x14ac:dyDescent="0.2">
      <c r="GI24024" s="422"/>
    </row>
    <row r="24025" spans="191:191" x14ac:dyDescent="0.2">
      <c r="GI24025" s="422"/>
    </row>
    <row r="24026" spans="191:191" x14ac:dyDescent="0.2">
      <c r="GI24026" s="422"/>
    </row>
    <row r="24027" spans="191:191" x14ac:dyDescent="0.2">
      <c r="GI24027" s="422"/>
    </row>
    <row r="24028" spans="191:191" x14ac:dyDescent="0.2">
      <c r="GI24028" s="422"/>
    </row>
    <row r="24029" spans="191:191" x14ac:dyDescent="0.2">
      <c r="GI24029" s="422"/>
    </row>
    <row r="24030" spans="191:191" x14ac:dyDescent="0.2">
      <c r="GI24030" s="422"/>
    </row>
    <row r="24031" spans="191:191" x14ac:dyDescent="0.2">
      <c r="GI24031" s="422"/>
    </row>
    <row r="24032" spans="191:191" x14ac:dyDescent="0.2">
      <c r="GI24032" s="422"/>
    </row>
    <row r="24033" spans="191:191" x14ac:dyDescent="0.2">
      <c r="GI24033" s="422"/>
    </row>
    <row r="24034" spans="191:191" x14ac:dyDescent="0.2">
      <c r="GI24034" s="422"/>
    </row>
    <row r="24035" spans="191:191" x14ac:dyDescent="0.2">
      <c r="GI24035" s="422"/>
    </row>
    <row r="24036" spans="191:191" x14ac:dyDescent="0.2">
      <c r="GI24036" s="422"/>
    </row>
    <row r="24037" spans="191:191" x14ac:dyDescent="0.2">
      <c r="GI24037" s="422"/>
    </row>
    <row r="24038" spans="191:191" x14ac:dyDescent="0.2">
      <c r="GI24038" s="422"/>
    </row>
    <row r="24039" spans="191:191" x14ac:dyDescent="0.2">
      <c r="GI24039" s="422"/>
    </row>
    <row r="24040" spans="191:191" x14ac:dyDescent="0.2">
      <c r="GI24040" s="422"/>
    </row>
    <row r="24041" spans="191:191" x14ac:dyDescent="0.2">
      <c r="GI24041" s="422"/>
    </row>
    <row r="24042" spans="191:191" x14ac:dyDescent="0.2">
      <c r="GI24042" s="422"/>
    </row>
    <row r="24043" spans="191:191" x14ac:dyDescent="0.2">
      <c r="GI24043" s="422"/>
    </row>
    <row r="24044" spans="191:191" x14ac:dyDescent="0.2">
      <c r="GI24044" s="422"/>
    </row>
    <row r="24045" spans="191:191" x14ac:dyDescent="0.2">
      <c r="GI24045" s="422"/>
    </row>
    <row r="24046" spans="191:191" x14ac:dyDescent="0.2">
      <c r="GI24046" s="422"/>
    </row>
    <row r="24047" spans="191:191" x14ac:dyDescent="0.2">
      <c r="GI24047" s="422"/>
    </row>
    <row r="24048" spans="191:191" x14ac:dyDescent="0.2">
      <c r="GI24048" s="422"/>
    </row>
    <row r="24049" spans="191:191" x14ac:dyDescent="0.2">
      <c r="GI24049" s="422"/>
    </row>
    <row r="24050" spans="191:191" x14ac:dyDescent="0.2">
      <c r="GI24050" s="422"/>
    </row>
    <row r="24051" spans="191:191" x14ac:dyDescent="0.2">
      <c r="GI24051" s="422"/>
    </row>
    <row r="24052" spans="191:191" x14ac:dyDescent="0.2">
      <c r="GI24052" s="422"/>
    </row>
    <row r="24053" spans="191:191" x14ac:dyDescent="0.2">
      <c r="GI24053" s="422"/>
    </row>
    <row r="24054" spans="191:191" x14ac:dyDescent="0.2">
      <c r="GI24054" s="422"/>
    </row>
    <row r="24055" spans="191:191" x14ac:dyDescent="0.2">
      <c r="GI24055" s="422"/>
    </row>
    <row r="24056" spans="191:191" x14ac:dyDescent="0.2">
      <c r="GI24056" s="422"/>
    </row>
    <row r="24057" spans="191:191" x14ac:dyDescent="0.2">
      <c r="GI24057" s="422"/>
    </row>
    <row r="24058" spans="191:191" x14ac:dyDescent="0.2">
      <c r="GI24058" s="422"/>
    </row>
    <row r="24059" spans="191:191" x14ac:dyDescent="0.2">
      <c r="GI24059" s="422"/>
    </row>
    <row r="24060" spans="191:191" x14ac:dyDescent="0.2">
      <c r="GI24060" s="422"/>
    </row>
    <row r="24061" spans="191:191" x14ac:dyDescent="0.2">
      <c r="GI24061" s="422"/>
    </row>
    <row r="24062" spans="191:191" x14ac:dyDescent="0.2">
      <c r="GI24062" s="422"/>
    </row>
    <row r="24063" spans="191:191" x14ac:dyDescent="0.2">
      <c r="GI24063" s="422"/>
    </row>
    <row r="24064" spans="191:191" x14ac:dyDescent="0.2">
      <c r="GI24064" s="422"/>
    </row>
    <row r="24065" spans="191:191" x14ac:dyDescent="0.2">
      <c r="GI24065" s="422"/>
    </row>
    <row r="24066" spans="191:191" x14ac:dyDescent="0.2">
      <c r="GI24066" s="422"/>
    </row>
    <row r="24067" spans="191:191" x14ac:dyDescent="0.2">
      <c r="GI24067" s="422"/>
    </row>
    <row r="24068" spans="191:191" x14ac:dyDescent="0.2">
      <c r="GI24068" s="422"/>
    </row>
    <row r="24069" spans="191:191" x14ac:dyDescent="0.2">
      <c r="GI24069" s="422"/>
    </row>
    <row r="24070" spans="191:191" x14ac:dyDescent="0.2">
      <c r="GI24070" s="422"/>
    </row>
    <row r="24071" spans="191:191" x14ac:dyDescent="0.2">
      <c r="GI24071" s="422"/>
    </row>
    <row r="24072" spans="191:191" x14ac:dyDescent="0.2">
      <c r="GI24072" s="422"/>
    </row>
    <row r="24073" spans="191:191" x14ac:dyDescent="0.2">
      <c r="GI24073" s="422"/>
    </row>
    <row r="24074" spans="191:191" x14ac:dyDescent="0.2">
      <c r="GI24074" s="422"/>
    </row>
    <row r="24075" spans="191:191" x14ac:dyDescent="0.2">
      <c r="GI24075" s="422"/>
    </row>
    <row r="24076" spans="191:191" x14ac:dyDescent="0.2">
      <c r="GI24076" s="422"/>
    </row>
    <row r="24077" spans="191:191" x14ac:dyDescent="0.2">
      <c r="GI24077" s="422"/>
    </row>
    <row r="24078" spans="191:191" x14ac:dyDescent="0.2">
      <c r="GI24078" s="422"/>
    </row>
    <row r="24079" spans="191:191" x14ac:dyDescent="0.2">
      <c r="GI24079" s="422"/>
    </row>
    <row r="24080" spans="191:191" x14ac:dyDescent="0.2">
      <c r="GI24080" s="422"/>
    </row>
    <row r="24081" spans="191:191" x14ac:dyDescent="0.2">
      <c r="GI24081" s="422"/>
    </row>
    <row r="24082" spans="191:191" x14ac:dyDescent="0.2">
      <c r="GI24082" s="422"/>
    </row>
    <row r="24083" spans="191:191" x14ac:dyDescent="0.2">
      <c r="GI24083" s="422"/>
    </row>
    <row r="24084" spans="191:191" x14ac:dyDescent="0.2">
      <c r="GI24084" s="422"/>
    </row>
    <row r="24085" spans="191:191" x14ac:dyDescent="0.2">
      <c r="GI24085" s="422"/>
    </row>
    <row r="24086" spans="191:191" x14ac:dyDescent="0.2">
      <c r="GI24086" s="422"/>
    </row>
    <row r="24087" spans="191:191" x14ac:dyDescent="0.2">
      <c r="GI24087" s="422"/>
    </row>
    <row r="24088" spans="191:191" x14ac:dyDescent="0.2">
      <c r="GI24088" s="422"/>
    </row>
    <row r="24089" spans="191:191" x14ac:dyDescent="0.2">
      <c r="GI24089" s="422"/>
    </row>
    <row r="24090" spans="191:191" x14ac:dyDescent="0.2">
      <c r="GI24090" s="422"/>
    </row>
    <row r="24091" spans="191:191" x14ac:dyDescent="0.2">
      <c r="GI24091" s="422"/>
    </row>
    <row r="24092" spans="191:191" x14ac:dyDescent="0.2">
      <c r="GI24092" s="422"/>
    </row>
    <row r="24093" spans="191:191" x14ac:dyDescent="0.2">
      <c r="GI24093" s="422"/>
    </row>
    <row r="24094" spans="191:191" x14ac:dyDescent="0.2">
      <c r="GI24094" s="422"/>
    </row>
    <row r="24095" spans="191:191" x14ac:dyDescent="0.2">
      <c r="GI24095" s="422"/>
    </row>
    <row r="24096" spans="191:191" x14ac:dyDescent="0.2">
      <c r="GI24096" s="422"/>
    </row>
    <row r="24097" spans="191:191" x14ac:dyDescent="0.2">
      <c r="GI24097" s="422"/>
    </row>
    <row r="24098" spans="191:191" x14ac:dyDescent="0.2">
      <c r="GI24098" s="422"/>
    </row>
    <row r="24099" spans="191:191" x14ac:dyDescent="0.2">
      <c r="GI24099" s="422"/>
    </row>
    <row r="24100" spans="191:191" x14ac:dyDescent="0.2">
      <c r="GI24100" s="422"/>
    </row>
    <row r="24101" spans="191:191" x14ac:dyDescent="0.2">
      <c r="GI24101" s="422"/>
    </row>
    <row r="24102" spans="191:191" x14ac:dyDescent="0.2">
      <c r="GI24102" s="422"/>
    </row>
    <row r="24103" spans="191:191" x14ac:dyDescent="0.2">
      <c r="GI24103" s="422"/>
    </row>
    <row r="24104" spans="191:191" x14ac:dyDescent="0.2">
      <c r="GI24104" s="422"/>
    </row>
    <row r="24105" spans="191:191" x14ac:dyDescent="0.2">
      <c r="GI24105" s="422"/>
    </row>
    <row r="24106" spans="191:191" x14ac:dyDescent="0.2">
      <c r="GI24106" s="422"/>
    </row>
    <row r="24107" spans="191:191" x14ac:dyDescent="0.2">
      <c r="GI24107" s="422"/>
    </row>
    <row r="24108" spans="191:191" x14ac:dyDescent="0.2">
      <c r="GI24108" s="422"/>
    </row>
    <row r="24109" spans="191:191" x14ac:dyDescent="0.2">
      <c r="GI24109" s="422"/>
    </row>
    <row r="24110" spans="191:191" x14ac:dyDescent="0.2">
      <c r="GI24110" s="422"/>
    </row>
    <row r="24111" spans="191:191" x14ac:dyDescent="0.2">
      <c r="GI24111" s="422"/>
    </row>
    <row r="24112" spans="191:191" x14ac:dyDescent="0.2">
      <c r="GI24112" s="422"/>
    </row>
    <row r="24113" spans="191:191" x14ac:dyDescent="0.2">
      <c r="GI24113" s="422"/>
    </row>
    <row r="24114" spans="191:191" x14ac:dyDescent="0.2">
      <c r="GI24114" s="422"/>
    </row>
    <row r="24115" spans="191:191" x14ac:dyDescent="0.2">
      <c r="GI24115" s="422"/>
    </row>
    <row r="24116" spans="191:191" x14ac:dyDescent="0.2">
      <c r="GI24116" s="422"/>
    </row>
    <row r="24117" spans="191:191" x14ac:dyDescent="0.2">
      <c r="GI24117" s="422"/>
    </row>
    <row r="24118" spans="191:191" x14ac:dyDescent="0.2">
      <c r="GI24118" s="422"/>
    </row>
    <row r="24119" spans="191:191" x14ac:dyDescent="0.2">
      <c r="GI24119" s="422"/>
    </row>
    <row r="24120" spans="191:191" x14ac:dyDescent="0.2">
      <c r="GI24120" s="422"/>
    </row>
    <row r="24121" spans="191:191" x14ac:dyDescent="0.2">
      <c r="GI24121" s="422"/>
    </row>
    <row r="24122" spans="191:191" x14ac:dyDescent="0.2">
      <c r="GI24122" s="422"/>
    </row>
    <row r="24123" spans="191:191" x14ac:dyDescent="0.2">
      <c r="GI24123" s="422"/>
    </row>
    <row r="24124" spans="191:191" x14ac:dyDescent="0.2">
      <c r="GI24124" s="422"/>
    </row>
    <row r="24125" spans="191:191" x14ac:dyDescent="0.2">
      <c r="GI24125" s="422"/>
    </row>
    <row r="24126" spans="191:191" x14ac:dyDescent="0.2">
      <c r="GI24126" s="422"/>
    </row>
    <row r="24127" spans="191:191" x14ac:dyDescent="0.2">
      <c r="GI24127" s="422"/>
    </row>
    <row r="24128" spans="191:191" x14ac:dyDescent="0.2">
      <c r="GI24128" s="422"/>
    </row>
    <row r="24129" spans="191:191" x14ac:dyDescent="0.2">
      <c r="GI24129" s="422"/>
    </row>
    <row r="24130" spans="191:191" x14ac:dyDescent="0.2">
      <c r="GI24130" s="422"/>
    </row>
    <row r="24131" spans="191:191" x14ac:dyDescent="0.2">
      <c r="GI24131" s="422"/>
    </row>
    <row r="24132" spans="191:191" x14ac:dyDescent="0.2">
      <c r="GI24132" s="422"/>
    </row>
    <row r="24133" spans="191:191" x14ac:dyDescent="0.2">
      <c r="GI24133" s="422"/>
    </row>
    <row r="24134" spans="191:191" x14ac:dyDescent="0.2">
      <c r="GI24134" s="422"/>
    </row>
    <row r="24135" spans="191:191" x14ac:dyDescent="0.2">
      <c r="GI24135" s="422"/>
    </row>
    <row r="24136" spans="191:191" x14ac:dyDescent="0.2">
      <c r="GI24136" s="422"/>
    </row>
    <row r="24137" spans="191:191" x14ac:dyDescent="0.2">
      <c r="GI24137" s="422"/>
    </row>
    <row r="24138" spans="191:191" x14ac:dyDescent="0.2">
      <c r="GI24138" s="422"/>
    </row>
    <row r="24139" spans="191:191" x14ac:dyDescent="0.2">
      <c r="GI24139" s="422"/>
    </row>
    <row r="24140" spans="191:191" x14ac:dyDescent="0.2">
      <c r="GI24140" s="422"/>
    </row>
    <row r="24141" spans="191:191" x14ac:dyDescent="0.2">
      <c r="GI24141" s="422"/>
    </row>
    <row r="24142" spans="191:191" x14ac:dyDescent="0.2">
      <c r="GI24142" s="422"/>
    </row>
    <row r="24143" spans="191:191" x14ac:dyDescent="0.2">
      <c r="GI24143" s="422"/>
    </row>
    <row r="24144" spans="191:191" x14ac:dyDescent="0.2">
      <c r="GI24144" s="422"/>
    </row>
    <row r="24145" spans="191:191" x14ac:dyDescent="0.2">
      <c r="GI24145" s="422"/>
    </row>
    <row r="24146" spans="191:191" x14ac:dyDescent="0.2">
      <c r="GI24146" s="422"/>
    </row>
    <row r="24147" spans="191:191" x14ac:dyDescent="0.2">
      <c r="GI24147" s="422"/>
    </row>
    <row r="24148" spans="191:191" x14ac:dyDescent="0.2">
      <c r="GI24148" s="422"/>
    </row>
    <row r="24149" spans="191:191" x14ac:dyDescent="0.2">
      <c r="GI24149" s="422"/>
    </row>
    <row r="24150" spans="191:191" x14ac:dyDescent="0.2">
      <c r="GI24150" s="422"/>
    </row>
    <row r="24151" spans="191:191" x14ac:dyDescent="0.2">
      <c r="GI24151" s="422"/>
    </row>
    <row r="24152" spans="191:191" x14ac:dyDescent="0.2">
      <c r="GI24152" s="422"/>
    </row>
    <row r="24153" spans="191:191" x14ac:dyDescent="0.2">
      <c r="GI24153" s="422"/>
    </row>
    <row r="24154" spans="191:191" x14ac:dyDescent="0.2">
      <c r="GI24154" s="422"/>
    </row>
    <row r="24155" spans="191:191" x14ac:dyDescent="0.2">
      <c r="GI24155" s="422"/>
    </row>
    <row r="24156" spans="191:191" x14ac:dyDescent="0.2">
      <c r="GI24156" s="422"/>
    </row>
    <row r="24157" spans="191:191" x14ac:dyDescent="0.2">
      <c r="GI24157" s="422"/>
    </row>
    <row r="24158" spans="191:191" x14ac:dyDescent="0.2">
      <c r="GI24158" s="422"/>
    </row>
    <row r="24159" spans="191:191" x14ac:dyDescent="0.2">
      <c r="GI24159" s="422"/>
    </row>
    <row r="24160" spans="191:191" x14ac:dyDescent="0.2">
      <c r="GI24160" s="422"/>
    </row>
    <row r="24161" spans="191:191" x14ac:dyDescent="0.2">
      <c r="GI24161" s="422"/>
    </row>
    <row r="24162" spans="191:191" x14ac:dyDescent="0.2">
      <c r="GI24162" s="422"/>
    </row>
    <row r="24163" spans="191:191" x14ac:dyDescent="0.2">
      <c r="GI24163" s="422"/>
    </row>
    <row r="24164" spans="191:191" x14ac:dyDescent="0.2">
      <c r="GI24164" s="422"/>
    </row>
    <row r="24165" spans="191:191" x14ac:dyDescent="0.2">
      <c r="GI24165" s="422"/>
    </row>
    <row r="24166" spans="191:191" x14ac:dyDescent="0.2">
      <c r="GI24166" s="422"/>
    </row>
    <row r="24167" spans="191:191" x14ac:dyDescent="0.2">
      <c r="GI24167" s="422"/>
    </row>
    <row r="24168" spans="191:191" x14ac:dyDescent="0.2">
      <c r="GI24168" s="422"/>
    </row>
    <row r="24169" spans="191:191" x14ac:dyDescent="0.2">
      <c r="GI24169" s="422"/>
    </row>
    <row r="24170" spans="191:191" x14ac:dyDescent="0.2">
      <c r="GI24170" s="422"/>
    </row>
    <row r="24171" spans="191:191" x14ac:dyDescent="0.2">
      <c r="GI24171" s="422"/>
    </row>
    <row r="24172" spans="191:191" x14ac:dyDescent="0.2">
      <c r="GI24172" s="422"/>
    </row>
    <row r="24173" spans="191:191" x14ac:dyDescent="0.2">
      <c r="GI24173" s="422"/>
    </row>
    <row r="24174" spans="191:191" x14ac:dyDescent="0.2">
      <c r="GI24174" s="422"/>
    </row>
    <row r="24175" spans="191:191" x14ac:dyDescent="0.2">
      <c r="GI24175" s="422"/>
    </row>
    <row r="24176" spans="191:191" x14ac:dyDescent="0.2">
      <c r="GI24176" s="422"/>
    </row>
    <row r="24177" spans="191:191" x14ac:dyDescent="0.2">
      <c r="GI24177" s="422"/>
    </row>
    <row r="24178" spans="191:191" x14ac:dyDescent="0.2">
      <c r="GI24178" s="422"/>
    </row>
    <row r="24179" spans="191:191" x14ac:dyDescent="0.2">
      <c r="GI24179" s="422"/>
    </row>
    <row r="24180" spans="191:191" x14ac:dyDescent="0.2">
      <c r="GI24180" s="422"/>
    </row>
    <row r="24181" spans="191:191" x14ac:dyDescent="0.2">
      <c r="GI24181" s="422"/>
    </row>
    <row r="24182" spans="191:191" x14ac:dyDescent="0.2">
      <c r="GI24182" s="422"/>
    </row>
    <row r="24183" spans="191:191" x14ac:dyDescent="0.2">
      <c r="GI24183" s="422"/>
    </row>
    <row r="24184" spans="191:191" x14ac:dyDescent="0.2">
      <c r="GI24184" s="422"/>
    </row>
    <row r="24185" spans="191:191" x14ac:dyDescent="0.2">
      <c r="GI24185" s="422"/>
    </row>
    <row r="24186" spans="191:191" x14ac:dyDescent="0.2">
      <c r="GI24186" s="422"/>
    </row>
    <row r="24187" spans="191:191" x14ac:dyDescent="0.2">
      <c r="GI24187" s="422"/>
    </row>
    <row r="24188" spans="191:191" x14ac:dyDescent="0.2">
      <c r="GI24188" s="422"/>
    </row>
    <row r="24189" spans="191:191" x14ac:dyDescent="0.2">
      <c r="GI24189" s="422"/>
    </row>
    <row r="24190" spans="191:191" x14ac:dyDescent="0.2">
      <c r="GI24190" s="422"/>
    </row>
    <row r="24191" spans="191:191" x14ac:dyDescent="0.2">
      <c r="GI24191" s="422"/>
    </row>
    <row r="24192" spans="191:191" x14ac:dyDescent="0.2">
      <c r="GI24192" s="422"/>
    </row>
    <row r="24193" spans="191:191" x14ac:dyDescent="0.2">
      <c r="GI24193" s="422"/>
    </row>
    <row r="24194" spans="191:191" x14ac:dyDescent="0.2">
      <c r="GI24194" s="422"/>
    </row>
    <row r="24195" spans="191:191" x14ac:dyDescent="0.2">
      <c r="GI24195" s="422"/>
    </row>
    <row r="24196" spans="191:191" x14ac:dyDescent="0.2">
      <c r="GI24196" s="422"/>
    </row>
    <row r="24197" spans="191:191" x14ac:dyDescent="0.2">
      <c r="GI24197" s="422"/>
    </row>
    <row r="24198" spans="191:191" x14ac:dyDescent="0.2">
      <c r="GI24198" s="422"/>
    </row>
    <row r="24199" spans="191:191" x14ac:dyDescent="0.2">
      <c r="GI24199" s="422"/>
    </row>
    <row r="24200" spans="191:191" x14ac:dyDescent="0.2">
      <c r="GI24200" s="422"/>
    </row>
    <row r="24201" spans="191:191" x14ac:dyDescent="0.2">
      <c r="GI24201" s="422"/>
    </row>
    <row r="24202" spans="191:191" x14ac:dyDescent="0.2">
      <c r="GI24202" s="422"/>
    </row>
    <row r="24203" spans="191:191" x14ac:dyDescent="0.2">
      <c r="GI24203" s="422"/>
    </row>
    <row r="24204" spans="191:191" x14ac:dyDescent="0.2">
      <c r="GI24204" s="422"/>
    </row>
    <row r="24205" spans="191:191" x14ac:dyDescent="0.2">
      <c r="GI24205" s="422"/>
    </row>
    <row r="24206" spans="191:191" x14ac:dyDescent="0.2">
      <c r="GI24206" s="422"/>
    </row>
    <row r="24207" spans="191:191" x14ac:dyDescent="0.2">
      <c r="GI24207" s="422"/>
    </row>
    <row r="24208" spans="191:191" x14ac:dyDescent="0.2">
      <c r="GI24208" s="422"/>
    </row>
    <row r="24209" spans="191:191" x14ac:dyDescent="0.2">
      <c r="GI24209" s="422"/>
    </row>
    <row r="24210" spans="191:191" x14ac:dyDescent="0.2">
      <c r="GI24210" s="422"/>
    </row>
    <row r="24211" spans="191:191" x14ac:dyDescent="0.2">
      <c r="GI24211" s="422"/>
    </row>
    <row r="24212" spans="191:191" x14ac:dyDescent="0.2">
      <c r="GI24212" s="422"/>
    </row>
    <row r="24213" spans="191:191" x14ac:dyDescent="0.2">
      <c r="GI24213" s="422"/>
    </row>
    <row r="24214" spans="191:191" x14ac:dyDescent="0.2">
      <c r="GI24214" s="422"/>
    </row>
    <row r="24215" spans="191:191" x14ac:dyDescent="0.2">
      <c r="GI24215" s="422"/>
    </row>
    <row r="24216" spans="191:191" x14ac:dyDescent="0.2">
      <c r="GI24216" s="422"/>
    </row>
    <row r="24217" spans="191:191" x14ac:dyDescent="0.2">
      <c r="GI24217" s="422"/>
    </row>
    <row r="24218" spans="191:191" x14ac:dyDescent="0.2">
      <c r="GI24218" s="422"/>
    </row>
    <row r="24219" spans="191:191" x14ac:dyDescent="0.2">
      <c r="GI24219" s="422"/>
    </row>
    <row r="24220" spans="191:191" x14ac:dyDescent="0.2">
      <c r="GI24220" s="422"/>
    </row>
    <row r="24221" spans="191:191" x14ac:dyDescent="0.2">
      <c r="GI24221" s="422"/>
    </row>
    <row r="24222" spans="191:191" x14ac:dyDescent="0.2">
      <c r="GI24222" s="422"/>
    </row>
    <row r="24223" spans="191:191" x14ac:dyDescent="0.2">
      <c r="GI24223" s="422"/>
    </row>
    <row r="24224" spans="191:191" x14ac:dyDescent="0.2">
      <c r="GI24224" s="422"/>
    </row>
    <row r="24225" spans="191:191" x14ac:dyDescent="0.2">
      <c r="GI24225" s="422"/>
    </row>
    <row r="24226" spans="191:191" x14ac:dyDescent="0.2">
      <c r="GI24226" s="422"/>
    </row>
    <row r="24227" spans="191:191" x14ac:dyDescent="0.2">
      <c r="GI24227" s="422"/>
    </row>
    <row r="24228" spans="191:191" x14ac:dyDescent="0.2">
      <c r="GI24228" s="422"/>
    </row>
    <row r="24229" spans="191:191" x14ac:dyDescent="0.2">
      <c r="GI24229" s="422"/>
    </row>
    <row r="24230" spans="191:191" x14ac:dyDescent="0.2">
      <c r="GI24230" s="422"/>
    </row>
    <row r="24231" spans="191:191" x14ac:dyDescent="0.2">
      <c r="GI24231" s="422"/>
    </row>
    <row r="24232" spans="191:191" x14ac:dyDescent="0.2">
      <c r="GI24232" s="422"/>
    </row>
    <row r="24233" spans="191:191" x14ac:dyDescent="0.2">
      <c r="GI24233" s="422"/>
    </row>
    <row r="24234" spans="191:191" x14ac:dyDescent="0.2">
      <c r="GI24234" s="422"/>
    </row>
    <row r="24235" spans="191:191" x14ac:dyDescent="0.2">
      <c r="GI24235" s="422"/>
    </row>
    <row r="24236" spans="191:191" x14ac:dyDescent="0.2">
      <c r="GI24236" s="422"/>
    </row>
    <row r="24237" spans="191:191" x14ac:dyDescent="0.2">
      <c r="GI24237" s="422"/>
    </row>
    <row r="24238" spans="191:191" x14ac:dyDescent="0.2">
      <c r="GI24238" s="422"/>
    </row>
    <row r="24239" spans="191:191" x14ac:dyDescent="0.2">
      <c r="GI24239" s="422"/>
    </row>
    <row r="24240" spans="191:191" x14ac:dyDescent="0.2">
      <c r="GI24240" s="422"/>
    </row>
    <row r="24241" spans="191:191" x14ac:dyDescent="0.2">
      <c r="GI24241" s="422"/>
    </row>
    <row r="24242" spans="191:191" x14ac:dyDescent="0.2">
      <c r="GI24242" s="422"/>
    </row>
    <row r="24243" spans="191:191" x14ac:dyDescent="0.2">
      <c r="GI24243" s="422"/>
    </row>
    <row r="24244" spans="191:191" x14ac:dyDescent="0.2">
      <c r="GI24244" s="422"/>
    </row>
    <row r="24245" spans="191:191" x14ac:dyDescent="0.2">
      <c r="GI24245" s="422"/>
    </row>
    <row r="24246" spans="191:191" x14ac:dyDescent="0.2">
      <c r="GI24246" s="422"/>
    </row>
    <row r="24247" spans="191:191" x14ac:dyDescent="0.2">
      <c r="GI24247" s="422"/>
    </row>
    <row r="24248" spans="191:191" x14ac:dyDescent="0.2">
      <c r="GI24248" s="422"/>
    </row>
    <row r="24249" spans="191:191" x14ac:dyDescent="0.2">
      <c r="GI24249" s="422"/>
    </row>
    <row r="24250" spans="191:191" x14ac:dyDescent="0.2">
      <c r="GI24250" s="422"/>
    </row>
    <row r="24251" spans="191:191" x14ac:dyDescent="0.2">
      <c r="GI24251" s="422"/>
    </row>
    <row r="24252" spans="191:191" x14ac:dyDescent="0.2">
      <c r="GI24252" s="422"/>
    </row>
    <row r="24253" spans="191:191" x14ac:dyDescent="0.2">
      <c r="GI24253" s="422"/>
    </row>
    <row r="24254" spans="191:191" x14ac:dyDescent="0.2">
      <c r="GI24254" s="422"/>
    </row>
    <row r="24255" spans="191:191" x14ac:dyDescent="0.2">
      <c r="GI24255" s="422"/>
    </row>
    <row r="24256" spans="191:191" x14ac:dyDescent="0.2">
      <c r="GI24256" s="422"/>
    </row>
    <row r="24257" spans="191:191" x14ac:dyDescent="0.2">
      <c r="GI24257" s="422"/>
    </row>
    <row r="24258" spans="191:191" x14ac:dyDescent="0.2">
      <c r="GI24258" s="422"/>
    </row>
    <row r="24259" spans="191:191" x14ac:dyDescent="0.2">
      <c r="GI24259" s="422"/>
    </row>
    <row r="24260" spans="191:191" x14ac:dyDescent="0.2">
      <c r="GI24260" s="422"/>
    </row>
    <row r="24261" spans="191:191" x14ac:dyDescent="0.2">
      <c r="GI24261" s="422"/>
    </row>
    <row r="24262" spans="191:191" x14ac:dyDescent="0.2">
      <c r="GI24262" s="422"/>
    </row>
    <row r="24263" spans="191:191" x14ac:dyDescent="0.2">
      <c r="GI24263" s="422"/>
    </row>
    <row r="24264" spans="191:191" x14ac:dyDescent="0.2">
      <c r="GI24264" s="422"/>
    </row>
    <row r="24265" spans="191:191" x14ac:dyDescent="0.2">
      <c r="GI24265" s="422"/>
    </row>
    <row r="24266" spans="191:191" x14ac:dyDescent="0.2">
      <c r="GI24266" s="422"/>
    </row>
    <row r="24267" spans="191:191" x14ac:dyDescent="0.2">
      <c r="GI24267" s="422"/>
    </row>
    <row r="24268" spans="191:191" x14ac:dyDescent="0.2">
      <c r="GI24268" s="422"/>
    </row>
    <row r="24269" spans="191:191" x14ac:dyDescent="0.2">
      <c r="GI24269" s="422"/>
    </row>
    <row r="24270" spans="191:191" x14ac:dyDescent="0.2">
      <c r="GI24270" s="422"/>
    </row>
    <row r="24271" spans="191:191" x14ac:dyDescent="0.2">
      <c r="GI24271" s="422"/>
    </row>
    <row r="24272" spans="191:191" x14ac:dyDescent="0.2">
      <c r="GI24272" s="422"/>
    </row>
    <row r="24273" spans="191:191" x14ac:dyDescent="0.2">
      <c r="GI24273" s="422"/>
    </row>
    <row r="24274" spans="191:191" x14ac:dyDescent="0.2">
      <c r="GI24274" s="422"/>
    </row>
    <row r="24275" spans="191:191" x14ac:dyDescent="0.2">
      <c r="GI24275" s="422"/>
    </row>
    <row r="24276" spans="191:191" x14ac:dyDescent="0.2">
      <c r="GI24276" s="422"/>
    </row>
    <row r="24277" spans="191:191" x14ac:dyDescent="0.2">
      <c r="GI24277" s="422"/>
    </row>
    <row r="24278" spans="191:191" x14ac:dyDescent="0.2">
      <c r="GI24278" s="422"/>
    </row>
    <row r="24279" spans="191:191" x14ac:dyDescent="0.2">
      <c r="GI24279" s="422"/>
    </row>
    <row r="24280" spans="191:191" x14ac:dyDescent="0.2">
      <c r="GI24280" s="422"/>
    </row>
    <row r="24281" spans="191:191" x14ac:dyDescent="0.2">
      <c r="GI24281" s="422"/>
    </row>
    <row r="24282" spans="191:191" x14ac:dyDescent="0.2">
      <c r="GI24282" s="422"/>
    </row>
    <row r="24283" spans="191:191" x14ac:dyDescent="0.2">
      <c r="GI24283" s="422"/>
    </row>
    <row r="24284" spans="191:191" x14ac:dyDescent="0.2">
      <c r="GI24284" s="422"/>
    </row>
    <row r="24285" spans="191:191" x14ac:dyDescent="0.2">
      <c r="GI24285" s="422"/>
    </row>
    <row r="24286" spans="191:191" x14ac:dyDescent="0.2">
      <c r="GI24286" s="422"/>
    </row>
    <row r="24287" spans="191:191" x14ac:dyDescent="0.2">
      <c r="GI24287" s="422"/>
    </row>
    <row r="24288" spans="191:191" x14ac:dyDescent="0.2">
      <c r="GI24288" s="422"/>
    </row>
    <row r="24289" spans="191:191" x14ac:dyDescent="0.2">
      <c r="GI24289" s="422"/>
    </row>
    <row r="24290" spans="191:191" x14ac:dyDescent="0.2">
      <c r="GI24290" s="422"/>
    </row>
    <row r="24291" spans="191:191" x14ac:dyDescent="0.2">
      <c r="GI24291" s="422"/>
    </row>
    <row r="24292" spans="191:191" x14ac:dyDescent="0.2">
      <c r="GI24292" s="422"/>
    </row>
    <row r="24293" spans="191:191" x14ac:dyDescent="0.2">
      <c r="GI24293" s="422"/>
    </row>
    <row r="24294" spans="191:191" x14ac:dyDescent="0.2">
      <c r="GI24294" s="422"/>
    </row>
    <row r="24295" spans="191:191" x14ac:dyDescent="0.2">
      <c r="GI24295" s="422"/>
    </row>
    <row r="24296" spans="191:191" x14ac:dyDescent="0.2">
      <c r="GI24296" s="422"/>
    </row>
    <row r="24297" spans="191:191" x14ac:dyDescent="0.2">
      <c r="GI24297" s="422"/>
    </row>
    <row r="24298" spans="191:191" x14ac:dyDescent="0.2">
      <c r="GI24298" s="422"/>
    </row>
    <row r="24299" spans="191:191" x14ac:dyDescent="0.2">
      <c r="GI24299" s="422"/>
    </row>
    <row r="24300" spans="191:191" x14ac:dyDescent="0.2">
      <c r="GI24300" s="422"/>
    </row>
    <row r="24301" spans="191:191" x14ac:dyDescent="0.2">
      <c r="GI24301" s="422"/>
    </row>
    <row r="24302" spans="191:191" x14ac:dyDescent="0.2">
      <c r="GI24302" s="422"/>
    </row>
    <row r="24303" spans="191:191" x14ac:dyDescent="0.2">
      <c r="GI24303" s="422"/>
    </row>
    <row r="24304" spans="191:191" x14ac:dyDescent="0.2">
      <c r="GI24304" s="422"/>
    </row>
    <row r="24305" spans="191:191" x14ac:dyDescent="0.2">
      <c r="GI24305" s="422"/>
    </row>
    <row r="24306" spans="191:191" x14ac:dyDescent="0.2">
      <c r="GI24306" s="422"/>
    </row>
    <row r="24307" spans="191:191" x14ac:dyDescent="0.2">
      <c r="GI24307" s="422"/>
    </row>
    <row r="24308" spans="191:191" x14ac:dyDescent="0.2">
      <c r="GI24308" s="422"/>
    </row>
    <row r="24309" spans="191:191" x14ac:dyDescent="0.2">
      <c r="GI24309" s="422"/>
    </row>
    <row r="24310" spans="191:191" x14ac:dyDescent="0.2">
      <c r="GI24310" s="422"/>
    </row>
    <row r="24311" spans="191:191" x14ac:dyDescent="0.2">
      <c r="GI24311" s="422"/>
    </row>
    <row r="24312" spans="191:191" x14ac:dyDescent="0.2">
      <c r="GI24312" s="422"/>
    </row>
    <row r="24313" spans="191:191" x14ac:dyDescent="0.2">
      <c r="GI24313" s="422"/>
    </row>
    <row r="24314" spans="191:191" x14ac:dyDescent="0.2">
      <c r="GI24314" s="422"/>
    </row>
    <row r="24315" spans="191:191" x14ac:dyDescent="0.2">
      <c r="GI24315" s="422"/>
    </row>
    <row r="24316" spans="191:191" x14ac:dyDescent="0.2">
      <c r="GI24316" s="422"/>
    </row>
    <row r="24317" spans="191:191" x14ac:dyDescent="0.2">
      <c r="GI24317" s="422"/>
    </row>
    <row r="24318" spans="191:191" x14ac:dyDescent="0.2">
      <c r="GI24318" s="422"/>
    </row>
    <row r="24319" spans="191:191" x14ac:dyDescent="0.2">
      <c r="GI24319" s="422"/>
    </row>
    <row r="24320" spans="191:191" x14ac:dyDescent="0.2">
      <c r="GI24320" s="422"/>
    </row>
    <row r="24321" spans="191:191" x14ac:dyDescent="0.2">
      <c r="GI24321" s="422"/>
    </row>
    <row r="24322" spans="191:191" x14ac:dyDescent="0.2">
      <c r="GI24322" s="422"/>
    </row>
    <row r="24323" spans="191:191" x14ac:dyDescent="0.2">
      <c r="GI24323" s="422"/>
    </row>
    <row r="24324" spans="191:191" x14ac:dyDescent="0.2">
      <c r="GI24324" s="422"/>
    </row>
    <row r="24325" spans="191:191" x14ac:dyDescent="0.2">
      <c r="GI24325" s="422"/>
    </row>
    <row r="24326" spans="191:191" x14ac:dyDescent="0.2">
      <c r="GI24326" s="422"/>
    </row>
    <row r="24327" spans="191:191" x14ac:dyDescent="0.2">
      <c r="GI24327" s="422"/>
    </row>
    <row r="24328" spans="191:191" x14ac:dyDescent="0.2">
      <c r="GI24328" s="422"/>
    </row>
    <row r="24329" spans="191:191" x14ac:dyDescent="0.2">
      <c r="GI24329" s="422"/>
    </row>
    <row r="24330" spans="191:191" x14ac:dyDescent="0.2">
      <c r="GI24330" s="422"/>
    </row>
    <row r="24331" spans="191:191" x14ac:dyDescent="0.2">
      <c r="GI24331" s="422"/>
    </row>
    <row r="24332" spans="191:191" x14ac:dyDescent="0.2">
      <c r="GI24332" s="422"/>
    </row>
    <row r="24333" spans="191:191" x14ac:dyDescent="0.2">
      <c r="GI24333" s="422"/>
    </row>
    <row r="24334" spans="191:191" x14ac:dyDescent="0.2">
      <c r="GI24334" s="422"/>
    </row>
    <row r="24335" spans="191:191" x14ac:dyDescent="0.2">
      <c r="GI24335" s="422"/>
    </row>
    <row r="24336" spans="191:191" x14ac:dyDescent="0.2">
      <c r="GI24336" s="422"/>
    </row>
    <row r="24337" spans="191:191" x14ac:dyDescent="0.2">
      <c r="GI24337" s="422"/>
    </row>
    <row r="24338" spans="191:191" x14ac:dyDescent="0.2">
      <c r="GI24338" s="422"/>
    </row>
    <row r="24339" spans="191:191" x14ac:dyDescent="0.2">
      <c r="GI24339" s="422"/>
    </row>
    <row r="24340" spans="191:191" x14ac:dyDescent="0.2">
      <c r="GI24340" s="422"/>
    </row>
    <row r="24341" spans="191:191" x14ac:dyDescent="0.2">
      <c r="GI24341" s="422"/>
    </row>
    <row r="24342" spans="191:191" x14ac:dyDescent="0.2">
      <c r="GI24342" s="422"/>
    </row>
    <row r="24343" spans="191:191" x14ac:dyDescent="0.2">
      <c r="GI24343" s="422"/>
    </row>
    <row r="24344" spans="191:191" x14ac:dyDescent="0.2">
      <c r="GI24344" s="422"/>
    </row>
    <row r="24345" spans="191:191" x14ac:dyDescent="0.2">
      <c r="GI24345" s="422"/>
    </row>
    <row r="24346" spans="191:191" x14ac:dyDescent="0.2">
      <c r="GI24346" s="422"/>
    </row>
    <row r="24347" spans="191:191" x14ac:dyDescent="0.2">
      <c r="GI24347" s="422"/>
    </row>
    <row r="24348" spans="191:191" x14ac:dyDescent="0.2">
      <c r="GI24348" s="422"/>
    </row>
    <row r="24349" spans="191:191" x14ac:dyDescent="0.2">
      <c r="GI24349" s="422"/>
    </row>
    <row r="24350" spans="191:191" x14ac:dyDescent="0.2">
      <c r="GI24350" s="422"/>
    </row>
    <row r="24351" spans="191:191" x14ac:dyDescent="0.2">
      <c r="GI24351" s="422"/>
    </row>
    <row r="24352" spans="191:191" x14ac:dyDescent="0.2">
      <c r="GI24352" s="422"/>
    </row>
    <row r="24353" spans="191:191" x14ac:dyDescent="0.2">
      <c r="GI24353" s="422"/>
    </row>
    <row r="24354" spans="191:191" x14ac:dyDescent="0.2">
      <c r="GI24354" s="422"/>
    </row>
    <row r="24355" spans="191:191" x14ac:dyDescent="0.2">
      <c r="GI24355" s="422"/>
    </row>
    <row r="24356" spans="191:191" x14ac:dyDescent="0.2">
      <c r="GI24356" s="422"/>
    </row>
    <row r="24357" spans="191:191" x14ac:dyDescent="0.2">
      <c r="GI24357" s="422"/>
    </row>
    <row r="24358" spans="191:191" x14ac:dyDescent="0.2">
      <c r="GI24358" s="422"/>
    </row>
    <row r="24359" spans="191:191" x14ac:dyDescent="0.2">
      <c r="GI24359" s="422"/>
    </row>
    <row r="24360" spans="191:191" x14ac:dyDescent="0.2">
      <c r="GI24360" s="422"/>
    </row>
    <row r="24361" spans="191:191" x14ac:dyDescent="0.2">
      <c r="GI24361" s="422"/>
    </row>
    <row r="24362" spans="191:191" x14ac:dyDescent="0.2">
      <c r="GI24362" s="422"/>
    </row>
    <row r="24363" spans="191:191" x14ac:dyDescent="0.2">
      <c r="GI24363" s="422"/>
    </row>
    <row r="24364" spans="191:191" x14ac:dyDescent="0.2">
      <c r="GI24364" s="422"/>
    </row>
    <row r="24365" spans="191:191" x14ac:dyDescent="0.2">
      <c r="GI24365" s="422"/>
    </row>
    <row r="24366" spans="191:191" x14ac:dyDescent="0.2">
      <c r="GI24366" s="422"/>
    </row>
    <row r="24367" spans="191:191" x14ac:dyDescent="0.2">
      <c r="GI24367" s="422"/>
    </row>
    <row r="24368" spans="191:191" x14ac:dyDescent="0.2">
      <c r="GI24368" s="422"/>
    </row>
    <row r="24369" spans="191:191" x14ac:dyDescent="0.2">
      <c r="GI24369" s="422"/>
    </row>
    <row r="24370" spans="191:191" x14ac:dyDescent="0.2">
      <c r="GI24370" s="422"/>
    </row>
    <row r="24371" spans="191:191" x14ac:dyDescent="0.2">
      <c r="GI24371" s="422"/>
    </row>
    <row r="24372" spans="191:191" x14ac:dyDescent="0.2">
      <c r="GI24372" s="422"/>
    </row>
    <row r="24373" spans="191:191" x14ac:dyDescent="0.2">
      <c r="GI24373" s="422"/>
    </row>
    <row r="24374" spans="191:191" x14ac:dyDescent="0.2">
      <c r="GI24374" s="422"/>
    </row>
    <row r="24375" spans="191:191" x14ac:dyDescent="0.2">
      <c r="GI24375" s="422"/>
    </row>
    <row r="24376" spans="191:191" x14ac:dyDescent="0.2">
      <c r="GI24376" s="422"/>
    </row>
    <row r="24377" spans="191:191" x14ac:dyDescent="0.2">
      <c r="GI24377" s="422"/>
    </row>
    <row r="24378" spans="191:191" x14ac:dyDescent="0.2">
      <c r="GI24378" s="422"/>
    </row>
    <row r="24379" spans="191:191" x14ac:dyDescent="0.2">
      <c r="GI24379" s="422"/>
    </row>
    <row r="24380" spans="191:191" x14ac:dyDescent="0.2">
      <c r="GI24380" s="422"/>
    </row>
    <row r="24381" spans="191:191" x14ac:dyDescent="0.2">
      <c r="GI24381" s="422"/>
    </row>
    <row r="24382" spans="191:191" x14ac:dyDescent="0.2">
      <c r="GI24382" s="422"/>
    </row>
    <row r="24383" spans="191:191" x14ac:dyDescent="0.2">
      <c r="GI24383" s="422"/>
    </row>
    <row r="24384" spans="191:191" x14ac:dyDescent="0.2">
      <c r="GI24384" s="422"/>
    </row>
    <row r="24385" spans="191:191" x14ac:dyDescent="0.2">
      <c r="GI24385" s="422"/>
    </row>
    <row r="24386" spans="191:191" x14ac:dyDescent="0.2">
      <c r="GI24386" s="422"/>
    </row>
    <row r="24387" spans="191:191" x14ac:dyDescent="0.2">
      <c r="GI24387" s="422"/>
    </row>
    <row r="24388" spans="191:191" x14ac:dyDescent="0.2">
      <c r="GI24388" s="422"/>
    </row>
    <row r="24389" spans="191:191" x14ac:dyDescent="0.2">
      <c r="GI24389" s="422"/>
    </row>
    <row r="24390" spans="191:191" x14ac:dyDescent="0.2">
      <c r="GI24390" s="422"/>
    </row>
    <row r="24391" spans="191:191" x14ac:dyDescent="0.2">
      <c r="GI24391" s="422"/>
    </row>
    <row r="24392" spans="191:191" x14ac:dyDescent="0.2">
      <c r="GI24392" s="422"/>
    </row>
    <row r="24393" spans="191:191" x14ac:dyDescent="0.2">
      <c r="GI24393" s="422"/>
    </row>
    <row r="24394" spans="191:191" x14ac:dyDescent="0.2">
      <c r="GI24394" s="422"/>
    </row>
    <row r="24395" spans="191:191" x14ac:dyDescent="0.2">
      <c r="GI24395" s="422"/>
    </row>
    <row r="24396" spans="191:191" x14ac:dyDescent="0.2">
      <c r="GI24396" s="422"/>
    </row>
    <row r="24397" spans="191:191" x14ac:dyDescent="0.2">
      <c r="GI24397" s="422"/>
    </row>
    <row r="24398" spans="191:191" x14ac:dyDescent="0.2">
      <c r="GI24398" s="422"/>
    </row>
    <row r="24399" spans="191:191" x14ac:dyDescent="0.2">
      <c r="GI24399" s="422"/>
    </row>
    <row r="24400" spans="191:191" x14ac:dyDescent="0.2">
      <c r="GI24400" s="422"/>
    </row>
    <row r="24401" spans="191:191" x14ac:dyDescent="0.2">
      <c r="GI24401" s="422"/>
    </row>
    <row r="24402" spans="191:191" x14ac:dyDescent="0.2">
      <c r="GI24402" s="422"/>
    </row>
    <row r="24403" spans="191:191" x14ac:dyDescent="0.2">
      <c r="GI24403" s="422"/>
    </row>
    <row r="24404" spans="191:191" x14ac:dyDescent="0.2">
      <c r="GI24404" s="422"/>
    </row>
    <row r="24405" spans="191:191" x14ac:dyDescent="0.2">
      <c r="GI24405" s="422"/>
    </row>
    <row r="24406" spans="191:191" x14ac:dyDescent="0.2">
      <c r="GI24406" s="422"/>
    </row>
    <row r="24407" spans="191:191" x14ac:dyDescent="0.2">
      <c r="GI24407" s="422"/>
    </row>
    <row r="24408" spans="191:191" x14ac:dyDescent="0.2">
      <c r="GI24408" s="422"/>
    </row>
    <row r="24409" spans="191:191" x14ac:dyDescent="0.2">
      <c r="GI24409" s="422"/>
    </row>
    <row r="24410" spans="191:191" x14ac:dyDescent="0.2">
      <c r="GI24410" s="422"/>
    </row>
    <row r="24411" spans="191:191" x14ac:dyDescent="0.2">
      <c r="GI24411" s="422"/>
    </row>
    <row r="24412" spans="191:191" x14ac:dyDescent="0.2">
      <c r="GI24412" s="422"/>
    </row>
    <row r="24413" spans="191:191" x14ac:dyDescent="0.2">
      <c r="GI24413" s="422"/>
    </row>
    <row r="24414" spans="191:191" x14ac:dyDescent="0.2">
      <c r="GI24414" s="422"/>
    </row>
    <row r="24415" spans="191:191" x14ac:dyDescent="0.2">
      <c r="GI24415" s="422"/>
    </row>
    <row r="24416" spans="191:191" x14ac:dyDescent="0.2">
      <c r="GI24416" s="422"/>
    </row>
    <row r="24417" spans="191:191" x14ac:dyDescent="0.2">
      <c r="GI24417" s="422"/>
    </row>
    <row r="24418" spans="191:191" x14ac:dyDescent="0.2">
      <c r="GI24418" s="422"/>
    </row>
    <row r="24419" spans="191:191" x14ac:dyDescent="0.2">
      <c r="GI24419" s="422"/>
    </row>
    <row r="24420" spans="191:191" x14ac:dyDescent="0.2">
      <c r="GI24420" s="422"/>
    </row>
    <row r="24421" spans="191:191" x14ac:dyDescent="0.2">
      <c r="GI24421" s="422"/>
    </row>
    <row r="24422" spans="191:191" x14ac:dyDescent="0.2">
      <c r="GI24422" s="422"/>
    </row>
    <row r="24423" spans="191:191" x14ac:dyDescent="0.2">
      <c r="GI24423" s="422"/>
    </row>
    <row r="24424" spans="191:191" x14ac:dyDescent="0.2">
      <c r="GI24424" s="422"/>
    </row>
    <row r="24425" spans="191:191" x14ac:dyDescent="0.2">
      <c r="GI24425" s="422"/>
    </row>
    <row r="24426" spans="191:191" x14ac:dyDescent="0.2">
      <c r="GI24426" s="422"/>
    </row>
    <row r="24427" spans="191:191" x14ac:dyDescent="0.2">
      <c r="GI24427" s="422"/>
    </row>
    <row r="24428" spans="191:191" x14ac:dyDescent="0.2">
      <c r="GI24428" s="422"/>
    </row>
    <row r="24429" spans="191:191" x14ac:dyDescent="0.2">
      <c r="GI24429" s="422"/>
    </row>
    <row r="24430" spans="191:191" x14ac:dyDescent="0.2">
      <c r="GI24430" s="422"/>
    </row>
    <row r="24431" spans="191:191" x14ac:dyDescent="0.2">
      <c r="GI24431" s="422"/>
    </row>
    <row r="24432" spans="191:191" x14ac:dyDescent="0.2">
      <c r="GI24432" s="422"/>
    </row>
    <row r="24433" spans="191:191" x14ac:dyDescent="0.2">
      <c r="GI24433" s="422"/>
    </row>
    <row r="24434" spans="191:191" x14ac:dyDescent="0.2">
      <c r="GI24434" s="422"/>
    </row>
    <row r="24435" spans="191:191" x14ac:dyDescent="0.2">
      <c r="GI24435" s="422"/>
    </row>
    <row r="24436" spans="191:191" x14ac:dyDescent="0.2">
      <c r="GI24436" s="422"/>
    </row>
    <row r="24437" spans="191:191" x14ac:dyDescent="0.2">
      <c r="GI24437" s="422"/>
    </row>
    <row r="24438" spans="191:191" x14ac:dyDescent="0.2">
      <c r="GI24438" s="422"/>
    </row>
    <row r="24439" spans="191:191" x14ac:dyDescent="0.2">
      <c r="GI24439" s="422"/>
    </row>
    <row r="24440" spans="191:191" x14ac:dyDescent="0.2">
      <c r="GI24440" s="422"/>
    </row>
    <row r="24441" spans="191:191" x14ac:dyDescent="0.2">
      <c r="GI24441" s="422"/>
    </row>
    <row r="24442" spans="191:191" x14ac:dyDescent="0.2">
      <c r="GI24442" s="422"/>
    </row>
    <row r="24443" spans="191:191" x14ac:dyDescent="0.2">
      <c r="GI24443" s="422"/>
    </row>
    <row r="24444" spans="191:191" x14ac:dyDescent="0.2">
      <c r="GI24444" s="422"/>
    </row>
    <row r="24445" spans="191:191" x14ac:dyDescent="0.2">
      <c r="GI24445" s="422"/>
    </row>
    <row r="24446" spans="191:191" x14ac:dyDescent="0.2">
      <c r="GI24446" s="422"/>
    </row>
    <row r="24447" spans="191:191" x14ac:dyDescent="0.2">
      <c r="GI24447" s="422"/>
    </row>
    <row r="24448" spans="191:191" x14ac:dyDescent="0.2">
      <c r="GI24448" s="422"/>
    </row>
    <row r="24449" spans="191:191" x14ac:dyDescent="0.2">
      <c r="GI24449" s="422"/>
    </row>
    <row r="24450" spans="191:191" x14ac:dyDescent="0.2">
      <c r="GI24450" s="422"/>
    </row>
    <row r="24451" spans="191:191" x14ac:dyDescent="0.2">
      <c r="GI24451" s="422"/>
    </row>
    <row r="24452" spans="191:191" x14ac:dyDescent="0.2">
      <c r="GI24452" s="422"/>
    </row>
    <row r="24453" spans="191:191" x14ac:dyDescent="0.2">
      <c r="GI24453" s="422"/>
    </row>
    <row r="24454" spans="191:191" x14ac:dyDescent="0.2">
      <c r="GI24454" s="422"/>
    </row>
    <row r="24455" spans="191:191" x14ac:dyDescent="0.2">
      <c r="GI24455" s="422"/>
    </row>
    <row r="24456" spans="191:191" x14ac:dyDescent="0.2">
      <c r="GI24456" s="422"/>
    </row>
    <row r="24457" spans="191:191" x14ac:dyDescent="0.2">
      <c r="GI24457" s="422"/>
    </row>
    <row r="24458" spans="191:191" x14ac:dyDescent="0.2">
      <c r="GI24458" s="422"/>
    </row>
    <row r="24459" spans="191:191" x14ac:dyDescent="0.2">
      <c r="GI24459" s="422"/>
    </row>
    <row r="24460" spans="191:191" x14ac:dyDescent="0.2">
      <c r="GI24460" s="422"/>
    </row>
    <row r="24461" spans="191:191" x14ac:dyDescent="0.2">
      <c r="GI24461" s="422"/>
    </row>
    <row r="24462" spans="191:191" x14ac:dyDescent="0.2">
      <c r="GI24462" s="422"/>
    </row>
    <row r="24463" spans="191:191" x14ac:dyDescent="0.2">
      <c r="GI24463" s="422"/>
    </row>
    <row r="24464" spans="191:191" x14ac:dyDescent="0.2">
      <c r="GI24464" s="422"/>
    </row>
    <row r="24465" spans="191:191" x14ac:dyDescent="0.2">
      <c r="GI24465" s="422"/>
    </row>
    <row r="24466" spans="191:191" x14ac:dyDescent="0.2">
      <c r="GI24466" s="422"/>
    </row>
    <row r="24467" spans="191:191" x14ac:dyDescent="0.2">
      <c r="GI24467" s="422"/>
    </row>
    <row r="24468" spans="191:191" x14ac:dyDescent="0.2">
      <c r="GI24468" s="422"/>
    </row>
    <row r="24469" spans="191:191" x14ac:dyDescent="0.2">
      <c r="GI24469" s="422"/>
    </row>
    <row r="24470" spans="191:191" x14ac:dyDescent="0.2">
      <c r="GI24470" s="422"/>
    </row>
    <row r="24471" spans="191:191" x14ac:dyDescent="0.2">
      <c r="GI24471" s="422"/>
    </row>
    <row r="24472" spans="191:191" x14ac:dyDescent="0.2">
      <c r="GI24472" s="422"/>
    </row>
    <row r="24473" spans="191:191" x14ac:dyDescent="0.2">
      <c r="GI24473" s="422"/>
    </row>
    <row r="24474" spans="191:191" x14ac:dyDescent="0.2">
      <c r="GI24474" s="422"/>
    </row>
    <row r="24475" spans="191:191" x14ac:dyDescent="0.2">
      <c r="GI24475" s="422"/>
    </row>
    <row r="24476" spans="191:191" x14ac:dyDescent="0.2">
      <c r="GI24476" s="422"/>
    </row>
    <row r="24477" spans="191:191" x14ac:dyDescent="0.2">
      <c r="GI24477" s="422"/>
    </row>
    <row r="24478" spans="191:191" x14ac:dyDescent="0.2">
      <c r="GI24478" s="422"/>
    </row>
    <row r="24479" spans="191:191" x14ac:dyDescent="0.2">
      <c r="GI24479" s="422"/>
    </row>
    <row r="24480" spans="191:191" x14ac:dyDescent="0.2">
      <c r="GI24480" s="422"/>
    </row>
    <row r="24481" spans="191:191" x14ac:dyDescent="0.2">
      <c r="GI24481" s="422"/>
    </row>
    <row r="24482" spans="191:191" x14ac:dyDescent="0.2">
      <c r="GI24482" s="422"/>
    </row>
    <row r="24483" spans="191:191" x14ac:dyDescent="0.2">
      <c r="GI24483" s="422"/>
    </row>
    <row r="24484" spans="191:191" x14ac:dyDescent="0.2">
      <c r="GI24484" s="422"/>
    </row>
    <row r="24485" spans="191:191" x14ac:dyDescent="0.2">
      <c r="GI24485" s="422"/>
    </row>
    <row r="24486" spans="191:191" x14ac:dyDescent="0.2">
      <c r="GI24486" s="422"/>
    </row>
    <row r="24487" spans="191:191" x14ac:dyDescent="0.2">
      <c r="GI24487" s="422"/>
    </row>
    <row r="24488" spans="191:191" x14ac:dyDescent="0.2">
      <c r="GI24488" s="422"/>
    </row>
    <row r="24489" spans="191:191" x14ac:dyDescent="0.2">
      <c r="GI24489" s="422"/>
    </row>
    <row r="24490" spans="191:191" x14ac:dyDescent="0.2">
      <c r="GI24490" s="422"/>
    </row>
    <row r="24491" spans="191:191" x14ac:dyDescent="0.2">
      <c r="GI24491" s="422"/>
    </row>
    <row r="24492" spans="191:191" x14ac:dyDescent="0.2">
      <c r="GI24492" s="422"/>
    </row>
    <row r="24493" spans="191:191" x14ac:dyDescent="0.2">
      <c r="GI24493" s="422"/>
    </row>
    <row r="24494" spans="191:191" x14ac:dyDescent="0.2">
      <c r="GI24494" s="422"/>
    </row>
    <row r="24495" spans="191:191" x14ac:dyDescent="0.2">
      <c r="GI24495" s="422"/>
    </row>
    <row r="24496" spans="191:191" x14ac:dyDescent="0.2">
      <c r="GI24496" s="422"/>
    </row>
    <row r="24497" spans="191:191" x14ac:dyDescent="0.2">
      <c r="GI24497" s="422"/>
    </row>
    <row r="24498" spans="191:191" x14ac:dyDescent="0.2">
      <c r="GI24498" s="422"/>
    </row>
    <row r="24499" spans="191:191" x14ac:dyDescent="0.2">
      <c r="GI24499" s="422"/>
    </row>
    <row r="24500" spans="191:191" x14ac:dyDescent="0.2">
      <c r="GI24500" s="422"/>
    </row>
    <row r="24501" spans="191:191" x14ac:dyDescent="0.2">
      <c r="GI24501" s="422"/>
    </row>
    <row r="24502" spans="191:191" x14ac:dyDescent="0.2">
      <c r="GI24502" s="422"/>
    </row>
    <row r="24503" spans="191:191" x14ac:dyDescent="0.2">
      <c r="GI24503" s="422"/>
    </row>
    <row r="24504" spans="191:191" x14ac:dyDescent="0.2">
      <c r="GI24504" s="422"/>
    </row>
    <row r="24505" spans="191:191" x14ac:dyDescent="0.2">
      <c r="GI24505" s="422"/>
    </row>
    <row r="24506" spans="191:191" x14ac:dyDescent="0.2">
      <c r="GI24506" s="422"/>
    </row>
    <row r="24507" spans="191:191" x14ac:dyDescent="0.2">
      <c r="GI24507" s="422"/>
    </row>
    <row r="24508" spans="191:191" x14ac:dyDescent="0.2">
      <c r="GI24508" s="422"/>
    </row>
    <row r="24509" spans="191:191" x14ac:dyDescent="0.2">
      <c r="GI24509" s="422"/>
    </row>
    <row r="24510" spans="191:191" x14ac:dyDescent="0.2">
      <c r="GI24510" s="422"/>
    </row>
    <row r="24511" spans="191:191" x14ac:dyDescent="0.2">
      <c r="GI24511" s="422"/>
    </row>
    <row r="24512" spans="191:191" x14ac:dyDescent="0.2">
      <c r="GI24512" s="422"/>
    </row>
    <row r="24513" spans="191:191" x14ac:dyDescent="0.2">
      <c r="GI24513" s="422"/>
    </row>
    <row r="24514" spans="191:191" x14ac:dyDescent="0.2">
      <c r="GI24514" s="422"/>
    </row>
    <row r="24515" spans="191:191" x14ac:dyDescent="0.2">
      <c r="GI24515" s="422"/>
    </row>
    <row r="24516" spans="191:191" x14ac:dyDescent="0.2">
      <c r="GI24516" s="422"/>
    </row>
    <row r="24517" spans="191:191" x14ac:dyDescent="0.2">
      <c r="GI24517" s="422"/>
    </row>
    <row r="24518" spans="191:191" x14ac:dyDescent="0.2">
      <c r="GI24518" s="422"/>
    </row>
    <row r="24519" spans="191:191" x14ac:dyDescent="0.2">
      <c r="GI24519" s="422"/>
    </row>
    <row r="24520" spans="191:191" x14ac:dyDescent="0.2">
      <c r="GI24520" s="422"/>
    </row>
    <row r="24521" spans="191:191" x14ac:dyDescent="0.2">
      <c r="GI24521" s="422"/>
    </row>
    <row r="24522" spans="191:191" x14ac:dyDescent="0.2">
      <c r="GI24522" s="422"/>
    </row>
    <row r="24523" spans="191:191" x14ac:dyDescent="0.2">
      <c r="GI24523" s="422"/>
    </row>
    <row r="24524" spans="191:191" x14ac:dyDescent="0.2">
      <c r="GI24524" s="422"/>
    </row>
    <row r="24525" spans="191:191" x14ac:dyDescent="0.2">
      <c r="GI24525" s="422"/>
    </row>
    <row r="24526" spans="191:191" x14ac:dyDescent="0.2">
      <c r="GI24526" s="422"/>
    </row>
    <row r="24527" spans="191:191" x14ac:dyDescent="0.2">
      <c r="GI24527" s="422"/>
    </row>
    <row r="24528" spans="191:191" x14ac:dyDescent="0.2">
      <c r="GI24528" s="422"/>
    </row>
    <row r="24529" spans="191:191" x14ac:dyDescent="0.2">
      <c r="GI24529" s="422"/>
    </row>
    <row r="24530" spans="191:191" x14ac:dyDescent="0.2">
      <c r="GI24530" s="422"/>
    </row>
    <row r="24531" spans="191:191" x14ac:dyDescent="0.2">
      <c r="GI24531" s="422"/>
    </row>
    <row r="24532" spans="191:191" x14ac:dyDescent="0.2">
      <c r="GI24532" s="422"/>
    </row>
    <row r="24533" spans="191:191" x14ac:dyDescent="0.2">
      <c r="GI24533" s="422"/>
    </row>
    <row r="24534" spans="191:191" x14ac:dyDescent="0.2">
      <c r="GI24534" s="422"/>
    </row>
    <row r="24535" spans="191:191" x14ac:dyDescent="0.2">
      <c r="GI24535" s="422"/>
    </row>
    <row r="24536" spans="191:191" x14ac:dyDescent="0.2">
      <c r="GI24536" s="422"/>
    </row>
    <row r="24537" spans="191:191" x14ac:dyDescent="0.2">
      <c r="GI24537" s="422"/>
    </row>
    <row r="24538" spans="191:191" x14ac:dyDescent="0.2">
      <c r="GI24538" s="422"/>
    </row>
    <row r="24539" spans="191:191" x14ac:dyDescent="0.2">
      <c r="GI24539" s="422"/>
    </row>
    <row r="24540" spans="191:191" x14ac:dyDescent="0.2">
      <c r="GI24540" s="422"/>
    </row>
    <row r="24541" spans="191:191" x14ac:dyDescent="0.2">
      <c r="GI24541" s="422"/>
    </row>
    <row r="24542" spans="191:191" x14ac:dyDescent="0.2">
      <c r="GI24542" s="422"/>
    </row>
    <row r="24543" spans="191:191" x14ac:dyDescent="0.2">
      <c r="GI24543" s="422"/>
    </row>
    <row r="24544" spans="191:191" x14ac:dyDescent="0.2">
      <c r="GI24544" s="422"/>
    </row>
    <row r="24545" spans="191:191" x14ac:dyDescent="0.2">
      <c r="GI24545" s="422"/>
    </row>
    <row r="24546" spans="191:191" x14ac:dyDescent="0.2">
      <c r="GI24546" s="422"/>
    </row>
    <row r="24547" spans="191:191" x14ac:dyDescent="0.2">
      <c r="GI24547" s="422"/>
    </row>
    <row r="24548" spans="191:191" x14ac:dyDescent="0.2">
      <c r="GI24548" s="422"/>
    </row>
    <row r="24549" spans="191:191" x14ac:dyDescent="0.2">
      <c r="GI24549" s="422"/>
    </row>
    <row r="24550" spans="191:191" x14ac:dyDescent="0.2">
      <c r="GI24550" s="422"/>
    </row>
    <row r="24551" spans="191:191" x14ac:dyDescent="0.2">
      <c r="GI24551" s="422"/>
    </row>
    <row r="24552" spans="191:191" x14ac:dyDescent="0.2">
      <c r="GI24552" s="422"/>
    </row>
    <row r="24553" spans="191:191" x14ac:dyDescent="0.2">
      <c r="GI24553" s="422"/>
    </row>
    <row r="24554" spans="191:191" x14ac:dyDescent="0.2">
      <c r="GI24554" s="422"/>
    </row>
    <row r="24555" spans="191:191" x14ac:dyDescent="0.2">
      <c r="GI24555" s="422"/>
    </row>
    <row r="24556" spans="191:191" x14ac:dyDescent="0.2">
      <c r="GI24556" s="422"/>
    </row>
    <row r="24557" spans="191:191" x14ac:dyDescent="0.2">
      <c r="GI24557" s="422"/>
    </row>
    <row r="24558" spans="191:191" x14ac:dyDescent="0.2">
      <c r="GI24558" s="422"/>
    </row>
    <row r="24559" spans="191:191" x14ac:dyDescent="0.2">
      <c r="GI24559" s="422"/>
    </row>
    <row r="24560" spans="191:191" x14ac:dyDescent="0.2">
      <c r="GI24560" s="422"/>
    </row>
    <row r="24561" spans="191:191" x14ac:dyDescent="0.2">
      <c r="GI24561" s="422"/>
    </row>
    <row r="24562" spans="191:191" x14ac:dyDescent="0.2">
      <c r="GI24562" s="422"/>
    </row>
    <row r="24563" spans="191:191" x14ac:dyDescent="0.2">
      <c r="GI24563" s="422"/>
    </row>
    <row r="24564" spans="191:191" x14ac:dyDescent="0.2">
      <c r="GI24564" s="422"/>
    </row>
    <row r="24565" spans="191:191" x14ac:dyDescent="0.2">
      <c r="GI24565" s="422"/>
    </row>
    <row r="24566" spans="191:191" x14ac:dyDescent="0.2">
      <c r="GI24566" s="422"/>
    </row>
    <row r="24567" spans="191:191" x14ac:dyDescent="0.2">
      <c r="GI24567" s="422"/>
    </row>
    <row r="24568" spans="191:191" x14ac:dyDescent="0.2">
      <c r="GI24568" s="422"/>
    </row>
    <row r="24569" spans="191:191" x14ac:dyDescent="0.2">
      <c r="GI24569" s="422"/>
    </row>
    <row r="24570" spans="191:191" x14ac:dyDescent="0.2">
      <c r="GI24570" s="422"/>
    </row>
    <row r="24571" spans="191:191" x14ac:dyDescent="0.2">
      <c r="GI24571" s="422"/>
    </row>
    <row r="24572" spans="191:191" x14ac:dyDescent="0.2">
      <c r="GI24572" s="422"/>
    </row>
    <row r="24573" spans="191:191" x14ac:dyDescent="0.2">
      <c r="GI24573" s="422"/>
    </row>
    <row r="24574" spans="191:191" x14ac:dyDescent="0.2">
      <c r="GI24574" s="422"/>
    </row>
    <row r="24575" spans="191:191" x14ac:dyDescent="0.2">
      <c r="GI24575" s="422"/>
    </row>
    <row r="24576" spans="191:191" x14ac:dyDescent="0.2">
      <c r="GI24576" s="422"/>
    </row>
    <row r="24577" spans="191:191" x14ac:dyDescent="0.2">
      <c r="GI24577" s="422"/>
    </row>
    <row r="24578" spans="191:191" x14ac:dyDescent="0.2">
      <c r="GI24578" s="422"/>
    </row>
    <row r="24579" spans="191:191" x14ac:dyDescent="0.2">
      <c r="GI24579" s="422"/>
    </row>
    <row r="24580" spans="191:191" x14ac:dyDescent="0.2">
      <c r="GI24580" s="422"/>
    </row>
    <row r="24581" spans="191:191" x14ac:dyDescent="0.2">
      <c r="GI24581" s="422"/>
    </row>
    <row r="24582" spans="191:191" x14ac:dyDescent="0.2">
      <c r="GI24582" s="422"/>
    </row>
    <row r="24583" spans="191:191" x14ac:dyDescent="0.2">
      <c r="GI24583" s="422"/>
    </row>
    <row r="24584" spans="191:191" x14ac:dyDescent="0.2">
      <c r="GI24584" s="422"/>
    </row>
    <row r="24585" spans="191:191" x14ac:dyDescent="0.2">
      <c r="GI24585" s="422"/>
    </row>
    <row r="24586" spans="191:191" x14ac:dyDescent="0.2">
      <c r="GI24586" s="422"/>
    </row>
    <row r="24587" spans="191:191" x14ac:dyDescent="0.2">
      <c r="GI24587" s="422"/>
    </row>
    <row r="24588" spans="191:191" x14ac:dyDescent="0.2">
      <c r="GI24588" s="422"/>
    </row>
    <row r="24589" spans="191:191" x14ac:dyDescent="0.2">
      <c r="GI24589" s="422"/>
    </row>
    <row r="24590" spans="191:191" x14ac:dyDescent="0.2">
      <c r="GI24590" s="422"/>
    </row>
    <row r="24591" spans="191:191" x14ac:dyDescent="0.2">
      <c r="GI24591" s="422"/>
    </row>
    <row r="24592" spans="191:191" x14ac:dyDescent="0.2">
      <c r="GI24592" s="422"/>
    </row>
    <row r="24593" spans="191:191" x14ac:dyDescent="0.2">
      <c r="GI24593" s="422"/>
    </row>
    <row r="24594" spans="191:191" x14ac:dyDescent="0.2">
      <c r="GI24594" s="422"/>
    </row>
    <row r="24595" spans="191:191" x14ac:dyDescent="0.2">
      <c r="GI24595" s="422"/>
    </row>
    <row r="24596" spans="191:191" x14ac:dyDescent="0.2">
      <c r="GI24596" s="422"/>
    </row>
    <row r="24597" spans="191:191" x14ac:dyDescent="0.2">
      <c r="GI24597" s="422"/>
    </row>
    <row r="24598" spans="191:191" x14ac:dyDescent="0.2">
      <c r="GI24598" s="422"/>
    </row>
    <row r="24599" spans="191:191" x14ac:dyDescent="0.2">
      <c r="GI24599" s="422"/>
    </row>
    <row r="24600" spans="191:191" x14ac:dyDescent="0.2">
      <c r="GI24600" s="422"/>
    </row>
    <row r="24601" spans="191:191" x14ac:dyDescent="0.2">
      <c r="GI24601" s="422"/>
    </row>
    <row r="24602" spans="191:191" x14ac:dyDescent="0.2">
      <c r="GI24602" s="422"/>
    </row>
    <row r="24603" spans="191:191" x14ac:dyDescent="0.2">
      <c r="GI24603" s="422"/>
    </row>
    <row r="24604" spans="191:191" x14ac:dyDescent="0.2">
      <c r="GI24604" s="422"/>
    </row>
    <row r="24605" spans="191:191" x14ac:dyDescent="0.2">
      <c r="GI24605" s="422"/>
    </row>
    <row r="24606" spans="191:191" x14ac:dyDescent="0.2">
      <c r="GI24606" s="422"/>
    </row>
    <row r="24607" spans="191:191" x14ac:dyDescent="0.2">
      <c r="GI24607" s="422"/>
    </row>
    <row r="24608" spans="191:191" x14ac:dyDescent="0.2">
      <c r="GI24608" s="422"/>
    </row>
    <row r="24609" spans="191:191" x14ac:dyDescent="0.2">
      <c r="GI24609" s="422"/>
    </row>
    <row r="24610" spans="191:191" x14ac:dyDescent="0.2">
      <c r="GI24610" s="422"/>
    </row>
    <row r="24611" spans="191:191" x14ac:dyDescent="0.2">
      <c r="GI24611" s="422"/>
    </row>
    <row r="24612" spans="191:191" x14ac:dyDescent="0.2">
      <c r="GI24612" s="422"/>
    </row>
    <row r="24613" spans="191:191" x14ac:dyDescent="0.2">
      <c r="GI24613" s="422"/>
    </row>
    <row r="24614" spans="191:191" x14ac:dyDescent="0.2">
      <c r="GI24614" s="422"/>
    </row>
    <row r="24615" spans="191:191" x14ac:dyDescent="0.2">
      <c r="GI24615" s="422"/>
    </row>
    <row r="24616" spans="191:191" x14ac:dyDescent="0.2">
      <c r="GI24616" s="422"/>
    </row>
    <row r="24617" spans="191:191" x14ac:dyDescent="0.2">
      <c r="GI24617" s="422"/>
    </row>
    <row r="24618" spans="191:191" x14ac:dyDescent="0.2">
      <c r="GI24618" s="422"/>
    </row>
    <row r="24619" spans="191:191" x14ac:dyDescent="0.2">
      <c r="GI24619" s="422"/>
    </row>
    <row r="24620" spans="191:191" x14ac:dyDescent="0.2">
      <c r="GI24620" s="422"/>
    </row>
    <row r="24621" spans="191:191" x14ac:dyDescent="0.2">
      <c r="GI24621" s="422"/>
    </row>
    <row r="24622" spans="191:191" x14ac:dyDescent="0.2">
      <c r="GI24622" s="422"/>
    </row>
    <row r="24623" spans="191:191" x14ac:dyDescent="0.2">
      <c r="GI24623" s="422"/>
    </row>
    <row r="24624" spans="191:191" x14ac:dyDescent="0.2">
      <c r="GI24624" s="422"/>
    </row>
    <row r="24625" spans="191:191" x14ac:dyDescent="0.2">
      <c r="GI24625" s="422"/>
    </row>
    <row r="24626" spans="191:191" x14ac:dyDescent="0.2">
      <c r="GI24626" s="422"/>
    </row>
    <row r="24627" spans="191:191" x14ac:dyDescent="0.2">
      <c r="GI24627" s="422"/>
    </row>
    <row r="24628" spans="191:191" x14ac:dyDescent="0.2">
      <c r="GI24628" s="422"/>
    </row>
    <row r="24629" spans="191:191" x14ac:dyDescent="0.2">
      <c r="GI24629" s="422"/>
    </row>
    <row r="24630" spans="191:191" x14ac:dyDescent="0.2">
      <c r="GI24630" s="422"/>
    </row>
    <row r="24631" spans="191:191" x14ac:dyDescent="0.2">
      <c r="GI24631" s="422"/>
    </row>
    <row r="24632" spans="191:191" x14ac:dyDescent="0.2">
      <c r="GI24632" s="422"/>
    </row>
    <row r="24633" spans="191:191" x14ac:dyDescent="0.2">
      <c r="GI24633" s="422"/>
    </row>
    <row r="24634" spans="191:191" x14ac:dyDescent="0.2">
      <c r="GI24634" s="422"/>
    </row>
    <row r="24635" spans="191:191" x14ac:dyDescent="0.2">
      <c r="GI24635" s="422"/>
    </row>
    <row r="24636" spans="191:191" x14ac:dyDescent="0.2">
      <c r="GI24636" s="422"/>
    </row>
    <row r="24637" spans="191:191" x14ac:dyDescent="0.2">
      <c r="GI24637" s="422"/>
    </row>
    <row r="24638" spans="191:191" x14ac:dyDescent="0.2">
      <c r="GI24638" s="422"/>
    </row>
    <row r="24639" spans="191:191" x14ac:dyDescent="0.2">
      <c r="GI24639" s="422"/>
    </row>
    <row r="24640" spans="191:191" x14ac:dyDescent="0.2">
      <c r="GI24640" s="422"/>
    </row>
    <row r="24641" spans="191:191" x14ac:dyDescent="0.2">
      <c r="GI24641" s="422"/>
    </row>
    <row r="24642" spans="191:191" x14ac:dyDescent="0.2">
      <c r="GI24642" s="422"/>
    </row>
    <row r="24643" spans="191:191" x14ac:dyDescent="0.2">
      <c r="GI24643" s="422"/>
    </row>
    <row r="24644" spans="191:191" x14ac:dyDescent="0.2">
      <c r="GI24644" s="422"/>
    </row>
    <row r="24645" spans="191:191" x14ac:dyDescent="0.2">
      <c r="GI24645" s="422"/>
    </row>
    <row r="24646" spans="191:191" x14ac:dyDescent="0.2">
      <c r="GI24646" s="422"/>
    </row>
    <row r="24647" spans="191:191" x14ac:dyDescent="0.2">
      <c r="GI24647" s="422"/>
    </row>
    <row r="24648" spans="191:191" x14ac:dyDescent="0.2">
      <c r="GI24648" s="422"/>
    </row>
    <row r="24649" spans="191:191" x14ac:dyDescent="0.2">
      <c r="GI24649" s="422"/>
    </row>
    <row r="24650" spans="191:191" x14ac:dyDescent="0.2">
      <c r="GI24650" s="422"/>
    </row>
    <row r="24651" spans="191:191" x14ac:dyDescent="0.2">
      <c r="GI24651" s="422"/>
    </row>
    <row r="24652" spans="191:191" x14ac:dyDescent="0.2">
      <c r="GI24652" s="422"/>
    </row>
    <row r="24653" spans="191:191" x14ac:dyDescent="0.2">
      <c r="GI24653" s="422"/>
    </row>
    <row r="24654" spans="191:191" x14ac:dyDescent="0.2">
      <c r="GI24654" s="422"/>
    </row>
    <row r="24655" spans="191:191" x14ac:dyDescent="0.2">
      <c r="GI24655" s="422"/>
    </row>
    <row r="24656" spans="191:191" x14ac:dyDescent="0.2">
      <c r="GI24656" s="422"/>
    </row>
    <row r="24657" spans="191:191" x14ac:dyDescent="0.2">
      <c r="GI24657" s="422"/>
    </row>
    <row r="24658" spans="191:191" x14ac:dyDescent="0.2">
      <c r="GI24658" s="422"/>
    </row>
    <row r="24659" spans="191:191" x14ac:dyDescent="0.2">
      <c r="GI24659" s="422"/>
    </row>
    <row r="24660" spans="191:191" x14ac:dyDescent="0.2">
      <c r="GI24660" s="422"/>
    </row>
    <row r="24661" spans="191:191" x14ac:dyDescent="0.2">
      <c r="GI24661" s="422"/>
    </row>
    <row r="24662" spans="191:191" x14ac:dyDescent="0.2">
      <c r="GI24662" s="422"/>
    </row>
    <row r="24663" spans="191:191" x14ac:dyDescent="0.2">
      <c r="GI24663" s="422"/>
    </row>
    <row r="24664" spans="191:191" x14ac:dyDescent="0.2">
      <c r="GI24664" s="422"/>
    </row>
    <row r="24665" spans="191:191" x14ac:dyDescent="0.2">
      <c r="GI24665" s="422"/>
    </row>
    <row r="24666" spans="191:191" x14ac:dyDescent="0.2">
      <c r="GI24666" s="422"/>
    </row>
    <row r="24667" spans="191:191" x14ac:dyDescent="0.2">
      <c r="GI24667" s="422"/>
    </row>
    <row r="24668" spans="191:191" x14ac:dyDescent="0.2">
      <c r="GI24668" s="422"/>
    </row>
    <row r="24669" spans="191:191" x14ac:dyDescent="0.2">
      <c r="GI24669" s="422"/>
    </row>
    <row r="24670" spans="191:191" x14ac:dyDescent="0.2">
      <c r="GI24670" s="422"/>
    </row>
    <row r="24671" spans="191:191" x14ac:dyDescent="0.2">
      <c r="GI24671" s="422"/>
    </row>
    <row r="24672" spans="191:191" x14ac:dyDescent="0.2">
      <c r="GI24672" s="422"/>
    </row>
    <row r="24673" spans="191:191" x14ac:dyDescent="0.2">
      <c r="GI24673" s="422"/>
    </row>
    <row r="24674" spans="191:191" x14ac:dyDescent="0.2">
      <c r="GI24674" s="422"/>
    </row>
    <row r="24675" spans="191:191" x14ac:dyDescent="0.2">
      <c r="GI24675" s="422"/>
    </row>
    <row r="24676" spans="191:191" x14ac:dyDescent="0.2">
      <c r="GI24676" s="422"/>
    </row>
    <row r="24677" spans="191:191" x14ac:dyDescent="0.2">
      <c r="GI24677" s="422"/>
    </row>
    <row r="24678" spans="191:191" x14ac:dyDescent="0.2">
      <c r="GI24678" s="422"/>
    </row>
    <row r="24679" spans="191:191" x14ac:dyDescent="0.2">
      <c r="GI24679" s="422"/>
    </row>
    <row r="24680" spans="191:191" x14ac:dyDescent="0.2">
      <c r="GI24680" s="422"/>
    </row>
    <row r="24681" spans="191:191" x14ac:dyDescent="0.2">
      <c r="GI24681" s="422"/>
    </row>
    <row r="24682" spans="191:191" x14ac:dyDescent="0.2">
      <c r="GI24682" s="422"/>
    </row>
    <row r="24683" spans="191:191" x14ac:dyDescent="0.2">
      <c r="GI24683" s="422"/>
    </row>
    <row r="24684" spans="191:191" x14ac:dyDescent="0.2">
      <c r="GI24684" s="422"/>
    </row>
    <row r="24685" spans="191:191" x14ac:dyDescent="0.2">
      <c r="GI24685" s="422"/>
    </row>
    <row r="24686" spans="191:191" x14ac:dyDescent="0.2">
      <c r="GI24686" s="422"/>
    </row>
    <row r="24687" spans="191:191" x14ac:dyDescent="0.2">
      <c r="GI24687" s="422"/>
    </row>
    <row r="24688" spans="191:191" x14ac:dyDescent="0.2">
      <c r="GI24688" s="422"/>
    </row>
    <row r="24689" spans="191:191" x14ac:dyDescent="0.2">
      <c r="GI24689" s="422"/>
    </row>
    <row r="24690" spans="191:191" x14ac:dyDescent="0.2">
      <c r="GI24690" s="422"/>
    </row>
    <row r="24691" spans="191:191" x14ac:dyDescent="0.2">
      <c r="GI24691" s="422"/>
    </row>
    <row r="24692" spans="191:191" x14ac:dyDescent="0.2">
      <c r="GI24692" s="422"/>
    </row>
    <row r="24693" spans="191:191" x14ac:dyDescent="0.2">
      <c r="GI24693" s="422"/>
    </row>
    <row r="24694" spans="191:191" x14ac:dyDescent="0.2">
      <c r="GI24694" s="422"/>
    </row>
    <row r="24695" spans="191:191" x14ac:dyDescent="0.2">
      <c r="GI24695" s="422"/>
    </row>
    <row r="24696" spans="191:191" x14ac:dyDescent="0.2">
      <c r="GI24696" s="422"/>
    </row>
    <row r="24697" spans="191:191" x14ac:dyDescent="0.2">
      <c r="GI24697" s="422"/>
    </row>
    <row r="24698" spans="191:191" x14ac:dyDescent="0.2">
      <c r="GI24698" s="422"/>
    </row>
    <row r="24699" spans="191:191" x14ac:dyDescent="0.2">
      <c r="GI24699" s="422"/>
    </row>
    <row r="24700" spans="191:191" x14ac:dyDescent="0.2">
      <c r="GI24700" s="422"/>
    </row>
    <row r="24701" spans="191:191" x14ac:dyDescent="0.2">
      <c r="GI24701" s="422"/>
    </row>
    <row r="24702" spans="191:191" x14ac:dyDescent="0.2">
      <c r="GI24702" s="422"/>
    </row>
    <row r="24703" spans="191:191" x14ac:dyDescent="0.2">
      <c r="GI24703" s="422"/>
    </row>
    <row r="24704" spans="191:191" x14ac:dyDescent="0.2">
      <c r="GI24704" s="422"/>
    </row>
    <row r="24705" spans="191:191" x14ac:dyDescent="0.2">
      <c r="GI24705" s="422"/>
    </row>
    <row r="24706" spans="191:191" x14ac:dyDescent="0.2">
      <c r="GI24706" s="422"/>
    </row>
    <row r="24707" spans="191:191" x14ac:dyDescent="0.2">
      <c r="GI24707" s="422"/>
    </row>
    <row r="24708" spans="191:191" x14ac:dyDescent="0.2">
      <c r="GI24708" s="422"/>
    </row>
    <row r="24709" spans="191:191" x14ac:dyDescent="0.2">
      <c r="GI24709" s="422"/>
    </row>
    <row r="24710" spans="191:191" x14ac:dyDescent="0.2">
      <c r="GI24710" s="422"/>
    </row>
    <row r="24711" spans="191:191" x14ac:dyDescent="0.2">
      <c r="GI24711" s="422"/>
    </row>
    <row r="24712" spans="191:191" x14ac:dyDescent="0.2">
      <c r="GI24712" s="422"/>
    </row>
    <row r="24713" spans="191:191" x14ac:dyDescent="0.2">
      <c r="GI24713" s="422"/>
    </row>
    <row r="24714" spans="191:191" x14ac:dyDescent="0.2">
      <c r="GI24714" s="422"/>
    </row>
    <row r="24715" spans="191:191" x14ac:dyDescent="0.2">
      <c r="GI24715" s="422"/>
    </row>
    <row r="24716" spans="191:191" x14ac:dyDescent="0.2">
      <c r="GI24716" s="422"/>
    </row>
    <row r="24717" spans="191:191" x14ac:dyDescent="0.2">
      <c r="GI24717" s="422"/>
    </row>
    <row r="24718" spans="191:191" x14ac:dyDescent="0.2">
      <c r="GI24718" s="422"/>
    </row>
    <row r="24719" spans="191:191" x14ac:dyDescent="0.2">
      <c r="GI24719" s="422"/>
    </row>
    <row r="24720" spans="191:191" x14ac:dyDescent="0.2">
      <c r="GI24720" s="422"/>
    </row>
    <row r="24721" spans="191:191" x14ac:dyDescent="0.2">
      <c r="GI24721" s="422"/>
    </row>
    <row r="24722" spans="191:191" x14ac:dyDescent="0.2">
      <c r="GI24722" s="422"/>
    </row>
    <row r="24723" spans="191:191" x14ac:dyDescent="0.2">
      <c r="GI24723" s="422"/>
    </row>
    <row r="24724" spans="191:191" x14ac:dyDescent="0.2">
      <c r="GI24724" s="422"/>
    </row>
    <row r="24725" spans="191:191" x14ac:dyDescent="0.2">
      <c r="GI24725" s="422"/>
    </row>
    <row r="24726" spans="191:191" x14ac:dyDescent="0.2">
      <c r="GI24726" s="422"/>
    </row>
    <row r="24727" spans="191:191" x14ac:dyDescent="0.2">
      <c r="GI24727" s="422"/>
    </row>
    <row r="24728" spans="191:191" x14ac:dyDescent="0.2">
      <c r="GI24728" s="422"/>
    </row>
    <row r="24729" spans="191:191" x14ac:dyDescent="0.2">
      <c r="GI24729" s="422"/>
    </row>
    <row r="24730" spans="191:191" x14ac:dyDescent="0.2">
      <c r="GI24730" s="422"/>
    </row>
    <row r="24731" spans="191:191" x14ac:dyDescent="0.2">
      <c r="GI24731" s="422"/>
    </row>
    <row r="24732" spans="191:191" x14ac:dyDescent="0.2">
      <c r="GI24732" s="422"/>
    </row>
    <row r="24733" spans="191:191" x14ac:dyDescent="0.2">
      <c r="GI24733" s="422"/>
    </row>
    <row r="24734" spans="191:191" x14ac:dyDescent="0.2">
      <c r="GI24734" s="422"/>
    </row>
    <row r="24735" spans="191:191" x14ac:dyDescent="0.2">
      <c r="GI24735" s="422"/>
    </row>
    <row r="24736" spans="191:191" x14ac:dyDescent="0.2">
      <c r="GI24736" s="422"/>
    </row>
    <row r="24737" spans="191:191" x14ac:dyDescent="0.2">
      <c r="GI24737" s="422"/>
    </row>
    <row r="24738" spans="191:191" x14ac:dyDescent="0.2">
      <c r="GI24738" s="422"/>
    </row>
    <row r="24739" spans="191:191" x14ac:dyDescent="0.2">
      <c r="GI24739" s="422"/>
    </row>
    <row r="24740" spans="191:191" x14ac:dyDescent="0.2">
      <c r="GI24740" s="422"/>
    </row>
    <row r="24741" spans="191:191" x14ac:dyDescent="0.2">
      <c r="GI24741" s="422"/>
    </row>
    <row r="24742" spans="191:191" x14ac:dyDescent="0.2">
      <c r="GI24742" s="422"/>
    </row>
    <row r="24743" spans="191:191" x14ac:dyDescent="0.2">
      <c r="GI24743" s="422"/>
    </row>
    <row r="24744" spans="191:191" x14ac:dyDescent="0.2">
      <c r="GI24744" s="422"/>
    </row>
    <row r="24745" spans="191:191" x14ac:dyDescent="0.2">
      <c r="GI24745" s="422"/>
    </row>
    <row r="24746" spans="191:191" x14ac:dyDescent="0.2">
      <c r="GI24746" s="422"/>
    </row>
    <row r="24747" spans="191:191" x14ac:dyDescent="0.2">
      <c r="GI24747" s="422"/>
    </row>
    <row r="24748" spans="191:191" x14ac:dyDescent="0.2">
      <c r="GI24748" s="422"/>
    </row>
    <row r="24749" spans="191:191" x14ac:dyDescent="0.2">
      <c r="GI24749" s="422"/>
    </row>
    <row r="24750" spans="191:191" x14ac:dyDescent="0.2">
      <c r="GI24750" s="422"/>
    </row>
    <row r="24751" spans="191:191" x14ac:dyDescent="0.2">
      <c r="GI24751" s="422"/>
    </row>
    <row r="24752" spans="191:191" x14ac:dyDescent="0.2">
      <c r="GI24752" s="422"/>
    </row>
    <row r="24753" spans="191:191" x14ac:dyDescent="0.2">
      <c r="GI24753" s="422"/>
    </row>
    <row r="24754" spans="191:191" x14ac:dyDescent="0.2">
      <c r="GI24754" s="422"/>
    </row>
    <row r="24755" spans="191:191" x14ac:dyDescent="0.2">
      <c r="GI24755" s="422"/>
    </row>
    <row r="24756" spans="191:191" x14ac:dyDescent="0.2">
      <c r="GI24756" s="422"/>
    </row>
    <row r="24757" spans="191:191" x14ac:dyDescent="0.2">
      <c r="GI24757" s="422"/>
    </row>
    <row r="24758" spans="191:191" x14ac:dyDescent="0.2">
      <c r="GI24758" s="422"/>
    </row>
    <row r="24759" spans="191:191" x14ac:dyDescent="0.2">
      <c r="GI24759" s="422"/>
    </row>
    <row r="24760" spans="191:191" x14ac:dyDescent="0.2">
      <c r="GI24760" s="422"/>
    </row>
    <row r="24761" spans="191:191" x14ac:dyDescent="0.2">
      <c r="GI24761" s="422"/>
    </row>
    <row r="24762" spans="191:191" x14ac:dyDescent="0.2">
      <c r="GI24762" s="422"/>
    </row>
    <row r="24763" spans="191:191" x14ac:dyDescent="0.2">
      <c r="GI24763" s="422"/>
    </row>
    <row r="24764" spans="191:191" x14ac:dyDescent="0.2">
      <c r="GI24764" s="422"/>
    </row>
    <row r="24765" spans="191:191" x14ac:dyDescent="0.2">
      <c r="GI24765" s="422"/>
    </row>
    <row r="24766" spans="191:191" x14ac:dyDescent="0.2">
      <c r="GI24766" s="422"/>
    </row>
    <row r="24767" spans="191:191" x14ac:dyDescent="0.2">
      <c r="GI24767" s="422"/>
    </row>
    <row r="24768" spans="191:191" x14ac:dyDescent="0.2">
      <c r="GI24768" s="422"/>
    </row>
    <row r="24769" spans="191:191" x14ac:dyDescent="0.2">
      <c r="GI24769" s="422"/>
    </row>
    <row r="24770" spans="191:191" x14ac:dyDescent="0.2">
      <c r="GI24770" s="422"/>
    </row>
    <row r="24771" spans="191:191" x14ac:dyDescent="0.2">
      <c r="GI24771" s="422"/>
    </row>
    <row r="24772" spans="191:191" x14ac:dyDescent="0.2">
      <c r="GI24772" s="422"/>
    </row>
    <row r="24773" spans="191:191" x14ac:dyDescent="0.2">
      <c r="GI24773" s="422"/>
    </row>
    <row r="24774" spans="191:191" x14ac:dyDescent="0.2">
      <c r="GI24774" s="422"/>
    </row>
    <row r="24775" spans="191:191" x14ac:dyDescent="0.2">
      <c r="GI24775" s="422"/>
    </row>
    <row r="24776" spans="191:191" x14ac:dyDescent="0.2">
      <c r="GI24776" s="422"/>
    </row>
    <row r="24777" spans="191:191" x14ac:dyDescent="0.2">
      <c r="GI24777" s="422"/>
    </row>
    <row r="24778" spans="191:191" x14ac:dyDescent="0.2">
      <c r="GI24778" s="422"/>
    </row>
    <row r="24779" spans="191:191" x14ac:dyDescent="0.2">
      <c r="GI24779" s="422"/>
    </row>
    <row r="24780" spans="191:191" x14ac:dyDescent="0.2">
      <c r="GI24780" s="422"/>
    </row>
    <row r="24781" spans="191:191" x14ac:dyDescent="0.2">
      <c r="GI24781" s="422"/>
    </row>
    <row r="24782" spans="191:191" x14ac:dyDescent="0.2">
      <c r="GI24782" s="422"/>
    </row>
    <row r="24783" spans="191:191" x14ac:dyDescent="0.2">
      <c r="GI24783" s="422"/>
    </row>
    <row r="24784" spans="191:191" x14ac:dyDescent="0.2">
      <c r="GI24784" s="422"/>
    </row>
    <row r="24785" spans="191:191" x14ac:dyDescent="0.2">
      <c r="GI24785" s="422"/>
    </row>
    <row r="24786" spans="191:191" x14ac:dyDescent="0.2">
      <c r="GI24786" s="422"/>
    </row>
    <row r="24787" spans="191:191" x14ac:dyDescent="0.2">
      <c r="GI24787" s="422"/>
    </row>
    <row r="24788" spans="191:191" x14ac:dyDescent="0.2">
      <c r="GI24788" s="422"/>
    </row>
    <row r="24789" spans="191:191" x14ac:dyDescent="0.2">
      <c r="GI24789" s="422"/>
    </row>
    <row r="24790" spans="191:191" x14ac:dyDescent="0.2">
      <c r="GI24790" s="422"/>
    </row>
    <row r="24791" spans="191:191" x14ac:dyDescent="0.2">
      <c r="GI24791" s="422"/>
    </row>
    <row r="24792" spans="191:191" x14ac:dyDescent="0.2">
      <c r="GI24792" s="422"/>
    </row>
    <row r="24793" spans="191:191" x14ac:dyDescent="0.2">
      <c r="GI24793" s="422"/>
    </row>
    <row r="24794" spans="191:191" x14ac:dyDescent="0.2">
      <c r="GI24794" s="422"/>
    </row>
    <row r="24795" spans="191:191" x14ac:dyDescent="0.2">
      <c r="GI24795" s="422"/>
    </row>
    <row r="24796" spans="191:191" x14ac:dyDescent="0.2">
      <c r="GI24796" s="422"/>
    </row>
    <row r="24797" spans="191:191" x14ac:dyDescent="0.2">
      <c r="GI24797" s="422"/>
    </row>
    <row r="24798" spans="191:191" x14ac:dyDescent="0.2">
      <c r="GI24798" s="422"/>
    </row>
    <row r="24799" spans="191:191" x14ac:dyDescent="0.2">
      <c r="GI24799" s="422"/>
    </row>
    <row r="24800" spans="191:191" x14ac:dyDescent="0.2">
      <c r="GI24800" s="422"/>
    </row>
    <row r="24801" spans="191:191" x14ac:dyDescent="0.2">
      <c r="GI24801" s="422"/>
    </row>
    <row r="24802" spans="191:191" x14ac:dyDescent="0.2">
      <c r="GI24802" s="422"/>
    </row>
    <row r="24803" spans="191:191" x14ac:dyDescent="0.2">
      <c r="GI24803" s="422"/>
    </row>
    <row r="24804" spans="191:191" x14ac:dyDescent="0.2">
      <c r="GI24804" s="422"/>
    </row>
    <row r="24805" spans="191:191" x14ac:dyDescent="0.2">
      <c r="GI24805" s="422"/>
    </row>
    <row r="24806" spans="191:191" x14ac:dyDescent="0.2">
      <c r="GI24806" s="422"/>
    </row>
    <row r="24807" spans="191:191" x14ac:dyDescent="0.2">
      <c r="GI24807" s="422"/>
    </row>
    <row r="24808" spans="191:191" x14ac:dyDescent="0.2">
      <c r="GI24808" s="422"/>
    </row>
    <row r="24809" spans="191:191" x14ac:dyDescent="0.2">
      <c r="GI24809" s="422"/>
    </row>
    <row r="24810" spans="191:191" x14ac:dyDescent="0.2">
      <c r="GI24810" s="422"/>
    </row>
    <row r="24811" spans="191:191" x14ac:dyDescent="0.2">
      <c r="GI24811" s="422"/>
    </row>
    <row r="24812" spans="191:191" x14ac:dyDescent="0.2">
      <c r="GI24812" s="422"/>
    </row>
    <row r="24813" spans="191:191" x14ac:dyDescent="0.2">
      <c r="GI24813" s="422"/>
    </row>
    <row r="24814" spans="191:191" x14ac:dyDescent="0.2">
      <c r="GI24814" s="422"/>
    </row>
    <row r="24815" spans="191:191" x14ac:dyDescent="0.2">
      <c r="GI24815" s="422"/>
    </row>
    <row r="24816" spans="191:191" x14ac:dyDescent="0.2">
      <c r="GI24816" s="422"/>
    </row>
    <row r="24817" spans="191:191" x14ac:dyDescent="0.2">
      <c r="GI24817" s="422"/>
    </row>
    <row r="24818" spans="191:191" x14ac:dyDescent="0.2">
      <c r="GI24818" s="422"/>
    </row>
    <row r="24819" spans="191:191" x14ac:dyDescent="0.2">
      <c r="GI24819" s="422"/>
    </row>
    <row r="24820" spans="191:191" x14ac:dyDescent="0.2">
      <c r="GI24820" s="422"/>
    </row>
    <row r="24821" spans="191:191" x14ac:dyDescent="0.2">
      <c r="GI24821" s="422"/>
    </row>
    <row r="24822" spans="191:191" x14ac:dyDescent="0.2">
      <c r="GI24822" s="422"/>
    </row>
    <row r="24823" spans="191:191" x14ac:dyDescent="0.2">
      <c r="GI24823" s="422"/>
    </row>
    <row r="24824" spans="191:191" x14ac:dyDescent="0.2">
      <c r="GI24824" s="422"/>
    </row>
    <row r="24825" spans="191:191" x14ac:dyDescent="0.2">
      <c r="GI24825" s="422"/>
    </row>
    <row r="24826" spans="191:191" x14ac:dyDescent="0.2">
      <c r="GI24826" s="422"/>
    </row>
    <row r="24827" spans="191:191" x14ac:dyDescent="0.2">
      <c r="GI24827" s="422"/>
    </row>
    <row r="24828" spans="191:191" x14ac:dyDescent="0.2">
      <c r="GI24828" s="422"/>
    </row>
    <row r="24829" spans="191:191" x14ac:dyDescent="0.2">
      <c r="GI24829" s="422"/>
    </row>
    <row r="24830" spans="191:191" x14ac:dyDescent="0.2">
      <c r="GI24830" s="422"/>
    </row>
    <row r="24831" spans="191:191" x14ac:dyDescent="0.2">
      <c r="GI24831" s="422"/>
    </row>
    <row r="24832" spans="191:191" x14ac:dyDescent="0.2">
      <c r="GI24832" s="422"/>
    </row>
    <row r="24833" spans="191:191" x14ac:dyDescent="0.2">
      <c r="GI24833" s="422"/>
    </row>
    <row r="24834" spans="191:191" x14ac:dyDescent="0.2">
      <c r="GI24834" s="422"/>
    </row>
    <row r="24835" spans="191:191" x14ac:dyDescent="0.2">
      <c r="GI24835" s="422"/>
    </row>
    <row r="24836" spans="191:191" x14ac:dyDescent="0.2">
      <c r="GI24836" s="422"/>
    </row>
    <row r="24837" spans="191:191" x14ac:dyDescent="0.2">
      <c r="GI24837" s="422"/>
    </row>
    <row r="24838" spans="191:191" x14ac:dyDescent="0.2">
      <c r="GI24838" s="422"/>
    </row>
    <row r="24839" spans="191:191" x14ac:dyDescent="0.2">
      <c r="GI24839" s="422"/>
    </row>
    <row r="24840" spans="191:191" x14ac:dyDescent="0.2">
      <c r="GI24840" s="422"/>
    </row>
    <row r="24841" spans="191:191" x14ac:dyDescent="0.2">
      <c r="GI24841" s="422"/>
    </row>
    <row r="24842" spans="191:191" x14ac:dyDescent="0.2">
      <c r="GI24842" s="422"/>
    </row>
    <row r="24843" spans="191:191" x14ac:dyDescent="0.2">
      <c r="GI24843" s="422"/>
    </row>
    <row r="24844" spans="191:191" x14ac:dyDescent="0.2">
      <c r="GI24844" s="422"/>
    </row>
    <row r="24845" spans="191:191" x14ac:dyDescent="0.2">
      <c r="GI24845" s="422"/>
    </row>
    <row r="24846" spans="191:191" x14ac:dyDescent="0.2">
      <c r="GI24846" s="422"/>
    </row>
    <row r="24847" spans="191:191" x14ac:dyDescent="0.2">
      <c r="GI24847" s="422"/>
    </row>
    <row r="24848" spans="191:191" x14ac:dyDescent="0.2">
      <c r="GI24848" s="422"/>
    </row>
    <row r="24849" spans="191:191" x14ac:dyDescent="0.2">
      <c r="GI24849" s="422"/>
    </row>
    <row r="24850" spans="191:191" x14ac:dyDescent="0.2">
      <c r="GI24850" s="422"/>
    </row>
    <row r="24851" spans="191:191" x14ac:dyDescent="0.2">
      <c r="GI24851" s="422"/>
    </row>
    <row r="24852" spans="191:191" x14ac:dyDescent="0.2">
      <c r="GI24852" s="422"/>
    </row>
    <row r="24853" spans="191:191" x14ac:dyDescent="0.2">
      <c r="GI24853" s="422"/>
    </row>
    <row r="24854" spans="191:191" x14ac:dyDescent="0.2">
      <c r="GI24854" s="422"/>
    </row>
    <row r="24855" spans="191:191" x14ac:dyDescent="0.2">
      <c r="GI24855" s="422"/>
    </row>
    <row r="24856" spans="191:191" x14ac:dyDescent="0.2">
      <c r="GI24856" s="422"/>
    </row>
    <row r="24857" spans="191:191" x14ac:dyDescent="0.2">
      <c r="GI24857" s="422"/>
    </row>
    <row r="24858" spans="191:191" x14ac:dyDescent="0.2">
      <c r="GI24858" s="422"/>
    </row>
    <row r="24859" spans="191:191" x14ac:dyDescent="0.2">
      <c r="GI24859" s="422"/>
    </row>
    <row r="24860" spans="191:191" x14ac:dyDescent="0.2">
      <c r="GI24860" s="422"/>
    </row>
    <row r="24861" spans="191:191" x14ac:dyDescent="0.2">
      <c r="GI24861" s="422"/>
    </row>
    <row r="24862" spans="191:191" x14ac:dyDescent="0.2">
      <c r="GI24862" s="422"/>
    </row>
    <row r="24863" spans="191:191" x14ac:dyDescent="0.2">
      <c r="GI24863" s="422"/>
    </row>
    <row r="24864" spans="191:191" x14ac:dyDescent="0.2">
      <c r="GI24864" s="422"/>
    </row>
    <row r="24865" spans="191:191" x14ac:dyDescent="0.2">
      <c r="GI24865" s="422"/>
    </row>
    <row r="24866" spans="191:191" x14ac:dyDescent="0.2">
      <c r="GI24866" s="422"/>
    </row>
    <row r="24867" spans="191:191" x14ac:dyDescent="0.2">
      <c r="GI24867" s="422"/>
    </row>
    <row r="24868" spans="191:191" x14ac:dyDescent="0.2">
      <c r="GI24868" s="422"/>
    </row>
    <row r="24869" spans="191:191" x14ac:dyDescent="0.2">
      <c r="GI24869" s="422"/>
    </row>
    <row r="24870" spans="191:191" x14ac:dyDescent="0.2">
      <c r="GI24870" s="422"/>
    </row>
    <row r="24871" spans="191:191" x14ac:dyDescent="0.2">
      <c r="GI24871" s="422"/>
    </row>
    <row r="24872" spans="191:191" x14ac:dyDescent="0.2">
      <c r="GI24872" s="422"/>
    </row>
    <row r="24873" spans="191:191" x14ac:dyDescent="0.2">
      <c r="GI24873" s="422"/>
    </row>
    <row r="24874" spans="191:191" x14ac:dyDescent="0.2">
      <c r="GI24874" s="422"/>
    </row>
    <row r="24875" spans="191:191" x14ac:dyDescent="0.2">
      <c r="GI24875" s="422"/>
    </row>
    <row r="24876" spans="191:191" x14ac:dyDescent="0.2">
      <c r="GI24876" s="422"/>
    </row>
    <row r="24877" spans="191:191" x14ac:dyDescent="0.2">
      <c r="GI24877" s="422"/>
    </row>
    <row r="24878" spans="191:191" x14ac:dyDescent="0.2">
      <c r="GI24878" s="422"/>
    </row>
    <row r="24879" spans="191:191" x14ac:dyDescent="0.2">
      <c r="GI24879" s="422"/>
    </row>
    <row r="24880" spans="191:191" x14ac:dyDescent="0.2">
      <c r="GI24880" s="422"/>
    </row>
    <row r="24881" spans="191:191" x14ac:dyDescent="0.2">
      <c r="GI24881" s="422"/>
    </row>
    <row r="24882" spans="191:191" x14ac:dyDescent="0.2">
      <c r="GI24882" s="422"/>
    </row>
    <row r="24883" spans="191:191" x14ac:dyDescent="0.2">
      <c r="GI24883" s="422"/>
    </row>
    <row r="24884" spans="191:191" x14ac:dyDescent="0.2">
      <c r="GI24884" s="422"/>
    </row>
    <row r="24885" spans="191:191" x14ac:dyDescent="0.2">
      <c r="GI24885" s="422"/>
    </row>
    <row r="24886" spans="191:191" x14ac:dyDescent="0.2">
      <c r="GI24886" s="422"/>
    </row>
    <row r="24887" spans="191:191" x14ac:dyDescent="0.2">
      <c r="GI24887" s="422"/>
    </row>
    <row r="24888" spans="191:191" x14ac:dyDescent="0.2">
      <c r="GI24888" s="422"/>
    </row>
    <row r="24889" spans="191:191" x14ac:dyDescent="0.2">
      <c r="GI24889" s="422"/>
    </row>
    <row r="24890" spans="191:191" x14ac:dyDescent="0.2">
      <c r="GI24890" s="422"/>
    </row>
    <row r="24891" spans="191:191" x14ac:dyDescent="0.2">
      <c r="GI24891" s="422"/>
    </row>
    <row r="24892" spans="191:191" x14ac:dyDescent="0.2">
      <c r="GI24892" s="422"/>
    </row>
    <row r="24893" spans="191:191" x14ac:dyDescent="0.2">
      <c r="GI24893" s="422"/>
    </row>
    <row r="24894" spans="191:191" x14ac:dyDescent="0.2">
      <c r="GI24894" s="422"/>
    </row>
    <row r="24895" spans="191:191" x14ac:dyDescent="0.2">
      <c r="GI24895" s="422"/>
    </row>
    <row r="24896" spans="191:191" x14ac:dyDescent="0.2">
      <c r="GI24896" s="422"/>
    </row>
    <row r="24897" spans="191:191" x14ac:dyDescent="0.2">
      <c r="GI24897" s="422"/>
    </row>
    <row r="24898" spans="191:191" x14ac:dyDescent="0.2">
      <c r="GI24898" s="422"/>
    </row>
    <row r="24899" spans="191:191" x14ac:dyDescent="0.2">
      <c r="GI24899" s="422"/>
    </row>
    <row r="24900" spans="191:191" x14ac:dyDescent="0.2">
      <c r="GI24900" s="422"/>
    </row>
    <row r="24901" spans="191:191" x14ac:dyDescent="0.2">
      <c r="GI24901" s="422"/>
    </row>
    <row r="24902" spans="191:191" x14ac:dyDescent="0.2">
      <c r="GI24902" s="422"/>
    </row>
    <row r="24903" spans="191:191" x14ac:dyDescent="0.2">
      <c r="GI24903" s="422"/>
    </row>
    <row r="24904" spans="191:191" x14ac:dyDescent="0.2">
      <c r="GI24904" s="422"/>
    </row>
    <row r="24905" spans="191:191" x14ac:dyDescent="0.2">
      <c r="GI24905" s="422"/>
    </row>
    <row r="24906" spans="191:191" x14ac:dyDescent="0.2">
      <c r="GI24906" s="422"/>
    </row>
    <row r="24907" spans="191:191" x14ac:dyDescent="0.2">
      <c r="GI24907" s="422"/>
    </row>
    <row r="24908" spans="191:191" x14ac:dyDescent="0.2">
      <c r="GI24908" s="422"/>
    </row>
    <row r="24909" spans="191:191" x14ac:dyDescent="0.2">
      <c r="GI24909" s="422"/>
    </row>
    <row r="24910" spans="191:191" x14ac:dyDescent="0.2">
      <c r="GI24910" s="422"/>
    </row>
    <row r="24911" spans="191:191" x14ac:dyDescent="0.2">
      <c r="GI24911" s="422"/>
    </row>
    <row r="24912" spans="191:191" x14ac:dyDescent="0.2">
      <c r="GI24912" s="422"/>
    </row>
    <row r="24913" spans="191:191" x14ac:dyDescent="0.2">
      <c r="GI24913" s="422"/>
    </row>
    <row r="24914" spans="191:191" x14ac:dyDescent="0.2">
      <c r="GI24914" s="422"/>
    </row>
    <row r="24915" spans="191:191" x14ac:dyDescent="0.2">
      <c r="GI24915" s="422"/>
    </row>
    <row r="24916" spans="191:191" x14ac:dyDescent="0.2">
      <c r="GI24916" s="422"/>
    </row>
    <row r="24917" spans="191:191" x14ac:dyDescent="0.2">
      <c r="GI24917" s="422"/>
    </row>
    <row r="24918" spans="191:191" x14ac:dyDescent="0.2">
      <c r="GI24918" s="422"/>
    </row>
    <row r="24919" spans="191:191" x14ac:dyDescent="0.2">
      <c r="GI24919" s="422"/>
    </row>
    <row r="24920" spans="191:191" x14ac:dyDescent="0.2">
      <c r="GI24920" s="422"/>
    </row>
    <row r="24921" spans="191:191" x14ac:dyDescent="0.2">
      <c r="GI24921" s="422"/>
    </row>
    <row r="24922" spans="191:191" x14ac:dyDescent="0.2">
      <c r="GI24922" s="422"/>
    </row>
    <row r="24923" spans="191:191" x14ac:dyDescent="0.2">
      <c r="GI24923" s="422"/>
    </row>
    <row r="24924" spans="191:191" x14ac:dyDescent="0.2">
      <c r="GI24924" s="422"/>
    </row>
    <row r="24925" spans="191:191" x14ac:dyDescent="0.2">
      <c r="GI24925" s="422"/>
    </row>
    <row r="24926" spans="191:191" x14ac:dyDescent="0.2">
      <c r="GI24926" s="422"/>
    </row>
    <row r="24927" spans="191:191" x14ac:dyDescent="0.2">
      <c r="GI24927" s="422"/>
    </row>
    <row r="24928" spans="191:191" x14ac:dyDescent="0.2">
      <c r="GI24928" s="422"/>
    </row>
    <row r="24929" spans="191:191" x14ac:dyDescent="0.2">
      <c r="GI24929" s="422"/>
    </row>
    <row r="24930" spans="191:191" x14ac:dyDescent="0.2">
      <c r="GI24930" s="422"/>
    </row>
    <row r="24931" spans="191:191" x14ac:dyDescent="0.2">
      <c r="GI24931" s="422"/>
    </row>
    <row r="24932" spans="191:191" x14ac:dyDescent="0.2">
      <c r="GI24932" s="422"/>
    </row>
    <row r="24933" spans="191:191" x14ac:dyDescent="0.2">
      <c r="GI24933" s="422"/>
    </row>
    <row r="24934" spans="191:191" x14ac:dyDescent="0.2">
      <c r="GI24934" s="422"/>
    </row>
    <row r="24935" spans="191:191" x14ac:dyDescent="0.2">
      <c r="GI24935" s="422"/>
    </row>
    <row r="24936" spans="191:191" x14ac:dyDescent="0.2">
      <c r="GI24936" s="422"/>
    </row>
    <row r="24937" spans="191:191" x14ac:dyDescent="0.2">
      <c r="GI24937" s="422"/>
    </row>
    <row r="24938" spans="191:191" x14ac:dyDescent="0.2">
      <c r="GI24938" s="422"/>
    </row>
    <row r="24939" spans="191:191" x14ac:dyDescent="0.2">
      <c r="GI24939" s="422"/>
    </row>
    <row r="24940" spans="191:191" x14ac:dyDescent="0.2">
      <c r="GI24940" s="422"/>
    </row>
    <row r="24941" spans="191:191" x14ac:dyDescent="0.2">
      <c r="GI24941" s="422"/>
    </row>
    <row r="24942" spans="191:191" x14ac:dyDescent="0.2">
      <c r="GI24942" s="422"/>
    </row>
    <row r="24943" spans="191:191" x14ac:dyDescent="0.2">
      <c r="GI24943" s="422"/>
    </row>
    <row r="24944" spans="191:191" x14ac:dyDescent="0.2">
      <c r="GI24944" s="422"/>
    </row>
    <row r="24945" spans="191:191" x14ac:dyDescent="0.2">
      <c r="GI24945" s="422"/>
    </row>
    <row r="24946" spans="191:191" x14ac:dyDescent="0.2">
      <c r="GI24946" s="422"/>
    </row>
    <row r="24947" spans="191:191" x14ac:dyDescent="0.2">
      <c r="GI24947" s="422"/>
    </row>
    <row r="24948" spans="191:191" x14ac:dyDescent="0.2">
      <c r="GI24948" s="422"/>
    </row>
    <row r="24949" spans="191:191" x14ac:dyDescent="0.2">
      <c r="GI24949" s="422"/>
    </row>
    <row r="24950" spans="191:191" x14ac:dyDescent="0.2">
      <c r="GI24950" s="422"/>
    </row>
    <row r="24951" spans="191:191" x14ac:dyDescent="0.2">
      <c r="GI24951" s="422"/>
    </row>
    <row r="24952" spans="191:191" x14ac:dyDescent="0.2">
      <c r="GI24952" s="422"/>
    </row>
    <row r="24953" spans="191:191" x14ac:dyDescent="0.2">
      <c r="GI24953" s="422"/>
    </row>
    <row r="24954" spans="191:191" x14ac:dyDescent="0.2">
      <c r="GI24954" s="422"/>
    </row>
    <row r="24955" spans="191:191" x14ac:dyDescent="0.2">
      <c r="GI24955" s="422"/>
    </row>
    <row r="24956" spans="191:191" x14ac:dyDescent="0.2">
      <c r="GI24956" s="422"/>
    </row>
    <row r="24957" spans="191:191" x14ac:dyDescent="0.2">
      <c r="GI24957" s="422"/>
    </row>
    <row r="24958" spans="191:191" x14ac:dyDescent="0.2">
      <c r="GI24958" s="422"/>
    </row>
    <row r="24959" spans="191:191" x14ac:dyDescent="0.2">
      <c r="GI24959" s="422"/>
    </row>
    <row r="24960" spans="191:191" x14ac:dyDescent="0.2">
      <c r="GI24960" s="422"/>
    </row>
    <row r="24961" spans="191:191" x14ac:dyDescent="0.2">
      <c r="GI24961" s="422"/>
    </row>
    <row r="24962" spans="191:191" x14ac:dyDescent="0.2">
      <c r="GI24962" s="422"/>
    </row>
    <row r="24963" spans="191:191" x14ac:dyDescent="0.2">
      <c r="GI24963" s="422"/>
    </row>
    <row r="24964" spans="191:191" x14ac:dyDescent="0.2">
      <c r="GI24964" s="422"/>
    </row>
    <row r="24965" spans="191:191" x14ac:dyDescent="0.2">
      <c r="GI24965" s="422"/>
    </row>
    <row r="24966" spans="191:191" x14ac:dyDescent="0.2">
      <c r="GI24966" s="422"/>
    </row>
    <row r="24967" spans="191:191" x14ac:dyDescent="0.2">
      <c r="GI24967" s="422"/>
    </row>
    <row r="24968" spans="191:191" x14ac:dyDescent="0.2">
      <c r="GI24968" s="422"/>
    </row>
    <row r="24969" spans="191:191" x14ac:dyDescent="0.2">
      <c r="GI24969" s="422"/>
    </row>
    <row r="24970" spans="191:191" x14ac:dyDescent="0.2">
      <c r="GI24970" s="422"/>
    </row>
    <row r="24971" spans="191:191" x14ac:dyDescent="0.2">
      <c r="GI24971" s="422"/>
    </row>
    <row r="24972" spans="191:191" x14ac:dyDescent="0.2">
      <c r="GI24972" s="422"/>
    </row>
    <row r="24973" spans="191:191" x14ac:dyDescent="0.2">
      <c r="GI24973" s="422"/>
    </row>
    <row r="24974" spans="191:191" x14ac:dyDescent="0.2">
      <c r="GI24974" s="422"/>
    </row>
    <row r="24975" spans="191:191" x14ac:dyDescent="0.2">
      <c r="GI24975" s="422"/>
    </row>
    <row r="24976" spans="191:191" x14ac:dyDescent="0.2">
      <c r="GI24976" s="422"/>
    </row>
    <row r="24977" spans="191:191" x14ac:dyDescent="0.2">
      <c r="GI24977" s="422"/>
    </row>
    <row r="24978" spans="191:191" x14ac:dyDescent="0.2">
      <c r="GI24978" s="422"/>
    </row>
    <row r="24979" spans="191:191" x14ac:dyDescent="0.2">
      <c r="GI24979" s="422"/>
    </row>
    <row r="24980" spans="191:191" x14ac:dyDescent="0.2">
      <c r="GI24980" s="422"/>
    </row>
    <row r="24981" spans="191:191" x14ac:dyDescent="0.2">
      <c r="GI24981" s="422"/>
    </row>
    <row r="24982" spans="191:191" x14ac:dyDescent="0.2">
      <c r="GI24982" s="422"/>
    </row>
    <row r="24983" spans="191:191" x14ac:dyDescent="0.2">
      <c r="GI24983" s="422"/>
    </row>
    <row r="24984" spans="191:191" x14ac:dyDescent="0.2">
      <c r="GI24984" s="422"/>
    </row>
    <row r="24985" spans="191:191" x14ac:dyDescent="0.2">
      <c r="GI24985" s="422"/>
    </row>
    <row r="24986" spans="191:191" x14ac:dyDescent="0.2">
      <c r="GI24986" s="422"/>
    </row>
    <row r="24987" spans="191:191" x14ac:dyDescent="0.2">
      <c r="GI24987" s="422"/>
    </row>
    <row r="24988" spans="191:191" x14ac:dyDescent="0.2">
      <c r="GI24988" s="422"/>
    </row>
    <row r="24989" spans="191:191" x14ac:dyDescent="0.2">
      <c r="GI24989" s="422"/>
    </row>
    <row r="24990" spans="191:191" x14ac:dyDescent="0.2">
      <c r="GI24990" s="422"/>
    </row>
    <row r="24991" spans="191:191" x14ac:dyDescent="0.2">
      <c r="GI24991" s="422"/>
    </row>
    <row r="24992" spans="191:191" x14ac:dyDescent="0.2">
      <c r="GI24992" s="422"/>
    </row>
    <row r="24993" spans="191:191" x14ac:dyDescent="0.2">
      <c r="GI24993" s="422"/>
    </row>
    <row r="24994" spans="191:191" x14ac:dyDescent="0.2">
      <c r="GI24994" s="422"/>
    </row>
    <row r="24995" spans="191:191" x14ac:dyDescent="0.2">
      <c r="GI24995" s="422"/>
    </row>
    <row r="24996" spans="191:191" x14ac:dyDescent="0.2">
      <c r="GI24996" s="422"/>
    </row>
    <row r="24997" spans="191:191" x14ac:dyDescent="0.2">
      <c r="GI24997" s="422"/>
    </row>
    <row r="24998" spans="191:191" x14ac:dyDescent="0.2">
      <c r="GI24998" s="422"/>
    </row>
    <row r="24999" spans="191:191" x14ac:dyDescent="0.2">
      <c r="GI24999" s="422"/>
    </row>
    <row r="25000" spans="191:191" x14ac:dyDescent="0.2">
      <c r="GI25000" s="422"/>
    </row>
    <row r="25001" spans="191:191" x14ac:dyDescent="0.2">
      <c r="GI25001" s="422"/>
    </row>
    <row r="25002" spans="191:191" x14ac:dyDescent="0.2">
      <c r="GI25002" s="422"/>
    </row>
    <row r="25003" spans="191:191" x14ac:dyDescent="0.2">
      <c r="GI25003" s="422"/>
    </row>
    <row r="25004" spans="191:191" x14ac:dyDescent="0.2">
      <c r="GI25004" s="422"/>
    </row>
    <row r="25005" spans="191:191" x14ac:dyDescent="0.2">
      <c r="GI25005" s="422"/>
    </row>
    <row r="25006" spans="191:191" x14ac:dyDescent="0.2">
      <c r="GI25006" s="422"/>
    </row>
    <row r="25007" spans="191:191" x14ac:dyDescent="0.2">
      <c r="GI25007" s="422"/>
    </row>
    <row r="25008" spans="191:191" x14ac:dyDescent="0.2">
      <c r="GI25008" s="422"/>
    </row>
    <row r="25009" spans="191:191" x14ac:dyDescent="0.2">
      <c r="GI25009" s="422"/>
    </row>
    <row r="25010" spans="191:191" x14ac:dyDescent="0.2">
      <c r="GI25010" s="422"/>
    </row>
    <row r="25011" spans="191:191" x14ac:dyDescent="0.2">
      <c r="GI25011" s="422"/>
    </row>
    <row r="25012" spans="191:191" x14ac:dyDescent="0.2">
      <c r="GI25012" s="422"/>
    </row>
    <row r="25013" spans="191:191" x14ac:dyDescent="0.2">
      <c r="GI25013" s="422"/>
    </row>
    <row r="25014" spans="191:191" x14ac:dyDescent="0.2">
      <c r="GI25014" s="422"/>
    </row>
    <row r="25015" spans="191:191" x14ac:dyDescent="0.2">
      <c r="GI25015" s="422"/>
    </row>
    <row r="25016" spans="191:191" x14ac:dyDescent="0.2">
      <c r="GI25016" s="422"/>
    </row>
    <row r="25017" spans="191:191" x14ac:dyDescent="0.2">
      <c r="GI25017" s="422"/>
    </row>
    <row r="25018" spans="191:191" x14ac:dyDescent="0.2">
      <c r="GI25018" s="422"/>
    </row>
    <row r="25019" spans="191:191" x14ac:dyDescent="0.2">
      <c r="GI25019" s="422"/>
    </row>
    <row r="25020" spans="191:191" x14ac:dyDescent="0.2">
      <c r="GI25020" s="422"/>
    </row>
    <row r="25021" spans="191:191" x14ac:dyDescent="0.2">
      <c r="GI25021" s="422"/>
    </row>
    <row r="25022" spans="191:191" x14ac:dyDescent="0.2">
      <c r="GI25022" s="422"/>
    </row>
    <row r="25023" spans="191:191" x14ac:dyDescent="0.2">
      <c r="GI25023" s="422"/>
    </row>
    <row r="25024" spans="191:191" x14ac:dyDescent="0.2">
      <c r="GI25024" s="422"/>
    </row>
    <row r="25025" spans="191:191" x14ac:dyDescent="0.2">
      <c r="GI25025" s="422"/>
    </row>
    <row r="25026" spans="191:191" x14ac:dyDescent="0.2">
      <c r="GI25026" s="422"/>
    </row>
    <row r="25027" spans="191:191" x14ac:dyDescent="0.2">
      <c r="GI25027" s="422"/>
    </row>
    <row r="25028" spans="191:191" x14ac:dyDescent="0.2">
      <c r="GI25028" s="422"/>
    </row>
    <row r="25029" spans="191:191" x14ac:dyDescent="0.2">
      <c r="GI25029" s="422"/>
    </row>
    <row r="25030" spans="191:191" x14ac:dyDescent="0.2">
      <c r="GI25030" s="422"/>
    </row>
    <row r="25031" spans="191:191" x14ac:dyDescent="0.2">
      <c r="GI25031" s="422"/>
    </row>
    <row r="25032" spans="191:191" x14ac:dyDescent="0.2">
      <c r="GI25032" s="422"/>
    </row>
    <row r="25033" spans="191:191" x14ac:dyDescent="0.2">
      <c r="GI25033" s="422"/>
    </row>
    <row r="25034" spans="191:191" x14ac:dyDescent="0.2">
      <c r="GI25034" s="422"/>
    </row>
    <row r="25035" spans="191:191" x14ac:dyDescent="0.2">
      <c r="GI25035" s="422"/>
    </row>
    <row r="25036" spans="191:191" x14ac:dyDescent="0.2">
      <c r="GI25036" s="422"/>
    </row>
    <row r="25037" spans="191:191" x14ac:dyDescent="0.2">
      <c r="GI25037" s="422"/>
    </row>
    <row r="25038" spans="191:191" x14ac:dyDescent="0.2">
      <c r="GI25038" s="422"/>
    </row>
    <row r="25039" spans="191:191" x14ac:dyDescent="0.2">
      <c r="GI25039" s="422"/>
    </row>
    <row r="25040" spans="191:191" x14ac:dyDescent="0.2">
      <c r="GI25040" s="422"/>
    </row>
    <row r="25041" spans="191:191" x14ac:dyDescent="0.2">
      <c r="GI25041" s="422"/>
    </row>
    <row r="25042" spans="191:191" x14ac:dyDescent="0.2">
      <c r="GI25042" s="422"/>
    </row>
    <row r="25043" spans="191:191" x14ac:dyDescent="0.2">
      <c r="GI25043" s="422"/>
    </row>
    <row r="25044" spans="191:191" x14ac:dyDescent="0.2">
      <c r="GI25044" s="422"/>
    </row>
    <row r="25045" spans="191:191" x14ac:dyDescent="0.2">
      <c r="GI25045" s="422"/>
    </row>
    <row r="25046" spans="191:191" x14ac:dyDescent="0.2">
      <c r="GI25046" s="422"/>
    </row>
    <row r="25047" spans="191:191" x14ac:dyDescent="0.2">
      <c r="GI25047" s="422"/>
    </row>
    <row r="25048" spans="191:191" x14ac:dyDescent="0.2">
      <c r="GI25048" s="422"/>
    </row>
    <row r="25049" spans="191:191" x14ac:dyDescent="0.2">
      <c r="GI25049" s="422"/>
    </row>
    <row r="25050" spans="191:191" x14ac:dyDescent="0.2">
      <c r="GI25050" s="422"/>
    </row>
    <row r="25051" spans="191:191" x14ac:dyDescent="0.2">
      <c r="GI25051" s="422"/>
    </row>
    <row r="25052" spans="191:191" x14ac:dyDescent="0.2">
      <c r="GI25052" s="422"/>
    </row>
    <row r="25053" spans="191:191" x14ac:dyDescent="0.2">
      <c r="GI25053" s="422"/>
    </row>
    <row r="25054" spans="191:191" x14ac:dyDescent="0.2">
      <c r="GI25054" s="422"/>
    </row>
    <row r="25055" spans="191:191" x14ac:dyDescent="0.2">
      <c r="GI25055" s="422"/>
    </row>
    <row r="25056" spans="191:191" x14ac:dyDescent="0.2">
      <c r="GI25056" s="422"/>
    </row>
    <row r="25057" spans="191:191" x14ac:dyDescent="0.2">
      <c r="GI25057" s="422"/>
    </row>
    <row r="25058" spans="191:191" x14ac:dyDescent="0.2">
      <c r="GI25058" s="422"/>
    </row>
    <row r="25059" spans="191:191" x14ac:dyDescent="0.2">
      <c r="GI25059" s="422"/>
    </row>
    <row r="25060" spans="191:191" x14ac:dyDescent="0.2">
      <c r="GI25060" s="422"/>
    </row>
    <row r="25061" spans="191:191" x14ac:dyDescent="0.2">
      <c r="GI25061" s="422"/>
    </row>
    <row r="25062" spans="191:191" x14ac:dyDescent="0.2">
      <c r="GI25062" s="422"/>
    </row>
    <row r="25063" spans="191:191" x14ac:dyDescent="0.2">
      <c r="GI25063" s="422"/>
    </row>
    <row r="25064" spans="191:191" x14ac:dyDescent="0.2">
      <c r="GI25064" s="422"/>
    </row>
    <row r="25065" spans="191:191" x14ac:dyDescent="0.2">
      <c r="GI25065" s="422"/>
    </row>
    <row r="25066" spans="191:191" x14ac:dyDescent="0.2">
      <c r="GI25066" s="422"/>
    </row>
    <row r="25067" spans="191:191" x14ac:dyDescent="0.2">
      <c r="GI25067" s="422"/>
    </row>
    <row r="25068" spans="191:191" x14ac:dyDescent="0.2">
      <c r="GI25068" s="422"/>
    </row>
    <row r="25069" spans="191:191" x14ac:dyDescent="0.2">
      <c r="GI25069" s="422"/>
    </row>
    <row r="25070" spans="191:191" x14ac:dyDescent="0.2">
      <c r="GI25070" s="422"/>
    </row>
    <row r="25071" spans="191:191" x14ac:dyDescent="0.2">
      <c r="GI25071" s="422"/>
    </row>
    <row r="25072" spans="191:191" x14ac:dyDescent="0.2">
      <c r="GI25072" s="422"/>
    </row>
    <row r="25073" spans="191:191" x14ac:dyDescent="0.2">
      <c r="GI25073" s="422"/>
    </row>
    <row r="25074" spans="191:191" x14ac:dyDescent="0.2">
      <c r="GI25074" s="422"/>
    </row>
    <row r="25075" spans="191:191" x14ac:dyDescent="0.2">
      <c r="GI25075" s="422"/>
    </row>
    <row r="25076" spans="191:191" x14ac:dyDescent="0.2">
      <c r="GI25076" s="422"/>
    </row>
    <row r="25077" spans="191:191" x14ac:dyDescent="0.2">
      <c r="GI25077" s="422"/>
    </row>
    <row r="25078" spans="191:191" x14ac:dyDescent="0.2">
      <c r="GI25078" s="422"/>
    </row>
    <row r="25079" spans="191:191" x14ac:dyDescent="0.2">
      <c r="GI25079" s="422"/>
    </row>
    <row r="25080" spans="191:191" x14ac:dyDescent="0.2">
      <c r="GI25080" s="422"/>
    </row>
    <row r="25081" spans="191:191" x14ac:dyDescent="0.2">
      <c r="GI25081" s="422"/>
    </row>
    <row r="25082" spans="191:191" x14ac:dyDescent="0.2">
      <c r="GI25082" s="422"/>
    </row>
    <row r="25083" spans="191:191" x14ac:dyDescent="0.2">
      <c r="GI25083" s="422"/>
    </row>
    <row r="25084" spans="191:191" x14ac:dyDescent="0.2">
      <c r="GI25084" s="422"/>
    </row>
    <row r="25085" spans="191:191" x14ac:dyDescent="0.2">
      <c r="GI25085" s="422"/>
    </row>
    <row r="25086" spans="191:191" x14ac:dyDescent="0.2">
      <c r="GI25086" s="422"/>
    </row>
    <row r="25087" spans="191:191" x14ac:dyDescent="0.2">
      <c r="GI25087" s="422"/>
    </row>
    <row r="25088" spans="191:191" x14ac:dyDescent="0.2">
      <c r="GI25088" s="422"/>
    </row>
    <row r="25089" spans="191:191" x14ac:dyDescent="0.2">
      <c r="GI25089" s="422"/>
    </row>
    <row r="25090" spans="191:191" x14ac:dyDescent="0.2">
      <c r="GI25090" s="422"/>
    </row>
    <row r="25091" spans="191:191" x14ac:dyDescent="0.2">
      <c r="GI25091" s="422"/>
    </row>
    <row r="25092" spans="191:191" x14ac:dyDescent="0.2">
      <c r="GI25092" s="422"/>
    </row>
    <row r="25093" spans="191:191" x14ac:dyDescent="0.2">
      <c r="GI25093" s="422"/>
    </row>
    <row r="25094" spans="191:191" x14ac:dyDescent="0.2">
      <c r="GI25094" s="422"/>
    </row>
    <row r="25095" spans="191:191" x14ac:dyDescent="0.2">
      <c r="GI25095" s="422"/>
    </row>
    <row r="25096" spans="191:191" x14ac:dyDescent="0.2">
      <c r="GI25096" s="422"/>
    </row>
    <row r="25097" spans="191:191" x14ac:dyDescent="0.2">
      <c r="GI25097" s="422"/>
    </row>
    <row r="25098" spans="191:191" x14ac:dyDescent="0.2">
      <c r="GI25098" s="422"/>
    </row>
    <row r="25099" spans="191:191" x14ac:dyDescent="0.2">
      <c r="GI25099" s="422"/>
    </row>
    <row r="25100" spans="191:191" x14ac:dyDescent="0.2">
      <c r="GI25100" s="422"/>
    </row>
    <row r="25101" spans="191:191" x14ac:dyDescent="0.2">
      <c r="GI25101" s="422"/>
    </row>
    <row r="25102" spans="191:191" x14ac:dyDescent="0.2">
      <c r="GI25102" s="422"/>
    </row>
    <row r="25103" spans="191:191" x14ac:dyDescent="0.2">
      <c r="GI25103" s="422"/>
    </row>
    <row r="25104" spans="191:191" x14ac:dyDescent="0.2">
      <c r="GI25104" s="422"/>
    </row>
    <row r="25105" spans="191:191" x14ac:dyDescent="0.2">
      <c r="GI25105" s="422"/>
    </row>
    <row r="25106" spans="191:191" x14ac:dyDescent="0.2">
      <c r="GI25106" s="422"/>
    </row>
    <row r="25107" spans="191:191" x14ac:dyDescent="0.2">
      <c r="GI25107" s="422"/>
    </row>
    <row r="25108" spans="191:191" x14ac:dyDescent="0.2">
      <c r="GI25108" s="422"/>
    </row>
    <row r="25109" spans="191:191" x14ac:dyDescent="0.2">
      <c r="GI25109" s="422"/>
    </row>
    <row r="25110" spans="191:191" x14ac:dyDescent="0.2">
      <c r="GI25110" s="422"/>
    </row>
    <row r="25111" spans="191:191" x14ac:dyDescent="0.2">
      <c r="GI25111" s="422"/>
    </row>
    <row r="25112" spans="191:191" x14ac:dyDescent="0.2">
      <c r="GI25112" s="422"/>
    </row>
    <row r="25113" spans="191:191" x14ac:dyDescent="0.2">
      <c r="GI25113" s="422"/>
    </row>
    <row r="25114" spans="191:191" x14ac:dyDescent="0.2">
      <c r="GI25114" s="422"/>
    </row>
    <row r="25115" spans="191:191" x14ac:dyDescent="0.2">
      <c r="GI25115" s="422"/>
    </row>
    <row r="25116" spans="191:191" x14ac:dyDescent="0.2">
      <c r="GI25116" s="422"/>
    </row>
    <row r="25117" spans="191:191" x14ac:dyDescent="0.2">
      <c r="GI25117" s="422"/>
    </row>
    <row r="25118" spans="191:191" x14ac:dyDescent="0.2">
      <c r="GI25118" s="422"/>
    </row>
    <row r="25119" spans="191:191" x14ac:dyDescent="0.2">
      <c r="GI25119" s="422"/>
    </row>
    <row r="25120" spans="191:191" x14ac:dyDescent="0.2">
      <c r="GI25120" s="422"/>
    </row>
    <row r="25121" spans="191:191" x14ac:dyDescent="0.2">
      <c r="GI25121" s="422"/>
    </row>
    <row r="25122" spans="191:191" x14ac:dyDescent="0.2">
      <c r="GI25122" s="422"/>
    </row>
    <row r="25123" spans="191:191" x14ac:dyDescent="0.2">
      <c r="GI25123" s="422"/>
    </row>
    <row r="25124" spans="191:191" x14ac:dyDescent="0.2">
      <c r="GI25124" s="422"/>
    </row>
    <row r="25125" spans="191:191" x14ac:dyDescent="0.2">
      <c r="GI25125" s="422"/>
    </row>
    <row r="25126" spans="191:191" x14ac:dyDescent="0.2">
      <c r="GI25126" s="422"/>
    </row>
    <row r="25127" spans="191:191" x14ac:dyDescent="0.2">
      <c r="GI25127" s="422"/>
    </row>
    <row r="25128" spans="191:191" x14ac:dyDescent="0.2">
      <c r="GI25128" s="422"/>
    </row>
    <row r="25129" spans="191:191" x14ac:dyDescent="0.2">
      <c r="GI25129" s="422"/>
    </row>
    <row r="25130" spans="191:191" x14ac:dyDescent="0.2">
      <c r="GI25130" s="422"/>
    </row>
    <row r="25131" spans="191:191" x14ac:dyDescent="0.2">
      <c r="GI25131" s="422"/>
    </row>
    <row r="25132" spans="191:191" x14ac:dyDescent="0.2">
      <c r="GI25132" s="422"/>
    </row>
    <row r="25133" spans="191:191" x14ac:dyDescent="0.2">
      <c r="GI25133" s="422"/>
    </row>
    <row r="25134" spans="191:191" x14ac:dyDescent="0.2">
      <c r="GI25134" s="422"/>
    </row>
    <row r="25135" spans="191:191" x14ac:dyDescent="0.2">
      <c r="GI25135" s="422"/>
    </row>
    <row r="25136" spans="191:191" x14ac:dyDescent="0.2">
      <c r="GI25136" s="422"/>
    </row>
    <row r="25137" spans="191:191" x14ac:dyDescent="0.2">
      <c r="GI25137" s="422"/>
    </row>
    <row r="25138" spans="191:191" x14ac:dyDescent="0.2">
      <c r="GI25138" s="422"/>
    </row>
    <row r="25139" spans="191:191" x14ac:dyDescent="0.2">
      <c r="GI25139" s="422"/>
    </row>
    <row r="25140" spans="191:191" x14ac:dyDescent="0.2">
      <c r="GI25140" s="422"/>
    </row>
    <row r="25141" spans="191:191" x14ac:dyDescent="0.2">
      <c r="GI25141" s="422"/>
    </row>
    <row r="25142" spans="191:191" x14ac:dyDescent="0.2">
      <c r="GI25142" s="422"/>
    </row>
    <row r="25143" spans="191:191" x14ac:dyDescent="0.2">
      <c r="GI25143" s="422"/>
    </row>
    <row r="25144" spans="191:191" x14ac:dyDescent="0.2">
      <c r="GI25144" s="422"/>
    </row>
    <row r="25145" spans="191:191" x14ac:dyDescent="0.2">
      <c r="GI25145" s="422"/>
    </row>
    <row r="25146" spans="191:191" x14ac:dyDescent="0.2">
      <c r="GI25146" s="422"/>
    </row>
    <row r="25147" spans="191:191" x14ac:dyDescent="0.2">
      <c r="GI25147" s="422"/>
    </row>
    <row r="25148" spans="191:191" x14ac:dyDescent="0.2">
      <c r="GI25148" s="422"/>
    </row>
    <row r="25149" spans="191:191" x14ac:dyDescent="0.2">
      <c r="GI25149" s="422"/>
    </row>
    <row r="25150" spans="191:191" x14ac:dyDescent="0.2">
      <c r="GI25150" s="422"/>
    </row>
    <row r="25151" spans="191:191" x14ac:dyDescent="0.2">
      <c r="GI25151" s="422"/>
    </row>
    <row r="25152" spans="191:191" x14ac:dyDescent="0.2">
      <c r="GI25152" s="422"/>
    </row>
    <row r="25153" spans="191:191" x14ac:dyDescent="0.2">
      <c r="GI25153" s="422"/>
    </row>
    <row r="25154" spans="191:191" x14ac:dyDescent="0.2">
      <c r="GI25154" s="422"/>
    </row>
    <row r="25155" spans="191:191" x14ac:dyDescent="0.2">
      <c r="GI25155" s="422"/>
    </row>
    <row r="25156" spans="191:191" x14ac:dyDescent="0.2">
      <c r="GI25156" s="422"/>
    </row>
    <row r="25157" spans="191:191" x14ac:dyDescent="0.2">
      <c r="GI25157" s="422"/>
    </row>
    <row r="25158" spans="191:191" x14ac:dyDescent="0.2">
      <c r="GI25158" s="422"/>
    </row>
    <row r="25159" spans="191:191" x14ac:dyDescent="0.2">
      <c r="GI25159" s="422"/>
    </row>
    <row r="25160" spans="191:191" x14ac:dyDescent="0.2">
      <c r="GI25160" s="422"/>
    </row>
    <row r="25161" spans="191:191" x14ac:dyDescent="0.2">
      <c r="GI25161" s="422"/>
    </row>
    <row r="25162" spans="191:191" x14ac:dyDescent="0.2">
      <c r="GI25162" s="422"/>
    </row>
    <row r="25163" spans="191:191" x14ac:dyDescent="0.2">
      <c r="GI25163" s="422"/>
    </row>
    <row r="25164" spans="191:191" x14ac:dyDescent="0.2">
      <c r="GI25164" s="422"/>
    </row>
    <row r="25165" spans="191:191" x14ac:dyDescent="0.2">
      <c r="GI25165" s="422"/>
    </row>
    <row r="25166" spans="191:191" x14ac:dyDescent="0.2">
      <c r="GI25166" s="422"/>
    </row>
    <row r="25167" spans="191:191" x14ac:dyDescent="0.2">
      <c r="GI25167" s="422"/>
    </row>
    <row r="25168" spans="191:191" x14ac:dyDescent="0.2">
      <c r="GI25168" s="422"/>
    </row>
    <row r="25169" spans="191:191" x14ac:dyDescent="0.2">
      <c r="GI25169" s="422"/>
    </row>
    <row r="25170" spans="191:191" x14ac:dyDescent="0.2">
      <c r="GI25170" s="422"/>
    </row>
    <row r="25171" spans="191:191" x14ac:dyDescent="0.2">
      <c r="GI25171" s="422"/>
    </row>
    <row r="25172" spans="191:191" x14ac:dyDescent="0.2">
      <c r="GI25172" s="422"/>
    </row>
    <row r="25173" spans="191:191" x14ac:dyDescent="0.2">
      <c r="GI25173" s="422"/>
    </row>
    <row r="25174" spans="191:191" x14ac:dyDescent="0.2">
      <c r="GI25174" s="422"/>
    </row>
    <row r="25175" spans="191:191" x14ac:dyDescent="0.2">
      <c r="GI25175" s="422"/>
    </row>
    <row r="25176" spans="191:191" x14ac:dyDescent="0.2">
      <c r="GI25176" s="422"/>
    </row>
    <row r="25177" spans="191:191" x14ac:dyDescent="0.2">
      <c r="GI25177" s="422"/>
    </row>
    <row r="25178" spans="191:191" x14ac:dyDescent="0.2">
      <c r="GI25178" s="422"/>
    </row>
    <row r="25179" spans="191:191" x14ac:dyDescent="0.2">
      <c r="GI25179" s="422"/>
    </row>
    <row r="25180" spans="191:191" x14ac:dyDescent="0.2">
      <c r="GI25180" s="422"/>
    </row>
    <row r="25181" spans="191:191" x14ac:dyDescent="0.2">
      <c r="GI25181" s="422"/>
    </row>
    <row r="25182" spans="191:191" x14ac:dyDescent="0.2">
      <c r="GI25182" s="422"/>
    </row>
    <row r="25183" spans="191:191" x14ac:dyDescent="0.2">
      <c r="GI25183" s="422"/>
    </row>
    <row r="25184" spans="191:191" x14ac:dyDescent="0.2">
      <c r="GI25184" s="422"/>
    </row>
    <row r="25185" spans="191:191" x14ac:dyDescent="0.2">
      <c r="GI25185" s="422"/>
    </row>
    <row r="25186" spans="191:191" x14ac:dyDescent="0.2">
      <c r="GI25186" s="422"/>
    </row>
    <row r="25187" spans="191:191" x14ac:dyDescent="0.2">
      <c r="GI25187" s="422"/>
    </row>
    <row r="25188" spans="191:191" x14ac:dyDescent="0.2">
      <c r="GI25188" s="422"/>
    </row>
    <row r="25189" spans="191:191" x14ac:dyDescent="0.2">
      <c r="GI25189" s="422"/>
    </row>
    <row r="25190" spans="191:191" x14ac:dyDescent="0.2">
      <c r="GI25190" s="422"/>
    </row>
    <row r="25191" spans="191:191" x14ac:dyDescent="0.2">
      <c r="GI25191" s="422"/>
    </row>
    <row r="25192" spans="191:191" x14ac:dyDescent="0.2">
      <c r="GI25192" s="422"/>
    </row>
    <row r="25193" spans="191:191" x14ac:dyDescent="0.2">
      <c r="GI25193" s="422"/>
    </row>
    <row r="25194" spans="191:191" x14ac:dyDescent="0.2">
      <c r="GI25194" s="422"/>
    </row>
    <row r="25195" spans="191:191" x14ac:dyDescent="0.2">
      <c r="GI25195" s="422"/>
    </row>
    <row r="25196" spans="191:191" x14ac:dyDescent="0.2">
      <c r="GI25196" s="422"/>
    </row>
    <row r="25197" spans="191:191" x14ac:dyDescent="0.2">
      <c r="GI25197" s="422"/>
    </row>
    <row r="25198" spans="191:191" x14ac:dyDescent="0.2">
      <c r="GI25198" s="422"/>
    </row>
    <row r="25199" spans="191:191" x14ac:dyDescent="0.2">
      <c r="GI25199" s="422"/>
    </row>
    <row r="25200" spans="191:191" x14ac:dyDescent="0.2">
      <c r="GI25200" s="422"/>
    </row>
    <row r="25201" spans="191:191" x14ac:dyDescent="0.2">
      <c r="GI25201" s="422"/>
    </row>
    <row r="25202" spans="191:191" x14ac:dyDescent="0.2">
      <c r="GI25202" s="422"/>
    </row>
    <row r="25203" spans="191:191" x14ac:dyDescent="0.2">
      <c r="GI25203" s="422"/>
    </row>
    <row r="25204" spans="191:191" x14ac:dyDescent="0.2">
      <c r="GI25204" s="422"/>
    </row>
    <row r="25205" spans="191:191" x14ac:dyDescent="0.2">
      <c r="GI25205" s="422"/>
    </row>
    <row r="25206" spans="191:191" x14ac:dyDescent="0.2">
      <c r="GI25206" s="422"/>
    </row>
    <row r="25207" spans="191:191" x14ac:dyDescent="0.2">
      <c r="GI25207" s="422"/>
    </row>
    <row r="25208" spans="191:191" x14ac:dyDescent="0.2">
      <c r="GI25208" s="422"/>
    </row>
    <row r="25209" spans="191:191" x14ac:dyDescent="0.2">
      <c r="GI25209" s="422"/>
    </row>
    <row r="25210" spans="191:191" x14ac:dyDescent="0.2">
      <c r="GI25210" s="422"/>
    </row>
    <row r="25211" spans="191:191" x14ac:dyDescent="0.2">
      <c r="GI25211" s="422"/>
    </row>
    <row r="25212" spans="191:191" x14ac:dyDescent="0.2">
      <c r="GI25212" s="422"/>
    </row>
    <row r="25213" spans="191:191" x14ac:dyDescent="0.2">
      <c r="GI25213" s="422"/>
    </row>
    <row r="25214" spans="191:191" x14ac:dyDescent="0.2">
      <c r="GI25214" s="422"/>
    </row>
    <row r="25215" spans="191:191" x14ac:dyDescent="0.2">
      <c r="GI25215" s="422"/>
    </row>
    <row r="25216" spans="191:191" x14ac:dyDescent="0.2">
      <c r="GI25216" s="422"/>
    </row>
    <row r="25217" spans="191:191" x14ac:dyDescent="0.2">
      <c r="GI25217" s="422"/>
    </row>
    <row r="25218" spans="191:191" x14ac:dyDescent="0.2">
      <c r="GI25218" s="422"/>
    </row>
    <row r="25219" spans="191:191" x14ac:dyDescent="0.2">
      <c r="GI25219" s="422"/>
    </row>
    <row r="25220" spans="191:191" x14ac:dyDescent="0.2">
      <c r="GI25220" s="422"/>
    </row>
    <row r="25221" spans="191:191" x14ac:dyDescent="0.2">
      <c r="GI25221" s="422"/>
    </row>
    <row r="25222" spans="191:191" x14ac:dyDescent="0.2">
      <c r="GI25222" s="422"/>
    </row>
    <row r="25223" spans="191:191" x14ac:dyDescent="0.2">
      <c r="GI25223" s="422"/>
    </row>
    <row r="25224" spans="191:191" x14ac:dyDescent="0.2">
      <c r="GI25224" s="422"/>
    </row>
    <row r="25225" spans="191:191" x14ac:dyDescent="0.2">
      <c r="GI25225" s="422"/>
    </row>
    <row r="25226" spans="191:191" x14ac:dyDescent="0.2">
      <c r="GI25226" s="422"/>
    </row>
    <row r="25227" spans="191:191" x14ac:dyDescent="0.2">
      <c r="GI25227" s="422"/>
    </row>
    <row r="25228" spans="191:191" x14ac:dyDescent="0.2">
      <c r="GI25228" s="422"/>
    </row>
    <row r="25229" spans="191:191" x14ac:dyDescent="0.2">
      <c r="GI25229" s="422"/>
    </row>
    <row r="25230" spans="191:191" x14ac:dyDescent="0.2">
      <c r="GI25230" s="422"/>
    </row>
    <row r="25231" spans="191:191" x14ac:dyDescent="0.2">
      <c r="GI25231" s="422"/>
    </row>
    <row r="25232" spans="191:191" x14ac:dyDescent="0.2">
      <c r="GI25232" s="422"/>
    </row>
    <row r="25233" spans="191:191" x14ac:dyDescent="0.2">
      <c r="GI25233" s="422"/>
    </row>
    <row r="25234" spans="191:191" x14ac:dyDescent="0.2">
      <c r="GI25234" s="422"/>
    </row>
    <row r="25235" spans="191:191" x14ac:dyDescent="0.2">
      <c r="GI25235" s="422"/>
    </row>
    <row r="25236" spans="191:191" x14ac:dyDescent="0.2">
      <c r="GI25236" s="422"/>
    </row>
    <row r="25237" spans="191:191" x14ac:dyDescent="0.2">
      <c r="GI25237" s="422"/>
    </row>
    <row r="25238" spans="191:191" x14ac:dyDescent="0.2">
      <c r="GI25238" s="422"/>
    </row>
    <row r="25239" spans="191:191" x14ac:dyDescent="0.2">
      <c r="GI25239" s="422"/>
    </row>
    <row r="25240" spans="191:191" x14ac:dyDescent="0.2">
      <c r="GI25240" s="422"/>
    </row>
    <row r="25241" spans="191:191" x14ac:dyDescent="0.2">
      <c r="GI25241" s="422"/>
    </row>
    <row r="25242" spans="191:191" x14ac:dyDescent="0.2">
      <c r="GI25242" s="422"/>
    </row>
    <row r="25243" spans="191:191" x14ac:dyDescent="0.2">
      <c r="GI25243" s="422"/>
    </row>
    <row r="25244" spans="191:191" x14ac:dyDescent="0.2">
      <c r="GI25244" s="422"/>
    </row>
    <row r="25245" spans="191:191" x14ac:dyDescent="0.2">
      <c r="GI25245" s="422"/>
    </row>
    <row r="25246" spans="191:191" x14ac:dyDescent="0.2">
      <c r="GI25246" s="422"/>
    </row>
    <row r="25247" spans="191:191" x14ac:dyDescent="0.2">
      <c r="GI25247" s="422"/>
    </row>
    <row r="25248" spans="191:191" x14ac:dyDescent="0.2">
      <c r="GI25248" s="422"/>
    </row>
    <row r="25249" spans="191:191" x14ac:dyDescent="0.2">
      <c r="GI25249" s="422"/>
    </row>
    <row r="25250" spans="191:191" x14ac:dyDescent="0.2">
      <c r="GI25250" s="422"/>
    </row>
    <row r="25251" spans="191:191" x14ac:dyDescent="0.2">
      <c r="GI25251" s="422"/>
    </row>
    <row r="25252" spans="191:191" x14ac:dyDescent="0.2">
      <c r="GI25252" s="422"/>
    </row>
    <row r="25253" spans="191:191" x14ac:dyDescent="0.2">
      <c r="GI25253" s="422"/>
    </row>
    <row r="25254" spans="191:191" x14ac:dyDescent="0.2">
      <c r="GI25254" s="422"/>
    </row>
    <row r="25255" spans="191:191" x14ac:dyDescent="0.2">
      <c r="GI25255" s="422"/>
    </row>
    <row r="25256" spans="191:191" x14ac:dyDescent="0.2">
      <c r="GI25256" s="422"/>
    </row>
    <row r="25257" spans="191:191" x14ac:dyDescent="0.2">
      <c r="GI25257" s="422"/>
    </row>
    <row r="25258" spans="191:191" x14ac:dyDescent="0.2">
      <c r="GI25258" s="422"/>
    </row>
    <row r="25259" spans="191:191" x14ac:dyDescent="0.2">
      <c r="GI25259" s="422"/>
    </row>
    <row r="25260" spans="191:191" x14ac:dyDescent="0.2">
      <c r="GI25260" s="422"/>
    </row>
    <row r="25261" spans="191:191" x14ac:dyDescent="0.2">
      <c r="GI25261" s="422"/>
    </row>
    <row r="25262" spans="191:191" x14ac:dyDescent="0.2">
      <c r="GI25262" s="422"/>
    </row>
    <row r="25263" spans="191:191" x14ac:dyDescent="0.2">
      <c r="GI25263" s="422"/>
    </row>
    <row r="25264" spans="191:191" x14ac:dyDescent="0.2">
      <c r="GI25264" s="422"/>
    </row>
    <row r="25265" spans="191:191" x14ac:dyDescent="0.2">
      <c r="GI25265" s="422"/>
    </row>
    <row r="25266" spans="191:191" x14ac:dyDescent="0.2">
      <c r="GI25266" s="422"/>
    </row>
    <row r="25267" spans="191:191" x14ac:dyDescent="0.2">
      <c r="GI25267" s="422"/>
    </row>
    <row r="25268" spans="191:191" x14ac:dyDescent="0.2">
      <c r="GI25268" s="422"/>
    </row>
    <row r="25269" spans="191:191" x14ac:dyDescent="0.2">
      <c r="GI25269" s="422"/>
    </row>
    <row r="25270" spans="191:191" x14ac:dyDescent="0.2">
      <c r="GI25270" s="422"/>
    </row>
    <row r="25271" spans="191:191" x14ac:dyDescent="0.2">
      <c r="GI25271" s="422"/>
    </row>
    <row r="25272" spans="191:191" x14ac:dyDescent="0.2">
      <c r="GI25272" s="422"/>
    </row>
    <row r="25273" spans="191:191" x14ac:dyDescent="0.2">
      <c r="GI25273" s="422"/>
    </row>
    <row r="25274" spans="191:191" x14ac:dyDescent="0.2">
      <c r="GI25274" s="422"/>
    </row>
    <row r="25275" spans="191:191" x14ac:dyDescent="0.2">
      <c r="GI25275" s="422"/>
    </row>
    <row r="25276" spans="191:191" x14ac:dyDescent="0.2">
      <c r="GI25276" s="422"/>
    </row>
    <row r="25277" spans="191:191" x14ac:dyDescent="0.2">
      <c r="GI25277" s="422"/>
    </row>
    <row r="25278" spans="191:191" x14ac:dyDescent="0.2">
      <c r="GI25278" s="422"/>
    </row>
    <row r="25279" spans="191:191" x14ac:dyDescent="0.2">
      <c r="GI25279" s="422"/>
    </row>
    <row r="25280" spans="191:191" x14ac:dyDescent="0.2">
      <c r="GI25280" s="422"/>
    </row>
    <row r="25281" spans="191:191" x14ac:dyDescent="0.2">
      <c r="GI25281" s="422"/>
    </row>
    <row r="25282" spans="191:191" x14ac:dyDescent="0.2">
      <c r="GI25282" s="422"/>
    </row>
    <row r="25283" spans="191:191" x14ac:dyDescent="0.2">
      <c r="GI25283" s="422"/>
    </row>
    <row r="25284" spans="191:191" x14ac:dyDescent="0.2">
      <c r="GI25284" s="422"/>
    </row>
    <row r="25285" spans="191:191" x14ac:dyDescent="0.2">
      <c r="GI25285" s="422"/>
    </row>
    <row r="25286" spans="191:191" x14ac:dyDescent="0.2">
      <c r="GI25286" s="422"/>
    </row>
    <row r="25287" spans="191:191" x14ac:dyDescent="0.2">
      <c r="GI25287" s="422"/>
    </row>
    <row r="25288" spans="191:191" x14ac:dyDescent="0.2">
      <c r="GI25288" s="422"/>
    </row>
    <row r="25289" spans="191:191" x14ac:dyDescent="0.2">
      <c r="GI25289" s="422"/>
    </row>
    <row r="25290" spans="191:191" x14ac:dyDescent="0.2">
      <c r="GI25290" s="422"/>
    </row>
    <row r="25291" spans="191:191" x14ac:dyDescent="0.2">
      <c r="GI25291" s="422"/>
    </row>
    <row r="25292" spans="191:191" x14ac:dyDescent="0.2">
      <c r="GI25292" s="422"/>
    </row>
    <row r="25293" spans="191:191" x14ac:dyDescent="0.2">
      <c r="GI25293" s="422"/>
    </row>
    <row r="25294" spans="191:191" x14ac:dyDescent="0.2">
      <c r="GI25294" s="422"/>
    </row>
    <row r="25295" spans="191:191" x14ac:dyDescent="0.2">
      <c r="GI25295" s="422"/>
    </row>
    <row r="25296" spans="191:191" x14ac:dyDescent="0.2">
      <c r="GI25296" s="422"/>
    </row>
    <row r="25297" spans="191:191" x14ac:dyDescent="0.2">
      <c r="GI25297" s="422"/>
    </row>
    <row r="25298" spans="191:191" x14ac:dyDescent="0.2">
      <c r="GI25298" s="422"/>
    </row>
    <row r="25299" spans="191:191" x14ac:dyDescent="0.2">
      <c r="GI25299" s="422"/>
    </row>
    <row r="25300" spans="191:191" x14ac:dyDescent="0.2">
      <c r="GI25300" s="422"/>
    </row>
    <row r="25301" spans="191:191" x14ac:dyDescent="0.2">
      <c r="GI25301" s="422"/>
    </row>
    <row r="25302" spans="191:191" x14ac:dyDescent="0.2">
      <c r="GI25302" s="422"/>
    </row>
    <row r="25303" spans="191:191" x14ac:dyDescent="0.2">
      <c r="GI25303" s="422"/>
    </row>
    <row r="25304" spans="191:191" x14ac:dyDescent="0.2">
      <c r="GI25304" s="422"/>
    </row>
    <row r="25305" spans="191:191" x14ac:dyDescent="0.2">
      <c r="GI25305" s="422"/>
    </row>
    <row r="25306" spans="191:191" x14ac:dyDescent="0.2">
      <c r="GI25306" s="422"/>
    </row>
    <row r="25307" spans="191:191" x14ac:dyDescent="0.2">
      <c r="GI25307" s="422"/>
    </row>
    <row r="25308" spans="191:191" x14ac:dyDescent="0.2">
      <c r="GI25308" s="422"/>
    </row>
    <row r="25309" spans="191:191" x14ac:dyDescent="0.2">
      <c r="GI25309" s="422"/>
    </row>
    <row r="25310" spans="191:191" x14ac:dyDescent="0.2">
      <c r="GI25310" s="422"/>
    </row>
    <row r="25311" spans="191:191" x14ac:dyDescent="0.2">
      <c r="GI25311" s="422"/>
    </row>
    <row r="25312" spans="191:191" x14ac:dyDescent="0.2">
      <c r="GI25312" s="422"/>
    </row>
    <row r="25313" spans="191:191" x14ac:dyDescent="0.2">
      <c r="GI25313" s="422"/>
    </row>
    <row r="25314" spans="191:191" x14ac:dyDescent="0.2">
      <c r="GI25314" s="422"/>
    </row>
    <row r="25315" spans="191:191" x14ac:dyDescent="0.2">
      <c r="GI25315" s="422"/>
    </row>
    <row r="25316" spans="191:191" x14ac:dyDescent="0.2">
      <c r="GI25316" s="422"/>
    </row>
    <row r="25317" spans="191:191" x14ac:dyDescent="0.2">
      <c r="GI25317" s="422"/>
    </row>
    <row r="25318" spans="191:191" x14ac:dyDescent="0.2">
      <c r="GI25318" s="422"/>
    </row>
    <row r="25319" spans="191:191" x14ac:dyDescent="0.2">
      <c r="GI25319" s="422"/>
    </row>
    <row r="25320" spans="191:191" x14ac:dyDescent="0.2">
      <c r="GI25320" s="422"/>
    </row>
    <row r="25321" spans="191:191" x14ac:dyDescent="0.2">
      <c r="GI25321" s="422"/>
    </row>
    <row r="25322" spans="191:191" x14ac:dyDescent="0.2">
      <c r="GI25322" s="422"/>
    </row>
    <row r="25323" spans="191:191" x14ac:dyDescent="0.2">
      <c r="GI25323" s="422"/>
    </row>
    <row r="25324" spans="191:191" x14ac:dyDescent="0.2">
      <c r="GI25324" s="422"/>
    </row>
    <row r="25325" spans="191:191" x14ac:dyDescent="0.2">
      <c r="GI25325" s="422"/>
    </row>
    <row r="25326" spans="191:191" x14ac:dyDescent="0.2">
      <c r="GI25326" s="422"/>
    </row>
    <row r="25327" spans="191:191" x14ac:dyDescent="0.2">
      <c r="GI25327" s="422"/>
    </row>
    <row r="25328" spans="191:191" x14ac:dyDescent="0.2">
      <c r="GI25328" s="422"/>
    </row>
    <row r="25329" spans="191:191" x14ac:dyDescent="0.2">
      <c r="GI25329" s="422"/>
    </row>
    <row r="25330" spans="191:191" x14ac:dyDescent="0.2">
      <c r="GI25330" s="422"/>
    </row>
    <row r="25331" spans="191:191" x14ac:dyDescent="0.2">
      <c r="GI25331" s="422"/>
    </row>
    <row r="25332" spans="191:191" x14ac:dyDescent="0.2">
      <c r="GI25332" s="422"/>
    </row>
    <row r="25333" spans="191:191" x14ac:dyDescent="0.2">
      <c r="GI25333" s="422"/>
    </row>
    <row r="25334" spans="191:191" x14ac:dyDescent="0.2">
      <c r="GI25334" s="422"/>
    </row>
    <row r="25335" spans="191:191" x14ac:dyDescent="0.2">
      <c r="GI25335" s="422"/>
    </row>
    <row r="25336" spans="191:191" x14ac:dyDescent="0.2">
      <c r="GI25336" s="422"/>
    </row>
    <row r="25337" spans="191:191" x14ac:dyDescent="0.2">
      <c r="GI25337" s="422"/>
    </row>
    <row r="25338" spans="191:191" x14ac:dyDescent="0.2">
      <c r="GI25338" s="422"/>
    </row>
    <row r="25339" spans="191:191" x14ac:dyDescent="0.2">
      <c r="GI25339" s="422"/>
    </row>
    <row r="25340" spans="191:191" x14ac:dyDescent="0.2">
      <c r="GI25340" s="422"/>
    </row>
    <row r="25341" spans="191:191" x14ac:dyDescent="0.2">
      <c r="GI25341" s="422"/>
    </row>
    <row r="25342" spans="191:191" x14ac:dyDescent="0.2">
      <c r="GI25342" s="422"/>
    </row>
    <row r="25343" spans="191:191" x14ac:dyDescent="0.2">
      <c r="GI25343" s="422"/>
    </row>
    <row r="25344" spans="191:191" x14ac:dyDescent="0.2">
      <c r="GI25344" s="422"/>
    </row>
    <row r="25345" spans="191:191" x14ac:dyDescent="0.2">
      <c r="GI25345" s="422"/>
    </row>
    <row r="25346" spans="191:191" x14ac:dyDescent="0.2">
      <c r="GI25346" s="422"/>
    </row>
    <row r="25347" spans="191:191" x14ac:dyDescent="0.2">
      <c r="GI25347" s="422"/>
    </row>
    <row r="25348" spans="191:191" x14ac:dyDescent="0.2">
      <c r="GI25348" s="422"/>
    </row>
    <row r="25349" spans="191:191" x14ac:dyDescent="0.2">
      <c r="GI25349" s="422"/>
    </row>
    <row r="25350" spans="191:191" x14ac:dyDescent="0.2">
      <c r="GI25350" s="422"/>
    </row>
    <row r="25351" spans="191:191" x14ac:dyDescent="0.2">
      <c r="GI25351" s="422"/>
    </row>
    <row r="25352" spans="191:191" x14ac:dyDescent="0.2">
      <c r="GI25352" s="422"/>
    </row>
    <row r="25353" spans="191:191" x14ac:dyDescent="0.2">
      <c r="GI25353" s="422"/>
    </row>
    <row r="25354" spans="191:191" x14ac:dyDescent="0.2">
      <c r="GI25354" s="422"/>
    </row>
    <row r="25355" spans="191:191" x14ac:dyDescent="0.2">
      <c r="GI25355" s="422"/>
    </row>
    <row r="25356" spans="191:191" x14ac:dyDescent="0.2">
      <c r="GI25356" s="422"/>
    </row>
    <row r="25357" spans="191:191" x14ac:dyDescent="0.2">
      <c r="GI25357" s="422"/>
    </row>
    <row r="25358" spans="191:191" x14ac:dyDescent="0.2">
      <c r="GI25358" s="422"/>
    </row>
    <row r="25359" spans="191:191" x14ac:dyDescent="0.2">
      <c r="GI25359" s="422"/>
    </row>
    <row r="25360" spans="191:191" x14ac:dyDescent="0.2">
      <c r="GI25360" s="422"/>
    </row>
    <row r="25361" spans="191:191" x14ac:dyDescent="0.2">
      <c r="GI25361" s="422"/>
    </row>
    <row r="25362" spans="191:191" x14ac:dyDescent="0.2">
      <c r="GI25362" s="422"/>
    </row>
    <row r="25363" spans="191:191" x14ac:dyDescent="0.2">
      <c r="GI25363" s="422"/>
    </row>
    <row r="25364" spans="191:191" x14ac:dyDescent="0.2">
      <c r="GI25364" s="422"/>
    </row>
    <row r="25365" spans="191:191" x14ac:dyDescent="0.2">
      <c r="GI25365" s="422"/>
    </row>
    <row r="25366" spans="191:191" x14ac:dyDescent="0.2">
      <c r="GI25366" s="422"/>
    </row>
    <row r="25367" spans="191:191" x14ac:dyDescent="0.2">
      <c r="GI25367" s="422"/>
    </row>
    <row r="25368" spans="191:191" x14ac:dyDescent="0.2">
      <c r="GI25368" s="422"/>
    </row>
    <row r="25369" spans="191:191" x14ac:dyDescent="0.2">
      <c r="GI25369" s="422"/>
    </row>
    <row r="25370" spans="191:191" x14ac:dyDescent="0.2">
      <c r="GI25370" s="422"/>
    </row>
    <row r="25371" spans="191:191" x14ac:dyDescent="0.2">
      <c r="GI25371" s="422"/>
    </row>
    <row r="25372" spans="191:191" x14ac:dyDescent="0.2">
      <c r="GI25372" s="422"/>
    </row>
    <row r="25373" spans="191:191" x14ac:dyDescent="0.2">
      <c r="GI25373" s="422"/>
    </row>
    <row r="25374" spans="191:191" x14ac:dyDescent="0.2">
      <c r="GI25374" s="422"/>
    </row>
    <row r="25375" spans="191:191" x14ac:dyDescent="0.2">
      <c r="GI25375" s="422"/>
    </row>
    <row r="25376" spans="191:191" x14ac:dyDescent="0.2">
      <c r="GI25376" s="422"/>
    </row>
    <row r="25377" spans="191:191" x14ac:dyDescent="0.2">
      <c r="GI25377" s="422"/>
    </row>
    <row r="25378" spans="191:191" x14ac:dyDescent="0.2">
      <c r="GI25378" s="422"/>
    </row>
    <row r="25379" spans="191:191" x14ac:dyDescent="0.2">
      <c r="GI25379" s="422"/>
    </row>
    <row r="25380" spans="191:191" x14ac:dyDescent="0.2">
      <c r="GI25380" s="422"/>
    </row>
    <row r="25381" spans="191:191" x14ac:dyDescent="0.2">
      <c r="GI25381" s="422"/>
    </row>
    <row r="25382" spans="191:191" x14ac:dyDescent="0.2">
      <c r="GI25382" s="422"/>
    </row>
    <row r="25383" spans="191:191" x14ac:dyDescent="0.2">
      <c r="GI25383" s="422"/>
    </row>
    <row r="25384" spans="191:191" x14ac:dyDescent="0.2">
      <c r="GI25384" s="422"/>
    </row>
    <row r="25385" spans="191:191" x14ac:dyDescent="0.2">
      <c r="GI25385" s="422"/>
    </row>
    <row r="25386" spans="191:191" x14ac:dyDescent="0.2">
      <c r="GI25386" s="422"/>
    </row>
    <row r="25387" spans="191:191" x14ac:dyDescent="0.2">
      <c r="GI25387" s="422"/>
    </row>
    <row r="25388" spans="191:191" x14ac:dyDescent="0.2">
      <c r="GI25388" s="422"/>
    </row>
    <row r="25389" spans="191:191" x14ac:dyDescent="0.2">
      <c r="GI25389" s="422"/>
    </row>
    <row r="25390" spans="191:191" x14ac:dyDescent="0.2">
      <c r="GI25390" s="422"/>
    </row>
    <row r="25391" spans="191:191" x14ac:dyDescent="0.2">
      <c r="GI25391" s="422"/>
    </row>
    <row r="25392" spans="191:191" x14ac:dyDescent="0.2">
      <c r="GI25392" s="422"/>
    </row>
    <row r="25393" spans="191:191" x14ac:dyDescent="0.2">
      <c r="GI25393" s="422"/>
    </row>
    <row r="25394" spans="191:191" x14ac:dyDescent="0.2">
      <c r="GI25394" s="422"/>
    </row>
    <row r="25395" spans="191:191" x14ac:dyDescent="0.2">
      <c r="GI25395" s="422"/>
    </row>
    <row r="25396" spans="191:191" x14ac:dyDescent="0.2">
      <c r="GI25396" s="422"/>
    </row>
    <row r="25397" spans="191:191" x14ac:dyDescent="0.2">
      <c r="GI25397" s="422"/>
    </row>
    <row r="25398" spans="191:191" x14ac:dyDescent="0.2">
      <c r="GI25398" s="422"/>
    </row>
    <row r="25399" spans="191:191" x14ac:dyDescent="0.2">
      <c r="GI25399" s="422"/>
    </row>
    <row r="25400" spans="191:191" x14ac:dyDescent="0.2">
      <c r="GI25400" s="422"/>
    </row>
    <row r="25401" spans="191:191" x14ac:dyDescent="0.2">
      <c r="GI25401" s="422"/>
    </row>
    <row r="25402" spans="191:191" x14ac:dyDescent="0.2">
      <c r="GI25402" s="422"/>
    </row>
    <row r="25403" spans="191:191" x14ac:dyDescent="0.2">
      <c r="GI25403" s="422"/>
    </row>
    <row r="25404" spans="191:191" x14ac:dyDescent="0.2">
      <c r="GI25404" s="422"/>
    </row>
    <row r="25405" spans="191:191" x14ac:dyDescent="0.2">
      <c r="GI25405" s="422"/>
    </row>
    <row r="25406" spans="191:191" x14ac:dyDescent="0.2">
      <c r="GI25406" s="422"/>
    </row>
    <row r="25407" spans="191:191" x14ac:dyDescent="0.2">
      <c r="GI25407" s="422"/>
    </row>
    <row r="25408" spans="191:191" x14ac:dyDescent="0.2">
      <c r="GI25408" s="422"/>
    </row>
    <row r="25409" spans="191:191" x14ac:dyDescent="0.2">
      <c r="GI25409" s="422"/>
    </row>
    <row r="25410" spans="191:191" x14ac:dyDescent="0.2">
      <c r="GI25410" s="422"/>
    </row>
    <row r="25411" spans="191:191" x14ac:dyDescent="0.2">
      <c r="GI25411" s="422"/>
    </row>
    <row r="25412" spans="191:191" x14ac:dyDescent="0.2">
      <c r="GI25412" s="422"/>
    </row>
    <row r="25413" spans="191:191" x14ac:dyDescent="0.2">
      <c r="GI25413" s="422"/>
    </row>
    <row r="25414" spans="191:191" x14ac:dyDescent="0.2">
      <c r="GI25414" s="422"/>
    </row>
    <row r="25415" spans="191:191" x14ac:dyDescent="0.2">
      <c r="GI25415" s="422"/>
    </row>
    <row r="25416" spans="191:191" x14ac:dyDescent="0.2">
      <c r="GI25416" s="422"/>
    </row>
    <row r="25417" spans="191:191" x14ac:dyDescent="0.2">
      <c r="GI25417" s="422"/>
    </row>
    <row r="25418" spans="191:191" x14ac:dyDescent="0.2">
      <c r="GI25418" s="422"/>
    </row>
    <row r="25419" spans="191:191" x14ac:dyDescent="0.2">
      <c r="GI25419" s="422"/>
    </row>
    <row r="25420" spans="191:191" x14ac:dyDescent="0.2">
      <c r="GI25420" s="422"/>
    </row>
    <row r="25421" spans="191:191" x14ac:dyDescent="0.2">
      <c r="GI25421" s="422"/>
    </row>
    <row r="25422" spans="191:191" x14ac:dyDescent="0.2">
      <c r="GI25422" s="422"/>
    </row>
    <row r="25423" spans="191:191" x14ac:dyDescent="0.2">
      <c r="GI25423" s="422"/>
    </row>
    <row r="25424" spans="191:191" x14ac:dyDescent="0.2">
      <c r="GI25424" s="422"/>
    </row>
    <row r="25425" spans="191:191" x14ac:dyDescent="0.2">
      <c r="GI25425" s="422"/>
    </row>
    <row r="25426" spans="191:191" x14ac:dyDescent="0.2">
      <c r="GI25426" s="422"/>
    </row>
    <row r="25427" spans="191:191" x14ac:dyDescent="0.2">
      <c r="GI25427" s="422"/>
    </row>
    <row r="25428" spans="191:191" x14ac:dyDescent="0.2">
      <c r="GI25428" s="422"/>
    </row>
    <row r="25429" spans="191:191" x14ac:dyDescent="0.2">
      <c r="GI25429" s="422"/>
    </row>
    <row r="25430" spans="191:191" x14ac:dyDescent="0.2">
      <c r="GI25430" s="422"/>
    </row>
    <row r="25431" spans="191:191" x14ac:dyDescent="0.2">
      <c r="GI25431" s="422"/>
    </row>
    <row r="25432" spans="191:191" x14ac:dyDescent="0.2">
      <c r="GI25432" s="422"/>
    </row>
    <row r="25433" spans="191:191" x14ac:dyDescent="0.2">
      <c r="GI25433" s="422"/>
    </row>
    <row r="25434" spans="191:191" x14ac:dyDescent="0.2">
      <c r="GI25434" s="422"/>
    </row>
    <row r="25435" spans="191:191" x14ac:dyDescent="0.2">
      <c r="GI25435" s="422"/>
    </row>
    <row r="25436" spans="191:191" x14ac:dyDescent="0.2">
      <c r="GI25436" s="422"/>
    </row>
    <row r="25437" spans="191:191" x14ac:dyDescent="0.2">
      <c r="GI25437" s="422"/>
    </row>
    <row r="25438" spans="191:191" x14ac:dyDescent="0.2">
      <c r="GI25438" s="422"/>
    </row>
    <row r="25439" spans="191:191" x14ac:dyDescent="0.2">
      <c r="GI25439" s="422"/>
    </row>
    <row r="25440" spans="191:191" x14ac:dyDescent="0.2">
      <c r="GI25440" s="422"/>
    </row>
    <row r="25441" spans="191:191" x14ac:dyDescent="0.2">
      <c r="GI25441" s="422"/>
    </row>
    <row r="25442" spans="191:191" x14ac:dyDescent="0.2">
      <c r="GI25442" s="422"/>
    </row>
    <row r="25443" spans="191:191" x14ac:dyDescent="0.2">
      <c r="GI25443" s="422"/>
    </row>
    <row r="25444" spans="191:191" x14ac:dyDescent="0.2">
      <c r="GI25444" s="422"/>
    </row>
    <row r="25445" spans="191:191" x14ac:dyDescent="0.2">
      <c r="GI25445" s="422"/>
    </row>
    <row r="25446" spans="191:191" x14ac:dyDescent="0.2">
      <c r="GI25446" s="422"/>
    </row>
    <row r="25447" spans="191:191" x14ac:dyDescent="0.2">
      <c r="GI25447" s="422"/>
    </row>
    <row r="25448" spans="191:191" x14ac:dyDescent="0.2">
      <c r="GI25448" s="422"/>
    </row>
    <row r="25449" spans="191:191" x14ac:dyDescent="0.2">
      <c r="GI25449" s="422"/>
    </row>
    <row r="25450" spans="191:191" x14ac:dyDescent="0.2">
      <c r="GI25450" s="422"/>
    </row>
    <row r="25451" spans="191:191" x14ac:dyDescent="0.2">
      <c r="GI25451" s="422"/>
    </row>
    <row r="25452" spans="191:191" x14ac:dyDescent="0.2">
      <c r="GI25452" s="422"/>
    </row>
    <row r="25453" spans="191:191" x14ac:dyDescent="0.2">
      <c r="GI25453" s="422"/>
    </row>
    <row r="25454" spans="191:191" x14ac:dyDescent="0.2">
      <c r="GI25454" s="422"/>
    </row>
    <row r="25455" spans="191:191" x14ac:dyDescent="0.2">
      <c r="GI25455" s="422"/>
    </row>
    <row r="25456" spans="191:191" x14ac:dyDescent="0.2">
      <c r="GI25456" s="422"/>
    </row>
    <row r="25457" spans="191:191" x14ac:dyDescent="0.2">
      <c r="GI25457" s="422"/>
    </row>
    <row r="25458" spans="191:191" x14ac:dyDescent="0.2">
      <c r="GI25458" s="422"/>
    </row>
    <row r="25459" spans="191:191" x14ac:dyDescent="0.2">
      <c r="GI25459" s="422"/>
    </row>
    <row r="25460" spans="191:191" x14ac:dyDescent="0.2">
      <c r="GI25460" s="422"/>
    </row>
    <row r="25461" spans="191:191" x14ac:dyDescent="0.2">
      <c r="GI25461" s="422"/>
    </row>
    <row r="25462" spans="191:191" x14ac:dyDescent="0.2">
      <c r="GI25462" s="422"/>
    </row>
    <row r="25463" spans="191:191" x14ac:dyDescent="0.2">
      <c r="GI25463" s="422"/>
    </row>
    <row r="25464" spans="191:191" x14ac:dyDescent="0.2">
      <c r="GI25464" s="422"/>
    </row>
    <row r="25465" spans="191:191" x14ac:dyDescent="0.2">
      <c r="GI25465" s="422"/>
    </row>
    <row r="25466" spans="191:191" x14ac:dyDescent="0.2">
      <c r="GI25466" s="422"/>
    </row>
    <row r="25467" spans="191:191" x14ac:dyDescent="0.2">
      <c r="GI25467" s="422"/>
    </row>
    <row r="25468" spans="191:191" x14ac:dyDescent="0.2">
      <c r="GI25468" s="422"/>
    </row>
    <row r="25469" spans="191:191" x14ac:dyDescent="0.2">
      <c r="GI25469" s="422"/>
    </row>
    <row r="25470" spans="191:191" x14ac:dyDescent="0.2">
      <c r="GI25470" s="422"/>
    </row>
    <row r="25471" spans="191:191" x14ac:dyDescent="0.2">
      <c r="GI25471" s="422"/>
    </row>
    <row r="25472" spans="191:191" x14ac:dyDescent="0.2">
      <c r="GI25472" s="422"/>
    </row>
    <row r="25473" spans="191:191" x14ac:dyDescent="0.2">
      <c r="GI25473" s="422"/>
    </row>
    <row r="25474" spans="191:191" x14ac:dyDescent="0.2">
      <c r="GI25474" s="422"/>
    </row>
    <row r="25475" spans="191:191" x14ac:dyDescent="0.2">
      <c r="GI25475" s="422"/>
    </row>
    <row r="25476" spans="191:191" x14ac:dyDescent="0.2">
      <c r="GI25476" s="422"/>
    </row>
    <row r="25477" spans="191:191" x14ac:dyDescent="0.2">
      <c r="GI25477" s="422"/>
    </row>
    <row r="25478" spans="191:191" x14ac:dyDescent="0.2">
      <c r="GI25478" s="422"/>
    </row>
    <row r="25479" spans="191:191" x14ac:dyDescent="0.2">
      <c r="GI25479" s="422"/>
    </row>
    <row r="25480" spans="191:191" x14ac:dyDescent="0.2">
      <c r="GI25480" s="422"/>
    </row>
    <row r="25481" spans="191:191" x14ac:dyDescent="0.2">
      <c r="GI25481" s="422"/>
    </row>
    <row r="25482" spans="191:191" x14ac:dyDescent="0.2">
      <c r="GI25482" s="422"/>
    </row>
    <row r="25483" spans="191:191" x14ac:dyDescent="0.2">
      <c r="GI25483" s="422"/>
    </row>
    <row r="25484" spans="191:191" x14ac:dyDescent="0.2">
      <c r="GI25484" s="422"/>
    </row>
    <row r="25485" spans="191:191" x14ac:dyDescent="0.2">
      <c r="GI25485" s="422"/>
    </row>
    <row r="25486" spans="191:191" x14ac:dyDescent="0.2">
      <c r="GI25486" s="422"/>
    </row>
    <row r="25487" spans="191:191" x14ac:dyDescent="0.2">
      <c r="GI25487" s="422"/>
    </row>
    <row r="25488" spans="191:191" x14ac:dyDescent="0.2">
      <c r="GI25488" s="422"/>
    </row>
    <row r="25489" spans="191:191" x14ac:dyDescent="0.2">
      <c r="GI25489" s="422"/>
    </row>
    <row r="25490" spans="191:191" x14ac:dyDescent="0.2">
      <c r="GI25490" s="422"/>
    </row>
    <row r="25491" spans="191:191" x14ac:dyDescent="0.2">
      <c r="GI25491" s="422"/>
    </row>
    <row r="25492" spans="191:191" x14ac:dyDescent="0.2">
      <c r="GI25492" s="422"/>
    </row>
    <row r="25493" spans="191:191" x14ac:dyDescent="0.2">
      <c r="GI25493" s="422"/>
    </row>
    <row r="25494" spans="191:191" x14ac:dyDescent="0.2">
      <c r="GI25494" s="422"/>
    </row>
    <row r="25495" spans="191:191" x14ac:dyDescent="0.2">
      <c r="GI25495" s="422"/>
    </row>
    <row r="25496" spans="191:191" x14ac:dyDescent="0.2">
      <c r="GI25496" s="422"/>
    </row>
    <row r="25497" spans="191:191" x14ac:dyDescent="0.2">
      <c r="GI25497" s="422"/>
    </row>
    <row r="25498" spans="191:191" x14ac:dyDescent="0.2">
      <c r="GI25498" s="422"/>
    </row>
    <row r="25499" spans="191:191" x14ac:dyDescent="0.2">
      <c r="GI25499" s="422"/>
    </row>
    <row r="25500" spans="191:191" x14ac:dyDescent="0.2">
      <c r="GI25500" s="422"/>
    </row>
    <row r="25501" spans="191:191" x14ac:dyDescent="0.2">
      <c r="GI25501" s="422"/>
    </row>
    <row r="25502" spans="191:191" x14ac:dyDescent="0.2">
      <c r="GI25502" s="422"/>
    </row>
    <row r="25503" spans="191:191" x14ac:dyDescent="0.2">
      <c r="GI25503" s="422"/>
    </row>
    <row r="25504" spans="191:191" x14ac:dyDescent="0.2">
      <c r="GI25504" s="422"/>
    </row>
    <row r="25505" spans="191:191" x14ac:dyDescent="0.2">
      <c r="GI25505" s="422"/>
    </row>
    <row r="25506" spans="191:191" x14ac:dyDescent="0.2">
      <c r="GI25506" s="422"/>
    </row>
    <row r="25507" spans="191:191" x14ac:dyDescent="0.2">
      <c r="GI25507" s="422"/>
    </row>
    <row r="25508" spans="191:191" x14ac:dyDescent="0.2">
      <c r="GI25508" s="422"/>
    </row>
    <row r="25509" spans="191:191" x14ac:dyDescent="0.2">
      <c r="GI25509" s="422"/>
    </row>
    <row r="25510" spans="191:191" x14ac:dyDescent="0.2">
      <c r="GI25510" s="422"/>
    </row>
    <row r="25511" spans="191:191" x14ac:dyDescent="0.2">
      <c r="GI25511" s="422"/>
    </row>
    <row r="25512" spans="191:191" x14ac:dyDescent="0.2">
      <c r="GI25512" s="422"/>
    </row>
    <row r="25513" spans="191:191" x14ac:dyDescent="0.2">
      <c r="GI25513" s="422"/>
    </row>
    <row r="25514" spans="191:191" x14ac:dyDescent="0.2">
      <c r="GI25514" s="422"/>
    </row>
    <row r="25515" spans="191:191" x14ac:dyDescent="0.2">
      <c r="GI25515" s="422"/>
    </row>
    <row r="25516" spans="191:191" x14ac:dyDescent="0.2">
      <c r="GI25516" s="422"/>
    </row>
    <row r="25517" spans="191:191" x14ac:dyDescent="0.2">
      <c r="GI25517" s="422"/>
    </row>
    <row r="25518" spans="191:191" x14ac:dyDescent="0.2">
      <c r="GI25518" s="422"/>
    </row>
    <row r="25519" spans="191:191" x14ac:dyDescent="0.2">
      <c r="GI25519" s="422"/>
    </row>
    <row r="25520" spans="191:191" x14ac:dyDescent="0.2">
      <c r="GI25520" s="422"/>
    </row>
    <row r="25521" spans="191:191" x14ac:dyDescent="0.2">
      <c r="GI25521" s="422"/>
    </row>
    <row r="25522" spans="191:191" x14ac:dyDescent="0.2">
      <c r="GI25522" s="422"/>
    </row>
    <row r="25523" spans="191:191" x14ac:dyDescent="0.2">
      <c r="GI25523" s="422"/>
    </row>
    <row r="25524" spans="191:191" x14ac:dyDescent="0.2">
      <c r="GI25524" s="422"/>
    </row>
    <row r="25525" spans="191:191" x14ac:dyDescent="0.2">
      <c r="GI25525" s="422"/>
    </row>
    <row r="25526" spans="191:191" x14ac:dyDescent="0.2">
      <c r="GI25526" s="422"/>
    </row>
    <row r="25527" spans="191:191" x14ac:dyDescent="0.2">
      <c r="GI25527" s="422"/>
    </row>
    <row r="25528" spans="191:191" x14ac:dyDescent="0.2">
      <c r="GI25528" s="422"/>
    </row>
    <row r="25529" spans="191:191" x14ac:dyDescent="0.2">
      <c r="GI25529" s="422"/>
    </row>
    <row r="25530" spans="191:191" x14ac:dyDescent="0.2">
      <c r="GI25530" s="422"/>
    </row>
    <row r="25531" spans="191:191" x14ac:dyDescent="0.2">
      <c r="GI25531" s="422"/>
    </row>
    <row r="25532" spans="191:191" x14ac:dyDescent="0.2">
      <c r="GI25532" s="422"/>
    </row>
    <row r="25533" spans="191:191" x14ac:dyDescent="0.2">
      <c r="GI25533" s="422"/>
    </row>
    <row r="25534" spans="191:191" x14ac:dyDescent="0.2">
      <c r="GI25534" s="422"/>
    </row>
    <row r="25535" spans="191:191" x14ac:dyDescent="0.2">
      <c r="GI25535" s="422"/>
    </row>
    <row r="25536" spans="191:191" x14ac:dyDescent="0.2">
      <c r="GI25536" s="422"/>
    </row>
    <row r="25537" spans="191:191" x14ac:dyDescent="0.2">
      <c r="GI25537" s="422"/>
    </row>
    <row r="25538" spans="191:191" x14ac:dyDescent="0.2">
      <c r="GI25538" s="422"/>
    </row>
    <row r="25539" spans="191:191" x14ac:dyDescent="0.2">
      <c r="GI25539" s="422"/>
    </row>
    <row r="25540" spans="191:191" x14ac:dyDescent="0.2">
      <c r="GI25540" s="422"/>
    </row>
    <row r="25541" spans="191:191" x14ac:dyDescent="0.2">
      <c r="GI25541" s="422"/>
    </row>
    <row r="25542" spans="191:191" x14ac:dyDescent="0.2">
      <c r="GI25542" s="422"/>
    </row>
    <row r="25543" spans="191:191" x14ac:dyDescent="0.2">
      <c r="GI25543" s="422"/>
    </row>
    <row r="25544" spans="191:191" x14ac:dyDescent="0.2">
      <c r="GI25544" s="422"/>
    </row>
    <row r="25545" spans="191:191" x14ac:dyDescent="0.2">
      <c r="GI25545" s="422"/>
    </row>
    <row r="25546" spans="191:191" x14ac:dyDescent="0.2">
      <c r="GI25546" s="422"/>
    </row>
    <row r="25547" spans="191:191" x14ac:dyDescent="0.2">
      <c r="GI25547" s="422"/>
    </row>
    <row r="25548" spans="191:191" x14ac:dyDescent="0.2">
      <c r="GI25548" s="422"/>
    </row>
    <row r="25549" spans="191:191" x14ac:dyDescent="0.2">
      <c r="GI25549" s="422"/>
    </row>
    <row r="25550" spans="191:191" x14ac:dyDescent="0.2">
      <c r="GI25550" s="422"/>
    </row>
    <row r="25551" spans="191:191" x14ac:dyDescent="0.2">
      <c r="GI25551" s="422"/>
    </row>
    <row r="25552" spans="191:191" x14ac:dyDescent="0.2">
      <c r="GI25552" s="422"/>
    </row>
    <row r="25553" spans="191:191" x14ac:dyDescent="0.2">
      <c r="GI25553" s="422"/>
    </row>
    <row r="25554" spans="191:191" x14ac:dyDescent="0.2">
      <c r="GI25554" s="422"/>
    </row>
    <row r="25555" spans="191:191" x14ac:dyDescent="0.2">
      <c r="GI25555" s="422"/>
    </row>
    <row r="25556" spans="191:191" x14ac:dyDescent="0.2">
      <c r="GI25556" s="422"/>
    </row>
    <row r="25557" spans="191:191" x14ac:dyDescent="0.2">
      <c r="GI25557" s="422"/>
    </row>
    <row r="25558" spans="191:191" x14ac:dyDescent="0.2">
      <c r="GI25558" s="422"/>
    </row>
    <row r="25559" spans="191:191" x14ac:dyDescent="0.2">
      <c r="GI25559" s="422"/>
    </row>
    <row r="25560" spans="191:191" x14ac:dyDescent="0.2">
      <c r="GI25560" s="422"/>
    </row>
    <row r="25561" spans="191:191" x14ac:dyDescent="0.2">
      <c r="GI25561" s="422"/>
    </row>
    <row r="25562" spans="191:191" x14ac:dyDescent="0.2">
      <c r="GI25562" s="422"/>
    </row>
    <row r="25563" spans="191:191" x14ac:dyDescent="0.2">
      <c r="GI25563" s="422"/>
    </row>
    <row r="25564" spans="191:191" x14ac:dyDescent="0.2">
      <c r="GI25564" s="422"/>
    </row>
    <row r="25565" spans="191:191" x14ac:dyDescent="0.2">
      <c r="GI25565" s="422"/>
    </row>
    <row r="25566" spans="191:191" x14ac:dyDescent="0.2">
      <c r="GI25566" s="422"/>
    </row>
    <row r="25567" spans="191:191" x14ac:dyDescent="0.2">
      <c r="GI25567" s="422"/>
    </row>
    <row r="25568" spans="191:191" x14ac:dyDescent="0.2">
      <c r="GI25568" s="422"/>
    </row>
    <row r="25569" spans="191:191" x14ac:dyDescent="0.2">
      <c r="GI25569" s="422"/>
    </row>
    <row r="25570" spans="191:191" x14ac:dyDescent="0.2">
      <c r="GI25570" s="422"/>
    </row>
    <row r="25571" spans="191:191" x14ac:dyDescent="0.2">
      <c r="GI25571" s="422"/>
    </row>
    <row r="25572" spans="191:191" x14ac:dyDescent="0.2">
      <c r="GI25572" s="422"/>
    </row>
    <row r="25573" spans="191:191" x14ac:dyDescent="0.2">
      <c r="GI25573" s="422"/>
    </row>
    <row r="25574" spans="191:191" x14ac:dyDescent="0.2">
      <c r="GI25574" s="422"/>
    </row>
    <row r="25575" spans="191:191" x14ac:dyDescent="0.2">
      <c r="GI25575" s="422"/>
    </row>
    <row r="25576" spans="191:191" x14ac:dyDescent="0.2">
      <c r="GI25576" s="422"/>
    </row>
    <row r="25577" spans="191:191" x14ac:dyDescent="0.2">
      <c r="GI25577" s="422"/>
    </row>
    <row r="25578" spans="191:191" x14ac:dyDescent="0.2">
      <c r="GI25578" s="422"/>
    </row>
    <row r="25579" spans="191:191" x14ac:dyDescent="0.2">
      <c r="GI25579" s="422"/>
    </row>
    <row r="25580" spans="191:191" x14ac:dyDescent="0.2">
      <c r="GI25580" s="422"/>
    </row>
    <row r="25581" spans="191:191" x14ac:dyDescent="0.2">
      <c r="GI25581" s="422"/>
    </row>
    <row r="25582" spans="191:191" x14ac:dyDescent="0.2">
      <c r="GI25582" s="422"/>
    </row>
    <row r="25583" spans="191:191" x14ac:dyDescent="0.2">
      <c r="GI25583" s="422"/>
    </row>
    <row r="25584" spans="191:191" x14ac:dyDescent="0.2">
      <c r="GI25584" s="422"/>
    </row>
    <row r="25585" spans="191:191" x14ac:dyDescent="0.2">
      <c r="GI25585" s="422"/>
    </row>
    <row r="25586" spans="191:191" x14ac:dyDescent="0.2">
      <c r="GI25586" s="422"/>
    </row>
    <row r="25587" spans="191:191" x14ac:dyDescent="0.2">
      <c r="GI25587" s="422"/>
    </row>
    <row r="25588" spans="191:191" x14ac:dyDescent="0.2">
      <c r="GI25588" s="422"/>
    </row>
    <row r="25589" spans="191:191" x14ac:dyDescent="0.2">
      <c r="GI25589" s="422"/>
    </row>
    <row r="25590" spans="191:191" x14ac:dyDescent="0.2">
      <c r="GI25590" s="422"/>
    </row>
    <row r="25591" spans="191:191" x14ac:dyDescent="0.2">
      <c r="GI25591" s="422"/>
    </row>
    <row r="25592" spans="191:191" x14ac:dyDescent="0.2">
      <c r="GI25592" s="422"/>
    </row>
    <row r="25593" spans="191:191" x14ac:dyDescent="0.2">
      <c r="GI25593" s="422"/>
    </row>
    <row r="25594" spans="191:191" x14ac:dyDescent="0.2">
      <c r="GI25594" s="422"/>
    </row>
    <row r="25595" spans="191:191" x14ac:dyDescent="0.2">
      <c r="GI25595" s="422"/>
    </row>
    <row r="25596" spans="191:191" x14ac:dyDescent="0.2">
      <c r="GI25596" s="422"/>
    </row>
    <row r="25597" spans="191:191" x14ac:dyDescent="0.2">
      <c r="GI25597" s="422"/>
    </row>
    <row r="25598" spans="191:191" x14ac:dyDescent="0.2">
      <c r="GI25598" s="422"/>
    </row>
    <row r="25599" spans="191:191" x14ac:dyDescent="0.2">
      <c r="GI25599" s="422"/>
    </row>
    <row r="25600" spans="191:191" x14ac:dyDescent="0.2">
      <c r="GI25600" s="422"/>
    </row>
    <row r="25601" spans="191:191" x14ac:dyDescent="0.2">
      <c r="GI25601" s="422"/>
    </row>
    <row r="25602" spans="191:191" x14ac:dyDescent="0.2">
      <c r="GI25602" s="422"/>
    </row>
    <row r="25603" spans="191:191" x14ac:dyDescent="0.2">
      <c r="GI25603" s="422"/>
    </row>
    <row r="25604" spans="191:191" x14ac:dyDescent="0.2">
      <c r="GI25604" s="422"/>
    </row>
    <row r="25605" spans="191:191" x14ac:dyDescent="0.2">
      <c r="GI25605" s="422"/>
    </row>
    <row r="25606" spans="191:191" x14ac:dyDescent="0.2">
      <c r="GI25606" s="422"/>
    </row>
    <row r="25607" spans="191:191" x14ac:dyDescent="0.2">
      <c r="GI25607" s="422"/>
    </row>
    <row r="25608" spans="191:191" x14ac:dyDescent="0.2">
      <c r="GI25608" s="422"/>
    </row>
    <row r="25609" spans="191:191" x14ac:dyDescent="0.2">
      <c r="GI25609" s="422"/>
    </row>
    <row r="25610" spans="191:191" x14ac:dyDescent="0.2">
      <c r="GI25610" s="422"/>
    </row>
    <row r="25611" spans="191:191" x14ac:dyDescent="0.2">
      <c r="GI25611" s="422"/>
    </row>
    <row r="25612" spans="191:191" x14ac:dyDescent="0.2">
      <c r="GI25612" s="422"/>
    </row>
    <row r="25613" spans="191:191" x14ac:dyDescent="0.2">
      <c r="GI25613" s="422"/>
    </row>
    <row r="25614" spans="191:191" x14ac:dyDescent="0.2">
      <c r="GI25614" s="422"/>
    </row>
    <row r="25615" spans="191:191" x14ac:dyDescent="0.2">
      <c r="GI25615" s="422"/>
    </row>
    <row r="25616" spans="191:191" x14ac:dyDescent="0.2">
      <c r="GI25616" s="422"/>
    </row>
    <row r="25617" spans="191:191" x14ac:dyDescent="0.2">
      <c r="GI25617" s="422"/>
    </row>
    <row r="25618" spans="191:191" x14ac:dyDescent="0.2">
      <c r="GI25618" s="422"/>
    </row>
    <row r="25619" spans="191:191" x14ac:dyDescent="0.2">
      <c r="GI25619" s="422"/>
    </row>
    <row r="25620" spans="191:191" x14ac:dyDescent="0.2">
      <c r="GI25620" s="422"/>
    </row>
    <row r="25621" spans="191:191" x14ac:dyDescent="0.2">
      <c r="GI25621" s="422"/>
    </row>
    <row r="25622" spans="191:191" x14ac:dyDescent="0.2">
      <c r="GI25622" s="422"/>
    </row>
    <row r="25623" spans="191:191" x14ac:dyDescent="0.2">
      <c r="GI25623" s="422"/>
    </row>
    <row r="25624" spans="191:191" x14ac:dyDescent="0.2">
      <c r="GI25624" s="422"/>
    </row>
    <row r="25625" spans="191:191" x14ac:dyDescent="0.2">
      <c r="GI25625" s="422"/>
    </row>
    <row r="25626" spans="191:191" x14ac:dyDescent="0.2">
      <c r="GI25626" s="422"/>
    </row>
    <row r="25627" spans="191:191" x14ac:dyDescent="0.2">
      <c r="GI25627" s="422"/>
    </row>
    <row r="25628" spans="191:191" x14ac:dyDescent="0.2">
      <c r="GI25628" s="422"/>
    </row>
    <row r="25629" spans="191:191" x14ac:dyDescent="0.2">
      <c r="GI25629" s="422"/>
    </row>
    <row r="25630" spans="191:191" x14ac:dyDescent="0.2">
      <c r="GI25630" s="422"/>
    </row>
    <row r="25631" spans="191:191" x14ac:dyDescent="0.2">
      <c r="GI25631" s="422"/>
    </row>
    <row r="25632" spans="191:191" x14ac:dyDescent="0.2">
      <c r="GI25632" s="422"/>
    </row>
    <row r="25633" spans="191:191" x14ac:dyDescent="0.2">
      <c r="GI25633" s="422"/>
    </row>
    <row r="25634" spans="191:191" x14ac:dyDescent="0.2">
      <c r="GI25634" s="422"/>
    </row>
    <row r="25635" spans="191:191" x14ac:dyDescent="0.2">
      <c r="GI25635" s="422"/>
    </row>
    <row r="25636" spans="191:191" x14ac:dyDescent="0.2">
      <c r="GI25636" s="422"/>
    </row>
    <row r="25637" spans="191:191" x14ac:dyDescent="0.2">
      <c r="GI25637" s="422"/>
    </row>
    <row r="25638" spans="191:191" x14ac:dyDescent="0.2">
      <c r="GI25638" s="422"/>
    </row>
    <row r="25639" spans="191:191" x14ac:dyDescent="0.2">
      <c r="GI25639" s="422"/>
    </row>
    <row r="25640" spans="191:191" x14ac:dyDescent="0.2">
      <c r="GI25640" s="422"/>
    </row>
    <row r="25641" spans="191:191" x14ac:dyDescent="0.2">
      <c r="GI25641" s="422"/>
    </row>
    <row r="25642" spans="191:191" x14ac:dyDescent="0.2">
      <c r="GI25642" s="422"/>
    </row>
    <row r="25643" spans="191:191" x14ac:dyDescent="0.2">
      <c r="GI25643" s="422"/>
    </row>
    <row r="25644" spans="191:191" x14ac:dyDescent="0.2">
      <c r="GI25644" s="422"/>
    </row>
    <row r="25645" spans="191:191" x14ac:dyDescent="0.2">
      <c r="GI25645" s="422"/>
    </row>
    <row r="25646" spans="191:191" x14ac:dyDescent="0.2">
      <c r="GI25646" s="422"/>
    </row>
    <row r="25647" spans="191:191" x14ac:dyDescent="0.2">
      <c r="GI25647" s="422"/>
    </row>
    <row r="25648" spans="191:191" x14ac:dyDescent="0.2">
      <c r="GI25648" s="422"/>
    </row>
    <row r="25649" spans="191:191" x14ac:dyDescent="0.2">
      <c r="GI25649" s="422"/>
    </row>
    <row r="25650" spans="191:191" x14ac:dyDescent="0.2">
      <c r="GI25650" s="422"/>
    </row>
    <row r="25651" spans="191:191" x14ac:dyDescent="0.2">
      <c r="GI25651" s="422"/>
    </row>
    <row r="25652" spans="191:191" x14ac:dyDescent="0.2">
      <c r="GI25652" s="422"/>
    </row>
    <row r="25653" spans="191:191" x14ac:dyDescent="0.2">
      <c r="GI25653" s="422"/>
    </row>
    <row r="25654" spans="191:191" x14ac:dyDescent="0.2">
      <c r="GI25654" s="422"/>
    </row>
    <row r="25655" spans="191:191" x14ac:dyDescent="0.2">
      <c r="GI25655" s="422"/>
    </row>
    <row r="25656" spans="191:191" x14ac:dyDescent="0.2">
      <c r="GI25656" s="422"/>
    </row>
    <row r="25657" spans="191:191" x14ac:dyDescent="0.2">
      <c r="GI25657" s="422"/>
    </row>
    <row r="25658" spans="191:191" x14ac:dyDescent="0.2">
      <c r="GI25658" s="422"/>
    </row>
    <row r="25659" spans="191:191" x14ac:dyDescent="0.2">
      <c r="GI25659" s="422"/>
    </row>
    <row r="25660" spans="191:191" x14ac:dyDescent="0.2">
      <c r="GI25660" s="422"/>
    </row>
    <row r="25661" spans="191:191" x14ac:dyDescent="0.2">
      <c r="GI25661" s="422"/>
    </row>
    <row r="25662" spans="191:191" x14ac:dyDescent="0.2">
      <c r="GI25662" s="422"/>
    </row>
    <row r="25663" spans="191:191" x14ac:dyDescent="0.2">
      <c r="GI25663" s="422"/>
    </row>
    <row r="25664" spans="191:191" x14ac:dyDescent="0.2">
      <c r="GI25664" s="422"/>
    </row>
    <row r="25665" spans="191:191" x14ac:dyDescent="0.2">
      <c r="GI25665" s="422"/>
    </row>
    <row r="25666" spans="191:191" x14ac:dyDescent="0.2">
      <c r="GI25666" s="422"/>
    </row>
    <row r="25667" spans="191:191" x14ac:dyDescent="0.2">
      <c r="GI25667" s="422"/>
    </row>
    <row r="25668" spans="191:191" x14ac:dyDescent="0.2">
      <c r="GI25668" s="422"/>
    </row>
    <row r="25669" spans="191:191" x14ac:dyDescent="0.2">
      <c r="GI25669" s="422"/>
    </row>
    <row r="25670" spans="191:191" x14ac:dyDescent="0.2">
      <c r="GI25670" s="422"/>
    </row>
    <row r="25671" spans="191:191" x14ac:dyDescent="0.2">
      <c r="GI25671" s="422"/>
    </row>
    <row r="25672" spans="191:191" x14ac:dyDescent="0.2">
      <c r="GI25672" s="422"/>
    </row>
    <row r="25673" spans="191:191" x14ac:dyDescent="0.2">
      <c r="GI25673" s="422"/>
    </row>
    <row r="25674" spans="191:191" x14ac:dyDescent="0.2">
      <c r="GI25674" s="422"/>
    </row>
    <row r="25675" spans="191:191" x14ac:dyDescent="0.2">
      <c r="GI25675" s="422"/>
    </row>
    <row r="25676" spans="191:191" x14ac:dyDescent="0.2">
      <c r="GI25676" s="422"/>
    </row>
    <row r="25677" spans="191:191" x14ac:dyDescent="0.2">
      <c r="GI25677" s="422"/>
    </row>
    <row r="25678" spans="191:191" x14ac:dyDescent="0.2">
      <c r="GI25678" s="422"/>
    </row>
    <row r="25679" spans="191:191" x14ac:dyDescent="0.2">
      <c r="GI25679" s="422"/>
    </row>
    <row r="25680" spans="191:191" x14ac:dyDescent="0.2">
      <c r="GI25680" s="422"/>
    </row>
    <row r="25681" spans="191:191" x14ac:dyDescent="0.2">
      <c r="GI25681" s="422"/>
    </row>
    <row r="25682" spans="191:191" x14ac:dyDescent="0.2">
      <c r="GI25682" s="422"/>
    </row>
    <row r="25683" spans="191:191" x14ac:dyDescent="0.2">
      <c r="GI25683" s="422"/>
    </row>
    <row r="25684" spans="191:191" x14ac:dyDescent="0.2">
      <c r="GI25684" s="422"/>
    </row>
    <row r="25685" spans="191:191" x14ac:dyDescent="0.2">
      <c r="GI25685" s="422"/>
    </row>
    <row r="25686" spans="191:191" x14ac:dyDescent="0.2">
      <c r="GI25686" s="422"/>
    </row>
    <row r="25687" spans="191:191" x14ac:dyDescent="0.2">
      <c r="GI25687" s="422"/>
    </row>
    <row r="25688" spans="191:191" x14ac:dyDescent="0.2">
      <c r="GI25688" s="422"/>
    </row>
    <row r="25689" spans="191:191" x14ac:dyDescent="0.2">
      <c r="GI25689" s="422"/>
    </row>
    <row r="25690" spans="191:191" x14ac:dyDescent="0.2">
      <c r="GI25690" s="422"/>
    </row>
    <row r="25691" spans="191:191" x14ac:dyDescent="0.2">
      <c r="GI25691" s="422"/>
    </row>
    <row r="25692" spans="191:191" x14ac:dyDescent="0.2">
      <c r="GI25692" s="422"/>
    </row>
    <row r="25693" spans="191:191" x14ac:dyDescent="0.2">
      <c r="GI25693" s="422"/>
    </row>
    <row r="25694" spans="191:191" x14ac:dyDescent="0.2">
      <c r="GI25694" s="422"/>
    </row>
    <row r="25695" spans="191:191" x14ac:dyDescent="0.2">
      <c r="GI25695" s="422"/>
    </row>
    <row r="25696" spans="191:191" x14ac:dyDescent="0.2">
      <c r="GI25696" s="422"/>
    </row>
    <row r="25697" spans="191:191" x14ac:dyDescent="0.2">
      <c r="GI25697" s="422"/>
    </row>
    <row r="25698" spans="191:191" x14ac:dyDescent="0.2">
      <c r="GI25698" s="422"/>
    </row>
    <row r="25699" spans="191:191" x14ac:dyDescent="0.2">
      <c r="GI25699" s="422"/>
    </row>
    <row r="25700" spans="191:191" x14ac:dyDescent="0.2">
      <c r="GI25700" s="422"/>
    </row>
    <row r="25701" spans="191:191" x14ac:dyDescent="0.2">
      <c r="GI25701" s="422"/>
    </row>
    <row r="25702" spans="191:191" x14ac:dyDescent="0.2">
      <c r="GI25702" s="422"/>
    </row>
    <row r="25703" spans="191:191" x14ac:dyDescent="0.2">
      <c r="GI25703" s="422"/>
    </row>
    <row r="25704" spans="191:191" x14ac:dyDescent="0.2">
      <c r="GI25704" s="422"/>
    </row>
    <row r="25705" spans="191:191" x14ac:dyDescent="0.2">
      <c r="GI25705" s="422"/>
    </row>
    <row r="25706" spans="191:191" x14ac:dyDescent="0.2">
      <c r="GI25706" s="422"/>
    </row>
    <row r="25707" spans="191:191" x14ac:dyDescent="0.2">
      <c r="GI25707" s="422"/>
    </row>
    <row r="25708" spans="191:191" x14ac:dyDescent="0.2">
      <c r="GI25708" s="422"/>
    </row>
    <row r="25709" spans="191:191" x14ac:dyDescent="0.2">
      <c r="GI25709" s="422"/>
    </row>
    <row r="25710" spans="191:191" x14ac:dyDescent="0.2">
      <c r="GI25710" s="422"/>
    </row>
    <row r="25711" spans="191:191" x14ac:dyDescent="0.2">
      <c r="GI25711" s="422"/>
    </row>
    <row r="25712" spans="191:191" x14ac:dyDescent="0.2">
      <c r="GI25712" s="422"/>
    </row>
    <row r="25713" spans="191:191" x14ac:dyDescent="0.2">
      <c r="GI25713" s="422"/>
    </row>
    <row r="25714" spans="191:191" x14ac:dyDescent="0.2">
      <c r="GI25714" s="422"/>
    </row>
    <row r="25715" spans="191:191" x14ac:dyDescent="0.2">
      <c r="GI25715" s="422"/>
    </row>
    <row r="25716" spans="191:191" x14ac:dyDescent="0.2">
      <c r="GI25716" s="422"/>
    </row>
    <row r="25717" spans="191:191" x14ac:dyDescent="0.2">
      <c r="GI25717" s="422"/>
    </row>
    <row r="25718" spans="191:191" x14ac:dyDescent="0.2">
      <c r="GI25718" s="422"/>
    </row>
    <row r="25719" spans="191:191" x14ac:dyDescent="0.2">
      <c r="GI25719" s="422"/>
    </row>
    <row r="25720" spans="191:191" x14ac:dyDescent="0.2">
      <c r="GI25720" s="422"/>
    </row>
    <row r="25721" spans="191:191" x14ac:dyDescent="0.2">
      <c r="GI25721" s="422"/>
    </row>
    <row r="25722" spans="191:191" x14ac:dyDescent="0.2">
      <c r="GI25722" s="422"/>
    </row>
    <row r="25723" spans="191:191" x14ac:dyDescent="0.2">
      <c r="GI25723" s="422"/>
    </row>
    <row r="25724" spans="191:191" x14ac:dyDescent="0.2">
      <c r="GI25724" s="422"/>
    </row>
    <row r="25725" spans="191:191" x14ac:dyDescent="0.2">
      <c r="GI25725" s="422"/>
    </row>
    <row r="25726" spans="191:191" x14ac:dyDescent="0.2">
      <c r="GI25726" s="422"/>
    </row>
    <row r="25727" spans="191:191" x14ac:dyDescent="0.2">
      <c r="GI25727" s="422"/>
    </row>
    <row r="25728" spans="191:191" x14ac:dyDescent="0.2">
      <c r="GI25728" s="422"/>
    </row>
    <row r="25729" spans="191:191" x14ac:dyDescent="0.2">
      <c r="GI25729" s="422"/>
    </row>
    <row r="25730" spans="191:191" x14ac:dyDescent="0.2">
      <c r="GI25730" s="422"/>
    </row>
    <row r="25731" spans="191:191" x14ac:dyDescent="0.2">
      <c r="GI25731" s="422"/>
    </row>
    <row r="25732" spans="191:191" x14ac:dyDescent="0.2">
      <c r="GI25732" s="422"/>
    </row>
    <row r="25733" spans="191:191" x14ac:dyDescent="0.2">
      <c r="GI25733" s="422"/>
    </row>
    <row r="25734" spans="191:191" x14ac:dyDescent="0.2">
      <c r="GI25734" s="422"/>
    </row>
    <row r="25735" spans="191:191" x14ac:dyDescent="0.2">
      <c r="GI25735" s="422"/>
    </row>
    <row r="25736" spans="191:191" x14ac:dyDescent="0.2">
      <c r="GI25736" s="422"/>
    </row>
    <row r="25737" spans="191:191" x14ac:dyDescent="0.2">
      <c r="GI25737" s="422"/>
    </row>
    <row r="25738" spans="191:191" x14ac:dyDescent="0.2">
      <c r="GI25738" s="422"/>
    </row>
    <row r="25739" spans="191:191" x14ac:dyDescent="0.2">
      <c r="GI25739" s="422"/>
    </row>
    <row r="25740" spans="191:191" x14ac:dyDescent="0.2">
      <c r="GI25740" s="422"/>
    </row>
    <row r="25741" spans="191:191" x14ac:dyDescent="0.2">
      <c r="GI25741" s="422"/>
    </row>
    <row r="25742" spans="191:191" x14ac:dyDescent="0.2">
      <c r="GI25742" s="422"/>
    </row>
    <row r="25743" spans="191:191" x14ac:dyDescent="0.2">
      <c r="GI25743" s="422"/>
    </row>
    <row r="25744" spans="191:191" x14ac:dyDescent="0.2">
      <c r="GI25744" s="422"/>
    </row>
    <row r="25745" spans="191:191" x14ac:dyDescent="0.2">
      <c r="GI25745" s="422"/>
    </row>
    <row r="25746" spans="191:191" x14ac:dyDescent="0.2">
      <c r="GI25746" s="422"/>
    </row>
    <row r="25747" spans="191:191" x14ac:dyDescent="0.2">
      <c r="GI25747" s="422"/>
    </row>
    <row r="25748" spans="191:191" x14ac:dyDescent="0.2">
      <c r="GI25748" s="422"/>
    </row>
    <row r="25749" spans="191:191" x14ac:dyDescent="0.2">
      <c r="GI25749" s="422"/>
    </row>
    <row r="25750" spans="191:191" x14ac:dyDescent="0.2">
      <c r="GI25750" s="422"/>
    </row>
    <row r="25751" spans="191:191" x14ac:dyDescent="0.2">
      <c r="GI25751" s="422"/>
    </row>
    <row r="25752" spans="191:191" x14ac:dyDescent="0.2">
      <c r="GI25752" s="422"/>
    </row>
    <row r="25753" spans="191:191" x14ac:dyDescent="0.2">
      <c r="GI25753" s="422"/>
    </row>
    <row r="25754" spans="191:191" x14ac:dyDescent="0.2">
      <c r="GI25754" s="422"/>
    </row>
    <row r="25755" spans="191:191" x14ac:dyDescent="0.2">
      <c r="GI25755" s="422"/>
    </row>
    <row r="25756" spans="191:191" x14ac:dyDescent="0.2">
      <c r="GI25756" s="422"/>
    </row>
    <row r="25757" spans="191:191" x14ac:dyDescent="0.2">
      <c r="GI25757" s="422"/>
    </row>
    <row r="25758" spans="191:191" x14ac:dyDescent="0.2">
      <c r="GI25758" s="422"/>
    </row>
    <row r="25759" spans="191:191" x14ac:dyDescent="0.2">
      <c r="GI25759" s="422"/>
    </row>
    <row r="25760" spans="191:191" x14ac:dyDescent="0.2">
      <c r="GI25760" s="422"/>
    </row>
    <row r="25761" spans="191:191" x14ac:dyDescent="0.2">
      <c r="GI25761" s="422"/>
    </row>
    <row r="25762" spans="191:191" x14ac:dyDescent="0.2">
      <c r="GI25762" s="422"/>
    </row>
    <row r="25763" spans="191:191" x14ac:dyDescent="0.2">
      <c r="GI25763" s="422"/>
    </row>
    <row r="25764" spans="191:191" x14ac:dyDescent="0.2">
      <c r="GI25764" s="422"/>
    </row>
    <row r="25765" spans="191:191" x14ac:dyDescent="0.2">
      <c r="GI25765" s="422"/>
    </row>
    <row r="25766" spans="191:191" x14ac:dyDescent="0.2">
      <c r="GI25766" s="422"/>
    </row>
    <row r="25767" spans="191:191" x14ac:dyDescent="0.2">
      <c r="GI25767" s="422"/>
    </row>
    <row r="25768" spans="191:191" x14ac:dyDescent="0.2">
      <c r="GI25768" s="422"/>
    </row>
    <row r="25769" spans="191:191" x14ac:dyDescent="0.2">
      <c r="GI25769" s="422"/>
    </row>
    <row r="25770" spans="191:191" x14ac:dyDescent="0.2">
      <c r="GI25770" s="422"/>
    </row>
    <row r="25771" spans="191:191" x14ac:dyDescent="0.2">
      <c r="GI25771" s="422"/>
    </row>
    <row r="25772" spans="191:191" x14ac:dyDescent="0.2">
      <c r="GI25772" s="422"/>
    </row>
    <row r="25773" spans="191:191" x14ac:dyDescent="0.2">
      <c r="GI25773" s="422"/>
    </row>
    <row r="25774" spans="191:191" x14ac:dyDescent="0.2">
      <c r="GI25774" s="422"/>
    </row>
    <row r="25775" spans="191:191" x14ac:dyDescent="0.2">
      <c r="GI25775" s="422"/>
    </row>
    <row r="25776" spans="191:191" x14ac:dyDescent="0.2">
      <c r="GI25776" s="422"/>
    </row>
    <row r="25777" spans="191:191" x14ac:dyDescent="0.2">
      <c r="GI25777" s="422"/>
    </row>
    <row r="25778" spans="191:191" x14ac:dyDescent="0.2">
      <c r="GI25778" s="422"/>
    </row>
    <row r="25779" spans="191:191" x14ac:dyDescent="0.2">
      <c r="GI25779" s="422"/>
    </row>
    <row r="25780" spans="191:191" x14ac:dyDescent="0.2">
      <c r="GI25780" s="422"/>
    </row>
    <row r="25781" spans="191:191" x14ac:dyDescent="0.2">
      <c r="GI25781" s="422"/>
    </row>
    <row r="25782" spans="191:191" x14ac:dyDescent="0.2">
      <c r="GI25782" s="422"/>
    </row>
    <row r="25783" spans="191:191" x14ac:dyDescent="0.2">
      <c r="GI25783" s="422"/>
    </row>
    <row r="25784" spans="191:191" x14ac:dyDescent="0.2">
      <c r="GI25784" s="422"/>
    </row>
    <row r="25785" spans="191:191" x14ac:dyDescent="0.2">
      <c r="GI25785" s="422"/>
    </row>
    <row r="25786" spans="191:191" x14ac:dyDescent="0.2">
      <c r="GI25786" s="422"/>
    </row>
    <row r="25787" spans="191:191" x14ac:dyDescent="0.2">
      <c r="GI25787" s="422"/>
    </row>
    <row r="25788" spans="191:191" x14ac:dyDescent="0.2">
      <c r="GI25788" s="422"/>
    </row>
    <row r="25789" spans="191:191" x14ac:dyDescent="0.2">
      <c r="GI25789" s="422"/>
    </row>
    <row r="25790" spans="191:191" x14ac:dyDescent="0.2">
      <c r="GI25790" s="422"/>
    </row>
    <row r="25791" spans="191:191" x14ac:dyDescent="0.2">
      <c r="GI25791" s="422"/>
    </row>
    <row r="25792" spans="191:191" x14ac:dyDescent="0.2">
      <c r="GI25792" s="422"/>
    </row>
    <row r="25793" spans="191:191" x14ac:dyDescent="0.2">
      <c r="GI25793" s="422"/>
    </row>
    <row r="25794" spans="191:191" x14ac:dyDescent="0.2">
      <c r="GI25794" s="422"/>
    </row>
    <row r="25795" spans="191:191" x14ac:dyDescent="0.2">
      <c r="GI25795" s="422"/>
    </row>
    <row r="25796" spans="191:191" x14ac:dyDescent="0.2">
      <c r="GI25796" s="422"/>
    </row>
    <row r="25797" spans="191:191" x14ac:dyDescent="0.2">
      <c r="GI25797" s="422"/>
    </row>
    <row r="25798" spans="191:191" x14ac:dyDescent="0.2">
      <c r="GI25798" s="422"/>
    </row>
    <row r="25799" spans="191:191" x14ac:dyDescent="0.2">
      <c r="GI25799" s="422"/>
    </row>
    <row r="25800" spans="191:191" x14ac:dyDescent="0.2">
      <c r="GI25800" s="422"/>
    </row>
    <row r="25801" spans="191:191" x14ac:dyDescent="0.2">
      <c r="GI25801" s="422"/>
    </row>
    <row r="25802" spans="191:191" x14ac:dyDescent="0.2">
      <c r="GI25802" s="422"/>
    </row>
    <row r="25803" spans="191:191" x14ac:dyDescent="0.2">
      <c r="GI25803" s="422"/>
    </row>
    <row r="25804" spans="191:191" x14ac:dyDescent="0.2">
      <c r="GI25804" s="422"/>
    </row>
    <row r="25805" spans="191:191" x14ac:dyDescent="0.2">
      <c r="GI25805" s="422"/>
    </row>
    <row r="25806" spans="191:191" x14ac:dyDescent="0.2">
      <c r="GI25806" s="422"/>
    </row>
    <row r="25807" spans="191:191" x14ac:dyDescent="0.2">
      <c r="GI25807" s="422"/>
    </row>
    <row r="25808" spans="191:191" x14ac:dyDescent="0.2">
      <c r="GI25808" s="422"/>
    </row>
    <row r="25809" spans="191:191" x14ac:dyDescent="0.2">
      <c r="GI25809" s="422"/>
    </row>
    <row r="25810" spans="191:191" x14ac:dyDescent="0.2">
      <c r="GI25810" s="422"/>
    </row>
    <row r="25811" spans="191:191" x14ac:dyDescent="0.2">
      <c r="GI25811" s="422"/>
    </row>
    <row r="25812" spans="191:191" x14ac:dyDescent="0.2">
      <c r="GI25812" s="422"/>
    </row>
    <row r="25813" spans="191:191" x14ac:dyDescent="0.2">
      <c r="GI25813" s="422"/>
    </row>
    <row r="25814" spans="191:191" x14ac:dyDescent="0.2">
      <c r="GI25814" s="422"/>
    </row>
    <row r="25815" spans="191:191" x14ac:dyDescent="0.2">
      <c r="GI25815" s="422"/>
    </row>
    <row r="25816" spans="191:191" x14ac:dyDescent="0.2">
      <c r="GI25816" s="422"/>
    </row>
    <row r="25817" spans="191:191" x14ac:dyDescent="0.2">
      <c r="GI25817" s="422"/>
    </row>
    <row r="25818" spans="191:191" x14ac:dyDescent="0.2">
      <c r="GI25818" s="422"/>
    </row>
    <row r="25819" spans="191:191" x14ac:dyDescent="0.2">
      <c r="GI25819" s="422"/>
    </row>
    <row r="25820" spans="191:191" x14ac:dyDescent="0.2">
      <c r="GI25820" s="422"/>
    </row>
    <row r="25821" spans="191:191" x14ac:dyDescent="0.2">
      <c r="GI25821" s="422"/>
    </row>
    <row r="25822" spans="191:191" x14ac:dyDescent="0.2">
      <c r="GI25822" s="422"/>
    </row>
    <row r="25823" spans="191:191" x14ac:dyDescent="0.2">
      <c r="GI25823" s="422"/>
    </row>
    <row r="25824" spans="191:191" x14ac:dyDescent="0.2">
      <c r="GI25824" s="422"/>
    </row>
    <row r="25825" spans="191:191" x14ac:dyDescent="0.2">
      <c r="GI25825" s="422"/>
    </row>
    <row r="25826" spans="191:191" x14ac:dyDescent="0.2">
      <c r="GI25826" s="422"/>
    </row>
    <row r="25827" spans="191:191" x14ac:dyDescent="0.2">
      <c r="GI25827" s="422"/>
    </row>
    <row r="25828" spans="191:191" x14ac:dyDescent="0.2">
      <c r="GI25828" s="422"/>
    </row>
    <row r="25829" spans="191:191" x14ac:dyDescent="0.2">
      <c r="GI25829" s="422"/>
    </row>
    <row r="25830" spans="191:191" x14ac:dyDescent="0.2">
      <c r="GI25830" s="422"/>
    </row>
    <row r="25831" spans="191:191" x14ac:dyDescent="0.2">
      <c r="GI25831" s="422"/>
    </row>
    <row r="25832" spans="191:191" x14ac:dyDescent="0.2">
      <c r="GI25832" s="422"/>
    </row>
    <row r="25833" spans="191:191" x14ac:dyDescent="0.2">
      <c r="GI25833" s="422"/>
    </row>
    <row r="25834" spans="191:191" x14ac:dyDescent="0.2">
      <c r="GI25834" s="422"/>
    </row>
    <row r="25835" spans="191:191" x14ac:dyDescent="0.2">
      <c r="GI25835" s="422"/>
    </row>
    <row r="25836" spans="191:191" x14ac:dyDescent="0.2">
      <c r="GI25836" s="422"/>
    </row>
    <row r="25837" spans="191:191" x14ac:dyDescent="0.2">
      <c r="GI25837" s="422"/>
    </row>
    <row r="25838" spans="191:191" x14ac:dyDescent="0.2">
      <c r="GI25838" s="422"/>
    </row>
    <row r="25839" spans="191:191" x14ac:dyDescent="0.2">
      <c r="GI25839" s="422"/>
    </row>
    <row r="25840" spans="191:191" x14ac:dyDescent="0.2">
      <c r="GI25840" s="422"/>
    </row>
    <row r="25841" spans="191:191" x14ac:dyDescent="0.2">
      <c r="GI25841" s="422"/>
    </row>
    <row r="25842" spans="191:191" x14ac:dyDescent="0.2">
      <c r="GI25842" s="422"/>
    </row>
    <row r="25843" spans="191:191" x14ac:dyDescent="0.2">
      <c r="GI25843" s="422"/>
    </row>
    <row r="25844" spans="191:191" x14ac:dyDescent="0.2">
      <c r="GI25844" s="422"/>
    </row>
    <row r="25845" spans="191:191" x14ac:dyDescent="0.2">
      <c r="GI25845" s="422"/>
    </row>
    <row r="25846" spans="191:191" x14ac:dyDescent="0.2">
      <c r="GI25846" s="422"/>
    </row>
    <row r="25847" spans="191:191" x14ac:dyDescent="0.2">
      <c r="GI25847" s="422"/>
    </row>
    <row r="25848" spans="191:191" x14ac:dyDescent="0.2">
      <c r="GI25848" s="422"/>
    </row>
    <row r="25849" spans="191:191" x14ac:dyDescent="0.2">
      <c r="GI25849" s="422"/>
    </row>
    <row r="25850" spans="191:191" x14ac:dyDescent="0.2">
      <c r="GI25850" s="422"/>
    </row>
    <row r="25851" spans="191:191" x14ac:dyDescent="0.2">
      <c r="GI25851" s="422"/>
    </row>
    <row r="25852" spans="191:191" x14ac:dyDescent="0.2">
      <c r="GI25852" s="422"/>
    </row>
    <row r="25853" spans="191:191" x14ac:dyDescent="0.2">
      <c r="GI25853" s="422"/>
    </row>
    <row r="25854" spans="191:191" x14ac:dyDescent="0.2">
      <c r="GI25854" s="422"/>
    </row>
    <row r="25855" spans="191:191" x14ac:dyDescent="0.2">
      <c r="GI25855" s="422"/>
    </row>
    <row r="25856" spans="191:191" x14ac:dyDescent="0.2">
      <c r="GI25856" s="422"/>
    </row>
    <row r="25857" spans="191:191" x14ac:dyDescent="0.2">
      <c r="GI25857" s="422"/>
    </row>
    <row r="25858" spans="191:191" x14ac:dyDescent="0.2">
      <c r="GI25858" s="422"/>
    </row>
    <row r="25859" spans="191:191" x14ac:dyDescent="0.2">
      <c r="GI25859" s="422"/>
    </row>
    <row r="25860" spans="191:191" x14ac:dyDescent="0.2">
      <c r="GI25860" s="422"/>
    </row>
    <row r="25861" spans="191:191" x14ac:dyDescent="0.2">
      <c r="GI25861" s="422"/>
    </row>
    <row r="25862" spans="191:191" x14ac:dyDescent="0.2">
      <c r="GI25862" s="422"/>
    </row>
    <row r="25863" spans="191:191" x14ac:dyDescent="0.2">
      <c r="GI25863" s="422"/>
    </row>
    <row r="25864" spans="191:191" x14ac:dyDescent="0.2">
      <c r="GI25864" s="422"/>
    </row>
    <row r="25865" spans="191:191" x14ac:dyDescent="0.2">
      <c r="GI25865" s="422"/>
    </row>
    <row r="25866" spans="191:191" x14ac:dyDescent="0.2">
      <c r="GI25866" s="422"/>
    </row>
    <row r="25867" spans="191:191" x14ac:dyDescent="0.2">
      <c r="GI25867" s="422"/>
    </row>
    <row r="25868" spans="191:191" x14ac:dyDescent="0.2">
      <c r="GI25868" s="422"/>
    </row>
    <row r="25869" spans="191:191" x14ac:dyDescent="0.2">
      <c r="GI25869" s="422"/>
    </row>
    <row r="25870" spans="191:191" x14ac:dyDescent="0.2">
      <c r="GI25870" s="422"/>
    </row>
    <row r="25871" spans="191:191" x14ac:dyDescent="0.2">
      <c r="GI25871" s="422"/>
    </row>
    <row r="25872" spans="191:191" x14ac:dyDescent="0.2">
      <c r="GI25872" s="422"/>
    </row>
    <row r="25873" spans="191:191" x14ac:dyDescent="0.2">
      <c r="GI25873" s="422"/>
    </row>
    <row r="25874" spans="191:191" x14ac:dyDescent="0.2">
      <c r="GI25874" s="422"/>
    </row>
    <row r="25875" spans="191:191" x14ac:dyDescent="0.2">
      <c r="GI25875" s="422"/>
    </row>
    <row r="25876" spans="191:191" x14ac:dyDescent="0.2">
      <c r="GI25876" s="422"/>
    </row>
    <row r="25877" spans="191:191" x14ac:dyDescent="0.2">
      <c r="GI25877" s="422"/>
    </row>
    <row r="25878" spans="191:191" x14ac:dyDescent="0.2">
      <c r="GI25878" s="422"/>
    </row>
    <row r="25879" spans="191:191" x14ac:dyDescent="0.2">
      <c r="GI25879" s="422"/>
    </row>
    <row r="25880" spans="191:191" x14ac:dyDescent="0.2">
      <c r="GI25880" s="422"/>
    </row>
    <row r="25881" spans="191:191" x14ac:dyDescent="0.2">
      <c r="GI25881" s="422"/>
    </row>
    <row r="25882" spans="191:191" x14ac:dyDescent="0.2">
      <c r="GI25882" s="422"/>
    </row>
    <row r="25883" spans="191:191" x14ac:dyDescent="0.2">
      <c r="GI25883" s="422"/>
    </row>
    <row r="25884" spans="191:191" x14ac:dyDescent="0.2">
      <c r="GI25884" s="422"/>
    </row>
    <row r="25885" spans="191:191" x14ac:dyDescent="0.2">
      <c r="GI25885" s="422"/>
    </row>
    <row r="25886" spans="191:191" x14ac:dyDescent="0.2">
      <c r="GI25886" s="422"/>
    </row>
    <row r="25887" spans="191:191" x14ac:dyDescent="0.2">
      <c r="GI25887" s="422"/>
    </row>
    <row r="25888" spans="191:191" x14ac:dyDescent="0.2">
      <c r="GI25888" s="422"/>
    </row>
    <row r="25889" spans="191:191" x14ac:dyDescent="0.2">
      <c r="GI25889" s="422"/>
    </row>
    <row r="25890" spans="191:191" x14ac:dyDescent="0.2">
      <c r="GI25890" s="422"/>
    </row>
    <row r="25891" spans="191:191" x14ac:dyDescent="0.2">
      <c r="GI25891" s="422"/>
    </row>
    <row r="25892" spans="191:191" x14ac:dyDescent="0.2">
      <c r="GI25892" s="422"/>
    </row>
    <row r="25893" spans="191:191" x14ac:dyDescent="0.2">
      <c r="GI25893" s="422"/>
    </row>
    <row r="25894" spans="191:191" x14ac:dyDescent="0.2">
      <c r="GI25894" s="422"/>
    </row>
    <row r="25895" spans="191:191" x14ac:dyDescent="0.2">
      <c r="GI25895" s="422"/>
    </row>
    <row r="25896" spans="191:191" x14ac:dyDescent="0.2">
      <c r="GI25896" s="422"/>
    </row>
    <row r="25897" spans="191:191" x14ac:dyDescent="0.2">
      <c r="GI25897" s="422"/>
    </row>
    <row r="25898" spans="191:191" x14ac:dyDescent="0.2">
      <c r="GI25898" s="422"/>
    </row>
    <row r="25899" spans="191:191" x14ac:dyDescent="0.2">
      <c r="GI25899" s="422"/>
    </row>
    <row r="25900" spans="191:191" x14ac:dyDescent="0.2">
      <c r="GI25900" s="422"/>
    </row>
    <row r="25901" spans="191:191" x14ac:dyDescent="0.2">
      <c r="GI25901" s="422"/>
    </row>
    <row r="25902" spans="191:191" x14ac:dyDescent="0.2">
      <c r="GI25902" s="422"/>
    </row>
    <row r="25903" spans="191:191" x14ac:dyDescent="0.2">
      <c r="GI25903" s="422"/>
    </row>
    <row r="25904" spans="191:191" x14ac:dyDescent="0.2">
      <c r="GI25904" s="422"/>
    </row>
    <row r="25905" spans="191:191" x14ac:dyDescent="0.2">
      <c r="GI25905" s="422"/>
    </row>
    <row r="25906" spans="191:191" x14ac:dyDescent="0.2">
      <c r="GI25906" s="422"/>
    </row>
    <row r="25907" spans="191:191" x14ac:dyDescent="0.2">
      <c r="GI25907" s="422"/>
    </row>
    <row r="25908" spans="191:191" x14ac:dyDescent="0.2">
      <c r="GI25908" s="422"/>
    </row>
    <row r="25909" spans="191:191" x14ac:dyDescent="0.2">
      <c r="GI25909" s="422"/>
    </row>
    <row r="25910" spans="191:191" x14ac:dyDescent="0.2">
      <c r="GI25910" s="422"/>
    </row>
    <row r="25911" spans="191:191" x14ac:dyDescent="0.2">
      <c r="GI25911" s="422"/>
    </row>
    <row r="25912" spans="191:191" x14ac:dyDescent="0.2">
      <c r="GI25912" s="422"/>
    </row>
    <row r="25913" spans="191:191" x14ac:dyDescent="0.2">
      <c r="GI25913" s="422"/>
    </row>
    <row r="25914" spans="191:191" x14ac:dyDescent="0.2">
      <c r="GI25914" s="422"/>
    </row>
    <row r="25915" spans="191:191" x14ac:dyDescent="0.2">
      <c r="GI25915" s="422"/>
    </row>
    <row r="25916" spans="191:191" x14ac:dyDescent="0.2">
      <c r="GI25916" s="422"/>
    </row>
    <row r="25917" spans="191:191" x14ac:dyDescent="0.2">
      <c r="GI25917" s="422"/>
    </row>
    <row r="25918" spans="191:191" x14ac:dyDescent="0.2">
      <c r="GI25918" s="422"/>
    </row>
    <row r="25919" spans="191:191" x14ac:dyDescent="0.2">
      <c r="GI25919" s="422"/>
    </row>
    <row r="25920" spans="191:191" x14ac:dyDescent="0.2">
      <c r="GI25920" s="422"/>
    </row>
    <row r="25921" spans="191:191" x14ac:dyDescent="0.2">
      <c r="GI25921" s="422"/>
    </row>
    <row r="25922" spans="191:191" x14ac:dyDescent="0.2">
      <c r="GI25922" s="422"/>
    </row>
    <row r="25923" spans="191:191" x14ac:dyDescent="0.2">
      <c r="GI25923" s="422"/>
    </row>
    <row r="25924" spans="191:191" x14ac:dyDescent="0.2">
      <c r="GI25924" s="422"/>
    </row>
    <row r="25925" spans="191:191" x14ac:dyDescent="0.2">
      <c r="GI25925" s="422"/>
    </row>
    <row r="25926" spans="191:191" x14ac:dyDescent="0.2">
      <c r="GI25926" s="422"/>
    </row>
    <row r="25927" spans="191:191" x14ac:dyDescent="0.2">
      <c r="GI25927" s="422"/>
    </row>
    <row r="25928" spans="191:191" x14ac:dyDescent="0.2">
      <c r="GI25928" s="422"/>
    </row>
    <row r="25929" spans="191:191" x14ac:dyDescent="0.2">
      <c r="GI25929" s="422"/>
    </row>
    <row r="25930" spans="191:191" x14ac:dyDescent="0.2">
      <c r="GI25930" s="422"/>
    </row>
    <row r="25931" spans="191:191" x14ac:dyDescent="0.2">
      <c r="GI25931" s="422"/>
    </row>
    <row r="25932" spans="191:191" x14ac:dyDescent="0.2">
      <c r="GI25932" s="422"/>
    </row>
    <row r="25933" spans="191:191" x14ac:dyDescent="0.2">
      <c r="GI25933" s="422"/>
    </row>
    <row r="25934" spans="191:191" x14ac:dyDescent="0.2">
      <c r="GI25934" s="422"/>
    </row>
    <row r="25935" spans="191:191" x14ac:dyDescent="0.2">
      <c r="GI25935" s="422"/>
    </row>
    <row r="25936" spans="191:191" x14ac:dyDescent="0.2">
      <c r="GI25936" s="422"/>
    </row>
    <row r="25937" spans="191:191" x14ac:dyDescent="0.2">
      <c r="GI25937" s="422"/>
    </row>
    <row r="25938" spans="191:191" x14ac:dyDescent="0.2">
      <c r="GI25938" s="422"/>
    </row>
    <row r="25939" spans="191:191" x14ac:dyDescent="0.2">
      <c r="GI25939" s="422"/>
    </row>
    <row r="25940" spans="191:191" x14ac:dyDescent="0.2">
      <c r="GI25940" s="422"/>
    </row>
    <row r="25941" spans="191:191" x14ac:dyDescent="0.2">
      <c r="GI25941" s="422"/>
    </row>
    <row r="25942" spans="191:191" x14ac:dyDescent="0.2">
      <c r="GI25942" s="422"/>
    </row>
    <row r="25943" spans="191:191" x14ac:dyDescent="0.2">
      <c r="GI25943" s="422"/>
    </row>
    <row r="25944" spans="191:191" x14ac:dyDescent="0.2">
      <c r="GI25944" s="422"/>
    </row>
    <row r="25945" spans="191:191" x14ac:dyDescent="0.2">
      <c r="GI25945" s="422"/>
    </row>
    <row r="25946" spans="191:191" x14ac:dyDescent="0.2">
      <c r="GI25946" s="422"/>
    </row>
    <row r="25947" spans="191:191" x14ac:dyDescent="0.2">
      <c r="GI25947" s="422"/>
    </row>
    <row r="25948" spans="191:191" x14ac:dyDescent="0.2">
      <c r="GI25948" s="422"/>
    </row>
    <row r="25949" spans="191:191" x14ac:dyDescent="0.2">
      <c r="GI25949" s="422"/>
    </row>
    <row r="25950" spans="191:191" x14ac:dyDescent="0.2">
      <c r="GI25950" s="422"/>
    </row>
    <row r="25951" spans="191:191" x14ac:dyDescent="0.2">
      <c r="GI25951" s="422"/>
    </row>
    <row r="25952" spans="191:191" x14ac:dyDescent="0.2">
      <c r="GI25952" s="422"/>
    </row>
    <row r="25953" spans="191:191" x14ac:dyDescent="0.2">
      <c r="GI25953" s="422"/>
    </row>
    <row r="25954" spans="191:191" x14ac:dyDescent="0.2">
      <c r="GI25954" s="422"/>
    </row>
    <row r="25955" spans="191:191" x14ac:dyDescent="0.2">
      <c r="GI25955" s="422"/>
    </row>
    <row r="25956" spans="191:191" x14ac:dyDescent="0.2">
      <c r="GI25956" s="422"/>
    </row>
    <row r="25957" spans="191:191" x14ac:dyDescent="0.2">
      <c r="GI25957" s="422"/>
    </row>
    <row r="25958" spans="191:191" x14ac:dyDescent="0.2">
      <c r="GI25958" s="422"/>
    </row>
    <row r="25959" spans="191:191" x14ac:dyDescent="0.2">
      <c r="GI25959" s="422"/>
    </row>
    <row r="25960" spans="191:191" x14ac:dyDescent="0.2">
      <c r="GI25960" s="422"/>
    </row>
    <row r="25961" spans="191:191" x14ac:dyDescent="0.2">
      <c r="GI25961" s="422"/>
    </row>
    <row r="25962" spans="191:191" x14ac:dyDescent="0.2">
      <c r="GI25962" s="422"/>
    </row>
    <row r="25963" spans="191:191" x14ac:dyDescent="0.2">
      <c r="GI25963" s="422"/>
    </row>
    <row r="25964" spans="191:191" x14ac:dyDescent="0.2">
      <c r="GI25964" s="422"/>
    </row>
    <row r="25965" spans="191:191" x14ac:dyDescent="0.2">
      <c r="GI25965" s="422"/>
    </row>
    <row r="25966" spans="191:191" x14ac:dyDescent="0.2">
      <c r="GI25966" s="422"/>
    </row>
    <row r="25967" spans="191:191" x14ac:dyDescent="0.2">
      <c r="GI25967" s="422"/>
    </row>
    <row r="25968" spans="191:191" x14ac:dyDescent="0.2">
      <c r="GI25968" s="422"/>
    </row>
    <row r="25969" spans="191:191" x14ac:dyDescent="0.2">
      <c r="GI25969" s="422"/>
    </row>
    <row r="25970" spans="191:191" x14ac:dyDescent="0.2">
      <c r="GI25970" s="422"/>
    </row>
    <row r="25971" spans="191:191" x14ac:dyDescent="0.2">
      <c r="GI25971" s="422"/>
    </row>
    <row r="25972" spans="191:191" x14ac:dyDescent="0.2">
      <c r="GI25972" s="422"/>
    </row>
    <row r="25973" spans="191:191" x14ac:dyDescent="0.2">
      <c r="GI25973" s="422"/>
    </row>
    <row r="25974" spans="191:191" x14ac:dyDescent="0.2">
      <c r="GI25974" s="422"/>
    </row>
    <row r="25975" spans="191:191" x14ac:dyDescent="0.2">
      <c r="GI25975" s="422"/>
    </row>
    <row r="25976" spans="191:191" x14ac:dyDescent="0.2">
      <c r="GI25976" s="422"/>
    </row>
    <row r="25977" spans="191:191" x14ac:dyDescent="0.2">
      <c r="GI25977" s="422"/>
    </row>
    <row r="25978" spans="191:191" x14ac:dyDescent="0.2">
      <c r="GI25978" s="422"/>
    </row>
    <row r="25979" spans="191:191" x14ac:dyDescent="0.2">
      <c r="GI25979" s="422"/>
    </row>
    <row r="25980" spans="191:191" x14ac:dyDescent="0.2">
      <c r="GI25980" s="422"/>
    </row>
    <row r="25981" spans="191:191" x14ac:dyDescent="0.2">
      <c r="GI25981" s="422"/>
    </row>
    <row r="25982" spans="191:191" x14ac:dyDescent="0.2">
      <c r="GI25982" s="422"/>
    </row>
    <row r="25983" spans="191:191" x14ac:dyDescent="0.2">
      <c r="GI25983" s="422"/>
    </row>
    <row r="25984" spans="191:191" x14ac:dyDescent="0.2">
      <c r="GI25984" s="422"/>
    </row>
    <row r="25985" spans="191:191" x14ac:dyDescent="0.2">
      <c r="GI25985" s="422"/>
    </row>
    <row r="25986" spans="191:191" x14ac:dyDescent="0.2">
      <c r="GI25986" s="422"/>
    </row>
    <row r="25987" spans="191:191" x14ac:dyDescent="0.2">
      <c r="GI25987" s="422"/>
    </row>
    <row r="25988" spans="191:191" x14ac:dyDescent="0.2">
      <c r="GI25988" s="422"/>
    </row>
    <row r="25989" spans="191:191" x14ac:dyDescent="0.2">
      <c r="GI25989" s="422"/>
    </row>
    <row r="25990" spans="191:191" x14ac:dyDescent="0.2">
      <c r="GI25990" s="422"/>
    </row>
    <row r="25991" spans="191:191" x14ac:dyDescent="0.2">
      <c r="GI25991" s="422"/>
    </row>
    <row r="25992" spans="191:191" x14ac:dyDescent="0.2">
      <c r="GI25992" s="422"/>
    </row>
    <row r="25993" spans="191:191" x14ac:dyDescent="0.2">
      <c r="GI25993" s="422"/>
    </row>
    <row r="25994" spans="191:191" x14ac:dyDescent="0.2">
      <c r="GI25994" s="422"/>
    </row>
    <row r="25995" spans="191:191" x14ac:dyDescent="0.2">
      <c r="GI25995" s="422"/>
    </row>
    <row r="25996" spans="191:191" x14ac:dyDescent="0.2">
      <c r="GI25996" s="422"/>
    </row>
    <row r="25997" spans="191:191" x14ac:dyDescent="0.2">
      <c r="GI25997" s="422"/>
    </row>
    <row r="25998" spans="191:191" x14ac:dyDescent="0.2">
      <c r="GI25998" s="422"/>
    </row>
    <row r="25999" spans="191:191" x14ac:dyDescent="0.2">
      <c r="GI25999" s="422"/>
    </row>
    <row r="26000" spans="191:191" x14ac:dyDescent="0.2">
      <c r="GI26000" s="422"/>
    </row>
    <row r="26001" spans="191:191" x14ac:dyDescent="0.2">
      <c r="GI26001" s="422"/>
    </row>
    <row r="26002" spans="191:191" x14ac:dyDescent="0.2">
      <c r="GI26002" s="422"/>
    </row>
    <row r="26003" spans="191:191" x14ac:dyDescent="0.2">
      <c r="GI26003" s="422"/>
    </row>
    <row r="26004" spans="191:191" x14ac:dyDescent="0.2">
      <c r="GI26004" s="422"/>
    </row>
    <row r="26005" spans="191:191" x14ac:dyDescent="0.2">
      <c r="GI26005" s="422"/>
    </row>
    <row r="26006" spans="191:191" x14ac:dyDescent="0.2">
      <c r="GI26006" s="422"/>
    </row>
    <row r="26007" spans="191:191" x14ac:dyDescent="0.2">
      <c r="GI26007" s="422"/>
    </row>
    <row r="26008" spans="191:191" x14ac:dyDescent="0.2">
      <c r="GI26008" s="422"/>
    </row>
    <row r="26009" spans="191:191" x14ac:dyDescent="0.2">
      <c r="GI26009" s="422"/>
    </row>
    <row r="26010" spans="191:191" x14ac:dyDescent="0.2">
      <c r="GI26010" s="422"/>
    </row>
    <row r="26011" spans="191:191" x14ac:dyDescent="0.2">
      <c r="GI26011" s="422"/>
    </row>
    <row r="26012" spans="191:191" x14ac:dyDescent="0.2">
      <c r="GI26012" s="422"/>
    </row>
    <row r="26013" spans="191:191" x14ac:dyDescent="0.2">
      <c r="GI26013" s="422"/>
    </row>
    <row r="26014" spans="191:191" x14ac:dyDescent="0.2">
      <c r="GI26014" s="422"/>
    </row>
    <row r="26015" spans="191:191" x14ac:dyDescent="0.2">
      <c r="GI26015" s="422"/>
    </row>
    <row r="26016" spans="191:191" x14ac:dyDescent="0.2">
      <c r="GI26016" s="422"/>
    </row>
    <row r="26017" spans="191:191" x14ac:dyDescent="0.2">
      <c r="GI26017" s="422"/>
    </row>
    <row r="26018" spans="191:191" x14ac:dyDescent="0.2">
      <c r="GI26018" s="422"/>
    </row>
    <row r="26019" spans="191:191" x14ac:dyDescent="0.2">
      <c r="GI26019" s="422"/>
    </row>
    <row r="26020" spans="191:191" x14ac:dyDescent="0.2">
      <c r="GI26020" s="422"/>
    </row>
    <row r="26021" spans="191:191" x14ac:dyDescent="0.2">
      <c r="GI26021" s="422"/>
    </row>
    <row r="26022" spans="191:191" x14ac:dyDescent="0.2">
      <c r="GI26022" s="422"/>
    </row>
    <row r="26023" spans="191:191" x14ac:dyDescent="0.2">
      <c r="GI26023" s="422"/>
    </row>
    <row r="26024" spans="191:191" x14ac:dyDescent="0.2">
      <c r="GI26024" s="422"/>
    </row>
    <row r="26025" spans="191:191" x14ac:dyDescent="0.2">
      <c r="GI26025" s="422"/>
    </row>
    <row r="26026" spans="191:191" x14ac:dyDescent="0.2">
      <c r="GI26026" s="422"/>
    </row>
    <row r="26027" spans="191:191" x14ac:dyDescent="0.2">
      <c r="GI26027" s="422"/>
    </row>
    <row r="26028" spans="191:191" x14ac:dyDescent="0.2">
      <c r="GI26028" s="422"/>
    </row>
    <row r="26029" spans="191:191" x14ac:dyDescent="0.2">
      <c r="GI26029" s="422"/>
    </row>
    <row r="26030" spans="191:191" x14ac:dyDescent="0.2">
      <c r="GI26030" s="422"/>
    </row>
    <row r="26031" spans="191:191" x14ac:dyDescent="0.2">
      <c r="GI26031" s="422"/>
    </row>
    <row r="26032" spans="191:191" x14ac:dyDescent="0.2">
      <c r="GI26032" s="422"/>
    </row>
    <row r="26033" spans="191:191" x14ac:dyDescent="0.2">
      <c r="GI26033" s="422"/>
    </row>
    <row r="26034" spans="191:191" x14ac:dyDescent="0.2">
      <c r="GI26034" s="422"/>
    </row>
    <row r="26035" spans="191:191" x14ac:dyDescent="0.2">
      <c r="GI26035" s="422"/>
    </row>
    <row r="26036" spans="191:191" x14ac:dyDescent="0.2">
      <c r="GI26036" s="422"/>
    </row>
    <row r="26037" spans="191:191" x14ac:dyDescent="0.2">
      <c r="GI26037" s="422"/>
    </row>
    <row r="26038" spans="191:191" x14ac:dyDescent="0.2">
      <c r="GI26038" s="422"/>
    </row>
    <row r="26039" spans="191:191" x14ac:dyDescent="0.2">
      <c r="GI26039" s="422"/>
    </row>
    <row r="26040" spans="191:191" x14ac:dyDescent="0.2">
      <c r="GI26040" s="422"/>
    </row>
    <row r="26041" spans="191:191" x14ac:dyDescent="0.2">
      <c r="GI26041" s="422"/>
    </row>
    <row r="26042" spans="191:191" x14ac:dyDescent="0.2">
      <c r="GI26042" s="422"/>
    </row>
    <row r="26043" spans="191:191" x14ac:dyDescent="0.2">
      <c r="GI26043" s="422"/>
    </row>
    <row r="26044" spans="191:191" x14ac:dyDescent="0.2">
      <c r="GI26044" s="422"/>
    </row>
    <row r="26045" spans="191:191" x14ac:dyDescent="0.2">
      <c r="GI26045" s="422"/>
    </row>
    <row r="26046" spans="191:191" x14ac:dyDescent="0.2">
      <c r="GI26046" s="422"/>
    </row>
    <row r="26047" spans="191:191" x14ac:dyDescent="0.2">
      <c r="GI26047" s="422"/>
    </row>
    <row r="26048" spans="191:191" x14ac:dyDescent="0.2">
      <c r="GI26048" s="422"/>
    </row>
    <row r="26049" spans="191:191" x14ac:dyDescent="0.2">
      <c r="GI26049" s="422"/>
    </row>
    <row r="26050" spans="191:191" x14ac:dyDescent="0.2">
      <c r="GI26050" s="422"/>
    </row>
    <row r="26051" spans="191:191" x14ac:dyDescent="0.2">
      <c r="GI26051" s="422"/>
    </row>
    <row r="26052" spans="191:191" x14ac:dyDescent="0.2">
      <c r="GI26052" s="422"/>
    </row>
    <row r="26053" spans="191:191" x14ac:dyDescent="0.2">
      <c r="GI26053" s="422"/>
    </row>
    <row r="26054" spans="191:191" x14ac:dyDescent="0.2">
      <c r="GI26054" s="422"/>
    </row>
    <row r="26055" spans="191:191" x14ac:dyDescent="0.2">
      <c r="GI26055" s="422"/>
    </row>
    <row r="26056" spans="191:191" x14ac:dyDescent="0.2">
      <c r="GI26056" s="422"/>
    </row>
    <row r="26057" spans="191:191" x14ac:dyDescent="0.2">
      <c r="GI26057" s="422"/>
    </row>
    <row r="26058" spans="191:191" x14ac:dyDescent="0.2">
      <c r="GI26058" s="422"/>
    </row>
    <row r="26059" spans="191:191" x14ac:dyDescent="0.2">
      <c r="GI26059" s="422"/>
    </row>
    <row r="26060" spans="191:191" x14ac:dyDescent="0.2">
      <c r="GI26060" s="422"/>
    </row>
    <row r="26061" spans="191:191" x14ac:dyDescent="0.2">
      <c r="GI26061" s="422"/>
    </row>
    <row r="26062" spans="191:191" x14ac:dyDescent="0.2">
      <c r="GI26062" s="422"/>
    </row>
    <row r="26063" spans="191:191" x14ac:dyDescent="0.2">
      <c r="GI26063" s="422"/>
    </row>
    <row r="26064" spans="191:191" x14ac:dyDescent="0.2">
      <c r="GI26064" s="422"/>
    </row>
    <row r="26065" spans="191:191" x14ac:dyDescent="0.2">
      <c r="GI26065" s="422"/>
    </row>
    <row r="26066" spans="191:191" x14ac:dyDescent="0.2">
      <c r="GI26066" s="422"/>
    </row>
    <row r="26067" spans="191:191" x14ac:dyDescent="0.2">
      <c r="GI26067" s="422"/>
    </row>
    <row r="26068" spans="191:191" x14ac:dyDescent="0.2">
      <c r="GI26068" s="422"/>
    </row>
    <row r="26069" spans="191:191" x14ac:dyDescent="0.2">
      <c r="GI26069" s="422"/>
    </row>
    <row r="26070" spans="191:191" x14ac:dyDescent="0.2">
      <c r="GI26070" s="422"/>
    </row>
    <row r="26071" spans="191:191" x14ac:dyDescent="0.2">
      <c r="GI26071" s="422"/>
    </row>
    <row r="26072" spans="191:191" x14ac:dyDescent="0.2">
      <c r="GI26072" s="422"/>
    </row>
    <row r="26073" spans="191:191" x14ac:dyDescent="0.2">
      <c r="GI26073" s="422"/>
    </row>
    <row r="26074" spans="191:191" x14ac:dyDescent="0.2">
      <c r="GI26074" s="422"/>
    </row>
    <row r="26075" spans="191:191" x14ac:dyDescent="0.2">
      <c r="GI26075" s="422"/>
    </row>
    <row r="26076" spans="191:191" x14ac:dyDescent="0.2">
      <c r="GI26076" s="422"/>
    </row>
    <row r="26077" spans="191:191" x14ac:dyDescent="0.2">
      <c r="GI26077" s="422"/>
    </row>
    <row r="26078" spans="191:191" x14ac:dyDescent="0.2">
      <c r="GI26078" s="422"/>
    </row>
    <row r="26079" spans="191:191" x14ac:dyDescent="0.2">
      <c r="GI26079" s="422"/>
    </row>
    <row r="26080" spans="191:191" x14ac:dyDescent="0.2">
      <c r="GI26080" s="422"/>
    </row>
    <row r="26081" spans="191:191" x14ac:dyDescent="0.2">
      <c r="GI26081" s="422"/>
    </row>
    <row r="26082" spans="191:191" x14ac:dyDescent="0.2">
      <c r="GI26082" s="422"/>
    </row>
    <row r="26083" spans="191:191" x14ac:dyDescent="0.2">
      <c r="GI26083" s="422"/>
    </row>
    <row r="26084" spans="191:191" x14ac:dyDescent="0.2">
      <c r="GI26084" s="422"/>
    </row>
    <row r="26085" spans="191:191" x14ac:dyDescent="0.2">
      <c r="GI26085" s="422"/>
    </row>
    <row r="26086" spans="191:191" x14ac:dyDescent="0.2">
      <c r="GI26086" s="422"/>
    </row>
    <row r="26087" spans="191:191" x14ac:dyDescent="0.2">
      <c r="GI26087" s="422"/>
    </row>
    <row r="26088" spans="191:191" x14ac:dyDescent="0.2">
      <c r="GI26088" s="422"/>
    </row>
    <row r="26089" spans="191:191" x14ac:dyDescent="0.2">
      <c r="GI26089" s="422"/>
    </row>
    <row r="26090" spans="191:191" x14ac:dyDescent="0.2">
      <c r="GI26090" s="422"/>
    </row>
    <row r="26091" spans="191:191" x14ac:dyDescent="0.2">
      <c r="GI26091" s="422"/>
    </row>
    <row r="26092" spans="191:191" x14ac:dyDescent="0.2">
      <c r="GI26092" s="422"/>
    </row>
    <row r="26093" spans="191:191" x14ac:dyDescent="0.2">
      <c r="GI26093" s="422"/>
    </row>
    <row r="26094" spans="191:191" x14ac:dyDescent="0.2">
      <c r="GI26094" s="422"/>
    </row>
    <row r="26095" spans="191:191" x14ac:dyDescent="0.2">
      <c r="GI26095" s="422"/>
    </row>
    <row r="26096" spans="191:191" x14ac:dyDescent="0.2">
      <c r="GI26096" s="422"/>
    </row>
    <row r="26097" spans="191:191" x14ac:dyDescent="0.2">
      <c r="GI26097" s="422"/>
    </row>
    <row r="26098" spans="191:191" x14ac:dyDescent="0.2">
      <c r="GI26098" s="422"/>
    </row>
    <row r="26099" spans="191:191" x14ac:dyDescent="0.2">
      <c r="GI26099" s="422"/>
    </row>
    <row r="26100" spans="191:191" x14ac:dyDescent="0.2">
      <c r="GI26100" s="422"/>
    </row>
    <row r="26101" spans="191:191" x14ac:dyDescent="0.2">
      <c r="GI26101" s="422"/>
    </row>
    <row r="26102" spans="191:191" x14ac:dyDescent="0.2">
      <c r="GI26102" s="422"/>
    </row>
    <row r="26103" spans="191:191" x14ac:dyDescent="0.2">
      <c r="GI26103" s="422"/>
    </row>
    <row r="26104" spans="191:191" x14ac:dyDescent="0.2">
      <c r="GI26104" s="422"/>
    </row>
    <row r="26105" spans="191:191" x14ac:dyDescent="0.2">
      <c r="GI26105" s="422"/>
    </row>
    <row r="26106" spans="191:191" x14ac:dyDescent="0.2">
      <c r="GI26106" s="422"/>
    </row>
    <row r="26107" spans="191:191" x14ac:dyDescent="0.2">
      <c r="GI26107" s="422"/>
    </row>
    <row r="26108" spans="191:191" x14ac:dyDescent="0.2">
      <c r="GI26108" s="422"/>
    </row>
    <row r="26109" spans="191:191" x14ac:dyDescent="0.2">
      <c r="GI26109" s="422"/>
    </row>
    <row r="26110" spans="191:191" x14ac:dyDescent="0.2">
      <c r="GI26110" s="422"/>
    </row>
    <row r="26111" spans="191:191" x14ac:dyDescent="0.2">
      <c r="GI26111" s="422"/>
    </row>
    <row r="26112" spans="191:191" x14ac:dyDescent="0.2">
      <c r="GI26112" s="422"/>
    </row>
    <row r="26113" spans="191:191" x14ac:dyDescent="0.2">
      <c r="GI26113" s="422"/>
    </row>
    <row r="26114" spans="191:191" x14ac:dyDescent="0.2">
      <c r="GI26114" s="422"/>
    </row>
    <row r="26115" spans="191:191" x14ac:dyDescent="0.2">
      <c r="GI26115" s="422"/>
    </row>
    <row r="26116" spans="191:191" x14ac:dyDescent="0.2">
      <c r="GI26116" s="422"/>
    </row>
    <row r="26117" spans="191:191" x14ac:dyDescent="0.2">
      <c r="GI26117" s="422"/>
    </row>
    <row r="26118" spans="191:191" x14ac:dyDescent="0.2">
      <c r="GI26118" s="422"/>
    </row>
    <row r="26119" spans="191:191" x14ac:dyDescent="0.2">
      <c r="GI26119" s="422"/>
    </row>
    <row r="26120" spans="191:191" x14ac:dyDescent="0.2">
      <c r="GI26120" s="422"/>
    </row>
    <row r="26121" spans="191:191" x14ac:dyDescent="0.2">
      <c r="GI26121" s="422"/>
    </row>
    <row r="26122" spans="191:191" x14ac:dyDescent="0.2">
      <c r="GI26122" s="422"/>
    </row>
    <row r="26123" spans="191:191" x14ac:dyDescent="0.2">
      <c r="GI26123" s="422"/>
    </row>
    <row r="26124" spans="191:191" x14ac:dyDescent="0.2">
      <c r="GI26124" s="422"/>
    </row>
    <row r="26125" spans="191:191" x14ac:dyDescent="0.2">
      <c r="GI26125" s="422"/>
    </row>
    <row r="26126" spans="191:191" x14ac:dyDescent="0.2">
      <c r="GI26126" s="422"/>
    </row>
    <row r="26127" spans="191:191" x14ac:dyDescent="0.2">
      <c r="GI26127" s="422"/>
    </row>
    <row r="26128" spans="191:191" x14ac:dyDescent="0.2">
      <c r="GI26128" s="422"/>
    </row>
    <row r="26129" spans="191:191" x14ac:dyDescent="0.2">
      <c r="GI26129" s="422"/>
    </row>
    <row r="26130" spans="191:191" x14ac:dyDescent="0.2">
      <c r="GI26130" s="422"/>
    </row>
    <row r="26131" spans="191:191" x14ac:dyDescent="0.2">
      <c r="GI26131" s="422"/>
    </row>
    <row r="26132" spans="191:191" x14ac:dyDescent="0.2">
      <c r="GI26132" s="422"/>
    </row>
    <row r="26133" spans="191:191" x14ac:dyDescent="0.2">
      <c r="GI26133" s="422"/>
    </row>
    <row r="26134" spans="191:191" x14ac:dyDescent="0.2">
      <c r="GI26134" s="422"/>
    </row>
    <row r="26135" spans="191:191" x14ac:dyDescent="0.2">
      <c r="GI26135" s="422"/>
    </row>
    <row r="26136" spans="191:191" x14ac:dyDescent="0.2">
      <c r="GI26136" s="422"/>
    </row>
    <row r="26137" spans="191:191" x14ac:dyDescent="0.2">
      <c r="GI26137" s="422"/>
    </row>
    <row r="26138" spans="191:191" x14ac:dyDescent="0.2">
      <c r="GI26138" s="422"/>
    </row>
    <row r="26139" spans="191:191" x14ac:dyDescent="0.2">
      <c r="GI26139" s="422"/>
    </row>
    <row r="26140" spans="191:191" x14ac:dyDescent="0.2">
      <c r="GI26140" s="422"/>
    </row>
    <row r="26141" spans="191:191" x14ac:dyDescent="0.2">
      <c r="GI26141" s="422"/>
    </row>
    <row r="26142" spans="191:191" x14ac:dyDescent="0.2">
      <c r="GI26142" s="422"/>
    </row>
    <row r="26143" spans="191:191" x14ac:dyDescent="0.2">
      <c r="GI26143" s="422"/>
    </row>
    <row r="26144" spans="191:191" x14ac:dyDescent="0.2">
      <c r="GI26144" s="422"/>
    </row>
    <row r="26145" spans="191:191" x14ac:dyDescent="0.2">
      <c r="GI26145" s="422"/>
    </row>
    <row r="26146" spans="191:191" x14ac:dyDescent="0.2">
      <c r="GI26146" s="422"/>
    </row>
    <row r="26147" spans="191:191" x14ac:dyDescent="0.2">
      <c r="GI26147" s="422"/>
    </row>
    <row r="26148" spans="191:191" x14ac:dyDescent="0.2">
      <c r="GI26148" s="422"/>
    </row>
    <row r="26149" spans="191:191" x14ac:dyDescent="0.2">
      <c r="GI26149" s="422"/>
    </row>
    <row r="26150" spans="191:191" x14ac:dyDescent="0.2">
      <c r="GI26150" s="422"/>
    </row>
    <row r="26151" spans="191:191" x14ac:dyDescent="0.2">
      <c r="GI26151" s="422"/>
    </row>
    <row r="26152" spans="191:191" x14ac:dyDescent="0.2">
      <c r="GI26152" s="422"/>
    </row>
    <row r="26153" spans="191:191" x14ac:dyDescent="0.2">
      <c r="GI26153" s="422"/>
    </row>
    <row r="26154" spans="191:191" x14ac:dyDescent="0.2">
      <c r="GI26154" s="422"/>
    </row>
    <row r="26155" spans="191:191" x14ac:dyDescent="0.2">
      <c r="GI26155" s="422"/>
    </row>
    <row r="26156" spans="191:191" x14ac:dyDescent="0.2">
      <c r="GI26156" s="422"/>
    </row>
    <row r="26157" spans="191:191" x14ac:dyDescent="0.2">
      <c r="GI26157" s="422"/>
    </row>
    <row r="26158" spans="191:191" x14ac:dyDescent="0.2">
      <c r="GI26158" s="422"/>
    </row>
    <row r="26159" spans="191:191" x14ac:dyDescent="0.2">
      <c r="GI26159" s="422"/>
    </row>
    <row r="26160" spans="191:191" x14ac:dyDescent="0.2">
      <c r="GI26160" s="422"/>
    </row>
    <row r="26161" spans="191:191" x14ac:dyDescent="0.2">
      <c r="GI26161" s="422"/>
    </row>
    <row r="26162" spans="191:191" x14ac:dyDescent="0.2">
      <c r="GI26162" s="422"/>
    </row>
    <row r="26163" spans="191:191" x14ac:dyDescent="0.2">
      <c r="GI26163" s="422"/>
    </row>
    <row r="26164" spans="191:191" x14ac:dyDescent="0.2">
      <c r="GI26164" s="422"/>
    </row>
    <row r="26165" spans="191:191" x14ac:dyDescent="0.2">
      <c r="GI26165" s="422"/>
    </row>
    <row r="26166" spans="191:191" x14ac:dyDescent="0.2">
      <c r="GI26166" s="422"/>
    </row>
    <row r="26167" spans="191:191" x14ac:dyDescent="0.2">
      <c r="GI26167" s="422"/>
    </row>
    <row r="26168" spans="191:191" x14ac:dyDescent="0.2">
      <c r="GI26168" s="422"/>
    </row>
    <row r="26169" spans="191:191" x14ac:dyDescent="0.2">
      <c r="GI26169" s="422"/>
    </row>
    <row r="26170" spans="191:191" x14ac:dyDescent="0.2">
      <c r="GI26170" s="422"/>
    </row>
    <row r="26171" spans="191:191" x14ac:dyDescent="0.2">
      <c r="GI26171" s="422"/>
    </row>
    <row r="26172" spans="191:191" x14ac:dyDescent="0.2">
      <c r="GI26172" s="422"/>
    </row>
    <row r="26173" spans="191:191" x14ac:dyDescent="0.2">
      <c r="GI26173" s="422"/>
    </row>
    <row r="26174" spans="191:191" x14ac:dyDescent="0.2">
      <c r="GI26174" s="422"/>
    </row>
    <row r="26175" spans="191:191" x14ac:dyDescent="0.2">
      <c r="GI26175" s="422"/>
    </row>
    <row r="26176" spans="191:191" x14ac:dyDescent="0.2">
      <c r="GI26176" s="422"/>
    </row>
    <row r="26177" spans="191:191" x14ac:dyDescent="0.2">
      <c r="GI26177" s="422"/>
    </row>
    <row r="26178" spans="191:191" x14ac:dyDescent="0.2">
      <c r="GI26178" s="422"/>
    </row>
    <row r="26179" spans="191:191" x14ac:dyDescent="0.2">
      <c r="GI26179" s="422"/>
    </row>
    <row r="26180" spans="191:191" x14ac:dyDescent="0.2">
      <c r="GI26180" s="422"/>
    </row>
    <row r="26181" spans="191:191" x14ac:dyDescent="0.2">
      <c r="GI26181" s="422"/>
    </row>
    <row r="26182" spans="191:191" x14ac:dyDescent="0.2">
      <c r="GI26182" s="422"/>
    </row>
    <row r="26183" spans="191:191" x14ac:dyDescent="0.2">
      <c r="GI26183" s="422"/>
    </row>
    <row r="26184" spans="191:191" x14ac:dyDescent="0.2">
      <c r="GI26184" s="422"/>
    </row>
    <row r="26185" spans="191:191" x14ac:dyDescent="0.2">
      <c r="GI26185" s="422"/>
    </row>
    <row r="26186" spans="191:191" x14ac:dyDescent="0.2">
      <c r="GI26186" s="422"/>
    </row>
    <row r="26187" spans="191:191" x14ac:dyDescent="0.2">
      <c r="GI26187" s="422"/>
    </row>
    <row r="26188" spans="191:191" x14ac:dyDescent="0.2">
      <c r="GI26188" s="422"/>
    </row>
    <row r="26189" spans="191:191" x14ac:dyDescent="0.2">
      <c r="GI26189" s="422"/>
    </row>
    <row r="26190" spans="191:191" x14ac:dyDescent="0.2">
      <c r="GI26190" s="422"/>
    </row>
    <row r="26191" spans="191:191" x14ac:dyDescent="0.2">
      <c r="GI26191" s="422"/>
    </row>
    <row r="26192" spans="191:191" x14ac:dyDescent="0.2">
      <c r="GI26192" s="422"/>
    </row>
    <row r="26193" spans="191:191" x14ac:dyDescent="0.2">
      <c r="GI26193" s="422"/>
    </row>
    <row r="26194" spans="191:191" x14ac:dyDescent="0.2">
      <c r="GI26194" s="422"/>
    </row>
    <row r="26195" spans="191:191" x14ac:dyDescent="0.2">
      <c r="GI26195" s="422"/>
    </row>
    <row r="26196" spans="191:191" x14ac:dyDescent="0.2">
      <c r="GI26196" s="422"/>
    </row>
    <row r="26197" spans="191:191" x14ac:dyDescent="0.2">
      <c r="GI26197" s="422"/>
    </row>
    <row r="26198" spans="191:191" x14ac:dyDescent="0.2">
      <c r="GI26198" s="422"/>
    </row>
    <row r="26199" spans="191:191" x14ac:dyDescent="0.2">
      <c r="GI26199" s="422"/>
    </row>
    <row r="26200" spans="191:191" x14ac:dyDescent="0.2">
      <c r="GI26200" s="422"/>
    </row>
    <row r="26201" spans="191:191" x14ac:dyDescent="0.2">
      <c r="GI26201" s="422"/>
    </row>
    <row r="26202" spans="191:191" x14ac:dyDescent="0.2">
      <c r="GI26202" s="422"/>
    </row>
    <row r="26203" spans="191:191" x14ac:dyDescent="0.2">
      <c r="GI26203" s="422"/>
    </row>
    <row r="26204" spans="191:191" x14ac:dyDescent="0.2">
      <c r="GI26204" s="422"/>
    </row>
    <row r="26205" spans="191:191" x14ac:dyDescent="0.2">
      <c r="GI26205" s="422"/>
    </row>
    <row r="26206" spans="191:191" x14ac:dyDescent="0.2">
      <c r="GI26206" s="422"/>
    </row>
    <row r="26207" spans="191:191" x14ac:dyDescent="0.2">
      <c r="GI26207" s="422"/>
    </row>
    <row r="26208" spans="191:191" x14ac:dyDescent="0.2">
      <c r="GI26208" s="422"/>
    </row>
    <row r="26209" spans="191:191" x14ac:dyDescent="0.2">
      <c r="GI26209" s="422"/>
    </row>
    <row r="26210" spans="191:191" x14ac:dyDescent="0.2">
      <c r="GI26210" s="422"/>
    </row>
    <row r="26211" spans="191:191" x14ac:dyDescent="0.2">
      <c r="GI26211" s="422"/>
    </row>
    <row r="26212" spans="191:191" x14ac:dyDescent="0.2">
      <c r="GI26212" s="422"/>
    </row>
    <row r="26213" spans="191:191" x14ac:dyDescent="0.2">
      <c r="GI26213" s="422"/>
    </row>
    <row r="26214" spans="191:191" x14ac:dyDescent="0.2">
      <c r="GI26214" s="422"/>
    </row>
    <row r="26215" spans="191:191" x14ac:dyDescent="0.2">
      <c r="GI26215" s="422"/>
    </row>
    <row r="26216" spans="191:191" x14ac:dyDescent="0.2">
      <c r="GI26216" s="422"/>
    </row>
    <row r="26217" spans="191:191" x14ac:dyDescent="0.2">
      <c r="GI26217" s="422"/>
    </row>
    <row r="26218" spans="191:191" x14ac:dyDescent="0.2">
      <c r="GI26218" s="422"/>
    </row>
    <row r="26219" spans="191:191" x14ac:dyDescent="0.2">
      <c r="GI26219" s="422"/>
    </row>
    <row r="26220" spans="191:191" x14ac:dyDescent="0.2">
      <c r="GI26220" s="422"/>
    </row>
    <row r="26221" spans="191:191" x14ac:dyDescent="0.2">
      <c r="GI26221" s="422"/>
    </row>
    <row r="26222" spans="191:191" x14ac:dyDescent="0.2">
      <c r="GI26222" s="422"/>
    </row>
    <row r="26223" spans="191:191" x14ac:dyDescent="0.2">
      <c r="GI26223" s="422"/>
    </row>
    <row r="26224" spans="191:191" x14ac:dyDescent="0.2">
      <c r="GI26224" s="422"/>
    </row>
    <row r="26225" spans="191:191" x14ac:dyDescent="0.2">
      <c r="GI26225" s="422"/>
    </row>
    <row r="26226" spans="191:191" x14ac:dyDescent="0.2">
      <c r="GI26226" s="422"/>
    </row>
    <row r="26227" spans="191:191" x14ac:dyDescent="0.2">
      <c r="GI26227" s="422"/>
    </row>
    <row r="26228" spans="191:191" x14ac:dyDescent="0.2">
      <c r="GI26228" s="422"/>
    </row>
    <row r="26229" spans="191:191" x14ac:dyDescent="0.2">
      <c r="GI26229" s="422"/>
    </row>
    <row r="26230" spans="191:191" x14ac:dyDescent="0.2">
      <c r="GI26230" s="422"/>
    </row>
    <row r="26231" spans="191:191" x14ac:dyDescent="0.2">
      <c r="GI26231" s="422"/>
    </row>
    <row r="26232" spans="191:191" x14ac:dyDescent="0.2">
      <c r="GI26232" s="422"/>
    </row>
    <row r="26233" spans="191:191" x14ac:dyDescent="0.2">
      <c r="GI26233" s="422"/>
    </row>
    <row r="26234" spans="191:191" x14ac:dyDescent="0.2">
      <c r="GI26234" s="422"/>
    </row>
    <row r="26235" spans="191:191" x14ac:dyDescent="0.2">
      <c r="GI26235" s="422"/>
    </row>
    <row r="26236" spans="191:191" x14ac:dyDescent="0.2">
      <c r="GI26236" s="422"/>
    </row>
    <row r="26237" spans="191:191" x14ac:dyDescent="0.2">
      <c r="GI26237" s="422"/>
    </row>
    <row r="26238" spans="191:191" x14ac:dyDescent="0.2">
      <c r="GI26238" s="422"/>
    </row>
    <row r="26239" spans="191:191" x14ac:dyDescent="0.2">
      <c r="GI26239" s="422"/>
    </row>
    <row r="26240" spans="191:191" x14ac:dyDescent="0.2">
      <c r="GI26240" s="422"/>
    </row>
    <row r="26241" spans="191:191" x14ac:dyDescent="0.2">
      <c r="GI26241" s="422"/>
    </row>
    <row r="26242" spans="191:191" x14ac:dyDescent="0.2">
      <c r="GI26242" s="422"/>
    </row>
    <row r="26243" spans="191:191" x14ac:dyDescent="0.2">
      <c r="GI26243" s="422"/>
    </row>
    <row r="26244" spans="191:191" x14ac:dyDescent="0.2">
      <c r="GI26244" s="422"/>
    </row>
    <row r="26245" spans="191:191" x14ac:dyDescent="0.2">
      <c r="GI26245" s="422"/>
    </row>
    <row r="26246" spans="191:191" x14ac:dyDescent="0.2">
      <c r="GI26246" s="422"/>
    </row>
    <row r="26247" spans="191:191" x14ac:dyDescent="0.2">
      <c r="GI26247" s="422"/>
    </row>
    <row r="26248" spans="191:191" x14ac:dyDescent="0.2">
      <c r="GI26248" s="422"/>
    </row>
    <row r="26249" spans="191:191" x14ac:dyDescent="0.2">
      <c r="GI26249" s="422"/>
    </row>
    <row r="26250" spans="191:191" x14ac:dyDescent="0.2">
      <c r="GI26250" s="422"/>
    </row>
    <row r="26251" spans="191:191" x14ac:dyDescent="0.2">
      <c r="GI26251" s="422"/>
    </row>
    <row r="26252" spans="191:191" x14ac:dyDescent="0.2">
      <c r="GI26252" s="422"/>
    </row>
    <row r="26253" spans="191:191" x14ac:dyDescent="0.2">
      <c r="GI26253" s="422"/>
    </row>
    <row r="26254" spans="191:191" x14ac:dyDescent="0.2">
      <c r="GI26254" s="422"/>
    </row>
    <row r="26255" spans="191:191" x14ac:dyDescent="0.2">
      <c r="GI26255" s="422"/>
    </row>
    <row r="26256" spans="191:191" x14ac:dyDescent="0.2">
      <c r="GI26256" s="422"/>
    </row>
    <row r="26257" spans="191:191" x14ac:dyDescent="0.2">
      <c r="GI26257" s="422"/>
    </row>
    <row r="26258" spans="191:191" x14ac:dyDescent="0.2">
      <c r="GI26258" s="422"/>
    </row>
    <row r="26259" spans="191:191" x14ac:dyDescent="0.2">
      <c r="GI26259" s="422"/>
    </row>
    <row r="26260" spans="191:191" x14ac:dyDescent="0.2">
      <c r="GI26260" s="422"/>
    </row>
    <row r="26261" spans="191:191" x14ac:dyDescent="0.2">
      <c r="GI26261" s="422"/>
    </row>
    <row r="26262" spans="191:191" x14ac:dyDescent="0.2">
      <c r="GI26262" s="422"/>
    </row>
    <row r="26263" spans="191:191" x14ac:dyDescent="0.2">
      <c r="GI26263" s="422"/>
    </row>
    <row r="26264" spans="191:191" x14ac:dyDescent="0.2">
      <c r="GI26264" s="422"/>
    </row>
    <row r="26265" spans="191:191" x14ac:dyDescent="0.2">
      <c r="GI26265" s="422"/>
    </row>
    <row r="26266" spans="191:191" x14ac:dyDescent="0.2">
      <c r="GI26266" s="422"/>
    </row>
    <row r="26267" spans="191:191" x14ac:dyDescent="0.2">
      <c r="GI26267" s="422"/>
    </row>
    <row r="26268" spans="191:191" x14ac:dyDescent="0.2">
      <c r="GI26268" s="422"/>
    </row>
    <row r="26269" spans="191:191" x14ac:dyDescent="0.2">
      <c r="GI26269" s="422"/>
    </row>
    <row r="26270" spans="191:191" x14ac:dyDescent="0.2">
      <c r="GI26270" s="422"/>
    </row>
    <row r="26271" spans="191:191" x14ac:dyDescent="0.2">
      <c r="GI26271" s="422"/>
    </row>
    <row r="26272" spans="191:191" x14ac:dyDescent="0.2">
      <c r="GI26272" s="422"/>
    </row>
    <row r="26273" spans="191:191" x14ac:dyDescent="0.2">
      <c r="GI26273" s="422"/>
    </row>
    <row r="26274" spans="191:191" x14ac:dyDescent="0.2">
      <c r="GI26274" s="422"/>
    </row>
    <row r="26275" spans="191:191" x14ac:dyDescent="0.2">
      <c r="GI26275" s="422"/>
    </row>
    <row r="26276" spans="191:191" x14ac:dyDescent="0.2">
      <c r="GI26276" s="422"/>
    </row>
    <row r="26277" spans="191:191" x14ac:dyDescent="0.2">
      <c r="GI26277" s="422"/>
    </row>
    <row r="26278" spans="191:191" x14ac:dyDescent="0.2">
      <c r="GI26278" s="422"/>
    </row>
    <row r="26279" spans="191:191" x14ac:dyDescent="0.2">
      <c r="GI26279" s="422"/>
    </row>
    <row r="26280" spans="191:191" x14ac:dyDescent="0.2">
      <c r="GI26280" s="422"/>
    </row>
    <row r="26281" spans="191:191" x14ac:dyDescent="0.2">
      <c r="GI26281" s="422"/>
    </row>
    <row r="26282" spans="191:191" x14ac:dyDescent="0.2">
      <c r="GI26282" s="422"/>
    </row>
    <row r="26283" spans="191:191" x14ac:dyDescent="0.2">
      <c r="GI26283" s="422"/>
    </row>
    <row r="26284" spans="191:191" x14ac:dyDescent="0.2">
      <c r="GI26284" s="422"/>
    </row>
    <row r="26285" spans="191:191" x14ac:dyDescent="0.2">
      <c r="GI26285" s="422"/>
    </row>
    <row r="26286" spans="191:191" x14ac:dyDescent="0.2">
      <c r="GI26286" s="422"/>
    </row>
    <row r="26287" spans="191:191" x14ac:dyDescent="0.2">
      <c r="GI26287" s="422"/>
    </row>
    <row r="26288" spans="191:191" x14ac:dyDescent="0.2">
      <c r="GI26288" s="422"/>
    </row>
    <row r="26289" spans="191:191" x14ac:dyDescent="0.2">
      <c r="GI26289" s="422"/>
    </row>
    <row r="26290" spans="191:191" x14ac:dyDescent="0.2">
      <c r="GI26290" s="422"/>
    </row>
    <row r="26291" spans="191:191" x14ac:dyDescent="0.2">
      <c r="GI26291" s="422"/>
    </row>
    <row r="26292" spans="191:191" x14ac:dyDescent="0.2">
      <c r="GI26292" s="422"/>
    </row>
    <row r="26293" spans="191:191" x14ac:dyDescent="0.2">
      <c r="GI26293" s="422"/>
    </row>
    <row r="26294" spans="191:191" x14ac:dyDescent="0.2">
      <c r="GI26294" s="422"/>
    </row>
    <row r="26295" spans="191:191" x14ac:dyDescent="0.2">
      <c r="GI26295" s="422"/>
    </row>
    <row r="26296" spans="191:191" x14ac:dyDescent="0.2">
      <c r="GI26296" s="422"/>
    </row>
    <row r="26297" spans="191:191" x14ac:dyDescent="0.2">
      <c r="GI26297" s="422"/>
    </row>
    <row r="26298" spans="191:191" x14ac:dyDescent="0.2">
      <c r="GI26298" s="422"/>
    </row>
    <row r="26299" spans="191:191" x14ac:dyDescent="0.2">
      <c r="GI26299" s="422"/>
    </row>
    <row r="26300" spans="191:191" x14ac:dyDescent="0.2">
      <c r="GI26300" s="422"/>
    </row>
    <row r="26301" spans="191:191" x14ac:dyDescent="0.2">
      <c r="GI26301" s="422"/>
    </row>
    <row r="26302" spans="191:191" x14ac:dyDescent="0.2">
      <c r="GI26302" s="422"/>
    </row>
    <row r="26303" spans="191:191" x14ac:dyDescent="0.2">
      <c r="GI26303" s="422"/>
    </row>
    <row r="26304" spans="191:191" x14ac:dyDescent="0.2">
      <c r="GI26304" s="422"/>
    </row>
    <row r="26305" spans="191:191" x14ac:dyDescent="0.2">
      <c r="GI26305" s="422"/>
    </row>
    <row r="26306" spans="191:191" x14ac:dyDescent="0.2">
      <c r="GI26306" s="422"/>
    </row>
    <row r="26307" spans="191:191" x14ac:dyDescent="0.2">
      <c r="GI26307" s="422"/>
    </row>
    <row r="26308" spans="191:191" x14ac:dyDescent="0.2">
      <c r="GI26308" s="422"/>
    </row>
    <row r="26309" spans="191:191" x14ac:dyDescent="0.2">
      <c r="GI26309" s="422"/>
    </row>
    <row r="26310" spans="191:191" x14ac:dyDescent="0.2">
      <c r="GI26310" s="422"/>
    </row>
    <row r="26311" spans="191:191" x14ac:dyDescent="0.2">
      <c r="GI26311" s="422"/>
    </row>
    <row r="26312" spans="191:191" x14ac:dyDescent="0.2">
      <c r="GI26312" s="422"/>
    </row>
    <row r="26313" spans="191:191" x14ac:dyDescent="0.2">
      <c r="GI26313" s="422"/>
    </row>
    <row r="26314" spans="191:191" x14ac:dyDescent="0.2">
      <c r="GI26314" s="422"/>
    </row>
    <row r="26315" spans="191:191" x14ac:dyDescent="0.2">
      <c r="GI26315" s="422"/>
    </row>
    <row r="26316" spans="191:191" x14ac:dyDescent="0.2">
      <c r="GI26316" s="422"/>
    </row>
    <row r="26317" spans="191:191" x14ac:dyDescent="0.2">
      <c r="GI26317" s="422"/>
    </row>
    <row r="26318" spans="191:191" x14ac:dyDescent="0.2">
      <c r="GI26318" s="422"/>
    </row>
    <row r="26319" spans="191:191" x14ac:dyDescent="0.2">
      <c r="GI26319" s="422"/>
    </row>
    <row r="26320" spans="191:191" x14ac:dyDescent="0.2">
      <c r="GI26320" s="422"/>
    </row>
    <row r="26321" spans="191:191" x14ac:dyDescent="0.2">
      <c r="GI26321" s="422"/>
    </row>
    <row r="26322" spans="191:191" x14ac:dyDescent="0.2">
      <c r="GI26322" s="422"/>
    </row>
    <row r="26323" spans="191:191" x14ac:dyDescent="0.2">
      <c r="GI26323" s="422"/>
    </row>
    <row r="26324" spans="191:191" x14ac:dyDescent="0.2">
      <c r="GI26324" s="422"/>
    </row>
    <row r="26325" spans="191:191" x14ac:dyDescent="0.2">
      <c r="GI26325" s="422"/>
    </row>
    <row r="26326" spans="191:191" x14ac:dyDescent="0.2">
      <c r="GI26326" s="422"/>
    </row>
    <row r="26327" spans="191:191" x14ac:dyDescent="0.2">
      <c r="GI26327" s="422"/>
    </row>
    <row r="26328" spans="191:191" x14ac:dyDescent="0.2">
      <c r="GI26328" s="422"/>
    </row>
    <row r="26329" spans="191:191" x14ac:dyDescent="0.2">
      <c r="GI26329" s="422"/>
    </row>
    <row r="26330" spans="191:191" x14ac:dyDescent="0.2">
      <c r="GI26330" s="422"/>
    </row>
    <row r="26331" spans="191:191" x14ac:dyDescent="0.2">
      <c r="GI26331" s="422"/>
    </row>
    <row r="26332" spans="191:191" x14ac:dyDescent="0.2">
      <c r="GI26332" s="422"/>
    </row>
    <row r="26333" spans="191:191" x14ac:dyDescent="0.2">
      <c r="GI26333" s="422"/>
    </row>
    <row r="26334" spans="191:191" x14ac:dyDescent="0.2">
      <c r="GI26334" s="422"/>
    </row>
    <row r="26335" spans="191:191" x14ac:dyDescent="0.2">
      <c r="GI26335" s="422"/>
    </row>
    <row r="26336" spans="191:191" x14ac:dyDescent="0.2">
      <c r="GI26336" s="422"/>
    </row>
    <row r="26337" spans="191:191" x14ac:dyDescent="0.2">
      <c r="GI26337" s="422"/>
    </row>
    <row r="26338" spans="191:191" x14ac:dyDescent="0.2">
      <c r="GI26338" s="422"/>
    </row>
    <row r="26339" spans="191:191" x14ac:dyDescent="0.2">
      <c r="GI26339" s="422"/>
    </row>
    <row r="26340" spans="191:191" x14ac:dyDescent="0.2">
      <c r="GI26340" s="422"/>
    </row>
    <row r="26341" spans="191:191" x14ac:dyDescent="0.2">
      <c r="GI26341" s="422"/>
    </row>
    <row r="26342" spans="191:191" x14ac:dyDescent="0.2">
      <c r="GI26342" s="422"/>
    </row>
    <row r="26343" spans="191:191" x14ac:dyDescent="0.2">
      <c r="GI26343" s="422"/>
    </row>
    <row r="26344" spans="191:191" x14ac:dyDescent="0.2">
      <c r="GI26344" s="422"/>
    </row>
    <row r="26345" spans="191:191" x14ac:dyDescent="0.2">
      <c r="GI26345" s="422"/>
    </row>
    <row r="26346" spans="191:191" x14ac:dyDescent="0.2">
      <c r="GI26346" s="422"/>
    </row>
    <row r="26347" spans="191:191" x14ac:dyDescent="0.2">
      <c r="GI26347" s="422"/>
    </row>
    <row r="26348" spans="191:191" x14ac:dyDescent="0.2">
      <c r="GI26348" s="422"/>
    </row>
    <row r="26349" spans="191:191" x14ac:dyDescent="0.2">
      <c r="GI26349" s="422"/>
    </row>
    <row r="26350" spans="191:191" x14ac:dyDescent="0.2">
      <c r="GI26350" s="422"/>
    </row>
    <row r="26351" spans="191:191" x14ac:dyDescent="0.2">
      <c r="GI26351" s="422"/>
    </row>
    <row r="26352" spans="191:191" x14ac:dyDescent="0.2">
      <c r="GI26352" s="422"/>
    </row>
    <row r="26353" spans="191:191" x14ac:dyDescent="0.2">
      <c r="GI26353" s="422"/>
    </row>
    <row r="26354" spans="191:191" x14ac:dyDescent="0.2">
      <c r="GI26354" s="422"/>
    </row>
    <row r="26355" spans="191:191" x14ac:dyDescent="0.2">
      <c r="GI26355" s="422"/>
    </row>
    <row r="26356" spans="191:191" x14ac:dyDescent="0.2">
      <c r="GI26356" s="422"/>
    </row>
    <row r="26357" spans="191:191" x14ac:dyDescent="0.2">
      <c r="GI26357" s="422"/>
    </row>
    <row r="26358" spans="191:191" x14ac:dyDescent="0.2">
      <c r="GI26358" s="422"/>
    </row>
    <row r="26359" spans="191:191" x14ac:dyDescent="0.2">
      <c r="GI26359" s="422"/>
    </row>
    <row r="26360" spans="191:191" x14ac:dyDescent="0.2">
      <c r="GI26360" s="422"/>
    </row>
    <row r="26361" spans="191:191" x14ac:dyDescent="0.2">
      <c r="GI26361" s="422"/>
    </row>
    <row r="26362" spans="191:191" x14ac:dyDescent="0.2">
      <c r="GI26362" s="422"/>
    </row>
    <row r="26363" spans="191:191" x14ac:dyDescent="0.2">
      <c r="GI26363" s="422"/>
    </row>
    <row r="26364" spans="191:191" x14ac:dyDescent="0.2">
      <c r="GI26364" s="422"/>
    </row>
    <row r="26365" spans="191:191" x14ac:dyDescent="0.2">
      <c r="GI26365" s="422"/>
    </row>
    <row r="26366" spans="191:191" x14ac:dyDescent="0.2">
      <c r="GI26366" s="422"/>
    </row>
    <row r="26367" spans="191:191" x14ac:dyDescent="0.2">
      <c r="GI26367" s="422"/>
    </row>
    <row r="26368" spans="191:191" x14ac:dyDescent="0.2">
      <c r="GI26368" s="422"/>
    </row>
    <row r="26369" spans="191:191" x14ac:dyDescent="0.2">
      <c r="GI26369" s="422"/>
    </row>
    <row r="26370" spans="191:191" x14ac:dyDescent="0.2">
      <c r="GI26370" s="422"/>
    </row>
    <row r="26371" spans="191:191" x14ac:dyDescent="0.2">
      <c r="GI26371" s="422"/>
    </row>
    <row r="26372" spans="191:191" x14ac:dyDescent="0.2">
      <c r="GI26372" s="422"/>
    </row>
    <row r="26373" spans="191:191" x14ac:dyDescent="0.2">
      <c r="GI26373" s="422"/>
    </row>
    <row r="26374" spans="191:191" x14ac:dyDescent="0.2">
      <c r="GI26374" s="422"/>
    </row>
    <row r="26375" spans="191:191" x14ac:dyDescent="0.2">
      <c r="GI26375" s="422"/>
    </row>
    <row r="26376" spans="191:191" x14ac:dyDescent="0.2">
      <c r="GI26376" s="422"/>
    </row>
    <row r="26377" spans="191:191" x14ac:dyDescent="0.2">
      <c r="GI26377" s="422"/>
    </row>
    <row r="26378" spans="191:191" x14ac:dyDescent="0.2">
      <c r="GI26378" s="422"/>
    </row>
    <row r="26379" spans="191:191" x14ac:dyDescent="0.2">
      <c r="GI26379" s="422"/>
    </row>
    <row r="26380" spans="191:191" x14ac:dyDescent="0.2">
      <c r="GI26380" s="422"/>
    </row>
    <row r="26381" spans="191:191" x14ac:dyDescent="0.2">
      <c r="GI26381" s="422"/>
    </row>
    <row r="26382" spans="191:191" x14ac:dyDescent="0.2">
      <c r="GI26382" s="422"/>
    </row>
    <row r="26383" spans="191:191" x14ac:dyDescent="0.2">
      <c r="GI26383" s="422"/>
    </row>
    <row r="26384" spans="191:191" x14ac:dyDescent="0.2">
      <c r="GI26384" s="422"/>
    </row>
    <row r="26385" spans="191:191" x14ac:dyDescent="0.2">
      <c r="GI26385" s="422"/>
    </row>
    <row r="26386" spans="191:191" x14ac:dyDescent="0.2">
      <c r="GI26386" s="422"/>
    </row>
    <row r="26387" spans="191:191" x14ac:dyDescent="0.2">
      <c r="GI26387" s="422"/>
    </row>
    <row r="26388" spans="191:191" x14ac:dyDescent="0.2">
      <c r="GI26388" s="422"/>
    </row>
    <row r="26389" spans="191:191" x14ac:dyDescent="0.2">
      <c r="GI26389" s="422"/>
    </row>
    <row r="26390" spans="191:191" x14ac:dyDescent="0.2">
      <c r="GI26390" s="422"/>
    </row>
    <row r="26391" spans="191:191" x14ac:dyDescent="0.2">
      <c r="GI26391" s="422"/>
    </row>
    <row r="26392" spans="191:191" x14ac:dyDescent="0.2">
      <c r="GI26392" s="422"/>
    </row>
    <row r="26393" spans="191:191" x14ac:dyDescent="0.2">
      <c r="GI26393" s="422"/>
    </row>
    <row r="26394" spans="191:191" x14ac:dyDescent="0.2">
      <c r="GI26394" s="422"/>
    </row>
    <row r="26395" spans="191:191" x14ac:dyDescent="0.2">
      <c r="GI26395" s="422"/>
    </row>
    <row r="26396" spans="191:191" x14ac:dyDescent="0.2">
      <c r="GI26396" s="422"/>
    </row>
    <row r="26397" spans="191:191" x14ac:dyDescent="0.2">
      <c r="GI26397" s="422"/>
    </row>
    <row r="26398" spans="191:191" x14ac:dyDescent="0.2">
      <c r="GI26398" s="422"/>
    </row>
    <row r="26399" spans="191:191" x14ac:dyDescent="0.2">
      <c r="GI26399" s="422"/>
    </row>
    <row r="26400" spans="191:191" x14ac:dyDescent="0.2">
      <c r="GI26400" s="422"/>
    </row>
    <row r="26401" spans="191:191" x14ac:dyDescent="0.2">
      <c r="GI26401" s="422"/>
    </row>
    <row r="26402" spans="191:191" x14ac:dyDescent="0.2">
      <c r="GI26402" s="422"/>
    </row>
    <row r="26403" spans="191:191" x14ac:dyDescent="0.2">
      <c r="GI26403" s="422"/>
    </row>
    <row r="26404" spans="191:191" x14ac:dyDescent="0.2">
      <c r="GI26404" s="422"/>
    </row>
    <row r="26405" spans="191:191" x14ac:dyDescent="0.2">
      <c r="GI26405" s="422"/>
    </row>
    <row r="26406" spans="191:191" x14ac:dyDescent="0.2">
      <c r="GI26406" s="422"/>
    </row>
    <row r="26407" spans="191:191" x14ac:dyDescent="0.2">
      <c r="GI26407" s="422"/>
    </row>
    <row r="26408" spans="191:191" x14ac:dyDescent="0.2">
      <c r="GI26408" s="422"/>
    </row>
    <row r="26409" spans="191:191" x14ac:dyDescent="0.2">
      <c r="GI26409" s="422"/>
    </row>
    <row r="26410" spans="191:191" x14ac:dyDescent="0.2">
      <c r="GI26410" s="422"/>
    </row>
    <row r="26411" spans="191:191" x14ac:dyDescent="0.2">
      <c r="GI26411" s="422"/>
    </row>
    <row r="26412" spans="191:191" x14ac:dyDescent="0.2">
      <c r="GI26412" s="422"/>
    </row>
    <row r="26413" spans="191:191" x14ac:dyDescent="0.2">
      <c r="GI26413" s="422"/>
    </row>
    <row r="26414" spans="191:191" x14ac:dyDescent="0.2">
      <c r="GI26414" s="422"/>
    </row>
    <row r="26415" spans="191:191" x14ac:dyDescent="0.2">
      <c r="GI26415" s="422"/>
    </row>
    <row r="26416" spans="191:191" x14ac:dyDescent="0.2">
      <c r="GI26416" s="422"/>
    </row>
    <row r="26417" spans="191:191" x14ac:dyDescent="0.2">
      <c r="GI26417" s="422"/>
    </row>
    <row r="26418" spans="191:191" x14ac:dyDescent="0.2">
      <c r="GI26418" s="422"/>
    </row>
    <row r="26419" spans="191:191" x14ac:dyDescent="0.2">
      <c r="GI26419" s="422"/>
    </row>
    <row r="26420" spans="191:191" x14ac:dyDescent="0.2">
      <c r="GI26420" s="422"/>
    </row>
    <row r="26421" spans="191:191" x14ac:dyDescent="0.2">
      <c r="GI26421" s="422"/>
    </row>
    <row r="26422" spans="191:191" x14ac:dyDescent="0.2">
      <c r="GI26422" s="422"/>
    </row>
    <row r="26423" spans="191:191" x14ac:dyDescent="0.2">
      <c r="GI26423" s="422"/>
    </row>
    <row r="26424" spans="191:191" x14ac:dyDescent="0.2">
      <c r="GI26424" s="422"/>
    </row>
    <row r="26425" spans="191:191" x14ac:dyDescent="0.2">
      <c r="GI26425" s="422"/>
    </row>
    <row r="26426" spans="191:191" x14ac:dyDescent="0.2">
      <c r="GI26426" s="422"/>
    </row>
    <row r="26427" spans="191:191" x14ac:dyDescent="0.2">
      <c r="GI26427" s="422"/>
    </row>
    <row r="26428" spans="191:191" x14ac:dyDescent="0.2">
      <c r="GI26428" s="422"/>
    </row>
    <row r="26429" spans="191:191" x14ac:dyDescent="0.2">
      <c r="GI26429" s="422"/>
    </row>
    <row r="26430" spans="191:191" x14ac:dyDescent="0.2">
      <c r="GI26430" s="422"/>
    </row>
    <row r="26431" spans="191:191" x14ac:dyDescent="0.2">
      <c r="GI26431" s="422"/>
    </row>
    <row r="26432" spans="191:191" x14ac:dyDescent="0.2">
      <c r="GI26432" s="422"/>
    </row>
    <row r="26433" spans="191:191" x14ac:dyDescent="0.2">
      <c r="GI26433" s="422"/>
    </row>
    <row r="26434" spans="191:191" x14ac:dyDescent="0.2">
      <c r="GI26434" s="422"/>
    </row>
    <row r="26435" spans="191:191" x14ac:dyDescent="0.2">
      <c r="GI26435" s="422"/>
    </row>
    <row r="26436" spans="191:191" x14ac:dyDescent="0.2">
      <c r="GI26436" s="422"/>
    </row>
    <row r="26437" spans="191:191" x14ac:dyDescent="0.2">
      <c r="GI26437" s="422"/>
    </row>
    <row r="26438" spans="191:191" x14ac:dyDescent="0.2">
      <c r="GI26438" s="422"/>
    </row>
    <row r="26439" spans="191:191" x14ac:dyDescent="0.2">
      <c r="GI26439" s="422"/>
    </row>
    <row r="26440" spans="191:191" x14ac:dyDescent="0.2">
      <c r="GI26440" s="422"/>
    </row>
    <row r="26441" spans="191:191" x14ac:dyDescent="0.2">
      <c r="GI26441" s="422"/>
    </row>
    <row r="26442" spans="191:191" x14ac:dyDescent="0.2">
      <c r="GI26442" s="422"/>
    </row>
    <row r="26443" spans="191:191" x14ac:dyDescent="0.2">
      <c r="GI26443" s="422"/>
    </row>
    <row r="26444" spans="191:191" x14ac:dyDescent="0.2">
      <c r="GI26444" s="422"/>
    </row>
    <row r="26445" spans="191:191" x14ac:dyDescent="0.2">
      <c r="GI26445" s="422"/>
    </row>
    <row r="26446" spans="191:191" x14ac:dyDescent="0.2">
      <c r="GI26446" s="422"/>
    </row>
    <row r="26447" spans="191:191" x14ac:dyDescent="0.2">
      <c r="GI26447" s="422"/>
    </row>
    <row r="26448" spans="191:191" x14ac:dyDescent="0.2">
      <c r="GI26448" s="422"/>
    </row>
    <row r="26449" spans="191:191" x14ac:dyDescent="0.2">
      <c r="GI26449" s="422"/>
    </row>
    <row r="26450" spans="191:191" x14ac:dyDescent="0.2">
      <c r="GI26450" s="422"/>
    </row>
    <row r="26451" spans="191:191" x14ac:dyDescent="0.2">
      <c r="GI26451" s="422"/>
    </row>
    <row r="26452" spans="191:191" x14ac:dyDescent="0.2">
      <c r="GI26452" s="422"/>
    </row>
    <row r="26453" spans="191:191" x14ac:dyDescent="0.2">
      <c r="GI26453" s="422"/>
    </row>
    <row r="26454" spans="191:191" x14ac:dyDescent="0.2">
      <c r="GI26454" s="422"/>
    </row>
    <row r="26455" spans="191:191" x14ac:dyDescent="0.2">
      <c r="GI26455" s="422"/>
    </row>
    <row r="26456" spans="191:191" x14ac:dyDescent="0.2">
      <c r="GI26456" s="422"/>
    </row>
    <row r="26457" spans="191:191" x14ac:dyDescent="0.2">
      <c r="GI26457" s="422"/>
    </row>
    <row r="26458" spans="191:191" x14ac:dyDescent="0.2">
      <c r="GI26458" s="422"/>
    </row>
    <row r="26459" spans="191:191" x14ac:dyDescent="0.2">
      <c r="GI26459" s="422"/>
    </row>
    <row r="26460" spans="191:191" x14ac:dyDescent="0.2">
      <c r="GI26460" s="422"/>
    </row>
    <row r="26461" spans="191:191" x14ac:dyDescent="0.2">
      <c r="GI26461" s="422"/>
    </row>
    <row r="26462" spans="191:191" x14ac:dyDescent="0.2">
      <c r="GI26462" s="422"/>
    </row>
    <row r="26463" spans="191:191" x14ac:dyDescent="0.2">
      <c r="GI26463" s="422"/>
    </row>
    <row r="26464" spans="191:191" x14ac:dyDescent="0.2">
      <c r="GI26464" s="422"/>
    </row>
    <row r="26465" spans="191:191" x14ac:dyDescent="0.2">
      <c r="GI26465" s="422"/>
    </row>
    <row r="26466" spans="191:191" x14ac:dyDescent="0.2">
      <c r="GI26466" s="422"/>
    </row>
    <row r="26467" spans="191:191" x14ac:dyDescent="0.2">
      <c r="GI26467" s="422"/>
    </row>
    <row r="26468" spans="191:191" x14ac:dyDescent="0.2">
      <c r="GI26468" s="422"/>
    </row>
    <row r="26469" spans="191:191" x14ac:dyDescent="0.2">
      <c r="GI26469" s="422"/>
    </row>
    <row r="26470" spans="191:191" x14ac:dyDescent="0.2">
      <c r="GI26470" s="422"/>
    </row>
    <row r="26471" spans="191:191" x14ac:dyDescent="0.2">
      <c r="GI26471" s="422"/>
    </row>
    <row r="26472" spans="191:191" x14ac:dyDescent="0.2">
      <c r="GI26472" s="422"/>
    </row>
    <row r="26473" spans="191:191" x14ac:dyDescent="0.2">
      <c r="GI26473" s="422"/>
    </row>
    <row r="26474" spans="191:191" x14ac:dyDescent="0.2">
      <c r="GI26474" s="422"/>
    </row>
    <row r="26475" spans="191:191" x14ac:dyDescent="0.2">
      <c r="GI26475" s="422"/>
    </row>
    <row r="26476" spans="191:191" x14ac:dyDescent="0.2">
      <c r="GI26476" s="422"/>
    </row>
    <row r="26477" spans="191:191" x14ac:dyDescent="0.2">
      <c r="GI26477" s="422"/>
    </row>
    <row r="26478" spans="191:191" x14ac:dyDescent="0.2">
      <c r="GI26478" s="422"/>
    </row>
    <row r="26479" spans="191:191" x14ac:dyDescent="0.2">
      <c r="GI26479" s="422"/>
    </row>
    <row r="26480" spans="191:191" x14ac:dyDescent="0.2">
      <c r="GI26480" s="422"/>
    </row>
    <row r="26481" spans="191:191" x14ac:dyDescent="0.2">
      <c r="GI26481" s="422"/>
    </row>
    <row r="26482" spans="191:191" x14ac:dyDescent="0.2">
      <c r="GI26482" s="422"/>
    </row>
    <row r="26483" spans="191:191" x14ac:dyDescent="0.2">
      <c r="GI26483" s="422"/>
    </row>
    <row r="26484" spans="191:191" x14ac:dyDescent="0.2">
      <c r="GI26484" s="422"/>
    </row>
    <row r="26485" spans="191:191" x14ac:dyDescent="0.2">
      <c r="GI26485" s="422"/>
    </row>
    <row r="26486" spans="191:191" x14ac:dyDescent="0.2">
      <c r="GI26486" s="422"/>
    </row>
    <row r="26487" spans="191:191" x14ac:dyDescent="0.2">
      <c r="GI26487" s="422"/>
    </row>
    <row r="26488" spans="191:191" x14ac:dyDescent="0.2">
      <c r="GI26488" s="422"/>
    </row>
    <row r="26489" spans="191:191" x14ac:dyDescent="0.2">
      <c r="GI26489" s="422"/>
    </row>
    <row r="26490" spans="191:191" x14ac:dyDescent="0.2">
      <c r="GI26490" s="422"/>
    </row>
    <row r="26491" spans="191:191" x14ac:dyDescent="0.2">
      <c r="GI26491" s="422"/>
    </row>
    <row r="26492" spans="191:191" x14ac:dyDescent="0.2">
      <c r="GI26492" s="422"/>
    </row>
    <row r="26493" spans="191:191" x14ac:dyDescent="0.2">
      <c r="GI26493" s="422"/>
    </row>
    <row r="26494" spans="191:191" x14ac:dyDescent="0.2">
      <c r="GI26494" s="422"/>
    </row>
    <row r="26495" spans="191:191" x14ac:dyDescent="0.2">
      <c r="GI26495" s="422"/>
    </row>
    <row r="26496" spans="191:191" x14ac:dyDescent="0.2">
      <c r="GI26496" s="422"/>
    </row>
    <row r="26497" spans="191:191" x14ac:dyDescent="0.2">
      <c r="GI26497" s="422"/>
    </row>
    <row r="26498" spans="191:191" x14ac:dyDescent="0.2">
      <c r="GI26498" s="422"/>
    </row>
    <row r="26499" spans="191:191" x14ac:dyDescent="0.2">
      <c r="GI26499" s="422"/>
    </row>
    <row r="26500" spans="191:191" x14ac:dyDescent="0.2">
      <c r="GI26500" s="422"/>
    </row>
    <row r="26501" spans="191:191" x14ac:dyDescent="0.2">
      <c r="GI26501" s="422"/>
    </row>
    <row r="26502" spans="191:191" x14ac:dyDescent="0.2">
      <c r="GI26502" s="422"/>
    </row>
    <row r="26503" spans="191:191" x14ac:dyDescent="0.2">
      <c r="GI26503" s="422"/>
    </row>
    <row r="26504" spans="191:191" x14ac:dyDescent="0.2">
      <c r="GI26504" s="422"/>
    </row>
    <row r="26505" spans="191:191" x14ac:dyDescent="0.2">
      <c r="GI26505" s="422"/>
    </row>
    <row r="26506" spans="191:191" x14ac:dyDescent="0.2">
      <c r="GI26506" s="422"/>
    </row>
    <row r="26507" spans="191:191" x14ac:dyDescent="0.2">
      <c r="GI26507" s="422"/>
    </row>
    <row r="26508" spans="191:191" x14ac:dyDescent="0.2">
      <c r="GI26508" s="422"/>
    </row>
    <row r="26509" spans="191:191" x14ac:dyDescent="0.2">
      <c r="GI26509" s="422"/>
    </row>
    <row r="26510" spans="191:191" x14ac:dyDescent="0.2">
      <c r="GI26510" s="422"/>
    </row>
    <row r="26511" spans="191:191" x14ac:dyDescent="0.2">
      <c r="GI26511" s="422"/>
    </row>
    <row r="26512" spans="191:191" x14ac:dyDescent="0.2">
      <c r="GI26512" s="422"/>
    </row>
    <row r="26513" spans="191:191" x14ac:dyDescent="0.2">
      <c r="GI26513" s="422"/>
    </row>
    <row r="26514" spans="191:191" x14ac:dyDescent="0.2">
      <c r="GI26514" s="422"/>
    </row>
    <row r="26515" spans="191:191" x14ac:dyDescent="0.2">
      <c r="GI26515" s="422"/>
    </row>
    <row r="26516" spans="191:191" x14ac:dyDescent="0.2">
      <c r="GI26516" s="422"/>
    </row>
    <row r="26517" spans="191:191" x14ac:dyDescent="0.2">
      <c r="GI26517" s="422"/>
    </row>
    <row r="26518" spans="191:191" x14ac:dyDescent="0.2">
      <c r="GI26518" s="422"/>
    </row>
    <row r="26519" spans="191:191" x14ac:dyDescent="0.2">
      <c r="GI26519" s="422"/>
    </row>
    <row r="26520" spans="191:191" x14ac:dyDescent="0.2">
      <c r="GI26520" s="422"/>
    </row>
    <row r="26521" spans="191:191" x14ac:dyDescent="0.2">
      <c r="GI26521" s="422"/>
    </row>
    <row r="26522" spans="191:191" x14ac:dyDescent="0.2">
      <c r="GI26522" s="422"/>
    </row>
    <row r="26523" spans="191:191" x14ac:dyDescent="0.2">
      <c r="GI26523" s="422"/>
    </row>
    <row r="26524" spans="191:191" x14ac:dyDescent="0.2">
      <c r="GI26524" s="422"/>
    </row>
    <row r="26525" spans="191:191" x14ac:dyDescent="0.2">
      <c r="GI26525" s="422"/>
    </row>
    <row r="26526" spans="191:191" x14ac:dyDescent="0.2">
      <c r="GI26526" s="422"/>
    </row>
    <row r="26527" spans="191:191" x14ac:dyDescent="0.2">
      <c r="GI26527" s="422"/>
    </row>
    <row r="26528" spans="191:191" x14ac:dyDescent="0.2">
      <c r="GI26528" s="422"/>
    </row>
    <row r="26529" spans="191:191" x14ac:dyDescent="0.2">
      <c r="GI26529" s="422"/>
    </row>
    <row r="26530" spans="191:191" x14ac:dyDescent="0.2">
      <c r="GI26530" s="422"/>
    </row>
    <row r="26531" spans="191:191" x14ac:dyDescent="0.2">
      <c r="GI26531" s="422"/>
    </row>
    <row r="26532" spans="191:191" x14ac:dyDescent="0.2">
      <c r="GI26532" s="422"/>
    </row>
    <row r="26533" spans="191:191" x14ac:dyDescent="0.2">
      <c r="GI26533" s="422"/>
    </row>
    <row r="26534" spans="191:191" x14ac:dyDescent="0.2">
      <c r="GI26534" s="422"/>
    </row>
    <row r="26535" spans="191:191" x14ac:dyDescent="0.2">
      <c r="GI26535" s="422"/>
    </row>
    <row r="26536" spans="191:191" x14ac:dyDescent="0.2">
      <c r="GI26536" s="422"/>
    </row>
    <row r="26537" spans="191:191" x14ac:dyDescent="0.2">
      <c r="GI26537" s="422"/>
    </row>
    <row r="26538" spans="191:191" x14ac:dyDescent="0.2">
      <c r="GI26538" s="422"/>
    </row>
    <row r="26539" spans="191:191" x14ac:dyDescent="0.2">
      <c r="GI26539" s="422"/>
    </row>
    <row r="26540" spans="191:191" x14ac:dyDescent="0.2">
      <c r="GI26540" s="422"/>
    </row>
    <row r="26541" spans="191:191" x14ac:dyDescent="0.2">
      <c r="GI26541" s="422"/>
    </row>
    <row r="26542" spans="191:191" x14ac:dyDescent="0.2">
      <c r="GI26542" s="422"/>
    </row>
    <row r="26543" spans="191:191" x14ac:dyDescent="0.2">
      <c r="GI26543" s="422"/>
    </row>
    <row r="26544" spans="191:191" x14ac:dyDescent="0.2">
      <c r="GI26544" s="422"/>
    </row>
    <row r="26545" spans="191:191" x14ac:dyDescent="0.2">
      <c r="GI26545" s="422"/>
    </row>
    <row r="26546" spans="191:191" x14ac:dyDescent="0.2">
      <c r="GI26546" s="422"/>
    </row>
    <row r="26547" spans="191:191" x14ac:dyDescent="0.2">
      <c r="GI26547" s="422"/>
    </row>
    <row r="26548" spans="191:191" x14ac:dyDescent="0.2">
      <c r="GI26548" s="422"/>
    </row>
    <row r="26549" spans="191:191" x14ac:dyDescent="0.2">
      <c r="GI26549" s="422"/>
    </row>
    <row r="26550" spans="191:191" x14ac:dyDescent="0.2">
      <c r="GI26550" s="422"/>
    </row>
    <row r="26551" spans="191:191" x14ac:dyDescent="0.2">
      <c r="GI26551" s="422"/>
    </row>
    <row r="26552" spans="191:191" x14ac:dyDescent="0.2">
      <c r="GI26552" s="422"/>
    </row>
    <row r="26553" spans="191:191" x14ac:dyDescent="0.2">
      <c r="GI26553" s="422"/>
    </row>
    <row r="26554" spans="191:191" x14ac:dyDescent="0.2">
      <c r="GI26554" s="422"/>
    </row>
    <row r="26555" spans="191:191" x14ac:dyDescent="0.2">
      <c r="GI26555" s="422"/>
    </row>
    <row r="26556" spans="191:191" x14ac:dyDescent="0.2">
      <c r="GI26556" s="422"/>
    </row>
    <row r="26557" spans="191:191" x14ac:dyDescent="0.2">
      <c r="GI26557" s="422"/>
    </row>
    <row r="26558" spans="191:191" x14ac:dyDescent="0.2">
      <c r="GI26558" s="422"/>
    </row>
    <row r="26559" spans="191:191" x14ac:dyDescent="0.2">
      <c r="GI26559" s="422"/>
    </row>
    <row r="26560" spans="191:191" x14ac:dyDescent="0.2">
      <c r="GI26560" s="422"/>
    </row>
    <row r="26561" spans="191:191" x14ac:dyDescent="0.2">
      <c r="GI26561" s="422"/>
    </row>
    <row r="26562" spans="191:191" x14ac:dyDescent="0.2">
      <c r="GI26562" s="422"/>
    </row>
    <row r="26563" spans="191:191" x14ac:dyDescent="0.2">
      <c r="GI26563" s="422"/>
    </row>
    <row r="26564" spans="191:191" x14ac:dyDescent="0.2">
      <c r="GI26564" s="422"/>
    </row>
    <row r="26565" spans="191:191" x14ac:dyDescent="0.2">
      <c r="GI26565" s="422"/>
    </row>
    <row r="26566" spans="191:191" x14ac:dyDescent="0.2">
      <c r="GI26566" s="422"/>
    </row>
    <row r="26567" spans="191:191" x14ac:dyDescent="0.2">
      <c r="GI26567" s="422"/>
    </row>
    <row r="26568" spans="191:191" x14ac:dyDescent="0.2">
      <c r="GI26568" s="422"/>
    </row>
    <row r="26569" spans="191:191" x14ac:dyDescent="0.2">
      <c r="GI26569" s="422"/>
    </row>
    <row r="26570" spans="191:191" x14ac:dyDescent="0.2">
      <c r="GI26570" s="422"/>
    </row>
    <row r="26571" spans="191:191" x14ac:dyDescent="0.2">
      <c r="GI26571" s="422"/>
    </row>
    <row r="26572" spans="191:191" x14ac:dyDescent="0.2">
      <c r="GI26572" s="422"/>
    </row>
    <row r="26573" spans="191:191" x14ac:dyDescent="0.2">
      <c r="GI26573" s="422"/>
    </row>
    <row r="26574" spans="191:191" x14ac:dyDescent="0.2">
      <c r="GI26574" s="422"/>
    </row>
    <row r="26575" spans="191:191" x14ac:dyDescent="0.2">
      <c r="GI26575" s="422"/>
    </row>
    <row r="26576" spans="191:191" x14ac:dyDescent="0.2">
      <c r="GI26576" s="422"/>
    </row>
    <row r="26577" spans="191:191" x14ac:dyDescent="0.2">
      <c r="GI26577" s="422"/>
    </row>
    <row r="26578" spans="191:191" x14ac:dyDescent="0.2">
      <c r="GI26578" s="422"/>
    </row>
    <row r="26579" spans="191:191" x14ac:dyDescent="0.2">
      <c r="GI26579" s="422"/>
    </row>
    <row r="26580" spans="191:191" x14ac:dyDescent="0.2">
      <c r="GI26580" s="422"/>
    </row>
    <row r="26581" spans="191:191" x14ac:dyDescent="0.2">
      <c r="GI26581" s="422"/>
    </row>
    <row r="26582" spans="191:191" x14ac:dyDescent="0.2">
      <c r="GI26582" s="422"/>
    </row>
    <row r="26583" spans="191:191" x14ac:dyDescent="0.2">
      <c r="GI26583" s="422"/>
    </row>
    <row r="26584" spans="191:191" x14ac:dyDescent="0.2">
      <c r="GI26584" s="422"/>
    </row>
    <row r="26585" spans="191:191" x14ac:dyDescent="0.2">
      <c r="GI26585" s="422"/>
    </row>
    <row r="26586" spans="191:191" x14ac:dyDescent="0.2">
      <c r="GI26586" s="422"/>
    </row>
    <row r="26587" spans="191:191" x14ac:dyDescent="0.2">
      <c r="GI26587" s="422"/>
    </row>
    <row r="26588" spans="191:191" x14ac:dyDescent="0.2">
      <c r="GI26588" s="422"/>
    </row>
    <row r="26589" spans="191:191" x14ac:dyDescent="0.2">
      <c r="GI26589" s="422"/>
    </row>
    <row r="26590" spans="191:191" x14ac:dyDescent="0.2">
      <c r="GI26590" s="422"/>
    </row>
    <row r="26591" spans="191:191" x14ac:dyDescent="0.2">
      <c r="GI26591" s="422"/>
    </row>
    <row r="26592" spans="191:191" x14ac:dyDescent="0.2">
      <c r="GI26592" s="422"/>
    </row>
    <row r="26593" spans="191:191" x14ac:dyDescent="0.2">
      <c r="GI26593" s="422"/>
    </row>
    <row r="26594" spans="191:191" x14ac:dyDescent="0.2">
      <c r="GI26594" s="422"/>
    </row>
    <row r="26595" spans="191:191" x14ac:dyDescent="0.2">
      <c r="GI26595" s="422"/>
    </row>
    <row r="26596" spans="191:191" x14ac:dyDescent="0.2">
      <c r="GI26596" s="422"/>
    </row>
    <row r="26597" spans="191:191" x14ac:dyDescent="0.2">
      <c r="GI26597" s="422"/>
    </row>
    <row r="26598" spans="191:191" x14ac:dyDescent="0.2">
      <c r="GI26598" s="422"/>
    </row>
    <row r="26599" spans="191:191" x14ac:dyDescent="0.2">
      <c r="GI26599" s="422"/>
    </row>
    <row r="26600" spans="191:191" x14ac:dyDescent="0.2">
      <c r="GI26600" s="422"/>
    </row>
    <row r="26601" spans="191:191" x14ac:dyDescent="0.2">
      <c r="GI26601" s="422"/>
    </row>
    <row r="26602" spans="191:191" x14ac:dyDescent="0.2">
      <c r="GI26602" s="422"/>
    </row>
    <row r="26603" spans="191:191" x14ac:dyDescent="0.2">
      <c r="GI26603" s="422"/>
    </row>
    <row r="26604" spans="191:191" x14ac:dyDescent="0.2">
      <c r="GI26604" s="422"/>
    </row>
    <row r="26605" spans="191:191" x14ac:dyDescent="0.2">
      <c r="GI26605" s="422"/>
    </row>
    <row r="26606" spans="191:191" x14ac:dyDescent="0.2">
      <c r="GI26606" s="422"/>
    </row>
    <row r="26607" spans="191:191" x14ac:dyDescent="0.2">
      <c r="GI26607" s="422"/>
    </row>
    <row r="26608" spans="191:191" x14ac:dyDescent="0.2">
      <c r="GI26608" s="422"/>
    </row>
    <row r="26609" spans="191:191" x14ac:dyDescent="0.2">
      <c r="GI26609" s="422"/>
    </row>
    <row r="26610" spans="191:191" x14ac:dyDescent="0.2">
      <c r="GI26610" s="422"/>
    </row>
    <row r="26611" spans="191:191" x14ac:dyDescent="0.2">
      <c r="GI26611" s="422"/>
    </row>
    <row r="26612" spans="191:191" x14ac:dyDescent="0.2">
      <c r="GI26612" s="422"/>
    </row>
    <row r="26613" spans="191:191" x14ac:dyDescent="0.2">
      <c r="GI26613" s="422"/>
    </row>
    <row r="26614" spans="191:191" x14ac:dyDescent="0.2">
      <c r="GI26614" s="422"/>
    </row>
    <row r="26615" spans="191:191" x14ac:dyDescent="0.2">
      <c r="GI26615" s="422"/>
    </row>
    <row r="26616" spans="191:191" x14ac:dyDescent="0.2">
      <c r="GI26616" s="422"/>
    </row>
    <row r="26617" spans="191:191" x14ac:dyDescent="0.2">
      <c r="GI26617" s="422"/>
    </row>
    <row r="26618" spans="191:191" x14ac:dyDescent="0.2">
      <c r="GI26618" s="422"/>
    </row>
    <row r="26619" spans="191:191" x14ac:dyDescent="0.2">
      <c r="GI26619" s="422"/>
    </row>
    <row r="26620" spans="191:191" x14ac:dyDescent="0.2">
      <c r="GI26620" s="422"/>
    </row>
    <row r="26621" spans="191:191" x14ac:dyDescent="0.2">
      <c r="GI26621" s="422"/>
    </row>
    <row r="26622" spans="191:191" x14ac:dyDescent="0.2">
      <c r="GI26622" s="422"/>
    </row>
    <row r="26623" spans="191:191" x14ac:dyDescent="0.2">
      <c r="GI26623" s="422"/>
    </row>
    <row r="26624" spans="191:191" x14ac:dyDescent="0.2">
      <c r="GI26624" s="422"/>
    </row>
    <row r="26625" spans="191:191" x14ac:dyDescent="0.2">
      <c r="GI26625" s="422"/>
    </row>
    <row r="26626" spans="191:191" x14ac:dyDescent="0.2">
      <c r="GI26626" s="422"/>
    </row>
    <row r="26627" spans="191:191" x14ac:dyDescent="0.2">
      <c r="GI26627" s="422"/>
    </row>
    <row r="26628" spans="191:191" x14ac:dyDescent="0.2">
      <c r="GI26628" s="422"/>
    </row>
    <row r="26629" spans="191:191" x14ac:dyDescent="0.2">
      <c r="GI26629" s="422"/>
    </row>
    <row r="26630" spans="191:191" x14ac:dyDescent="0.2">
      <c r="GI26630" s="422"/>
    </row>
    <row r="26631" spans="191:191" x14ac:dyDescent="0.2">
      <c r="GI26631" s="422"/>
    </row>
    <row r="26632" spans="191:191" x14ac:dyDescent="0.2">
      <c r="GI26632" s="422"/>
    </row>
    <row r="26633" spans="191:191" x14ac:dyDescent="0.2">
      <c r="GI26633" s="422"/>
    </row>
    <row r="26634" spans="191:191" x14ac:dyDescent="0.2">
      <c r="GI26634" s="422"/>
    </row>
    <row r="26635" spans="191:191" x14ac:dyDescent="0.2">
      <c r="GI26635" s="422"/>
    </row>
    <row r="26636" spans="191:191" x14ac:dyDescent="0.2">
      <c r="GI26636" s="422"/>
    </row>
    <row r="26637" spans="191:191" x14ac:dyDescent="0.2">
      <c r="GI26637" s="422"/>
    </row>
    <row r="26638" spans="191:191" x14ac:dyDescent="0.2">
      <c r="GI26638" s="422"/>
    </row>
    <row r="26639" spans="191:191" x14ac:dyDescent="0.2">
      <c r="GI26639" s="422"/>
    </row>
    <row r="26640" spans="191:191" x14ac:dyDescent="0.2">
      <c r="GI26640" s="422"/>
    </row>
    <row r="26641" spans="191:191" x14ac:dyDescent="0.2">
      <c r="GI26641" s="422"/>
    </row>
    <row r="26642" spans="191:191" x14ac:dyDescent="0.2">
      <c r="GI26642" s="422"/>
    </row>
    <row r="26643" spans="191:191" x14ac:dyDescent="0.2">
      <c r="GI26643" s="422"/>
    </row>
    <row r="26644" spans="191:191" x14ac:dyDescent="0.2">
      <c r="GI26644" s="422"/>
    </row>
    <row r="26645" spans="191:191" x14ac:dyDescent="0.2">
      <c r="GI26645" s="422"/>
    </row>
    <row r="26646" spans="191:191" x14ac:dyDescent="0.2">
      <c r="GI26646" s="422"/>
    </row>
    <row r="26647" spans="191:191" x14ac:dyDescent="0.2">
      <c r="GI26647" s="422"/>
    </row>
    <row r="26648" spans="191:191" x14ac:dyDescent="0.2">
      <c r="GI26648" s="422"/>
    </row>
    <row r="26649" spans="191:191" x14ac:dyDescent="0.2">
      <c r="GI26649" s="422"/>
    </row>
    <row r="26650" spans="191:191" x14ac:dyDescent="0.2">
      <c r="GI26650" s="422"/>
    </row>
    <row r="26651" spans="191:191" x14ac:dyDescent="0.2">
      <c r="GI26651" s="422"/>
    </row>
    <row r="26652" spans="191:191" x14ac:dyDescent="0.2">
      <c r="GI26652" s="422"/>
    </row>
    <row r="26653" spans="191:191" x14ac:dyDescent="0.2">
      <c r="GI26653" s="422"/>
    </row>
    <row r="26654" spans="191:191" x14ac:dyDescent="0.2">
      <c r="GI26654" s="422"/>
    </row>
    <row r="26655" spans="191:191" x14ac:dyDescent="0.2">
      <c r="GI26655" s="422"/>
    </row>
    <row r="26656" spans="191:191" x14ac:dyDescent="0.2">
      <c r="GI26656" s="422"/>
    </row>
    <row r="26657" spans="191:191" x14ac:dyDescent="0.2">
      <c r="GI26657" s="422"/>
    </row>
    <row r="26658" spans="191:191" x14ac:dyDescent="0.2">
      <c r="GI26658" s="422"/>
    </row>
    <row r="26659" spans="191:191" x14ac:dyDescent="0.2">
      <c r="GI26659" s="422"/>
    </row>
    <row r="26660" spans="191:191" x14ac:dyDescent="0.2">
      <c r="GI26660" s="422"/>
    </row>
    <row r="26661" spans="191:191" x14ac:dyDescent="0.2">
      <c r="GI26661" s="422"/>
    </row>
    <row r="26662" spans="191:191" x14ac:dyDescent="0.2">
      <c r="GI26662" s="422"/>
    </row>
    <row r="26663" spans="191:191" x14ac:dyDescent="0.2">
      <c r="GI26663" s="422"/>
    </row>
    <row r="26664" spans="191:191" x14ac:dyDescent="0.2">
      <c r="GI26664" s="422"/>
    </row>
    <row r="26665" spans="191:191" x14ac:dyDescent="0.2">
      <c r="GI26665" s="422"/>
    </row>
    <row r="26666" spans="191:191" x14ac:dyDescent="0.2">
      <c r="GI26666" s="422"/>
    </row>
    <row r="26667" spans="191:191" x14ac:dyDescent="0.2">
      <c r="GI26667" s="422"/>
    </row>
    <row r="26668" spans="191:191" x14ac:dyDescent="0.2">
      <c r="GI26668" s="422"/>
    </row>
    <row r="26669" spans="191:191" x14ac:dyDescent="0.2">
      <c r="GI26669" s="422"/>
    </row>
    <row r="26670" spans="191:191" x14ac:dyDescent="0.2">
      <c r="GI26670" s="422"/>
    </row>
    <row r="26671" spans="191:191" x14ac:dyDescent="0.2">
      <c r="GI26671" s="422"/>
    </row>
    <row r="26672" spans="191:191" x14ac:dyDescent="0.2">
      <c r="GI26672" s="422"/>
    </row>
    <row r="26673" spans="191:191" x14ac:dyDescent="0.2">
      <c r="GI26673" s="422"/>
    </row>
    <row r="26674" spans="191:191" x14ac:dyDescent="0.2">
      <c r="GI26674" s="422"/>
    </row>
    <row r="26675" spans="191:191" x14ac:dyDescent="0.2">
      <c r="GI26675" s="422"/>
    </row>
    <row r="26676" spans="191:191" x14ac:dyDescent="0.2">
      <c r="GI26676" s="422"/>
    </row>
    <row r="26677" spans="191:191" x14ac:dyDescent="0.2">
      <c r="GI26677" s="422"/>
    </row>
    <row r="26678" spans="191:191" x14ac:dyDescent="0.2">
      <c r="GI26678" s="422"/>
    </row>
    <row r="26679" spans="191:191" x14ac:dyDescent="0.2">
      <c r="GI26679" s="422"/>
    </row>
    <row r="26680" spans="191:191" x14ac:dyDescent="0.2">
      <c r="GI26680" s="422"/>
    </row>
    <row r="26681" spans="191:191" x14ac:dyDescent="0.2">
      <c r="GI26681" s="422"/>
    </row>
    <row r="26682" spans="191:191" x14ac:dyDescent="0.2">
      <c r="GI26682" s="422"/>
    </row>
    <row r="26683" spans="191:191" x14ac:dyDescent="0.2">
      <c r="GI26683" s="422"/>
    </row>
    <row r="26684" spans="191:191" x14ac:dyDescent="0.2">
      <c r="GI26684" s="422"/>
    </row>
    <row r="26685" spans="191:191" x14ac:dyDescent="0.2">
      <c r="GI26685" s="422"/>
    </row>
    <row r="26686" spans="191:191" x14ac:dyDescent="0.2">
      <c r="GI26686" s="422"/>
    </row>
    <row r="26687" spans="191:191" x14ac:dyDescent="0.2">
      <c r="GI26687" s="422"/>
    </row>
    <row r="26688" spans="191:191" x14ac:dyDescent="0.2">
      <c r="GI26688" s="422"/>
    </row>
    <row r="26689" spans="191:191" x14ac:dyDescent="0.2">
      <c r="GI26689" s="422"/>
    </row>
    <row r="26690" spans="191:191" x14ac:dyDescent="0.2">
      <c r="GI26690" s="422"/>
    </row>
    <row r="26691" spans="191:191" x14ac:dyDescent="0.2">
      <c r="GI26691" s="422"/>
    </row>
    <row r="26692" spans="191:191" x14ac:dyDescent="0.2">
      <c r="GI26692" s="422"/>
    </row>
    <row r="26693" spans="191:191" x14ac:dyDescent="0.2">
      <c r="GI26693" s="422"/>
    </row>
    <row r="26694" spans="191:191" x14ac:dyDescent="0.2">
      <c r="GI26694" s="422"/>
    </row>
    <row r="26695" spans="191:191" x14ac:dyDescent="0.2">
      <c r="GI26695" s="422"/>
    </row>
    <row r="26696" spans="191:191" x14ac:dyDescent="0.2">
      <c r="GI26696" s="422"/>
    </row>
    <row r="26697" spans="191:191" x14ac:dyDescent="0.2">
      <c r="GI26697" s="422"/>
    </row>
    <row r="26698" spans="191:191" x14ac:dyDescent="0.2">
      <c r="GI26698" s="422"/>
    </row>
    <row r="26699" spans="191:191" x14ac:dyDescent="0.2">
      <c r="GI26699" s="422"/>
    </row>
    <row r="26700" spans="191:191" x14ac:dyDescent="0.2">
      <c r="GI26700" s="422"/>
    </row>
    <row r="26701" spans="191:191" x14ac:dyDescent="0.2">
      <c r="GI26701" s="422"/>
    </row>
    <row r="26702" spans="191:191" x14ac:dyDescent="0.2">
      <c r="GI26702" s="422"/>
    </row>
    <row r="26703" spans="191:191" x14ac:dyDescent="0.2">
      <c r="GI26703" s="422"/>
    </row>
    <row r="26704" spans="191:191" x14ac:dyDescent="0.2">
      <c r="GI26704" s="422"/>
    </row>
    <row r="26705" spans="191:191" x14ac:dyDescent="0.2">
      <c r="GI26705" s="422"/>
    </row>
    <row r="26706" spans="191:191" x14ac:dyDescent="0.2">
      <c r="GI26706" s="422"/>
    </row>
    <row r="26707" spans="191:191" x14ac:dyDescent="0.2">
      <c r="GI26707" s="422"/>
    </row>
    <row r="26708" spans="191:191" x14ac:dyDescent="0.2">
      <c r="GI26708" s="422"/>
    </row>
    <row r="26709" spans="191:191" x14ac:dyDescent="0.2">
      <c r="GI26709" s="422"/>
    </row>
    <row r="26710" spans="191:191" x14ac:dyDescent="0.2">
      <c r="GI26710" s="422"/>
    </row>
    <row r="26711" spans="191:191" x14ac:dyDescent="0.2">
      <c r="GI26711" s="422"/>
    </row>
    <row r="26712" spans="191:191" x14ac:dyDescent="0.2">
      <c r="GI26712" s="422"/>
    </row>
    <row r="26713" spans="191:191" x14ac:dyDescent="0.2">
      <c r="GI26713" s="422"/>
    </row>
    <row r="26714" spans="191:191" x14ac:dyDescent="0.2">
      <c r="GI26714" s="422"/>
    </row>
    <row r="26715" spans="191:191" x14ac:dyDescent="0.2">
      <c r="GI26715" s="422"/>
    </row>
    <row r="26716" spans="191:191" x14ac:dyDescent="0.2">
      <c r="GI26716" s="422"/>
    </row>
    <row r="26717" spans="191:191" x14ac:dyDescent="0.2">
      <c r="GI26717" s="422"/>
    </row>
    <row r="26718" spans="191:191" x14ac:dyDescent="0.2">
      <c r="GI26718" s="422"/>
    </row>
    <row r="26719" spans="191:191" x14ac:dyDescent="0.2">
      <c r="GI26719" s="422"/>
    </row>
    <row r="26720" spans="191:191" x14ac:dyDescent="0.2">
      <c r="GI26720" s="422"/>
    </row>
    <row r="26721" spans="191:191" x14ac:dyDescent="0.2">
      <c r="GI26721" s="422"/>
    </row>
    <row r="26722" spans="191:191" x14ac:dyDescent="0.2">
      <c r="GI26722" s="422"/>
    </row>
    <row r="26723" spans="191:191" x14ac:dyDescent="0.2">
      <c r="GI26723" s="422"/>
    </row>
    <row r="26724" spans="191:191" x14ac:dyDescent="0.2">
      <c r="GI26724" s="422"/>
    </row>
    <row r="26725" spans="191:191" x14ac:dyDescent="0.2">
      <c r="GI26725" s="422"/>
    </row>
    <row r="26726" spans="191:191" x14ac:dyDescent="0.2">
      <c r="GI26726" s="422"/>
    </row>
    <row r="26727" spans="191:191" x14ac:dyDescent="0.2">
      <c r="GI26727" s="422"/>
    </row>
    <row r="26728" spans="191:191" x14ac:dyDescent="0.2">
      <c r="GI26728" s="422"/>
    </row>
    <row r="26729" spans="191:191" x14ac:dyDescent="0.2">
      <c r="GI26729" s="422"/>
    </row>
    <row r="26730" spans="191:191" x14ac:dyDescent="0.2">
      <c r="GI26730" s="422"/>
    </row>
    <row r="26731" spans="191:191" x14ac:dyDescent="0.2">
      <c r="GI26731" s="422"/>
    </row>
    <row r="26732" spans="191:191" x14ac:dyDescent="0.2">
      <c r="GI26732" s="422"/>
    </row>
    <row r="26733" spans="191:191" x14ac:dyDescent="0.2">
      <c r="GI26733" s="422"/>
    </row>
    <row r="26734" spans="191:191" x14ac:dyDescent="0.2">
      <c r="GI26734" s="422"/>
    </row>
    <row r="26735" spans="191:191" x14ac:dyDescent="0.2">
      <c r="GI26735" s="422"/>
    </row>
    <row r="26736" spans="191:191" x14ac:dyDescent="0.2">
      <c r="GI26736" s="422"/>
    </row>
    <row r="26737" spans="191:191" x14ac:dyDescent="0.2">
      <c r="GI26737" s="422"/>
    </row>
    <row r="26738" spans="191:191" x14ac:dyDescent="0.2">
      <c r="GI26738" s="422"/>
    </row>
    <row r="26739" spans="191:191" x14ac:dyDescent="0.2">
      <c r="GI26739" s="422"/>
    </row>
    <row r="26740" spans="191:191" x14ac:dyDescent="0.2">
      <c r="GI26740" s="422"/>
    </row>
    <row r="26741" spans="191:191" x14ac:dyDescent="0.2">
      <c r="GI26741" s="422"/>
    </row>
    <row r="26742" spans="191:191" x14ac:dyDescent="0.2">
      <c r="GI26742" s="422"/>
    </row>
    <row r="26743" spans="191:191" x14ac:dyDescent="0.2">
      <c r="GI26743" s="422"/>
    </row>
    <row r="26744" spans="191:191" x14ac:dyDescent="0.2">
      <c r="GI26744" s="422"/>
    </row>
    <row r="26745" spans="191:191" x14ac:dyDescent="0.2">
      <c r="GI26745" s="422"/>
    </row>
    <row r="26746" spans="191:191" x14ac:dyDescent="0.2">
      <c r="GI26746" s="422"/>
    </row>
    <row r="26747" spans="191:191" x14ac:dyDescent="0.2">
      <c r="GI26747" s="422"/>
    </row>
    <row r="26748" spans="191:191" x14ac:dyDescent="0.2">
      <c r="GI26748" s="422"/>
    </row>
    <row r="26749" spans="191:191" x14ac:dyDescent="0.2">
      <c r="GI26749" s="422"/>
    </row>
    <row r="26750" spans="191:191" x14ac:dyDescent="0.2">
      <c r="GI26750" s="422"/>
    </row>
    <row r="26751" spans="191:191" x14ac:dyDescent="0.2">
      <c r="GI26751" s="422"/>
    </row>
    <row r="26752" spans="191:191" x14ac:dyDescent="0.2">
      <c r="GI26752" s="422"/>
    </row>
    <row r="26753" spans="191:191" x14ac:dyDescent="0.2">
      <c r="GI26753" s="422"/>
    </row>
    <row r="26754" spans="191:191" x14ac:dyDescent="0.2">
      <c r="GI26754" s="422"/>
    </row>
    <row r="26755" spans="191:191" x14ac:dyDescent="0.2">
      <c r="GI26755" s="422"/>
    </row>
    <row r="26756" spans="191:191" x14ac:dyDescent="0.2">
      <c r="GI26756" s="422"/>
    </row>
    <row r="26757" spans="191:191" x14ac:dyDescent="0.2">
      <c r="GI26757" s="422"/>
    </row>
    <row r="26758" spans="191:191" x14ac:dyDescent="0.2">
      <c r="GI26758" s="422"/>
    </row>
    <row r="26759" spans="191:191" x14ac:dyDescent="0.2">
      <c r="GI26759" s="422"/>
    </row>
    <row r="26760" spans="191:191" x14ac:dyDescent="0.2">
      <c r="GI26760" s="422"/>
    </row>
    <row r="26761" spans="191:191" x14ac:dyDescent="0.2">
      <c r="GI26761" s="422"/>
    </row>
    <row r="26762" spans="191:191" x14ac:dyDescent="0.2">
      <c r="GI26762" s="422"/>
    </row>
    <row r="26763" spans="191:191" x14ac:dyDescent="0.2">
      <c r="GI26763" s="422"/>
    </row>
    <row r="26764" spans="191:191" x14ac:dyDescent="0.2">
      <c r="GI26764" s="422"/>
    </row>
    <row r="26765" spans="191:191" x14ac:dyDescent="0.2">
      <c r="GI26765" s="422"/>
    </row>
    <row r="26766" spans="191:191" x14ac:dyDescent="0.2">
      <c r="GI26766" s="422"/>
    </row>
    <row r="26767" spans="191:191" x14ac:dyDescent="0.2">
      <c r="GI26767" s="422"/>
    </row>
    <row r="26768" spans="191:191" x14ac:dyDescent="0.2">
      <c r="GI26768" s="422"/>
    </row>
    <row r="26769" spans="191:191" x14ac:dyDescent="0.2">
      <c r="GI26769" s="422"/>
    </row>
    <row r="26770" spans="191:191" x14ac:dyDescent="0.2">
      <c r="GI26770" s="422"/>
    </row>
    <row r="26771" spans="191:191" x14ac:dyDescent="0.2">
      <c r="GI26771" s="422"/>
    </row>
    <row r="26772" spans="191:191" x14ac:dyDescent="0.2">
      <c r="GI26772" s="422"/>
    </row>
    <row r="26773" spans="191:191" x14ac:dyDescent="0.2">
      <c r="GI26773" s="422"/>
    </row>
    <row r="26774" spans="191:191" x14ac:dyDescent="0.2">
      <c r="GI26774" s="422"/>
    </row>
    <row r="26775" spans="191:191" x14ac:dyDescent="0.2">
      <c r="GI26775" s="422"/>
    </row>
    <row r="26776" spans="191:191" x14ac:dyDescent="0.2">
      <c r="GI26776" s="422"/>
    </row>
    <row r="26777" spans="191:191" x14ac:dyDescent="0.2">
      <c r="GI26777" s="422"/>
    </row>
    <row r="26778" spans="191:191" x14ac:dyDescent="0.2">
      <c r="GI26778" s="422"/>
    </row>
    <row r="26779" spans="191:191" x14ac:dyDescent="0.2">
      <c r="GI26779" s="422"/>
    </row>
    <row r="26780" spans="191:191" x14ac:dyDescent="0.2">
      <c r="GI26780" s="422"/>
    </row>
    <row r="26781" spans="191:191" x14ac:dyDescent="0.2">
      <c r="GI26781" s="422"/>
    </row>
    <row r="26782" spans="191:191" x14ac:dyDescent="0.2">
      <c r="GI26782" s="422"/>
    </row>
    <row r="26783" spans="191:191" x14ac:dyDescent="0.2">
      <c r="GI26783" s="422"/>
    </row>
    <row r="26784" spans="191:191" x14ac:dyDescent="0.2">
      <c r="GI26784" s="422"/>
    </row>
    <row r="26785" spans="191:191" x14ac:dyDescent="0.2">
      <c r="GI26785" s="422"/>
    </row>
    <row r="26786" spans="191:191" x14ac:dyDescent="0.2">
      <c r="GI26786" s="422"/>
    </row>
    <row r="26787" spans="191:191" x14ac:dyDescent="0.2">
      <c r="GI26787" s="422"/>
    </row>
    <row r="26788" spans="191:191" x14ac:dyDescent="0.2">
      <c r="GI26788" s="422"/>
    </row>
    <row r="26789" spans="191:191" x14ac:dyDescent="0.2">
      <c r="GI26789" s="422"/>
    </row>
    <row r="26790" spans="191:191" x14ac:dyDescent="0.2">
      <c r="GI26790" s="422"/>
    </row>
    <row r="26791" spans="191:191" x14ac:dyDescent="0.2">
      <c r="GI26791" s="422"/>
    </row>
    <row r="26792" spans="191:191" x14ac:dyDescent="0.2">
      <c r="GI26792" s="422"/>
    </row>
    <row r="26793" spans="191:191" x14ac:dyDescent="0.2">
      <c r="GI26793" s="422"/>
    </row>
    <row r="26794" spans="191:191" x14ac:dyDescent="0.2">
      <c r="GI26794" s="422"/>
    </row>
    <row r="26795" spans="191:191" x14ac:dyDescent="0.2">
      <c r="GI26795" s="422"/>
    </row>
    <row r="26796" spans="191:191" x14ac:dyDescent="0.2">
      <c r="GI26796" s="422"/>
    </row>
    <row r="26797" spans="191:191" x14ac:dyDescent="0.2">
      <c r="GI26797" s="422"/>
    </row>
    <row r="26798" spans="191:191" x14ac:dyDescent="0.2">
      <c r="GI26798" s="422"/>
    </row>
    <row r="26799" spans="191:191" x14ac:dyDescent="0.2">
      <c r="GI26799" s="422"/>
    </row>
    <row r="26800" spans="191:191" x14ac:dyDescent="0.2">
      <c r="GI26800" s="422"/>
    </row>
    <row r="26801" spans="191:191" x14ac:dyDescent="0.2">
      <c r="GI26801" s="422"/>
    </row>
    <row r="26802" spans="191:191" x14ac:dyDescent="0.2">
      <c r="GI26802" s="422"/>
    </row>
    <row r="26803" spans="191:191" x14ac:dyDescent="0.2">
      <c r="GI26803" s="422"/>
    </row>
    <row r="26804" spans="191:191" x14ac:dyDescent="0.2">
      <c r="GI26804" s="422"/>
    </row>
    <row r="26805" spans="191:191" x14ac:dyDescent="0.2">
      <c r="GI26805" s="422"/>
    </row>
    <row r="26806" spans="191:191" x14ac:dyDescent="0.2">
      <c r="GI26806" s="422"/>
    </row>
    <row r="26807" spans="191:191" x14ac:dyDescent="0.2">
      <c r="GI26807" s="422"/>
    </row>
    <row r="26808" spans="191:191" x14ac:dyDescent="0.2">
      <c r="GI26808" s="422"/>
    </row>
    <row r="26809" spans="191:191" x14ac:dyDescent="0.2">
      <c r="GI26809" s="422"/>
    </row>
    <row r="26810" spans="191:191" x14ac:dyDescent="0.2">
      <c r="GI26810" s="422"/>
    </row>
    <row r="26811" spans="191:191" x14ac:dyDescent="0.2">
      <c r="GI26811" s="422"/>
    </row>
    <row r="26812" spans="191:191" x14ac:dyDescent="0.2">
      <c r="GI26812" s="422"/>
    </row>
    <row r="26813" spans="191:191" x14ac:dyDescent="0.2">
      <c r="GI26813" s="422"/>
    </row>
    <row r="26814" spans="191:191" x14ac:dyDescent="0.2">
      <c r="GI26814" s="422"/>
    </row>
    <row r="26815" spans="191:191" x14ac:dyDescent="0.2">
      <c r="GI26815" s="422"/>
    </row>
    <row r="26816" spans="191:191" x14ac:dyDescent="0.2">
      <c r="GI26816" s="422"/>
    </row>
    <row r="26817" spans="191:191" x14ac:dyDescent="0.2">
      <c r="GI26817" s="422"/>
    </row>
    <row r="26818" spans="191:191" x14ac:dyDescent="0.2">
      <c r="GI26818" s="422"/>
    </row>
    <row r="26819" spans="191:191" x14ac:dyDescent="0.2">
      <c r="GI26819" s="422"/>
    </row>
    <row r="26820" spans="191:191" x14ac:dyDescent="0.2">
      <c r="GI26820" s="422"/>
    </row>
    <row r="26821" spans="191:191" x14ac:dyDescent="0.2">
      <c r="GI26821" s="422"/>
    </row>
    <row r="26822" spans="191:191" x14ac:dyDescent="0.2">
      <c r="GI26822" s="422"/>
    </row>
    <row r="26823" spans="191:191" x14ac:dyDescent="0.2">
      <c r="GI26823" s="422"/>
    </row>
    <row r="26824" spans="191:191" x14ac:dyDescent="0.2">
      <c r="GI26824" s="422"/>
    </row>
    <row r="26825" spans="191:191" x14ac:dyDescent="0.2">
      <c r="GI26825" s="422"/>
    </row>
    <row r="26826" spans="191:191" x14ac:dyDescent="0.2">
      <c r="GI26826" s="422"/>
    </row>
    <row r="26827" spans="191:191" x14ac:dyDescent="0.2">
      <c r="GI26827" s="422"/>
    </row>
    <row r="26828" spans="191:191" x14ac:dyDescent="0.2">
      <c r="GI26828" s="422"/>
    </row>
    <row r="26829" spans="191:191" x14ac:dyDescent="0.2">
      <c r="GI26829" s="422"/>
    </row>
    <row r="26830" spans="191:191" x14ac:dyDescent="0.2">
      <c r="GI26830" s="422"/>
    </row>
    <row r="26831" spans="191:191" x14ac:dyDescent="0.2">
      <c r="GI26831" s="422"/>
    </row>
    <row r="26832" spans="191:191" x14ac:dyDescent="0.2">
      <c r="GI26832" s="422"/>
    </row>
    <row r="26833" spans="191:191" x14ac:dyDescent="0.2">
      <c r="GI26833" s="422"/>
    </row>
    <row r="26834" spans="191:191" x14ac:dyDescent="0.2">
      <c r="GI26834" s="422"/>
    </row>
    <row r="26835" spans="191:191" x14ac:dyDescent="0.2">
      <c r="GI26835" s="422"/>
    </row>
    <row r="26836" spans="191:191" x14ac:dyDescent="0.2">
      <c r="GI26836" s="422"/>
    </row>
    <row r="26837" spans="191:191" x14ac:dyDescent="0.2">
      <c r="GI26837" s="422"/>
    </row>
    <row r="26838" spans="191:191" x14ac:dyDescent="0.2">
      <c r="GI26838" s="422"/>
    </row>
    <row r="26839" spans="191:191" x14ac:dyDescent="0.2">
      <c r="GI26839" s="422"/>
    </row>
    <row r="26840" spans="191:191" x14ac:dyDescent="0.2">
      <c r="GI26840" s="422"/>
    </row>
    <row r="26841" spans="191:191" x14ac:dyDescent="0.2">
      <c r="GI26841" s="422"/>
    </row>
    <row r="26842" spans="191:191" x14ac:dyDescent="0.2">
      <c r="GI26842" s="422"/>
    </row>
    <row r="26843" spans="191:191" x14ac:dyDescent="0.2">
      <c r="GI26843" s="422"/>
    </row>
    <row r="26844" spans="191:191" x14ac:dyDescent="0.2">
      <c r="GI26844" s="422"/>
    </row>
    <row r="26845" spans="191:191" x14ac:dyDescent="0.2">
      <c r="GI26845" s="422"/>
    </row>
    <row r="26846" spans="191:191" x14ac:dyDescent="0.2">
      <c r="GI26846" s="422"/>
    </row>
    <row r="26847" spans="191:191" x14ac:dyDescent="0.2">
      <c r="GI26847" s="422"/>
    </row>
    <row r="26848" spans="191:191" x14ac:dyDescent="0.2">
      <c r="GI26848" s="422"/>
    </row>
    <row r="26849" spans="191:191" x14ac:dyDescent="0.2">
      <c r="GI26849" s="422"/>
    </row>
    <row r="26850" spans="191:191" x14ac:dyDescent="0.2">
      <c r="GI26850" s="422"/>
    </row>
    <row r="26851" spans="191:191" x14ac:dyDescent="0.2">
      <c r="GI26851" s="422"/>
    </row>
    <row r="26852" spans="191:191" x14ac:dyDescent="0.2">
      <c r="GI26852" s="422"/>
    </row>
    <row r="26853" spans="191:191" x14ac:dyDescent="0.2">
      <c r="GI26853" s="422"/>
    </row>
    <row r="26854" spans="191:191" x14ac:dyDescent="0.2">
      <c r="GI26854" s="422"/>
    </row>
    <row r="26855" spans="191:191" x14ac:dyDescent="0.2">
      <c r="GI26855" s="422"/>
    </row>
    <row r="26856" spans="191:191" x14ac:dyDescent="0.2">
      <c r="GI26856" s="422"/>
    </row>
    <row r="26857" spans="191:191" x14ac:dyDescent="0.2">
      <c r="GI26857" s="422"/>
    </row>
    <row r="26858" spans="191:191" x14ac:dyDescent="0.2">
      <c r="GI26858" s="422"/>
    </row>
    <row r="26859" spans="191:191" x14ac:dyDescent="0.2">
      <c r="GI26859" s="422"/>
    </row>
    <row r="26860" spans="191:191" x14ac:dyDescent="0.2">
      <c r="GI26860" s="422"/>
    </row>
    <row r="26861" spans="191:191" x14ac:dyDescent="0.2">
      <c r="GI26861" s="422"/>
    </row>
    <row r="26862" spans="191:191" x14ac:dyDescent="0.2">
      <c r="GI26862" s="422"/>
    </row>
    <row r="26863" spans="191:191" x14ac:dyDescent="0.2">
      <c r="GI26863" s="422"/>
    </row>
    <row r="26864" spans="191:191" x14ac:dyDescent="0.2">
      <c r="GI26864" s="422"/>
    </row>
    <row r="26865" spans="191:191" x14ac:dyDescent="0.2">
      <c r="GI26865" s="422"/>
    </row>
    <row r="26866" spans="191:191" x14ac:dyDescent="0.2">
      <c r="GI26866" s="422"/>
    </row>
    <row r="26867" spans="191:191" x14ac:dyDescent="0.2">
      <c r="GI26867" s="422"/>
    </row>
    <row r="26868" spans="191:191" x14ac:dyDescent="0.2">
      <c r="GI26868" s="422"/>
    </row>
    <row r="26869" spans="191:191" x14ac:dyDescent="0.2">
      <c r="GI26869" s="422"/>
    </row>
    <row r="26870" spans="191:191" x14ac:dyDescent="0.2">
      <c r="GI26870" s="422"/>
    </row>
    <row r="26871" spans="191:191" x14ac:dyDescent="0.2">
      <c r="GI26871" s="422"/>
    </row>
    <row r="26872" spans="191:191" x14ac:dyDescent="0.2">
      <c r="GI26872" s="422"/>
    </row>
    <row r="26873" spans="191:191" x14ac:dyDescent="0.2">
      <c r="GI26873" s="422"/>
    </row>
    <row r="26874" spans="191:191" x14ac:dyDescent="0.2">
      <c r="GI26874" s="422"/>
    </row>
    <row r="26875" spans="191:191" x14ac:dyDescent="0.2">
      <c r="GI26875" s="422"/>
    </row>
    <row r="26876" spans="191:191" x14ac:dyDescent="0.2">
      <c r="GI26876" s="422"/>
    </row>
    <row r="26877" spans="191:191" x14ac:dyDescent="0.2">
      <c r="GI26877" s="422"/>
    </row>
    <row r="26878" spans="191:191" x14ac:dyDescent="0.2">
      <c r="GI26878" s="422"/>
    </row>
    <row r="26879" spans="191:191" x14ac:dyDescent="0.2">
      <c r="GI26879" s="422"/>
    </row>
    <row r="26880" spans="191:191" x14ac:dyDescent="0.2">
      <c r="GI26880" s="422"/>
    </row>
    <row r="26881" spans="191:191" x14ac:dyDescent="0.2">
      <c r="GI26881" s="422"/>
    </row>
    <row r="26882" spans="191:191" x14ac:dyDescent="0.2">
      <c r="GI26882" s="422"/>
    </row>
    <row r="26883" spans="191:191" x14ac:dyDescent="0.2">
      <c r="GI26883" s="422"/>
    </row>
    <row r="26884" spans="191:191" x14ac:dyDescent="0.2">
      <c r="GI26884" s="422"/>
    </row>
    <row r="26885" spans="191:191" x14ac:dyDescent="0.2">
      <c r="GI26885" s="422"/>
    </row>
    <row r="26886" spans="191:191" x14ac:dyDescent="0.2">
      <c r="GI26886" s="422"/>
    </row>
    <row r="26887" spans="191:191" x14ac:dyDescent="0.2">
      <c r="GI26887" s="422"/>
    </row>
    <row r="26888" spans="191:191" x14ac:dyDescent="0.2">
      <c r="GI26888" s="422"/>
    </row>
    <row r="26889" spans="191:191" x14ac:dyDescent="0.2">
      <c r="GI26889" s="422"/>
    </row>
    <row r="26890" spans="191:191" x14ac:dyDescent="0.2">
      <c r="GI26890" s="422"/>
    </row>
    <row r="26891" spans="191:191" x14ac:dyDescent="0.2">
      <c r="GI26891" s="422"/>
    </row>
    <row r="26892" spans="191:191" x14ac:dyDescent="0.2">
      <c r="GI26892" s="422"/>
    </row>
    <row r="26893" spans="191:191" x14ac:dyDescent="0.2">
      <c r="GI26893" s="422"/>
    </row>
    <row r="26894" spans="191:191" x14ac:dyDescent="0.2">
      <c r="GI26894" s="422"/>
    </row>
    <row r="26895" spans="191:191" x14ac:dyDescent="0.2">
      <c r="GI26895" s="422"/>
    </row>
    <row r="26896" spans="191:191" x14ac:dyDescent="0.2">
      <c r="GI26896" s="422"/>
    </row>
    <row r="26897" spans="191:191" x14ac:dyDescent="0.2">
      <c r="GI26897" s="422"/>
    </row>
    <row r="26898" spans="191:191" x14ac:dyDescent="0.2">
      <c r="GI26898" s="422"/>
    </row>
    <row r="26899" spans="191:191" x14ac:dyDescent="0.2">
      <c r="GI26899" s="422"/>
    </row>
    <row r="26900" spans="191:191" x14ac:dyDescent="0.2">
      <c r="GI26900" s="422"/>
    </row>
    <row r="26901" spans="191:191" x14ac:dyDescent="0.2">
      <c r="GI26901" s="422"/>
    </row>
    <row r="26902" spans="191:191" x14ac:dyDescent="0.2">
      <c r="GI26902" s="422"/>
    </row>
    <row r="26903" spans="191:191" x14ac:dyDescent="0.2">
      <c r="GI26903" s="422"/>
    </row>
    <row r="26904" spans="191:191" x14ac:dyDescent="0.2">
      <c r="GI26904" s="422"/>
    </row>
    <row r="26905" spans="191:191" x14ac:dyDescent="0.2">
      <c r="GI26905" s="422"/>
    </row>
    <row r="26906" spans="191:191" x14ac:dyDescent="0.2">
      <c r="GI26906" s="422"/>
    </row>
    <row r="26907" spans="191:191" x14ac:dyDescent="0.2">
      <c r="GI26907" s="422"/>
    </row>
    <row r="26908" spans="191:191" x14ac:dyDescent="0.2">
      <c r="GI26908" s="422"/>
    </row>
    <row r="26909" spans="191:191" x14ac:dyDescent="0.2">
      <c r="GI26909" s="422"/>
    </row>
    <row r="26910" spans="191:191" x14ac:dyDescent="0.2">
      <c r="GI26910" s="422"/>
    </row>
    <row r="26911" spans="191:191" x14ac:dyDescent="0.2">
      <c r="GI26911" s="422"/>
    </row>
    <row r="26912" spans="191:191" x14ac:dyDescent="0.2">
      <c r="GI26912" s="422"/>
    </row>
    <row r="26913" spans="191:191" x14ac:dyDescent="0.2">
      <c r="GI26913" s="422"/>
    </row>
    <row r="26914" spans="191:191" x14ac:dyDescent="0.2">
      <c r="GI26914" s="422"/>
    </row>
    <row r="26915" spans="191:191" x14ac:dyDescent="0.2">
      <c r="GI26915" s="422"/>
    </row>
    <row r="26916" spans="191:191" x14ac:dyDescent="0.2">
      <c r="GI26916" s="422"/>
    </row>
    <row r="26917" spans="191:191" x14ac:dyDescent="0.2">
      <c r="GI26917" s="422"/>
    </row>
    <row r="26918" spans="191:191" x14ac:dyDescent="0.2">
      <c r="GI26918" s="422"/>
    </row>
    <row r="26919" spans="191:191" x14ac:dyDescent="0.2">
      <c r="GI26919" s="422"/>
    </row>
    <row r="26920" spans="191:191" x14ac:dyDescent="0.2">
      <c r="GI26920" s="422"/>
    </row>
    <row r="26921" spans="191:191" x14ac:dyDescent="0.2">
      <c r="GI26921" s="422"/>
    </row>
    <row r="26922" spans="191:191" x14ac:dyDescent="0.2">
      <c r="GI26922" s="422"/>
    </row>
    <row r="26923" spans="191:191" x14ac:dyDescent="0.2">
      <c r="GI26923" s="422"/>
    </row>
    <row r="26924" spans="191:191" x14ac:dyDescent="0.2">
      <c r="GI26924" s="422"/>
    </row>
    <row r="26925" spans="191:191" x14ac:dyDescent="0.2">
      <c r="GI26925" s="422"/>
    </row>
    <row r="26926" spans="191:191" x14ac:dyDescent="0.2">
      <c r="GI26926" s="422"/>
    </row>
    <row r="26927" spans="191:191" x14ac:dyDescent="0.2">
      <c r="GI26927" s="422"/>
    </row>
    <row r="26928" spans="191:191" x14ac:dyDescent="0.2">
      <c r="GI26928" s="422"/>
    </row>
    <row r="26929" spans="191:191" x14ac:dyDescent="0.2">
      <c r="GI26929" s="422"/>
    </row>
    <row r="26930" spans="191:191" x14ac:dyDescent="0.2">
      <c r="GI26930" s="422"/>
    </row>
    <row r="26931" spans="191:191" x14ac:dyDescent="0.2">
      <c r="GI26931" s="422"/>
    </row>
    <row r="26932" spans="191:191" x14ac:dyDescent="0.2">
      <c r="GI26932" s="422"/>
    </row>
    <row r="26933" spans="191:191" x14ac:dyDescent="0.2">
      <c r="GI26933" s="422"/>
    </row>
    <row r="26934" spans="191:191" x14ac:dyDescent="0.2">
      <c r="GI26934" s="422"/>
    </row>
    <row r="26935" spans="191:191" x14ac:dyDescent="0.2">
      <c r="GI26935" s="422"/>
    </row>
    <row r="26936" spans="191:191" x14ac:dyDescent="0.2">
      <c r="GI26936" s="422"/>
    </row>
    <row r="26937" spans="191:191" x14ac:dyDescent="0.2">
      <c r="GI26937" s="422"/>
    </row>
    <row r="26938" spans="191:191" x14ac:dyDescent="0.2">
      <c r="GI26938" s="422"/>
    </row>
    <row r="26939" spans="191:191" x14ac:dyDescent="0.2">
      <c r="GI26939" s="422"/>
    </row>
    <row r="26940" spans="191:191" x14ac:dyDescent="0.2">
      <c r="GI26940" s="422"/>
    </row>
    <row r="26941" spans="191:191" x14ac:dyDescent="0.2">
      <c r="GI26941" s="422"/>
    </row>
    <row r="26942" spans="191:191" x14ac:dyDescent="0.2">
      <c r="GI26942" s="422"/>
    </row>
    <row r="26943" spans="191:191" x14ac:dyDescent="0.2">
      <c r="GI26943" s="422"/>
    </row>
    <row r="26944" spans="191:191" x14ac:dyDescent="0.2">
      <c r="GI26944" s="422"/>
    </row>
    <row r="26945" spans="191:191" x14ac:dyDescent="0.2">
      <c r="GI26945" s="422"/>
    </row>
    <row r="26946" spans="191:191" x14ac:dyDescent="0.2">
      <c r="GI26946" s="422"/>
    </row>
    <row r="26947" spans="191:191" x14ac:dyDescent="0.2">
      <c r="GI26947" s="422"/>
    </row>
    <row r="26948" spans="191:191" x14ac:dyDescent="0.2">
      <c r="GI26948" s="422"/>
    </row>
    <row r="26949" spans="191:191" x14ac:dyDescent="0.2">
      <c r="GI26949" s="422"/>
    </row>
    <row r="26950" spans="191:191" x14ac:dyDescent="0.2">
      <c r="GI26950" s="422"/>
    </row>
    <row r="26951" spans="191:191" x14ac:dyDescent="0.2">
      <c r="GI26951" s="422"/>
    </row>
    <row r="26952" spans="191:191" x14ac:dyDescent="0.2">
      <c r="GI26952" s="422"/>
    </row>
    <row r="26953" spans="191:191" x14ac:dyDescent="0.2">
      <c r="GI26953" s="422"/>
    </row>
    <row r="26954" spans="191:191" x14ac:dyDescent="0.2">
      <c r="GI26954" s="422"/>
    </row>
    <row r="26955" spans="191:191" x14ac:dyDescent="0.2">
      <c r="GI26955" s="422"/>
    </row>
    <row r="26956" spans="191:191" x14ac:dyDescent="0.2">
      <c r="GI26956" s="422"/>
    </row>
    <row r="26957" spans="191:191" x14ac:dyDescent="0.2">
      <c r="GI26957" s="422"/>
    </row>
    <row r="26958" spans="191:191" x14ac:dyDescent="0.2">
      <c r="GI26958" s="422"/>
    </row>
    <row r="26959" spans="191:191" x14ac:dyDescent="0.2">
      <c r="GI26959" s="422"/>
    </row>
    <row r="26960" spans="191:191" x14ac:dyDescent="0.2">
      <c r="GI26960" s="422"/>
    </row>
    <row r="26961" spans="191:191" x14ac:dyDescent="0.2">
      <c r="GI26961" s="422"/>
    </row>
    <row r="26962" spans="191:191" x14ac:dyDescent="0.2">
      <c r="GI26962" s="422"/>
    </row>
    <row r="26963" spans="191:191" x14ac:dyDescent="0.2">
      <c r="GI26963" s="422"/>
    </row>
    <row r="26964" spans="191:191" x14ac:dyDescent="0.2">
      <c r="GI26964" s="422"/>
    </row>
    <row r="26965" spans="191:191" x14ac:dyDescent="0.2">
      <c r="GI26965" s="422"/>
    </row>
    <row r="26966" spans="191:191" x14ac:dyDescent="0.2">
      <c r="GI26966" s="422"/>
    </row>
    <row r="26967" spans="191:191" x14ac:dyDescent="0.2">
      <c r="GI26967" s="422"/>
    </row>
    <row r="26968" spans="191:191" x14ac:dyDescent="0.2">
      <c r="GI26968" s="422"/>
    </row>
    <row r="26969" spans="191:191" x14ac:dyDescent="0.2">
      <c r="GI26969" s="422"/>
    </row>
    <row r="26970" spans="191:191" x14ac:dyDescent="0.2">
      <c r="GI26970" s="422"/>
    </row>
    <row r="26971" spans="191:191" x14ac:dyDescent="0.2">
      <c r="GI26971" s="422"/>
    </row>
    <row r="26972" spans="191:191" x14ac:dyDescent="0.2">
      <c r="GI26972" s="422"/>
    </row>
    <row r="26973" spans="191:191" x14ac:dyDescent="0.2">
      <c r="GI26973" s="422"/>
    </row>
    <row r="26974" spans="191:191" x14ac:dyDescent="0.2">
      <c r="GI26974" s="422"/>
    </row>
    <row r="26975" spans="191:191" x14ac:dyDescent="0.2">
      <c r="GI26975" s="422"/>
    </row>
    <row r="26976" spans="191:191" x14ac:dyDescent="0.2">
      <c r="GI26976" s="422"/>
    </row>
    <row r="26977" spans="191:191" x14ac:dyDescent="0.2">
      <c r="GI26977" s="422"/>
    </row>
    <row r="26978" spans="191:191" x14ac:dyDescent="0.2">
      <c r="GI26978" s="422"/>
    </row>
    <row r="26979" spans="191:191" x14ac:dyDescent="0.2">
      <c r="GI26979" s="422"/>
    </row>
    <row r="26980" spans="191:191" x14ac:dyDescent="0.2">
      <c r="GI26980" s="422"/>
    </row>
    <row r="26981" spans="191:191" x14ac:dyDescent="0.2">
      <c r="GI26981" s="422"/>
    </row>
    <row r="26982" spans="191:191" x14ac:dyDescent="0.2">
      <c r="GI26982" s="422"/>
    </row>
    <row r="26983" spans="191:191" x14ac:dyDescent="0.2">
      <c r="GI26983" s="422"/>
    </row>
    <row r="26984" spans="191:191" x14ac:dyDescent="0.2">
      <c r="GI26984" s="422"/>
    </row>
    <row r="26985" spans="191:191" x14ac:dyDescent="0.2">
      <c r="GI26985" s="422"/>
    </row>
    <row r="26986" spans="191:191" x14ac:dyDescent="0.2">
      <c r="GI26986" s="422"/>
    </row>
    <row r="26987" spans="191:191" x14ac:dyDescent="0.2">
      <c r="GI26987" s="422"/>
    </row>
    <row r="26988" spans="191:191" x14ac:dyDescent="0.2">
      <c r="GI26988" s="422"/>
    </row>
    <row r="26989" spans="191:191" x14ac:dyDescent="0.2">
      <c r="GI26989" s="422"/>
    </row>
    <row r="26990" spans="191:191" x14ac:dyDescent="0.2">
      <c r="GI26990" s="422"/>
    </row>
    <row r="26991" spans="191:191" x14ac:dyDescent="0.2">
      <c r="GI26991" s="422"/>
    </row>
    <row r="26992" spans="191:191" x14ac:dyDescent="0.2">
      <c r="GI26992" s="422"/>
    </row>
    <row r="26993" spans="191:191" x14ac:dyDescent="0.2">
      <c r="GI26993" s="422"/>
    </row>
    <row r="26994" spans="191:191" x14ac:dyDescent="0.2">
      <c r="GI26994" s="422"/>
    </row>
    <row r="26995" spans="191:191" x14ac:dyDescent="0.2">
      <c r="GI26995" s="422"/>
    </row>
    <row r="26996" spans="191:191" x14ac:dyDescent="0.2">
      <c r="GI26996" s="422"/>
    </row>
    <row r="26997" spans="191:191" x14ac:dyDescent="0.2">
      <c r="GI26997" s="422"/>
    </row>
    <row r="26998" spans="191:191" x14ac:dyDescent="0.2">
      <c r="GI26998" s="422"/>
    </row>
    <row r="26999" spans="191:191" x14ac:dyDescent="0.2">
      <c r="GI26999" s="422"/>
    </row>
    <row r="27000" spans="191:191" x14ac:dyDescent="0.2">
      <c r="GI27000" s="422"/>
    </row>
    <row r="27001" spans="191:191" x14ac:dyDescent="0.2">
      <c r="GI27001" s="422"/>
    </row>
    <row r="27002" spans="191:191" x14ac:dyDescent="0.2">
      <c r="GI27002" s="422"/>
    </row>
    <row r="27003" spans="191:191" x14ac:dyDescent="0.2">
      <c r="GI27003" s="422"/>
    </row>
    <row r="27004" spans="191:191" x14ac:dyDescent="0.2">
      <c r="GI27004" s="422"/>
    </row>
    <row r="27005" spans="191:191" x14ac:dyDescent="0.2">
      <c r="GI27005" s="422"/>
    </row>
    <row r="27006" spans="191:191" x14ac:dyDescent="0.2">
      <c r="GI27006" s="422"/>
    </row>
    <row r="27007" spans="191:191" x14ac:dyDescent="0.2">
      <c r="GI27007" s="422"/>
    </row>
    <row r="27008" spans="191:191" x14ac:dyDescent="0.2">
      <c r="GI27008" s="422"/>
    </row>
    <row r="27009" spans="191:191" x14ac:dyDescent="0.2">
      <c r="GI27009" s="422"/>
    </row>
    <row r="27010" spans="191:191" x14ac:dyDescent="0.2">
      <c r="GI27010" s="422"/>
    </row>
    <row r="27011" spans="191:191" x14ac:dyDescent="0.2">
      <c r="GI27011" s="422"/>
    </row>
    <row r="27012" spans="191:191" x14ac:dyDescent="0.2">
      <c r="GI27012" s="422"/>
    </row>
    <row r="27013" spans="191:191" x14ac:dyDescent="0.2">
      <c r="GI27013" s="422"/>
    </row>
    <row r="27014" spans="191:191" x14ac:dyDescent="0.2">
      <c r="GI27014" s="422"/>
    </row>
    <row r="27015" spans="191:191" x14ac:dyDescent="0.2">
      <c r="GI27015" s="422"/>
    </row>
    <row r="27016" spans="191:191" x14ac:dyDescent="0.2">
      <c r="GI27016" s="422"/>
    </row>
    <row r="27017" spans="191:191" x14ac:dyDescent="0.2">
      <c r="GI27017" s="422"/>
    </row>
    <row r="27018" spans="191:191" x14ac:dyDescent="0.2">
      <c r="GI27018" s="422"/>
    </row>
    <row r="27019" spans="191:191" x14ac:dyDescent="0.2">
      <c r="GI27019" s="422"/>
    </row>
    <row r="27020" spans="191:191" x14ac:dyDescent="0.2">
      <c r="GI27020" s="422"/>
    </row>
    <row r="27021" spans="191:191" x14ac:dyDescent="0.2">
      <c r="GI27021" s="422"/>
    </row>
    <row r="27022" spans="191:191" x14ac:dyDescent="0.2">
      <c r="GI27022" s="422"/>
    </row>
    <row r="27023" spans="191:191" x14ac:dyDescent="0.2">
      <c r="GI27023" s="422"/>
    </row>
    <row r="27024" spans="191:191" x14ac:dyDescent="0.2">
      <c r="GI27024" s="422"/>
    </row>
    <row r="27025" spans="191:191" x14ac:dyDescent="0.2">
      <c r="GI27025" s="422"/>
    </row>
    <row r="27026" spans="191:191" x14ac:dyDescent="0.2">
      <c r="GI27026" s="422"/>
    </row>
    <row r="27027" spans="191:191" x14ac:dyDescent="0.2">
      <c r="GI27027" s="422"/>
    </row>
    <row r="27028" spans="191:191" x14ac:dyDescent="0.2">
      <c r="GI27028" s="422"/>
    </row>
    <row r="27029" spans="191:191" x14ac:dyDescent="0.2">
      <c r="GI27029" s="422"/>
    </row>
    <row r="27030" spans="191:191" x14ac:dyDescent="0.2">
      <c r="GI27030" s="422"/>
    </row>
    <row r="27031" spans="191:191" x14ac:dyDescent="0.2">
      <c r="GI27031" s="422"/>
    </row>
    <row r="27032" spans="191:191" x14ac:dyDescent="0.2">
      <c r="GI27032" s="422"/>
    </row>
    <row r="27033" spans="191:191" x14ac:dyDescent="0.2">
      <c r="GI27033" s="422"/>
    </row>
    <row r="27034" spans="191:191" x14ac:dyDescent="0.2">
      <c r="GI27034" s="422"/>
    </row>
    <row r="27035" spans="191:191" x14ac:dyDescent="0.2">
      <c r="GI27035" s="422"/>
    </row>
    <row r="27036" spans="191:191" x14ac:dyDescent="0.2">
      <c r="GI27036" s="422"/>
    </row>
    <row r="27037" spans="191:191" x14ac:dyDescent="0.2">
      <c r="GI27037" s="422"/>
    </row>
    <row r="27038" spans="191:191" x14ac:dyDescent="0.2">
      <c r="GI27038" s="422"/>
    </row>
    <row r="27039" spans="191:191" x14ac:dyDescent="0.2">
      <c r="GI27039" s="422"/>
    </row>
    <row r="27040" spans="191:191" x14ac:dyDescent="0.2">
      <c r="GI27040" s="422"/>
    </row>
    <row r="27041" spans="191:191" x14ac:dyDescent="0.2">
      <c r="GI27041" s="422"/>
    </row>
    <row r="27042" spans="191:191" x14ac:dyDescent="0.2">
      <c r="GI27042" s="422"/>
    </row>
    <row r="27043" spans="191:191" x14ac:dyDescent="0.2">
      <c r="GI27043" s="422"/>
    </row>
    <row r="27044" spans="191:191" x14ac:dyDescent="0.2">
      <c r="GI27044" s="422"/>
    </row>
    <row r="27045" spans="191:191" x14ac:dyDescent="0.2">
      <c r="GI27045" s="422"/>
    </row>
    <row r="27046" spans="191:191" x14ac:dyDescent="0.2">
      <c r="GI27046" s="422"/>
    </row>
    <row r="27047" spans="191:191" x14ac:dyDescent="0.2">
      <c r="GI27047" s="422"/>
    </row>
    <row r="27048" spans="191:191" x14ac:dyDescent="0.2">
      <c r="GI27048" s="422"/>
    </row>
    <row r="27049" spans="191:191" x14ac:dyDescent="0.2">
      <c r="GI27049" s="422"/>
    </row>
    <row r="27050" spans="191:191" x14ac:dyDescent="0.2">
      <c r="GI27050" s="422"/>
    </row>
    <row r="27051" spans="191:191" x14ac:dyDescent="0.2">
      <c r="GI27051" s="422"/>
    </row>
    <row r="27052" spans="191:191" x14ac:dyDescent="0.2">
      <c r="GI27052" s="422"/>
    </row>
    <row r="27053" spans="191:191" x14ac:dyDescent="0.2">
      <c r="GI27053" s="422"/>
    </row>
    <row r="27054" spans="191:191" x14ac:dyDescent="0.2">
      <c r="GI27054" s="422"/>
    </row>
    <row r="27055" spans="191:191" x14ac:dyDescent="0.2">
      <c r="GI27055" s="422"/>
    </row>
    <row r="27056" spans="191:191" x14ac:dyDescent="0.2">
      <c r="GI27056" s="422"/>
    </row>
    <row r="27057" spans="191:191" x14ac:dyDescent="0.2">
      <c r="GI27057" s="422"/>
    </row>
    <row r="27058" spans="191:191" x14ac:dyDescent="0.2">
      <c r="GI27058" s="422"/>
    </row>
    <row r="27059" spans="191:191" x14ac:dyDescent="0.2">
      <c r="GI27059" s="422"/>
    </row>
    <row r="27060" spans="191:191" x14ac:dyDescent="0.2">
      <c r="GI27060" s="422"/>
    </row>
    <row r="27061" spans="191:191" x14ac:dyDescent="0.2">
      <c r="GI27061" s="422"/>
    </row>
    <row r="27062" spans="191:191" x14ac:dyDescent="0.2">
      <c r="GI27062" s="422"/>
    </row>
    <row r="27063" spans="191:191" x14ac:dyDescent="0.2">
      <c r="GI27063" s="422"/>
    </row>
    <row r="27064" spans="191:191" x14ac:dyDescent="0.2">
      <c r="GI27064" s="422"/>
    </row>
    <row r="27065" spans="191:191" x14ac:dyDescent="0.2">
      <c r="GI27065" s="422"/>
    </row>
    <row r="27066" spans="191:191" x14ac:dyDescent="0.2">
      <c r="GI27066" s="422"/>
    </row>
    <row r="27067" spans="191:191" x14ac:dyDescent="0.2">
      <c r="GI27067" s="422"/>
    </row>
    <row r="27068" spans="191:191" x14ac:dyDescent="0.2">
      <c r="GI27068" s="422"/>
    </row>
    <row r="27069" spans="191:191" x14ac:dyDescent="0.2">
      <c r="GI27069" s="422"/>
    </row>
    <row r="27070" spans="191:191" x14ac:dyDescent="0.2">
      <c r="GI27070" s="422"/>
    </row>
    <row r="27071" spans="191:191" x14ac:dyDescent="0.2">
      <c r="GI27071" s="422"/>
    </row>
    <row r="27072" spans="191:191" x14ac:dyDescent="0.2">
      <c r="GI27072" s="422"/>
    </row>
    <row r="27073" spans="191:191" x14ac:dyDescent="0.2">
      <c r="GI27073" s="422"/>
    </row>
    <row r="27074" spans="191:191" x14ac:dyDescent="0.2">
      <c r="GI27074" s="422"/>
    </row>
    <row r="27075" spans="191:191" x14ac:dyDescent="0.2">
      <c r="GI27075" s="422"/>
    </row>
    <row r="27076" spans="191:191" x14ac:dyDescent="0.2">
      <c r="GI27076" s="422"/>
    </row>
    <row r="27077" spans="191:191" x14ac:dyDescent="0.2">
      <c r="GI27077" s="422"/>
    </row>
    <row r="27078" spans="191:191" x14ac:dyDescent="0.2">
      <c r="GI27078" s="422"/>
    </row>
    <row r="27079" spans="191:191" x14ac:dyDescent="0.2">
      <c r="GI27079" s="422"/>
    </row>
    <row r="27080" spans="191:191" x14ac:dyDescent="0.2">
      <c r="GI27080" s="422"/>
    </row>
    <row r="27081" spans="191:191" x14ac:dyDescent="0.2">
      <c r="GI27081" s="422"/>
    </row>
    <row r="27082" spans="191:191" x14ac:dyDescent="0.2">
      <c r="GI27082" s="422"/>
    </row>
    <row r="27083" spans="191:191" x14ac:dyDescent="0.2">
      <c r="GI27083" s="422"/>
    </row>
    <row r="27084" spans="191:191" x14ac:dyDescent="0.2">
      <c r="GI27084" s="422"/>
    </row>
    <row r="27085" spans="191:191" x14ac:dyDescent="0.2">
      <c r="GI27085" s="422"/>
    </row>
    <row r="27086" spans="191:191" x14ac:dyDescent="0.2">
      <c r="GI27086" s="422"/>
    </row>
    <row r="27087" spans="191:191" x14ac:dyDescent="0.2">
      <c r="GI27087" s="422"/>
    </row>
    <row r="27088" spans="191:191" x14ac:dyDescent="0.2">
      <c r="GI27088" s="422"/>
    </row>
    <row r="27089" spans="191:191" x14ac:dyDescent="0.2">
      <c r="GI27089" s="422"/>
    </row>
    <row r="27090" spans="191:191" x14ac:dyDescent="0.2">
      <c r="GI27090" s="422"/>
    </row>
    <row r="27091" spans="191:191" x14ac:dyDescent="0.2">
      <c r="GI27091" s="422"/>
    </row>
    <row r="27092" spans="191:191" x14ac:dyDescent="0.2">
      <c r="GI27092" s="422"/>
    </row>
    <row r="27093" spans="191:191" x14ac:dyDescent="0.2">
      <c r="GI27093" s="422"/>
    </row>
    <row r="27094" spans="191:191" x14ac:dyDescent="0.2">
      <c r="GI27094" s="422"/>
    </row>
    <row r="27095" spans="191:191" x14ac:dyDescent="0.2">
      <c r="GI27095" s="422"/>
    </row>
    <row r="27096" spans="191:191" x14ac:dyDescent="0.2">
      <c r="GI27096" s="422"/>
    </row>
    <row r="27097" spans="191:191" x14ac:dyDescent="0.2">
      <c r="GI27097" s="422"/>
    </row>
    <row r="27098" spans="191:191" x14ac:dyDescent="0.2">
      <c r="GI27098" s="422"/>
    </row>
    <row r="27099" spans="191:191" x14ac:dyDescent="0.2">
      <c r="GI27099" s="422"/>
    </row>
    <row r="27100" spans="191:191" x14ac:dyDescent="0.2">
      <c r="GI27100" s="422"/>
    </row>
    <row r="27101" spans="191:191" x14ac:dyDescent="0.2">
      <c r="GI27101" s="422"/>
    </row>
    <row r="27102" spans="191:191" x14ac:dyDescent="0.2">
      <c r="GI27102" s="422"/>
    </row>
    <row r="27103" spans="191:191" x14ac:dyDescent="0.2">
      <c r="GI27103" s="422"/>
    </row>
    <row r="27104" spans="191:191" x14ac:dyDescent="0.2">
      <c r="GI27104" s="422"/>
    </row>
    <row r="27105" spans="191:191" x14ac:dyDescent="0.2">
      <c r="GI27105" s="422"/>
    </row>
    <row r="27106" spans="191:191" x14ac:dyDescent="0.2">
      <c r="GI27106" s="422"/>
    </row>
    <row r="27107" spans="191:191" x14ac:dyDescent="0.2">
      <c r="GI27107" s="422"/>
    </row>
    <row r="27108" spans="191:191" x14ac:dyDescent="0.2">
      <c r="GI27108" s="422"/>
    </row>
    <row r="27109" spans="191:191" x14ac:dyDescent="0.2">
      <c r="GI27109" s="422"/>
    </row>
    <row r="27110" spans="191:191" x14ac:dyDescent="0.2">
      <c r="GI27110" s="422"/>
    </row>
    <row r="27111" spans="191:191" x14ac:dyDescent="0.2">
      <c r="GI27111" s="422"/>
    </row>
    <row r="27112" spans="191:191" x14ac:dyDescent="0.2">
      <c r="GI27112" s="422"/>
    </row>
    <row r="27113" spans="191:191" x14ac:dyDescent="0.2">
      <c r="GI27113" s="422"/>
    </row>
    <row r="27114" spans="191:191" x14ac:dyDescent="0.2">
      <c r="GI27114" s="422"/>
    </row>
    <row r="27115" spans="191:191" x14ac:dyDescent="0.2">
      <c r="GI27115" s="422"/>
    </row>
    <row r="27116" spans="191:191" x14ac:dyDescent="0.2">
      <c r="GI27116" s="422"/>
    </row>
    <row r="27117" spans="191:191" x14ac:dyDescent="0.2">
      <c r="GI27117" s="422"/>
    </row>
    <row r="27118" spans="191:191" x14ac:dyDescent="0.2">
      <c r="GI27118" s="422"/>
    </row>
    <row r="27119" spans="191:191" x14ac:dyDescent="0.2">
      <c r="GI27119" s="422"/>
    </row>
    <row r="27120" spans="191:191" x14ac:dyDescent="0.2">
      <c r="GI27120" s="422"/>
    </row>
    <row r="27121" spans="191:191" x14ac:dyDescent="0.2">
      <c r="GI27121" s="422"/>
    </row>
    <row r="27122" spans="191:191" x14ac:dyDescent="0.2">
      <c r="GI27122" s="422"/>
    </row>
    <row r="27123" spans="191:191" x14ac:dyDescent="0.2">
      <c r="GI27123" s="422"/>
    </row>
    <row r="27124" spans="191:191" x14ac:dyDescent="0.2">
      <c r="GI27124" s="422"/>
    </row>
    <row r="27125" spans="191:191" x14ac:dyDescent="0.2">
      <c r="GI27125" s="422"/>
    </row>
    <row r="27126" spans="191:191" x14ac:dyDescent="0.2">
      <c r="GI27126" s="422"/>
    </row>
    <row r="27127" spans="191:191" x14ac:dyDescent="0.2">
      <c r="GI27127" s="422"/>
    </row>
    <row r="27128" spans="191:191" x14ac:dyDescent="0.2">
      <c r="GI27128" s="422"/>
    </row>
    <row r="27129" spans="191:191" x14ac:dyDescent="0.2">
      <c r="GI27129" s="422"/>
    </row>
    <row r="27130" spans="191:191" x14ac:dyDescent="0.2">
      <c r="GI27130" s="422"/>
    </row>
    <row r="27131" spans="191:191" x14ac:dyDescent="0.2">
      <c r="GI27131" s="422"/>
    </row>
    <row r="27132" spans="191:191" x14ac:dyDescent="0.2">
      <c r="GI27132" s="422"/>
    </row>
    <row r="27133" spans="191:191" x14ac:dyDescent="0.2">
      <c r="GI27133" s="422"/>
    </row>
    <row r="27134" spans="191:191" x14ac:dyDescent="0.2">
      <c r="GI27134" s="422"/>
    </row>
    <row r="27135" spans="191:191" x14ac:dyDescent="0.2">
      <c r="GI27135" s="422"/>
    </row>
    <row r="27136" spans="191:191" x14ac:dyDescent="0.2">
      <c r="GI27136" s="422"/>
    </row>
    <row r="27137" spans="191:191" x14ac:dyDescent="0.2">
      <c r="GI27137" s="422"/>
    </row>
    <row r="27138" spans="191:191" x14ac:dyDescent="0.2">
      <c r="GI27138" s="422"/>
    </row>
    <row r="27139" spans="191:191" x14ac:dyDescent="0.2">
      <c r="GI27139" s="422"/>
    </row>
    <row r="27140" spans="191:191" x14ac:dyDescent="0.2">
      <c r="GI27140" s="422"/>
    </row>
    <row r="27141" spans="191:191" x14ac:dyDescent="0.2">
      <c r="GI27141" s="422"/>
    </row>
    <row r="27142" spans="191:191" x14ac:dyDescent="0.2">
      <c r="GI27142" s="422"/>
    </row>
    <row r="27143" spans="191:191" x14ac:dyDescent="0.2">
      <c r="GI27143" s="422"/>
    </row>
    <row r="27144" spans="191:191" x14ac:dyDescent="0.2">
      <c r="GI27144" s="422"/>
    </row>
    <row r="27145" spans="191:191" x14ac:dyDescent="0.2">
      <c r="GI27145" s="422"/>
    </row>
    <row r="27146" spans="191:191" x14ac:dyDescent="0.2">
      <c r="GI27146" s="422"/>
    </row>
    <row r="27147" spans="191:191" x14ac:dyDescent="0.2">
      <c r="GI27147" s="422"/>
    </row>
    <row r="27148" spans="191:191" x14ac:dyDescent="0.2">
      <c r="GI27148" s="422"/>
    </row>
    <row r="27149" spans="191:191" x14ac:dyDescent="0.2">
      <c r="GI27149" s="422"/>
    </row>
    <row r="27150" spans="191:191" x14ac:dyDescent="0.2">
      <c r="GI27150" s="422"/>
    </row>
    <row r="27151" spans="191:191" x14ac:dyDescent="0.2">
      <c r="GI27151" s="422"/>
    </row>
    <row r="27152" spans="191:191" x14ac:dyDescent="0.2">
      <c r="GI27152" s="422"/>
    </row>
    <row r="27153" spans="191:191" x14ac:dyDescent="0.2">
      <c r="GI27153" s="422"/>
    </row>
    <row r="27154" spans="191:191" x14ac:dyDescent="0.2">
      <c r="GI27154" s="422"/>
    </row>
    <row r="27155" spans="191:191" x14ac:dyDescent="0.2">
      <c r="GI27155" s="422"/>
    </row>
    <row r="27156" spans="191:191" x14ac:dyDescent="0.2">
      <c r="GI27156" s="422"/>
    </row>
    <row r="27157" spans="191:191" x14ac:dyDescent="0.2">
      <c r="GI27157" s="422"/>
    </row>
    <row r="27158" spans="191:191" x14ac:dyDescent="0.2">
      <c r="GI27158" s="422"/>
    </row>
    <row r="27159" spans="191:191" x14ac:dyDescent="0.2">
      <c r="GI27159" s="422"/>
    </row>
    <row r="27160" spans="191:191" x14ac:dyDescent="0.2">
      <c r="GI27160" s="422"/>
    </row>
    <row r="27161" spans="191:191" x14ac:dyDescent="0.2">
      <c r="GI27161" s="422"/>
    </row>
    <row r="27162" spans="191:191" x14ac:dyDescent="0.2">
      <c r="GI27162" s="422"/>
    </row>
    <row r="27163" spans="191:191" x14ac:dyDescent="0.2">
      <c r="GI27163" s="422"/>
    </row>
    <row r="27164" spans="191:191" x14ac:dyDescent="0.2">
      <c r="GI27164" s="422"/>
    </row>
    <row r="27165" spans="191:191" x14ac:dyDescent="0.2">
      <c r="GI27165" s="422"/>
    </row>
    <row r="27166" spans="191:191" x14ac:dyDescent="0.2">
      <c r="GI27166" s="422"/>
    </row>
    <row r="27167" spans="191:191" x14ac:dyDescent="0.2">
      <c r="GI27167" s="422"/>
    </row>
    <row r="27168" spans="191:191" x14ac:dyDescent="0.2">
      <c r="GI27168" s="422"/>
    </row>
    <row r="27169" spans="191:191" x14ac:dyDescent="0.2">
      <c r="GI27169" s="422"/>
    </row>
    <row r="27170" spans="191:191" x14ac:dyDescent="0.2">
      <c r="GI27170" s="422"/>
    </row>
    <row r="27171" spans="191:191" x14ac:dyDescent="0.2">
      <c r="GI27171" s="422"/>
    </row>
    <row r="27172" spans="191:191" x14ac:dyDescent="0.2">
      <c r="GI27172" s="422"/>
    </row>
    <row r="27173" spans="191:191" x14ac:dyDescent="0.2">
      <c r="GI27173" s="422"/>
    </row>
    <row r="27174" spans="191:191" x14ac:dyDescent="0.2">
      <c r="GI27174" s="422"/>
    </row>
    <row r="27175" spans="191:191" x14ac:dyDescent="0.2">
      <c r="GI27175" s="422"/>
    </row>
    <row r="27176" spans="191:191" x14ac:dyDescent="0.2">
      <c r="GI27176" s="422"/>
    </row>
    <row r="27177" spans="191:191" x14ac:dyDescent="0.2">
      <c r="GI27177" s="422"/>
    </row>
    <row r="27178" spans="191:191" x14ac:dyDescent="0.2">
      <c r="GI27178" s="422"/>
    </row>
    <row r="27179" spans="191:191" x14ac:dyDescent="0.2">
      <c r="GI27179" s="422"/>
    </row>
    <row r="27180" spans="191:191" x14ac:dyDescent="0.2">
      <c r="GI27180" s="422"/>
    </row>
    <row r="27181" spans="191:191" x14ac:dyDescent="0.2">
      <c r="GI27181" s="422"/>
    </row>
    <row r="27182" spans="191:191" x14ac:dyDescent="0.2">
      <c r="GI27182" s="422"/>
    </row>
    <row r="27183" spans="191:191" x14ac:dyDescent="0.2">
      <c r="GI27183" s="422"/>
    </row>
    <row r="27184" spans="191:191" x14ac:dyDescent="0.2">
      <c r="GI27184" s="422"/>
    </row>
    <row r="27185" spans="191:191" x14ac:dyDescent="0.2">
      <c r="GI27185" s="422"/>
    </row>
    <row r="27186" spans="191:191" x14ac:dyDescent="0.2">
      <c r="GI27186" s="422"/>
    </row>
    <row r="27187" spans="191:191" x14ac:dyDescent="0.2">
      <c r="GI27187" s="422"/>
    </row>
    <row r="27188" spans="191:191" x14ac:dyDescent="0.2">
      <c r="GI27188" s="422"/>
    </row>
    <row r="27189" spans="191:191" x14ac:dyDescent="0.2">
      <c r="GI27189" s="422"/>
    </row>
    <row r="27190" spans="191:191" x14ac:dyDescent="0.2">
      <c r="GI27190" s="422"/>
    </row>
    <row r="27191" spans="191:191" x14ac:dyDescent="0.2">
      <c r="GI27191" s="422"/>
    </row>
    <row r="27192" spans="191:191" x14ac:dyDescent="0.2">
      <c r="GI27192" s="422"/>
    </row>
    <row r="27193" spans="191:191" x14ac:dyDescent="0.2">
      <c r="GI27193" s="422"/>
    </row>
    <row r="27194" spans="191:191" x14ac:dyDescent="0.2">
      <c r="GI27194" s="422"/>
    </row>
    <row r="27195" spans="191:191" x14ac:dyDescent="0.2">
      <c r="GI27195" s="422"/>
    </row>
    <row r="27196" spans="191:191" x14ac:dyDescent="0.2">
      <c r="GI27196" s="422"/>
    </row>
    <row r="27197" spans="191:191" x14ac:dyDescent="0.2">
      <c r="GI27197" s="422"/>
    </row>
    <row r="27198" spans="191:191" x14ac:dyDescent="0.2">
      <c r="GI27198" s="422"/>
    </row>
    <row r="27199" spans="191:191" x14ac:dyDescent="0.2">
      <c r="GI27199" s="422"/>
    </row>
    <row r="27200" spans="191:191" x14ac:dyDescent="0.2">
      <c r="GI27200" s="422"/>
    </row>
    <row r="27201" spans="191:191" x14ac:dyDescent="0.2">
      <c r="GI27201" s="422"/>
    </row>
    <row r="27202" spans="191:191" x14ac:dyDescent="0.2">
      <c r="GI27202" s="422"/>
    </row>
    <row r="27203" spans="191:191" x14ac:dyDescent="0.2">
      <c r="GI27203" s="422"/>
    </row>
    <row r="27204" spans="191:191" x14ac:dyDescent="0.2">
      <c r="GI27204" s="422"/>
    </row>
    <row r="27205" spans="191:191" x14ac:dyDescent="0.2">
      <c r="GI27205" s="422"/>
    </row>
    <row r="27206" spans="191:191" x14ac:dyDescent="0.2">
      <c r="GI27206" s="422"/>
    </row>
    <row r="27207" spans="191:191" x14ac:dyDescent="0.2">
      <c r="GI27207" s="422"/>
    </row>
    <row r="27208" spans="191:191" x14ac:dyDescent="0.2">
      <c r="GI27208" s="422"/>
    </row>
    <row r="27209" spans="191:191" x14ac:dyDescent="0.2">
      <c r="GI27209" s="422"/>
    </row>
    <row r="27210" spans="191:191" x14ac:dyDescent="0.2">
      <c r="GI27210" s="422"/>
    </row>
    <row r="27211" spans="191:191" x14ac:dyDescent="0.2">
      <c r="GI27211" s="422"/>
    </row>
    <row r="27212" spans="191:191" x14ac:dyDescent="0.2">
      <c r="GI27212" s="422"/>
    </row>
    <row r="27213" spans="191:191" x14ac:dyDescent="0.2">
      <c r="GI27213" s="422"/>
    </row>
    <row r="27214" spans="191:191" x14ac:dyDescent="0.2">
      <c r="GI27214" s="422"/>
    </row>
    <row r="27215" spans="191:191" x14ac:dyDescent="0.2">
      <c r="GI27215" s="422"/>
    </row>
    <row r="27216" spans="191:191" x14ac:dyDescent="0.2">
      <c r="GI27216" s="422"/>
    </row>
    <row r="27217" spans="191:191" x14ac:dyDescent="0.2">
      <c r="GI27217" s="422"/>
    </row>
    <row r="27218" spans="191:191" x14ac:dyDescent="0.2">
      <c r="GI27218" s="422"/>
    </row>
    <row r="27219" spans="191:191" x14ac:dyDescent="0.2">
      <c r="GI27219" s="422"/>
    </row>
    <row r="27220" spans="191:191" x14ac:dyDescent="0.2">
      <c r="GI27220" s="422"/>
    </row>
    <row r="27221" spans="191:191" x14ac:dyDescent="0.2">
      <c r="GI27221" s="422"/>
    </row>
    <row r="27222" spans="191:191" x14ac:dyDescent="0.2">
      <c r="GI27222" s="422"/>
    </row>
    <row r="27223" spans="191:191" x14ac:dyDescent="0.2">
      <c r="GI27223" s="422"/>
    </row>
    <row r="27224" spans="191:191" x14ac:dyDescent="0.2">
      <c r="GI27224" s="422"/>
    </row>
    <row r="27225" spans="191:191" x14ac:dyDescent="0.2">
      <c r="GI27225" s="422"/>
    </row>
    <row r="27226" spans="191:191" x14ac:dyDescent="0.2">
      <c r="GI27226" s="422"/>
    </row>
    <row r="27227" spans="191:191" x14ac:dyDescent="0.2">
      <c r="GI27227" s="422"/>
    </row>
    <row r="27228" spans="191:191" x14ac:dyDescent="0.2">
      <c r="GI27228" s="422"/>
    </row>
    <row r="27229" spans="191:191" x14ac:dyDescent="0.2">
      <c r="GI27229" s="422"/>
    </row>
    <row r="27230" spans="191:191" x14ac:dyDescent="0.2">
      <c r="GI27230" s="422"/>
    </row>
    <row r="27231" spans="191:191" x14ac:dyDescent="0.2">
      <c r="GI27231" s="422"/>
    </row>
    <row r="27232" spans="191:191" x14ac:dyDescent="0.2">
      <c r="GI27232" s="422"/>
    </row>
    <row r="27233" spans="191:191" x14ac:dyDescent="0.2">
      <c r="GI27233" s="422"/>
    </row>
    <row r="27234" spans="191:191" x14ac:dyDescent="0.2">
      <c r="GI27234" s="422"/>
    </row>
    <row r="27235" spans="191:191" x14ac:dyDescent="0.2">
      <c r="GI27235" s="422"/>
    </row>
    <row r="27236" spans="191:191" x14ac:dyDescent="0.2">
      <c r="GI27236" s="422"/>
    </row>
    <row r="27237" spans="191:191" x14ac:dyDescent="0.2">
      <c r="GI27237" s="422"/>
    </row>
    <row r="27238" spans="191:191" x14ac:dyDescent="0.2">
      <c r="GI27238" s="422"/>
    </row>
    <row r="27239" spans="191:191" x14ac:dyDescent="0.2">
      <c r="GI27239" s="422"/>
    </row>
    <row r="27240" spans="191:191" x14ac:dyDescent="0.2">
      <c r="GI27240" s="422"/>
    </row>
    <row r="27241" spans="191:191" x14ac:dyDescent="0.2">
      <c r="GI27241" s="422"/>
    </row>
    <row r="27242" spans="191:191" x14ac:dyDescent="0.2">
      <c r="GI27242" s="422"/>
    </row>
    <row r="27243" spans="191:191" x14ac:dyDescent="0.2">
      <c r="GI27243" s="422"/>
    </row>
    <row r="27244" spans="191:191" x14ac:dyDescent="0.2">
      <c r="GI27244" s="422"/>
    </row>
    <row r="27245" spans="191:191" x14ac:dyDescent="0.2">
      <c r="GI27245" s="422"/>
    </row>
    <row r="27246" spans="191:191" x14ac:dyDescent="0.2">
      <c r="GI27246" s="422"/>
    </row>
    <row r="27247" spans="191:191" x14ac:dyDescent="0.2">
      <c r="GI27247" s="422"/>
    </row>
    <row r="27248" spans="191:191" x14ac:dyDescent="0.2">
      <c r="GI27248" s="422"/>
    </row>
    <row r="27249" spans="191:191" x14ac:dyDescent="0.2">
      <c r="GI27249" s="422"/>
    </row>
    <row r="27250" spans="191:191" x14ac:dyDescent="0.2">
      <c r="GI27250" s="422"/>
    </row>
    <row r="27251" spans="191:191" x14ac:dyDescent="0.2">
      <c r="GI27251" s="422"/>
    </row>
    <row r="27252" spans="191:191" x14ac:dyDescent="0.2">
      <c r="GI27252" s="422"/>
    </row>
    <row r="27253" spans="191:191" x14ac:dyDescent="0.2">
      <c r="GI27253" s="422"/>
    </row>
    <row r="27254" spans="191:191" x14ac:dyDescent="0.2">
      <c r="GI27254" s="422"/>
    </row>
    <row r="27255" spans="191:191" x14ac:dyDescent="0.2">
      <c r="GI27255" s="422"/>
    </row>
    <row r="27256" spans="191:191" x14ac:dyDescent="0.2">
      <c r="GI27256" s="422"/>
    </row>
    <row r="27257" spans="191:191" x14ac:dyDescent="0.2">
      <c r="GI27257" s="422"/>
    </row>
    <row r="27258" spans="191:191" x14ac:dyDescent="0.2">
      <c r="GI27258" s="422"/>
    </row>
    <row r="27259" spans="191:191" x14ac:dyDescent="0.2">
      <c r="GI27259" s="422"/>
    </row>
    <row r="27260" spans="191:191" x14ac:dyDescent="0.2">
      <c r="GI27260" s="422"/>
    </row>
    <row r="27261" spans="191:191" x14ac:dyDescent="0.2">
      <c r="GI27261" s="422"/>
    </row>
    <row r="27262" spans="191:191" x14ac:dyDescent="0.2">
      <c r="GI27262" s="422"/>
    </row>
    <row r="27263" spans="191:191" x14ac:dyDescent="0.2">
      <c r="GI27263" s="422"/>
    </row>
    <row r="27264" spans="191:191" x14ac:dyDescent="0.2">
      <c r="GI27264" s="422"/>
    </row>
    <row r="27265" spans="191:191" x14ac:dyDescent="0.2">
      <c r="GI27265" s="422"/>
    </row>
    <row r="27266" spans="191:191" x14ac:dyDescent="0.2">
      <c r="GI27266" s="422"/>
    </row>
    <row r="27267" spans="191:191" x14ac:dyDescent="0.2">
      <c r="GI27267" s="422"/>
    </row>
    <row r="27268" spans="191:191" x14ac:dyDescent="0.2">
      <c r="GI27268" s="422"/>
    </row>
    <row r="27269" spans="191:191" x14ac:dyDescent="0.2">
      <c r="GI27269" s="422"/>
    </row>
    <row r="27270" spans="191:191" x14ac:dyDescent="0.2">
      <c r="GI27270" s="422"/>
    </row>
    <row r="27271" spans="191:191" x14ac:dyDescent="0.2">
      <c r="GI27271" s="422"/>
    </row>
    <row r="27272" spans="191:191" x14ac:dyDescent="0.2">
      <c r="GI27272" s="422"/>
    </row>
    <row r="27273" spans="191:191" x14ac:dyDescent="0.2">
      <c r="GI27273" s="422"/>
    </row>
    <row r="27274" spans="191:191" x14ac:dyDescent="0.2">
      <c r="GI27274" s="422"/>
    </row>
    <row r="27275" spans="191:191" x14ac:dyDescent="0.2">
      <c r="GI27275" s="422"/>
    </row>
    <row r="27276" spans="191:191" x14ac:dyDescent="0.2">
      <c r="GI27276" s="422"/>
    </row>
    <row r="27277" spans="191:191" x14ac:dyDescent="0.2">
      <c r="GI27277" s="422"/>
    </row>
    <row r="27278" spans="191:191" x14ac:dyDescent="0.2">
      <c r="GI27278" s="422"/>
    </row>
    <row r="27279" spans="191:191" x14ac:dyDescent="0.2">
      <c r="GI27279" s="422"/>
    </row>
    <row r="27280" spans="191:191" x14ac:dyDescent="0.2">
      <c r="GI27280" s="422"/>
    </row>
    <row r="27281" spans="191:191" x14ac:dyDescent="0.2">
      <c r="GI27281" s="422"/>
    </row>
    <row r="27282" spans="191:191" x14ac:dyDescent="0.2">
      <c r="GI27282" s="422"/>
    </row>
    <row r="27283" spans="191:191" x14ac:dyDescent="0.2">
      <c r="GI27283" s="422"/>
    </row>
    <row r="27284" spans="191:191" x14ac:dyDescent="0.2">
      <c r="GI27284" s="422"/>
    </row>
    <row r="27285" spans="191:191" x14ac:dyDescent="0.2">
      <c r="GI27285" s="422"/>
    </row>
    <row r="27286" spans="191:191" x14ac:dyDescent="0.2">
      <c r="GI27286" s="422"/>
    </row>
    <row r="27287" spans="191:191" x14ac:dyDescent="0.2">
      <c r="GI27287" s="422"/>
    </row>
    <row r="27288" spans="191:191" x14ac:dyDescent="0.2">
      <c r="GI27288" s="422"/>
    </row>
    <row r="27289" spans="191:191" x14ac:dyDescent="0.2">
      <c r="GI27289" s="422"/>
    </row>
    <row r="27290" spans="191:191" x14ac:dyDescent="0.2">
      <c r="GI27290" s="422"/>
    </row>
    <row r="27291" spans="191:191" x14ac:dyDescent="0.2">
      <c r="GI27291" s="422"/>
    </row>
    <row r="27292" spans="191:191" x14ac:dyDescent="0.2">
      <c r="GI27292" s="422"/>
    </row>
    <row r="27293" spans="191:191" x14ac:dyDescent="0.2">
      <c r="GI27293" s="422"/>
    </row>
    <row r="27294" spans="191:191" x14ac:dyDescent="0.2">
      <c r="GI27294" s="422"/>
    </row>
    <row r="27295" spans="191:191" x14ac:dyDescent="0.2">
      <c r="GI27295" s="422"/>
    </row>
    <row r="27296" spans="191:191" x14ac:dyDescent="0.2">
      <c r="GI27296" s="422"/>
    </row>
    <row r="27297" spans="191:191" x14ac:dyDescent="0.2">
      <c r="GI27297" s="422"/>
    </row>
    <row r="27298" spans="191:191" x14ac:dyDescent="0.2">
      <c r="GI27298" s="422"/>
    </row>
    <row r="27299" spans="191:191" x14ac:dyDescent="0.2">
      <c r="GI27299" s="422"/>
    </row>
    <row r="27300" spans="191:191" x14ac:dyDescent="0.2">
      <c r="GI27300" s="422"/>
    </row>
    <row r="27301" spans="191:191" x14ac:dyDescent="0.2">
      <c r="GI27301" s="422"/>
    </row>
    <row r="27302" spans="191:191" x14ac:dyDescent="0.2">
      <c r="GI27302" s="422"/>
    </row>
    <row r="27303" spans="191:191" x14ac:dyDescent="0.2">
      <c r="GI27303" s="422"/>
    </row>
    <row r="27304" spans="191:191" x14ac:dyDescent="0.2">
      <c r="GI27304" s="422"/>
    </row>
    <row r="27305" spans="191:191" x14ac:dyDescent="0.2">
      <c r="GI27305" s="422"/>
    </row>
    <row r="27306" spans="191:191" x14ac:dyDescent="0.2">
      <c r="GI27306" s="422"/>
    </row>
    <row r="27307" spans="191:191" x14ac:dyDescent="0.2">
      <c r="GI27307" s="422"/>
    </row>
    <row r="27308" spans="191:191" x14ac:dyDescent="0.2">
      <c r="GI27308" s="422"/>
    </row>
    <row r="27309" spans="191:191" x14ac:dyDescent="0.2">
      <c r="GI27309" s="422"/>
    </row>
    <row r="27310" spans="191:191" x14ac:dyDescent="0.2">
      <c r="GI27310" s="422"/>
    </row>
    <row r="27311" spans="191:191" x14ac:dyDescent="0.2">
      <c r="GI27311" s="422"/>
    </row>
    <row r="27312" spans="191:191" x14ac:dyDescent="0.2">
      <c r="GI27312" s="422"/>
    </row>
    <row r="27313" spans="191:191" x14ac:dyDescent="0.2">
      <c r="GI27313" s="422"/>
    </row>
    <row r="27314" spans="191:191" x14ac:dyDescent="0.2">
      <c r="GI27314" s="422"/>
    </row>
    <row r="27315" spans="191:191" x14ac:dyDescent="0.2">
      <c r="GI27315" s="422"/>
    </row>
    <row r="27316" spans="191:191" x14ac:dyDescent="0.2">
      <c r="GI27316" s="422"/>
    </row>
    <row r="27317" spans="191:191" x14ac:dyDescent="0.2">
      <c r="GI27317" s="422"/>
    </row>
    <row r="27318" spans="191:191" x14ac:dyDescent="0.2">
      <c r="GI27318" s="422"/>
    </row>
    <row r="27319" spans="191:191" x14ac:dyDescent="0.2">
      <c r="GI27319" s="422"/>
    </row>
    <row r="27320" spans="191:191" x14ac:dyDescent="0.2">
      <c r="GI27320" s="422"/>
    </row>
    <row r="27321" spans="191:191" x14ac:dyDescent="0.2">
      <c r="GI27321" s="422"/>
    </row>
    <row r="27322" spans="191:191" x14ac:dyDescent="0.2">
      <c r="GI27322" s="422"/>
    </row>
    <row r="27323" spans="191:191" x14ac:dyDescent="0.2">
      <c r="GI27323" s="422"/>
    </row>
    <row r="27324" spans="191:191" x14ac:dyDescent="0.2">
      <c r="GI27324" s="422"/>
    </row>
    <row r="27325" spans="191:191" x14ac:dyDescent="0.2">
      <c r="GI27325" s="422"/>
    </row>
    <row r="27326" spans="191:191" x14ac:dyDescent="0.2">
      <c r="GI27326" s="422"/>
    </row>
    <row r="27327" spans="191:191" x14ac:dyDescent="0.2">
      <c r="GI27327" s="422"/>
    </row>
    <row r="27328" spans="191:191" x14ac:dyDescent="0.2">
      <c r="GI27328" s="422"/>
    </row>
    <row r="27329" spans="191:191" x14ac:dyDescent="0.2">
      <c r="GI27329" s="422"/>
    </row>
    <row r="27330" spans="191:191" x14ac:dyDescent="0.2">
      <c r="GI27330" s="422"/>
    </row>
    <row r="27331" spans="191:191" x14ac:dyDescent="0.2">
      <c r="GI27331" s="422"/>
    </row>
    <row r="27332" spans="191:191" x14ac:dyDescent="0.2">
      <c r="GI27332" s="422"/>
    </row>
    <row r="27333" spans="191:191" x14ac:dyDescent="0.2">
      <c r="GI27333" s="422"/>
    </row>
    <row r="27334" spans="191:191" x14ac:dyDescent="0.2">
      <c r="GI27334" s="422"/>
    </row>
    <row r="27335" spans="191:191" x14ac:dyDescent="0.2">
      <c r="GI27335" s="422"/>
    </row>
    <row r="27336" spans="191:191" x14ac:dyDescent="0.2">
      <c r="GI27336" s="422"/>
    </row>
    <row r="27337" spans="191:191" x14ac:dyDescent="0.2">
      <c r="GI27337" s="422"/>
    </row>
    <row r="27338" spans="191:191" x14ac:dyDescent="0.2">
      <c r="GI27338" s="422"/>
    </row>
    <row r="27339" spans="191:191" x14ac:dyDescent="0.2">
      <c r="GI27339" s="422"/>
    </row>
    <row r="27340" spans="191:191" x14ac:dyDescent="0.2">
      <c r="GI27340" s="422"/>
    </row>
    <row r="27341" spans="191:191" x14ac:dyDescent="0.2">
      <c r="GI27341" s="422"/>
    </row>
    <row r="27342" spans="191:191" x14ac:dyDescent="0.2">
      <c r="GI27342" s="422"/>
    </row>
    <row r="27343" spans="191:191" x14ac:dyDescent="0.2">
      <c r="GI27343" s="422"/>
    </row>
    <row r="27344" spans="191:191" x14ac:dyDescent="0.2">
      <c r="GI27344" s="422"/>
    </row>
    <row r="27345" spans="191:191" x14ac:dyDescent="0.2">
      <c r="GI27345" s="422"/>
    </row>
    <row r="27346" spans="191:191" x14ac:dyDescent="0.2">
      <c r="GI27346" s="422"/>
    </row>
    <row r="27347" spans="191:191" x14ac:dyDescent="0.2">
      <c r="GI27347" s="422"/>
    </row>
    <row r="27348" spans="191:191" x14ac:dyDescent="0.2">
      <c r="GI27348" s="422"/>
    </row>
    <row r="27349" spans="191:191" x14ac:dyDescent="0.2">
      <c r="GI27349" s="422"/>
    </row>
    <row r="27350" spans="191:191" x14ac:dyDescent="0.2">
      <c r="GI27350" s="422"/>
    </row>
    <row r="27351" spans="191:191" x14ac:dyDescent="0.2">
      <c r="GI27351" s="422"/>
    </row>
    <row r="27352" spans="191:191" x14ac:dyDescent="0.2">
      <c r="GI27352" s="422"/>
    </row>
    <row r="27353" spans="191:191" x14ac:dyDescent="0.2">
      <c r="GI27353" s="422"/>
    </row>
    <row r="27354" spans="191:191" x14ac:dyDescent="0.2">
      <c r="GI27354" s="422"/>
    </row>
    <row r="27355" spans="191:191" x14ac:dyDescent="0.2">
      <c r="GI27355" s="422"/>
    </row>
    <row r="27356" spans="191:191" x14ac:dyDescent="0.2">
      <c r="GI27356" s="422"/>
    </row>
    <row r="27357" spans="191:191" x14ac:dyDescent="0.2">
      <c r="GI27357" s="422"/>
    </row>
    <row r="27358" spans="191:191" x14ac:dyDescent="0.2">
      <c r="GI27358" s="422"/>
    </row>
    <row r="27359" spans="191:191" x14ac:dyDescent="0.2">
      <c r="GI27359" s="422"/>
    </row>
    <row r="27360" spans="191:191" x14ac:dyDescent="0.2">
      <c r="GI27360" s="422"/>
    </row>
    <row r="27361" spans="191:191" x14ac:dyDescent="0.2">
      <c r="GI27361" s="422"/>
    </row>
    <row r="27362" spans="191:191" x14ac:dyDescent="0.2">
      <c r="GI27362" s="422"/>
    </row>
    <row r="27363" spans="191:191" x14ac:dyDescent="0.2">
      <c r="GI27363" s="422"/>
    </row>
    <row r="27364" spans="191:191" x14ac:dyDescent="0.2">
      <c r="GI27364" s="422"/>
    </row>
    <row r="27365" spans="191:191" x14ac:dyDescent="0.2">
      <c r="GI27365" s="422"/>
    </row>
    <row r="27366" spans="191:191" x14ac:dyDescent="0.2">
      <c r="GI27366" s="422"/>
    </row>
    <row r="27367" spans="191:191" x14ac:dyDescent="0.2">
      <c r="GI27367" s="422"/>
    </row>
    <row r="27368" spans="191:191" x14ac:dyDescent="0.2">
      <c r="GI27368" s="422"/>
    </row>
    <row r="27369" spans="191:191" x14ac:dyDescent="0.2">
      <c r="GI27369" s="422"/>
    </row>
    <row r="27370" spans="191:191" x14ac:dyDescent="0.2">
      <c r="GI27370" s="422"/>
    </row>
    <row r="27371" spans="191:191" x14ac:dyDescent="0.2">
      <c r="GI27371" s="422"/>
    </row>
    <row r="27372" spans="191:191" x14ac:dyDescent="0.2">
      <c r="GI27372" s="422"/>
    </row>
    <row r="27373" spans="191:191" x14ac:dyDescent="0.2">
      <c r="GI27373" s="422"/>
    </row>
    <row r="27374" spans="191:191" x14ac:dyDescent="0.2">
      <c r="GI27374" s="422"/>
    </row>
    <row r="27375" spans="191:191" x14ac:dyDescent="0.2">
      <c r="GI27375" s="422"/>
    </row>
    <row r="27376" spans="191:191" x14ac:dyDescent="0.2">
      <c r="GI27376" s="422"/>
    </row>
    <row r="27377" spans="191:191" x14ac:dyDescent="0.2">
      <c r="GI27377" s="422"/>
    </row>
    <row r="27378" spans="191:191" x14ac:dyDescent="0.2">
      <c r="GI27378" s="422"/>
    </row>
    <row r="27379" spans="191:191" x14ac:dyDescent="0.2">
      <c r="GI27379" s="422"/>
    </row>
    <row r="27380" spans="191:191" x14ac:dyDescent="0.2">
      <c r="GI27380" s="422"/>
    </row>
    <row r="27381" spans="191:191" x14ac:dyDescent="0.2">
      <c r="GI27381" s="422"/>
    </row>
    <row r="27382" spans="191:191" x14ac:dyDescent="0.2">
      <c r="GI27382" s="422"/>
    </row>
    <row r="27383" spans="191:191" x14ac:dyDescent="0.2">
      <c r="GI27383" s="422"/>
    </row>
    <row r="27384" spans="191:191" x14ac:dyDescent="0.2">
      <c r="GI27384" s="422"/>
    </row>
    <row r="27385" spans="191:191" x14ac:dyDescent="0.2">
      <c r="GI27385" s="422"/>
    </row>
    <row r="27386" spans="191:191" x14ac:dyDescent="0.2">
      <c r="GI27386" s="422"/>
    </row>
    <row r="27387" spans="191:191" x14ac:dyDescent="0.2">
      <c r="GI27387" s="422"/>
    </row>
    <row r="27388" spans="191:191" x14ac:dyDescent="0.2">
      <c r="GI27388" s="422"/>
    </row>
    <row r="27389" spans="191:191" x14ac:dyDescent="0.2">
      <c r="GI27389" s="422"/>
    </row>
    <row r="27390" spans="191:191" x14ac:dyDescent="0.2">
      <c r="GI27390" s="422"/>
    </row>
    <row r="27391" spans="191:191" x14ac:dyDescent="0.2">
      <c r="GI27391" s="422"/>
    </row>
    <row r="27392" spans="191:191" x14ac:dyDescent="0.2">
      <c r="GI27392" s="422"/>
    </row>
    <row r="27393" spans="191:191" x14ac:dyDescent="0.2">
      <c r="GI27393" s="422"/>
    </row>
    <row r="27394" spans="191:191" x14ac:dyDescent="0.2">
      <c r="GI27394" s="422"/>
    </row>
    <row r="27395" spans="191:191" x14ac:dyDescent="0.2">
      <c r="GI27395" s="422"/>
    </row>
    <row r="27396" spans="191:191" x14ac:dyDescent="0.2">
      <c r="GI27396" s="422"/>
    </row>
    <row r="27397" spans="191:191" x14ac:dyDescent="0.2">
      <c r="GI27397" s="422"/>
    </row>
    <row r="27398" spans="191:191" x14ac:dyDescent="0.2">
      <c r="GI27398" s="422"/>
    </row>
    <row r="27399" spans="191:191" x14ac:dyDescent="0.2">
      <c r="GI27399" s="422"/>
    </row>
    <row r="27400" spans="191:191" x14ac:dyDescent="0.2">
      <c r="GI27400" s="422"/>
    </row>
    <row r="27401" spans="191:191" x14ac:dyDescent="0.2">
      <c r="GI27401" s="422"/>
    </row>
    <row r="27402" spans="191:191" x14ac:dyDescent="0.2">
      <c r="GI27402" s="422"/>
    </row>
    <row r="27403" spans="191:191" x14ac:dyDescent="0.2">
      <c r="GI27403" s="422"/>
    </row>
    <row r="27404" spans="191:191" x14ac:dyDescent="0.2">
      <c r="GI27404" s="422"/>
    </row>
    <row r="27405" spans="191:191" x14ac:dyDescent="0.2">
      <c r="GI27405" s="422"/>
    </row>
    <row r="27406" spans="191:191" x14ac:dyDescent="0.2">
      <c r="GI27406" s="422"/>
    </row>
    <row r="27407" spans="191:191" x14ac:dyDescent="0.2">
      <c r="GI27407" s="422"/>
    </row>
    <row r="27408" spans="191:191" x14ac:dyDescent="0.2">
      <c r="GI27408" s="422"/>
    </row>
    <row r="27409" spans="191:191" x14ac:dyDescent="0.2">
      <c r="GI27409" s="422"/>
    </row>
    <row r="27410" spans="191:191" x14ac:dyDescent="0.2">
      <c r="GI27410" s="422"/>
    </row>
    <row r="27411" spans="191:191" x14ac:dyDescent="0.2">
      <c r="GI27411" s="422"/>
    </row>
    <row r="27412" spans="191:191" x14ac:dyDescent="0.2">
      <c r="GI27412" s="422"/>
    </row>
    <row r="27413" spans="191:191" x14ac:dyDescent="0.2">
      <c r="GI27413" s="422"/>
    </row>
    <row r="27414" spans="191:191" x14ac:dyDescent="0.2">
      <c r="GI27414" s="422"/>
    </row>
    <row r="27415" spans="191:191" x14ac:dyDescent="0.2">
      <c r="GI27415" s="422"/>
    </row>
    <row r="27416" spans="191:191" x14ac:dyDescent="0.2">
      <c r="GI27416" s="422"/>
    </row>
    <row r="27417" spans="191:191" x14ac:dyDescent="0.2">
      <c r="GI27417" s="422"/>
    </row>
    <row r="27418" spans="191:191" x14ac:dyDescent="0.2">
      <c r="GI27418" s="422"/>
    </row>
    <row r="27419" spans="191:191" x14ac:dyDescent="0.2">
      <c r="GI27419" s="422"/>
    </row>
    <row r="27420" spans="191:191" x14ac:dyDescent="0.2">
      <c r="GI27420" s="422"/>
    </row>
    <row r="27421" spans="191:191" x14ac:dyDescent="0.2">
      <c r="GI27421" s="422"/>
    </row>
    <row r="27422" spans="191:191" x14ac:dyDescent="0.2">
      <c r="GI27422" s="422"/>
    </row>
    <row r="27423" spans="191:191" x14ac:dyDescent="0.2">
      <c r="GI27423" s="422"/>
    </row>
    <row r="27424" spans="191:191" x14ac:dyDescent="0.2">
      <c r="GI27424" s="422"/>
    </row>
    <row r="27425" spans="191:191" x14ac:dyDescent="0.2">
      <c r="GI27425" s="422"/>
    </row>
    <row r="27426" spans="191:191" x14ac:dyDescent="0.2">
      <c r="GI27426" s="422"/>
    </row>
    <row r="27427" spans="191:191" x14ac:dyDescent="0.2">
      <c r="GI27427" s="422"/>
    </row>
    <row r="27428" spans="191:191" x14ac:dyDescent="0.2">
      <c r="GI27428" s="422"/>
    </row>
    <row r="27429" spans="191:191" x14ac:dyDescent="0.2">
      <c r="GI27429" s="422"/>
    </row>
    <row r="27430" spans="191:191" x14ac:dyDescent="0.2">
      <c r="GI27430" s="422"/>
    </row>
    <row r="27431" spans="191:191" x14ac:dyDescent="0.2">
      <c r="GI27431" s="422"/>
    </row>
    <row r="27432" spans="191:191" x14ac:dyDescent="0.2">
      <c r="GI27432" s="422"/>
    </row>
    <row r="27433" spans="191:191" x14ac:dyDescent="0.2">
      <c r="GI27433" s="422"/>
    </row>
    <row r="27434" spans="191:191" x14ac:dyDescent="0.2">
      <c r="GI27434" s="422"/>
    </row>
    <row r="27435" spans="191:191" x14ac:dyDescent="0.2">
      <c r="GI27435" s="422"/>
    </row>
    <row r="27436" spans="191:191" x14ac:dyDescent="0.2">
      <c r="GI27436" s="422"/>
    </row>
    <row r="27437" spans="191:191" x14ac:dyDescent="0.2">
      <c r="GI27437" s="422"/>
    </row>
    <row r="27438" spans="191:191" x14ac:dyDescent="0.2">
      <c r="GI27438" s="422"/>
    </row>
    <row r="27439" spans="191:191" x14ac:dyDescent="0.2">
      <c r="GI27439" s="422"/>
    </row>
    <row r="27440" spans="191:191" x14ac:dyDescent="0.2">
      <c r="GI27440" s="422"/>
    </row>
    <row r="27441" spans="191:191" x14ac:dyDescent="0.2">
      <c r="GI27441" s="422"/>
    </row>
    <row r="27442" spans="191:191" x14ac:dyDescent="0.2">
      <c r="GI27442" s="422"/>
    </row>
    <row r="27443" spans="191:191" x14ac:dyDescent="0.2">
      <c r="GI27443" s="422"/>
    </row>
    <row r="27444" spans="191:191" x14ac:dyDescent="0.2">
      <c r="GI27444" s="422"/>
    </row>
    <row r="27445" spans="191:191" x14ac:dyDescent="0.2">
      <c r="GI27445" s="422"/>
    </row>
    <row r="27446" spans="191:191" x14ac:dyDescent="0.2">
      <c r="GI27446" s="422"/>
    </row>
    <row r="27447" spans="191:191" x14ac:dyDescent="0.2">
      <c r="GI27447" s="422"/>
    </row>
    <row r="27448" spans="191:191" x14ac:dyDescent="0.2">
      <c r="GI27448" s="422"/>
    </row>
    <row r="27449" spans="191:191" x14ac:dyDescent="0.2">
      <c r="GI27449" s="422"/>
    </row>
    <row r="27450" spans="191:191" x14ac:dyDescent="0.2">
      <c r="GI27450" s="422"/>
    </row>
    <row r="27451" spans="191:191" x14ac:dyDescent="0.2">
      <c r="GI27451" s="422"/>
    </row>
    <row r="27452" spans="191:191" x14ac:dyDescent="0.2">
      <c r="GI27452" s="422"/>
    </row>
    <row r="27453" spans="191:191" x14ac:dyDescent="0.2">
      <c r="GI27453" s="422"/>
    </row>
    <row r="27454" spans="191:191" x14ac:dyDescent="0.2">
      <c r="GI27454" s="422"/>
    </row>
    <row r="27455" spans="191:191" x14ac:dyDescent="0.2">
      <c r="GI27455" s="422"/>
    </row>
    <row r="27456" spans="191:191" x14ac:dyDescent="0.2">
      <c r="GI27456" s="422"/>
    </row>
    <row r="27457" spans="191:191" x14ac:dyDescent="0.2">
      <c r="GI27457" s="422"/>
    </row>
    <row r="27458" spans="191:191" x14ac:dyDescent="0.2">
      <c r="GI27458" s="422"/>
    </row>
    <row r="27459" spans="191:191" x14ac:dyDescent="0.2">
      <c r="GI27459" s="422"/>
    </row>
    <row r="27460" spans="191:191" x14ac:dyDescent="0.2">
      <c r="GI27460" s="422"/>
    </row>
    <row r="27461" spans="191:191" x14ac:dyDescent="0.2">
      <c r="GI27461" s="422"/>
    </row>
    <row r="27462" spans="191:191" x14ac:dyDescent="0.2">
      <c r="GI27462" s="422"/>
    </row>
    <row r="27463" spans="191:191" x14ac:dyDescent="0.2">
      <c r="GI27463" s="422"/>
    </row>
    <row r="27464" spans="191:191" x14ac:dyDescent="0.2">
      <c r="GI27464" s="422"/>
    </row>
    <row r="27465" spans="191:191" x14ac:dyDescent="0.2">
      <c r="GI27465" s="422"/>
    </row>
    <row r="27466" spans="191:191" x14ac:dyDescent="0.2">
      <c r="GI27466" s="422"/>
    </row>
    <row r="27467" spans="191:191" x14ac:dyDescent="0.2">
      <c r="GI27467" s="422"/>
    </row>
    <row r="27468" spans="191:191" x14ac:dyDescent="0.2">
      <c r="GI27468" s="422"/>
    </row>
    <row r="27469" spans="191:191" x14ac:dyDescent="0.2">
      <c r="GI27469" s="422"/>
    </row>
    <row r="27470" spans="191:191" x14ac:dyDescent="0.2">
      <c r="GI27470" s="422"/>
    </row>
    <row r="27471" spans="191:191" x14ac:dyDescent="0.2">
      <c r="GI27471" s="422"/>
    </row>
    <row r="27472" spans="191:191" x14ac:dyDescent="0.2">
      <c r="GI27472" s="422"/>
    </row>
    <row r="27473" spans="191:191" x14ac:dyDescent="0.2">
      <c r="GI27473" s="422"/>
    </row>
    <row r="27474" spans="191:191" x14ac:dyDescent="0.2">
      <c r="GI27474" s="422"/>
    </row>
    <row r="27475" spans="191:191" x14ac:dyDescent="0.2">
      <c r="GI27475" s="422"/>
    </row>
    <row r="27476" spans="191:191" x14ac:dyDescent="0.2">
      <c r="GI27476" s="422"/>
    </row>
    <row r="27477" spans="191:191" x14ac:dyDescent="0.2">
      <c r="GI27477" s="422"/>
    </row>
    <row r="27478" spans="191:191" x14ac:dyDescent="0.2">
      <c r="GI27478" s="422"/>
    </row>
    <row r="27479" spans="191:191" x14ac:dyDescent="0.2">
      <c r="GI27479" s="422"/>
    </row>
    <row r="27480" spans="191:191" x14ac:dyDescent="0.2">
      <c r="GI27480" s="422"/>
    </row>
    <row r="27481" spans="191:191" x14ac:dyDescent="0.2">
      <c r="GI27481" s="422"/>
    </row>
    <row r="27482" spans="191:191" x14ac:dyDescent="0.2">
      <c r="GI27482" s="422"/>
    </row>
    <row r="27483" spans="191:191" x14ac:dyDescent="0.2">
      <c r="GI27483" s="422"/>
    </row>
    <row r="27484" spans="191:191" x14ac:dyDescent="0.2">
      <c r="GI27484" s="422"/>
    </row>
    <row r="27485" spans="191:191" x14ac:dyDescent="0.2">
      <c r="GI27485" s="422"/>
    </row>
    <row r="27486" spans="191:191" x14ac:dyDescent="0.2">
      <c r="GI27486" s="422"/>
    </row>
    <row r="27487" spans="191:191" x14ac:dyDescent="0.2">
      <c r="GI27487" s="422"/>
    </row>
    <row r="27488" spans="191:191" x14ac:dyDescent="0.2">
      <c r="GI27488" s="422"/>
    </row>
    <row r="27489" spans="191:191" x14ac:dyDescent="0.2">
      <c r="GI27489" s="422"/>
    </row>
    <row r="27490" spans="191:191" x14ac:dyDescent="0.2">
      <c r="GI27490" s="422"/>
    </row>
    <row r="27491" spans="191:191" x14ac:dyDescent="0.2">
      <c r="GI27491" s="422"/>
    </row>
    <row r="27492" spans="191:191" x14ac:dyDescent="0.2">
      <c r="GI27492" s="422"/>
    </row>
    <row r="27493" spans="191:191" x14ac:dyDescent="0.2">
      <c r="GI27493" s="422"/>
    </row>
    <row r="27494" spans="191:191" x14ac:dyDescent="0.2">
      <c r="GI27494" s="422"/>
    </row>
    <row r="27495" spans="191:191" x14ac:dyDescent="0.2">
      <c r="GI27495" s="422"/>
    </row>
    <row r="27496" spans="191:191" x14ac:dyDescent="0.2">
      <c r="GI27496" s="422"/>
    </row>
    <row r="27497" spans="191:191" x14ac:dyDescent="0.2">
      <c r="GI27497" s="422"/>
    </row>
    <row r="27498" spans="191:191" x14ac:dyDescent="0.2">
      <c r="GI27498" s="422"/>
    </row>
    <row r="27499" spans="191:191" x14ac:dyDescent="0.2">
      <c r="GI27499" s="422"/>
    </row>
    <row r="27500" spans="191:191" x14ac:dyDescent="0.2">
      <c r="GI27500" s="422"/>
    </row>
    <row r="27501" spans="191:191" x14ac:dyDescent="0.2">
      <c r="GI27501" s="422"/>
    </row>
    <row r="27502" spans="191:191" x14ac:dyDescent="0.2">
      <c r="GI27502" s="422"/>
    </row>
    <row r="27503" spans="191:191" x14ac:dyDescent="0.2">
      <c r="GI27503" s="422"/>
    </row>
    <row r="27504" spans="191:191" x14ac:dyDescent="0.2">
      <c r="GI27504" s="422"/>
    </row>
    <row r="27505" spans="191:191" x14ac:dyDescent="0.2">
      <c r="GI27505" s="422"/>
    </row>
    <row r="27506" spans="191:191" x14ac:dyDescent="0.2">
      <c r="GI27506" s="422"/>
    </row>
    <row r="27507" spans="191:191" x14ac:dyDescent="0.2">
      <c r="GI27507" s="422"/>
    </row>
    <row r="27508" spans="191:191" x14ac:dyDescent="0.2">
      <c r="GI27508" s="422"/>
    </row>
    <row r="27509" spans="191:191" x14ac:dyDescent="0.2">
      <c r="GI27509" s="422"/>
    </row>
    <row r="27510" spans="191:191" x14ac:dyDescent="0.2">
      <c r="GI27510" s="422"/>
    </row>
    <row r="27511" spans="191:191" x14ac:dyDescent="0.2">
      <c r="GI27511" s="422"/>
    </row>
    <row r="27512" spans="191:191" x14ac:dyDescent="0.2">
      <c r="GI27512" s="422"/>
    </row>
    <row r="27513" spans="191:191" x14ac:dyDescent="0.2">
      <c r="GI27513" s="422"/>
    </row>
    <row r="27514" spans="191:191" x14ac:dyDescent="0.2">
      <c r="GI27514" s="422"/>
    </row>
    <row r="27515" spans="191:191" x14ac:dyDescent="0.2">
      <c r="GI27515" s="422"/>
    </row>
    <row r="27516" spans="191:191" x14ac:dyDescent="0.2">
      <c r="GI27516" s="422"/>
    </row>
    <row r="27517" spans="191:191" x14ac:dyDescent="0.2">
      <c r="GI27517" s="422"/>
    </row>
    <row r="27518" spans="191:191" x14ac:dyDescent="0.2">
      <c r="GI27518" s="422"/>
    </row>
    <row r="27519" spans="191:191" x14ac:dyDescent="0.2">
      <c r="GI27519" s="422"/>
    </row>
    <row r="27520" spans="191:191" x14ac:dyDescent="0.2">
      <c r="GI27520" s="422"/>
    </row>
    <row r="27521" spans="191:191" x14ac:dyDescent="0.2">
      <c r="GI27521" s="422"/>
    </row>
    <row r="27522" spans="191:191" x14ac:dyDescent="0.2">
      <c r="GI27522" s="422"/>
    </row>
    <row r="27523" spans="191:191" x14ac:dyDescent="0.2">
      <c r="GI27523" s="422"/>
    </row>
    <row r="27524" spans="191:191" x14ac:dyDescent="0.2">
      <c r="GI27524" s="422"/>
    </row>
    <row r="27525" spans="191:191" x14ac:dyDescent="0.2">
      <c r="GI27525" s="422"/>
    </row>
    <row r="27526" spans="191:191" x14ac:dyDescent="0.2">
      <c r="GI27526" s="422"/>
    </row>
    <row r="27527" spans="191:191" x14ac:dyDescent="0.2">
      <c r="GI27527" s="422"/>
    </row>
    <row r="27528" spans="191:191" x14ac:dyDescent="0.2">
      <c r="GI27528" s="422"/>
    </row>
    <row r="27529" spans="191:191" x14ac:dyDescent="0.2">
      <c r="GI27529" s="422"/>
    </row>
    <row r="27530" spans="191:191" x14ac:dyDescent="0.2">
      <c r="GI27530" s="422"/>
    </row>
    <row r="27531" spans="191:191" x14ac:dyDescent="0.2">
      <c r="GI27531" s="422"/>
    </row>
    <row r="27532" spans="191:191" x14ac:dyDescent="0.2">
      <c r="GI27532" s="422"/>
    </row>
    <row r="27533" spans="191:191" x14ac:dyDescent="0.2">
      <c r="GI27533" s="422"/>
    </row>
    <row r="27534" spans="191:191" x14ac:dyDescent="0.2">
      <c r="GI27534" s="422"/>
    </row>
    <row r="27535" spans="191:191" x14ac:dyDescent="0.2">
      <c r="GI27535" s="422"/>
    </row>
    <row r="27536" spans="191:191" x14ac:dyDescent="0.2">
      <c r="GI27536" s="422"/>
    </row>
    <row r="27537" spans="191:191" x14ac:dyDescent="0.2">
      <c r="GI27537" s="422"/>
    </row>
    <row r="27538" spans="191:191" x14ac:dyDescent="0.2">
      <c r="GI27538" s="422"/>
    </row>
    <row r="27539" spans="191:191" x14ac:dyDescent="0.2">
      <c r="GI27539" s="422"/>
    </row>
    <row r="27540" spans="191:191" x14ac:dyDescent="0.2">
      <c r="GI27540" s="422"/>
    </row>
    <row r="27541" spans="191:191" x14ac:dyDescent="0.2">
      <c r="GI27541" s="422"/>
    </row>
    <row r="27542" spans="191:191" x14ac:dyDescent="0.2">
      <c r="GI27542" s="422"/>
    </row>
    <row r="27543" spans="191:191" x14ac:dyDescent="0.2">
      <c r="GI27543" s="422"/>
    </row>
    <row r="27544" spans="191:191" x14ac:dyDescent="0.2">
      <c r="GI27544" s="422"/>
    </row>
    <row r="27545" spans="191:191" x14ac:dyDescent="0.2">
      <c r="GI27545" s="422"/>
    </row>
    <row r="27546" spans="191:191" x14ac:dyDescent="0.2">
      <c r="GI27546" s="422"/>
    </row>
    <row r="27547" spans="191:191" x14ac:dyDescent="0.2">
      <c r="GI27547" s="422"/>
    </row>
    <row r="27548" spans="191:191" x14ac:dyDescent="0.2">
      <c r="GI27548" s="422"/>
    </row>
    <row r="27549" spans="191:191" x14ac:dyDescent="0.2">
      <c r="GI27549" s="422"/>
    </row>
    <row r="27550" spans="191:191" x14ac:dyDescent="0.2">
      <c r="GI27550" s="422"/>
    </row>
    <row r="27551" spans="191:191" x14ac:dyDescent="0.2">
      <c r="GI27551" s="422"/>
    </row>
    <row r="27552" spans="191:191" x14ac:dyDescent="0.2">
      <c r="GI27552" s="422"/>
    </row>
    <row r="27553" spans="191:191" x14ac:dyDescent="0.2">
      <c r="GI27553" s="422"/>
    </row>
    <row r="27554" spans="191:191" x14ac:dyDescent="0.2">
      <c r="GI27554" s="422"/>
    </row>
    <row r="27555" spans="191:191" x14ac:dyDescent="0.2">
      <c r="GI27555" s="422"/>
    </row>
    <row r="27556" spans="191:191" x14ac:dyDescent="0.2">
      <c r="GI27556" s="422"/>
    </row>
    <row r="27557" spans="191:191" x14ac:dyDescent="0.2">
      <c r="GI27557" s="422"/>
    </row>
    <row r="27558" spans="191:191" x14ac:dyDescent="0.2">
      <c r="GI27558" s="422"/>
    </row>
    <row r="27559" spans="191:191" x14ac:dyDescent="0.2">
      <c r="GI27559" s="422"/>
    </row>
    <row r="27560" spans="191:191" x14ac:dyDescent="0.2">
      <c r="GI27560" s="422"/>
    </row>
    <row r="27561" spans="191:191" x14ac:dyDescent="0.2">
      <c r="GI27561" s="422"/>
    </row>
    <row r="27562" spans="191:191" x14ac:dyDescent="0.2">
      <c r="GI27562" s="422"/>
    </row>
    <row r="27563" spans="191:191" x14ac:dyDescent="0.2">
      <c r="GI27563" s="422"/>
    </row>
    <row r="27564" spans="191:191" x14ac:dyDescent="0.2">
      <c r="GI27564" s="422"/>
    </row>
    <row r="27565" spans="191:191" x14ac:dyDescent="0.2">
      <c r="GI27565" s="422"/>
    </row>
    <row r="27566" spans="191:191" x14ac:dyDescent="0.2">
      <c r="GI27566" s="422"/>
    </row>
    <row r="27567" spans="191:191" x14ac:dyDescent="0.2">
      <c r="GI27567" s="422"/>
    </row>
    <row r="27568" spans="191:191" x14ac:dyDescent="0.2">
      <c r="GI27568" s="422"/>
    </row>
    <row r="27569" spans="191:191" x14ac:dyDescent="0.2">
      <c r="GI27569" s="422"/>
    </row>
    <row r="27570" spans="191:191" x14ac:dyDescent="0.2">
      <c r="GI27570" s="422"/>
    </row>
    <row r="27571" spans="191:191" x14ac:dyDescent="0.2">
      <c r="GI27571" s="422"/>
    </row>
    <row r="27572" spans="191:191" x14ac:dyDescent="0.2">
      <c r="GI27572" s="422"/>
    </row>
    <row r="27573" spans="191:191" x14ac:dyDescent="0.2">
      <c r="GI27573" s="422"/>
    </row>
    <row r="27574" spans="191:191" x14ac:dyDescent="0.2">
      <c r="GI27574" s="422"/>
    </row>
    <row r="27575" spans="191:191" x14ac:dyDescent="0.2">
      <c r="GI27575" s="422"/>
    </row>
    <row r="27576" spans="191:191" x14ac:dyDescent="0.2">
      <c r="GI27576" s="422"/>
    </row>
    <row r="27577" spans="191:191" x14ac:dyDescent="0.2">
      <c r="GI27577" s="422"/>
    </row>
    <row r="27578" spans="191:191" x14ac:dyDescent="0.2">
      <c r="GI27578" s="422"/>
    </row>
    <row r="27579" spans="191:191" x14ac:dyDescent="0.2">
      <c r="GI27579" s="422"/>
    </row>
    <row r="27580" spans="191:191" x14ac:dyDescent="0.2">
      <c r="GI27580" s="422"/>
    </row>
    <row r="27581" spans="191:191" x14ac:dyDescent="0.2">
      <c r="GI27581" s="422"/>
    </row>
    <row r="27582" spans="191:191" x14ac:dyDescent="0.2">
      <c r="GI27582" s="422"/>
    </row>
    <row r="27583" spans="191:191" x14ac:dyDescent="0.2">
      <c r="GI27583" s="422"/>
    </row>
    <row r="27584" spans="191:191" x14ac:dyDescent="0.2">
      <c r="GI27584" s="422"/>
    </row>
    <row r="27585" spans="191:191" x14ac:dyDescent="0.2">
      <c r="GI27585" s="422"/>
    </row>
    <row r="27586" spans="191:191" x14ac:dyDescent="0.2">
      <c r="GI27586" s="422"/>
    </row>
    <row r="27587" spans="191:191" x14ac:dyDescent="0.2">
      <c r="GI27587" s="422"/>
    </row>
    <row r="27588" spans="191:191" x14ac:dyDescent="0.2">
      <c r="GI27588" s="422"/>
    </row>
    <row r="27589" spans="191:191" x14ac:dyDescent="0.2">
      <c r="GI27589" s="422"/>
    </row>
    <row r="27590" spans="191:191" x14ac:dyDescent="0.2">
      <c r="GI27590" s="422"/>
    </row>
    <row r="27591" spans="191:191" x14ac:dyDescent="0.2">
      <c r="GI27591" s="422"/>
    </row>
    <row r="27592" spans="191:191" x14ac:dyDescent="0.2">
      <c r="GI27592" s="422"/>
    </row>
    <row r="27593" spans="191:191" x14ac:dyDescent="0.2">
      <c r="GI27593" s="422"/>
    </row>
    <row r="27594" spans="191:191" x14ac:dyDescent="0.2">
      <c r="GI27594" s="422"/>
    </row>
    <row r="27595" spans="191:191" x14ac:dyDescent="0.2">
      <c r="GI27595" s="422"/>
    </row>
    <row r="27596" spans="191:191" x14ac:dyDescent="0.2">
      <c r="GI27596" s="422"/>
    </row>
    <row r="27597" spans="191:191" x14ac:dyDescent="0.2">
      <c r="GI27597" s="422"/>
    </row>
    <row r="27598" spans="191:191" x14ac:dyDescent="0.2">
      <c r="GI27598" s="422"/>
    </row>
    <row r="27599" spans="191:191" x14ac:dyDescent="0.2">
      <c r="GI27599" s="422"/>
    </row>
    <row r="27600" spans="191:191" x14ac:dyDescent="0.2">
      <c r="GI27600" s="422"/>
    </row>
    <row r="27601" spans="191:191" x14ac:dyDescent="0.2">
      <c r="GI27601" s="422"/>
    </row>
    <row r="27602" spans="191:191" x14ac:dyDescent="0.2">
      <c r="GI27602" s="422"/>
    </row>
    <row r="27603" spans="191:191" x14ac:dyDescent="0.2">
      <c r="GI27603" s="422"/>
    </row>
    <row r="27604" spans="191:191" x14ac:dyDescent="0.2">
      <c r="GI27604" s="422"/>
    </row>
    <row r="27605" spans="191:191" x14ac:dyDescent="0.2">
      <c r="GI27605" s="422"/>
    </row>
    <row r="27606" spans="191:191" x14ac:dyDescent="0.2">
      <c r="GI27606" s="422"/>
    </row>
    <row r="27607" spans="191:191" x14ac:dyDescent="0.2">
      <c r="GI27607" s="422"/>
    </row>
    <row r="27608" spans="191:191" x14ac:dyDescent="0.2">
      <c r="GI27608" s="422"/>
    </row>
    <row r="27609" spans="191:191" x14ac:dyDescent="0.2">
      <c r="GI27609" s="422"/>
    </row>
    <row r="27610" spans="191:191" x14ac:dyDescent="0.2">
      <c r="GI27610" s="422"/>
    </row>
    <row r="27611" spans="191:191" x14ac:dyDescent="0.2">
      <c r="GI27611" s="422"/>
    </row>
    <row r="27612" spans="191:191" x14ac:dyDescent="0.2">
      <c r="GI27612" s="422"/>
    </row>
    <row r="27613" spans="191:191" x14ac:dyDescent="0.2">
      <c r="GI27613" s="422"/>
    </row>
    <row r="27614" spans="191:191" x14ac:dyDescent="0.2">
      <c r="GI27614" s="422"/>
    </row>
    <row r="27615" spans="191:191" x14ac:dyDescent="0.2">
      <c r="GI27615" s="422"/>
    </row>
    <row r="27616" spans="191:191" x14ac:dyDescent="0.2">
      <c r="GI27616" s="422"/>
    </row>
    <row r="27617" spans="191:191" x14ac:dyDescent="0.2">
      <c r="GI27617" s="422"/>
    </row>
    <row r="27618" spans="191:191" x14ac:dyDescent="0.2">
      <c r="GI27618" s="422"/>
    </row>
    <row r="27619" spans="191:191" x14ac:dyDescent="0.2">
      <c r="GI27619" s="422"/>
    </row>
    <row r="27620" spans="191:191" x14ac:dyDescent="0.2">
      <c r="GI27620" s="422"/>
    </row>
    <row r="27621" spans="191:191" x14ac:dyDescent="0.2">
      <c r="GI27621" s="422"/>
    </row>
    <row r="27622" spans="191:191" x14ac:dyDescent="0.2">
      <c r="GI27622" s="422"/>
    </row>
    <row r="27623" spans="191:191" x14ac:dyDescent="0.2">
      <c r="GI27623" s="422"/>
    </row>
    <row r="27624" spans="191:191" x14ac:dyDescent="0.2">
      <c r="GI27624" s="422"/>
    </row>
    <row r="27625" spans="191:191" x14ac:dyDescent="0.2">
      <c r="GI27625" s="422"/>
    </row>
    <row r="27626" spans="191:191" x14ac:dyDescent="0.2">
      <c r="GI27626" s="422"/>
    </row>
    <row r="27627" spans="191:191" x14ac:dyDescent="0.2">
      <c r="GI27627" s="422"/>
    </row>
    <row r="27628" spans="191:191" x14ac:dyDescent="0.2">
      <c r="GI27628" s="422"/>
    </row>
    <row r="27629" spans="191:191" x14ac:dyDescent="0.2">
      <c r="GI27629" s="422"/>
    </row>
    <row r="27630" spans="191:191" x14ac:dyDescent="0.2">
      <c r="GI27630" s="422"/>
    </row>
    <row r="27631" spans="191:191" x14ac:dyDescent="0.2">
      <c r="GI27631" s="422"/>
    </row>
    <row r="27632" spans="191:191" x14ac:dyDescent="0.2">
      <c r="GI27632" s="422"/>
    </row>
    <row r="27633" spans="191:191" x14ac:dyDescent="0.2">
      <c r="GI27633" s="422"/>
    </row>
    <row r="27634" spans="191:191" x14ac:dyDescent="0.2">
      <c r="GI27634" s="422"/>
    </row>
    <row r="27635" spans="191:191" x14ac:dyDescent="0.2">
      <c r="GI27635" s="422"/>
    </row>
    <row r="27636" spans="191:191" x14ac:dyDescent="0.2">
      <c r="GI27636" s="422"/>
    </row>
    <row r="27637" spans="191:191" x14ac:dyDescent="0.2">
      <c r="GI27637" s="422"/>
    </row>
    <row r="27638" spans="191:191" x14ac:dyDescent="0.2">
      <c r="GI27638" s="422"/>
    </row>
    <row r="27639" spans="191:191" x14ac:dyDescent="0.2">
      <c r="GI27639" s="422"/>
    </row>
    <row r="27640" spans="191:191" x14ac:dyDescent="0.2">
      <c r="GI27640" s="422"/>
    </row>
    <row r="27641" spans="191:191" x14ac:dyDescent="0.2">
      <c r="GI27641" s="422"/>
    </row>
    <row r="27642" spans="191:191" x14ac:dyDescent="0.2">
      <c r="GI27642" s="422"/>
    </row>
    <row r="27643" spans="191:191" x14ac:dyDescent="0.2">
      <c r="GI27643" s="422"/>
    </row>
    <row r="27644" spans="191:191" x14ac:dyDescent="0.2">
      <c r="GI27644" s="422"/>
    </row>
    <row r="27645" spans="191:191" x14ac:dyDescent="0.2">
      <c r="GI27645" s="422"/>
    </row>
    <row r="27646" spans="191:191" x14ac:dyDescent="0.2">
      <c r="GI27646" s="422"/>
    </row>
    <row r="27647" spans="191:191" x14ac:dyDescent="0.2">
      <c r="GI27647" s="422"/>
    </row>
    <row r="27648" spans="191:191" x14ac:dyDescent="0.2">
      <c r="GI27648" s="422"/>
    </row>
    <row r="27649" spans="191:191" x14ac:dyDescent="0.2">
      <c r="GI27649" s="422"/>
    </row>
    <row r="27650" spans="191:191" x14ac:dyDescent="0.2">
      <c r="GI27650" s="422"/>
    </row>
    <row r="27651" spans="191:191" x14ac:dyDescent="0.2">
      <c r="GI27651" s="422"/>
    </row>
    <row r="27652" spans="191:191" x14ac:dyDescent="0.2">
      <c r="GI27652" s="422"/>
    </row>
    <row r="27653" spans="191:191" x14ac:dyDescent="0.2">
      <c r="GI27653" s="422"/>
    </row>
    <row r="27654" spans="191:191" x14ac:dyDescent="0.2">
      <c r="GI27654" s="422"/>
    </row>
    <row r="27655" spans="191:191" x14ac:dyDescent="0.2">
      <c r="GI27655" s="422"/>
    </row>
    <row r="27656" spans="191:191" x14ac:dyDescent="0.2">
      <c r="GI27656" s="422"/>
    </row>
    <row r="27657" spans="191:191" x14ac:dyDescent="0.2">
      <c r="GI27657" s="422"/>
    </row>
    <row r="27658" spans="191:191" x14ac:dyDescent="0.2">
      <c r="GI27658" s="422"/>
    </row>
    <row r="27659" spans="191:191" x14ac:dyDescent="0.2">
      <c r="GI27659" s="422"/>
    </row>
    <row r="27660" spans="191:191" x14ac:dyDescent="0.2">
      <c r="GI27660" s="422"/>
    </row>
    <row r="27661" spans="191:191" x14ac:dyDescent="0.2">
      <c r="GI27661" s="422"/>
    </row>
    <row r="27662" spans="191:191" x14ac:dyDescent="0.2">
      <c r="GI27662" s="422"/>
    </row>
    <row r="27663" spans="191:191" x14ac:dyDescent="0.2">
      <c r="GI27663" s="422"/>
    </row>
    <row r="27664" spans="191:191" x14ac:dyDescent="0.2">
      <c r="GI27664" s="422"/>
    </row>
    <row r="27665" spans="191:191" x14ac:dyDescent="0.2">
      <c r="GI27665" s="422"/>
    </row>
    <row r="27666" spans="191:191" x14ac:dyDescent="0.2">
      <c r="GI27666" s="422"/>
    </row>
    <row r="27667" spans="191:191" x14ac:dyDescent="0.2">
      <c r="GI27667" s="422"/>
    </row>
    <row r="27668" spans="191:191" x14ac:dyDescent="0.2">
      <c r="GI27668" s="422"/>
    </row>
    <row r="27669" spans="191:191" x14ac:dyDescent="0.2">
      <c r="GI27669" s="422"/>
    </row>
    <row r="27670" spans="191:191" x14ac:dyDescent="0.2">
      <c r="GI27670" s="422"/>
    </row>
    <row r="27671" spans="191:191" x14ac:dyDescent="0.2">
      <c r="GI27671" s="422"/>
    </row>
    <row r="27672" spans="191:191" x14ac:dyDescent="0.2">
      <c r="GI27672" s="422"/>
    </row>
    <row r="27673" spans="191:191" x14ac:dyDescent="0.2">
      <c r="GI27673" s="422"/>
    </row>
    <row r="27674" spans="191:191" x14ac:dyDescent="0.2">
      <c r="GI27674" s="422"/>
    </row>
    <row r="27675" spans="191:191" x14ac:dyDescent="0.2">
      <c r="GI27675" s="422"/>
    </row>
    <row r="27676" spans="191:191" x14ac:dyDescent="0.2">
      <c r="GI27676" s="422"/>
    </row>
    <row r="27677" spans="191:191" x14ac:dyDescent="0.2">
      <c r="GI27677" s="422"/>
    </row>
    <row r="27678" spans="191:191" x14ac:dyDescent="0.2">
      <c r="GI27678" s="422"/>
    </row>
    <row r="27679" spans="191:191" x14ac:dyDescent="0.2">
      <c r="GI27679" s="422"/>
    </row>
    <row r="27680" spans="191:191" x14ac:dyDescent="0.2">
      <c r="GI27680" s="422"/>
    </row>
    <row r="27681" spans="191:191" x14ac:dyDescent="0.2">
      <c r="GI27681" s="422"/>
    </row>
    <row r="27682" spans="191:191" x14ac:dyDescent="0.2">
      <c r="GI27682" s="422"/>
    </row>
    <row r="27683" spans="191:191" x14ac:dyDescent="0.2">
      <c r="GI27683" s="422"/>
    </row>
    <row r="27684" spans="191:191" x14ac:dyDescent="0.2">
      <c r="GI27684" s="422"/>
    </row>
    <row r="27685" spans="191:191" x14ac:dyDescent="0.2">
      <c r="GI27685" s="422"/>
    </row>
    <row r="27686" spans="191:191" x14ac:dyDescent="0.2">
      <c r="GI27686" s="422"/>
    </row>
    <row r="27687" spans="191:191" x14ac:dyDescent="0.2">
      <c r="GI27687" s="422"/>
    </row>
    <row r="27688" spans="191:191" x14ac:dyDescent="0.2">
      <c r="GI27688" s="422"/>
    </row>
    <row r="27689" spans="191:191" x14ac:dyDescent="0.2">
      <c r="GI27689" s="422"/>
    </row>
    <row r="27690" spans="191:191" x14ac:dyDescent="0.2">
      <c r="GI27690" s="422"/>
    </row>
    <row r="27691" spans="191:191" x14ac:dyDescent="0.2">
      <c r="GI27691" s="422"/>
    </row>
    <row r="27692" spans="191:191" x14ac:dyDescent="0.2">
      <c r="GI27692" s="422"/>
    </row>
    <row r="27693" spans="191:191" x14ac:dyDescent="0.2">
      <c r="GI27693" s="422"/>
    </row>
    <row r="27694" spans="191:191" x14ac:dyDescent="0.2">
      <c r="GI27694" s="422"/>
    </row>
    <row r="27695" spans="191:191" x14ac:dyDescent="0.2">
      <c r="GI27695" s="422"/>
    </row>
    <row r="27696" spans="191:191" x14ac:dyDescent="0.2">
      <c r="GI27696" s="422"/>
    </row>
    <row r="27697" spans="191:191" x14ac:dyDescent="0.2">
      <c r="GI27697" s="422"/>
    </row>
    <row r="27698" spans="191:191" x14ac:dyDescent="0.2">
      <c r="GI27698" s="422"/>
    </row>
    <row r="27699" spans="191:191" x14ac:dyDescent="0.2">
      <c r="GI27699" s="422"/>
    </row>
    <row r="27700" spans="191:191" x14ac:dyDescent="0.2">
      <c r="GI27700" s="422"/>
    </row>
    <row r="27701" spans="191:191" x14ac:dyDescent="0.2">
      <c r="GI27701" s="422"/>
    </row>
    <row r="27702" spans="191:191" x14ac:dyDescent="0.2">
      <c r="GI27702" s="422"/>
    </row>
    <row r="27703" spans="191:191" x14ac:dyDescent="0.2">
      <c r="GI27703" s="422"/>
    </row>
    <row r="27704" spans="191:191" x14ac:dyDescent="0.2">
      <c r="GI27704" s="422"/>
    </row>
    <row r="27705" spans="191:191" x14ac:dyDescent="0.2">
      <c r="GI27705" s="422"/>
    </row>
    <row r="27706" spans="191:191" x14ac:dyDescent="0.2">
      <c r="GI27706" s="422"/>
    </row>
    <row r="27707" spans="191:191" x14ac:dyDescent="0.2">
      <c r="GI27707" s="422"/>
    </row>
    <row r="27708" spans="191:191" x14ac:dyDescent="0.2">
      <c r="GI27708" s="422"/>
    </row>
    <row r="27709" spans="191:191" x14ac:dyDescent="0.2">
      <c r="GI27709" s="422"/>
    </row>
    <row r="27710" spans="191:191" x14ac:dyDescent="0.2">
      <c r="GI27710" s="422"/>
    </row>
    <row r="27711" spans="191:191" x14ac:dyDescent="0.2">
      <c r="GI27711" s="422"/>
    </row>
    <row r="27712" spans="191:191" x14ac:dyDescent="0.2">
      <c r="GI27712" s="422"/>
    </row>
    <row r="27713" spans="191:191" x14ac:dyDescent="0.2">
      <c r="GI27713" s="422"/>
    </row>
    <row r="27714" spans="191:191" x14ac:dyDescent="0.2">
      <c r="GI27714" s="422"/>
    </row>
    <row r="27715" spans="191:191" x14ac:dyDescent="0.2">
      <c r="GI27715" s="422"/>
    </row>
    <row r="27716" spans="191:191" x14ac:dyDescent="0.2">
      <c r="GI27716" s="422"/>
    </row>
    <row r="27717" spans="191:191" x14ac:dyDescent="0.2">
      <c r="GI27717" s="422"/>
    </row>
    <row r="27718" spans="191:191" x14ac:dyDescent="0.2">
      <c r="GI27718" s="422"/>
    </row>
    <row r="27719" spans="191:191" x14ac:dyDescent="0.2">
      <c r="GI27719" s="422"/>
    </row>
    <row r="27720" spans="191:191" x14ac:dyDescent="0.2">
      <c r="GI27720" s="422"/>
    </row>
    <row r="27721" spans="191:191" x14ac:dyDescent="0.2">
      <c r="GI27721" s="422"/>
    </row>
    <row r="27722" spans="191:191" x14ac:dyDescent="0.2">
      <c r="GI27722" s="422"/>
    </row>
    <row r="27723" spans="191:191" x14ac:dyDescent="0.2">
      <c r="GI27723" s="422"/>
    </row>
    <row r="27724" spans="191:191" x14ac:dyDescent="0.2">
      <c r="GI27724" s="422"/>
    </row>
    <row r="27725" spans="191:191" x14ac:dyDescent="0.2">
      <c r="GI27725" s="422"/>
    </row>
    <row r="27726" spans="191:191" x14ac:dyDescent="0.2">
      <c r="GI27726" s="422"/>
    </row>
    <row r="27727" spans="191:191" x14ac:dyDescent="0.2">
      <c r="GI27727" s="422"/>
    </row>
    <row r="27728" spans="191:191" x14ac:dyDescent="0.2">
      <c r="GI27728" s="422"/>
    </row>
    <row r="27729" spans="191:191" x14ac:dyDescent="0.2">
      <c r="GI27729" s="422"/>
    </row>
    <row r="27730" spans="191:191" x14ac:dyDescent="0.2">
      <c r="GI27730" s="422"/>
    </row>
    <row r="27731" spans="191:191" x14ac:dyDescent="0.2">
      <c r="GI27731" s="422"/>
    </row>
    <row r="27732" spans="191:191" x14ac:dyDescent="0.2">
      <c r="GI27732" s="422"/>
    </row>
    <row r="27733" spans="191:191" x14ac:dyDescent="0.2">
      <c r="GI27733" s="422"/>
    </row>
    <row r="27734" spans="191:191" x14ac:dyDescent="0.2">
      <c r="GI27734" s="422"/>
    </row>
    <row r="27735" spans="191:191" x14ac:dyDescent="0.2">
      <c r="GI27735" s="422"/>
    </row>
    <row r="27736" spans="191:191" x14ac:dyDescent="0.2">
      <c r="GI27736" s="422"/>
    </row>
    <row r="27737" spans="191:191" x14ac:dyDescent="0.2">
      <c r="GI27737" s="422"/>
    </row>
    <row r="27738" spans="191:191" x14ac:dyDescent="0.2">
      <c r="GI27738" s="422"/>
    </row>
    <row r="27739" spans="191:191" x14ac:dyDescent="0.2">
      <c r="GI27739" s="422"/>
    </row>
    <row r="27740" spans="191:191" x14ac:dyDescent="0.2">
      <c r="GI27740" s="422"/>
    </row>
    <row r="27741" spans="191:191" x14ac:dyDescent="0.2">
      <c r="GI27741" s="422"/>
    </row>
    <row r="27742" spans="191:191" x14ac:dyDescent="0.2">
      <c r="GI27742" s="422"/>
    </row>
    <row r="27743" spans="191:191" x14ac:dyDescent="0.2">
      <c r="GI27743" s="422"/>
    </row>
    <row r="27744" spans="191:191" x14ac:dyDescent="0.2">
      <c r="GI27744" s="422"/>
    </row>
    <row r="27745" spans="191:191" x14ac:dyDescent="0.2">
      <c r="GI27745" s="422"/>
    </row>
    <row r="27746" spans="191:191" x14ac:dyDescent="0.2">
      <c r="GI27746" s="422"/>
    </row>
    <row r="27747" spans="191:191" x14ac:dyDescent="0.2">
      <c r="GI27747" s="422"/>
    </row>
    <row r="27748" spans="191:191" x14ac:dyDescent="0.2">
      <c r="GI27748" s="422"/>
    </row>
    <row r="27749" spans="191:191" x14ac:dyDescent="0.2">
      <c r="GI27749" s="422"/>
    </row>
    <row r="27750" spans="191:191" x14ac:dyDescent="0.2">
      <c r="GI27750" s="422"/>
    </row>
    <row r="27751" spans="191:191" x14ac:dyDescent="0.2">
      <c r="GI27751" s="422"/>
    </row>
    <row r="27752" spans="191:191" x14ac:dyDescent="0.2">
      <c r="GI27752" s="422"/>
    </row>
    <row r="27753" spans="191:191" x14ac:dyDescent="0.2">
      <c r="GI27753" s="422"/>
    </row>
    <row r="27754" spans="191:191" x14ac:dyDescent="0.2">
      <c r="GI27754" s="422"/>
    </row>
    <row r="27755" spans="191:191" x14ac:dyDescent="0.2">
      <c r="GI27755" s="422"/>
    </row>
    <row r="27756" spans="191:191" x14ac:dyDescent="0.2">
      <c r="GI27756" s="422"/>
    </row>
    <row r="27757" spans="191:191" x14ac:dyDescent="0.2">
      <c r="GI27757" s="422"/>
    </row>
    <row r="27758" spans="191:191" x14ac:dyDescent="0.2">
      <c r="GI27758" s="422"/>
    </row>
    <row r="27759" spans="191:191" x14ac:dyDescent="0.2">
      <c r="GI27759" s="422"/>
    </row>
    <row r="27760" spans="191:191" x14ac:dyDescent="0.2">
      <c r="GI27760" s="422"/>
    </row>
    <row r="27761" spans="191:191" x14ac:dyDescent="0.2">
      <c r="GI27761" s="422"/>
    </row>
    <row r="27762" spans="191:191" x14ac:dyDescent="0.2">
      <c r="GI27762" s="422"/>
    </row>
    <row r="27763" spans="191:191" x14ac:dyDescent="0.2">
      <c r="GI27763" s="422"/>
    </row>
    <row r="27764" spans="191:191" x14ac:dyDescent="0.2">
      <c r="GI27764" s="422"/>
    </row>
    <row r="27765" spans="191:191" x14ac:dyDescent="0.2">
      <c r="GI27765" s="422"/>
    </row>
    <row r="27766" spans="191:191" x14ac:dyDescent="0.2">
      <c r="GI27766" s="422"/>
    </row>
    <row r="27767" spans="191:191" x14ac:dyDescent="0.2">
      <c r="GI27767" s="422"/>
    </row>
    <row r="27768" spans="191:191" x14ac:dyDescent="0.2">
      <c r="GI27768" s="422"/>
    </row>
    <row r="27769" spans="191:191" x14ac:dyDescent="0.2">
      <c r="GI27769" s="422"/>
    </row>
    <row r="27770" spans="191:191" x14ac:dyDescent="0.2">
      <c r="GI27770" s="422"/>
    </row>
    <row r="27771" spans="191:191" x14ac:dyDescent="0.2">
      <c r="GI27771" s="422"/>
    </row>
    <row r="27772" spans="191:191" x14ac:dyDescent="0.2">
      <c r="GI27772" s="422"/>
    </row>
    <row r="27773" spans="191:191" x14ac:dyDescent="0.2">
      <c r="GI27773" s="422"/>
    </row>
    <row r="27774" spans="191:191" x14ac:dyDescent="0.2">
      <c r="GI27774" s="422"/>
    </row>
    <row r="27775" spans="191:191" x14ac:dyDescent="0.2">
      <c r="GI27775" s="422"/>
    </row>
    <row r="27776" spans="191:191" x14ac:dyDescent="0.2">
      <c r="GI27776" s="422"/>
    </row>
    <row r="27777" spans="191:191" x14ac:dyDescent="0.2">
      <c r="GI27777" s="422"/>
    </row>
    <row r="27778" spans="191:191" x14ac:dyDescent="0.2">
      <c r="GI27778" s="422"/>
    </row>
    <row r="27779" spans="191:191" x14ac:dyDescent="0.2">
      <c r="GI27779" s="422"/>
    </row>
    <row r="27780" spans="191:191" x14ac:dyDescent="0.2">
      <c r="GI27780" s="422"/>
    </row>
    <row r="27781" spans="191:191" x14ac:dyDescent="0.2">
      <c r="GI27781" s="422"/>
    </row>
    <row r="27782" spans="191:191" x14ac:dyDescent="0.2">
      <c r="GI27782" s="422"/>
    </row>
    <row r="27783" spans="191:191" x14ac:dyDescent="0.2">
      <c r="GI27783" s="422"/>
    </row>
    <row r="27784" spans="191:191" x14ac:dyDescent="0.2">
      <c r="GI27784" s="422"/>
    </row>
    <row r="27785" spans="191:191" x14ac:dyDescent="0.2">
      <c r="GI27785" s="422"/>
    </row>
    <row r="27786" spans="191:191" x14ac:dyDescent="0.2">
      <c r="GI27786" s="422"/>
    </row>
    <row r="27787" spans="191:191" x14ac:dyDescent="0.2">
      <c r="GI27787" s="422"/>
    </row>
    <row r="27788" spans="191:191" x14ac:dyDescent="0.2">
      <c r="GI27788" s="422"/>
    </row>
    <row r="27789" spans="191:191" x14ac:dyDescent="0.2">
      <c r="GI27789" s="422"/>
    </row>
    <row r="27790" spans="191:191" x14ac:dyDescent="0.2">
      <c r="GI27790" s="422"/>
    </row>
    <row r="27791" spans="191:191" x14ac:dyDescent="0.2">
      <c r="GI27791" s="422"/>
    </row>
    <row r="27792" spans="191:191" x14ac:dyDescent="0.2">
      <c r="GI27792" s="422"/>
    </row>
    <row r="27793" spans="191:191" x14ac:dyDescent="0.2">
      <c r="GI27793" s="422"/>
    </row>
    <row r="27794" spans="191:191" x14ac:dyDescent="0.2">
      <c r="GI27794" s="422"/>
    </row>
    <row r="27795" spans="191:191" x14ac:dyDescent="0.2">
      <c r="GI27795" s="422"/>
    </row>
    <row r="27796" spans="191:191" x14ac:dyDescent="0.2">
      <c r="GI27796" s="422"/>
    </row>
    <row r="27797" spans="191:191" x14ac:dyDescent="0.2">
      <c r="GI27797" s="422"/>
    </row>
    <row r="27798" spans="191:191" x14ac:dyDescent="0.2">
      <c r="GI27798" s="422"/>
    </row>
    <row r="27799" spans="191:191" x14ac:dyDescent="0.2">
      <c r="GI27799" s="422"/>
    </row>
    <row r="27800" spans="191:191" x14ac:dyDescent="0.2">
      <c r="GI27800" s="422"/>
    </row>
    <row r="27801" spans="191:191" x14ac:dyDescent="0.2">
      <c r="GI27801" s="422"/>
    </row>
    <row r="27802" spans="191:191" x14ac:dyDescent="0.2">
      <c r="GI27802" s="422"/>
    </row>
    <row r="27803" spans="191:191" x14ac:dyDescent="0.2">
      <c r="GI27803" s="422"/>
    </row>
    <row r="27804" spans="191:191" x14ac:dyDescent="0.2">
      <c r="GI27804" s="422"/>
    </row>
    <row r="27805" spans="191:191" x14ac:dyDescent="0.2">
      <c r="GI27805" s="422"/>
    </row>
    <row r="27806" spans="191:191" x14ac:dyDescent="0.2">
      <c r="GI27806" s="422"/>
    </row>
    <row r="27807" spans="191:191" x14ac:dyDescent="0.2">
      <c r="GI27807" s="422"/>
    </row>
    <row r="27808" spans="191:191" x14ac:dyDescent="0.2">
      <c r="GI27808" s="422"/>
    </row>
    <row r="27809" spans="191:191" x14ac:dyDescent="0.2">
      <c r="GI27809" s="422"/>
    </row>
    <row r="27810" spans="191:191" x14ac:dyDescent="0.2">
      <c r="GI27810" s="422"/>
    </row>
    <row r="27811" spans="191:191" x14ac:dyDescent="0.2">
      <c r="GI27811" s="422"/>
    </row>
    <row r="27812" spans="191:191" x14ac:dyDescent="0.2">
      <c r="GI27812" s="422"/>
    </row>
    <row r="27813" spans="191:191" x14ac:dyDescent="0.2">
      <c r="GI27813" s="422"/>
    </row>
    <row r="27814" spans="191:191" x14ac:dyDescent="0.2">
      <c r="GI27814" s="422"/>
    </row>
    <row r="27815" spans="191:191" x14ac:dyDescent="0.2">
      <c r="GI27815" s="422"/>
    </row>
    <row r="27816" spans="191:191" x14ac:dyDescent="0.2">
      <c r="GI27816" s="422"/>
    </row>
    <row r="27817" spans="191:191" x14ac:dyDescent="0.2">
      <c r="GI27817" s="422"/>
    </row>
    <row r="27818" spans="191:191" x14ac:dyDescent="0.2">
      <c r="GI27818" s="422"/>
    </row>
    <row r="27819" spans="191:191" x14ac:dyDescent="0.2">
      <c r="GI27819" s="422"/>
    </row>
    <row r="27820" spans="191:191" x14ac:dyDescent="0.2">
      <c r="GI27820" s="422"/>
    </row>
    <row r="27821" spans="191:191" x14ac:dyDescent="0.2">
      <c r="GI27821" s="422"/>
    </row>
    <row r="27822" spans="191:191" x14ac:dyDescent="0.2">
      <c r="GI27822" s="422"/>
    </row>
    <row r="27823" spans="191:191" x14ac:dyDescent="0.2">
      <c r="GI27823" s="422"/>
    </row>
    <row r="27824" spans="191:191" x14ac:dyDescent="0.2">
      <c r="GI27824" s="422"/>
    </row>
    <row r="27825" spans="191:191" x14ac:dyDescent="0.2">
      <c r="GI27825" s="422"/>
    </row>
    <row r="27826" spans="191:191" x14ac:dyDescent="0.2">
      <c r="GI27826" s="422"/>
    </row>
    <row r="27827" spans="191:191" x14ac:dyDescent="0.2">
      <c r="GI27827" s="422"/>
    </row>
    <row r="27828" spans="191:191" x14ac:dyDescent="0.2">
      <c r="GI27828" s="422"/>
    </row>
    <row r="27829" spans="191:191" x14ac:dyDescent="0.2">
      <c r="GI27829" s="422"/>
    </row>
    <row r="27830" spans="191:191" x14ac:dyDescent="0.2">
      <c r="GI27830" s="422"/>
    </row>
    <row r="27831" spans="191:191" x14ac:dyDescent="0.2">
      <c r="GI27831" s="422"/>
    </row>
    <row r="27832" spans="191:191" x14ac:dyDescent="0.2">
      <c r="GI27832" s="422"/>
    </row>
    <row r="27833" spans="191:191" x14ac:dyDescent="0.2">
      <c r="GI27833" s="422"/>
    </row>
    <row r="27834" spans="191:191" x14ac:dyDescent="0.2">
      <c r="GI27834" s="422"/>
    </row>
    <row r="27835" spans="191:191" x14ac:dyDescent="0.2">
      <c r="GI27835" s="422"/>
    </row>
    <row r="27836" spans="191:191" x14ac:dyDescent="0.2">
      <c r="GI27836" s="422"/>
    </row>
    <row r="27837" spans="191:191" x14ac:dyDescent="0.2">
      <c r="GI27837" s="422"/>
    </row>
    <row r="27838" spans="191:191" x14ac:dyDescent="0.2">
      <c r="GI27838" s="422"/>
    </row>
    <row r="27839" spans="191:191" x14ac:dyDescent="0.2">
      <c r="GI27839" s="422"/>
    </row>
    <row r="27840" spans="191:191" x14ac:dyDescent="0.2">
      <c r="GI27840" s="422"/>
    </row>
    <row r="27841" spans="191:191" x14ac:dyDescent="0.2">
      <c r="GI27841" s="422"/>
    </row>
    <row r="27842" spans="191:191" x14ac:dyDescent="0.2">
      <c r="GI27842" s="422"/>
    </row>
    <row r="27843" spans="191:191" x14ac:dyDescent="0.2">
      <c r="GI27843" s="422"/>
    </row>
    <row r="27844" spans="191:191" x14ac:dyDescent="0.2">
      <c r="GI27844" s="422"/>
    </row>
    <row r="27845" spans="191:191" x14ac:dyDescent="0.2">
      <c r="GI27845" s="422"/>
    </row>
    <row r="27846" spans="191:191" x14ac:dyDescent="0.2">
      <c r="GI27846" s="422"/>
    </row>
    <row r="27847" spans="191:191" x14ac:dyDescent="0.2">
      <c r="GI27847" s="422"/>
    </row>
    <row r="27848" spans="191:191" x14ac:dyDescent="0.2">
      <c r="GI27848" s="422"/>
    </row>
    <row r="27849" spans="191:191" x14ac:dyDescent="0.2">
      <c r="GI27849" s="422"/>
    </row>
    <row r="27850" spans="191:191" x14ac:dyDescent="0.2">
      <c r="GI27850" s="422"/>
    </row>
    <row r="27851" spans="191:191" x14ac:dyDescent="0.2">
      <c r="GI27851" s="422"/>
    </row>
    <row r="27852" spans="191:191" x14ac:dyDescent="0.2">
      <c r="GI27852" s="422"/>
    </row>
    <row r="27853" spans="191:191" x14ac:dyDescent="0.2">
      <c r="GI27853" s="422"/>
    </row>
    <row r="27854" spans="191:191" x14ac:dyDescent="0.2">
      <c r="GI27854" s="422"/>
    </row>
    <row r="27855" spans="191:191" x14ac:dyDescent="0.2">
      <c r="GI27855" s="422"/>
    </row>
    <row r="27856" spans="191:191" x14ac:dyDescent="0.2">
      <c r="GI27856" s="422"/>
    </row>
    <row r="27857" spans="191:191" x14ac:dyDescent="0.2">
      <c r="GI27857" s="422"/>
    </row>
    <row r="27858" spans="191:191" x14ac:dyDescent="0.2">
      <c r="GI27858" s="422"/>
    </row>
    <row r="27859" spans="191:191" x14ac:dyDescent="0.2">
      <c r="GI27859" s="422"/>
    </row>
    <row r="27860" spans="191:191" x14ac:dyDescent="0.2">
      <c r="GI27860" s="422"/>
    </row>
    <row r="27861" spans="191:191" x14ac:dyDescent="0.2">
      <c r="GI27861" s="422"/>
    </row>
    <row r="27862" spans="191:191" x14ac:dyDescent="0.2">
      <c r="GI27862" s="422"/>
    </row>
    <row r="27863" spans="191:191" x14ac:dyDescent="0.2">
      <c r="GI27863" s="422"/>
    </row>
    <row r="27864" spans="191:191" x14ac:dyDescent="0.2">
      <c r="GI27864" s="422"/>
    </row>
    <row r="27865" spans="191:191" x14ac:dyDescent="0.2">
      <c r="GI27865" s="422"/>
    </row>
    <row r="27866" spans="191:191" x14ac:dyDescent="0.2">
      <c r="GI27866" s="422"/>
    </row>
    <row r="27867" spans="191:191" x14ac:dyDescent="0.2">
      <c r="GI27867" s="422"/>
    </row>
    <row r="27868" spans="191:191" x14ac:dyDescent="0.2">
      <c r="GI27868" s="422"/>
    </row>
    <row r="27869" spans="191:191" x14ac:dyDescent="0.2">
      <c r="GI27869" s="422"/>
    </row>
    <row r="27870" spans="191:191" x14ac:dyDescent="0.2">
      <c r="GI27870" s="422"/>
    </row>
    <row r="27871" spans="191:191" x14ac:dyDescent="0.2">
      <c r="GI27871" s="422"/>
    </row>
    <row r="27872" spans="191:191" x14ac:dyDescent="0.2">
      <c r="GI27872" s="422"/>
    </row>
    <row r="27873" spans="191:191" x14ac:dyDescent="0.2">
      <c r="GI27873" s="422"/>
    </row>
    <row r="27874" spans="191:191" x14ac:dyDescent="0.2">
      <c r="GI27874" s="422"/>
    </row>
    <row r="27875" spans="191:191" x14ac:dyDescent="0.2">
      <c r="GI27875" s="422"/>
    </row>
    <row r="27876" spans="191:191" x14ac:dyDescent="0.2">
      <c r="GI27876" s="422"/>
    </row>
    <row r="27877" spans="191:191" x14ac:dyDescent="0.2">
      <c r="GI27877" s="422"/>
    </row>
    <row r="27878" spans="191:191" x14ac:dyDescent="0.2">
      <c r="GI27878" s="422"/>
    </row>
    <row r="27879" spans="191:191" x14ac:dyDescent="0.2">
      <c r="GI27879" s="422"/>
    </row>
    <row r="27880" spans="191:191" x14ac:dyDescent="0.2">
      <c r="GI27880" s="422"/>
    </row>
    <row r="27881" spans="191:191" x14ac:dyDescent="0.2">
      <c r="GI27881" s="422"/>
    </row>
    <row r="27882" spans="191:191" x14ac:dyDescent="0.2">
      <c r="GI27882" s="422"/>
    </row>
    <row r="27883" spans="191:191" x14ac:dyDescent="0.2">
      <c r="GI27883" s="422"/>
    </row>
    <row r="27884" spans="191:191" x14ac:dyDescent="0.2">
      <c r="GI27884" s="422"/>
    </row>
    <row r="27885" spans="191:191" x14ac:dyDescent="0.2">
      <c r="GI27885" s="422"/>
    </row>
    <row r="27886" spans="191:191" x14ac:dyDescent="0.2">
      <c r="GI27886" s="422"/>
    </row>
    <row r="27887" spans="191:191" x14ac:dyDescent="0.2">
      <c r="GI27887" s="422"/>
    </row>
    <row r="27888" spans="191:191" x14ac:dyDescent="0.2">
      <c r="GI27888" s="422"/>
    </row>
    <row r="27889" spans="191:191" x14ac:dyDescent="0.2">
      <c r="GI27889" s="422"/>
    </row>
    <row r="27890" spans="191:191" x14ac:dyDescent="0.2">
      <c r="GI27890" s="422"/>
    </row>
    <row r="27891" spans="191:191" x14ac:dyDescent="0.2">
      <c r="GI27891" s="422"/>
    </row>
    <row r="27892" spans="191:191" x14ac:dyDescent="0.2">
      <c r="GI27892" s="422"/>
    </row>
    <row r="27893" spans="191:191" x14ac:dyDescent="0.2">
      <c r="GI27893" s="422"/>
    </row>
    <row r="27894" spans="191:191" x14ac:dyDescent="0.2">
      <c r="GI27894" s="422"/>
    </row>
    <row r="27895" spans="191:191" x14ac:dyDescent="0.2">
      <c r="GI27895" s="422"/>
    </row>
    <row r="27896" spans="191:191" x14ac:dyDescent="0.2">
      <c r="GI27896" s="422"/>
    </row>
    <row r="27897" spans="191:191" x14ac:dyDescent="0.2">
      <c r="GI27897" s="422"/>
    </row>
    <row r="27898" spans="191:191" x14ac:dyDescent="0.2">
      <c r="GI27898" s="422"/>
    </row>
    <row r="27899" spans="191:191" x14ac:dyDescent="0.2">
      <c r="GI27899" s="422"/>
    </row>
    <row r="27900" spans="191:191" x14ac:dyDescent="0.2">
      <c r="GI27900" s="422"/>
    </row>
    <row r="27901" spans="191:191" x14ac:dyDescent="0.2">
      <c r="GI27901" s="422"/>
    </row>
    <row r="27902" spans="191:191" x14ac:dyDescent="0.2">
      <c r="GI27902" s="422"/>
    </row>
    <row r="27903" spans="191:191" x14ac:dyDescent="0.2">
      <c r="GI27903" s="422"/>
    </row>
    <row r="27904" spans="191:191" x14ac:dyDescent="0.2">
      <c r="GI27904" s="422"/>
    </row>
    <row r="27905" spans="191:191" x14ac:dyDescent="0.2">
      <c r="GI27905" s="422"/>
    </row>
    <row r="27906" spans="191:191" x14ac:dyDescent="0.2">
      <c r="GI27906" s="422"/>
    </row>
    <row r="27907" spans="191:191" x14ac:dyDescent="0.2">
      <c r="GI27907" s="422"/>
    </row>
    <row r="27908" spans="191:191" x14ac:dyDescent="0.2">
      <c r="GI27908" s="422"/>
    </row>
    <row r="27909" spans="191:191" x14ac:dyDescent="0.2">
      <c r="GI27909" s="422"/>
    </row>
    <row r="27910" spans="191:191" x14ac:dyDescent="0.2">
      <c r="GI27910" s="422"/>
    </row>
    <row r="27911" spans="191:191" x14ac:dyDescent="0.2">
      <c r="GI27911" s="422"/>
    </row>
    <row r="27912" spans="191:191" x14ac:dyDescent="0.2">
      <c r="GI27912" s="422"/>
    </row>
    <row r="27913" spans="191:191" x14ac:dyDescent="0.2">
      <c r="GI27913" s="422"/>
    </row>
    <row r="27914" spans="191:191" x14ac:dyDescent="0.2">
      <c r="GI27914" s="422"/>
    </row>
    <row r="27915" spans="191:191" x14ac:dyDescent="0.2">
      <c r="GI27915" s="422"/>
    </row>
    <row r="27916" spans="191:191" x14ac:dyDescent="0.2">
      <c r="GI27916" s="422"/>
    </row>
    <row r="27917" spans="191:191" x14ac:dyDescent="0.2">
      <c r="GI27917" s="422"/>
    </row>
    <row r="27918" spans="191:191" x14ac:dyDescent="0.2">
      <c r="GI27918" s="422"/>
    </row>
    <row r="27919" spans="191:191" x14ac:dyDescent="0.2">
      <c r="GI27919" s="422"/>
    </row>
    <row r="27920" spans="191:191" x14ac:dyDescent="0.2">
      <c r="GI27920" s="422"/>
    </row>
    <row r="27921" spans="191:191" x14ac:dyDescent="0.2">
      <c r="GI27921" s="422"/>
    </row>
    <row r="27922" spans="191:191" x14ac:dyDescent="0.2">
      <c r="GI27922" s="422"/>
    </row>
    <row r="27923" spans="191:191" x14ac:dyDescent="0.2">
      <c r="GI27923" s="422"/>
    </row>
    <row r="27924" spans="191:191" x14ac:dyDescent="0.2">
      <c r="GI27924" s="422"/>
    </row>
    <row r="27925" spans="191:191" x14ac:dyDescent="0.2">
      <c r="GI27925" s="422"/>
    </row>
    <row r="27926" spans="191:191" x14ac:dyDescent="0.2">
      <c r="GI27926" s="422"/>
    </row>
    <row r="27927" spans="191:191" x14ac:dyDescent="0.2">
      <c r="GI27927" s="422"/>
    </row>
    <row r="27928" spans="191:191" x14ac:dyDescent="0.2">
      <c r="GI27928" s="422"/>
    </row>
    <row r="27929" spans="191:191" x14ac:dyDescent="0.2">
      <c r="GI27929" s="422"/>
    </row>
    <row r="27930" spans="191:191" x14ac:dyDescent="0.2">
      <c r="GI27930" s="422"/>
    </row>
    <row r="27931" spans="191:191" x14ac:dyDescent="0.2">
      <c r="GI27931" s="422"/>
    </row>
    <row r="27932" spans="191:191" x14ac:dyDescent="0.2">
      <c r="GI27932" s="422"/>
    </row>
    <row r="27933" spans="191:191" x14ac:dyDescent="0.2">
      <c r="GI27933" s="422"/>
    </row>
    <row r="27934" spans="191:191" x14ac:dyDescent="0.2">
      <c r="GI27934" s="422"/>
    </row>
    <row r="27935" spans="191:191" x14ac:dyDescent="0.2">
      <c r="GI27935" s="422"/>
    </row>
    <row r="27936" spans="191:191" x14ac:dyDescent="0.2">
      <c r="GI27936" s="422"/>
    </row>
    <row r="27937" spans="191:191" x14ac:dyDescent="0.2">
      <c r="GI27937" s="422"/>
    </row>
    <row r="27938" spans="191:191" x14ac:dyDescent="0.2">
      <c r="GI27938" s="422"/>
    </row>
    <row r="27939" spans="191:191" x14ac:dyDescent="0.2">
      <c r="GI27939" s="422"/>
    </row>
    <row r="27940" spans="191:191" x14ac:dyDescent="0.2">
      <c r="GI27940" s="422"/>
    </row>
    <row r="27941" spans="191:191" x14ac:dyDescent="0.2">
      <c r="GI27941" s="422"/>
    </row>
    <row r="27942" spans="191:191" x14ac:dyDescent="0.2">
      <c r="GI27942" s="422"/>
    </row>
    <row r="27943" spans="191:191" x14ac:dyDescent="0.2">
      <c r="GI27943" s="422"/>
    </row>
    <row r="27944" spans="191:191" x14ac:dyDescent="0.2">
      <c r="GI27944" s="422"/>
    </row>
    <row r="27945" spans="191:191" x14ac:dyDescent="0.2">
      <c r="GI27945" s="422"/>
    </row>
    <row r="27946" spans="191:191" x14ac:dyDescent="0.2">
      <c r="GI27946" s="422"/>
    </row>
    <row r="27947" spans="191:191" x14ac:dyDescent="0.2">
      <c r="GI27947" s="422"/>
    </row>
    <row r="27948" spans="191:191" x14ac:dyDescent="0.2">
      <c r="GI27948" s="422"/>
    </row>
    <row r="27949" spans="191:191" x14ac:dyDescent="0.2">
      <c r="GI27949" s="422"/>
    </row>
    <row r="27950" spans="191:191" x14ac:dyDescent="0.2">
      <c r="GI27950" s="422"/>
    </row>
    <row r="27951" spans="191:191" x14ac:dyDescent="0.2">
      <c r="GI27951" s="422"/>
    </row>
    <row r="27952" spans="191:191" x14ac:dyDescent="0.2">
      <c r="GI27952" s="422"/>
    </row>
    <row r="27953" spans="191:191" x14ac:dyDescent="0.2">
      <c r="GI27953" s="422"/>
    </row>
    <row r="27954" spans="191:191" x14ac:dyDescent="0.2">
      <c r="GI27954" s="422"/>
    </row>
    <row r="27955" spans="191:191" x14ac:dyDescent="0.2">
      <c r="GI27955" s="422"/>
    </row>
    <row r="27956" spans="191:191" x14ac:dyDescent="0.2">
      <c r="GI27956" s="422"/>
    </row>
    <row r="27957" spans="191:191" x14ac:dyDescent="0.2">
      <c r="GI27957" s="422"/>
    </row>
    <row r="27958" spans="191:191" x14ac:dyDescent="0.2">
      <c r="GI27958" s="422"/>
    </row>
    <row r="27959" spans="191:191" x14ac:dyDescent="0.2">
      <c r="GI27959" s="422"/>
    </row>
    <row r="27960" spans="191:191" x14ac:dyDescent="0.2">
      <c r="GI27960" s="422"/>
    </row>
    <row r="27961" spans="191:191" x14ac:dyDescent="0.2">
      <c r="GI27961" s="422"/>
    </row>
    <row r="27962" spans="191:191" x14ac:dyDescent="0.2">
      <c r="GI27962" s="422"/>
    </row>
    <row r="27963" spans="191:191" x14ac:dyDescent="0.2">
      <c r="GI27963" s="422"/>
    </row>
    <row r="27964" spans="191:191" x14ac:dyDescent="0.2">
      <c r="GI27964" s="422"/>
    </row>
    <row r="27965" spans="191:191" x14ac:dyDescent="0.2">
      <c r="GI27965" s="422"/>
    </row>
    <row r="27966" spans="191:191" x14ac:dyDescent="0.2">
      <c r="GI27966" s="422"/>
    </row>
    <row r="27967" spans="191:191" x14ac:dyDescent="0.2">
      <c r="GI27967" s="422"/>
    </row>
    <row r="27968" spans="191:191" x14ac:dyDescent="0.2">
      <c r="GI27968" s="422"/>
    </row>
    <row r="27969" spans="191:191" x14ac:dyDescent="0.2">
      <c r="GI27969" s="422"/>
    </row>
    <row r="27970" spans="191:191" x14ac:dyDescent="0.2">
      <c r="GI27970" s="422"/>
    </row>
    <row r="27971" spans="191:191" x14ac:dyDescent="0.2">
      <c r="GI27971" s="422"/>
    </row>
    <row r="27972" spans="191:191" x14ac:dyDescent="0.2">
      <c r="GI27972" s="422"/>
    </row>
    <row r="27973" spans="191:191" x14ac:dyDescent="0.2">
      <c r="GI27973" s="422"/>
    </row>
    <row r="27974" spans="191:191" x14ac:dyDescent="0.2">
      <c r="GI27974" s="422"/>
    </row>
    <row r="27975" spans="191:191" x14ac:dyDescent="0.2">
      <c r="GI27975" s="422"/>
    </row>
    <row r="27976" spans="191:191" x14ac:dyDescent="0.2">
      <c r="GI27976" s="422"/>
    </row>
    <row r="27977" spans="191:191" x14ac:dyDescent="0.2">
      <c r="GI27977" s="422"/>
    </row>
    <row r="27978" spans="191:191" x14ac:dyDescent="0.2">
      <c r="GI27978" s="422"/>
    </row>
    <row r="27979" spans="191:191" x14ac:dyDescent="0.2">
      <c r="GI27979" s="422"/>
    </row>
    <row r="27980" spans="191:191" x14ac:dyDescent="0.2">
      <c r="GI27980" s="422"/>
    </row>
    <row r="27981" spans="191:191" x14ac:dyDescent="0.2">
      <c r="GI27981" s="422"/>
    </row>
    <row r="27982" spans="191:191" x14ac:dyDescent="0.2">
      <c r="GI27982" s="422"/>
    </row>
    <row r="27983" spans="191:191" x14ac:dyDescent="0.2">
      <c r="GI27983" s="422"/>
    </row>
    <row r="27984" spans="191:191" x14ac:dyDescent="0.2">
      <c r="GI27984" s="422"/>
    </row>
    <row r="27985" spans="191:191" x14ac:dyDescent="0.2">
      <c r="GI27985" s="422"/>
    </row>
    <row r="27986" spans="191:191" x14ac:dyDescent="0.2">
      <c r="GI27986" s="422"/>
    </row>
    <row r="27987" spans="191:191" x14ac:dyDescent="0.2">
      <c r="GI27987" s="422"/>
    </row>
    <row r="27988" spans="191:191" x14ac:dyDescent="0.2">
      <c r="GI27988" s="422"/>
    </row>
    <row r="27989" spans="191:191" x14ac:dyDescent="0.2">
      <c r="GI27989" s="422"/>
    </row>
    <row r="27990" spans="191:191" x14ac:dyDescent="0.2">
      <c r="GI27990" s="422"/>
    </row>
    <row r="27991" spans="191:191" x14ac:dyDescent="0.2">
      <c r="GI27991" s="422"/>
    </row>
    <row r="27992" spans="191:191" x14ac:dyDescent="0.2">
      <c r="GI27992" s="422"/>
    </row>
    <row r="27993" spans="191:191" x14ac:dyDescent="0.2">
      <c r="GI27993" s="422"/>
    </row>
    <row r="27994" spans="191:191" x14ac:dyDescent="0.2">
      <c r="GI27994" s="422"/>
    </row>
    <row r="27995" spans="191:191" x14ac:dyDescent="0.2">
      <c r="GI27995" s="422"/>
    </row>
    <row r="27996" spans="191:191" x14ac:dyDescent="0.2">
      <c r="GI27996" s="422"/>
    </row>
    <row r="27997" spans="191:191" x14ac:dyDescent="0.2">
      <c r="GI27997" s="422"/>
    </row>
    <row r="27998" spans="191:191" x14ac:dyDescent="0.2">
      <c r="GI27998" s="422"/>
    </row>
    <row r="27999" spans="191:191" x14ac:dyDescent="0.2">
      <c r="GI27999" s="422"/>
    </row>
    <row r="28000" spans="191:191" x14ac:dyDescent="0.2">
      <c r="GI28000" s="422"/>
    </row>
    <row r="28001" spans="191:191" x14ac:dyDescent="0.2">
      <c r="GI28001" s="422"/>
    </row>
    <row r="28002" spans="191:191" x14ac:dyDescent="0.2">
      <c r="GI28002" s="422"/>
    </row>
    <row r="28003" spans="191:191" x14ac:dyDescent="0.2">
      <c r="GI28003" s="422"/>
    </row>
    <row r="28004" spans="191:191" x14ac:dyDescent="0.2">
      <c r="GI28004" s="422"/>
    </row>
    <row r="28005" spans="191:191" x14ac:dyDescent="0.2">
      <c r="GI28005" s="422"/>
    </row>
    <row r="28006" spans="191:191" x14ac:dyDescent="0.2">
      <c r="GI28006" s="422"/>
    </row>
    <row r="28007" spans="191:191" x14ac:dyDescent="0.2">
      <c r="GI28007" s="422"/>
    </row>
    <row r="28008" spans="191:191" x14ac:dyDescent="0.2">
      <c r="GI28008" s="422"/>
    </row>
    <row r="28009" spans="191:191" x14ac:dyDescent="0.2">
      <c r="GI28009" s="422"/>
    </row>
    <row r="28010" spans="191:191" x14ac:dyDescent="0.2">
      <c r="GI28010" s="422"/>
    </row>
    <row r="28011" spans="191:191" x14ac:dyDescent="0.2">
      <c r="GI28011" s="422"/>
    </row>
    <row r="28012" spans="191:191" x14ac:dyDescent="0.2">
      <c r="GI28012" s="422"/>
    </row>
    <row r="28013" spans="191:191" x14ac:dyDescent="0.2">
      <c r="GI28013" s="422"/>
    </row>
    <row r="28014" spans="191:191" x14ac:dyDescent="0.2">
      <c r="GI28014" s="422"/>
    </row>
    <row r="28015" spans="191:191" x14ac:dyDescent="0.2">
      <c r="GI28015" s="422"/>
    </row>
    <row r="28016" spans="191:191" x14ac:dyDescent="0.2">
      <c r="GI28016" s="422"/>
    </row>
    <row r="28017" spans="191:191" x14ac:dyDescent="0.2">
      <c r="GI28017" s="422"/>
    </row>
    <row r="28018" spans="191:191" x14ac:dyDescent="0.2">
      <c r="GI28018" s="422"/>
    </row>
    <row r="28019" spans="191:191" x14ac:dyDescent="0.2">
      <c r="GI28019" s="422"/>
    </row>
    <row r="28020" spans="191:191" x14ac:dyDescent="0.2">
      <c r="GI28020" s="422"/>
    </row>
    <row r="28021" spans="191:191" x14ac:dyDescent="0.2">
      <c r="GI28021" s="422"/>
    </row>
    <row r="28022" spans="191:191" x14ac:dyDescent="0.2">
      <c r="GI28022" s="422"/>
    </row>
    <row r="28023" spans="191:191" x14ac:dyDescent="0.2">
      <c r="GI28023" s="422"/>
    </row>
    <row r="28024" spans="191:191" x14ac:dyDescent="0.2">
      <c r="GI28024" s="422"/>
    </row>
    <row r="28025" spans="191:191" x14ac:dyDescent="0.2">
      <c r="GI28025" s="422"/>
    </row>
    <row r="28026" spans="191:191" x14ac:dyDescent="0.2">
      <c r="GI28026" s="422"/>
    </row>
    <row r="28027" spans="191:191" x14ac:dyDescent="0.2">
      <c r="GI28027" s="422"/>
    </row>
    <row r="28028" spans="191:191" x14ac:dyDescent="0.2">
      <c r="GI28028" s="422"/>
    </row>
    <row r="28029" spans="191:191" x14ac:dyDescent="0.2">
      <c r="GI28029" s="422"/>
    </row>
    <row r="28030" spans="191:191" x14ac:dyDescent="0.2">
      <c r="GI28030" s="422"/>
    </row>
    <row r="28031" spans="191:191" x14ac:dyDescent="0.2">
      <c r="GI28031" s="422"/>
    </row>
    <row r="28032" spans="191:191" x14ac:dyDescent="0.2">
      <c r="GI28032" s="422"/>
    </row>
    <row r="28033" spans="191:191" x14ac:dyDescent="0.2">
      <c r="GI28033" s="422"/>
    </row>
    <row r="28034" spans="191:191" x14ac:dyDescent="0.2">
      <c r="GI28034" s="422"/>
    </row>
    <row r="28035" spans="191:191" x14ac:dyDescent="0.2">
      <c r="GI28035" s="422"/>
    </row>
    <row r="28036" spans="191:191" x14ac:dyDescent="0.2">
      <c r="GI28036" s="422"/>
    </row>
    <row r="28037" spans="191:191" x14ac:dyDescent="0.2">
      <c r="GI28037" s="422"/>
    </row>
    <row r="28038" spans="191:191" x14ac:dyDescent="0.2">
      <c r="GI28038" s="422"/>
    </row>
    <row r="28039" spans="191:191" x14ac:dyDescent="0.2">
      <c r="GI28039" s="422"/>
    </row>
    <row r="28040" spans="191:191" x14ac:dyDescent="0.2">
      <c r="GI28040" s="422"/>
    </row>
    <row r="28041" spans="191:191" x14ac:dyDescent="0.2">
      <c r="GI28041" s="422"/>
    </row>
    <row r="28042" spans="191:191" x14ac:dyDescent="0.2">
      <c r="GI28042" s="422"/>
    </row>
    <row r="28043" spans="191:191" x14ac:dyDescent="0.2">
      <c r="GI28043" s="422"/>
    </row>
    <row r="28044" spans="191:191" x14ac:dyDescent="0.2">
      <c r="GI28044" s="422"/>
    </row>
    <row r="28045" spans="191:191" x14ac:dyDescent="0.2">
      <c r="GI28045" s="422"/>
    </row>
    <row r="28046" spans="191:191" x14ac:dyDescent="0.2">
      <c r="GI28046" s="422"/>
    </row>
    <row r="28047" spans="191:191" x14ac:dyDescent="0.2">
      <c r="GI28047" s="422"/>
    </row>
    <row r="28048" spans="191:191" x14ac:dyDescent="0.2">
      <c r="GI28048" s="422"/>
    </row>
    <row r="28049" spans="191:191" x14ac:dyDescent="0.2">
      <c r="GI28049" s="422"/>
    </row>
    <row r="28050" spans="191:191" x14ac:dyDescent="0.2">
      <c r="GI28050" s="422"/>
    </row>
    <row r="28051" spans="191:191" x14ac:dyDescent="0.2">
      <c r="GI28051" s="422"/>
    </row>
    <row r="28052" spans="191:191" x14ac:dyDescent="0.2">
      <c r="GI28052" s="422"/>
    </row>
    <row r="28053" spans="191:191" x14ac:dyDescent="0.2">
      <c r="GI28053" s="422"/>
    </row>
    <row r="28054" spans="191:191" x14ac:dyDescent="0.2">
      <c r="GI28054" s="422"/>
    </row>
    <row r="28055" spans="191:191" x14ac:dyDescent="0.2">
      <c r="GI28055" s="422"/>
    </row>
    <row r="28056" spans="191:191" x14ac:dyDescent="0.2">
      <c r="GI28056" s="422"/>
    </row>
    <row r="28057" spans="191:191" x14ac:dyDescent="0.2">
      <c r="GI28057" s="422"/>
    </row>
    <row r="28058" spans="191:191" x14ac:dyDescent="0.2">
      <c r="GI28058" s="422"/>
    </row>
    <row r="28059" spans="191:191" x14ac:dyDescent="0.2">
      <c r="GI28059" s="422"/>
    </row>
    <row r="28060" spans="191:191" x14ac:dyDescent="0.2">
      <c r="GI28060" s="422"/>
    </row>
    <row r="28061" spans="191:191" x14ac:dyDescent="0.2">
      <c r="GI28061" s="422"/>
    </row>
    <row r="28062" spans="191:191" x14ac:dyDescent="0.2">
      <c r="GI28062" s="422"/>
    </row>
    <row r="28063" spans="191:191" x14ac:dyDescent="0.2">
      <c r="GI28063" s="422"/>
    </row>
    <row r="28064" spans="191:191" x14ac:dyDescent="0.2">
      <c r="GI28064" s="422"/>
    </row>
    <row r="28065" spans="191:191" x14ac:dyDescent="0.2">
      <c r="GI28065" s="422"/>
    </row>
    <row r="28066" spans="191:191" x14ac:dyDescent="0.2">
      <c r="GI28066" s="422"/>
    </row>
    <row r="28067" spans="191:191" x14ac:dyDescent="0.2">
      <c r="GI28067" s="422"/>
    </row>
    <row r="28068" spans="191:191" x14ac:dyDescent="0.2">
      <c r="GI28068" s="422"/>
    </row>
    <row r="28069" spans="191:191" x14ac:dyDescent="0.2">
      <c r="GI28069" s="422"/>
    </row>
    <row r="28070" spans="191:191" x14ac:dyDescent="0.2">
      <c r="GI28070" s="422"/>
    </row>
    <row r="28071" spans="191:191" x14ac:dyDescent="0.2">
      <c r="GI28071" s="422"/>
    </row>
    <row r="28072" spans="191:191" x14ac:dyDescent="0.2">
      <c r="GI28072" s="422"/>
    </row>
    <row r="28073" spans="191:191" x14ac:dyDescent="0.2">
      <c r="GI28073" s="422"/>
    </row>
    <row r="28074" spans="191:191" x14ac:dyDescent="0.2">
      <c r="GI28074" s="422"/>
    </row>
    <row r="28075" spans="191:191" x14ac:dyDescent="0.2">
      <c r="GI28075" s="422"/>
    </row>
    <row r="28076" spans="191:191" x14ac:dyDescent="0.2">
      <c r="GI28076" s="422"/>
    </row>
    <row r="28077" spans="191:191" x14ac:dyDescent="0.2">
      <c r="GI28077" s="422"/>
    </row>
    <row r="28078" spans="191:191" x14ac:dyDescent="0.2">
      <c r="GI28078" s="422"/>
    </row>
    <row r="28079" spans="191:191" x14ac:dyDescent="0.2">
      <c r="GI28079" s="422"/>
    </row>
    <row r="28080" spans="191:191" x14ac:dyDescent="0.2">
      <c r="GI28080" s="422"/>
    </row>
    <row r="28081" spans="191:191" x14ac:dyDescent="0.2">
      <c r="GI28081" s="422"/>
    </row>
    <row r="28082" spans="191:191" x14ac:dyDescent="0.2">
      <c r="GI28082" s="422"/>
    </row>
    <row r="28083" spans="191:191" x14ac:dyDescent="0.2">
      <c r="GI28083" s="422"/>
    </row>
    <row r="28084" spans="191:191" x14ac:dyDescent="0.2">
      <c r="GI28084" s="422"/>
    </row>
    <row r="28085" spans="191:191" x14ac:dyDescent="0.2">
      <c r="GI28085" s="422"/>
    </row>
    <row r="28086" spans="191:191" x14ac:dyDescent="0.2">
      <c r="GI28086" s="422"/>
    </row>
    <row r="28087" spans="191:191" x14ac:dyDescent="0.2">
      <c r="GI28087" s="422"/>
    </row>
    <row r="28088" spans="191:191" x14ac:dyDescent="0.2">
      <c r="GI28088" s="422"/>
    </row>
    <row r="28089" spans="191:191" x14ac:dyDescent="0.2">
      <c r="GI28089" s="422"/>
    </row>
    <row r="28090" spans="191:191" x14ac:dyDescent="0.2">
      <c r="GI28090" s="422"/>
    </row>
    <row r="28091" spans="191:191" x14ac:dyDescent="0.2">
      <c r="GI28091" s="422"/>
    </row>
    <row r="28092" spans="191:191" x14ac:dyDescent="0.2">
      <c r="GI28092" s="422"/>
    </row>
    <row r="28093" spans="191:191" x14ac:dyDescent="0.2">
      <c r="GI28093" s="422"/>
    </row>
    <row r="28094" spans="191:191" x14ac:dyDescent="0.2">
      <c r="GI28094" s="422"/>
    </row>
    <row r="28095" spans="191:191" x14ac:dyDescent="0.2">
      <c r="GI28095" s="422"/>
    </row>
    <row r="28096" spans="191:191" x14ac:dyDescent="0.2">
      <c r="GI28096" s="422"/>
    </row>
    <row r="28097" spans="191:191" x14ac:dyDescent="0.2">
      <c r="GI28097" s="422"/>
    </row>
    <row r="28098" spans="191:191" x14ac:dyDescent="0.2">
      <c r="GI28098" s="422"/>
    </row>
    <row r="28099" spans="191:191" x14ac:dyDescent="0.2">
      <c r="GI28099" s="422"/>
    </row>
    <row r="28100" spans="191:191" x14ac:dyDescent="0.2">
      <c r="GI28100" s="422"/>
    </row>
    <row r="28101" spans="191:191" x14ac:dyDescent="0.2">
      <c r="GI28101" s="422"/>
    </row>
    <row r="28102" spans="191:191" x14ac:dyDescent="0.2">
      <c r="GI28102" s="422"/>
    </row>
    <row r="28103" spans="191:191" x14ac:dyDescent="0.2">
      <c r="GI28103" s="422"/>
    </row>
    <row r="28104" spans="191:191" x14ac:dyDescent="0.2">
      <c r="GI28104" s="422"/>
    </row>
    <row r="28105" spans="191:191" x14ac:dyDescent="0.2">
      <c r="GI28105" s="422"/>
    </row>
    <row r="28106" spans="191:191" x14ac:dyDescent="0.2">
      <c r="GI28106" s="422"/>
    </row>
    <row r="28107" spans="191:191" x14ac:dyDescent="0.2">
      <c r="GI28107" s="422"/>
    </row>
    <row r="28108" spans="191:191" x14ac:dyDescent="0.2">
      <c r="GI28108" s="422"/>
    </row>
    <row r="28109" spans="191:191" x14ac:dyDescent="0.2">
      <c r="GI28109" s="422"/>
    </row>
    <row r="28110" spans="191:191" x14ac:dyDescent="0.2">
      <c r="GI28110" s="422"/>
    </row>
    <row r="28111" spans="191:191" x14ac:dyDescent="0.2">
      <c r="GI28111" s="422"/>
    </row>
    <row r="28112" spans="191:191" x14ac:dyDescent="0.2">
      <c r="GI28112" s="422"/>
    </row>
    <row r="28113" spans="191:191" x14ac:dyDescent="0.2">
      <c r="GI28113" s="422"/>
    </row>
    <row r="28114" spans="191:191" x14ac:dyDescent="0.2">
      <c r="GI28114" s="422"/>
    </row>
    <row r="28115" spans="191:191" x14ac:dyDescent="0.2">
      <c r="GI28115" s="422"/>
    </row>
    <row r="28116" spans="191:191" x14ac:dyDescent="0.2">
      <c r="GI28116" s="422"/>
    </row>
    <row r="28117" spans="191:191" x14ac:dyDescent="0.2">
      <c r="GI28117" s="422"/>
    </row>
    <row r="28118" spans="191:191" x14ac:dyDescent="0.2">
      <c r="GI28118" s="422"/>
    </row>
    <row r="28119" spans="191:191" x14ac:dyDescent="0.2">
      <c r="GI28119" s="422"/>
    </row>
    <row r="28120" spans="191:191" x14ac:dyDescent="0.2">
      <c r="GI28120" s="422"/>
    </row>
    <row r="28121" spans="191:191" x14ac:dyDescent="0.2">
      <c r="GI28121" s="422"/>
    </row>
    <row r="28122" spans="191:191" x14ac:dyDescent="0.2">
      <c r="GI28122" s="422"/>
    </row>
    <row r="28123" spans="191:191" x14ac:dyDescent="0.2">
      <c r="GI28123" s="422"/>
    </row>
    <row r="28124" spans="191:191" x14ac:dyDescent="0.2">
      <c r="GI28124" s="422"/>
    </row>
    <row r="28125" spans="191:191" x14ac:dyDescent="0.2">
      <c r="GI28125" s="422"/>
    </row>
    <row r="28126" spans="191:191" x14ac:dyDescent="0.2">
      <c r="GI28126" s="422"/>
    </row>
    <row r="28127" spans="191:191" x14ac:dyDescent="0.2">
      <c r="GI28127" s="422"/>
    </row>
    <row r="28128" spans="191:191" x14ac:dyDescent="0.2">
      <c r="GI28128" s="422"/>
    </row>
    <row r="28129" spans="191:191" x14ac:dyDescent="0.2">
      <c r="GI28129" s="422"/>
    </row>
    <row r="28130" spans="191:191" x14ac:dyDescent="0.2">
      <c r="GI28130" s="422"/>
    </row>
    <row r="28131" spans="191:191" x14ac:dyDescent="0.2">
      <c r="GI28131" s="422"/>
    </row>
    <row r="28132" spans="191:191" x14ac:dyDescent="0.2">
      <c r="GI28132" s="422"/>
    </row>
    <row r="28133" spans="191:191" x14ac:dyDescent="0.2">
      <c r="GI28133" s="422"/>
    </row>
    <row r="28134" spans="191:191" x14ac:dyDescent="0.2">
      <c r="GI28134" s="422"/>
    </row>
    <row r="28135" spans="191:191" x14ac:dyDescent="0.2">
      <c r="GI28135" s="422"/>
    </row>
    <row r="28136" spans="191:191" x14ac:dyDescent="0.2">
      <c r="GI28136" s="422"/>
    </row>
    <row r="28137" spans="191:191" x14ac:dyDescent="0.2">
      <c r="GI28137" s="422"/>
    </row>
    <row r="28138" spans="191:191" x14ac:dyDescent="0.2">
      <c r="GI28138" s="422"/>
    </row>
    <row r="28139" spans="191:191" x14ac:dyDescent="0.2">
      <c r="GI28139" s="422"/>
    </row>
    <row r="28140" spans="191:191" x14ac:dyDescent="0.2">
      <c r="GI28140" s="422"/>
    </row>
    <row r="28141" spans="191:191" x14ac:dyDescent="0.2">
      <c r="GI28141" s="422"/>
    </row>
    <row r="28142" spans="191:191" x14ac:dyDescent="0.2">
      <c r="GI28142" s="422"/>
    </row>
    <row r="28143" spans="191:191" x14ac:dyDescent="0.2">
      <c r="GI28143" s="422"/>
    </row>
    <row r="28144" spans="191:191" x14ac:dyDescent="0.2">
      <c r="GI28144" s="422"/>
    </row>
    <row r="28145" spans="191:191" x14ac:dyDescent="0.2">
      <c r="GI28145" s="422"/>
    </row>
    <row r="28146" spans="191:191" x14ac:dyDescent="0.2">
      <c r="GI28146" s="422"/>
    </row>
    <row r="28147" spans="191:191" x14ac:dyDescent="0.2">
      <c r="GI28147" s="422"/>
    </row>
    <row r="28148" spans="191:191" x14ac:dyDescent="0.2">
      <c r="GI28148" s="422"/>
    </row>
    <row r="28149" spans="191:191" x14ac:dyDescent="0.2">
      <c r="GI28149" s="422"/>
    </row>
    <row r="28150" spans="191:191" x14ac:dyDescent="0.2">
      <c r="GI28150" s="422"/>
    </row>
    <row r="28151" spans="191:191" x14ac:dyDescent="0.2">
      <c r="GI28151" s="422"/>
    </row>
    <row r="28152" spans="191:191" x14ac:dyDescent="0.2">
      <c r="GI28152" s="422"/>
    </row>
    <row r="28153" spans="191:191" x14ac:dyDescent="0.2">
      <c r="GI28153" s="422"/>
    </row>
    <row r="28154" spans="191:191" x14ac:dyDescent="0.2">
      <c r="GI28154" s="422"/>
    </row>
    <row r="28155" spans="191:191" x14ac:dyDescent="0.2">
      <c r="GI28155" s="422"/>
    </row>
    <row r="28156" spans="191:191" x14ac:dyDescent="0.2">
      <c r="GI28156" s="422"/>
    </row>
    <row r="28157" spans="191:191" x14ac:dyDescent="0.2">
      <c r="GI28157" s="422"/>
    </row>
    <row r="28158" spans="191:191" x14ac:dyDescent="0.2">
      <c r="GI28158" s="422"/>
    </row>
    <row r="28159" spans="191:191" x14ac:dyDescent="0.2">
      <c r="GI28159" s="422"/>
    </row>
    <row r="28160" spans="191:191" x14ac:dyDescent="0.2">
      <c r="GI28160" s="422"/>
    </row>
    <row r="28161" spans="191:191" x14ac:dyDescent="0.2">
      <c r="GI28161" s="422"/>
    </row>
    <row r="28162" spans="191:191" x14ac:dyDescent="0.2">
      <c r="GI28162" s="422"/>
    </row>
    <row r="28163" spans="191:191" x14ac:dyDescent="0.2">
      <c r="GI28163" s="422"/>
    </row>
    <row r="28164" spans="191:191" x14ac:dyDescent="0.2">
      <c r="GI28164" s="422"/>
    </row>
    <row r="28165" spans="191:191" x14ac:dyDescent="0.2">
      <c r="GI28165" s="422"/>
    </row>
    <row r="28166" spans="191:191" x14ac:dyDescent="0.2">
      <c r="GI28166" s="422"/>
    </row>
    <row r="28167" spans="191:191" x14ac:dyDescent="0.2">
      <c r="GI28167" s="422"/>
    </row>
    <row r="28168" spans="191:191" x14ac:dyDescent="0.2">
      <c r="GI28168" s="422"/>
    </row>
    <row r="28169" spans="191:191" x14ac:dyDescent="0.2">
      <c r="GI28169" s="422"/>
    </row>
    <row r="28170" spans="191:191" x14ac:dyDescent="0.2">
      <c r="GI28170" s="422"/>
    </row>
    <row r="28171" spans="191:191" x14ac:dyDescent="0.2">
      <c r="GI28171" s="422"/>
    </row>
    <row r="28172" spans="191:191" x14ac:dyDescent="0.2">
      <c r="GI28172" s="422"/>
    </row>
    <row r="28173" spans="191:191" x14ac:dyDescent="0.2">
      <c r="GI28173" s="422"/>
    </row>
    <row r="28174" spans="191:191" x14ac:dyDescent="0.2">
      <c r="GI28174" s="422"/>
    </row>
    <row r="28175" spans="191:191" x14ac:dyDescent="0.2">
      <c r="GI28175" s="422"/>
    </row>
    <row r="28176" spans="191:191" x14ac:dyDescent="0.2">
      <c r="GI28176" s="422"/>
    </row>
    <row r="28177" spans="191:191" x14ac:dyDescent="0.2">
      <c r="GI28177" s="422"/>
    </row>
    <row r="28178" spans="191:191" x14ac:dyDescent="0.2">
      <c r="GI28178" s="422"/>
    </row>
    <row r="28179" spans="191:191" x14ac:dyDescent="0.2">
      <c r="GI28179" s="422"/>
    </row>
    <row r="28180" spans="191:191" x14ac:dyDescent="0.2">
      <c r="GI28180" s="422"/>
    </row>
    <row r="28181" spans="191:191" x14ac:dyDescent="0.2">
      <c r="GI28181" s="422"/>
    </row>
    <row r="28182" spans="191:191" x14ac:dyDescent="0.2">
      <c r="GI28182" s="422"/>
    </row>
    <row r="28183" spans="191:191" x14ac:dyDescent="0.2">
      <c r="GI28183" s="422"/>
    </row>
    <row r="28184" spans="191:191" x14ac:dyDescent="0.2">
      <c r="GI28184" s="422"/>
    </row>
    <row r="28185" spans="191:191" x14ac:dyDescent="0.2">
      <c r="GI28185" s="422"/>
    </row>
    <row r="28186" spans="191:191" x14ac:dyDescent="0.2">
      <c r="GI28186" s="422"/>
    </row>
    <row r="28187" spans="191:191" x14ac:dyDescent="0.2">
      <c r="GI28187" s="422"/>
    </row>
    <row r="28188" spans="191:191" x14ac:dyDescent="0.2">
      <c r="GI28188" s="422"/>
    </row>
    <row r="28189" spans="191:191" x14ac:dyDescent="0.2">
      <c r="GI28189" s="422"/>
    </row>
    <row r="28190" spans="191:191" x14ac:dyDescent="0.2">
      <c r="GI28190" s="422"/>
    </row>
    <row r="28191" spans="191:191" x14ac:dyDescent="0.2">
      <c r="GI28191" s="422"/>
    </row>
    <row r="28192" spans="191:191" x14ac:dyDescent="0.2">
      <c r="GI28192" s="422"/>
    </row>
    <row r="28193" spans="191:191" x14ac:dyDescent="0.2">
      <c r="GI28193" s="422"/>
    </row>
    <row r="28194" spans="191:191" x14ac:dyDescent="0.2">
      <c r="GI28194" s="422"/>
    </row>
    <row r="28195" spans="191:191" x14ac:dyDescent="0.2">
      <c r="GI28195" s="422"/>
    </row>
    <row r="28196" spans="191:191" x14ac:dyDescent="0.2">
      <c r="GI28196" s="422"/>
    </row>
    <row r="28197" spans="191:191" x14ac:dyDescent="0.2">
      <c r="GI28197" s="422"/>
    </row>
    <row r="28198" spans="191:191" x14ac:dyDescent="0.2">
      <c r="GI28198" s="422"/>
    </row>
    <row r="28199" spans="191:191" x14ac:dyDescent="0.2">
      <c r="GI28199" s="422"/>
    </row>
    <row r="28200" spans="191:191" x14ac:dyDescent="0.2">
      <c r="GI28200" s="422"/>
    </row>
    <row r="28201" spans="191:191" x14ac:dyDescent="0.2">
      <c r="GI28201" s="422"/>
    </row>
    <row r="28202" spans="191:191" x14ac:dyDescent="0.2">
      <c r="GI28202" s="422"/>
    </row>
    <row r="28203" spans="191:191" x14ac:dyDescent="0.2">
      <c r="GI28203" s="422"/>
    </row>
    <row r="28204" spans="191:191" x14ac:dyDescent="0.2">
      <c r="GI28204" s="422"/>
    </row>
    <row r="28205" spans="191:191" x14ac:dyDescent="0.2">
      <c r="GI28205" s="422"/>
    </row>
    <row r="28206" spans="191:191" x14ac:dyDescent="0.2">
      <c r="GI28206" s="422"/>
    </row>
    <row r="28207" spans="191:191" x14ac:dyDescent="0.2">
      <c r="GI28207" s="422"/>
    </row>
    <row r="28208" spans="191:191" x14ac:dyDescent="0.2">
      <c r="GI28208" s="422"/>
    </row>
    <row r="28209" spans="191:191" x14ac:dyDescent="0.2">
      <c r="GI28209" s="422"/>
    </row>
    <row r="28210" spans="191:191" x14ac:dyDescent="0.2">
      <c r="GI28210" s="422"/>
    </row>
    <row r="28211" spans="191:191" x14ac:dyDescent="0.2">
      <c r="GI28211" s="422"/>
    </row>
    <row r="28212" spans="191:191" x14ac:dyDescent="0.2">
      <c r="GI28212" s="422"/>
    </row>
    <row r="28213" spans="191:191" x14ac:dyDescent="0.2">
      <c r="GI28213" s="422"/>
    </row>
    <row r="28214" spans="191:191" x14ac:dyDescent="0.2">
      <c r="GI28214" s="422"/>
    </row>
    <row r="28215" spans="191:191" x14ac:dyDescent="0.2">
      <c r="GI28215" s="422"/>
    </row>
    <row r="28216" spans="191:191" x14ac:dyDescent="0.2">
      <c r="GI28216" s="422"/>
    </row>
    <row r="28217" spans="191:191" x14ac:dyDescent="0.2">
      <c r="GI28217" s="422"/>
    </row>
    <row r="28218" spans="191:191" x14ac:dyDescent="0.2">
      <c r="GI28218" s="422"/>
    </row>
    <row r="28219" spans="191:191" x14ac:dyDescent="0.2">
      <c r="GI28219" s="422"/>
    </row>
    <row r="28220" spans="191:191" x14ac:dyDescent="0.2">
      <c r="GI28220" s="422"/>
    </row>
    <row r="28221" spans="191:191" x14ac:dyDescent="0.2">
      <c r="GI28221" s="422"/>
    </row>
    <row r="28222" spans="191:191" x14ac:dyDescent="0.2">
      <c r="GI28222" s="422"/>
    </row>
    <row r="28223" spans="191:191" x14ac:dyDescent="0.2">
      <c r="GI28223" s="422"/>
    </row>
    <row r="28224" spans="191:191" x14ac:dyDescent="0.2">
      <c r="GI28224" s="422"/>
    </row>
    <row r="28225" spans="191:191" x14ac:dyDescent="0.2">
      <c r="GI28225" s="422"/>
    </row>
    <row r="28226" spans="191:191" x14ac:dyDescent="0.2">
      <c r="GI28226" s="422"/>
    </row>
    <row r="28227" spans="191:191" x14ac:dyDescent="0.2">
      <c r="GI28227" s="422"/>
    </row>
    <row r="28228" spans="191:191" x14ac:dyDescent="0.2">
      <c r="GI28228" s="422"/>
    </row>
    <row r="28229" spans="191:191" x14ac:dyDescent="0.2">
      <c r="GI28229" s="422"/>
    </row>
    <row r="28230" spans="191:191" x14ac:dyDescent="0.2">
      <c r="GI28230" s="422"/>
    </row>
    <row r="28231" spans="191:191" x14ac:dyDescent="0.2">
      <c r="GI28231" s="422"/>
    </row>
    <row r="28232" spans="191:191" x14ac:dyDescent="0.2">
      <c r="GI28232" s="422"/>
    </row>
    <row r="28233" spans="191:191" x14ac:dyDescent="0.2">
      <c r="GI28233" s="422"/>
    </row>
    <row r="28234" spans="191:191" x14ac:dyDescent="0.2">
      <c r="GI28234" s="422"/>
    </row>
    <row r="28235" spans="191:191" x14ac:dyDescent="0.2">
      <c r="GI28235" s="422"/>
    </row>
    <row r="28236" spans="191:191" x14ac:dyDescent="0.2">
      <c r="GI28236" s="422"/>
    </row>
    <row r="28237" spans="191:191" x14ac:dyDescent="0.2">
      <c r="GI28237" s="422"/>
    </row>
    <row r="28238" spans="191:191" x14ac:dyDescent="0.2">
      <c r="GI28238" s="422"/>
    </row>
    <row r="28239" spans="191:191" x14ac:dyDescent="0.2">
      <c r="GI28239" s="422"/>
    </row>
    <row r="28240" spans="191:191" x14ac:dyDescent="0.2">
      <c r="GI28240" s="422"/>
    </row>
    <row r="28241" spans="191:191" x14ac:dyDescent="0.2">
      <c r="GI28241" s="422"/>
    </row>
    <row r="28242" spans="191:191" x14ac:dyDescent="0.2">
      <c r="GI28242" s="422"/>
    </row>
    <row r="28243" spans="191:191" x14ac:dyDescent="0.2">
      <c r="GI28243" s="422"/>
    </row>
    <row r="28244" spans="191:191" x14ac:dyDescent="0.2">
      <c r="GI28244" s="422"/>
    </row>
    <row r="28245" spans="191:191" x14ac:dyDescent="0.2">
      <c r="GI28245" s="422"/>
    </row>
    <row r="28246" spans="191:191" x14ac:dyDescent="0.2">
      <c r="GI28246" s="422"/>
    </row>
    <row r="28247" spans="191:191" x14ac:dyDescent="0.2">
      <c r="GI28247" s="422"/>
    </row>
    <row r="28248" spans="191:191" x14ac:dyDescent="0.2">
      <c r="GI28248" s="422"/>
    </row>
    <row r="28249" spans="191:191" x14ac:dyDescent="0.2">
      <c r="GI28249" s="422"/>
    </row>
    <row r="28250" spans="191:191" x14ac:dyDescent="0.2">
      <c r="GI28250" s="422"/>
    </row>
    <row r="28251" spans="191:191" x14ac:dyDescent="0.2">
      <c r="GI28251" s="422"/>
    </row>
    <row r="28252" spans="191:191" x14ac:dyDescent="0.2">
      <c r="GI28252" s="422"/>
    </row>
    <row r="28253" spans="191:191" x14ac:dyDescent="0.2">
      <c r="GI28253" s="422"/>
    </row>
    <row r="28254" spans="191:191" x14ac:dyDescent="0.2">
      <c r="GI28254" s="422"/>
    </row>
    <row r="28255" spans="191:191" x14ac:dyDescent="0.2">
      <c r="GI28255" s="422"/>
    </row>
    <row r="28256" spans="191:191" x14ac:dyDescent="0.2">
      <c r="GI28256" s="422"/>
    </row>
    <row r="28257" spans="191:191" x14ac:dyDescent="0.2">
      <c r="GI28257" s="422"/>
    </row>
    <row r="28258" spans="191:191" x14ac:dyDescent="0.2">
      <c r="GI28258" s="422"/>
    </row>
    <row r="28259" spans="191:191" x14ac:dyDescent="0.2">
      <c r="GI28259" s="422"/>
    </row>
    <row r="28260" spans="191:191" x14ac:dyDescent="0.2">
      <c r="GI28260" s="422"/>
    </row>
    <row r="28261" spans="191:191" x14ac:dyDescent="0.2">
      <c r="GI28261" s="422"/>
    </row>
    <row r="28262" spans="191:191" x14ac:dyDescent="0.2">
      <c r="GI28262" s="422"/>
    </row>
    <row r="28263" spans="191:191" x14ac:dyDescent="0.2">
      <c r="GI28263" s="422"/>
    </row>
    <row r="28264" spans="191:191" x14ac:dyDescent="0.2">
      <c r="GI28264" s="422"/>
    </row>
    <row r="28265" spans="191:191" x14ac:dyDescent="0.2">
      <c r="GI28265" s="422"/>
    </row>
    <row r="28266" spans="191:191" x14ac:dyDescent="0.2">
      <c r="GI28266" s="422"/>
    </row>
    <row r="28267" spans="191:191" x14ac:dyDescent="0.2">
      <c r="GI28267" s="422"/>
    </row>
    <row r="28268" spans="191:191" x14ac:dyDescent="0.2">
      <c r="GI28268" s="422"/>
    </row>
    <row r="28269" spans="191:191" x14ac:dyDescent="0.2">
      <c r="GI28269" s="422"/>
    </row>
    <row r="28270" spans="191:191" x14ac:dyDescent="0.2">
      <c r="GI28270" s="422"/>
    </row>
    <row r="28271" spans="191:191" x14ac:dyDescent="0.2">
      <c r="GI28271" s="422"/>
    </row>
    <row r="28272" spans="191:191" x14ac:dyDescent="0.2">
      <c r="GI28272" s="422"/>
    </row>
    <row r="28273" spans="191:191" x14ac:dyDescent="0.2">
      <c r="GI28273" s="422"/>
    </row>
    <row r="28274" spans="191:191" x14ac:dyDescent="0.2">
      <c r="GI28274" s="422"/>
    </row>
    <row r="28275" spans="191:191" x14ac:dyDescent="0.2">
      <c r="GI28275" s="422"/>
    </row>
    <row r="28276" spans="191:191" x14ac:dyDescent="0.2">
      <c r="GI28276" s="422"/>
    </row>
    <row r="28277" spans="191:191" x14ac:dyDescent="0.2">
      <c r="GI28277" s="422"/>
    </row>
    <row r="28278" spans="191:191" x14ac:dyDescent="0.2">
      <c r="GI28278" s="422"/>
    </row>
    <row r="28279" spans="191:191" x14ac:dyDescent="0.2">
      <c r="GI28279" s="422"/>
    </row>
    <row r="28280" spans="191:191" x14ac:dyDescent="0.2">
      <c r="GI28280" s="422"/>
    </row>
    <row r="28281" spans="191:191" x14ac:dyDescent="0.2">
      <c r="GI28281" s="422"/>
    </row>
    <row r="28282" spans="191:191" x14ac:dyDescent="0.2">
      <c r="GI28282" s="422"/>
    </row>
    <row r="28283" spans="191:191" x14ac:dyDescent="0.2">
      <c r="GI28283" s="422"/>
    </row>
    <row r="28284" spans="191:191" x14ac:dyDescent="0.2">
      <c r="GI28284" s="422"/>
    </row>
    <row r="28285" spans="191:191" x14ac:dyDescent="0.2">
      <c r="GI28285" s="422"/>
    </row>
    <row r="28286" spans="191:191" x14ac:dyDescent="0.2">
      <c r="GI28286" s="422"/>
    </row>
    <row r="28287" spans="191:191" x14ac:dyDescent="0.2">
      <c r="GI28287" s="422"/>
    </row>
    <row r="28288" spans="191:191" x14ac:dyDescent="0.2">
      <c r="GI28288" s="422"/>
    </row>
    <row r="28289" spans="191:191" x14ac:dyDescent="0.2">
      <c r="GI28289" s="422"/>
    </row>
    <row r="28290" spans="191:191" x14ac:dyDescent="0.2">
      <c r="GI28290" s="422"/>
    </row>
    <row r="28291" spans="191:191" x14ac:dyDescent="0.2">
      <c r="GI28291" s="422"/>
    </row>
    <row r="28292" spans="191:191" x14ac:dyDescent="0.2">
      <c r="GI28292" s="422"/>
    </row>
    <row r="28293" spans="191:191" x14ac:dyDescent="0.2">
      <c r="GI28293" s="422"/>
    </row>
    <row r="28294" spans="191:191" x14ac:dyDescent="0.2">
      <c r="GI28294" s="422"/>
    </row>
    <row r="28295" spans="191:191" x14ac:dyDescent="0.2">
      <c r="GI28295" s="422"/>
    </row>
    <row r="28296" spans="191:191" x14ac:dyDescent="0.2">
      <c r="GI28296" s="422"/>
    </row>
    <row r="28297" spans="191:191" x14ac:dyDescent="0.2">
      <c r="GI28297" s="422"/>
    </row>
    <row r="28298" spans="191:191" x14ac:dyDescent="0.2">
      <c r="GI28298" s="422"/>
    </row>
    <row r="28299" spans="191:191" x14ac:dyDescent="0.2">
      <c r="GI28299" s="422"/>
    </row>
    <row r="28300" spans="191:191" x14ac:dyDescent="0.2">
      <c r="GI28300" s="422"/>
    </row>
    <row r="28301" spans="191:191" x14ac:dyDescent="0.2">
      <c r="GI28301" s="422"/>
    </row>
    <row r="28302" spans="191:191" x14ac:dyDescent="0.2">
      <c r="GI28302" s="422"/>
    </row>
    <row r="28303" spans="191:191" x14ac:dyDescent="0.2">
      <c r="GI28303" s="422"/>
    </row>
    <row r="28304" spans="191:191" x14ac:dyDescent="0.2">
      <c r="GI28304" s="422"/>
    </row>
    <row r="28305" spans="191:191" x14ac:dyDescent="0.2">
      <c r="GI28305" s="422"/>
    </row>
    <row r="28306" spans="191:191" x14ac:dyDescent="0.2">
      <c r="GI28306" s="422"/>
    </row>
    <row r="28307" spans="191:191" x14ac:dyDescent="0.2">
      <c r="GI28307" s="422"/>
    </row>
    <row r="28308" spans="191:191" x14ac:dyDescent="0.2">
      <c r="GI28308" s="422"/>
    </row>
    <row r="28309" spans="191:191" x14ac:dyDescent="0.2">
      <c r="GI28309" s="422"/>
    </row>
    <row r="28310" spans="191:191" x14ac:dyDescent="0.2">
      <c r="GI28310" s="422"/>
    </row>
    <row r="28311" spans="191:191" x14ac:dyDescent="0.2">
      <c r="GI28311" s="422"/>
    </row>
    <row r="28312" spans="191:191" x14ac:dyDescent="0.2">
      <c r="GI28312" s="422"/>
    </row>
    <row r="28313" spans="191:191" x14ac:dyDescent="0.2">
      <c r="GI28313" s="422"/>
    </row>
    <row r="28314" spans="191:191" x14ac:dyDescent="0.2">
      <c r="GI28314" s="422"/>
    </row>
    <row r="28315" spans="191:191" x14ac:dyDescent="0.2">
      <c r="GI28315" s="422"/>
    </row>
    <row r="28316" spans="191:191" x14ac:dyDescent="0.2">
      <c r="GI28316" s="422"/>
    </row>
    <row r="28317" spans="191:191" x14ac:dyDescent="0.2">
      <c r="GI28317" s="422"/>
    </row>
    <row r="28318" spans="191:191" x14ac:dyDescent="0.2">
      <c r="GI28318" s="422"/>
    </row>
    <row r="28319" spans="191:191" x14ac:dyDescent="0.2">
      <c r="GI28319" s="422"/>
    </row>
    <row r="28320" spans="191:191" x14ac:dyDescent="0.2">
      <c r="GI28320" s="422"/>
    </row>
    <row r="28321" spans="191:191" x14ac:dyDescent="0.2">
      <c r="GI28321" s="422"/>
    </row>
    <row r="28322" spans="191:191" x14ac:dyDescent="0.2">
      <c r="GI28322" s="422"/>
    </row>
    <row r="28323" spans="191:191" x14ac:dyDescent="0.2">
      <c r="GI28323" s="422"/>
    </row>
    <row r="28324" spans="191:191" x14ac:dyDescent="0.2">
      <c r="GI28324" s="422"/>
    </row>
    <row r="28325" spans="191:191" x14ac:dyDescent="0.2">
      <c r="GI28325" s="422"/>
    </row>
    <row r="28326" spans="191:191" x14ac:dyDescent="0.2">
      <c r="GI28326" s="422"/>
    </row>
    <row r="28327" spans="191:191" x14ac:dyDescent="0.2">
      <c r="GI28327" s="422"/>
    </row>
    <row r="28328" spans="191:191" x14ac:dyDescent="0.2">
      <c r="GI28328" s="422"/>
    </row>
    <row r="28329" spans="191:191" x14ac:dyDescent="0.2">
      <c r="GI28329" s="422"/>
    </row>
    <row r="28330" spans="191:191" x14ac:dyDescent="0.2">
      <c r="GI28330" s="422"/>
    </row>
    <row r="28331" spans="191:191" x14ac:dyDescent="0.2">
      <c r="GI28331" s="422"/>
    </row>
    <row r="28332" spans="191:191" x14ac:dyDescent="0.2">
      <c r="GI28332" s="422"/>
    </row>
    <row r="28333" spans="191:191" x14ac:dyDescent="0.2">
      <c r="GI28333" s="422"/>
    </row>
    <row r="28334" spans="191:191" x14ac:dyDescent="0.2">
      <c r="GI28334" s="422"/>
    </row>
    <row r="28335" spans="191:191" x14ac:dyDescent="0.2">
      <c r="GI28335" s="422"/>
    </row>
    <row r="28336" spans="191:191" x14ac:dyDescent="0.2">
      <c r="GI28336" s="422"/>
    </row>
    <row r="28337" spans="191:191" x14ac:dyDescent="0.2">
      <c r="GI28337" s="422"/>
    </row>
    <row r="28338" spans="191:191" x14ac:dyDescent="0.2">
      <c r="GI28338" s="422"/>
    </row>
    <row r="28339" spans="191:191" x14ac:dyDescent="0.2">
      <c r="GI28339" s="422"/>
    </row>
    <row r="28340" spans="191:191" x14ac:dyDescent="0.2">
      <c r="GI28340" s="422"/>
    </row>
    <row r="28341" spans="191:191" x14ac:dyDescent="0.2">
      <c r="GI28341" s="422"/>
    </row>
    <row r="28342" spans="191:191" x14ac:dyDescent="0.2">
      <c r="GI28342" s="422"/>
    </row>
    <row r="28343" spans="191:191" x14ac:dyDescent="0.2">
      <c r="GI28343" s="422"/>
    </row>
    <row r="28344" spans="191:191" x14ac:dyDescent="0.2">
      <c r="GI28344" s="422"/>
    </row>
    <row r="28345" spans="191:191" x14ac:dyDescent="0.2">
      <c r="GI28345" s="422"/>
    </row>
    <row r="28346" spans="191:191" x14ac:dyDescent="0.2">
      <c r="GI28346" s="422"/>
    </row>
    <row r="28347" spans="191:191" x14ac:dyDescent="0.2">
      <c r="GI28347" s="422"/>
    </row>
    <row r="28348" spans="191:191" x14ac:dyDescent="0.2">
      <c r="GI28348" s="422"/>
    </row>
    <row r="28349" spans="191:191" x14ac:dyDescent="0.2">
      <c r="GI28349" s="422"/>
    </row>
    <row r="28350" spans="191:191" x14ac:dyDescent="0.2">
      <c r="GI28350" s="422"/>
    </row>
    <row r="28351" spans="191:191" x14ac:dyDescent="0.2">
      <c r="GI28351" s="422"/>
    </row>
    <row r="28352" spans="191:191" x14ac:dyDescent="0.2">
      <c r="GI28352" s="422"/>
    </row>
    <row r="28353" spans="191:191" x14ac:dyDescent="0.2">
      <c r="GI28353" s="422"/>
    </row>
    <row r="28354" spans="191:191" x14ac:dyDescent="0.2">
      <c r="GI28354" s="422"/>
    </row>
    <row r="28355" spans="191:191" x14ac:dyDescent="0.2">
      <c r="GI28355" s="422"/>
    </row>
    <row r="28356" spans="191:191" x14ac:dyDescent="0.2">
      <c r="GI28356" s="422"/>
    </row>
    <row r="28357" spans="191:191" x14ac:dyDescent="0.2">
      <c r="GI28357" s="422"/>
    </row>
    <row r="28358" spans="191:191" x14ac:dyDescent="0.2">
      <c r="GI28358" s="422"/>
    </row>
    <row r="28359" spans="191:191" x14ac:dyDescent="0.2">
      <c r="GI28359" s="422"/>
    </row>
    <row r="28360" spans="191:191" x14ac:dyDescent="0.2">
      <c r="GI28360" s="422"/>
    </row>
    <row r="28361" spans="191:191" x14ac:dyDescent="0.2">
      <c r="GI28361" s="422"/>
    </row>
    <row r="28362" spans="191:191" x14ac:dyDescent="0.2">
      <c r="GI28362" s="422"/>
    </row>
    <row r="28363" spans="191:191" x14ac:dyDescent="0.2">
      <c r="GI28363" s="422"/>
    </row>
    <row r="28364" spans="191:191" x14ac:dyDescent="0.2">
      <c r="GI28364" s="422"/>
    </row>
    <row r="28365" spans="191:191" x14ac:dyDescent="0.2">
      <c r="GI28365" s="422"/>
    </row>
    <row r="28366" spans="191:191" x14ac:dyDescent="0.2">
      <c r="GI28366" s="422"/>
    </row>
    <row r="28367" spans="191:191" x14ac:dyDescent="0.2">
      <c r="GI28367" s="422"/>
    </row>
    <row r="28368" spans="191:191" x14ac:dyDescent="0.2">
      <c r="GI28368" s="422"/>
    </row>
    <row r="28369" spans="191:191" x14ac:dyDescent="0.2">
      <c r="GI28369" s="422"/>
    </row>
    <row r="28370" spans="191:191" x14ac:dyDescent="0.2">
      <c r="GI28370" s="422"/>
    </row>
    <row r="28371" spans="191:191" x14ac:dyDescent="0.2">
      <c r="GI28371" s="422"/>
    </row>
    <row r="28372" spans="191:191" x14ac:dyDescent="0.2">
      <c r="GI28372" s="422"/>
    </row>
    <row r="28373" spans="191:191" x14ac:dyDescent="0.2">
      <c r="GI28373" s="422"/>
    </row>
    <row r="28374" spans="191:191" x14ac:dyDescent="0.2">
      <c r="GI28374" s="422"/>
    </row>
    <row r="28375" spans="191:191" x14ac:dyDescent="0.2">
      <c r="GI28375" s="422"/>
    </row>
    <row r="28376" spans="191:191" x14ac:dyDescent="0.2">
      <c r="GI28376" s="422"/>
    </row>
    <row r="28377" spans="191:191" x14ac:dyDescent="0.2">
      <c r="GI28377" s="422"/>
    </row>
    <row r="28378" spans="191:191" x14ac:dyDescent="0.2">
      <c r="GI28378" s="422"/>
    </row>
    <row r="28379" spans="191:191" x14ac:dyDescent="0.2">
      <c r="GI28379" s="422"/>
    </row>
    <row r="28380" spans="191:191" x14ac:dyDescent="0.2">
      <c r="GI28380" s="422"/>
    </row>
    <row r="28381" spans="191:191" x14ac:dyDescent="0.2">
      <c r="GI28381" s="422"/>
    </row>
    <row r="28382" spans="191:191" x14ac:dyDescent="0.2">
      <c r="GI28382" s="422"/>
    </row>
    <row r="28383" spans="191:191" x14ac:dyDescent="0.2">
      <c r="GI28383" s="422"/>
    </row>
    <row r="28384" spans="191:191" x14ac:dyDescent="0.2">
      <c r="GI28384" s="422"/>
    </row>
    <row r="28385" spans="191:191" x14ac:dyDescent="0.2">
      <c r="GI28385" s="422"/>
    </row>
    <row r="28386" spans="191:191" x14ac:dyDescent="0.2">
      <c r="GI28386" s="422"/>
    </row>
    <row r="28387" spans="191:191" x14ac:dyDescent="0.2">
      <c r="GI28387" s="422"/>
    </row>
    <row r="28388" spans="191:191" x14ac:dyDescent="0.2">
      <c r="GI28388" s="422"/>
    </row>
    <row r="28389" spans="191:191" x14ac:dyDescent="0.2">
      <c r="GI28389" s="422"/>
    </row>
    <row r="28390" spans="191:191" x14ac:dyDescent="0.2">
      <c r="GI28390" s="422"/>
    </row>
    <row r="28391" spans="191:191" x14ac:dyDescent="0.2">
      <c r="GI28391" s="422"/>
    </row>
    <row r="28392" spans="191:191" x14ac:dyDescent="0.2">
      <c r="GI28392" s="422"/>
    </row>
    <row r="28393" spans="191:191" x14ac:dyDescent="0.2">
      <c r="GI28393" s="422"/>
    </row>
    <row r="28394" spans="191:191" x14ac:dyDescent="0.2">
      <c r="GI28394" s="422"/>
    </row>
    <row r="28395" spans="191:191" x14ac:dyDescent="0.2">
      <c r="GI28395" s="422"/>
    </row>
    <row r="28396" spans="191:191" x14ac:dyDescent="0.2">
      <c r="GI28396" s="422"/>
    </row>
    <row r="28397" spans="191:191" x14ac:dyDescent="0.2">
      <c r="GI28397" s="422"/>
    </row>
    <row r="28398" spans="191:191" x14ac:dyDescent="0.2">
      <c r="GI28398" s="422"/>
    </row>
    <row r="28399" spans="191:191" x14ac:dyDescent="0.2">
      <c r="GI28399" s="422"/>
    </row>
    <row r="28400" spans="191:191" x14ac:dyDescent="0.2">
      <c r="GI28400" s="422"/>
    </row>
    <row r="28401" spans="191:191" x14ac:dyDescent="0.2">
      <c r="GI28401" s="422"/>
    </row>
    <row r="28402" spans="191:191" x14ac:dyDescent="0.2">
      <c r="GI28402" s="422"/>
    </row>
    <row r="28403" spans="191:191" x14ac:dyDescent="0.2">
      <c r="GI28403" s="422"/>
    </row>
    <row r="28404" spans="191:191" x14ac:dyDescent="0.2">
      <c r="GI28404" s="422"/>
    </row>
    <row r="28405" spans="191:191" x14ac:dyDescent="0.2">
      <c r="GI28405" s="422"/>
    </row>
    <row r="28406" spans="191:191" x14ac:dyDescent="0.2">
      <c r="GI28406" s="422"/>
    </row>
    <row r="28407" spans="191:191" x14ac:dyDescent="0.2">
      <c r="GI28407" s="422"/>
    </row>
    <row r="28408" spans="191:191" x14ac:dyDescent="0.2">
      <c r="GI28408" s="422"/>
    </row>
    <row r="28409" spans="191:191" x14ac:dyDescent="0.2">
      <c r="GI28409" s="422"/>
    </row>
    <row r="28410" spans="191:191" x14ac:dyDescent="0.2">
      <c r="GI28410" s="422"/>
    </row>
    <row r="28411" spans="191:191" x14ac:dyDescent="0.2">
      <c r="GI28411" s="422"/>
    </row>
    <row r="28412" spans="191:191" x14ac:dyDescent="0.2">
      <c r="GI28412" s="422"/>
    </row>
    <row r="28413" spans="191:191" x14ac:dyDescent="0.2">
      <c r="GI28413" s="422"/>
    </row>
    <row r="28414" spans="191:191" x14ac:dyDescent="0.2">
      <c r="GI28414" s="422"/>
    </row>
    <row r="28415" spans="191:191" x14ac:dyDescent="0.2">
      <c r="GI28415" s="422"/>
    </row>
    <row r="28416" spans="191:191" x14ac:dyDescent="0.2">
      <c r="GI28416" s="422"/>
    </row>
    <row r="28417" spans="191:191" x14ac:dyDescent="0.2">
      <c r="GI28417" s="422"/>
    </row>
    <row r="28418" spans="191:191" x14ac:dyDescent="0.2">
      <c r="GI28418" s="422"/>
    </row>
    <row r="28419" spans="191:191" x14ac:dyDescent="0.2">
      <c r="GI28419" s="422"/>
    </row>
    <row r="28420" spans="191:191" x14ac:dyDescent="0.2">
      <c r="GI28420" s="422"/>
    </row>
    <row r="28421" spans="191:191" x14ac:dyDescent="0.2">
      <c r="GI28421" s="422"/>
    </row>
    <row r="28422" spans="191:191" x14ac:dyDescent="0.2">
      <c r="GI28422" s="422"/>
    </row>
    <row r="28423" spans="191:191" x14ac:dyDescent="0.2">
      <c r="GI28423" s="422"/>
    </row>
    <row r="28424" spans="191:191" x14ac:dyDescent="0.2">
      <c r="GI28424" s="422"/>
    </row>
    <row r="28425" spans="191:191" x14ac:dyDescent="0.2">
      <c r="GI28425" s="422"/>
    </row>
    <row r="28426" spans="191:191" x14ac:dyDescent="0.2">
      <c r="GI28426" s="422"/>
    </row>
    <row r="28427" spans="191:191" x14ac:dyDescent="0.2">
      <c r="GI28427" s="422"/>
    </row>
    <row r="28428" spans="191:191" x14ac:dyDescent="0.2">
      <c r="GI28428" s="422"/>
    </row>
    <row r="28429" spans="191:191" x14ac:dyDescent="0.2">
      <c r="GI28429" s="422"/>
    </row>
    <row r="28430" spans="191:191" x14ac:dyDescent="0.2">
      <c r="GI28430" s="422"/>
    </row>
    <row r="28431" spans="191:191" x14ac:dyDescent="0.2">
      <c r="GI28431" s="422"/>
    </row>
    <row r="28432" spans="191:191" x14ac:dyDescent="0.2">
      <c r="GI28432" s="422"/>
    </row>
    <row r="28433" spans="191:191" x14ac:dyDescent="0.2">
      <c r="GI28433" s="422"/>
    </row>
    <row r="28434" spans="191:191" x14ac:dyDescent="0.2">
      <c r="GI28434" s="422"/>
    </row>
    <row r="28435" spans="191:191" x14ac:dyDescent="0.2">
      <c r="GI28435" s="422"/>
    </row>
    <row r="28436" spans="191:191" x14ac:dyDescent="0.2">
      <c r="GI28436" s="422"/>
    </row>
    <row r="28437" spans="191:191" x14ac:dyDescent="0.2">
      <c r="GI28437" s="422"/>
    </row>
    <row r="28438" spans="191:191" x14ac:dyDescent="0.2">
      <c r="GI28438" s="422"/>
    </row>
    <row r="28439" spans="191:191" x14ac:dyDescent="0.2">
      <c r="GI28439" s="422"/>
    </row>
    <row r="28440" spans="191:191" x14ac:dyDescent="0.2">
      <c r="GI28440" s="422"/>
    </row>
    <row r="28441" spans="191:191" x14ac:dyDescent="0.2">
      <c r="GI28441" s="422"/>
    </row>
    <row r="28442" spans="191:191" x14ac:dyDescent="0.2">
      <c r="GI28442" s="422"/>
    </row>
    <row r="28443" spans="191:191" x14ac:dyDescent="0.2">
      <c r="GI28443" s="422"/>
    </row>
    <row r="28444" spans="191:191" x14ac:dyDescent="0.2">
      <c r="GI28444" s="422"/>
    </row>
    <row r="28445" spans="191:191" x14ac:dyDescent="0.2">
      <c r="GI28445" s="422"/>
    </row>
    <row r="28446" spans="191:191" x14ac:dyDescent="0.2">
      <c r="GI28446" s="422"/>
    </row>
    <row r="28447" spans="191:191" x14ac:dyDescent="0.2">
      <c r="GI28447" s="422"/>
    </row>
    <row r="28448" spans="191:191" x14ac:dyDescent="0.2">
      <c r="GI28448" s="422"/>
    </row>
    <row r="28449" spans="191:191" x14ac:dyDescent="0.2">
      <c r="GI28449" s="422"/>
    </row>
    <row r="28450" spans="191:191" x14ac:dyDescent="0.2">
      <c r="GI28450" s="422"/>
    </row>
    <row r="28451" spans="191:191" x14ac:dyDescent="0.2">
      <c r="GI28451" s="422"/>
    </row>
    <row r="28452" spans="191:191" x14ac:dyDescent="0.2">
      <c r="GI28452" s="422"/>
    </row>
    <row r="28453" spans="191:191" x14ac:dyDescent="0.2">
      <c r="GI28453" s="422"/>
    </row>
    <row r="28454" spans="191:191" x14ac:dyDescent="0.2">
      <c r="GI28454" s="422"/>
    </row>
    <row r="28455" spans="191:191" x14ac:dyDescent="0.2">
      <c r="GI28455" s="422"/>
    </row>
    <row r="28456" spans="191:191" x14ac:dyDescent="0.2">
      <c r="GI28456" s="422"/>
    </row>
    <row r="28457" spans="191:191" x14ac:dyDescent="0.2">
      <c r="GI28457" s="422"/>
    </row>
    <row r="28458" spans="191:191" x14ac:dyDescent="0.2">
      <c r="GI28458" s="422"/>
    </row>
    <row r="28459" spans="191:191" x14ac:dyDescent="0.2">
      <c r="GI28459" s="422"/>
    </row>
    <row r="28460" spans="191:191" x14ac:dyDescent="0.2">
      <c r="GI28460" s="422"/>
    </row>
    <row r="28461" spans="191:191" x14ac:dyDescent="0.2">
      <c r="GI28461" s="422"/>
    </row>
    <row r="28462" spans="191:191" x14ac:dyDescent="0.2">
      <c r="GI28462" s="422"/>
    </row>
    <row r="28463" spans="191:191" x14ac:dyDescent="0.2">
      <c r="GI28463" s="422"/>
    </row>
    <row r="28464" spans="191:191" x14ac:dyDescent="0.2">
      <c r="GI28464" s="422"/>
    </row>
    <row r="28465" spans="191:191" x14ac:dyDescent="0.2">
      <c r="GI28465" s="422"/>
    </row>
    <row r="28466" spans="191:191" x14ac:dyDescent="0.2">
      <c r="GI28466" s="422"/>
    </row>
    <row r="28467" spans="191:191" x14ac:dyDescent="0.2">
      <c r="GI28467" s="422"/>
    </row>
    <row r="28468" spans="191:191" x14ac:dyDescent="0.2">
      <c r="GI28468" s="422"/>
    </row>
    <row r="28469" spans="191:191" x14ac:dyDescent="0.2">
      <c r="GI28469" s="422"/>
    </row>
    <row r="28470" spans="191:191" x14ac:dyDescent="0.2">
      <c r="GI28470" s="422"/>
    </row>
    <row r="28471" spans="191:191" x14ac:dyDescent="0.2">
      <c r="GI28471" s="422"/>
    </row>
    <row r="28472" spans="191:191" x14ac:dyDescent="0.2">
      <c r="GI28472" s="422"/>
    </row>
    <row r="28473" spans="191:191" x14ac:dyDescent="0.2">
      <c r="GI28473" s="422"/>
    </row>
    <row r="28474" spans="191:191" x14ac:dyDescent="0.2">
      <c r="GI28474" s="422"/>
    </row>
    <row r="28475" spans="191:191" x14ac:dyDescent="0.2">
      <c r="GI28475" s="422"/>
    </row>
    <row r="28476" spans="191:191" x14ac:dyDescent="0.2">
      <c r="GI28476" s="422"/>
    </row>
    <row r="28477" spans="191:191" x14ac:dyDescent="0.2">
      <c r="GI28477" s="422"/>
    </row>
    <row r="28478" spans="191:191" x14ac:dyDescent="0.2">
      <c r="GI28478" s="422"/>
    </row>
    <row r="28479" spans="191:191" x14ac:dyDescent="0.2">
      <c r="GI28479" s="422"/>
    </row>
    <row r="28480" spans="191:191" x14ac:dyDescent="0.2">
      <c r="GI28480" s="422"/>
    </row>
    <row r="28481" spans="191:191" x14ac:dyDescent="0.2">
      <c r="GI28481" s="422"/>
    </row>
    <row r="28482" spans="191:191" x14ac:dyDescent="0.2">
      <c r="GI28482" s="422"/>
    </row>
    <row r="28483" spans="191:191" x14ac:dyDescent="0.2">
      <c r="GI28483" s="422"/>
    </row>
    <row r="28484" spans="191:191" x14ac:dyDescent="0.2">
      <c r="GI28484" s="422"/>
    </row>
    <row r="28485" spans="191:191" x14ac:dyDescent="0.2">
      <c r="GI28485" s="422"/>
    </row>
    <row r="28486" spans="191:191" x14ac:dyDescent="0.2">
      <c r="GI28486" s="422"/>
    </row>
    <row r="28487" spans="191:191" x14ac:dyDescent="0.2">
      <c r="GI28487" s="422"/>
    </row>
    <row r="28488" spans="191:191" x14ac:dyDescent="0.2">
      <c r="GI28488" s="422"/>
    </row>
    <row r="28489" spans="191:191" x14ac:dyDescent="0.2">
      <c r="GI28489" s="422"/>
    </row>
    <row r="28490" spans="191:191" x14ac:dyDescent="0.2">
      <c r="GI28490" s="422"/>
    </row>
    <row r="28491" spans="191:191" x14ac:dyDescent="0.2">
      <c r="GI28491" s="422"/>
    </row>
    <row r="28492" spans="191:191" x14ac:dyDescent="0.2">
      <c r="GI28492" s="422"/>
    </row>
    <row r="28493" spans="191:191" x14ac:dyDescent="0.2">
      <c r="GI28493" s="422"/>
    </row>
    <row r="28494" spans="191:191" x14ac:dyDescent="0.2">
      <c r="GI28494" s="422"/>
    </row>
    <row r="28495" spans="191:191" x14ac:dyDescent="0.2">
      <c r="GI28495" s="422"/>
    </row>
    <row r="28496" spans="191:191" x14ac:dyDescent="0.2">
      <c r="GI28496" s="422"/>
    </row>
    <row r="28497" spans="191:191" x14ac:dyDescent="0.2">
      <c r="GI28497" s="422"/>
    </row>
    <row r="28498" spans="191:191" x14ac:dyDescent="0.2">
      <c r="GI28498" s="422"/>
    </row>
    <row r="28499" spans="191:191" x14ac:dyDescent="0.2">
      <c r="GI28499" s="422"/>
    </row>
    <row r="28500" spans="191:191" x14ac:dyDescent="0.2">
      <c r="GI28500" s="422"/>
    </row>
    <row r="28501" spans="191:191" x14ac:dyDescent="0.2">
      <c r="GI28501" s="422"/>
    </row>
    <row r="28502" spans="191:191" x14ac:dyDescent="0.2">
      <c r="GI28502" s="422"/>
    </row>
    <row r="28503" spans="191:191" x14ac:dyDescent="0.2">
      <c r="GI28503" s="422"/>
    </row>
    <row r="28504" spans="191:191" x14ac:dyDescent="0.2">
      <c r="GI28504" s="422"/>
    </row>
    <row r="28505" spans="191:191" x14ac:dyDescent="0.2">
      <c r="GI28505" s="422"/>
    </row>
    <row r="28506" spans="191:191" x14ac:dyDescent="0.2">
      <c r="GI28506" s="422"/>
    </row>
    <row r="28507" spans="191:191" x14ac:dyDescent="0.2">
      <c r="GI28507" s="422"/>
    </row>
    <row r="28508" spans="191:191" x14ac:dyDescent="0.2">
      <c r="GI28508" s="422"/>
    </row>
    <row r="28509" spans="191:191" x14ac:dyDescent="0.2">
      <c r="GI28509" s="422"/>
    </row>
    <row r="28510" spans="191:191" x14ac:dyDescent="0.2">
      <c r="GI28510" s="422"/>
    </row>
    <row r="28511" spans="191:191" x14ac:dyDescent="0.2">
      <c r="GI28511" s="422"/>
    </row>
    <row r="28512" spans="191:191" x14ac:dyDescent="0.2">
      <c r="GI28512" s="422"/>
    </row>
    <row r="28513" spans="191:191" x14ac:dyDescent="0.2">
      <c r="GI28513" s="422"/>
    </row>
    <row r="28514" spans="191:191" x14ac:dyDescent="0.2">
      <c r="GI28514" s="422"/>
    </row>
    <row r="28515" spans="191:191" x14ac:dyDescent="0.2">
      <c r="GI28515" s="422"/>
    </row>
    <row r="28516" spans="191:191" x14ac:dyDescent="0.2">
      <c r="GI28516" s="422"/>
    </row>
    <row r="28517" spans="191:191" x14ac:dyDescent="0.2">
      <c r="GI28517" s="422"/>
    </row>
    <row r="28518" spans="191:191" x14ac:dyDescent="0.2">
      <c r="GI28518" s="422"/>
    </row>
    <row r="28519" spans="191:191" x14ac:dyDescent="0.2">
      <c r="GI28519" s="422"/>
    </row>
    <row r="28520" spans="191:191" x14ac:dyDescent="0.2">
      <c r="GI28520" s="422"/>
    </row>
    <row r="28521" spans="191:191" x14ac:dyDescent="0.2">
      <c r="GI28521" s="422"/>
    </row>
    <row r="28522" spans="191:191" x14ac:dyDescent="0.2">
      <c r="GI28522" s="422"/>
    </row>
    <row r="28523" spans="191:191" x14ac:dyDescent="0.2">
      <c r="GI28523" s="422"/>
    </row>
    <row r="28524" spans="191:191" x14ac:dyDescent="0.2">
      <c r="GI28524" s="422"/>
    </row>
    <row r="28525" spans="191:191" x14ac:dyDescent="0.2">
      <c r="GI28525" s="422"/>
    </row>
    <row r="28526" spans="191:191" x14ac:dyDescent="0.2">
      <c r="GI28526" s="422"/>
    </row>
    <row r="28527" spans="191:191" x14ac:dyDescent="0.2">
      <c r="GI28527" s="422"/>
    </row>
    <row r="28528" spans="191:191" x14ac:dyDescent="0.2">
      <c r="GI28528" s="422"/>
    </row>
    <row r="28529" spans="191:191" x14ac:dyDescent="0.2">
      <c r="GI28529" s="422"/>
    </row>
    <row r="28530" spans="191:191" x14ac:dyDescent="0.2">
      <c r="GI28530" s="422"/>
    </row>
    <row r="28531" spans="191:191" x14ac:dyDescent="0.2">
      <c r="GI28531" s="422"/>
    </row>
    <row r="28532" spans="191:191" x14ac:dyDescent="0.2">
      <c r="GI28532" s="422"/>
    </row>
    <row r="28533" spans="191:191" x14ac:dyDescent="0.2">
      <c r="GI28533" s="422"/>
    </row>
    <row r="28534" spans="191:191" x14ac:dyDescent="0.2">
      <c r="GI28534" s="422"/>
    </row>
    <row r="28535" spans="191:191" x14ac:dyDescent="0.2">
      <c r="GI28535" s="422"/>
    </row>
    <row r="28536" spans="191:191" x14ac:dyDescent="0.2">
      <c r="GI28536" s="422"/>
    </row>
    <row r="28537" spans="191:191" x14ac:dyDescent="0.2">
      <c r="GI28537" s="422"/>
    </row>
    <row r="28538" spans="191:191" x14ac:dyDescent="0.2">
      <c r="GI28538" s="422"/>
    </row>
    <row r="28539" spans="191:191" x14ac:dyDescent="0.2">
      <c r="GI28539" s="422"/>
    </row>
    <row r="28540" spans="191:191" x14ac:dyDescent="0.2">
      <c r="GI28540" s="422"/>
    </row>
    <row r="28541" spans="191:191" x14ac:dyDescent="0.2">
      <c r="GI28541" s="422"/>
    </row>
    <row r="28542" spans="191:191" x14ac:dyDescent="0.2">
      <c r="GI28542" s="422"/>
    </row>
    <row r="28543" spans="191:191" x14ac:dyDescent="0.2">
      <c r="GI28543" s="422"/>
    </row>
    <row r="28544" spans="191:191" x14ac:dyDescent="0.2">
      <c r="GI28544" s="422"/>
    </row>
    <row r="28545" spans="191:191" x14ac:dyDescent="0.2">
      <c r="GI28545" s="422"/>
    </row>
    <row r="28546" spans="191:191" x14ac:dyDescent="0.2">
      <c r="GI28546" s="422"/>
    </row>
    <row r="28547" spans="191:191" x14ac:dyDescent="0.2">
      <c r="GI28547" s="422"/>
    </row>
    <row r="28548" spans="191:191" x14ac:dyDescent="0.2">
      <c r="GI28548" s="422"/>
    </row>
    <row r="28549" spans="191:191" x14ac:dyDescent="0.2">
      <c r="GI28549" s="422"/>
    </row>
    <row r="28550" spans="191:191" x14ac:dyDescent="0.2">
      <c r="GI28550" s="422"/>
    </row>
    <row r="28551" spans="191:191" x14ac:dyDescent="0.2">
      <c r="GI28551" s="422"/>
    </row>
    <row r="28552" spans="191:191" x14ac:dyDescent="0.2">
      <c r="GI28552" s="422"/>
    </row>
    <row r="28553" spans="191:191" x14ac:dyDescent="0.2">
      <c r="GI28553" s="422"/>
    </row>
    <row r="28554" spans="191:191" x14ac:dyDescent="0.2">
      <c r="GI28554" s="422"/>
    </row>
    <row r="28555" spans="191:191" x14ac:dyDescent="0.2">
      <c r="GI28555" s="422"/>
    </row>
    <row r="28556" spans="191:191" x14ac:dyDescent="0.2">
      <c r="GI28556" s="422"/>
    </row>
    <row r="28557" spans="191:191" x14ac:dyDescent="0.2">
      <c r="GI28557" s="422"/>
    </row>
    <row r="28558" spans="191:191" x14ac:dyDescent="0.2">
      <c r="GI28558" s="422"/>
    </row>
    <row r="28559" spans="191:191" x14ac:dyDescent="0.2">
      <c r="GI28559" s="422"/>
    </row>
    <row r="28560" spans="191:191" x14ac:dyDescent="0.2">
      <c r="GI28560" s="422"/>
    </row>
    <row r="28561" spans="191:191" x14ac:dyDescent="0.2">
      <c r="GI28561" s="422"/>
    </row>
    <row r="28562" spans="191:191" x14ac:dyDescent="0.2">
      <c r="GI28562" s="422"/>
    </row>
    <row r="28563" spans="191:191" x14ac:dyDescent="0.2">
      <c r="GI28563" s="422"/>
    </row>
    <row r="28564" spans="191:191" x14ac:dyDescent="0.2">
      <c r="GI28564" s="422"/>
    </row>
    <row r="28565" spans="191:191" x14ac:dyDescent="0.2">
      <c r="GI28565" s="422"/>
    </row>
    <row r="28566" spans="191:191" x14ac:dyDescent="0.2">
      <c r="GI28566" s="422"/>
    </row>
    <row r="28567" spans="191:191" x14ac:dyDescent="0.2">
      <c r="GI28567" s="422"/>
    </row>
    <row r="28568" spans="191:191" x14ac:dyDescent="0.2">
      <c r="GI28568" s="422"/>
    </row>
    <row r="28569" spans="191:191" x14ac:dyDescent="0.2">
      <c r="GI28569" s="422"/>
    </row>
    <row r="28570" spans="191:191" x14ac:dyDescent="0.2">
      <c r="GI28570" s="422"/>
    </row>
    <row r="28571" spans="191:191" x14ac:dyDescent="0.2">
      <c r="GI28571" s="422"/>
    </row>
    <row r="28572" spans="191:191" x14ac:dyDescent="0.2">
      <c r="GI28572" s="422"/>
    </row>
    <row r="28573" spans="191:191" x14ac:dyDescent="0.2">
      <c r="GI28573" s="422"/>
    </row>
    <row r="28574" spans="191:191" x14ac:dyDescent="0.2">
      <c r="GI28574" s="422"/>
    </row>
    <row r="28575" spans="191:191" x14ac:dyDescent="0.2">
      <c r="GI28575" s="422"/>
    </row>
    <row r="28576" spans="191:191" x14ac:dyDescent="0.2">
      <c r="GI28576" s="422"/>
    </row>
    <row r="28577" spans="191:191" x14ac:dyDescent="0.2">
      <c r="GI28577" s="422"/>
    </row>
    <row r="28578" spans="191:191" x14ac:dyDescent="0.2">
      <c r="GI28578" s="422"/>
    </row>
    <row r="28579" spans="191:191" x14ac:dyDescent="0.2">
      <c r="GI28579" s="422"/>
    </row>
    <row r="28580" spans="191:191" x14ac:dyDescent="0.2">
      <c r="GI28580" s="422"/>
    </row>
    <row r="28581" spans="191:191" x14ac:dyDescent="0.2">
      <c r="GI28581" s="422"/>
    </row>
    <row r="28582" spans="191:191" x14ac:dyDescent="0.2">
      <c r="GI28582" s="422"/>
    </row>
    <row r="28583" spans="191:191" x14ac:dyDescent="0.2">
      <c r="GI28583" s="422"/>
    </row>
    <row r="28584" spans="191:191" x14ac:dyDescent="0.2">
      <c r="GI28584" s="422"/>
    </row>
    <row r="28585" spans="191:191" x14ac:dyDescent="0.2">
      <c r="GI28585" s="422"/>
    </row>
    <row r="28586" spans="191:191" x14ac:dyDescent="0.2">
      <c r="GI28586" s="422"/>
    </row>
    <row r="28587" spans="191:191" x14ac:dyDescent="0.2">
      <c r="GI28587" s="422"/>
    </row>
    <row r="28588" spans="191:191" x14ac:dyDescent="0.2">
      <c r="GI28588" s="422"/>
    </row>
    <row r="28589" spans="191:191" x14ac:dyDescent="0.2">
      <c r="GI28589" s="422"/>
    </row>
    <row r="28590" spans="191:191" x14ac:dyDescent="0.2">
      <c r="GI28590" s="422"/>
    </row>
    <row r="28591" spans="191:191" x14ac:dyDescent="0.2">
      <c r="GI28591" s="422"/>
    </row>
    <row r="28592" spans="191:191" x14ac:dyDescent="0.2">
      <c r="GI28592" s="422"/>
    </row>
    <row r="28593" spans="191:191" x14ac:dyDescent="0.2">
      <c r="GI28593" s="422"/>
    </row>
    <row r="28594" spans="191:191" x14ac:dyDescent="0.2">
      <c r="GI28594" s="422"/>
    </row>
    <row r="28595" spans="191:191" x14ac:dyDescent="0.2">
      <c r="GI28595" s="422"/>
    </row>
    <row r="28596" spans="191:191" x14ac:dyDescent="0.2">
      <c r="GI28596" s="422"/>
    </row>
    <row r="28597" spans="191:191" x14ac:dyDescent="0.2">
      <c r="GI28597" s="422"/>
    </row>
    <row r="28598" spans="191:191" x14ac:dyDescent="0.2">
      <c r="GI28598" s="422"/>
    </row>
    <row r="28599" spans="191:191" x14ac:dyDescent="0.2">
      <c r="GI28599" s="422"/>
    </row>
    <row r="28600" spans="191:191" x14ac:dyDescent="0.2">
      <c r="GI28600" s="422"/>
    </row>
    <row r="28601" spans="191:191" x14ac:dyDescent="0.2">
      <c r="GI28601" s="422"/>
    </row>
    <row r="28602" spans="191:191" x14ac:dyDescent="0.2">
      <c r="GI28602" s="422"/>
    </row>
    <row r="28603" spans="191:191" x14ac:dyDescent="0.2">
      <c r="GI28603" s="422"/>
    </row>
    <row r="28604" spans="191:191" x14ac:dyDescent="0.2">
      <c r="GI28604" s="422"/>
    </row>
    <row r="28605" spans="191:191" x14ac:dyDescent="0.2">
      <c r="GI28605" s="422"/>
    </row>
    <row r="28606" spans="191:191" x14ac:dyDescent="0.2">
      <c r="GI28606" s="422"/>
    </row>
    <row r="28607" spans="191:191" x14ac:dyDescent="0.2">
      <c r="GI28607" s="422"/>
    </row>
    <row r="28608" spans="191:191" x14ac:dyDescent="0.2">
      <c r="GI28608" s="422"/>
    </row>
    <row r="28609" spans="191:191" x14ac:dyDescent="0.2">
      <c r="GI28609" s="422"/>
    </row>
    <row r="28610" spans="191:191" x14ac:dyDescent="0.2">
      <c r="GI28610" s="422"/>
    </row>
    <row r="28611" spans="191:191" x14ac:dyDescent="0.2">
      <c r="GI28611" s="422"/>
    </row>
    <row r="28612" spans="191:191" x14ac:dyDescent="0.2">
      <c r="GI28612" s="422"/>
    </row>
    <row r="28613" spans="191:191" x14ac:dyDescent="0.2">
      <c r="GI28613" s="422"/>
    </row>
    <row r="28614" spans="191:191" x14ac:dyDescent="0.2">
      <c r="GI28614" s="422"/>
    </row>
    <row r="28615" spans="191:191" x14ac:dyDescent="0.2">
      <c r="GI28615" s="422"/>
    </row>
    <row r="28616" spans="191:191" x14ac:dyDescent="0.2">
      <c r="GI28616" s="422"/>
    </row>
    <row r="28617" spans="191:191" x14ac:dyDescent="0.2">
      <c r="GI28617" s="422"/>
    </row>
    <row r="28618" spans="191:191" x14ac:dyDescent="0.2">
      <c r="GI28618" s="422"/>
    </row>
    <row r="28619" spans="191:191" x14ac:dyDescent="0.2">
      <c r="GI28619" s="422"/>
    </row>
    <row r="28620" spans="191:191" x14ac:dyDescent="0.2">
      <c r="GI28620" s="422"/>
    </row>
    <row r="28621" spans="191:191" x14ac:dyDescent="0.2">
      <c r="GI28621" s="422"/>
    </row>
    <row r="28622" spans="191:191" x14ac:dyDescent="0.2">
      <c r="GI28622" s="422"/>
    </row>
    <row r="28623" spans="191:191" x14ac:dyDescent="0.2">
      <c r="GI28623" s="422"/>
    </row>
    <row r="28624" spans="191:191" x14ac:dyDescent="0.2">
      <c r="GI28624" s="422"/>
    </row>
    <row r="28625" spans="191:191" x14ac:dyDescent="0.2">
      <c r="GI28625" s="422"/>
    </row>
    <row r="28626" spans="191:191" x14ac:dyDescent="0.2">
      <c r="GI28626" s="422"/>
    </row>
    <row r="28627" spans="191:191" x14ac:dyDescent="0.2">
      <c r="GI28627" s="422"/>
    </row>
    <row r="28628" spans="191:191" x14ac:dyDescent="0.2">
      <c r="GI28628" s="422"/>
    </row>
    <row r="28629" spans="191:191" x14ac:dyDescent="0.2">
      <c r="GI28629" s="422"/>
    </row>
    <row r="28630" spans="191:191" x14ac:dyDescent="0.2">
      <c r="GI28630" s="422"/>
    </row>
    <row r="28631" spans="191:191" x14ac:dyDescent="0.2">
      <c r="GI28631" s="422"/>
    </row>
    <row r="28632" spans="191:191" x14ac:dyDescent="0.2">
      <c r="GI28632" s="422"/>
    </row>
    <row r="28633" spans="191:191" x14ac:dyDescent="0.2">
      <c r="GI28633" s="422"/>
    </row>
    <row r="28634" spans="191:191" x14ac:dyDescent="0.2">
      <c r="GI28634" s="422"/>
    </row>
    <row r="28635" spans="191:191" x14ac:dyDescent="0.2">
      <c r="GI28635" s="422"/>
    </row>
    <row r="28636" spans="191:191" x14ac:dyDescent="0.2">
      <c r="GI28636" s="422"/>
    </row>
    <row r="28637" spans="191:191" x14ac:dyDescent="0.2">
      <c r="GI28637" s="422"/>
    </row>
    <row r="28638" spans="191:191" x14ac:dyDescent="0.2">
      <c r="GI28638" s="422"/>
    </row>
    <row r="28639" spans="191:191" x14ac:dyDescent="0.2">
      <c r="GI28639" s="422"/>
    </row>
    <row r="28640" spans="191:191" x14ac:dyDescent="0.2">
      <c r="GI28640" s="422"/>
    </row>
    <row r="28641" spans="191:191" x14ac:dyDescent="0.2">
      <c r="GI28641" s="422"/>
    </row>
    <row r="28642" spans="191:191" x14ac:dyDescent="0.2">
      <c r="GI28642" s="422"/>
    </row>
    <row r="28643" spans="191:191" x14ac:dyDescent="0.2">
      <c r="GI28643" s="422"/>
    </row>
    <row r="28644" spans="191:191" x14ac:dyDescent="0.2">
      <c r="GI28644" s="422"/>
    </row>
    <row r="28645" spans="191:191" x14ac:dyDescent="0.2">
      <c r="GI28645" s="422"/>
    </row>
    <row r="28646" spans="191:191" x14ac:dyDescent="0.2">
      <c r="GI28646" s="422"/>
    </row>
    <row r="28647" spans="191:191" x14ac:dyDescent="0.2">
      <c r="GI28647" s="422"/>
    </row>
    <row r="28648" spans="191:191" x14ac:dyDescent="0.2">
      <c r="GI28648" s="422"/>
    </row>
    <row r="28649" spans="191:191" x14ac:dyDescent="0.2">
      <c r="GI28649" s="422"/>
    </row>
    <row r="28650" spans="191:191" x14ac:dyDescent="0.2">
      <c r="GI28650" s="422"/>
    </row>
    <row r="28651" spans="191:191" x14ac:dyDescent="0.2">
      <c r="GI28651" s="422"/>
    </row>
    <row r="28652" spans="191:191" x14ac:dyDescent="0.2">
      <c r="GI28652" s="422"/>
    </row>
    <row r="28653" spans="191:191" x14ac:dyDescent="0.2">
      <c r="GI28653" s="422"/>
    </row>
    <row r="28654" spans="191:191" x14ac:dyDescent="0.2">
      <c r="GI28654" s="422"/>
    </row>
    <row r="28655" spans="191:191" x14ac:dyDescent="0.2">
      <c r="GI28655" s="422"/>
    </row>
    <row r="28656" spans="191:191" x14ac:dyDescent="0.2">
      <c r="GI28656" s="422"/>
    </row>
    <row r="28657" spans="191:191" x14ac:dyDescent="0.2">
      <c r="GI28657" s="422"/>
    </row>
    <row r="28658" spans="191:191" x14ac:dyDescent="0.2">
      <c r="GI28658" s="422"/>
    </row>
    <row r="28659" spans="191:191" x14ac:dyDescent="0.2">
      <c r="GI28659" s="422"/>
    </row>
    <row r="28660" spans="191:191" x14ac:dyDescent="0.2">
      <c r="GI28660" s="422"/>
    </row>
    <row r="28661" spans="191:191" x14ac:dyDescent="0.2">
      <c r="GI28661" s="422"/>
    </row>
    <row r="28662" spans="191:191" x14ac:dyDescent="0.2">
      <c r="GI28662" s="422"/>
    </row>
    <row r="28663" spans="191:191" x14ac:dyDescent="0.2">
      <c r="GI28663" s="422"/>
    </row>
    <row r="28664" spans="191:191" x14ac:dyDescent="0.2">
      <c r="GI28664" s="422"/>
    </row>
    <row r="28665" spans="191:191" x14ac:dyDescent="0.2">
      <c r="GI28665" s="422"/>
    </row>
    <row r="28666" spans="191:191" x14ac:dyDescent="0.2">
      <c r="GI28666" s="422"/>
    </row>
    <row r="28667" spans="191:191" x14ac:dyDescent="0.2">
      <c r="GI28667" s="422"/>
    </row>
    <row r="28668" spans="191:191" x14ac:dyDescent="0.2">
      <c r="GI28668" s="422"/>
    </row>
    <row r="28669" spans="191:191" x14ac:dyDescent="0.2">
      <c r="GI28669" s="422"/>
    </row>
    <row r="28670" spans="191:191" x14ac:dyDescent="0.2">
      <c r="GI28670" s="422"/>
    </row>
    <row r="28671" spans="191:191" x14ac:dyDescent="0.2">
      <c r="GI28671" s="422"/>
    </row>
    <row r="28672" spans="191:191" x14ac:dyDescent="0.2">
      <c r="GI28672" s="422"/>
    </row>
    <row r="28673" spans="191:191" x14ac:dyDescent="0.2">
      <c r="GI28673" s="422"/>
    </row>
    <row r="28674" spans="191:191" x14ac:dyDescent="0.2">
      <c r="GI28674" s="422"/>
    </row>
    <row r="28675" spans="191:191" x14ac:dyDescent="0.2">
      <c r="GI28675" s="422"/>
    </row>
    <row r="28676" spans="191:191" x14ac:dyDescent="0.2">
      <c r="GI28676" s="422"/>
    </row>
    <row r="28677" spans="191:191" x14ac:dyDescent="0.2">
      <c r="GI28677" s="422"/>
    </row>
    <row r="28678" spans="191:191" x14ac:dyDescent="0.2">
      <c r="GI28678" s="422"/>
    </row>
    <row r="28679" spans="191:191" x14ac:dyDescent="0.2">
      <c r="GI28679" s="422"/>
    </row>
    <row r="28680" spans="191:191" x14ac:dyDescent="0.2">
      <c r="GI28680" s="422"/>
    </row>
    <row r="28681" spans="191:191" x14ac:dyDescent="0.2">
      <c r="GI28681" s="422"/>
    </row>
    <row r="28682" spans="191:191" x14ac:dyDescent="0.2">
      <c r="GI28682" s="422"/>
    </row>
    <row r="28683" spans="191:191" x14ac:dyDescent="0.2">
      <c r="GI28683" s="422"/>
    </row>
    <row r="28684" spans="191:191" x14ac:dyDescent="0.2">
      <c r="GI28684" s="422"/>
    </row>
    <row r="28685" spans="191:191" x14ac:dyDescent="0.2">
      <c r="GI28685" s="422"/>
    </row>
    <row r="28686" spans="191:191" x14ac:dyDescent="0.2">
      <c r="GI28686" s="422"/>
    </row>
    <row r="28687" spans="191:191" x14ac:dyDescent="0.2">
      <c r="GI28687" s="422"/>
    </row>
    <row r="28688" spans="191:191" x14ac:dyDescent="0.2">
      <c r="GI28688" s="422"/>
    </row>
    <row r="28689" spans="191:191" x14ac:dyDescent="0.2">
      <c r="GI28689" s="422"/>
    </row>
    <row r="28690" spans="191:191" x14ac:dyDescent="0.2">
      <c r="GI28690" s="422"/>
    </row>
    <row r="28691" spans="191:191" x14ac:dyDescent="0.2">
      <c r="GI28691" s="422"/>
    </row>
    <row r="28692" spans="191:191" x14ac:dyDescent="0.2">
      <c r="GI28692" s="422"/>
    </row>
    <row r="28693" spans="191:191" x14ac:dyDescent="0.2">
      <c r="GI28693" s="422"/>
    </row>
    <row r="28694" spans="191:191" x14ac:dyDescent="0.2">
      <c r="GI28694" s="422"/>
    </row>
    <row r="28695" spans="191:191" x14ac:dyDescent="0.2">
      <c r="GI28695" s="422"/>
    </row>
    <row r="28696" spans="191:191" x14ac:dyDescent="0.2">
      <c r="GI28696" s="422"/>
    </row>
    <row r="28697" spans="191:191" x14ac:dyDescent="0.2">
      <c r="GI28697" s="422"/>
    </row>
    <row r="28698" spans="191:191" x14ac:dyDescent="0.2">
      <c r="GI28698" s="422"/>
    </row>
    <row r="28699" spans="191:191" x14ac:dyDescent="0.2">
      <c r="GI28699" s="422"/>
    </row>
    <row r="28700" spans="191:191" x14ac:dyDescent="0.2">
      <c r="GI28700" s="422"/>
    </row>
    <row r="28701" spans="191:191" x14ac:dyDescent="0.2">
      <c r="GI28701" s="422"/>
    </row>
    <row r="28702" spans="191:191" x14ac:dyDescent="0.2">
      <c r="GI28702" s="422"/>
    </row>
    <row r="28703" spans="191:191" x14ac:dyDescent="0.2">
      <c r="GI28703" s="422"/>
    </row>
    <row r="28704" spans="191:191" x14ac:dyDescent="0.2">
      <c r="GI28704" s="422"/>
    </row>
    <row r="28705" spans="191:191" x14ac:dyDescent="0.2">
      <c r="GI28705" s="422"/>
    </row>
    <row r="28706" spans="191:191" x14ac:dyDescent="0.2">
      <c r="GI28706" s="422"/>
    </row>
    <row r="28707" spans="191:191" x14ac:dyDescent="0.2">
      <c r="GI28707" s="422"/>
    </row>
    <row r="28708" spans="191:191" x14ac:dyDescent="0.2">
      <c r="GI28708" s="422"/>
    </row>
    <row r="28709" spans="191:191" x14ac:dyDescent="0.2">
      <c r="GI28709" s="422"/>
    </row>
    <row r="28710" spans="191:191" x14ac:dyDescent="0.2">
      <c r="GI28710" s="422"/>
    </row>
    <row r="28711" spans="191:191" x14ac:dyDescent="0.2">
      <c r="GI28711" s="422"/>
    </row>
    <row r="28712" spans="191:191" x14ac:dyDescent="0.2">
      <c r="GI28712" s="422"/>
    </row>
    <row r="28713" spans="191:191" x14ac:dyDescent="0.2">
      <c r="GI28713" s="422"/>
    </row>
    <row r="28714" spans="191:191" x14ac:dyDescent="0.2">
      <c r="GI28714" s="422"/>
    </row>
    <row r="28715" spans="191:191" x14ac:dyDescent="0.2">
      <c r="GI28715" s="422"/>
    </row>
    <row r="28716" spans="191:191" x14ac:dyDescent="0.2">
      <c r="GI28716" s="422"/>
    </row>
    <row r="28717" spans="191:191" x14ac:dyDescent="0.2">
      <c r="GI28717" s="422"/>
    </row>
    <row r="28718" spans="191:191" x14ac:dyDescent="0.2">
      <c r="GI28718" s="422"/>
    </row>
    <row r="28719" spans="191:191" x14ac:dyDescent="0.2">
      <c r="GI28719" s="422"/>
    </row>
    <row r="28720" spans="191:191" x14ac:dyDescent="0.2">
      <c r="GI28720" s="422"/>
    </row>
    <row r="28721" spans="191:191" x14ac:dyDescent="0.2">
      <c r="GI28721" s="422"/>
    </row>
    <row r="28722" spans="191:191" x14ac:dyDescent="0.2">
      <c r="GI28722" s="422"/>
    </row>
    <row r="28723" spans="191:191" x14ac:dyDescent="0.2">
      <c r="GI28723" s="422"/>
    </row>
    <row r="28724" spans="191:191" x14ac:dyDescent="0.2">
      <c r="GI28724" s="422"/>
    </row>
    <row r="28725" spans="191:191" x14ac:dyDescent="0.2">
      <c r="GI28725" s="422"/>
    </row>
    <row r="28726" spans="191:191" x14ac:dyDescent="0.2">
      <c r="GI28726" s="422"/>
    </row>
    <row r="28727" spans="191:191" x14ac:dyDescent="0.2">
      <c r="GI28727" s="422"/>
    </row>
    <row r="28728" spans="191:191" x14ac:dyDescent="0.2">
      <c r="GI28728" s="422"/>
    </row>
    <row r="28729" spans="191:191" x14ac:dyDescent="0.2">
      <c r="GI28729" s="422"/>
    </row>
    <row r="28730" spans="191:191" x14ac:dyDescent="0.2">
      <c r="GI28730" s="422"/>
    </row>
    <row r="28731" spans="191:191" x14ac:dyDescent="0.2">
      <c r="GI28731" s="422"/>
    </row>
    <row r="28732" spans="191:191" x14ac:dyDescent="0.2">
      <c r="GI28732" s="422"/>
    </row>
    <row r="28733" spans="191:191" x14ac:dyDescent="0.2">
      <c r="GI28733" s="422"/>
    </row>
    <row r="28734" spans="191:191" x14ac:dyDescent="0.2">
      <c r="GI28734" s="422"/>
    </row>
    <row r="28735" spans="191:191" x14ac:dyDescent="0.2">
      <c r="GI28735" s="422"/>
    </row>
    <row r="28736" spans="191:191" x14ac:dyDescent="0.2">
      <c r="GI28736" s="422"/>
    </row>
    <row r="28737" spans="191:191" x14ac:dyDescent="0.2">
      <c r="GI28737" s="422"/>
    </row>
    <row r="28738" spans="191:191" x14ac:dyDescent="0.2">
      <c r="GI28738" s="422"/>
    </row>
    <row r="28739" spans="191:191" x14ac:dyDescent="0.2">
      <c r="GI28739" s="422"/>
    </row>
    <row r="28740" spans="191:191" x14ac:dyDescent="0.2">
      <c r="GI28740" s="422"/>
    </row>
    <row r="28741" spans="191:191" x14ac:dyDescent="0.2">
      <c r="GI28741" s="422"/>
    </row>
    <row r="28742" spans="191:191" x14ac:dyDescent="0.2">
      <c r="GI28742" s="422"/>
    </row>
    <row r="28743" spans="191:191" x14ac:dyDescent="0.2">
      <c r="GI28743" s="422"/>
    </row>
    <row r="28744" spans="191:191" x14ac:dyDescent="0.2">
      <c r="GI28744" s="422"/>
    </row>
    <row r="28745" spans="191:191" x14ac:dyDescent="0.2">
      <c r="GI28745" s="422"/>
    </row>
    <row r="28746" spans="191:191" x14ac:dyDescent="0.2">
      <c r="GI28746" s="422"/>
    </row>
    <row r="28747" spans="191:191" x14ac:dyDescent="0.2">
      <c r="GI28747" s="422"/>
    </row>
    <row r="28748" spans="191:191" x14ac:dyDescent="0.2">
      <c r="GI28748" s="422"/>
    </row>
    <row r="28749" spans="191:191" x14ac:dyDescent="0.2">
      <c r="GI28749" s="422"/>
    </row>
    <row r="28750" spans="191:191" x14ac:dyDescent="0.2">
      <c r="GI28750" s="422"/>
    </row>
    <row r="28751" spans="191:191" x14ac:dyDescent="0.2">
      <c r="GI28751" s="422"/>
    </row>
    <row r="28752" spans="191:191" x14ac:dyDescent="0.2">
      <c r="GI28752" s="422"/>
    </row>
    <row r="28753" spans="191:191" x14ac:dyDescent="0.2">
      <c r="GI28753" s="422"/>
    </row>
    <row r="28754" spans="191:191" x14ac:dyDescent="0.2">
      <c r="GI28754" s="422"/>
    </row>
    <row r="28755" spans="191:191" x14ac:dyDescent="0.2">
      <c r="GI28755" s="422"/>
    </row>
    <row r="28756" spans="191:191" x14ac:dyDescent="0.2">
      <c r="GI28756" s="422"/>
    </row>
    <row r="28757" spans="191:191" x14ac:dyDescent="0.2">
      <c r="GI28757" s="422"/>
    </row>
    <row r="28758" spans="191:191" x14ac:dyDescent="0.2">
      <c r="GI28758" s="422"/>
    </row>
    <row r="28759" spans="191:191" x14ac:dyDescent="0.2">
      <c r="GI28759" s="422"/>
    </row>
    <row r="28760" spans="191:191" x14ac:dyDescent="0.2">
      <c r="GI28760" s="422"/>
    </row>
    <row r="28761" spans="191:191" x14ac:dyDescent="0.2">
      <c r="GI28761" s="422"/>
    </row>
    <row r="28762" spans="191:191" x14ac:dyDescent="0.2">
      <c r="GI28762" s="422"/>
    </row>
    <row r="28763" spans="191:191" x14ac:dyDescent="0.2">
      <c r="GI28763" s="422"/>
    </row>
    <row r="28764" spans="191:191" x14ac:dyDescent="0.2">
      <c r="GI28764" s="422"/>
    </row>
    <row r="28765" spans="191:191" x14ac:dyDescent="0.2">
      <c r="GI28765" s="422"/>
    </row>
    <row r="28766" spans="191:191" x14ac:dyDescent="0.2">
      <c r="GI28766" s="422"/>
    </row>
    <row r="28767" spans="191:191" x14ac:dyDescent="0.2">
      <c r="GI28767" s="422"/>
    </row>
    <row r="28768" spans="191:191" x14ac:dyDescent="0.2">
      <c r="GI28768" s="422"/>
    </row>
    <row r="28769" spans="191:191" x14ac:dyDescent="0.2">
      <c r="GI28769" s="422"/>
    </row>
    <row r="28770" spans="191:191" x14ac:dyDescent="0.2">
      <c r="GI28770" s="422"/>
    </row>
    <row r="28771" spans="191:191" x14ac:dyDescent="0.2">
      <c r="GI28771" s="422"/>
    </row>
    <row r="28772" spans="191:191" x14ac:dyDescent="0.2">
      <c r="GI28772" s="422"/>
    </row>
    <row r="28773" spans="191:191" x14ac:dyDescent="0.2">
      <c r="GI28773" s="422"/>
    </row>
    <row r="28774" spans="191:191" x14ac:dyDescent="0.2">
      <c r="GI28774" s="422"/>
    </row>
    <row r="28775" spans="191:191" x14ac:dyDescent="0.2">
      <c r="GI28775" s="422"/>
    </row>
    <row r="28776" spans="191:191" x14ac:dyDescent="0.2">
      <c r="GI28776" s="422"/>
    </row>
    <row r="28777" spans="191:191" x14ac:dyDescent="0.2">
      <c r="GI28777" s="422"/>
    </row>
    <row r="28778" spans="191:191" x14ac:dyDescent="0.2">
      <c r="GI28778" s="422"/>
    </row>
    <row r="28779" spans="191:191" x14ac:dyDescent="0.2">
      <c r="GI28779" s="422"/>
    </row>
    <row r="28780" spans="191:191" x14ac:dyDescent="0.2">
      <c r="GI28780" s="422"/>
    </row>
    <row r="28781" spans="191:191" x14ac:dyDescent="0.2">
      <c r="GI28781" s="422"/>
    </row>
    <row r="28782" spans="191:191" x14ac:dyDescent="0.2">
      <c r="GI28782" s="422"/>
    </row>
    <row r="28783" spans="191:191" x14ac:dyDescent="0.2">
      <c r="GI28783" s="422"/>
    </row>
    <row r="28784" spans="191:191" x14ac:dyDescent="0.2">
      <c r="GI28784" s="422"/>
    </row>
    <row r="28785" spans="191:191" x14ac:dyDescent="0.2">
      <c r="GI28785" s="422"/>
    </row>
    <row r="28786" spans="191:191" x14ac:dyDescent="0.2">
      <c r="GI28786" s="422"/>
    </row>
    <row r="28787" spans="191:191" x14ac:dyDescent="0.2">
      <c r="GI28787" s="422"/>
    </row>
    <row r="28788" spans="191:191" x14ac:dyDescent="0.2">
      <c r="GI28788" s="422"/>
    </row>
    <row r="28789" spans="191:191" x14ac:dyDescent="0.2">
      <c r="GI28789" s="422"/>
    </row>
    <row r="28790" spans="191:191" x14ac:dyDescent="0.2">
      <c r="GI28790" s="422"/>
    </row>
    <row r="28791" spans="191:191" x14ac:dyDescent="0.2">
      <c r="GI28791" s="422"/>
    </row>
    <row r="28792" spans="191:191" x14ac:dyDescent="0.2">
      <c r="GI28792" s="422"/>
    </row>
    <row r="28793" spans="191:191" x14ac:dyDescent="0.2">
      <c r="GI28793" s="422"/>
    </row>
    <row r="28794" spans="191:191" x14ac:dyDescent="0.2">
      <c r="GI28794" s="422"/>
    </row>
    <row r="28795" spans="191:191" x14ac:dyDescent="0.2">
      <c r="GI28795" s="422"/>
    </row>
    <row r="28796" spans="191:191" x14ac:dyDescent="0.2">
      <c r="GI28796" s="422"/>
    </row>
    <row r="28797" spans="191:191" x14ac:dyDescent="0.2">
      <c r="GI28797" s="422"/>
    </row>
    <row r="28798" spans="191:191" x14ac:dyDescent="0.2">
      <c r="GI28798" s="422"/>
    </row>
    <row r="28799" spans="191:191" x14ac:dyDescent="0.2">
      <c r="GI28799" s="422"/>
    </row>
    <row r="28800" spans="191:191" x14ac:dyDescent="0.2">
      <c r="GI28800" s="422"/>
    </row>
    <row r="28801" spans="191:191" x14ac:dyDescent="0.2">
      <c r="GI28801" s="422"/>
    </row>
    <row r="28802" spans="191:191" x14ac:dyDescent="0.2">
      <c r="GI28802" s="422"/>
    </row>
    <row r="28803" spans="191:191" x14ac:dyDescent="0.2">
      <c r="GI28803" s="422"/>
    </row>
    <row r="28804" spans="191:191" x14ac:dyDescent="0.2">
      <c r="GI28804" s="422"/>
    </row>
    <row r="28805" spans="191:191" x14ac:dyDescent="0.2">
      <c r="GI28805" s="422"/>
    </row>
    <row r="28806" spans="191:191" x14ac:dyDescent="0.2">
      <c r="GI28806" s="422"/>
    </row>
    <row r="28807" spans="191:191" x14ac:dyDescent="0.2">
      <c r="GI28807" s="422"/>
    </row>
    <row r="28808" spans="191:191" x14ac:dyDescent="0.2">
      <c r="GI28808" s="422"/>
    </row>
    <row r="28809" spans="191:191" x14ac:dyDescent="0.2">
      <c r="GI28809" s="422"/>
    </row>
    <row r="28810" spans="191:191" x14ac:dyDescent="0.2">
      <c r="GI28810" s="422"/>
    </row>
    <row r="28811" spans="191:191" x14ac:dyDescent="0.2">
      <c r="GI28811" s="422"/>
    </row>
    <row r="28812" spans="191:191" x14ac:dyDescent="0.2">
      <c r="GI28812" s="422"/>
    </row>
    <row r="28813" spans="191:191" x14ac:dyDescent="0.2">
      <c r="GI28813" s="422"/>
    </row>
    <row r="28814" spans="191:191" x14ac:dyDescent="0.2">
      <c r="GI28814" s="422"/>
    </row>
    <row r="28815" spans="191:191" x14ac:dyDescent="0.2">
      <c r="GI28815" s="422"/>
    </row>
    <row r="28816" spans="191:191" x14ac:dyDescent="0.2">
      <c r="GI28816" s="422"/>
    </row>
    <row r="28817" spans="191:191" x14ac:dyDescent="0.2">
      <c r="GI28817" s="422"/>
    </row>
    <row r="28818" spans="191:191" x14ac:dyDescent="0.2">
      <c r="GI28818" s="422"/>
    </row>
    <row r="28819" spans="191:191" x14ac:dyDescent="0.2">
      <c r="GI28819" s="422"/>
    </row>
    <row r="28820" spans="191:191" x14ac:dyDescent="0.2">
      <c r="GI28820" s="422"/>
    </row>
    <row r="28821" spans="191:191" x14ac:dyDescent="0.2">
      <c r="GI28821" s="422"/>
    </row>
    <row r="28822" spans="191:191" x14ac:dyDescent="0.2">
      <c r="GI28822" s="422"/>
    </row>
    <row r="28823" spans="191:191" x14ac:dyDescent="0.2">
      <c r="GI28823" s="422"/>
    </row>
    <row r="28824" spans="191:191" x14ac:dyDescent="0.2">
      <c r="GI28824" s="422"/>
    </row>
    <row r="28825" spans="191:191" x14ac:dyDescent="0.2">
      <c r="GI28825" s="422"/>
    </row>
    <row r="28826" spans="191:191" x14ac:dyDescent="0.2">
      <c r="GI28826" s="422"/>
    </row>
    <row r="28827" spans="191:191" x14ac:dyDescent="0.2">
      <c r="GI28827" s="422"/>
    </row>
    <row r="28828" spans="191:191" x14ac:dyDescent="0.2">
      <c r="GI28828" s="422"/>
    </row>
    <row r="28829" spans="191:191" x14ac:dyDescent="0.2">
      <c r="GI28829" s="422"/>
    </row>
    <row r="28830" spans="191:191" x14ac:dyDescent="0.2">
      <c r="GI28830" s="422"/>
    </row>
    <row r="28831" spans="191:191" x14ac:dyDescent="0.2">
      <c r="GI28831" s="422"/>
    </row>
    <row r="28832" spans="191:191" x14ac:dyDescent="0.2">
      <c r="GI28832" s="422"/>
    </row>
    <row r="28833" spans="191:191" x14ac:dyDescent="0.2">
      <c r="GI28833" s="422"/>
    </row>
    <row r="28834" spans="191:191" x14ac:dyDescent="0.2">
      <c r="GI28834" s="422"/>
    </row>
    <row r="28835" spans="191:191" x14ac:dyDescent="0.2">
      <c r="GI28835" s="422"/>
    </row>
    <row r="28836" spans="191:191" x14ac:dyDescent="0.2">
      <c r="GI28836" s="422"/>
    </row>
    <row r="28837" spans="191:191" x14ac:dyDescent="0.2">
      <c r="GI28837" s="422"/>
    </row>
    <row r="28838" spans="191:191" x14ac:dyDescent="0.2">
      <c r="GI28838" s="422"/>
    </row>
    <row r="28839" spans="191:191" x14ac:dyDescent="0.2">
      <c r="GI28839" s="422"/>
    </row>
    <row r="28840" spans="191:191" x14ac:dyDescent="0.2">
      <c r="GI28840" s="422"/>
    </row>
    <row r="28841" spans="191:191" x14ac:dyDescent="0.2">
      <c r="GI28841" s="422"/>
    </row>
    <row r="28842" spans="191:191" x14ac:dyDescent="0.2">
      <c r="GI28842" s="422"/>
    </row>
    <row r="28843" spans="191:191" x14ac:dyDescent="0.2">
      <c r="GI28843" s="422"/>
    </row>
    <row r="28844" spans="191:191" x14ac:dyDescent="0.2">
      <c r="GI28844" s="422"/>
    </row>
    <row r="28845" spans="191:191" x14ac:dyDescent="0.2">
      <c r="GI28845" s="422"/>
    </row>
    <row r="28846" spans="191:191" x14ac:dyDescent="0.2">
      <c r="GI28846" s="422"/>
    </row>
    <row r="28847" spans="191:191" x14ac:dyDescent="0.2">
      <c r="GI28847" s="422"/>
    </row>
    <row r="28848" spans="191:191" x14ac:dyDescent="0.2">
      <c r="GI28848" s="422"/>
    </row>
    <row r="28849" spans="191:191" x14ac:dyDescent="0.2">
      <c r="GI28849" s="422"/>
    </row>
    <row r="28850" spans="191:191" x14ac:dyDescent="0.2">
      <c r="GI28850" s="422"/>
    </row>
    <row r="28851" spans="191:191" x14ac:dyDescent="0.2">
      <c r="GI28851" s="422"/>
    </row>
    <row r="28852" spans="191:191" x14ac:dyDescent="0.2">
      <c r="GI28852" s="422"/>
    </row>
    <row r="28853" spans="191:191" x14ac:dyDescent="0.2">
      <c r="GI28853" s="422"/>
    </row>
    <row r="28854" spans="191:191" x14ac:dyDescent="0.2">
      <c r="GI28854" s="422"/>
    </row>
    <row r="28855" spans="191:191" x14ac:dyDescent="0.2">
      <c r="GI28855" s="422"/>
    </row>
    <row r="28856" spans="191:191" x14ac:dyDescent="0.2">
      <c r="GI28856" s="422"/>
    </row>
    <row r="28857" spans="191:191" x14ac:dyDescent="0.2">
      <c r="GI28857" s="422"/>
    </row>
    <row r="28858" spans="191:191" x14ac:dyDescent="0.2">
      <c r="GI28858" s="422"/>
    </row>
    <row r="28859" spans="191:191" x14ac:dyDescent="0.2">
      <c r="GI28859" s="422"/>
    </row>
    <row r="28860" spans="191:191" x14ac:dyDescent="0.2">
      <c r="GI28860" s="422"/>
    </row>
    <row r="28861" spans="191:191" x14ac:dyDescent="0.2">
      <c r="GI28861" s="422"/>
    </row>
    <row r="28862" spans="191:191" x14ac:dyDescent="0.2">
      <c r="GI28862" s="422"/>
    </row>
    <row r="28863" spans="191:191" x14ac:dyDescent="0.2">
      <c r="GI28863" s="422"/>
    </row>
    <row r="28864" spans="191:191" x14ac:dyDescent="0.2">
      <c r="GI28864" s="422"/>
    </row>
    <row r="28865" spans="191:191" x14ac:dyDescent="0.2">
      <c r="GI28865" s="422"/>
    </row>
    <row r="28866" spans="191:191" x14ac:dyDescent="0.2">
      <c r="GI28866" s="422"/>
    </row>
    <row r="28867" spans="191:191" x14ac:dyDescent="0.2">
      <c r="GI28867" s="422"/>
    </row>
    <row r="28868" spans="191:191" x14ac:dyDescent="0.2">
      <c r="GI28868" s="422"/>
    </row>
    <row r="28869" spans="191:191" x14ac:dyDescent="0.2">
      <c r="GI28869" s="422"/>
    </row>
    <row r="28870" spans="191:191" x14ac:dyDescent="0.2">
      <c r="GI28870" s="422"/>
    </row>
    <row r="28871" spans="191:191" x14ac:dyDescent="0.2">
      <c r="GI28871" s="422"/>
    </row>
    <row r="28872" spans="191:191" x14ac:dyDescent="0.2">
      <c r="GI28872" s="422"/>
    </row>
    <row r="28873" spans="191:191" x14ac:dyDescent="0.2">
      <c r="GI28873" s="422"/>
    </row>
    <row r="28874" spans="191:191" x14ac:dyDescent="0.2">
      <c r="GI28874" s="422"/>
    </row>
    <row r="28875" spans="191:191" x14ac:dyDescent="0.2">
      <c r="GI28875" s="422"/>
    </row>
    <row r="28876" spans="191:191" x14ac:dyDescent="0.2">
      <c r="GI28876" s="422"/>
    </row>
    <row r="28877" spans="191:191" x14ac:dyDescent="0.2">
      <c r="GI28877" s="422"/>
    </row>
    <row r="28878" spans="191:191" x14ac:dyDescent="0.2">
      <c r="GI28878" s="422"/>
    </row>
    <row r="28879" spans="191:191" x14ac:dyDescent="0.2">
      <c r="GI28879" s="422"/>
    </row>
    <row r="28880" spans="191:191" x14ac:dyDescent="0.2">
      <c r="GI28880" s="422"/>
    </row>
    <row r="28881" spans="191:191" x14ac:dyDescent="0.2">
      <c r="GI28881" s="422"/>
    </row>
    <row r="28882" spans="191:191" x14ac:dyDescent="0.2">
      <c r="GI28882" s="422"/>
    </row>
    <row r="28883" spans="191:191" x14ac:dyDescent="0.2">
      <c r="GI28883" s="422"/>
    </row>
    <row r="28884" spans="191:191" x14ac:dyDescent="0.2">
      <c r="GI28884" s="422"/>
    </row>
    <row r="28885" spans="191:191" x14ac:dyDescent="0.2">
      <c r="GI28885" s="422"/>
    </row>
    <row r="28886" spans="191:191" x14ac:dyDescent="0.2">
      <c r="GI28886" s="422"/>
    </row>
    <row r="28887" spans="191:191" x14ac:dyDescent="0.2">
      <c r="GI28887" s="422"/>
    </row>
    <row r="28888" spans="191:191" x14ac:dyDescent="0.2">
      <c r="GI28888" s="422"/>
    </row>
    <row r="28889" spans="191:191" x14ac:dyDescent="0.2">
      <c r="GI28889" s="422"/>
    </row>
    <row r="28890" spans="191:191" x14ac:dyDescent="0.2">
      <c r="GI28890" s="422"/>
    </row>
    <row r="28891" spans="191:191" x14ac:dyDescent="0.2">
      <c r="GI28891" s="422"/>
    </row>
    <row r="28892" spans="191:191" x14ac:dyDescent="0.2">
      <c r="GI28892" s="422"/>
    </row>
    <row r="28893" spans="191:191" x14ac:dyDescent="0.2">
      <c r="GI28893" s="422"/>
    </row>
    <row r="28894" spans="191:191" x14ac:dyDescent="0.2">
      <c r="GI28894" s="422"/>
    </row>
    <row r="28895" spans="191:191" x14ac:dyDescent="0.2">
      <c r="GI28895" s="422"/>
    </row>
    <row r="28896" spans="191:191" x14ac:dyDescent="0.2">
      <c r="GI28896" s="422"/>
    </row>
    <row r="28897" spans="191:191" x14ac:dyDescent="0.2">
      <c r="GI28897" s="422"/>
    </row>
    <row r="28898" spans="191:191" x14ac:dyDescent="0.2">
      <c r="GI28898" s="422"/>
    </row>
    <row r="28899" spans="191:191" x14ac:dyDescent="0.2">
      <c r="GI28899" s="422"/>
    </row>
    <row r="28900" spans="191:191" x14ac:dyDescent="0.2">
      <c r="GI28900" s="422"/>
    </row>
    <row r="28901" spans="191:191" x14ac:dyDescent="0.2">
      <c r="GI28901" s="422"/>
    </row>
    <row r="28902" spans="191:191" x14ac:dyDescent="0.2">
      <c r="GI28902" s="422"/>
    </row>
    <row r="28903" spans="191:191" x14ac:dyDescent="0.2">
      <c r="GI28903" s="422"/>
    </row>
    <row r="28904" spans="191:191" x14ac:dyDescent="0.2">
      <c r="GI28904" s="422"/>
    </row>
    <row r="28905" spans="191:191" x14ac:dyDescent="0.2">
      <c r="GI28905" s="422"/>
    </row>
    <row r="28906" spans="191:191" x14ac:dyDescent="0.2">
      <c r="GI28906" s="422"/>
    </row>
    <row r="28907" spans="191:191" x14ac:dyDescent="0.2">
      <c r="GI28907" s="422"/>
    </row>
    <row r="28908" spans="191:191" x14ac:dyDescent="0.2">
      <c r="GI28908" s="422"/>
    </row>
    <row r="28909" spans="191:191" x14ac:dyDescent="0.2">
      <c r="GI28909" s="422"/>
    </row>
    <row r="28910" spans="191:191" x14ac:dyDescent="0.2">
      <c r="GI28910" s="422"/>
    </row>
    <row r="28911" spans="191:191" x14ac:dyDescent="0.2">
      <c r="GI28911" s="422"/>
    </row>
    <row r="28912" spans="191:191" x14ac:dyDescent="0.2">
      <c r="GI28912" s="422"/>
    </row>
    <row r="28913" spans="191:191" x14ac:dyDescent="0.2">
      <c r="GI28913" s="422"/>
    </row>
    <row r="28914" spans="191:191" x14ac:dyDescent="0.2">
      <c r="GI28914" s="422"/>
    </row>
    <row r="28915" spans="191:191" x14ac:dyDescent="0.2">
      <c r="GI28915" s="422"/>
    </row>
    <row r="28916" spans="191:191" x14ac:dyDescent="0.2">
      <c r="GI28916" s="422"/>
    </row>
    <row r="28917" spans="191:191" x14ac:dyDescent="0.2">
      <c r="GI28917" s="422"/>
    </row>
    <row r="28918" spans="191:191" x14ac:dyDescent="0.2">
      <c r="GI28918" s="422"/>
    </row>
    <row r="28919" spans="191:191" x14ac:dyDescent="0.2">
      <c r="GI28919" s="422"/>
    </row>
    <row r="28920" spans="191:191" x14ac:dyDescent="0.2">
      <c r="GI28920" s="422"/>
    </row>
    <row r="28921" spans="191:191" x14ac:dyDescent="0.2">
      <c r="GI28921" s="422"/>
    </row>
    <row r="28922" spans="191:191" x14ac:dyDescent="0.2">
      <c r="GI28922" s="422"/>
    </row>
    <row r="28923" spans="191:191" x14ac:dyDescent="0.2">
      <c r="GI28923" s="422"/>
    </row>
    <row r="28924" spans="191:191" x14ac:dyDescent="0.2">
      <c r="GI28924" s="422"/>
    </row>
    <row r="28925" spans="191:191" x14ac:dyDescent="0.2">
      <c r="GI28925" s="422"/>
    </row>
    <row r="28926" spans="191:191" x14ac:dyDescent="0.2">
      <c r="GI28926" s="422"/>
    </row>
    <row r="28927" spans="191:191" x14ac:dyDescent="0.2">
      <c r="GI28927" s="422"/>
    </row>
    <row r="28928" spans="191:191" x14ac:dyDescent="0.2">
      <c r="GI28928" s="422"/>
    </row>
    <row r="28929" spans="191:191" x14ac:dyDescent="0.2">
      <c r="GI28929" s="422"/>
    </row>
    <row r="28930" spans="191:191" x14ac:dyDescent="0.2">
      <c r="GI28930" s="422"/>
    </row>
    <row r="28931" spans="191:191" x14ac:dyDescent="0.2">
      <c r="GI28931" s="422"/>
    </row>
    <row r="28932" spans="191:191" x14ac:dyDescent="0.2">
      <c r="GI28932" s="422"/>
    </row>
    <row r="28933" spans="191:191" x14ac:dyDescent="0.2">
      <c r="GI28933" s="422"/>
    </row>
    <row r="28934" spans="191:191" x14ac:dyDescent="0.2">
      <c r="GI28934" s="422"/>
    </row>
    <row r="28935" spans="191:191" x14ac:dyDescent="0.2">
      <c r="GI28935" s="422"/>
    </row>
    <row r="28936" spans="191:191" x14ac:dyDescent="0.2">
      <c r="GI28936" s="422"/>
    </row>
    <row r="28937" spans="191:191" x14ac:dyDescent="0.2">
      <c r="GI28937" s="422"/>
    </row>
    <row r="28938" spans="191:191" x14ac:dyDescent="0.2">
      <c r="GI28938" s="422"/>
    </row>
    <row r="28939" spans="191:191" x14ac:dyDescent="0.2">
      <c r="GI28939" s="422"/>
    </row>
    <row r="28940" spans="191:191" x14ac:dyDescent="0.2">
      <c r="GI28940" s="422"/>
    </row>
    <row r="28941" spans="191:191" x14ac:dyDescent="0.2">
      <c r="GI28941" s="422"/>
    </row>
    <row r="28942" spans="191:191" x14ac:dyDescent="0.2">
      <c r="GI28942" s="422"/>
    </row>
    <row r="28943" spans="191:191" x14ac:dyDescent="0.2">
      <c r="GI28943" s="422"/>
    </row>
    <row r="28944" spans="191:191" x14ac:dyDescent="0.2">
      <c r="GI28944" s="422"/>
    </row>
    <row r="28945" spans="191:191" x14ac:dyDescent="0.2">
      <c r="GI28945" s="422"/>
    </row>
    <row r="28946" spans="191:191" x14ac:dyDescent="0.2">
      <c r="GI28946" s="422"/>
    </row>
    <row r="28947" spans="191:191" x14ac:dyDescent="0.2">
      <c r="GI28947" s="422"/>
    </row>
    <row r="28948" spans="191:191" x14ac:dyDescent="0.2">
      <c r="GI28948" s="422"/>
    </row>
    <row r="28949" spans="191:191" x14ac:dyDescent="0.2">
      <c r="GI28949" s="422"/>
    </row>
    <row r="28950" spans="191:191" x14ac:dyDescent="0.2">
      <c r="GI28950" s="422"/>
    </row>
    <row r="28951" spans="191:191" x14ac:dyDescent="0.2">
      <c r="GI28951" s="422"/>
    </row>
    <row r="28952" spans="191:191" x14ac:dyDescent="0.2">
      <c r="GI28952" s="422"/>
    </row>
    <row r="28953" spans="191:191" x14ac:dyDescent="0.2">
      <c r="GI28953" s="422"/>
    </row>
    <row r="28954" spans="191:191" x14ac:dyDescent="0.2">
      <c r="GI28954" s="422"/>
    </row>
    <row r="28955" spans="191:191" x14ac:dyDescent="0.2">
      <c r="GI28955" s="422"/>
    </row>
    <row r="28956" spans="191:191" x14ac:dyDescent="0.2">
      <c r="GI28956" s="422"/>
    </row>
    <row r="28957" spans="191:191" x14ac:dyDescent="0.2">
      <c r="GI28957" s="422"/>
    </row>
    <row r="28958" spans="191:191" x14ac:dyDescent="0.2">
      <c r="GI28958" s="422"/>
    </row>
    <row r="28959" spans="191:191" x14ac:dyDescent="0.2">
      <c r="GI28959" s="422"/>
    </row>
    <row r="28960" spans="191:191" x14ac:dyDescent="0.2">
      <c r="GI28960" s="422"/>
    </row>
    <row r="28961" spans="191:191" x14ac:dyDescent="0.2">
      <c r="GI28961" s="422"/>
    </row>
    <row r="28962" spans="191:191" x14ac:dyDescent="0.2">
      <c r="GI28962" s="422"/>
    </row>
    <row r="28963" spans="191:191" x14ac:dyDescent="0.2">
      <c r="GI28963" s="422"/>
    </row>
    <row r="28964" spans="191:191" x14ac:dyDescent="0.2">
      <c r="GI28964" s="422"/>
    </row>
    <row r="28965" spans="191:191" x14ac:dyDescent="0.2">
      <c r="GI28965" s="422"/>
    </row>
    <row r="28966" spans="191:191" x14ac:dyDescent="0.2">
      <c r="GI28966" s="422"/>
    </row>
    <row r="28967" spans="191:191" x14ac:dyDescent="0.2">
      <c r="GI28967" s="422"/>
    </row>
    <row r="28968" spans="191:191" x14ac:dyDescent="0.2">
      <c r="GI28968" s="422"/>
    </row>
    <row r="28969" spans="191:191" x14ac:dyDescent="0.2">
      <c r="GI28969" s="422"/>
    </row>
    <row r="28970" spans="191:191" x14ac:dyDescent="0.2">
      <c r="GI28970" s="422"/>
    </row>
    <row r="28971" spans="191:191" x14ac:dyDescent="0.2">
      <c r="GI28971" s="422"/>
    </row>
    <row r="28972" spans="191:191" x14ac:dyDescent="0.2">
      <c r="GI28972" s="422"/>
    </row>
    <row r="28973" spans="191:191" x14ac:dyDescent="0.2">
      <c r="GI28973" s="422"/>
    </row>
    <row r="28974" spans="191:191" x14ac:dyDescent="0.2">
      <c r="GI28974" s="422"/>
    </row>
    <row r="28975" spans="191:191" x14ac:dyDescent="0.2">
      <c r="GI28975" s="422"/>
    </row>
    <row r="28976" spans="191:191" x14ac:dyDescent="0.2">
      <c r="GI28976" s="422"/>
    </row>
    <row r="28977" spans="191:191" x14ac:dyDescent="0.2">
      <c r="GI28977" s="422"/>
    </row>
    <row r="28978" spans="191:191" x14ac:dyDescent="0.2">
      <c r="GI28978" s="422"/>
    </row>
    <row r="28979" spans="191:191" x14ac:dyDescent="0.2">
      <c r="GI28979" s="422"/>
    </row>
    <row r="28980" spans="191:191" x14ac:dyDescent="0.2">
      <c r="GI28980" s="422"/>
    </row>
    <row r="28981" spans="191:191" x14ac:dyDescent="0.2">
      <c r="GI28981" s="422"/>
    </row>
    <row r="28982" spans="191:191" x14ac:dyDescent="0.2">
      <c r="GI28982" s="422"/>
    </row>
    <row r="28983" spans="191:191" x14ac:dyDescent="0.2">
      <c r="GI28983" s="422"/>
    </row>
    <row r="28984" spans="191:191" x14ac:dyDescent="0.2">
      <c r="GI28984" s="422"/>
    </row>
    <row r="28985" spans="191:191" x14ac:dyDescent="0.2">
      <c r="GI28985" s="422"/>
    </row>
    <row r="28986" spans="191:191" x14ac:dyDescent="0.2">
      <c r="GI28986" s="422"/>
    </row>
    <row r="28987" spans="191:191" x14ac:dyDescent="0.2">
      <c r="GI28987" s="422"/>
    </row>
    <row r="28988" spans="191:191" x14ac:dyDescent="0.2">
      <c r="GI28988" s="422"/>
    </row>
    <row r="28989" spans="191:191" x14ac:dyDescent="0.2">
      <c r="GI28989" s="422"/>
    </row>
    <row r="28990" spans="191:191" x14ac:dyDescent="0.2">
      <c r="GI28990" s="422"/>
    </row>
    <row r="28991" spans="191:191" x14ac:dyDescent="0.2">
      <c r="GI28991" s="422"/>
    </row>
    <row r="28992" spans="191:191" x14ac:dyDescent="0.2">
      <c r="GI28992" s="422"/>
    </row>
    <row r="28993" spans="191:191" x14ac:dyDescent="0.2">
      <c r="GI28993" s="422"/>
    </row>
    <row r="28994" spans="191:191" x14ac:dyDescent="0.2">
      <c r="GI28994" s="422"/>
    </row>
    <row r="28995" spans="191:191" x14ac:dyDescent="0.2">
      <c r="GI28995" s="422"/>
    </row>
    <row r="28996" spans="191:191" x14ac:dyDescent="0.2">
      <c r="GI28996" s="422"/>
    </row>
    <row r="28997" spans="191:191" x14ac:dyDescent="0.2">
      <c r="GI28997" s="422"/>
    </row>
    <row r="28998" spans="191:191" x14ac:dyDescent="0.2">
      <c r="GI28998" s="422"/>
    </row>
    <row r="28999" spans="191:191" x14ac:dyDescent="0.2">
      <c r="GI28999" s="422"/>
    </row>
    <row r="29000" spans="191:191" x14ac:dyDescent="0.2">
      <c r="GI29000" s="422"/>
    </row>
    <row r="29001" spans="191:191" x14ac:dyDescent="0.2">
      <c r="GI29001" s="422"/>
    </row>
    <row r="29002" spans="191:191" x14ac:dyDescent="0.2">
      <c r="GI29002" s="422"/>
    </row>
    <row r="29003" spans="191:191" x14ac:dyDescent="0.2">
      <c r="GI29003" s="422"/>
    </row>
    <row r="29004" spans="191:191" x14ac:dyDescent="0.2">
      <c r="GI29004" s="422"/>
    </row>
    <row r="29005" spans="191:191" x14ac:dyDescent="0.2">
      <c r="GI29005" s="422"/>
    </row>
    <row r="29006" spans="191:191" x14ac:dyDescent="0.2">
      <c r="GI29006" s="422"/>
    </row>
    <row r="29007" spans="191:191" x14ac:dyDescent="0.2">
      <c r="GI29007" s="422"/>
    </row>
    <row r="29008" spans="191:191" x14ac:dyDescent="0.2">
      <c r="GI29008" s="422"/>
    </row>
    <row r="29009" spans="191:191" x14ac:dyDescent="0.2">
      <c r="GI29009" s="422"/>
    </row>
    <row r="29010" spans="191:191" x14ac:dyDescent="0.2">
      <c r="GI29010" s="422"/>
    </row>
    <row r="29011" spans="191:191" x14ac:dyDescent="0.2">
      <c r="GI29011" s="422"/>
    </row>
    <row r="29012" spans="191:191" x14ac:dyDescent="0.2">
      <c r="GI29012" s="422"/>
    </row>
    <row r="29013" spans="191:191" x14ac:dyDescent="0.2">
      <c r="GI29013" s="422"/>
    </row>
    <row r="29014" spans="191:191" x14ac:dyDescent="0.2">
      <c r="GI29014" s="422"/>
    </row>
    <row r="29015" spans="191:191" x14ac:dyDescent="0.2">
      <c r="GI29015" s="422"/>
    </row>
    <row r="29016" spans="191:191" x14ac:dyDescent="0.2">
      <c r="GI29016" s="422"/>
    </row>
    <row r="29017" spans="191:191" x14ac:dyDescent="0.2">
      <c r="GI29017" s="422"/>
    </row>
    <row r="29018" spans="191:191" x14ac:dyDescent="0.2">
      <c r="GI29018" s="422"/>
    </row>
    <row r="29019" spans="191:191" x14ac:dyDescent="0.2">
      <c r="GI29019" s="422"/>
    </row>
    <row r="29020" spans="191:191" x14ac:dyDescent="0.2">
      <c r="GI29020" s="422"/>
    </row>
    <row r="29021" spans="191:191" x14ac:dyDescent="0.2">
      <c r="GI29021" s="422"/>
    </row>
    <row r="29022" spans="191:191" x14ac:dyDescent="0.2">
      <c r="GI29022" s="422"/>
    </row>
    <row r="29023" spans="191:191" x14ac:dyDescent="0.2">
      <c r="GI29023" s="422"/>
    </row>
    <row r="29024" spans="191:191" x14ac:dyDescent="0.2">
      <c r="GI29024" s="422"/>
    </row>
    <row r="29025" spans="191:191" x14ac:dyDescent="0.2">
      <c r="GI29025" s="422"/>
    </row>
    <row r="29026" spans="191:191" x14ac:dyDescent="0.2">
      <c r="GI29026" s="422"/>
    </row>
    <row r="29027" spans="191:191" x14ac:dyDescent="0.2">
      <c r="GI29027" s="422"/>
    </row>
    <row r="29028" spans="191:191" x14ac:dyDescent="0.2">
      <c r="GI29028" s="422"/>
    </row>
    <row r="29029" spans="191:191" x14ac:dyDescent="0.2">
      <c r="GI29029" s="422"/>
    </row>
    <row r="29030" spans="191:191" x14ac:dyDescent="0.2">
      <c r="GI29030" s="422"/>
    </row>
    <row r="29031" spans="191:191" x14ac:dyDescent="0.2">
      <c r="GI29031" s="422"/>
    </row>
    <row r="29032" spans="191:191" x14ac:dyDescent="0.2">
      <c r="GI29032" s="422"/>
    </row>
    <row r="29033" spans="191:191" x14ac:dyDescent="0.2">
      <c r="GI29033" s="422"/>
    </row>
    <row r="29034" spans="191:191" x14ac:dyDescent="0.2">
      <c r="GI29034" s="422"/>
    </row>
    <row r="29035" spans="191:191" x14ac:dyDescent="0.2">
      <c r="GI29035" s="422"/>
    </row>
    <row r="29036" spans="191:191" x14ac:dyDescent="0.2">
      <c r="GI29036" s="422"/>
    </row>
    <row r="29037" spans="191:191" x14ac:dyDescent="0.2">
      <c r="GI29037" s="422"/>
    </row>
    <row r="29038" spans="191:191" x14ac:dyDescent="0.2">
      <c r="GI29038" s="422"/>
    </row>
    <row r="29039" spans="191:191" x14ac:dyDescent="0.2">
      <c r="GI29039" s="422"/>
    </row>
    <row r="29040" spans="191:191" x14ac:dyDescent="0.2">
      <c r="GI29040" s="422"/>
    </row>
    <row r="29041" spans="191:191" x14ac:dyDescent="0.2">
      <c r="GI29041" s="422"/>
    </row>
    <row r="29042" spans="191:191" x14ac:dyDescent="0.2">
      <c r="GI29042" s="422"/>
    </row>
    <row r="29043" spans="191:191" x14ac:dyDescent="0.2">
      <c r="GI29043" s="422"/>
    </row>
    <row r="29044" spans="191:191" x14ac:dyDescent="0.2">
      <c r="GI29044" s="422"/>
    </row>
    <row r="29045" spans="191:191" x14ac:dyDescent="0.2">
      <c r="GI29045" s="422"/>
    </row>
    <row r="29046" spans="191:191" x14ac:dyDescent="0.2">
      <c r="GI29046" s="422"/>
    </row>
    <row r="29047" spans="191:191" x14ac:dyDescent="0.2">
      <c r="GI29047" s="422"/>
    </row>
    <row r="29048" spans="191:191" x14ac:dyDescent="0.2">
      <c r="GI29048" s="422"/>
    </row>
    <row r="29049" spans="191:191" x14ac:dyDescent="0.2">
      <c r="GI29049" s="422"/>
    </row>
    <row r="29050" spans="191:191" x14ac:dyDescent="0.2">
      <c r="GI29050" s="422"/>
    </row>
    <row r="29051" spans="191:191" x14ac:dyDescent="0.2">
      <c r="GI29051" s="422"/>
    </row>
    <row r="29052" spans="191:191" x14ac:dyDescent="0.2">
      <c r="GI29052" s="422"/>
    </row>
    <row r="29053" spans="191:191" x14ac:dyDescent="0.2">
      <c r="GI29053" s="422"/>
    </row>
    <row r="29054" spans="191:191" x14ac:dyDescent="0.2">
      <c r="GI29054" s="422"/>
    </row>
    <row r="29055" spans="191:191" x14ac:dyDescent="0.2">
      <c r="GI29055" s="422"/>
    </row>
    <row r="29056" spans="191:191" x14ac:dyDescent="0.2">
      <c r="GI29056" s="422"/>
    </row>
    <row r="29057" spans="191:191" x14ac:dyDescent="0.2">
      <c r="GI29057" s="422"/>
    </row>
    <row r="29058" spans="191:191" x14ac:dyDescent="0.2">
      <c r="GI29058" s="422"/>
    </row>
    <row r="29059" spans="191:191" x14ac:dyDescent="0.2">
      <c r="GI29059" s="422"/>
    </row>
    <row r="29060" spans="191:191" x14ac:dyDescent="0.2">
      <c r="GI29060" s="422"/>
    </row>
    <row r="29061" spans="191:191" x14ac:dyDescent="0.2">
      <c r="GI29061" s="422"/>
    </row>
    <row r="29062" spans="191:191" x14ac:dyDescent="0.2">
      <c r="GI29062" s="422"/>
    </row>
    <row r="29063" spans="191:191" x14ac:dyDescent="0.2">
      <c r="GI29063" s="422"/>
    </row>
    <row r="29064" spans="191:191" x14ac:dyDescent="0.2">
      <c r="GI29064" s="422"/>
    </row>
    <row r="29065" spans="191:191" x14ac:dyDescent="0.2">
      <c r="GI29065" s="422"/>
    </row>
    <row r="29066" spans="191:191" x14ac:dyDescent="0.2">
      <c r="GI29066" s="422"/>
    </row>
    <row r="29067" spans="191:191" x14ac:dyDescent="0.2">
      <c r="GI29067" s="422"/>
    </row>
    <row r="29068" spans="191:191" x14ac:dyDescent="0.2">
      <c r="GI29068" s="422"/>
    </row>
    <row r="29069" spans="191:191" x14ac:dyDescent="0.2">
      <c r="GI29069" s="422"/>
    </row>
    <row r="29070" spans="191:191" x14ac:dyDescent="0.2">
      <c r="GI29070" s="422"/>
    </row>
    <row r="29071" spans="191:191" x14ac:dyDescent="0.2">
      <c r="GI29071" s="422"/>
    </row>
    <row r="29072" spans="191:191" x14ac:dyDescent="0.2">
      <c r="GI29072" s="422"/>
    </row>
    <row r="29073" spans="191:191" x14ac:dyDescent="0.2">
      <c r="GI29073" s="422"/>
    </row>
    <row r="29074" spans="191:191" x14ac:dyDescent="0.2">
      <c r="GI29074" s="422"/>
    </row>
    <row r="29075" spans="191:191" x14ac:dyDescent="0.2">
      <c r="GI29075" s="422"/>
    </row>
    <row r="29076" spans="191:191" x14ac:dyDescent="0.2">
      <c r="GI29076" s="422"/>
    </row>
    <row r="29077" spans="191:191" x14ac:dyDescent="0.2">
      <c r="GI29077" s="422"/>
    </row>
    <row r="29078" spans="191:191" x14ac:dyDescent="0.2">
      <c r="GI29078" s="422"/>
    </row>
    <row r="29079" spans="191:191" x14ac:dyDescent="0.2">
      <c r="GI29079" s="422"/>
    </row>
    <row r="29080" spans="191:191" x14ac:dyDescent="0.2">
      <c r="GI29080" s="422"/>
    </row>
    <row r="29081" spans="191:191" x14ac:dyDescent="0.2">
      <c r="GI29081" s="422"/>
    </row>
    <row r="29082" spans="191:191" x14ac:dyDescent="0.2">
      <c r="GI29082" s="422"/>
    </row>
    <row r="29083" spans="191:191" x14ac:dyDescent="0.2">
      <c r="GI29083" s="422"/>
    </row>
    <row r="29084" spans="191:191" x14ac:dyDescent="0.2">
      <c r="GI29084" s="422"/>
    </row>
    <row r="29085" spans="191:191" x14ac:dyDescent="0.2">
      <c r="GI29085" s="422"/>
    </row>
    <row r="29086" spans="191:191" x14ac:dyDescent="0.2">
      <c r="GI29086" s="422"/>
    </row>
    <row r="29087" spans="191:191" x14ac:dyDescent="0.2">
      <c r="GI29087" s="422"/>
    </row>
    <row r="29088" spans="191:191" x14ac:dyDescent="0.2">
      <c r="GI29088" s="422"/>
    </row>
    <row r="29089" spans="191:191" x14ac:dyDescent="0.2">
      <c r="GI29089" s="422"/>
    </row>
    <row r="29090" spans="191:191" x14ac:dyDescent="0.2">
      <c r="GI29090" s="422"/>
    </row>
    <row r="29091" spans="191:191" x14ac:dyDescent="0.2">
      <c r="GI29091" s="422"/>
    </row>
    <row r="29092" spans="191:191" x14ac:dyDescent="0.2">
      <c r="GI29092" s="422"/>
    </row>
    <row r="29093" spans="191:191" x14ac:dyDescent="0.2">
      <c r="GI29093" s="422"/>
    </row>
    <row r="29094" spans="191:191" x14ac:dyDescent="0.2">
      <c r="GI29094" s="422"/>
    </row>
    <row r="29095" spans="191:191" x14ac:dyDescent="0.2">
      <c r="GI29095" s="422"/>
    </row>
    <row r="29096" spans="191:191" x14ac:dyDescent="0.2">
      <c r="GI29096" s="422"/>
    </row>
    <row r="29097" spans="191:191" x14ac:dyDescent="0.2">
      <c r="GI29097" s="422"/>
    </row>
    <row r="29098" spans="191:191" x14ac:dyDescent="0.2">
      <c r="GI29098" s="422"/>
    </row>
    <row r="29099" spans="191:191" x14ac:dyDescent="0.2">
      <c r="GI29099" s="422"/>
    </row>
    <row r="29100" spans="191:191" x14ac:dyDescent="0.2">
      <c r="GI29100" s="422"/>
    </row>
    <row r="29101" spans="191:191" x14ac:dyDescent="0.2">
      <c r="GI29101" s="422"/>
    </row>
    <row r="29102" spans="191:191" x14ac:dyDescent="0.2">
      <c r="GI29102" s="422"/>
    </row>
    <row r="29103" spans="191:191" x14ac:dyDescent="0.2">
      <c r="GI29103" s="422"/>
    </row>
    <row r="29104" spans="191:191" x14ac:dyDescent="0.2">
      <c r="GI29104" s="422"/>
    </row>
    <row r="29105" spans="191:191" x14ac:dyDescent="0.2">
      <c r="GI29105" s="422"/>
    </row>
    <row r="29106" spans="191:191" x14ac:dyDescent="0.2">
      <c r="GI29106" s="422"/>
    </row>
    <row r="29107" spans="191:191" x14ac:dyDescent="0.2">
      <c r="GI29107" s="422"/>
    </row>
    <row r="29108" spans="191:191" x14ac:dyDescent="0.2">
      <c r="GI29108" s="422"/>
    </row>
    <row r="29109" spans="191:191" x14ac:dyDescent="0.2">
      <c r="GI29109" s="422"/>
    </row>
    <row r="29110" spans="191:191" x14ac:dyDescent="0.2">
      <c r="GI29110" s="422"/>
    </row>
    <row r="29111" spans="191:191" x14ac:dyDescent="0.2">
      <c r="GI29111" s="422"/>
    </row>
    <row r="29112" spans="191:191" x14ac:dyDescent="0.2">
      <c r="GI29112" s="422"/>
    </row>
    <row r="29113" spans="191:191" x14ac:dyDescent="0.2">
      <c r="GI29113" s="422"/>
    </row>
    <row r="29114" spans="191:191" x14ac:dyDescent="0.2">
      <c r="GI29114" s="422"/>
    </row>
    <row r="29115" spans="191:191" x14ac:dyDescent="0.2">
      <c r="GI29115" s="422"/>
    </row>
    <row r="29116" spans="191:191" x14ac:dyDescent="0.2">
      <c r="GI29116" s="422"/>
    </row>
    <row r="29117" spans="191:191" x14ac:dyDescent="0.2">
      <c r="GI29117" s="422"/>
    </row>
    <row r="29118" spans="191:191" x14ac:dyDescent="0.2">
      <c r="GI29118" s="422"/>
    </row>
    <row r="29119" spans="191:191" x14ac:dyDescent="0.2">
      <c r="GI29119" s="422"/>
    </row>
    <row r="29120" spans="191:191" x14ac:dyDescent="0.2">
      <c r="GI29120" s="422"/>
    </row>
    <row r="29121" spans="191:191" x14ac:dyDescent="0.2">
      <c r="GI29121" s="422"/>
    </row>
    <row r="29122" spans="191:191" x14ac:dyDescent="0.2">
      <c r="GI29122" s="422"/>
    </row>
    <row r="29123" spans="191:191" x14ac:dyDescent="0.2">
      <c r="GI29123" s="422"/>
    </row>
    <row r="29124" spans="191:191" x14ac:dyDescent="0.2">
      <c r="GI29124" s="422"/>
    </row>
    <row r="29125" spans="191:191" x14ac:dyDescent="0.2">
      <c r="GI29125" s="422"/>
    </row>
    <row r="29126" spans="191:191" x14ac:dyDescent="0.2">
      <c r="GI29126" s="422"/>
    </row>
    <row r="29127" spans="191:191" x14ac:dyDescent="0.2">
      <c r="GI29127" s="422"/>
    </row>
    <row r="29128" spans="191:191" x14ac:dyDescent="0.2">
      <c r="GI29128" s="422"/>
    </row>
    <row r="29129" spans="191:191" x14ac:dyDescent="0.2">
      <c r="GI29129" s="422"/>
    </row>
    <row r="29130" spans="191:191" x14ac:dyDescent="0.2">
      <c r="GI29130" s="422"/>
    </row>
    <row r="29131" spans="191:191" x14ac:dyDescent="0.2">
      <c r="GI29131" s="422"/>
    </row>
    <row r="29132" spans="191:191" x14ac:dyDescent="0.2">
      <c r="GI29132" s="422"/>
    </row>
    <row r="29133" spans="191:191" x14ac:dyDescent="0.2">
      <c r="GI29133" s="422"/>
    </row>
    <row r="29134" spans="191:191" x14ac:dyDescent="0.2">
      <c r="GI29134" s="422"/>
    </row>
    <row r="29135" spans="191:191" x14ac:dyDescent="0.2">
      <c r="GI29135" s="422"/>
    </row>
    <row r="29136" spans="191:191" x14ac:dyDescent="0.2">
      <c r="GI29136" s="422"/>
    </row>
    <row r="29137" spans="191:191" x14ac:dyDescent="0.2">
      <c r="GI29137" s="422"/>
    </row>
    <row r="29138" spans="191:191" x14ac:dyDescent="0.2">
      <c r="GI29138" s="422"/>
    </row>
    <row r="29139" spans="191:191" x14ac:dyDescent="0.2">
      <c r="GI29139" s="422"/>
    </row>
    <row r="29140" spans="191:191" x14ac:dyDescent="0.2">
      <c r="GI29140" s="422"/>
    </row>
    <row r="29141" spans="191:191" x14ac:dyDescent="0.2">
      <c r="GI29141" s="422"/>
    </row>
    <row r="29142" spans="191:191" x14ac:dyDescent="0.2">
      <c r="GI29142" s="422"/>
    </row>
    <row r="29143" spans="191:191" x14ac:dyDescent="0.2">
      <c r="GI29143" s="422"/>
    </row>
    <row r="29144" spans="191:191" x14ac:dyDescent="0.2">
      <c r="GI29144" s="422"/>
    </row>
    <row r="29145" spans="191:191" x14ac:dyDescent="0.2">
      <c r="GI29145" s="422"/>
    </row>
    <row r="29146" spans="191:191" x14ac:dyDescent="0.2">
      <c r="GI29146" s="422"/>
    </row>
    <row r="29147" spans="191:191" x14ac:dyDescent="0.2">
      <c r="GI29147" s="422"/>
    </row>
    <row r="29148" spans="191:191" x14ac:dyDescent="0.2">
      <c r="GI29148" s="422"/>
    </row>
    <row r="29149" spans="191:191" x14ac:dyDescent="0.2">
      <c r="GI29149" s="422"/>
    </row>
    <row r="29150" spans="191:191" x14ac:dyDescent="0.2">
      <c r="GI29150" s="422"/>
    </row>
    <row r="29151" spans="191:191" x14ac:dyDescent="0.2">
      <c r="GI29151" s="422"/>
    </row>
    <row r="29152" spans="191:191" x14ac:dyDescent="0.2">
      <c r="GI29152" s="422"/>
    </row>
    <row r="29153" spans="191:191" x14ac:dyDescent="0.2">
      <c r="GI29153" s="422"/>
    </row>
    <row r="29154" spans="191:191" x14ac:dyDescent="0.2">
      <c r="GI29154" s="422"/>
    </row>
    <row r="29155" spans="191:191" x14ac:dyDescent="0.2">
      <c r="GI29155" s="422"/>
    </row>
    <row r="29156" spans="191:191" x14ac:dyDescent="0.2">
      <c r="GI29156" s="422"/>
    </row>
    <row r="29157" spans="191:191" x14ac:dyDescent="0.2">
      <c r="GI29157" s="422"/>
    </row>
    <row r="29158" spans="191:191" x14ac:dyDescent="0.2">
      <c r="GI29158" s="422"/>
    </row>
    <row r="29159" spans="191:191" x14ac:dyDescent="0.2">
      <c r="GI29159" s="422"/>
    </row>
    <row r="29160" spans="191:191" x14ac:dyDescent="0.2">
      <c r="GI29160" s="422"/>
    </row>
    <row r="29161" spans="191:191" x14ac:dyDescent="0.2">
      <c r="GI29161" s="422"/>
    </row>
    <row r="29162" spans="191:191" x14ac:dyDescent="0.2">
      <c r="GI29162" s="422"/>
    </row>
    <row r="29163" spans="191:191" x14ac:dyDescent="0.2">
      <c r="GI29163" s="422"/>
    </row>
    <row r="29164" spans="191:191" x14ac:dyDescent="0.2">
      <c r="GI29164" s="422"/>
    </row>
    <row r="29165" spans="191:191" x14ac:dyDescent="0.2">
      <c r="GI29165" s="422"/>
    </row>
    <row r="29166" spans="191:191" x14ac:dyDescent="0.2">
      <c r="GI29166" s="422"/>
    </row>
    <row r="29167" spans="191:191" x14ac:dyDescent="0.2">
      <c r="GI29167" s="422"/>
    </row>
    <row r="29168" spans="191:191" x14ac:dyDescent="0.2">
      <c r="GI29168" s="422"/>
    </row>
    <row r="29169" spans="191:191" x14ac:dyDescent="0.2">
      <c r="GI29169" s="422"/>
    </row>
    <row r="29170" spans="191:191" x14ac:dyDescent="0.2">
      <c r="GI29170" s="422"/>
    </row>
    <row r="29171" spans="191:191" x14ac:dyDescent="0.2">
      <c r="GI29171" s="422"/>
    </row>
    <row r="29172" spans="191:191" x14ac:dyDescent="0.2">
      <c r="GI29172" s="422"/>
    </row>
    <row r="29173" spans="191:191" x14ac:dyDescent="0.2">
      <c r="GI29173" s="422"/>
    </row>
    <row r="29174" spans="191:191" x14ac:dyDescent="0.2">
      <c r="GI29174" s="422"/>
    </row>
    <row r="29175" spans="191:191" x14ac:dyDescent="0.2">
      <c r="GI29175" s="422"/>
    </row>
    <row r="29176" spans="191:191" x14ac:dyDescent="0.2">
      <c r="GI29176" s="422"/>
    </row>
    <row r="29177" spans="191:191" x14ac:dyDescent="0.2">
      <c r="GI29177" s="422"/>
    </row>
    <row r="29178" spans="191:191" x14ac:dyDescent="0.2">
      <c r="GI29178" s="422"/>
    </row>
    <row r="29179" spans="191:191" x14ac:dyDescent="0.2">
      <c r="GI29179" s="422"/>
    </row>
    <row r="29180" spans="191:191" x14ac:dyDescent="0.2">
      <c r="GI29180" s="422"/>
    </row>
    <row r="29181" spans="191:191" x14ac:dyDescent="0.2">
      <c r="GI29181" s="422"/>
    </row>
    <row r="29182" spans="191:191" x14ac:dyDescent="0.2">
      <c r="GI29182" s="422"/>
    </row>
    <row r="29183" spans="191:191" x14ac:dyDescent="0.2">
      <c r="GI29183" s="422"/>
    </row>
    <row r="29184" spans="191:191" x14ac:dyDescent="0.2">
      <c r="GI29184" s="422"/>
    </row>
    <row r="29185" spans="191:191" x14ac:dyDescent="0.2">
      <c r="GI29185" s="422"/>
    </row>
    <row r="29186" spans="191:191" x14ac:dyDescent="0.2">
      <c r="GI29186" s="422"/>
    </row>
    <row r="29187" spans="191:191" x14ac:dyDescent="0.2">
      <c r="GI29187" s="422"/>
    </row>
    <row r="29188" spans="191:191" x14ac:dyDescent="0.2">
      <c r="GI29188" s="422"/>
    </row>
    <row r="29189" spans="191:191" x14ac:dyDescent="0.2">
      <c r="GI29189" s="422"/>
    </row>
    <row r="29190" spans="191:191" x14ac:dyDescent="0.2">
      <c r="GI29190" s="422"/>
    </row>
    <row r="29191" spans="191:191" x14ac:dyDescent="0.2">
      <c r="GI29191" s="422"/>
    </row>
    <row r="29192" spans="191:191" x14ac:dyDescent="0.2">
      <c r="GI29192" s="422"/>
    </row>
    <row r="29193" spans="191:191" x14ac:dyDescent="0.2">
      <c r="GI29193" s="422"/>
    </row>
    <row r="29194" spans="191:191" x14ac:dyDescent="0.2">
      <c r="GI29194" s="422"/>
    </row>
    <row r="29195" spans="191:191" x14ac:dyDescent="0.2">
      <c r="GI29195" s="422"/>
    </row>
    <row r="29196" spans="191:191" x14ac:dyDescent="0.2">
      <c r="GI29196" s="422"/>
    </row>
    <row r="29197" spans="191:191" x14ac:dyDescent="0.2">
      <c r="GI29197" s="422"/>
    </row>
    <row r="29198" spans="191:191" x14ac:dyDescent="0.2">
      <c r="GI29198" s="422"/>
    </row>
    <row r="29199" spans="191:191" x14ac:dyDescent="0.2">
      <c r="GI29199" s="422"/>
    </row>
    <row r="29200" spans="191:191" x14ac:dyDescent="0.2">
      <c r="GI29200" s="422"/>
    </row>
    <row r="29201" spans="191:191" x14ac:dyDescent="0.2">
      <c r="GI29201" s="422"/>
    </row>
    <row r="29202" spans="191:191" x14ac:dyDescent="0.2">
      <c r="GI29202" s="422"/>
    </row>
    <row r="29203" spans="191:191" x14ac:dyDescent="0.2">
      <c r="GI29203" s="422"/>
    </row>
    <row r="29204" spans="191:191" x14ac:dyDescent="0.2">
      <c r="GI29204" s="422"/>
    </row>
    <row r="29205" spans="191:191" x14ac:dyDescent="0.2">
      <c r="GI29205" s="422"/>
    </row>
    <row r="29206" spans="191:191" x14ac:dyDescent="0.2">
      <c r="GI29206" s="422"/>
    </row>
    <row r="29207" spans="191:191" x14ac:dyDescent="0.2">
      <c r="GI29207" s="422"/>
    </row>
    <row r="29208" spans="191:191" x14ac:dyDescent="0.2">
      <c r="GI29208" s="422"/>
    </row>
    <row r="29209" spans="191:191" x14ac:dyDescent="0.2">
      <c r="GI29209" s="422"/>
    </row>
    <row r="29210" spans="191:191" x14ac:dyDescent="0.2">
      <c r="GI29210" s="422"/>
    </row>
    <row r="29211" spans="191:191" x14ac:dyDescent="0.2">
      <c r="GI29211" s="422"/>
    </row>
    <row r="29212" spans="191:191" x14ac:dyDescent="0.2">
      <c r="GI29212" s="422"/>
    </row>
    <row r="29213" spans="191:191" x14ac:dyDescent="0.2">
      <c r="GI29213" s="422"/>
    </row>
    <row r="29214" spans="191:191" x14ac:dyDescent="0.2">
      <c r="GI29214" s="422"/>
    </row>
    <row r="29215" spans="191:191" x14ac:dyDescent="0.2">
      <c r="GI29215" s="422"/>
    </row>
    <row r="29216" spans="191:191" x14ac:dyDescent="0.2">
      <c r="GI29216" s="422"/>
    </row>
    <row r="29217" spans="191:191" x14ac:dyDescent="0.2">
      <c r="GI29217" s="422"/>
    </row>
    <row r="29218" spans="191:191" x14ac:dyDescent="0.2">
      <c r="GI29218" s="422"/>
    </row>
    <row r="29219" spans="191:191" x14ac:dyDescent="0.2">
      <c r="GI29219" s="422"/>
    </row>
    <row r="29220" spans="191:191" x14ac:dyDescent="0.2">
      <c r="GI29220" s="422"/>
    </row>
    <row r="29221" spans="191:191" x14ac:dyDescent="0.2">
      <c r="GI29221" s="422"/>
    </row>
    <row r="29222" spans="191:191" x14ac:dyDescent="0.2">
      <c r="GI29222" s="422"/>
    </row>
    <row r="29223" spans="191:191" x14ac:dyDescent="0.2">
      <c r="GI29223" s="422"/>
    </row>
    <row r="29224" spans="191:191" x14ac:dyDescent="0.2">
      <c r="GI29224" s="422"/>
    </row>
    <row r="29225" spans="191:191" x14ac:dyDescent="0.2">
      <c r="GI29225" s="422"/>
    </row>
    <row r="29226" spans="191:191" x14ac:dyDescent="0.2">
      <c r="GI29226" s="422"/>
    </row>
    <row r="29227" spans="191:191" x14ac:dyDescent="0.2">
      <c r="GI29227" s="422"/>
    </row>
    <row r="29228" spans="191:191" x14ac:dyDescent="0.2">
      <c r="GI29228" s="422"/>
    </row>
    <row r="29229" spans="191:191" x14ac:dyDescent="0.2">
      <c r="GI29229" s="422"/>
    </row>
    <row r="29230" spans="191:191" x14ac:dyDescent="0.2">
      <c r="GI29230" s="422"/>
    </row>
    <row r="29231" spans="191:191" x14ac:dyDescent="0.2">
      <c r="GI29231" s="422"/>
    </row>
    <row r="29232" spans="191:191" x14ac:dyDescent="0.2">
      <c r="GI29232" s="422"/>
    </row>
    <row r="29233" spans="191:191" x14ac:dyDescent="0.2">
      <c r="GI29233" s="422"/>
    </row>
    <row r="29234" spans="191:191" x14ac:dyDescent="0.2">
      <c r="GI29234" s="422"/>
    </row>
    <row r="29235" spans="191:191" x14ac:dyDescent="0.2">
      <c r="GI29235" s="422"/>
    </row>
    <row r="29236" spans="191:191" x14ac:dyDescent="0.2">
      <c r="GI29236" s="422"/>
    </row>
    <row r="29237" spans="191:191" x14ac:dyDescent="0.2">
      <c r="GI29237" s="422"/>
    </row>
    <row r="29238" spans="191:191" x14ac:dyDescent="0.2">
      <c r="GI29238" s="422"/>
    </row>
    <row r="29239" spans="191:191" x14ac:dyDescent="0.2">
      <c r="GI29239" s="422"/>
    </row>
    <row r="29240" spans="191:191" x14ac:dyDescent="0.2">
      <c r="GI29240" s="422"/>
    </row>
    <row r="29241" spans="191:191" x14ac:dyDescent="0.2">
      <c r="GI29241" s="422"/>
    </row>
    <row r="29242" spans="191:191" x14ac:dyDescent="0.2">
      <c r="GI29242" s="422"/>
    </row>
    <row r="29243" spans="191:191" x14ac:dyDescent="0.2">
      <c r="GI29243" s="422"/>
    </row>
    <row r="29244" spans="191:191" x14ac:dyDescent="0.2">
      <c r="GI29244" s="422"/>
    </row>
    <row r="29245" spans="191:191" x14ac:dyDescent="0.2">
      <c r="GI29245" s="422"/>
    </row>
    <row r="29246" spans="191:191" x14ac:dyDescent="0.2">
      <c r="GI29246" s="422"/>
    </row>
    <row r="29247" spans="191:191" x14ac:dyDescent="0.2">
      <c r="GI29247" s="422"/>
    </row>
    <row r="29248" spans="191:191" x14ac:dyDescent="0.2">
      <c r="GI29248" s="422"/>
    </row>
    <row r="29249" spans="191:191" x14ac:dyDescent="0.2">
      <c r="GI29249" s="422"/>
    </row>
    <row r="29250" spans="191:191" x14ac:dyDescent="0.2">
      <c r="GI29250" s="422"/>
    </row>
    <row r="29251" spans="191:191" x14ac:dyDescent="0.2">
      <c r="GI29251" s="422"/>
    </row>
    <row r="29252" spans="191:191" x14ac:dyDescent="0.2">
      <c r="GI29252" s="422"/>
    </row>
    <row r="29253" spans="191:191" x14ac:dyDescent="0.2">
      <c r="GI29253" s="422"/>
    </row>
    <row r="29254" spans="191:191" x14ac:dyDescent="0.2">
      <c r="GI29254" s="422"/>
    </row>
    <row r="29255" spans="191:191" x14ac:dyDescent="0.2">
      <c r="GI29255" s="422"/>
    </row>
    <row r="29256" spans="191:191" x14ac:dyDescent="0.2">
      <c r="GI29256" s="422"/>
    </row>
    <row r="29257" spans="191:191" x14ac:dyDescent="0.2">
      <c r="GI29257" s="422"/>
    </row>
    <row r="29258" spans="191:191" x14ac:dyDescent="0.2">
      <c r="GI29258" s="422"/>
    </row>
    <row r="29259" spans="191:191" x14ac:dyDescent="0.2">
      <c r="GI29259" s="422"/>
    </row>
    <row r="29260" spans="191:191" x14ac:dyDescent="0.2">
      <c r="GI29260" s="422"/>
    </row>
    <row r="29261" spans="191:191" x14ac:dyDescent="0.2">
      <c r="GI29261" s="422"/>
    </row>
    <row r="29262" spans="191:191" x14ac:dyDescent="0.2">
      <c r="GI29262" s="422"/>
    </row>
    <row r="29263" spans="191:191" x14ac:dyDescent="0.2">
      <c r="GI29263" s="422"/>
    </row>
    <row r="29264" spans="191:191" x14ac:dyDescent="0.2">
      <c r="GI29264" s="422"/>
    </row>
    <row r="29265" spans="191:191" x14ac:dyDescent="0.2">
      <c r="GI29265" s="422"/>
    </row>
    <row r="29266" spans="191:191" x14ac:dyDescent="0.2">
      <c r="GI29266" s="422"/>
    </row>
    <row r="29267" spans="191:191" x14ac:dyDescent="0.2">
      <c r="GI29267" s="422"/>
    </row>
    <row r="29268" spans="191:191" x14ac:dyDescent="0.2">
      <c r="GI29268" s="422"/>
    </row>
    <row r="29269" spans="191:191" x14ac:dyDescent="0.2">
      <c r="GI29269" s="422"/>
    </row>
    <row r="29270" spans="191:191" x14ac:dyDescent="0.2">
      <c r="GI29270" s="422"/>
    </row>
    <row r="29271" spans="191:191" x14ac:dyDescent="0.2">
      <c r="GI29271" s="422"/>
    </row>
    <row r="29272" spans="191:191" x14ac:dyDescent="0.2">
      <c r="GI29272" s="422"/>
    </row>
    <row r="29273" spans="191:191" x14ac:dyDescent="0.2">
      <c r="GI29273" s="422"/>
    </row>
    <row r="29274" spans="191:191" x14ac:dyDescent="0.2">
      <c r="GI29274" s="422"/>
    </row>
    <row r="29275" spans="191:191" x14ac:dyDescent="0.2">
      <c r="GI29275" s="422"/>
    </row>
    <row r="29276" spans="191:191" x14ac:dyDescent="0.2">
      <c r="GI29276" s="422"/>
    </row>
    <row r="29277" spans="191:191" x14ac:dyDescent="0.2">
      <c r="GI29277" s="422"/>
    </row>
    <row r="29278" spans="191:191" x14ac:dyDescent="0.2">
      <c r="GI29278" s="422"/>
    </row>
    <row r="29279" spans="191:191" x14ac:dyDescent="0.2">
      <c r="GI29279" s="422"/>
    </row>
    <row r="29280" spans="191:191" x14ac:dyDescent="0.2">
      <c r="GI29280" s="422"/>
    </row>
    <row r="29281" spans="191:191" x14ac:dyDescent="0.2">
      <c r="GI29281" s="422"/>
    </row>
    <row r="29282" spans="191:191" x14ac:dyDescent="0.2">
      <c r="GI29282" s="422"/>
    </row>
    <row r="29283" spans="191:191" x14ac:dyDescent="0.2">
      <c r="GI29283" s="422"/>
    </row>
    <row r="29284" spans="191:191" x14ac:dyDescent="0.2">
      <c r="GI29284" s="422"/>
    </row>
    <row r="29285" spans="191:191" x14ac:dyDescent="0.2">
      <c r="GI29285" s="422"/>
    </row>
    <row r="29286" spans="191:191" x14ac:dyDescent="0.2">
      <c r="GI29286" s="422"/>
    </row>
    <row r="29287" spans="191:191" x14ac:dyDescent="0.2">
      <c r="GI29287" s="422"/>
    </row>
    <row r="29288" spans="191:191" x14ac:dyDescent="0.2">
      <c r="GI29288" s="422"/>
    </row>
    <row r="29289" spans="191:191" x14ac:dyDescent="0.2">
      <c r="GI29289" s="422"/>
    </row>
    <row r="29290" spans="191:191" x14ac:dyDescent="0.2">
      <c r="GI29290" s="422"/>
    </row>
    <row r="29291" spans="191:191" x14ac:dyDescent="0.2">
      <c r="GI29291" s="422"/>
    </row>
    <row r="29292" spans="191:191" x14ac:dyDescent="0.2">
      <c r="GI29292" s="422"/>
    </row>
    <row r="29293" spans="191:191" x14ac:dyDescent="0.2">
      <c r="GI29293" s="422"/>
    </row>
    <row r="29294" spans="191:191" x14ac:dyDescent="0.2">
      <c r="GI29294" s="422"/>
    </row>
    <row r="29295" spans="191:191" x14ac:dyDescent="0.2">
      <c r="GI29295" s="422"/>
    </row>
    <row r="29296" spans="191:191" x14ac:dyDescent="0.2">
      <c r="GI29296" s="422"/>
    </row>
    <row r="29297" spans="191:191" x14ac:dyDescent="0.2">
      <c r="GI29297" s="422"/>
    </row>
    <row r="29298" spans="191:191" x14ac:dyDescent="0.2">
      <c r="GI29298" s="422"/>
    </row>
    <row r="29299" spans="191:191" x14ac:dyDescent="0.2">
      <c r="GI29299" s="422"/>
    </row>
    <row r="29300" spans="191:191" x14ac:dyDescent="0.2">
      <c r="GI29300" s="422"/>
    </row>
    <row r="29301" spans="191:191" x14ac:dyDescent="0.2">
      <c r="GI29301" s="422"/>
    </row>
    <row r="29302" spans="191:191" x14ac:dyDescent="0.2">
      <c r="GI29302" s="422"/>
    </row>
    <row r="29303" spans="191:191" x14ac:dyDescent="0.2">
      <c r="GI29303" s="422"/>
    </row>
    <row r="29304" spans="191:191" x14ac:dyDescent="0.2">
      <c r="GI29304" s="422"/>
    </row>
    <row r="29305" spans="191:191" x14ac:dyDescent="0.2">
      <c r="GI29305" s="422"/>
    </row>
    <row r="29306" spans="191:191" x14ac:dyDescent="0.2">
      <c r="GI29306" s="422"/>
    </row>
    <row r="29307" spans="191:191" x14ac:dyDescent="0.2">
      <c r="GI29307" s="422"/>
    </row>
    <row r="29308" spans="191:191" x14ac:dyDescent="0.2">
      <c r="GI29308" s="422"/>
    </row>
    <row r="29309" spans="191:191" x14ac:dyDescent="0.2">
      <c r="GI29309" s="422"/>
    </row>
    <row r="29310" spans="191:191" x14ac:dyDescent="0.2">
      <c r="GI29310" s="422"/>
    </row>
    <row r="29311" spans="191:191" x14ac:dyDescent="0.2">
      <c r="GI29311" s="422"/>
    </row>
    <row r="29312" spans="191:191" x14ac:dyDescent="0.2">
      <c r="GI29312" s="422"/>
    </row>
    <row r="29313" spans="191:191" x14ac:dyDescent="0.2">
      <c r="GI29313" s="422"/>
    </row>
    <row r="29314" spans="191:191" x14ac:dyDescent="0.2">
      <c r="GI29314" s="422"/>
    </row>
    <row r="29315" spans="191:191" x14ac:dyDescent="0.2">
      <c r="GI29315" s="422"/>
    </row>
    <row r="29316" spans="191:191" x14ac:dyDescent="0.2">
      <c r="GI29316" s="422"/>
    </row>
    <row r="29317" spans="191:191" x14ac:dyDescent="0.2">
      <c r="GI29317" s="422"/>
    </row>
    <row r="29318" spans="191:191" x14ac:dyDescent="0.2">
      <c r="GI29318" s="422"/>
    </row>
    <row r="29319" spans="191:191" x14ac:dyDescent="0.2">
      <c r="GI29319" s="422"/>
    </row>
    <row r="29320" spans="191:191" x14ac:dyDescent="0.2">
      <c r="GI29320" s="422"/>
    </row>
    <row r="29321" spans="191:191" x14ac:dyDescent="0.2">
      <c r="GI29321" s="422"/>
    </row>
    <row r="29322" spans="191:191" x14ac:dyDescent="0.2">
      <c r="GI29322" s="422"/>
    </row>
    <row r="29323" spans="191:191" x14ac:dyDescent="0.2">
      <c r="GI29323" s="422"/>
    </row>
    <row r="29324" spans="191:191" x14ac:dyDescent="0.2">
      <c r="GI29324" s="422"/>
    </row>
    <row r="29325" spans="191:191" x14ac:dyDescent="0.2">
      <c r="GI29325" s="422"/>
    </row>
    <row r="29326" spans="191:191" x14ac:dyDescent="0.2">
      <c r="GI29326" s="422"/>
    </row>
    <row r="29327" spans="191:191" x14ac:dyDescent="0.2">
      <c r="GI29327" s="422"/>
    </row>
    <row r="29328" spans="191:191" x14ac:dyDescent="0.2">
      <c r="GI29328" s="422"/>
    </row>
    <row r="29329" spans="191:191" x14ac:dyDescent="0.2">
      <c r="GI29329" s="422"/>
    </row>
    <row r="29330" spans="191:191" x14ac:dyDescent="0.2">
      <c r="GI29330" s="422"/>
    </row>
    <row r="29331" spans="191:191" x14ac:dyDescent="0.2">
      <c r="GI29331" s="422"/>
    </row>
    <row r="29332" spans="191:191" x14ac:dyDescent="0.2">
      <c r="GI29332" s="422"/>
    </row>
    <row r="29333" spans="191:191" x14ac:dyDescent="0.2">
      <c r="GI29333" s="422"/>
    </row>
    <row r="29334" spans="191:191" x14ac:dyDescent="0.2">
      <c r="GI29334" s="422"/>
    </row>
    <row r="29335" spans="191:191" x14ac:dyDescent="0.2">
      <c r="GI29335" s="422"/>
    </row>
    <row r="29336" spans="191:191" x14ac:dyDescent="0.2">
      <c r="GI29336" s="422"/>
    </row>
    <row r="29337" spans="191:191" x14ac:dyDescent="0.2">
      <c r="GI29337" s="422"/>
    </row>
    <row r="29338" spans="191:191" x14ac:dyDescent="0.2">
      <c r="GI29338" s="422"/>
    </row>
    <row r="29339" spans="191:191" x14ac:dyDescent="0.2">
      <c r="GI29339" s="422"/>
    </row>
    <row r="29340" spans="191:191" x14ac:dyDescent="0.2">
      <c r="GI29340" s="422"/>
    </row>
    <row r="29341" spans="191:191" x14ac:dyDescent="0.2">
      <c r="GI29341" s="422"/>
    </row>
    <row r="29342" spans="191:191" x14ac:dyDescent="0.2">
      <c r="GI29342" s="422"/>
    </row>
    <row r="29343" spans="191:191" x14ac:dyDescent="0.2">
      <c r="GI29343" s="422"/>
    </row>
    <row r="29344" spans="191:191" x14ac:dyDescent="0.2">
      <c r="GI29344" s="422"/>
    </row>
    <row r="29345" spans="191:191" x14ac:dyDescent="0.2">
      <c r="GI29345" s="422"/>
    </row>
    <row r="29346" spans="191:191" x14ac:dyDescent="0.2">
      <c r="GI29346" s="422"/>
    </row>
    <row r="29347" spans="191:191" x14ac:dyDescent="0.2">
      <c r="GI29347" s="422"/>
    </row>
    <row r="29348" spans="191:191" x14ac:dyDescent="0.2">
      <c r="GI29348" s="422"/>
    </row>
    <row r="29349" spans="191:191" x14ac:dyDescent="0.2">
      <c r="GI29349" s="422"/>
    </row>
    <row r="29350" spans="191:191" x14ac:dyDescent="0.2">
      <c r="GI29350" s="422"/>
    </row>
    <row r="29351" spans="191:191" x14ac:dyDescent="0.2">
      <c r="GI29351" s="422"/>
    </row>
    <row r="29352" spans="191:191" x14ac:dyDescent="0.2">
      <c r="GI29352" s="422"/>
    </row>
    <row r="29353" spans="191:191" x14ac:dyDescent="0.2">
      <c r="GI29353" s="422"/>
    </row>
    <row r="29354" spans="191:191" x14ac:dyDescent="0.2">
      <c r="GI29354" s="422"/>
    </row>
    <row r="29355" spans="191:191" x14ac:dyDescent="0.2">
      <c r="GI29355" s="422"/>
    </row>
    <row r="29356" spans="191:191" x14ac:dyDescent="0.2">
      <c r="GI29356" s="422"/>
    </row>
    <row r="29357" spans="191:191" x14ac:dyDescent="0.2">
      <c r="GI29357" s="422"/>
    </row>
    <row r="29358" spans="191:191" x14ac:dyDescent="0.2">
      <c r="GI29358" s="422"/>
    </row>
    <row r="29359" spans="191:191" x14ac:dyDescent="0.2">
      <c r="GI29359" s="422"/>
    </row>
    <row r="29360" spans="191:191" x14ac:dyDescent="0.2">
      <c r="GI29360" s="422"/>
    </row>
    <row r="29361" spans="191:191" x14ac:dyDescent="0.2">
      <c r="GI29361" s="422"/>
    </row>
    <row r="29362" spans="191:191" x14ac:dyDescent="0.2">
      <c r="GI29362" s="422"/>
    </row>
    <row r="29363" spans="191:191" x14ac:dyDescent="0.2">
      <c r="GI29363" s="422"/>
    </row>
    <row r="29364" spans="191:191" x14ac:dyDescent="0.2">
      <c r="GI29364" s="422"/>
    </row>
    <row r="29365" spans="191:191" x14ac:dyDescent="0.2">
      <c r="GI29365" s="422"/>
    </row>
    <row r="29366" spans="191:191" x14ac:dyDescent="0.2">
      <c r="GI29366" s="422"/>
    </row>
    <row r="29367" spans="191:191" x14ac:dyDescent="0.2">
      <c r="GI29367" s="422"/>
    </row>
    <row r="29368" spans="191:191" x14ac:dyDescent="0.2">
      <c r="GI29368" s="422"/>
    </row>
    <row r="29369" spans="191:191" x14ac:dyDescent="0.2">
      <c r="GI29369" s="422"/>
    </row>
    <row r="29370" spans="191:191" x14ac:dyDescent="0.2">
      <c r="GI29370" s="422"/>
    </row>
    <row r="29371" spans="191:191" x14ac:dyDescent="0.2">
      <c r="GI29371" s="422"/>
    </row>
    <row r="29372" spans="191:191" x14ac:dyDescent="0.2">
      <c r="GI29372" s="422"/>
    </row>
    <row r="29373" spans="191:191" x14ac:dyDescent="0.2">
      <c r="GI29373" s="422"/>
    </row>
    <row r="29374" spans="191:191" x14ac:dyDescent="0.2">
      <c r="GI29374" s="422"/>
    </row>
    <row r="29375" spans="191:191" x14ac:dyDescent="0.2">
      <c r="GI29375" s="422"/>
    </row>
    <row r="29376" spans="191:191" x14ac:dyDescent="0.2">
      <c r="GI29376" s="422"/>
    </row>
    <row r="29377" spans="191:191" x14ac:dyDescent="0.2">
      <c r="GI29377" s="422"/>
    </row>
    <row r="29378" spans="191:191" x14ac:dyDescent="0.2">
      <c r="GI29378" s="422"/>
    </row>
    <row r="29379" spans="191:191" x14ac:dyDescent="0.2">
      <c r="GI29379" s="422"/>
    </row>
    <row r="29380" spans="191:191" x14ac:dyDescent="0.2">
      <c r="GI29380" s="422"/>
    </row>
    <row r="29381" spans="191:191" x14ac:dyDescent="0.2">
      <c r="GI29381" s="422"/>
    </row>
    <row r="29382" spans="191:191" x14ac:dyDescent="0.2">
      <c r="GI29382" s="422"/>
    </row>
    <row r="29383" spans="191:191" x14ac:dyDescent="0.2">
      <c r="GI29383" s="422"/>
    </row>
    <row r="29384" spans="191:191" x14ac:dyDescent="0.2">
      <c r="GI29384" s="422"/>
    </row>
    <row r="29385" spans="191:191" x14ac:dyDescent="0.2">
      <c r="GI29385" s="422"/>
    </row>
    <row r="29386" spans="191:191" x14ac:dyDescent="0.2">
      <c r="GI29386" s="422"/>
    </row>
    <row r="29387" spans="191:191" x14ac:dyDescent="0.2">
      <c r="GI29387" s="422"/>
    </row>
    <row r="29388" spans="191:191" x14ac:dyDescent="0.2">
      <c r="GI29388" s="422"/>
    </row>
    <row r="29389" spans="191:191" x14ac:dyDescent="0.2">
      <c r="GI29389" s="422"/>
    </row>
    <row r="29390" spans="191:191" x14ac:dyDescent="0.2">
      <c r="GI29390" s="422"/>
    </row>
    <row r="29391" spans="191:191" x14ac:dyDescent="0.2">
      <c r="GI29391" s="422"/>
    </row>
    <row r="29392" spans="191:191" x14ac:dyDescent="0.2">
      <c r="GI29392" s="422"/>
    </row>
    <row r="29393" spans="191:191" x14ac:dyDescent="0.2">
      <c r="GI29393" s="422"/>
    </row>
    <row r="29394" spans="191:191" x14ac:dyDescent="0.2">
      <c r="GI29394" s="422"/>
    </row>
    <row r="29395" spans="191:191" x14ac:dyDescent="0.2">
      <c r="GI29395" s="422"/>
    </row>
    <row r="29396" spans="191:191" x14ac:dyDescent="0.2">
      <c r="GI29396" s="422"/>
    </row>
    <row r="29397" spans="191:191" x14ac:dyDescent="0.2">
      <c r="GI29397" s="422"/>
    </row>
    <row r="29398" spans="191:191" x14ac:dyDescent="0.2">
      <c r="GI29398" s="422"/>
    </row>
    <row r="29399" spans="191:191" x14ac:dyDescent="0.2">
      <c r="GI29399" s="422"/>
    </row>
    <row r="29400" spans="191:191" x14ac:dyDescent="0.2">
      <c r="GI29400" s="422"/>
    </row>
    <row r="29401" spans="191:191" x14ac:dyDescent="0.2">
      <c r="GI29401" s="422"/>
    </row>
    <row r="29402" spans="191:191" x14ac:dyDescent="0.2">
      <c r="GI29402" s="422"/>
    </row>
    <row r="29403" spans="191:191" x14ac:dyDescent="0.2">
      <c r="GI29403" s="422"/>
    </row>
    <row r="29404" spans="191:191" x14ac:dyDescent="0.2">
      <c r="GI29404" s="422"/>
    </row>
    <row r="29405" spans="191:191" x14ac:dyDescent="0.2">
      <c r="GI29405" s="422"/>
    </row>
    <row r="29406" spans="191:191" x14ac:dyDescent="0.2">
      <c r="GI29406" s="422"/>
    </row>
    <row r="29407" spans="191:191" x14ac:dyDescent="0.2">
      <c r="GI29407" s="422"/>
    </row>
    <row r="29408" spans="191:191" x14ac:dyDescent="0.2">
      <c r="GI29408" s="422"/>
    </row>
    <row r="29409" spans="191:191" x14ac:dyDescent="0.2">
      <c r="GI29409" s="422"/>
    </row>
    <row r="29410" spans="191:191" x14ac:dyDescent="0.2">
      <c r="GI29410" s="422"/>
    </row>
    <row r="29411" spans="191:191" x14ac:dyDescent="0.2">
      <c r="GI29411" s="422"/>
    </row>
    <row r="29412" spans="191:191" x14ac:dyDescent="0.2">
      <c r="GI29412" s="422"/>
    </row>
    <row r="29413" spans="191:191" x14ac:dyDescent="0.2">
      <c r="GI29413" s="422"/>
    </row>
    <row r="29414" spans="191:191" x14ac:dyDescent="0.2">
      <c r="GI29414" s="422"/>
    </row>
    <row r="29415" spans="191:191" x14ac:dyDescent="0.2">
      <c r="GI29415" s="422"/>
    </row>
    <row r="29416" spans="191:191" x14ac:dyDescent="0.2">
      <c r="GI29416" s="422"/>
    </row>
    <row r="29417" spans="191:191" x14ac:dyDescent="0.2">
      <c r="GI29417" s="422"/>
    </row>
    <row r="29418" spans="191:191" x14ac:dyDescent="0.2">
      <c r="GI29418" s="422"/>
    </row>
    <row r="29419" spans="191:191" x14ac:dyDescent="0.2">
      <c r="GI29419" s="422"/>
    </row>
    <row r="29420" spans="191:191" x14ac:dyDescent="0.2">
      <c r="GI29420" s="422"/>
    </row>
    <row r="29421" spans="191:191" x14ac:dyDescent="0.2">
      <c r="GI29421" s="422"/>
    </row>
    <row r="29422" spans="191:191" x14ac:dyDescent="0.2">
      <c r="GI29422" s="422"/>
    </row>
    <row r="29423" spans="191:191" x14ac:dyDescent="0.2">
      <c r="GI29423" s="422"/>
    </row>
    <row r="29424" spans="191:191" x14ac:dyDescent="0.2">
      <c r="GI29424" s="422"/>
    </row>
    <row r="29425" spans="191:191" x14ac:dyDescent="0.2">
      <c r="GI29425" s="422"/>
    </row>
    <row r="29426" spans="191:191" x14ac:dyDescent="0.2">
      <c r="GI29426" s="422"/>
    </row>
    <row r="29427" spans="191:191" x14ac:dyDescent="0.2">
      <c r="GI29427" s="422"/>
    </row>
    <row r="29428" spans="191:191" x14ac:dyDescent="0.2">
      <c r="GI29428" s="422"/>
    </row>
    <row r="29429" spans="191:191" x14ac:dyDescent="0.2">
      <c r="GI29429" s="422"/>
    </row>
    <row r="29430" spans="191:191" x14ac:dyDescent="0.2">
      <c r="GI29430" s="422"/>
    </row>
    <row r="29431" spans="191:191" x14ac:dyDescent="0.2">
      <c r="GI29431" s="422"/>
    </row>
    <row r="29432" spans="191:191" x14ac:dyDescent="0.2">
      <c r="GI29432" s="422"/>
    </row>
    <row r="29433" spans="191:191" x14ac:dyDescent="0.2">
      <c r="GI29433" s="422"/>
    </row>
    <row r="29434" spans="191:191" x14ac:dyDescent="0.2">
      <c r="GI29434" s="422"/>
    </row>
    <row r="29435" spans="191:191" x14ac:dyDescent="0.2">
      <c r="GI29435" s="422"/>
    </row>
    <row r="29436" spans="191:191" x14ac:dyDescent="0.2">
      <c r="GI29436" s="422"/>
    </row>
    <row r="29437" spans="191:191" x14ac:dyDescent="0.2">
      <c r="GI29437" s="422"/>
    </row>
    <row r="29438" spans="191:191" x14ac:dyDescent="0.2">
      <c r="GI29438" s="422"/>
    </row>
    <row r="29439" spans="191:191" x14ac:dyDescent="0.2">
      <c r="GI29439" s="422"/>
    </row>
    <row r="29440" spans="191:191" x14ac:dyDescent="0.2">
      <c r="GI29440" s="422"/>
    </row>
    <row r="29441" spans="191:191" x14ac:dyDescent="0.2">
      <c r="GI29441" s="422"/>
    </row>
    <row r="29442" spans="191:191" x14ac:dyDescent="0.2">
      <c r="GI29442" s="422"/>
    </row>
    <row r="29443" spans="191:191" x14ac:dyDescent="0.2">
      <c r="GI29443" s="422"/>
    </row>
    <row r="29444" spans="191:191" x14ac:dyDescent="0.2">
      <c r="GI29444" s="422"/>
    </row>
    <row r="29445" spans="191:191" x14ac:dyDescent="0.2">
      <c r="GI29445" s="422"/>
    </row>
    <row r="29446" spans="191:191" x14ac:dyDescent="0.2">
      <c r="GI29446" s="422"/>
    </row>
    <row r="29447" spans="191:191" x14ac:dyDescent="0.2">
      <c r="GI29447" s="422"/>
    </row>
    <row r="29448" spans="191:191" x14ac:dyDescent="0.2">
      <c r="GI29448" s="422"/>
    </row>
    <row r="29449" spans="191:191" x14ac:dyDescent="0.2">
      <c r="GI29449" s="422"/>
    </row>
    <row r="29450" spans="191:191" x14ac:dyDescent="0.2">
      <c r="GI29450" s="422"/>
    </row>
    <row r="29451" spans="191:191" x14ac:dyDescent="0.2">
      <c r="GI29451" s="422"/>
    </row>
    <row r="29452" spans="191:191" x14ac:dyDescent="0.2">
      <c r="GI29452" s="422"/>
    </row>
    <row r="29453" spans="191:191" x14ac:dyDescent="0.2">
      <c r="GI29453" s="422"/>
    </row>
    <row r="29454" spans="191:191" x14ac:dyDescent="0.2">
      <c r="GI29454" s="422"/>
    </row>
    <row r="29455" spans="191:191" x14ac:dyDescent="0.2">
      <c r="GI29455" s="422"/>
    </row>
    <row r="29456" spans="191:191" x14ac:dyDescent="0.2">
      <c r="GI29456" s="422"/>
    </row>
    <row r="29457" spans="191:191" x14ac:dyDescent="0.2">
      <c r="GI29457" s="422"/>
    </row>
    <row r="29458" spans="191:191" x14ac:dyDescent="0.2">
      <c r="GI29458" s="422"/>
    </row>
    <row r="29459" spans="191:191" x14ac:dyDescent="0.2">
      <c r="GI29459" s="422"/>
    </row>
    <row r="29460" spans="191:191" x14ac:dyDescent="0.2">
      <c r="GI29460" s="422"/>
    </row>
    <row r="29461" spans="191:191" x14ac:dyDescent="0.2">
      <c r="GI29461" s="422"/>
    </row>
    <row r="29462" spans="191:191" x14ac:dyDescent="0.2">
      <c r="GI29462" s="422"/>
    </row>
    <row r="29463" spans="191:191" x14ac:dyDescent="0.2">
      <c r="GI29463" s="422"/>
    </row>
    <row r="29464" spans="191:191" x14ac:dyDescent="0.2">
      <c r="GI29464" s="422"/>
    </row>
    <row r="29465" spans="191:191" x14ac:dyDescent="0.2">
      <c r="GI29465" s="422"/>
    </row>
    <row r="29466" spans="191:191" x14ac:dyDescent="0.2">
      <c r="GI29466" s="422"/>
    </row>
    <row r="29467" spans="191:191" x14ac:dyDescent="0.2">
      <c r="GI29467" s="422"/>
    </row>
    <row r="29468" spans="191:191" x14ac:dyDescent="0.2">
      <c r="GI29468" s="422"/>
    </row>
    <row r="29469" spans="191:191" x14ac:dyDescent="0.2">
      <c r="GI29469" s="422"/>
    </row>
    <row r="29470" spans="191:191" x14ac:dyDescent="0.2">
      <c r="GI29470" s="422"/>
    </row>
    <row r="29471" spans="191:191" x14ac:dyDescent="0.2">
      <c r="GI29471" s="422"/>
    </row>
    <row r="29472" spans="191:191" x14ac:dyDescent="0.2">
      <c r="GI29472" s="422"/>
    </row>
    <row r="29473" spans="191:191" x14ac:dyDescent="0.2">
      <c r="GI29473" s="422"/>
    </row>
    <row r="29474" spans="191:191" x14ac:dyDescent="0.2">
      <c r="GI29474" s="422"/>
    </row>
    <row r="29475" spans="191:191" x14ac:dyDescent="0.2">
      <c r="GI29475" s="422"/>
    </row>
    <row r="29476" spans="191:191" x14ac:dyDescent="0.2">
      <c r="GI29476" s="422"/>
    </row>
    <row r="29477" spans="191:191" x14ac:dyDescent="0.2">
      <c r="GI29477" s="422"/>
    </row>
    <row r="29478" spans="191:191" x14ac:dyDescent="0.2">
      <c r="GI29478" s="422"/>
    </row>
    <row r="29479" spans="191:191" x14ac:dyDescent="0.2">
      <c r="GI29479" s="422"/>
    </row>
    <row r="29480" spans="191:191" x14ac:dyDescent="0.2">
      <c r="GI29480" s="422"/>
    </row>
    <row r="29481" spans="191:191" x14ac:dyDescent="0.2">
      <c r="GI29481" s="422"/>
    </row>
    <row r="29482" spans="191:191" x14ac:dyDescent="0.2">
      <c r="GI29482" s="422"/>
    </row>
    <row r="29483" spans="191:191" x14ac:dyDescent="0.2">
      <c r="GI29483" s="422"/>
    </row>
    <row r="29484" spans="191:191" x14ac:dyDescent="0.2">
      <c r="GI29484" s="422"/>
    </row>
    <row r="29485" spans="191:191" x14ac:dyDescent="0.2">
      <c r="GI29485" s="422"/>
    </row>
    <row r="29486" spans="191:191" x14ac:dyDescent="0.2">
      <c r="GI29486" s="422"/>
    </row>
    <row r="29487" spans="191:191" x14ac:dyDescent="0.2">
      <c r="GI29487" s="422"/>
    </row>
    <row r="29488" spans="191:191" x14ac:dyDescent="0.2">
      <c r="GI29488" s="422"/>
    </row>
    <row r="29489" spans="191:191" x14ac:dyDescent="0.2">
      <c r="GI29489" s="422"/>
    </row>
    <row r="29490" spans="191:191" x14ac:dyDescent="0.2">
      <c r="GI29490" s="422"/>
    </row>
    <row r="29491" spans="191:191" x14ac:dyDescent="0.2">
      <c r="GI29491" s="422"/>
    </row>
    <row r="29492" spans="191:191" x14ac:dyDescent="0.2">
      <c r="GI29492" s="422"/>
    </row>
    <row r="29493" spans="191:191" x14ac:dyDescent="0.2">
      <c r="GI29493" s="422"/>
    </row>
    <row r="29494" spans="191:191" x14ac:dyDescent="0.2">
      <c r="GI29494" s="422"/>
    </row>
    <row r="29495" spans="191:191" x14ac:dyDescent="0.2">
      <c r="GI29495" s="422"/>
    </row>
    <row r="29496" spans="191:191" x14ac:dyDescent="0.2">
      <c r="GI29496" s="422"/>
    </row>
    <row r="29497" spans="191:191" x14ac:dyDescent="0.2">
      <c r="GI29497" s="422"/>
    </row>
    <row r="29498" spans="191:191" x14ac:dyDescent="0.2">
      <c r="GI29498" s="422"/>
    </row>
    <row r="29499" spans="191:191" x14ac:dyDescent="0.2">
      <c r="GI29499" s="422"/>
    </row>
    <row r="29500" spans="191:191" x14ac:dyDescent="0.2">
      <c r="GI29500" s="422"/>
    </row>
    <row r="29501" spans="191:191" x14ac:dyDescent="0.2">
      <c r="GI29501" s="422"/>
    </row>
    <row r="29502" spans="191:191" x14ac:dyDescent="0.2">
      <c r="GI29502" s="422"/>
    </row>
    <row r="29503" spans="191:191" x14ac:dyDescent="0.2">
      <c r="GI29503" s="422"/>
    </row>
    <row r="29504" spans="191:191" x14ac:dyDescent="0.2">
      <c r="GI29504" s="422"/>
    </row>
    <row r="29505" spans="191:191" x14ac:dyDescent="0.2">
      <c r="GI29505" s="422"/>
    </row>
    <row r="29506" spans="191:191" x14ac:dyDescent="0.2">
      <c r="GI29506" s="422"/>
    </row>
    <row r="29507" spans="191:191" x14ac:dyDescent="0.2">
      <c r="GI29507" s="422"/>
    </row>
    <row r="29508" spans="191:191" x14ac:dyDescent="0.2">
      <c r="GI29508" s="422"/>
    </row>
    <row r="29509" spans="191:191" x14ac:dyDescent="0.2">
      <c r="GI29509" s="422"/>
    </row>
    <row r="29510" spans="191:191" x14ac:dyDescent="0.2">
      <c r="GI29510" s="422"/>
    </row>
    <row r="29511" spans="191:191" x14ac:dyDescent="0.2">
      <c r="GI29511" s="422"/>
    </row>
    <row r="29512" spans="191:191" x14ac:dyDescent="0.2">
      <c r="GI29512" s="422"/>
    </row>
    <row r="29513" spans="191:191" x14ac:dyDescent="0.2">
      <c r="GI29513" s="422"/>
    </row>
    <row r="29514" spans="191:191" x14ac:dyDescent="0.2">
      <c r="GI29514" s="422"/>
    </row>
    <row r="29515" spans="191:191" x14ac:dyDescent="0.2">
      <c r="GI29515" s="422"/>
    </row>
    <row r="29516" spans="191:191" x14ac:dyDescent="0.2">
      <c r="GI29516" s="422"/>
    </row>
    <row r="29517" spans="191:191" x14ac:dyDescent="0.2">
      <c r="GI29517" s="422"/>
    </row>
    <row r="29518" spans="191:191" x14ac:dyDescent="0.2">
      <c r="GI29518" s="422"/>
    </row>
    <row r="29519" spans="191:191" x14ac:dyDescent="0.2">
      <c r="GI29519" s="422"/>
    </row>
    <row r="29520" spans="191:191" x14ac:dyDescent="0.2">
      <c r="GI29520" s="422"/>
    </row>
    <row r="29521" spans="191:191" x14ac:dyDescent="0.2">
      <c r="GI29521" s="422"/>
    </row>
    <row r="29522" spans="191:191" x14ac:dyDescent="0.2">
      <c r="GI29522" s="422"/>
    </row>
    <row r="29523" spans="191:191" x14ac:dyDescent="0.2">
      <c r="GI29523" s="422"/>
    </row>
    <row r="29524" spans="191:191" x14ac:dyDescent="0.2">
      <c r="GI29524" s="422"/>
    </row>
    <row r="29525" spans="191:191" x14ac:dyDescent="0.2">
      <c r="GI29525" s="422"/>
    </row>
    <row r="29526" spans="191:191" x14ac:dyDescent="0.2">
      <c r="GI29526" s="422"/>
    </row>
    <row r="29527" spans="191:191" x14ac:dyDescent="0.2">
      <c r="GI29527" s="422"/>
    </row>
    <row r="29528" spans="191:191" x14ac:dyDescent="0.2">
      <c r="GI29528" s="422"/>
    </row>
    <row r="29529" spans="191:191" x14ac:dyDescent="0.2">
      <c r="GI29529" s="422"/>
    </row>
    <row r="29530" spans="191:191" x14ac:dyDescent="0.2">
      <c r="GI29530" s="422"/>
    </row>
    <row r="29531" spans="191:191" x14ac:dyDescent="0.2">
      <c r="GI29531" s="422"/>
    </row>
    <row r="29532" spans="191:191" x14ac:dyDescent="0.2">
      <c r="GI29532" s="422"/>
    </row>
    <row r="29533" spans="191:191" x14ac:dyDescent="0.2">
      <c r="GI29533" s="422"/>
    </row>
    <row r="29534" spans="191:191" x14ac:dyDescent="0.2">
      <c r="GI29534" s="422"/>
    </row>
    <row r="29535" spans="191:191" x14ac:dyDescent="0.2">
      <c r="GI29535" s="422"/>
    </row>
    <row r="29536" spans="191:191" x14ac:dyDescent="0.2">
      <c r="GI29536" s="422"/>
    </row>
    <row r="29537" spans="191:191" x14ac:dyDescent="0.2">
      <c r="GI29537" s="422"/>
    </row>
    <row r="29538" spans="191:191" x14ac:dyDescent="0.2">
      <c r="GI29538" s="422"/>
    </row>
    <row r="29539" spans="191:191" x14ac:dyDescent="0.2">
      <c r="GI29539" s="422"/>
    </row>
    <row r="29540" spans="191:191" x14ac:dyDescent="0.2">
      <c r="GI29540" s="422"/>
    </row>
    <row r="29541" spans="191:191" x14ac:dyDescent="0.2">
      <c r="GI29541" s="422"/>
    </row>
    <row r="29542" spans="191:191" x14ac:dyDescent="0.2">
      <c r="GI29542" s="422"/>
    </row>
    <row r="29543" spans="191:191" x14ac:dyDescent="0.2">
      <c r="GI29543" s="422"/>
    </row>
    <row r="29544" spans="191:191" x14ac:dyDescent="0.2">
      <c r="GI29544" s="422"/>
    </row>
    <row r="29545" spans="191:191" x14ac:dyDescent="0.2">
      <c r="GI29545" s="422"/>
    </row>
    <row r="29546" spans="191:191" x14ac:dyDescent="0.2">
      <c r="GI29546" s="422"/>
    </row>
    <row r="29547" spans="191:191" x14ac:dyDescent="0.2">
      <c r="GI29547" s="422"/>
    </row>
    <row r="29548" spans="191:191" x14ac:dyDescent="0.2">
      <c r="GI29548" s="422"/>
    </row>
    <row r="29549" spans="191:191" x14ac:dyDescent="0.2">
      <c r="GI29549" s="422"/>
    </row>
    <row r="29550" spans="191:191" x14ac:dyDescent="0.2">
      <c r="GI29550" s="422"/>
    </row>
    <row r="29551" spans="191:191" x14ac:dyDescent="0.2">
      <c r="GI29551" s="422"/>
    </row>
    <row r="29552" spans="191:191" x14ac:dyDescent="0.2">
      <c r="GI29552" s="422"/>
    </row>
    <row r="29553" spans="191:191" x14ac:dyDescent="0.2">
      <c r="GI29553" s="422"/>
    </row>
    <row r="29554" spans="191:191" x14ac:dyDescent="0.2">
      <c r="GI29554" s="422"/>
    </row>
    <row r="29555" spans="191:191" x14ac:dyDescent="0.2">
      <c r="GI29555" s="422"/>
    </row>
    <row r="29556" spans="191:191" x14ac:dyDescent="0.2">
      <c r="GI29556" s="422"/>
    </row>
    <row r="29557" spans="191:191" x14ac:dyDescent="0.2">
      <c r="GI29557" s="422"/>
    </row>
    <row r="29558" spans="191:191" x14ac:dyDescent="0.2">
      <c r="GI29558" s="422"/>
    </row>
    <row r="29559" spans="191:191" x14ac:dyDescent="0.2">
      <c r="GI29559" s="422"/>
    </row>
    <row r="29560" spans="191:191" x14ac:dyDescent="0.2">
      <c r="GI29560" s="422"/>
    </row>
    <row r="29561" spans="191:191" x14ac:dyDescent="0.2">
      <c r="GI29561" s="422"/>
    </row>
    <row r="29562" spans="191:191" x14ac:dyDescent="0.2">
      <c r="GI29562" s="422"/>
    </row>
    <row r="29563" spans="191:191" x14ac:dyDescent="0.2">
      <c r="GI29563" s="422"/>
    </row>
    <row r="29564" spans="191:191" x14ac:dyDescent="0.2">
      <c r="GI29564" s="422"/>
    </row>
    <row r="29565" spans="191:191" x14ac:dyDescent="0.2">
      <c r="GI29565" s="422"/>
    </row>
    <row r="29566" spans="191:191" x14ac:dyDescent="0.2">
      <c r="GI29566" s="422"/>
    </row>
    <row r="29567" spans="191:191" x14ac:dyDescent="0.2">
      <c r="GI29567" s="422"/>
    </row>
    <row r="29568" spans="191:191" x14ac:dyDescent="0.2">
      <c r="GI29568" s="422"/>
    </row>
    <row r="29569" spans="191:191" x14ac:dyDescent="0.2">
      <c r="GI29569" s="422"/>
    </row>
    <row r="29570" spans="191:191" x14ac:dyDescent="0.2">
      <c r="GI29570" s="422"/>
    </row>
    <row r="29571" spans="191:191" x14ac:dyDescent="0.2">
      <c r="GI29571" s="422"/>
    </row>
    <row r="29572" spans="191:191" x14ac:dyDescent="0.2">
      <c r="GI29572" s="422"/>
    </row>
    <row r="29573" spans="191:191" x14ac:dyDescent="0.2">
      <c r="GI29573" s="422"/>
    </row>
    <row r="29574" spans="191:191" x14ac:dyDescent="0.2">
      <c r="GI29574" s="422"/>
    </row>
    <row r="29575" spans="191:191" x14ac:dyDescent="0.2">
      <c r="GI29575" s="422"/>
    </row>
    <row r="29576" spans="191:191" x14ac:dyDescent="0.2">
      <c r="GI29576" s="422"/>
    </row>
    <row r="29577" spans="191:191" x14ac:dyDescent="0.2">
      <c r="GI29577" s="422"/>
    </row>
    <row r="29578" spans="191:191" x14ac:dyDescent="0.2">
      <c r="GI29578" s="422"/>
    </row>
    <row r="29579" spans="191:191" x14ac:dyDescent="0.2">
      <c r="GI29579" s="422"/>
    </row>
    <row r="29580" spans="191:191" x14ac:dyDescent="0.2">
      <c r="GI29580" s="422"/>
    </row>
    <row r="29581" spans="191:191" x14ac:dyDescent="0.2">
      <c r="GI29581" s="422"/>
    </row>
    <row r="29582" spans="191:191" x14ac:dyDescent="0.2">
      <c r="GI29582" s="422"/>
    </row>
    <row r="29583" spans="191:191" x14ac:dyDescent="0.2">
      <c r="GI29583" s="422"/>
    </row>
    <row r="29584" spans="191:191" x14ac:dyDescent="0.2">
      <c r="GI29584" s="422"/>
    </row>
    <row r="29585" spans="191:191" x14ac:dyDescent="0.2">
      <c r="GI29585" s="422"/>
    </row>
    <row r="29586" spans="191:191" x14ac:dyDescent="0.2">
      <c r="GI29586" s="422"/>
    </row>
    <row r="29587" spans="191:191" x14ac:dyDescent="0.2">
      <c r="GI29587" s="422"/>
    </row>
    <row r="29588" spans="191:191" x14ac:dyDescent="0.2">
      <c r="GI29588" s="422"/>
    </row>
    <row r="29589" spans="191:191" x14ac:dyDescent="0.2">
      <c r="GI29589" s="422"/>
    </row>
    <row r="29590" spans="191:191" x14ac:dyDescent="0.2">
      <c r="GI29590" s="422"/>
    </row>
    <row r="29591" spans="191:191" x14ac:dyDescent="0.2">
      <c r="GI29591" s="422"/>
    </row>
    <row r="29592" spans="191:191" x14ac:dyDescent="0.2">
      <c r="GI29592" s="422"/>
    </row>
    <row r="29593" spans="191:191" x14ac:dyDescent="0.2">
      <c r="GI29593" s="422"/>
    </row>
    <row r="29594" spans="191:191" x14ac:dyDescent="0.2">
      <c r="GI29594" s="422"/>
    </row>
    <row r="29595" spans="191:191" x14ac:dyDescent="0.2">
      <c r="GI29595" s="422"/>
    </row>
    <row r="29596" spans="191:191" x14ac:dyDescent="0.2">
      <c r="GI29596" s="422"/>
    </row>
    <row r="29597" spans="191:191" x14ac:dyDescent="0.2">
      <c r="GI29597" s="422"/>
    </row>
    <row r="29598" spans="191:191" x14ac:dyDescent="0.2">
      <c r="GI29598" s="422"/>
    </row>
    <row r="29599" spans="191:191" x14ac:dyDescent="0.2">
      <c r="GI29599" s="422"/>
    </row>
    <row r="29600" spans="191:191" x14ac:dyDescent="0.2">
      <c r="GI29600" s="422"/>
    </row>
    <row r="29601" spans="191:191" x14ac:dyDescent="0.2">
      <c r="GI29601" s="422"/>
    </row>
    <row r="29602" spans="191:191" x14ac:dyDescent="0.2">
      <c r="GI29602" s="422"/>
    </row>
    <row r="29603" spans="191:191" x14ac:dyDescent="0.2">
      <c r="GI29603" s="422"/>
    </row>
    <row r="29604" spans="191:191" x14ac:dyDescent="0.2">
      <c r="GI29604" s="422"/>
    </row>
    <row r="29605" spans="191:191" x14ac:dyDescent="0.2">
      <c r="GI29605" s="422"/>
    </row>
    <row r="29606" spans="191:191" x14ac:dyDescent="0.2">
      <c r="GI29606" s="422"/>
    </row>
    <row r="29607" spans="191:191" x14ac:dyDescent="0.2">
      <c r="GI29607" s="422"/>
    </row>
    <row r="29608" spans="191:191" x14ac:dyDescent="0.2">
      <c r="GI29608" s="422"/>
    </row>
    <row r="29609" spans="191:191" x14ac:dyDescent="0.2">
      <c r="GI29609" s="422"/>
    </row>
    <row r="29610" spans="191:191" x14ac:dyDescent="0.2">
      <c r="GI29610" s="422"/>
    </row>
    <row r="29611" spans="191:191" x14ac:dyDescent="0.2">
      <c r="GI29611" s="422"/>
    </row>
    <row r="29612" spans="191:191" x14ac:dyDescent="0.2">
      <c r="GI29612" s="422"/>
    </row>
    <row r="29613" spans="191:191" x14ac:dyDescent="0.2">
      <c r="GI29613" s="422"/>
    </row>
    <row r="29614" spans="191:191" x14ac:dyDescent="0.2">
      <c r="GI29614" s="422"/>
    </row>
    <row r="29615" spans="191:191" x14ac:dyDescent="0.2">
      <c r="GI29615" s="422"/>
    </row>
    <row r="29616" spans="191:191" x14ac:dyDescent="0.2">
      <c r="GI29616" s="422"/>
    </row>
    <row r="29617" spans="191:191" x14ac:dyDescent="0.2">
      <c r="GI29617" s="422"/>
    </row>
    <row r="29618" spans="191:191" x14ac:dyDescent="0.2">
      <c r="GI29618" s="422"/>
    </row>
    <row r="29619" spans="191:191" x14ac:dyDescent="0.2">
      <c r="GI29619" s="422"/>
    </row>
    <row r="29620" spans="191:191" x14ac:dyDescent="0.2">
      <c r="GI29620" s="422"/>
    </row>
    <row r="29621" spans="191:191" x14ac:dyDescent="0.2">
      <c r="GI29621" s="422"/>
    </row>
    <row r="29622" spans="191:191" x14ac:dyDescent="0.2">
      <c r="GI29622" s="422"/>
    </row>
    <row r="29623" spans="191:191" x14ac:dyDescent="0.2">
      <c r="GI29623" s="422"/>
    </row>
    <row r="29624" spans="191:191" x14ac:dyDescent="0.2">
      <c r="GI29624" s="422"/>
    </row>
    <row r="29625" spans="191:191" x14ac:dyDescent="0.2">
      <c r="GI29625" s="422"/>
    </row>
    <row r="29626" spans="191:191" x14ac:dyDescent="0.2">
      <c r="GI29626" s="422"/>
    </row>
    <row r="29627" spans="191:191" x14ac:dyDescent="0.2">
      <c r="GI29627" s="422"/>
    </row>
    <row r="29628" spans="191:191" x14ac:dyDescent="0.2">
      <c r="GI29628" s="422"/>
    </row>
    <row r="29629" spans="191:191" x14ac:dyDescent="0.2">
      <c r="GI29629" s="422"/>
    </row>
    <row r="29630" spans="191:191" x14ac:dyDescent="0.2">
      <c r="GI29630" s="422"/>
    </row>
    <row r="29631" spans="191:191" x14ac:dyDescent="0.2">
      <c r="GI29631" s="422"/>
    </row>
    <row r="29632" spans="191:191" x14ac:dyDescent="0.2">
      <c r="GI29632" s="422"/>
    </row>
    <row r="29633" spans="191:191" x14ac:dyDescent="0.2">
      <c r="GI29633" s="422"/>
    </row>
    <row r="29634" spans="191:191" x14ac:dyDescent="0.2">
      <c r="GI29634" s="422"/>
    </row>
    <row r="29635" spans="191:191" x14ac:dyDescent="0.2">
      <c r="GI29635" s="422"/>
    </row>
    <row r="29636" spans="191:191" x14ac:dyDescent="0.2">
      <c r="GI29636" s="422"/>
    </row>
    <row r="29637" spans="191:191" x14ac:dyDescent="0.2">
      <c r="GI29637" s="422"/>
    </row>
    <row r="29638" spans="191:191" x14ac:dyDescent="0.2">
      <c r="GI29638" s="422"/>
    </row>
    <row r="29639" spans="191:191" x14ac:dyDescent="0.2">
      <c r="GI29639" s="422"/>
    </row>
    <row r="29640" spans="191:191" x14ac:dyDescent="0.2">
      <c r="GI29640" s="422"/>
    </row>
    <row r="29641" spans="191:191" x14ac:dyDescent="0.2">
      <c r="GI29641" s="422"/>
    </row>
    <row r="29642" spans="191:191" x14ac:dyDescent="0.2">
      <c r="GI29642" s="422"/>
    </row>
    <row r="29643" spans="191:191" x14ac:dyDescent="0.2">
      <c r="GI29643" s="422"/>
    </row>
    <row r="29644" spans="191:191" x14ac:dyDescent="0.2">
      <c r="GI29644" s="422"/>
    </row>
    <row r="29645" spans="191:191" x14ac:dyDescent="0.2">
      <c r="GI29645" s="422"/>
    </row>
    <row r="29646" spans="191:191" x14ac:dyDescent="0.2">
      <c r="GI29646" s="422"/>
    </row>
    <row r="29647" spans="191:191" x14ac:dyDescent="0.2">
      <c r="GI29647" s="422"/>
    </row>
    <row r="29648" spans="191:191" x14ac:dyDescent="0.2">
      <c r="GI29648" s="422"/>
    </row>
    <row r="29649" spans="191:191" x14ac:dyDescent="0.2">
      <c r="GI29649" s="422"/>
    </row>
    <row r="29650" spans="191:191" x14ac:dyDescent="0.2">
      <c r="GI29650" s="422"/>
    </row>
    <row r="29651" spans="191:191" x14ac:dyDescent="0.2">
      <c r="GI29651" s="422"/>
    </row>
    <row r="29652" spans="191:191" x14ac:dyDescent="0.2">
      <c r="GI29652" s="422"/>
    </row>
    <row r="29653" spans="191:191" x14ac:dyDescent="0.2">
      <c r="GI29653" s="422"/>
    </row>
    <row r="29654" spans="191:191" x14ac:dyDescent="0.2">
      <c r="GI29654" s="422"/>
    </row>
    <row r="29655" spans="191:191" x14ac:dyDescent="0.2">
      <c r="GI29655" s="422"/>
    </row>
    <row r="29656" spans="191:191" x14ac:dyDescent="0.2">
      <c r="GI29656" s="422"/>
    </row>
    <row r="29657" spans="191:191" x14ac:dyDescent="0.2">
      <c r="GI29657" s="422"/>
    </row>
    <row r="29658" spans="191:191" x14ac:dyDescent="0.2">
      <c r="GI29658" s="422"/>
    </row>
    <row r="29659" spans="191:191" x14ac:dyDescent="0.2">
      <c r="GI29659" s="422"/>
    </row>
    <row r="29660" spans="191:191" x14ac:dyDescent="0.2">
      <c r="GI29660" s="422"/>
    </row>
    <row r="29661" spans="191:191" x14ac:dyDescent="0.2">
      <c r="GI29661" s="422"/>
    </row>
    <row r="29662" spans="191:191" x14ac:dyDescent="0.2">
      <c r="GI29662" s="422"/>
    </row>
    <row r="29663" spans="191:191" x14ac:dyDescent="0.2">
      <c r="GI29663" s="422"/>
    </row>
    <row r="29664" spans="191:191" x14ac:dyDescent="0.2">
      <c r="GI29664" s="422"/>
    </row>
    <row r="29665" spans="191:191" x14ac:dyDescent="0.2">
      <c r="GI29665" s="422"/>
    </row>
    <row r="29666" spans="191:191" x14ac:dyDescent="0.2">
      <c r="GI29666" s="422"/>
    </row>
    <row r="29667" spans="191:191" x14ac:dyDescent="0.2">
      <c r="GI29667" s="422"/>
    </row>
    <row r="29668" spans="191:191" x14ac:dyDescent="0.2">
      <c r="GI29668" s="422"/>
    </row>
    <row r="29669" spans="191:191" x14ac:dyDescent="0.2">
      <c r="GI29669" s="422"/>
    </row>
    <row r="29670" spans="191:191" x14ac:dyDescent="0.2">
      <c r="GI29670" s="422"/>
    </row>
    <row r="29671" spans="191:191" x14ac:dyDescent="0.2">
      <c r="GI29671" s="422"/>
    </row>
    <row r="29672" spans="191:191" x14ac:dyDescent="0.2">
      <c r="GI29672" s="422"/>
    </row>
    <row r="29673" spans="191:191" x14ac:dyDescent="0.2">
      <c r="GI29673" s="422"/>
    </row>
    <row r="29674" spans="191:191" x14ac:dyDescent="0.2">
      <c r="GI29674" s="422"/>
    </row>
    <row r="29675" spans="191:191" x14ac:dyDescent="0.2">
      <c r="GI29675" s="422"/>
    </row>
    <row r="29676" spans="191:191" x14ac:dyDescent="0.2">
      <c r="GI29676" s="422"/>
    </row>
    <row r="29677" spans="191:191" x14ac:dyDescent="0.2">
      <c r="GI29677" s="422"/>
    </row>
    <row r="29678" spans="191:191" x14ac:dyDescent="0.2">
      <c r="GI29678" s="422"/>
    </row>
    <row r="29679" spans="191:191" x14ac:dyDescent="0.2">
      <c r="GI29679" s="422"/>
    </row>
    <row r="29680" spans="191:191" x14ac:dyDescent="0.2">
      <c r="GI29680" s="422"/>
    </row>
    <row r="29681" spans="191:191" x14ac:dyDescent="0.2">
      <c r="GI29681" s="422"/>
    </row>
    <row r="29682" spans="191:191" x14ac:dyDescent="0.2">
      <c r="GI29682" s="422"/>
    </row>
    <row r="29683" spans="191:191" x14ac:dyDescent="0.2">
      <c r="GI29683" s="422"/>
    </row>
    <row r="29684" spans="191:191" x14ac:dyDescent="0.2">
      <c r="GI29684" s="422"/>
    </row>
    <row r="29685" spans="191:191" x14ac:dyDescent="0.2">
      <c r="GI29685" s="422"/>
    </row>
    <row r="29686" spans="191:191" x14ac:dyDescent="0.2">
      <c r="GI29686" s="422"/>
    </row>
    <row r="29687" spans="191:191" x14ac:dyDescent="0.2">
      <c r="GI29687" s="422"/>
    </row>
    <row r="29688" spans="191:191" x14ac:dyDescent="0.2">
      <c r="GI29688" s="422"/>
    </row>
    <row r="29689" spans="191:191" x14ac:dyDescent="0.2">
      <c r="GI29689" s="422"/>
    </row>
    <row r="29690" spans="191:191" x14ac:dyDescent="0.2">
      <c r="GI29690" s="422"/>
    </row>
    <row r="29691" spans="191:191" x14ac:dyDescent="0.2">
      <c r="GI29691" s="422"/>
    </row>
    <row r="29692" spans="191:191" x14ac:dyDescent="0.2">
      <c r="GI29692" s="422"/>
    </row>
    <row r="29693" spans="191:191" x14ac:dyDescent="0.2">
      <c r="GI29693" s="422"/>
    </row>
    <row r="29694" spans="191:191" x14ac:dyDescent="0.2">
      <c r="GI29694" s="422"/>
    </row>
    <row r="29695" spans="191:191" x14ac:dyDescent="0.2">
      <c r="GI29695" s="422"/>
    </row>
    <row r="29696" spans="191:191" x14ac:dyDescent="0.2">
      <c r="GI29696" s="422"/>
    </row>
    <row r="29697" spans="191:191" x14ac:dyDescent="0.2">
      <c r="GI29697" s="422"/>
    </row>
    <row r="29698" spans="191:191" x14ac:dyDescent="0.2">
      <c r="GI29698" s="422"/>
    </row>
    <row r="29699" spans="191:191" x14ac:dyDescent="0.2">
      <c r="GI29699" s="422"/>
    </row>
    <row r="29700" spans="191:191" x14ac:dyDescent="0.2">
      <c r="GI29700" s="422"/>
    </row>
    <row r="29701" spans="191:191" x14ac:dyDescent="0.2">
      <c r="GI29701" s="422"/>
    </row>
    <row r="29702" spans="191:191" x14ac:dyDescent="0.2">
      <c r="GI29702" s="422"/>
    </row>
    <row r="29703" spans="191:191" x14ac:dyDescent="0.2">
      <c r="GI29703" s="422"/>
    </row>
    <row r="29704" spans="191:191" x14ac:dyDescent="0.2">
      <c r="GI29704" s="422"/>
    </row>
    <row r="29705" spans="191:191" x14ac:dyDescent="0.2">
      <c r="GI29705" s="422"/>
    </row>
    <row r="29706" spans="191:191" x14ac:dyDescent="0.2">
      <c r="GI29706" s="422"/>
    </row>
    <row r="29707" spans="191:191" x14ac:dyDescent="0.2">
      <c r="GI29707" s="422"/>
    </row>
    <row r="29708" spans="191:191" x14ac:dyDescent="0.2">
      <c r="GI29708" s="422"/>
    </row>
    <row r="29709" spans="191:191" x14ac:dyDescent="0.2">
      <c r="GI29709" s="422"/>
    </row>
    <row r="29710" spans="191:191" x14ac:dyDescent="0.2">
      <c r="GI29710" s="422"/>
    </row>
    <row r="29711" spans="191:191" x14ac:dyDescent="0.2">
      <c r="GI29711" s="422"/>
    </row>
    <row r="29712" spans="191:191" x14ac:dyDescent="0.2">
      <c r="GI29712" s="422"/>
    </row>
    <row r="29713" spans="191:191" x14ac:dyDescent="0.2">
      <c r="GI29713" s="422"/>
    </row>
    <row r="29714" spans="191:191" x14ac:dyDescent="0.2">
      <c r="GI29714" s="422"/>
    </row>
    <row r="29715" spans="191:191" x14ac:dyDescent="0.2">
      <c r="GI29715" s="422"/>
    </row>
    <row r="29716" spans="191:191" x14ac:dyDescent="0.2">
      <c r="GI29716" s="422"/>
    </row>
    <row r="29717" spans="191:191" x14ac:dyDescent="0.2">
      <c r="GI29717" s="422"/>
    </row>
    <row r="29718" spans="191:191" x14ac:dyDescent="0.2">
      <c r="GI29718" s="422"/>
    </row>
    <row r="29719" spans="191:191" x14ac:dyDescent="0.2">
      <c r="GI29719" s="422"/>
    </row>
    <row r="29720" spans="191:191" x14ac:dyDescent="0.2">
      <c r="GI29720" s="422"/>
    </row>
    <row r="29721" spans="191:191" x14ac:dyDescent="0.2">
      <c r="GI29721" s="422"/>
    </row>
    <row r="29722" spans="191:191" x14ac:dyDescent="0.2">
      <c r="GI29722" s="422"/>
    </row>
    <row r="29723" spans="191:191" x14ac:dyDescent="0.2">
      <c r="GI29723" s="422"/>
    </row>
    <row r="29724" spans="191:191" x14ac:dyDescent="0.2">
      <c r="GI29724" s="422"/>
    </row>
    <row r="29725" spans="191:191" x14ac:dyDescent="0.2">
      <c r="GI29725" s="422"/>
    </row>
    <row r="29726" spans="191:191" x14ac:dyDescent="0.2">
      <c r="GI29726" s="422"/>
    </row>
    <row r="29727" spans="191:191" x14ac:dyDescent="0.2">
      <c r="GI29727" s="422"/>
    </row>
    <row r="29728" spans="191:191" x14ac:dyDescent="0.2">
      <c r="GI29728" s="422"/>
    </row>
    <row r="29729" spans="191:191" x14ac:dyDescent="0.2">
      <c r="GI29729" s="422"/>
    </row>
    <row r="29730" spans="191:191" x14ac:dyDescent="0.2">
      <c r="GI29730" s="422"/>
    </row>
    <row r="29731" spans="191:191" x14ac:dyDescent="0.2">
      <c r="GI29731" s="422"/>
    </row>
    <row r="29732" spans="191:191" x14ac:dyDescent="0.2">
      <c r="GI29732" s="422"/>
    </row>
    <row r="29733" spans="191:191" x14ac:dyDescent="0.2">
      <c r="GI29733" s="422"/>
    </row>
    <row r="29734" spans="191:191" x14ac:dyDescent="0.2">
      <c r="GI29734" s="422"/>
    </row>
    <row r="29735" spans="191:191" x14ac:dyDescent="0.2">
      <c r="GI29735" s="422"/>
    </row>
    <row r="29736" spans="191:191" x14ac:dyDescent="0.2">
      <c r="GI29736" s="422"/>
    </row>
    <row r="29737" spans="191:191" x14ac:dyDescent="0.2">
      <c r="GI29737" s="422"/>
    </row>
    <row r="29738" spans="191:191" x14ac:dyDescent="0.2">
      <c r="GI29738" s="422"/>
    </row>
    <row r="29739" spans="191:191" x14ac:dyDescent="0.2">
      <c r="GI29739" s="422"/>
    </row>
    <row r="29740" spans="191:191" x14ac:dyDescent="0.2">
      <c r="GI29740" s="422"/>
    </row>
    <row r="29741" spans="191:191" x14ac:dyDescent="0.2">
      <c r="GI29741" s="422"/>
    </row>
    <row r="29742" spans="191:191" x14ac:dyDescent="0.2">
      <c r="GI29742" s="422"/>
    </row>
    <row r="29743" spans="191:191" x14ac:dyDescent="0.2">
      <c r="GI29743" s="422"/>
    </row>
    <row r="29744" spans="191:191" x14ac:dyDescent="0.2">
      <c r="GI29744" s="422"/>
    </row>
    <row r="29745" spans="191:191" x14ac:dyDescent="0.2">
      <c r="GI29745" s="422"/>
    </row>
    <row r="29746" spans="191:191" x14ac:dyDescent="0.2">
      <c r="GI29746" s="422"/>
    </row>
    <row r="29747" spans="191:191" x14ac:dyDescent="0.2">
      <c r="GI29747" s="422"/>
    </row>
    <row r="29748" spans="191:191" x14ac:dyDescent="0.2">
      <c r="GI29748" s="422"/>
    </row>
    <row r="29749" spans="191:191" x14ac:dyDescent="0.2">
      <c r="GI29749" s="422"/>
    </row>
    <row r="29750" spans="191:191" x14ac:dyDescent="0.2">
      <c r="GI29750" s="422"/>
    </row>
    <row r="29751" spans="191:191" x14ac:dyDescent="0.2">
      <c r="GI29751" s="422"/>
    </row>
    <row r="29752" spans="191:191" x14ac:dyDescent="0.2">
      <c r="GI29752" s="422"/>
    </row>
    <row r="29753" spans="191:191" x14ac:dyDescent="0.2">
      <c r="GI29753" s="422"/>
    </row>
    <row r="29754" spans="191:191" x14ac:dyDescent="0.2">
      <c r="GI29754" s="422"/>
    </row>
    <row r="29755" spans="191:191" x14ac:dyDescent="0.2">
      <c r="GI29755" s="422"/>
    </row>
    <row r="29756" spans="191:191" x14ac:dyDescent="0.2">
      <c r="GI29756" s="422"/>
    </row>
    <row r="29757" spans="191:191" x14ac:dyDescent="0.2">
      <c r="GI29757" s="422"/>
    </row>
    <row r="29758" spans="191:191" x14ac:dyDescent="0.2">
      <c r="GI29758" s="422"/>
    </row>
    <row r="29759" spans="191:191" x14ac:dyDescent="0.2">
      <c r="GI29759" s="422"/>
    </row>
    <row r="29760" spans="191:191" x14ac:dyDescent="0.2">
      <c r="GI29760" s="422"/>
    </row>
    <row r="29761" spans="191:191" x14ac:dyDescent="0.2">
      <c r="GI29761" s="422"/>
    </row>
    <row r="29762" spans="191:191" x14ac:dyDescent="0.2">
      <c r="GI29762" s="422"/>
    </row>
    <row r="29763" spans="191:191" x14ac:dyDescent="0.2">
      <c r="GI29763" s="422"/>
    </row>
    <row r="29764" spans="191:191" x14ac:dyDescent="0.2">
      <c r="GI29764" s="422"/>
    </row>
    <row r="29765" spans="191:191" x14ac:dyDescent="0.2">
      <c r="GI29765" s="422"/>
    </row>
    <row r="29766" spans="191:191" x14ac:dyDescent="0.2">
      <c r="GI29766" s="422"/>
    </row>
    <row r="29767" spans="191:191" x14ac:dyDescent="0.2">
      <c r="GI29767" s="422"/>
    </row>
    <row r="29768" spans="191:191" x14ac:dyDescent="0.2">
      <c r="GI29768" s="422"/>
    </row>
    <row r="29769" spans="191:191" x14ac:dyDescent="0.2">
      <c r="GI29769" s="422"/>
    </row>
    <row r="29770" spans="191:191" x14ac:dyDescent="0.2">
      <c r="GI29770" s="422"/>
    </row>
    <row r="29771" spans="191:191" x14ac:dyDescent="0.2">
      <c r="GI29771" s="422"/>
    </row>
    <row r="29772" spans="191:191" x14ac:dyDescent="0.2">
      <c r="GI29772" s="422"/>
    </row>
    <row r="29773" spans="191:191" x14ac:dyDescent="0.2">
      <c r="GI29773" s="422"/>
    </row>
    <row r="29774" spans="191:191" x14ac:dyDescent="0.2">
      <c r="GI29774" s="422"/>
    </row>
    <row r="29775" spans="191:191" x14ac:dyDescent="0.2">
      <c r="GI29775" s="422"/>
    </row>
    <row r="29776" spans="191:191" x14ac:dyDescent="0.2">
      <c r="GI29776" s="422"/>
    </row>
    <row r="29777" spans="191:191" x14ac:dyDescent="0.2">
      <c r="GI29777" s="422"/>
    </row>
    <row r="29778" spans="191:191" x14ac:dyDescent="0.2">
      <c r="GI29778" s="422"/>
    </row>
    <row r="29779" spans="191:191" x14ac:dyDescent="0.2">
      <c r="GI29779" s="422"/>
    </row>
    <row r="29780" spans="191:191" x14ac:dyDescent="0.2">
      <c r="GI29780" s="422"/>
    </row>
    <row r="29781" spans="191:191" x14ac:dyDescent="0.2">
      <c r="GI29781" s="422"/>
    </row>
    <row r="29782" spans="191:191" x14ac:dyDescent="0.2">
      <c r="GI29782" s="422"/>
    </row>
    <row r="29783" spans="191:191" x14ac:dyDescent="0.2">
      <c r="GI29783" s="422"/>
    </row>
    <row r="29784" spans="191:191" x14ac:dyDescent="0.2">
      <c r="GI29784" s="422"/>
    </row>
    <row r="29785" spans="191:191" x14ac:dyDescent="0.2">
      <c r="GI29785" s="422"/>
    </row>
    <row r="29786" spans="191:191" x14ac:dyDescent="0.2">
      <c r="GI29786" s="422"/>
    </row>
    <row r="29787" spans="191:191" x14ac:dyDescent="0.2">
      <c r="GI29787" s="422"/>
    </row>
    <row r="29788" spans="191:191" x14ac:dyDescent="0.2">
      <c r="GI29788" s="422"/>
    </row>
    <row r="29789" spans="191:191" x14ac:dyDescent="0.2">
      <c r="GI29789" s="422"/>
    </row>
    <row r="29790" spans="191:191" x14ac:dyDescent="0.2">
      <c r="GI29790" s="422"/>
    </row>
    <row r="29791" spans="191:191" x14ac:dyDescent="0.2">
      <c r="GI29791" s="422"/>
    </row>
    <row r="29792" spans="191:191" x14ac:dyDescent="0.2">
      <c r="GI29792" s="422"/>
    </row>
    <row r="29793" spans="191:191" x14ac:dyDescent="0.2">
      <c r="GI29793" s="422"/>
    </row>
    <row r="29794" spans="191:191" x14ac:dyDescent="0.2">
      <c r="GI29794" s="422"/>
    </row>
    <row r="29795" spans="191:191" x14ac:dyDescent="0.2">
      <c r="GI29795" s="422"/>
    </row>
    <row r="29796" spans="191:191" x14ac:dyDescent="0.2">
      <c r="GI29796" s="422"/>
    </row>
    <row r="29797" spans="191:191" x14ac:dyDescent="0.2">
      <c r="GI29797" s="422"/>
    </row>
    <row r="29798" spans="191:191" x14ac:dyDescent="0.2">
      <c r="GI29798" s="422"/>
    </row>
    <row r="29799" spans="191:191" x14ac:dyDescent="0.2">
      <c r="GI29799" s="422"/>
    </row>
    <row r="29800" spans="191:191" x14ac:dyDescent="0.2">
      <c r="GI29800" s="422"/>
    </row>
    <row r="29801" spans="191:191" x14ac:dyDescent="0.2">
      <c r="GI29801" s="422"/>
    </row>
    <row r="29802" spans="191:191" x14ac:dyDescent="0.2">
      <c r="GI29802" s="422"/>
    </row>
    <row r="29803" spans="191:191" x14ac:dyDescent="0.2">
      <c r="GI29803" s="422"/>
    </row>
    <row r="29804" spans="191:191" x14ac:dyDescent="0.2">
      <c r="GI29804" s="422"/>
    </row>
    <row r="29805" spans="191:191" x14ac:dyDescent="0.2">
      <c r="GI29805" s="422"/>
    </row>
    <row r="29806" spans="191:191" x14ac:dyDescent="0.2">
      <c r="GI29806" s="422"/>
    </row>
    <row r="29807" spans="191:191" x14ac:dyDescent="0.2">
      <c r="GI29807" s="422"/>
    </row>
    <row r="29808" spans="191:191" x14ac:dyDescent="0.2">
      <c r="GI29808" s="422"/>
    </row>
    <row r="29809" spans="191:191" x14ac:dyDescent="0.2">
      <c r="GI29809" s="422"/>
    </row>
    <row r="29810" spans="191:191" x14ac:dyDescent="0.2">
      <c r="GI29810" s="422"/>
    </row>
    <row r="29811" spans="191:191" x14ac:dyDescent="0.2">
      <c r="GI29811" s="422"/>
    </row>
    <row r="29812" spans="191:191" x14ac:dyDescent="0.2">
      <c r="GI29812" s="422"/>
    </row>
    <row r="29813" spans="191:191" x14ac:dyDescent="0.2">
      <c r="GI29813" s="422"/>
    </row>
    <row r="29814" spans="191:191" x14ac:dyDescent="0.2">
      <c r="GI29814" s="422"/>
    </row>
    <row r="29815" spans="191:191" x14ac:dyDescent="0.2">
      <c r="GI29815" s="422"/>
    </row>
    <row r="29816" spans="191:191" x14ac:dyDescent="0.2">
      <c r="GI29816" s="422"/>
    </row>
    <row r="29817" spans="191:191" x14ac:dyDescent="0.2">
      <c r="GI29817" s="422"/>
    </row>
    <row r="29818" spans="191:191" x14ac:dyDescent="0.2">
      <c r="GI29818" s="422"/>
    </row>
    <row r="29819" spans="191:191" x14ac:dyDescent="0.2">
      <c r="GI29819" s="422"/>
    </row>
    <row r="29820" spans="191:191" x14ac:dyDescent="0.2">
      <c r="GI29820" s="422"/>
    </row>
    <row r="29821" spans="191:191" x14ac:dyDescent="0.2">
      <c r="GI29821" s="422"/>
    </row>
    <row r="29822" spans="191:191" x14ac:dyDescent="0.2">
      <c r="GI29822" s="422"/>
    </row>
    <row r="29823" spans="191:191" x14ac:dyDescent="0.2">
      <c r="GI29823" s="422"/>
    </row>
    <row r="29824" spans="191:191" x14ac:dyDescent="0.2">
      <c r="GI29824" s="422"/>
    </row>
    <row r="29825" spans="191:191" x14ac:dyDescent="0.2">
      <c r="GI29825" s="422"/>
    </row>
    <row r="29826" spans="191:191" x14ac:dyDescent="0.2">
      <c r="GI29826" s="422"/>
    </row>
    <row r="29827" spans="191:191" x14ac:dyDescent="0.2">
      <c r="GI29827" s="422"/>
    </row>
    <row r="29828" spans="191:191" x14ac:dyDescent="0.2">
      <c r="GI29828" s="422"/>
    </row>
    <row r="29829" spans="191:191" x14ac:dyDescent="0.2">
      <c r="GI29829" s="422"/>
    </row>
    <row r="29830" spans="191:191" x14ac:dyDescent="0.2">
      <c r="GI29830" s="422"/>
    </row>
    <row r="29831" spans="191:191" x14ac:dyDescent="0.2">
      <c r="GI29831" s="422"/>
    </row>
    <row r="29832" spans="191:191" x14ac:dyDescent="0.2">
      <c r="GI29832" s="422"/>
    </row>
    <row r="29833" spans="191:191" x14ac:dyDescent="0.2">
      <c r="GI29833" s="422"/>
    </row>
    <row r="29834" spans="191:191" x14ac:dyDescent="0.2">
      <c r="GI29834" s="422"/>
    </row>
    <row r="29835" spans="191:191" x14ac:dyDescent="0.2">
      <c r="GI29835" s="422"/>
    </row>
    <row r="29836" spans="191:191" x14ac:dyDescent="0.2">
      <c r="GI29836" s="422"/>
    </row>
    <row r="29837" spans="191:191" x14ac:dyDescent="0.2">
      <c r="GI29837" s="422"/>
    </row>
    <row r="29838" spans="191:191" x14ac:dyDescent="0.2">
      <c r="GI29838" s="422"/>
    </row>
    <row r="29839" spans="191:191" x14ac:dyDescent="0.2">
      <c r="GI29839" s="422"/>
    </row>
    <row r="29840" spans="191:191" x14ac:dyDescent="0.2">
      <c r="GI29840" s="422"/>
    </row>
    <row r="29841" spans="191:191" x14ac:dyDescent="0.2">
      <c r="GI29841" s="422"/>
    </row>
    <row r="29842" spans="191:191" x14ac:dyDescent="0.2">
      <c r="GI29842" s="422"/>
    </row>
    <row r="29843" spans="191:191" x14ac:dyDescent="0.2">
      <c r="GI29843" s="422"/>
    </row>
    <row r="29844" spans="191:191" x14ac:dyDescent="0.2">
      <c r="GI29844" s="422"/>
    </row>
    <row r="29845" spans="191:191" x14ac:dyDescent="0.2">
      <c r="GI29845" s="422"/>
    </row>
    <row r="29846" spans="191:191" x14ac:dyDescent="0.2">
      <c r="GI29846" s="422"/>
    </row>
    <row r="29847" spans="191:191" x14ac:dyDescent="0.2">
      <c r="GI29847" s="422"/>
    </row>
    <row r="29848" spans="191:191" x14ac:dyDescent="0.2">
      <c r="GI29848" s="422"/>
    </row>
    <row r="29849" spans="191:191" x14ac:dyDescent="0.2">
      <c r="GI29849" s="422"/>
    </row>
    <row r="29850" spans="191:191" x14ac:dyDescent="0.2">
      <c r="GI29850" s="422"/>
    </row>
    <row r="29851" spans="191:191" x14ac:dyDescent="0.2">
      <c r="GI29851" s="422"/>
    </row>
    <row r="29852" spans="191:191" x14ac:dyDescent="0.2">
      <c r="GI29852" s="422"/>
    </row>
    <row r="29853" spans="191:191" x14ac:dyDescent="0.2">
      <c r="GI29853" s="422"/>
    </row>
    <row r="29854" spans="191:191" x14ac:dyDescent="0.2">
      <c r="GI29854" s="422"/>
    </row>
    <row r="29855" spans="191:191" x14ac:dyDescent="0.2">
      <c r="GI29855" s="422"/>
    </row>
    <row r="29856" spans="191:191" x14ac:dyDescent="0.2">
      <c r="GI29856" s="422"/>
    </row>
    <row r="29857" spans="191:191" x14ac:dyDescent="0.2">
      <c r="GI29857" s="422"/>
    </row>
    <row r="29858" spans="191:191" x14ac:dyDescent="0.2">
      <c r="GI29858" s="422"/>
    </row>
    <row r="29859" spans="191:191" x14ac:dyDescent="0.2">
      <c r="GI29859" s="422"/>
    </row>
    <row r="29860" spans="191:191" x14ac:dyDescent="0.2">
      <c r="GI29860" s="422"/>
    </row>
    <row r="29861" spans="191:191" x14ac:dyDescent="0.2">
      <c r="GI29861" s="422"/>
    </row>
    <row r="29862" spans="191:191" x14ac:dyDescent="0.2">
      <c r="GI29862" s="422"/>
    </row>
    <row r="29863" spans="191:191" x14ac:dyDescent="0.2">
      <c r="GI29863" s="422"/>
    </row>
    <row r="29864" spans="191:191" x14ac:dyDescent="0.2">
      <c r="GI29864" s="422"/>
    </row>
    <row r="29865" spans="191:191" x14ac:dyDescent="0.2">
      <c r="GI29865" s="422"/>
    </row>
    <row r="29866" spans="191:191" x14ac:dyDescent="0.2">
      <c r="GI29866" s="422"/>
    </row>
    <row r="29867" spans="191:191" x14ac:dyDescent="0.2">
      <c r="GI29867" s="422"/>
    </row>
    <row r="29868" spans="191:191" x14ac:dyDescent="0.2">
      <c r="GI29868" s="422"/>
    </row>
    <row r="29869" spans="191:191" x14ac:dyDescent="0.2">
      <c r="GI29869" s="422"/>
    </row>
    <row r="29870" spans="191:191" x14ac:dyDescent="0.2">
      <c r="GI29870" s="422"/>
    </row>
    <row r="29871" spans="191:191" x14ac:dyDescent="0.2">
      <c r="GI29871" s="422"/>
    </row>
    <row r="29872" spans="191:191" x14ac:dyDescent="0.2">
      <c r="GI29872" s="422"/>
    </row>
    <row r="29873" spans="191:191" x14ac:dyDescent="0.2">
      <c r="GI29873" s="422"/>
    </row>
    <row r="29874" spans="191:191" x14ac:dyDescent="0.2">
      <c r="GI29874" s="422"/>
    </row>
    <row r="29875" spans="191:191" x14ac:dyDescent="0.2">
      <c r="GI29875" s="422"/>
    </row>
    <row r="29876" spans="191:191" x14ac:dyDescent="0.2">
      <c r="GI29876" s="422"/>
    </row>
    <row r="29877" spans="191:191" x14ac:dyDescent="0.2">
      <c r="GI29877" s="422"/>
    </row>
    <row r="29878" spans="191:191" x14ac:dyDescent="0.2">
      <c r="GI29878" s="422"/>
    </row>
    <row r="29879" spans="191:191" x14ac:dyDescent="0.2">
      <c r="GI29879" s="422"/>
    </row>
    <row r="29880" spans="191:191" x14ac:dyDescent="0.2">
      <c r="GI29880" s="422"/>
    </row>
    <row r="29881" spans="191:191" x14ac:dyDescent="0.2">
      <c r="GI29881" s="422"/>
    </row>
    <row r="29882" spans="191:191" x14ac:dyDescent="0.2">
      <c r="GI29882" s="422"/>
    </row>
    <row r="29883" spans="191:191" x14ac:dyDescent="0.2">
      <c r="GI29883" s="422"/>
    </row>
    <row r="29884" spans="191:191" x14ac:dyDescent="0.2">
      <c r="GI29884" s="422"/>
    </row>
    <row r="29885" spans="191:191" x14ac:dyDescent="0.2">
      <c r="GI29885" s="422"/>
    </row>
    <row r="29886" spans="191:191" x14ac:dyDescent="0.2">
      <c r="GI29886" s="422"/>
    </row>
    <row r="29887" spans="191:191" x14ac:dyDescent="0.2">
      <c r="GI29887" s="422"/>
    </row>
    <row r="29888" spans="191:191" x14ac:dyDescent="0.2">
      <c r="GI29888" s="422"/>
    </row>
    <row r="29889" spans="191:191" x14ac:dyDescent="0.2">
      <c r="GI29889" s="422"/>
    </row>
    <row r="29890" spans="191:191" x14ac:dyDescent="0.2">
      <c r="GI29890" s="422"/>
    </row>
    <row r="29891" spans="191:191" x14ac:dyDescent="0.2">
      <c r="GI29891" s="422"/>
    </row>
    <row r="29892" spans="191:191" x14ac:dyDescent="0.2">
      <c r="GI29892" s="422"/>
    </row>
    <row r="29893" spans="191:191" x14ac:dyDescent="0.2">
      <c r="GI29893" s="422"/>
    </row>
    <row r="29894" spans="191:191" x14ac:dyDescent="0.2">
      <c r="GI29894" s="422"/>
    </row>
    <row r="29895" spans="191:191" x14ac:dyDescent="0.2">
      <c r="GI29895" s="422"/>
    </row>
    <row r="29896" spans="191:191" x14ac:dyDescent="0.2">
      <c r="GI29896" s="422"/>
    </row>
    <row r="29897" spans="191:191" x14ac:dyDescent="0.2">
      <c r="GI29897" s="422"/>
    </row>
    <row r="29898" spans="191:191" x14ac:dyDescent="0.2">
      <c r="GI29898" s="422"/>
    </row>
    <row r="29899" spans="191:191" x14ac:dyDescent="0.2">
      <c r="GI29899" s="422"/>
    </row>
    <row r="29900" spans="191:191" x14ac:dyDescent="0.2">
      <c r="GI29900" s="422"/>
    </row>
    <row r="29901" spans="191:191" x14ac:dyDescent="0.2">
      <c r="GI29901" s="422"/>
    </row>
    <row r="29902" spans="191:191" x14ac:dyDescent="0.2">
      <c r="GI29902" s="422"/>
    </row>
    <row r="29903" spans="191:191" x14ac:dyDescent="0.2">
      <c r="GI29903" s="422"/>
    </row>
    <row r="29904" spans="191:191" x14ac:dyDescent="0.2">
      <c r="GI29904" s="422"/>
    </row>
    <row r="29905" spans="191:191" x14ac:dyDescent="0.2">
      <c r="GI29905" s="422"/>
    </row>
    <row r="29906" spans="191:191" x14ac:dyDescent="0.2">
      <c r="GI29906" s="422"/>
    </row>
    <row r="29907" spans="191:191" x14ac:dyDescent="0.2">
      <c r="GI29907" s="422"/>
    </row>
    <row r="29908" spans="191:191" x14ac:dyDescent="0.2">
      <c r="GI29908" s="422"/>
    </row>
    <row r="29909" spans="191:191" x14ac:dyDescent="0.2">
      <c r="GI29909" s="422"/>
    </row>
    <row r="29910" spans="191:191" x14ac:dyDescent="0.2">
      <c r="GI29910" s="422"/>
    </row>
    <row r="29911" spans="191:191" x14ac:dyDescent="0.2">
      <c r="GI29911" s="422"/>
    </row>
    <row r="29912" spans="191:191" x14ac:dyDescent="0.2">
      <c r="GI29912" s="422"/>
    </row>
    <row r="29913" spans="191:191" x14ac:dyDescent="0.2">
      <c r="GI29913" s="422"/>
    </row>
    <row r="29914" spans="191:191" x14ac:dyDescent="0.2">
      <c r="GI29914" s="422"/>
    </row>
    <row r="29915" spans="191:191" x14ac:dyDescent="0.2">
      <c r="GI29915" s="422"/>
    </row>
    <row r="29916" spans="191:191" x14ac:dyDescent="0.2">
      <c r="GI29916" s="422"/>
    </row>
    <row r="29917" spans="191:191" x14ac:dyDescent="0.2">
      <c r="GI29917" s="422"/>
    </row>
    <row r="29918" spans="191:191" x14ac:dyDescent="0.2">
      <c r="GI29918" s="422"/>
    </row>
    <row r="29919" spans="191:191" x14ac:dyDescent="0.2">
      <c r="GI29919" s="422"/>
    </row>
    <row r="29920" spans="191:191" x14ac:dyDescent="0.2">
      <c r="GI29920" s="422"/>
    </row>
    <row r="29921" spans="191:191" x14ac:dyDescent="0.2">
      <c r="GI29921" s="422"/>
    </row>
    <row r="29922" spans="191:191" x14ac:dyDescent="0.2">
      <c r="GI29922" s="422"/>
    </row>
    <row r="29923" spans="191:191" x14ac:dyDescent="0.2">
      <c r="GI29923" s="422"/>
    </row>
    <row r="29924" spans="191:191" x14ac:dyDescent="0.2">
      <c r="GI29924" s="422"/>
    </row>
    <row r="29925" spans="191:191" x14ac:dyDescent="0.2">
      <c r="GI29925" s="422"/>
    </row>
    <row r="29926" spans="191:191" x14ac:dyDescent="0.2">
      <c r="GI29926" s="422"/>
    </row>
    <row r="29927" spans="191:191" x14ac:dyDescent="0.2">
      <c r="GI29927" s="422"/>
    </row>
    <row r="29928" spans="191:191" x14ac:dyDescent="0.2">
      <c r="GI29928" s="422"/>
    </row>
    <row r="29929" spans="191:191" x14ac:dyDescent="0.2">
      <c r="GI29929" s="422"/>
    </row>
    <row r="29930" spans="191:191" x14ac:dyDescent="0.2">
      <c r="GI29930" s="422"/>
    </row>
    <row r="29931" spans="191:191" x14ac:dyDescent="0.2">
      <c r="GI29931" s="422"/>
    </row>
    <row r="29932" spans="191:191" x14ac:dyDescent="0.2">
      <c r="GI29932" s="422"/>
    </row>
    <row r="29933" spans="191:191" x14ac:dyDescent="0.2">
      <c r="GI29933" s="422"/>
    </row>
    <row r="29934" spans="191:191" x14ac:dyDescent="0.2">
      <c r="GI29934" s="422"/>
    </row>
    <row r="29935" spans="191:191" x14ac:dyDescent="0.2">
      <c r="GI29935" s="422"/>
    </row>
    <row r="29936" spans="191:191" x14ac:dyDescent="0.2">
      <c r="GI29936" s="422"/>
    </row>
    <row r="29937" spans="191:191" x14ac:dyDescent="0.2">
      <c r="GI29937" s="422"/>
    </row>
    <row r="29938" spans="191:191" x14ac:dyDescent="0.2">
      <c r="GI29938" s="422"/>
    </row>
    <row r="29939" spans="191:191" x14ac:dyDescent="0.2">
      <c r="GI29939" s="422"/>
    </row>
    <row r="29940" spans="191:191" x14ac:dyDescent="0.2">
      <c r="GI29940" s="422"/>
    </row>
    <row r="29941" spans="191:191" x14ac:dyDescent="0.2">
      <c r="GI29941" s="422"/>
    </row>
    <row r="29942" spans="191:191" x14ac:dyDescent="0.2">
      <c r="GI29942" s="422"/>
    </row>
    <row r="29943" spans="191:191" x14ac:dyDescent="0.2">
      <c r="GI29943" s="422"/>
    </row>
    <row r="29944" spans="191:191" x14ac:dyDescent="0.2">
      <c r="GI29944" s="422"/>
    </row>
    <row r="29945" spans="191:191" x14ac:dyDescent="0.2">
      <c r="GI29945" s="422"/>
    </row>
    <row r="29946" spans="191:191" x14ac:dyDescent="0.2">
      <c r="GI29946" s="422"/>
    </row>
    <row r="29947" spans="191:191" x14ac:dyDescent="0.2">
      <c r="GI29947" s="422"/>
    </row>
    <row r="29948" spans="191:191" x14ac:dyDescent="0.2">
      <c r="GI29948" s="422"/>
    </row>
    <row r="29949" spans="191:191" x14ac:dyDescent="0.2">
      <c r="GI29949" s="422"/>
    </row>
    <row r="29950" spans="191:191" x14ac:dyDescent="0.2">
      <c r="GI29950" s="422"/>
    </row>
    <row r="29951" spans="191:191" x14ac:dyDescent="0.2">
      <c r="GI29951" s="422"/>
    </row>
    <row r="29952" spans="191:191" x14ac:dyDescent="0.2">
      <c r="GI29952" s="422"/>
    </row>
    <row r="29953" spans="191:191" x14ac:dyDescent="0.2">
      <c r="GI29953" s="422"/>
    </row>
    <row r="29954" spans="191:191" x14ac:dyDescent="0.2">
      <c r="GI29954" s="422"/>
    </row>
    <row r="29955" spans="191:191" x14ac:dyDescent="0.2">
      <c r="GI29955" s="422"/>
    </row>
    <row r="29956" spans="191:191" x14ac:dyDescent="0.2">
      <c r="GI29956" s="422"/>
    </row>
    <row r="29957" spans="191:191" x14ac:dyDescent="0.2">
      <c r="GI29957" s="422"/>
    </row>
    <row r="29958" spans="191:191" x14ac:dyDescent="0.2">
      <c r="GI29958" s="422"/>
    </row>
    <row r="29959" spans="191:191" x14ac:dyDescent="0.2">
      <c r="GI29959" s="422"/>
    </row>
    <row r="29960" spans="191:191" x14ac:dyDescent="0.2">
      <c r="GI29960" s="422"/>
    </row>
    <row r="29961" spans="191:191" x14ac:dyDescent="0.2">
      <c r="GI29961" s="422"/>
    </row>
    <row r="29962" spans="191:191" x14ac:dyDescent="0.2">
      <c r="GI29962" s="422"/>
    </row>
    <row r="29963" spans="191:191" x14ac:dyDescent="0.2">
      <c r="GI29963" s="422"/>
    </row>
    <row r="29964" spans="191:191" x14ac:dyDescent="0.2">
      <c r="GI29964" s="422"/>
    </row>
    <row r="29965" spans="191:191" x14ac:dyDescent="0.2">
      <c r="GI29965" s="422"/>
    </row>
    <row r="29966" spans="191:191" x14ac:dyDescent="0.2">
      <c r="GI29966" s="422"/>
    </row>
    <row r="29967" spans="191:191" x14ac:dyDescent="0.2">
      <c r="GI29967" s="422"/>
    </row>
    <row r="29968" spans="191:191" x14ac:dyDescent="0.2">
      <c r="GI29968" s="422"/>
    </row>
    <row r="29969" spans="191:191" x14ac:dyDescent="0.2">
      <c r="GI29969" s="422"/>
    </row>
    <row r="29970" spans="191:191" x14ac:dyDescent="0.2">
      <c r="GI29970" s="422"/>
    </row>
    <row r="29971" spans="191:191" x14ac:dyDescent="0.2">
      <c r="GI29971" s="422"/>
    </row>
    <row r="29972" spans="191:191" x14ac:dyDescent="0.2">
      <c r="GI29972" s="422"/>
    </row>
    <row r="29973" spans="191:191" x14ac:dyDescent="0.2">
      <c r="GI29973" s="422"/>
    </row>
    <row r="29974" spans="191:191" x14ac:dyDescent="0.2">
      <c r="GI29974" s="422"/>
    </row>
    <row r="29975" spans="191:191" x14ac:dyDescent="0.2">
      <c r="GI29975" s="422"/>
    </row>
    <row r="29976" spans="191:191" x14ac:dyDescent="0.2">
      <c r="GI29976" s="422"/>
    </row>
    <row r="29977" spans="191:191" x14ac:dyDescent="0.2">
      <c r="GI29977" s="422"/>
    </row>
    <row r="29978" spans="191:191" x14ac:dyDescent="0.2">
      <c r="GI29978" s="422"/>
    </row>
    <row r="29979" spans="191:191" x14ac:dyDescent="0.2">
      <c r="GI29979" s="422"/>
    </row>
    <row r="29980" spans="191:191" x14ac:dyDescent="0.2">
      <c r="GI29980" s="422"/>
    </row>
    <row r="29981" spans="191:191" x14ac:dyDescent="0.2">
      <c r="GI29981" s="422"/>
    </row>
    <row r="29982" spans="191:191" x14ac:dyDescent="0.2">
      <c r="GI29982" s="422"/>
    </row>
    <row r="29983" spans="191:191" x14ac:dyDescent="0.2">
      <c r="GI29983" s="422"/>
    </row>
    <row r="29984" spans="191:191" x14ac:dyDescent="0.2">
      <c r="GI29984" s="422"/>
    </row>
    <row r="29985" spans="191:191" x14ac:dyDescent="0.2">
      <c r="GI29985" s="422"/>
    </row>
    <row r="29986" spans="191:191" x14ac:dyDescent="0.2">
      <c r="GI29986" s="422"/>
    </row>
    <row r="29987" spans="191:191" x14ac:dyDescent="0.2">
      <c r="GI29987" s="422"/>
    </row>
    <row r="29988" spans="191:191" x14ac:dyDescent="0.2">
      <c r="GI29988" s="422"/>
    </row>
    <row r="29989" spans="191:191" x14ac:dyDescent="0.2">
      <c r="GI29989" s="422"/>
    </row>
    <row r="29990" spans="191:191" x14ac:dyDescent="0.2">
      <c r="GI29990" s="422"/>
    </row>
    <row r="29991" spans="191:191" x14ac:dyDescent="0.2">
      <c r="GI29991" s="422"/>
    </row>
    <row r="29992" spans="191:191" x14ac:dyDescent="0.2">
      <c r="GI29992" s="422"/>
    </row>
    <row r="29993" spans="191:191" x14ac:dyDescent="0.2">
      <c r="GI29993" s="422"/>
    </row>
    <row r="29994" spans="191:191" x14ac:dyDescent="0.2">
      <c r="GI29994" s="422"/>
    </row>
    <row r="29995" spans="191:191" x14ac:dyDescent="0.2">
      <c r="GI29995" s="422"/>
    </row>
    <row r="29996" spans="191:191" x14ac:dyDescent="0.2">
      <c r="GI29996" s="422"/>
    </row>
    <row r="29997" spans="191:191" x14ac:dyDescent="0.2">
      <c r="GI29997" s="422"/>
    </row>
    <row r="29998" spans="191:191" x14ac:dyDescent="0.2">
      <c r="GI29998" s="422"/>
    </row>
    <row r="29999" spans="191:191" x14ac:dyDescent="0.2">
      <c r="GI29999" s="422"/>
    </row>
    <row r="30000" spans="191:191" x14ac:dyDescent="0.2">
      <c r="GI30000" s="422"/>
    </row>
    <row r="30001" spans="191:191" x14ac:dyDescent="0.2">
      <c r="GI30001" s="422"/>
    </row>
    <row r="30002" spans="191:191" x14ac:dyDescent="0.2">
      <c r="GI30002" s="422"/>
    </row>
    <row r="30003" spans="191:191" x14ac:dyDescent="0.2">
      <c r="GI30003" s="422"/>
    </row>
    <row r="30004" spans="191:191" x14ac:dyDescent="0.2">
      <c r="GI30004" s="422"/>
    </row>
    <row r="30005" spans="191:191" x14ac:dyDescent="0.2">
      <c r="GI30005" s="422"/>
    </row>
    <row r="30006" spans="191:191" x14ac:dyDescent="0.2">
      <c r="GI30006" s="422"/>
    </row>
    <row r="30007" spans="191:191" x14ac:dyDescent="0.2">
      <c r="GI30007" s="422"/>
    </row>
    <row r="30008" spans="191:191" x14ac:dyDescent="0.2">
      <c r="GI30008" s="422"/>
    </row>
    <row r="30009" spans="191:191" x14ac:dyDescent="0.2">
      <c r="GI30009" s="422"/>
    </row>
    <row r="30010" spans="191:191" x14ac:dyDescent="0.2">
      <c r="GI30010" s="422"/>
    </row>
    <row r="30011" spans="191:191" x14ac:dyDescent="0.2">
      <c r="GI30011" s="422"/>
    </row>
    <row r="30012" spans="191:191" x14ac:dyDescent="0.2">
      <c r="GI30012" s="422"/>
    </row>
    <row r="30013" spans="191:191" x14ac:dyDescent="0.2">
      <c r="GI30013" s="422"/>
    </row>
    <row r="30014" spans="191:191" x14ac:dyDescent="0.2">
      <c r="GI30014" s="422"/>
    </row>
    <row r="30015" spans="191:191" x14ac:dyDescent="0.2">
      <c r="GI30015" s="422"/>
    </row>
    <row r="30016" spans="191:191" x14ac:dyDescent="0.2">
      <c r="GI30016" s="422"/>
    </row>
    <row r="30017" spans="191:191" x14ac:dyDescent="0.2">
      <c r="GI30017" s="422"/>
    </row>
    <row r="30018" spans="191:191" x14ac:dyDescent="0.2">
      <c r="GI30018" s="422"/>
    </row>
    <row r="30019" spans="191:191" x14ac:dyDescent="0.2">
      <c r="GI30019" s="422"/>
    </row>
    <row r="30020" spans="191:191" x14ac:dyDescent="0.2">
      <c r="GI30020" s="422"/>
    </row>
    <row r="30021" spans="191:191" x14ac:dyDescent="0.2">
      <c r="GI30021" s="422"/>
    </row>
    <row r="30022" spans="191:191" x14ac:dyDescent="0.2">
      <c r="GI30022" s="422"/>
    </row>
    <row r="30023" spans="191:191" x14ac:dyDescent="0.2">
      <c r="GI30023" s="422"/>
    </row>
    <row r="30024" spans="191:191" x14ac:dyDescent="0.2">
      <c r="GI30024" s="422"/>
    </row>
    <row r="30025" spans="191:191" x14ac:dyDescent="0.2">
      <c r="GI30025" s="422"/>
    </row>
    <row r="30026" spans="191:191" x14ac:dyDescent="0.2">
      <c r="GI30026" s="422"/>
    </row>
    <row r="30027" spans="191:191" x14ac:dyDescent="0.2">
      <c r="GI30027" s="422"/>
    </row>
    <row r="30028" spans="191:191" x14ac:dyDescent="0.2">
      <c r="GI30028" s="422"/>
    </row>
    <row r="30029" spans="191:191" x14ac:dyDescent="0.2">
      <c r="GI30029" s="422"/>
    </row>
    <row r="30030" spans="191:191" x14ac:dyDescent="0.2">
      <c r="GI30030" s="422"/>
    </row>
    <row r="30031" spans="191:191" x14ac:dyDescent="0.2">
      <c r="GI30031" s="422"/>
    </row>
    <row r="30032" spans="191:191" x14ac:dyDescent="0.2">
      <c r="GI30032" s="422"/>
    </row>
    <row r="30033" spans="191:191" x14ac:dyDescent="0.2">
      <c r="GI30033" s="422"/>
    </row>
    <row r="30034" spans="191:191" x14ac:dyDescent="0.2">
      <c r="GI30034" s="422"/>
    </row>
    <row r="30035" spans="191:191" x14ac:dyDescent="0.2">
      <c r="GI30035" s="422"/>
    </row>
    <row r="30036" spans="191:191" x14ac:dyDescent="0.2">
      <c r="GI30036" s="422"/>
    </row>
    <row r="30037" spans="191:191" x14ac:dyDescent="0.2">
      <c r="GI30037" s="422"/>
    </row>
    <row r="30038" spans="191:191" x14ac:dyDescent="0.2">
      <c r="GI30038" s="422"/>
    </row>
    <row r="30039" spans="191:191" x14ac:dyDescent="0.2">
      <c r="GI30039" s="422"/>
    </row>
    <row r="30040" spans="191:191" x14ac:dyDescent="0.2">
      <c r="GI30040" s="422"/>
    </row>
    <row r="30041" spans="191:191" x14ac:dyDescent="0.2">
      <c r="GI30041" s="422"/>
    </row>
    <row r="30042" spans="191:191" x14ac:dyDescent="0.2">
      <c r="GI30042" s="422"/>
    </row>
    <row r="30043" spans="191:191" x14ac:dyDescent="0.2">
      <c r="GI30043" s="422"/>
    </row>
    <row r="30044" spans="191:191" x14ac:dyDescent="0.2">
      <c r="GI30044" s="422"/>
    </row>
    <row r="30045" spans="191:191" x14ac:dyDescent="0.2">
      <c r="GI30045" s="422"/>
    </row>
    <row r="30046" spans="191:191" x14ac:dyDescent="0.2">
      <c r="GI30046" s="422"/>
    </row>
    <row r="30047" spans="191:191" x14ac:dyDescent="0.2">
      <c r="GI30047" s="422"/>
    </row>
    <row r="30048" spans="191:191" x14ac:dyDescent="0.2">
      <c r="GI30048" s="422"/>
    </row>
    <row r="30049" spans="191:191" x14ac:dyDescent="0.2">
      <c r="GI30049" s="422"/>
    </row>
    <row r="30050" spans="191:191" x14ac:dyDescent="0.2">
      <c r="GI30050" s="422"/>
    </row>
    <row r="30051" spans="191:191" x14ac:dyDescent="0.2">
      <c r="GI30051" s="422"/>
    </row>
    <row r="30052" spans="191:191" x14ac:dyDescent="0.2">
      <c r="GI30052" s="422"/>
    </row>
    <row r="30053" spans="191:191" x14ac:dyDescent="0.2">
      <c r="GI30053" s="422"/>
    </row>
    <row r="30054" spans="191:191" x14ac:dyDescent="0.2">
      <c r="GI30054" s="422"/>
    </row>
    <row r="30055" spans="191:191" x14ac:dyDescent="0.2">
      <c r="GI30055" s="422"/>
    </row>
    <row r="30056" spans="191:191" x14ac:dyDescent="0.2">
      <c r="GI30056" s="422"/>
    </row>
    <row r="30057" spans="191:191" x14ac:dyDescent="0.2">
      <c r="GI30057" s="422"/>
    </row>
    <row r="30058" spans="191:191" x14ac:dyDescent="0.2">
      <c r="GI30058" s="422"/>
    </row>
    <row r="30059" spans="191:191" x14ac:dyDescent="0.2">
      <c r="GI30059" s="422"/>
    </row>
    <row r="30060" spans="191:191" x14ac:dyDescent="0.2">
      <c r="GI30060" s="422"/>
    </row>
    <row r="30061" spans="191:191" x14ac:dyDescent="0.2">
      <c r="GI30061" s="422"/>
    </row>
    <row r="30062" spans="191:191" x14ac:dyDescent="0.2">
      <c r="GI30062" s="422"/>
    </row>
    <row r="30063" spans="191:191" x14ac:dyDescent="0.2">
      <c r="GI30063" s="422"/>
    </row>
    <row r="30064" spans="191:191" x14ac:dyDescent="0.2">
      <c r="GI30064" s="422"/>
    </row>
    <row r="30065" spans="191:191" x14ac:dyDescent="0.2">
      <c r="GI30065" s="422"/>
    </row>
    <row r="30066" spans="191:191" x14ac:dyDescent="0.2">
      <c r="GI30066" s="422"/>
    </row>
    <row r="30067" spans="191:191" x14ac:dyDescent="0.2">
      <c r="GI30067" s="422"/>
    </row>
    <row r="30068" spans="191:191" x14ac:dyDescent="0.2">
      <c r="GI30068" s="422"/>
    </row>
    <row r="30069" spans="191:191" x14ac:dyDescent="0.2">
      <c r="GI30069" s="422"/>
    </row>
    <row r="30070" spans="191:191" x14ac:dyDescent="0.2">
      <c r="GI30070" s="422"/>
    </row>
    <row r="30071" spans="191:191" x14ac:dyDescent="0.2">
      <c r="GI30071" s="422"/>
    </row>
    <row r="30072" spans="191:191" x14ac:dyDescent="0.2">
      <c r="GI30072" s="422"/>
    </row>
    <row r="30073" spans="191:191" x14ac:dyDescent="0.2">
      <c r="GI30073" s="422"/>
    </row>
    <row r="30074" spans="191:191" x14ac:dyDescent="0.2">
      <c r="GI30074" s="422"/>
    </row>
    <row r="30075" spans="191:191" x14ac:dyDescent="0.2">
      <c r="GI30075" s="422"/>
    </row>
    <row r="30076" spans="191:191" x14ac:dyDescent="0.2">
      <c r="GI30076" s="422"/>
    </row>
    <row r="30077" spans="191:191" x14ac:dyDescent="0.2">
      <c r="GI30077" s="422"/>
    </row>
    <row r="30078" spans="191:191" x14ac:dyDescent="0.2">
      <c r="GI30078" s="422"/>
    </row>
    <row r="30079" spans="191:191" x14ac:dyDescent="0.2">
      <c r="GI30079" s="422"/>
    </row>
    <row r="30080" spans="191:191" x14ac:dyDescent="0.2">
      <c r="GI30080" s="422"/>
    </row>
    <row r="30081" spans="191:191" x14ac:dyDescent="0.2">
      <c r="GI30081" s="422"/>
    </row>
    <row r="30082" spans="191:191" x14ac:dyDescent="0.2">
      <c r="GI30082" s="422"/>
    </row>
    <row r="30083" spans="191:191" x14ac:dyDescent="0.2">
      <c r="GI30083" s="422"/>
    </row>
    <row r="30084" spans="191:191" x14ac:dyDescent="0.2">
      <c r="GI30084" s="422"/>
    </row>
    <row r="30085" spans="191:191" x14ac:dyDescent="0.2">
      <c r="GI30085" s="422"/>
    </row>
    <row r="30086" spans="191:191" x14ac:dyDescent="0.2">
      <c r="GI30086" s="422"/>
    </row>
    <row r="30087" spans="191:191" x14ac:dyDescent="0.2">
      <c r="GI30087" s="422"/>
    </row>
    <row r="30088" spans="191:191" x14ac:dyDescent="0.2">
      <c r="GI30088" s="422"/>
    </row>
    <row r="30089" spans="191:191" x14ac:dyDescent="0.2">
      <c r="GI30089" s="422"/>
    </row>
    <row r="30090" spans="191:191" x14ac:dyDescent="0.2">
      <c r="GI30090" s="422"/>
    </row>
    <row r="30091" spans="191:191" x14ac:dyDescent="0.2">
      <c r="GI30091" s="422"/>
    </row>
    <row r="30092" spans="191:191" x14ac:dyDescent="0.2">
      <c r="GI30092" s="422"/>
    </row>
    <row r="30093" spans="191:191" x14ac:dyDescent="0.2">
      <c r="GI30093" s="422"/>
    </row>
    <row r="30094" spans="191:191" x14ac:dyDescent="0.2">
      <c r="GI30094" s="422"/>
    </row>
    <row r="30095" spans="191:191" x14ac:dyDescent="0.2">
      <c r="GI30095" s="422"/>
    </row>
    <row r="30096" spans="191:191" x14ac:dyDescent="0.2">
      <c r="GI30096" s="422"/>
    </row>
    <row r="30097" spans="191:191" x14ac:dyDescent="0.2">
      <c r="GI30097" s="422"/>
    </row>
    <row r="30098" spans="191:191" x14ac:dyDescent="0.2">
      <c r="GI30098" s="422"/>
    </row>
    <row r="30099" spans="191:191" x14ac:dyDescent="0.2">
      <c r="GI30099" s="422"/>
    </row>
    <row r="30100" spans="191:191" x14ac:dyDescent="0.2">
      <c r="GI30100" s="422"/>
    </row>
    <row r="30101" spans="191:191" x14ac:dyDescent="0.2">
      <c r="GI30101" s="422"/>
    </row>
    <row r="30102" spans="191:191" x14ac:dyDescent="0.2">
      <c r="GI30102" s="422"/>
    </row>
    <row r="30103" spans="191:191" x14ac:dyDescent="0.2">
      <c r="GI30103" s="422"/>
    </row>
    <row r="30104" spans="191:191" x14ac:dyDescent="0.2">
      <c r="GI30104" s="422"/>
    </row>
    <row r="30105" spans="191:191" x14ac:dyDescent="0.2">
      <c r="GI30105" s="422"/>
    </row>
    <row r="30106" spans="191:191" x14ac:dyDescent="0.2">
      <c r="GI30106" s="422"/>
    </row>
    <row r="30107" spans="191:191" x14ac:dyDescent="0.2">
      <c r="GI30107" s="422"/>
    </row>
    <row r="30108" spans="191:191" x14ac:dyDescent="0.2">
      <c r="GI30108" s="422"/>
    </row>
    <row r="30109" spans="191:191" x14ac:dyDescent="0.2">
      <c r="GI30109" s="422"/>
    </row>
    <row r="30110" spans="191:191" x14ac:dyDescent="0.2">
      <c r="GI30110" s="422"/>
    </row>
    <row r="30111" spans="191:191" x14ac:dyDescent="0.2">
      <c r="GI30111" s="422"/>
    </row>
    <row r="30112" spans="191:191" x14ac:dyDescent="0.2">
      <c r="GI30112" s="422"/>
    </row>
    <row r="30113" spans="191:191" x14ac:dyDescent="0.2">
      <c r="GI30113" s="422"/>
    </row>
    <row r="30114" spans="191:191" x14ac:dyDescent="0.2">
      <c r="GI30114" s="422"/>
    </row>
    <row r="30115" spans="191:191" x14ac:dyDescent="0.2">
      <c r="GI30115" s="422"/>
    </row>
    <row r="30116" spans="191:191" x14ac:dyDescent="0.2">
      <c r="GI30116" s="422"/>
    </row>
    <row r="30117" spans="191:191" x14ac:dyDescent="0.2">
      <c r="GI30117" s="422"/>
    </row>
    <row r="30118" spans="191:191" x14ac:dyDescent="0.2">
      <c r="GI30118" s="422"/>
    </row>
    <row r="30119" spans="191:191" x14ac:dyDescent="0.2">
      <c r="GI30119" s="422"/>
    </row>
    <row r="30120" spans="191:191" x14ac:dyDescent="0.2">
      <c r="GI30120" s="422"/>
    </row>
    <row r="30121" spans="191:191" x14ac:dyDescent="0.2">
      <c r="GI30121" s="422"/>
    </row>
    <row r="30122" spans="191:191" x14ac:dyDescent="0.2">
      <c r="GI30122" s="422"/>
    </row>
    <row r="30123" spans="191:191" x14ac:dyDescent="0.2">
      <c r="GI30123" s="422"/>
    </row>
    <row r="30124" spans="191:191" x14ac:dyDescent="0.2">
      <c r="GI30124" s="422"/>
    </row>
    <row r="30125" spans="191:191" x14ac:dyDescent="0.2">
      <c r="GI30125" s="422"/>
    </row>
    <row r="30126" spans="191:191" x14ac:dyDescent="0.2">
      <c r="GI30126" s="422"/>
    </row>
    <row r="30127" spans="191:191" x14ac:dyDescent="0.2">
      <c r="GI30127" s="422"/>
    </row>
    <row r="30128" spans="191:191" x14ac:dyDescent="0.2">
      <c r="GI30128" s="422"/>
    </row>
    <row r="30129" spans="191:191" x14ac:dyDescent="0.2">
      <c r="GI30129" s="422"/>
    </row>
    <row r="30130" spans="191:191" x14ac:dyDescent="0.2">
      <c r="GI30130" s="422"/>
    </row>
    <row r="30131" spans="191:191" x14ac:dyDescent="0.2">
      <c r="GI30131" s="422"/>
    </row>
    <row r="30132" spans="191:191" x14ac:dyDescent="0.2">
      <c r="GI30132" s="422"/>
    </row>
    <row r="30133" spans="191:191" x14ac:dyDescent="0.2">
      <c r="GI30133" s="422"/>
    </row>
    <row r="30134" spans="191:191" x14ac:dyDescent="0.2">
      <c r="GI30134" s="422"/>
    </row>
    <row r="30135" spans="191:191" x14ac:dyDescent="0.2">
      <c r="GI30135" s="422"/>
    </row>
    <row r="30136" spans="191:191" x14ac:dyDescent="0.2">
      <c r="GI30136" s="422"/>
    </row>
    <row r="30137" spans="191:191" x14ac:dyDescent="0.2">
      <c r="GI30137" s="422"/>
    </row>
    <row r="30138" spans="191:191" x14ac:dyDescent="0.2">
      <c r="GI30138" s="422"/>
    </row>
    <row r="30139" spans="191:191" x14ac:dyDescent="0.2">
      <c r="GI30139" s="422"/>
    </row>
    <row r="30140" spans="191:191" x14ac:dyDescent="0.2">
      <c r="GI30140" s="422"/>
    </row>
    <row r="30141" spans="191:191" x14ac:dyDescent="0.2">
      <c r="GI30141" s="422"/>
    </row>
    <row r="30142" spans="191:191" x14ac:dyDescent="0.2">
      <c r="GI30142" s="422"/>
    </row>
    <row r="30143" spans="191:191" x14ac:dyDescent="0.2">
      <c r="GI30143" s="422"/>
    </row>
    <row r="30144" spans="191:191" x14ac:dyDescent="0.2">
      <c r="GI30144" s="422"/>
    </row>
    <row r="30145" spans="191:191" x14ac:dyDescent="0.2">
      <c r="GI30145" s="422"/>
    </row>
    <row r="30146" spans="191:191" x14ac:dyDescent="0.2">
      <c r="GI30146" s="422"/>
    </row>
    <row r="30147" spans="191:191" x14ac:dyDescent="0.2">
      <c r="GI30147" s="422"/>
    </row>
    <row r="30148" spans="191:191" x14ac:dyDescent="0.2">
      <c r="GI30148" s="422"/>
    </row>
    <row r="30149" spans="191:191" x14ac:dyDescent="0.2">
      <c r="GI30149" s="422"/>
    </row>
    <row r="30150" spans="191:191" x14ac:dyDescent="0.2">
      <c r="GI30150" s="422"/>
    </row>
    <row r="30151" spans="191:191" x14ac:dyDescent="0.2">
      <c r="GI30151" s="422"/>
    </row>
    <row r="30152" spans="191:191" x14ac:dyDescent="0.2">
      <c r="GI30152" s="422"/>
    </row>
    <row r="30153" spans="191:191" x14ac:dyDescent="0.2">
      <c r="GI30153" s="422"/>
    </row>
    <row r="30154" spans="191:191" x14ac:dyDescent="0.2">
      <c r="GI30154" s="422"/>
    </row>
    <row r="30155" spans="191:191" x14ac:dyDescent="0.2">
      <c r="GI30155" s="422"/>
    </row>
    <row r="30156" spans="191:191" x14ac:dyDescent="0.2">
      <c r="GI30156" s="422"/>
    </row>
    <row r="30157" spans="191:191" x14ac:dyDescent="0.2">
      <c r="GI30157" s="422"/>
    </row>
    <row r="30158" spans="191:191" x14ac:dyDescent="0.2">
      <c r="GI30158" s="422"/>
    </row>
    <row r="30159" spans="191:191" x14ac:dyDescent="0.2">
      <c r="GI30159" s="422"/>
    </row>
    <row r="30160" spans="191:191" x14ac:dyDescent="0.2">
      <c r="GI30160" s="422"/>
    </row>
    <row r="30161" spans="191:191" x14ac:dyDescent="0.2">
      <c r="GI30161" s="422"/>
    </row>
    <row r="30162" spans="191:191" x14ac:dyDescent="0.2">
      <c r="GI30162" s="422"/>
    </row>
    <row r="30163" spans="191:191" x14ac:dyDescent="0.2">
      <c r="GI30163" s="422"/>
    </row>
    <row r="30164" spans="191:191" x14ac:dyDescent="0.2">
      <c r="GI30164" s="422"/>
    </row>
    <row r="30165" spans="191:191" x14ac:dyDescent="0.2">
      <c r="GI30165" s="422"/>
    </row>
    <row r="30166" spans="191:191" x14ac:dyDescent="0.2">
      <c r="GI30166" s="422"/>
    </row>
    <row r="30167" spans="191:191" x14ac:dyDescent="0.2">
      <c r="GI30167" s="422"/>
    </row>
    <row r="30168" spans="191:191" x14ac:dyDescent="0.2">
      <c r="GI30168" s="422"/>
    </row>
    <row r="30169" spans="191:191" x14ac:dyDescent="0.2">
      <c r="GI30169" s="422"/>
    </row>
    <row r="30170" spans="191:191" x14ac:dyDescent="0.2">
      <c r="GI30170" s="422"/>
    </row>
    <row r="30171" spans="191:191" x14ac:dyDescent="0.2">
      <c r="GI30171" s="422"/>
    </row>
    <row r="30172" spans="191:191" x14ac:dyDescent="0.2">
      <c r="GI30172" s="422"/>
    </row>
    <row r="30173" spans="191:191" x14ac:dyDescent="0.2">
      <c r="GI30173" s="422"/>
    </row>
    <row r="30174" spans="191:191" x14ac:dyDescent="0.2">
      <c r="GI30174" s="422"/>
    </row>
    <row r="30175" spans="191:191" x14ac:dyDescent="0.2">
      <c r="GI30175" s="422"/>
    </row>
    <row r="30176" spans="191:191" x14ac:dyDescent="0.2">
      <c r="GI30176" s="422"/>
    </row>
    <row r="30177" spans="191:191" x14ac:dyDescent="0.2">
      <c r="GI30177" s="422"/>
    </row>
    <row r="30178" spans="191:191" x14ac:dyDescent="0.2">
      <c r="GI30178" s="422"/>
    </row>
    <row r="30179" spans="191:191" x14ac:dyDescent="0.2">
      <c r="GI30179" s="422"/>
    </row>
    <row r="30180" spans="191:191" x14ac:dyDescent="0.2">
      <c r="GI30180" s="422"/>
    </row>
    <row r="30181" spans="191:191" x14ac:dyDescent="0.2">
      <c r="GI30181" s="422"/>
    </row>
    <row r="30182" spans="191:191" x14ac:dyDescent="0.2">
      <c r="GI30182" s="422"/>
    </row>
    <row r="30183" spans="191:191" x14ac:dyDescent="0.2">
      <c r="GI30183" s="422"/>
    </row>
    <row r="30184" spans="191:191" x14ac:dyDescent="0.2">
      <c r="GI30184" s="422"/>
    </row>
    <row r="30185" spans="191:191" x14ac:dyDescent="0.2">
      <c r="GI30185" s="422"/>
    </row>
    <row r="30186" spans="191:191" x14ac:dyDescent="0.2">
      <c r="GI30186" s="422"/>
    </row>
    <row r="30187" spans="191:191" x14ac:dyDescent="0.2">
      <c r="GI30187" s="422"/>
    </row>
    <row r="30188" spans="191:191" x14ac:dyDescent="0.2">
      <c r="GI30188" s="422"/>
    </row>
    <row r="30189" spans="191:191" x14ac:dyDescent="0.2">
      <c r="GI30189" s="422"/>
    </row>
    <row r="30190" spans="191:191" x14ac:dyDescent="0.2">
      <c r="GI30190" s="422"/>
    </row>
    <row r="30191" spans="191:191" x14ac:dyDescent="0.2">
      <c r="GI30191" s="422"/>
    </row>
    <row r="30192" spans="191:191" x14ac:dyDescent="0.2">
      <c r="GI30192" s="422"/>
    </row>
    <row r="30193" spans="191:191" x14ac:dyDescent="0.2">
      <c r="GI30193" s="422"/>
    </row>
    <row r="30194" spans="191:191" x14ac:dyDescent="0.2">
      <c r="GI30194" s="422"/>
    </row>
    <row r="30195" spans="191:191" x14ac:dyDescent="0.2">
      <c r="GI30195" s="422"/>
    </row>
    <row r="30196" spans="191:191" x14ac:dyDescent="0.2">
      <c r="GI30196" s="422"/>
    </row>
    <row r="30197" spans="191:191" x14ac:dyDescent="0.2">
      <c r="GI30197" s="422"/>
    </row>
    <row r="30198" spans="191:191" x14ac:dyDescent="0.2">
      <c r="GI30198" s="422"/>
    </row>
    <row r="30199" spans="191:191" x14ac:dyDescent="0.2">
      <c r="GI30199" s="422"/>
    </row>
    <row r="30200" spans="191:191" x14ac:dyDescent="0.2">
      <c r="GI30200" s="422"/>
    </row>
    <row r="30201" spans="191:191" x14ac:dyDescent="0.2">
      <c r="GI30201" s="422"/>
    </row>
    <row r="30202" spans="191:191" x14ac:dyDescent="0.2">
      <c r="GI30202" s="422"/>
    </row>
    <row r="30203" spans="191:191" x14ac:dyDescent="0.2">
      <c r="GI30203" s="422"/>
    </row>
    <row r="30204" spans="191:191" x14ac:dyDescent="0.2">
      <c r="GI30204" s="422"/>
    </row>
    <row r="30205" spans="191:191" x14ac:dyDescent="0.2">
      <c r="GI30205" s="422"/>
    </row>
    <row r="30206" spans="191:191" x14ac:dyDescent="0.2">
      <c r="GI30206" s="422"/>
    </row>
    <row r="30207" spans="191:191" x14ac:dyDescent="0.2">
      <c r="GI30207" s="422"/>
    </row>
    <row r="30208" spans="191:191" x14ac:dyDescent="0.2">
      <c r="GI30208" s="422"/>
    </row>
    <row r="30209" spans="191:191" x14ac:dyDescent="0.2">
      <c r="GI30209" s="422"/>
    </row>
    <row r="30210" spans="191:191" x14ac:dyDescent="0.2">
      <c r="GI30210" s="422"/>
    </row>
    <row r="30211" spans="191:191" x14ac:dyDescent="0.2">
      <c r="GI30211" s="422"/>
    </row>
    <row r="30212" spans="191:191" x14ac:dyDescent="0.2">
      <c r="GI30212" s="422"/>
    </row>
    <row r="30213" spans="191:191" x14ac:dyDescent="0.2">
      <c r="GI30213" s="422"/>
    </row>
    <row r="30214" spans="191:191" x14ac:dyDescent="0.2">
      <c r="GI30214" s="422"/>
    </row>
    <row r="30215" spans="191:191" x14ac:dyDescent="0.2">
      <c r="GI30215" s="422"/>
    </row>
    <row r="30216" spans="191:191" x14ac:dyDescent="0.2">
      <c r="GI30216" s="422"/>
    </row>
    <row r="30217" spans="191:191" x14ac:dyDescent="0.2">
      <c r="GI30217" s="422"/>
    </row>
    <row r="30218" spans="191:191" x14ac:dyDescent="0.2">
      <c r="GI30218" s="422"/>
    </row>
    <row r="30219" spans="191:191" x14ac:dyDescent="0.2">
      <c r="GI30219" s="422"/>
    </row>
    <row r="30220" spans="191:191" x14ac:dyDescent="0.2">
      <c r="GI30220" s="422"/>
    </row>
    <row r="30221" spans="191:191" x14ac:dyDescent="0.2">
      <c r="GI30221" s="422"/>
    </row>
    <row r="30222" spans="191:191" x14ac:dyDescent="0.2">
      <c r="GI30222" s="422"/>
    </row>
    <row r="30223" spans="191:191" x14ac:dyDescent="0.2">
      <c r="GI30223" s="422"/>
    </row>
    <row r="30224" spans="191:191" x14ac:dyDescent="0.2">
      <c r="GI30224" s="422"/>
    </row>
    <row r="30225" spans="191:191" x14ac:dyDescent="0.2">
      <c r="GI30225" s="422"/>
    </row>
    <row r="30226" spans="191:191" x14ac:dyDescent="0.2">
      <c r="GI30226" s="422"/>
    </row>
    <row r="30227" spans="191:191" x14ac:dyDescent="0.2">
      <c r="GI30227" s="422"/>
    </row>
    <row r="30228" spans="191:191" x14ac:dyDescent="0.2">
      <c r="GI30228" s="422"/>
    </row>
    <row r="30229" spans="191:191" x14ac:dyDescent="0.2">
      <c r="GI30229" s="422"/>
    </row>
    <row r="30230" spans="191:191" x14ac:dyDescent="0.2">
      <c r="GI30230" s="422"/>
    </row>
    <row r="30231" spans="191:191" x14ac:dyDescent="0.2">
      <c r="GI30231" s="422"/>
    </row>
    <row r="30232" spans="191:191" x14ac:dyDescent="0.2">
      <c r="GI30232" s="422"/>
    </row>
    <row r="30233" spans="191:191" x14ac:dyDescent="0.2">
      <c r="GI30233" s="422"/>
    </row>
    <row r="30234" spans="191:191" x14ac:dyDescent="0.2">
      <c r="GI30234" s="422"/>
    </row>
    <row r="30235" spans="191:191" x14ac:dyDescent="0.2">
      <c r="GI30235" s="422"/>
    </row>
    <row r="30236" spans="191:191" x14ac:dyDescent="0.2">
      <c r="GI30236" s="422"/>
    </row>
    <row r="30237" spans="191:191" x14ac:dyDescent="0.2">
      <c r="GI30237" s="422"/>
    </row>
    <row r="30238" spans="191:191" x14ac:dyDescent="0.2">
      <c r="GI30238" s="422"/>
    </row>
    <row r="30239" spans="191:191" x14ac:dyDescent="0.2">
      <c r="GI30239" s="422"/>
    </row>
    <row r="30240" spans="191:191" x14ac:dyDescent="0.2">
      <c r="GI30240" s="422"/>
    </row>
    <row r="30241" spans="191:191" x14ac:dyDescent="0.2">
      <c r="GI30241" s="422"/>
    </row>
    <row r="30242" spans="191:191" x14ac:dyDescent="0.2">
      <c r="GI30242" s="422"/>
    </row>
    <row r="30243" spans="191:191" x14ac:dyDescent="0.2">
      <c r="GI30243" s="422"/>
    </row>
    <row r="30244" spans="191:191" x14ac:dyDescent="0.2">
      <c r="GI30244" s="422"/>
    </row>
    <row r="30245" spans="191:191" x14ac:dyDescent="0.2">
      <c r="GI30245" s="422"/>
    </row>
    <row r="30246" spans="191:191" x14ac:dyDescent="0.2">
      <c r="GI30246" s="422"/>
    </row>
    <row r="30247" spans="191:191" x14ac:dyDescent="0.2">
      <c r="GI30247" s="422"/>
    </row>
    <row r="30248" spans="191:191" x14ac:dyDescent="0.2">
      <c r="GI30248" s="422"/>
    </row>
    <row r="30249" spans="191:191" x14ac:dyDescent="0.2">
      <c r="GI30249" s="422"/>
    </row>
    <row r="30250" spans="191:191" x14ac:dyDescent="0.2">
      <c r="GI30250" s="422"/>
    </row>
    <row r="30251" spans="191:191" x14ac:dyDescent="0.2">
      <c r="GI30251" s="422"/>
    </row>
    <row r="30252" spans="191:191" x14ac:dyDescent="0.2">
      <c r="GI30252" s="422"/>
    </row>
    <row r="30253" spans="191:191" x14ac:dyDescent="0.2">
      <c r="GI30253" s="422"/>
    </row>
    <row r="30254" spans="191:191" x14ac:dyDescent="0.2">
      <c r="GI30254" s="422"/>
    </row>
    <row r="30255" spans="191:191" x14ac:dyDescent="0.2">
      <c r="GI30255" s="422"/>
    </row>
    <row r="30256" spans="191:191" x14ac:dyDescent="0.2">
      <c r="GI30256" s="422"/>
    </row>
    <row r="30257" spans="191:191" x14ac:dyDescent="0.2">
      <c r="GI30257" s="422"/>
    </row>
    <row r="30258" spans="191:191" x14ac:dyDescent="0.2">
      <c r="GI30258" s="422"/>
    </row>
    <row r="30259" spans="191:191" x14ac:dyDescent="0.2">
      <c r="GI30259" s="422"/>
    </row>
    <row r="30260" spans="191:191" x14ac:dyDescent="0.2">
      <c r="GI30260" s="422"/>
    </row>
    <row r="30261" spans="191:191" x14ac:dyDescent="0.2">
      <c r="GI30261" s="422"/>
    </row>
    <row r="30262" spans="191:191" x14ac:dyDescent="0.2">
      <c r="GI30262" s="422"/>
    </row>
    <row r="30263" spans="191:191" x14ac:dyDescent="0.2">
      <c r="GI30263" s="422"/>
    </row>
    <row r="30264" spans="191:191" x14ac:dyDescent="0.2">
      <c r="GI30264" s="422"/>
    </row>
    <row r="30265" spans="191:191" x14ac:dyDescent="0.2">
      <c r="GI30265" s="422"/>
    </row>
    <row r="30266" spans="191:191" x14ac:dyDescent="0.2">
      <c r="GI30266" s="422"/>
    </row>
    <row r="30267" spans="191:191" x14ac:dyDescent="0.2">
      <c r="GI30267" s="422"/>
    </row>
    <row r="30268" spans="191:191" x14ac:dyDescent="0.2">
      <c r="GI30268" s="422"/>
    </row>
    <row r="30269" spans="191:191" x14ac:dyDescent="0.2">
      <c r="GI30269" s="422"/>
    </row>
    <row r="30270" spans="191:191" x14ac:dyDescent="0.2">
      <c r="GI30270" s="422"/>
    </row>
    <row r="30271" spans="191:191" x14ac:dyDescent="0.2">
      <c r="GI30271" s="422"/>
    </row>
    <row r="30272" spans="191:191" x14ac:dyDescent="0.2">
      <c r="GI30272" s="422"/>
    </row>
    <row r="30273" spans="191:191" x14ac:dyDescent="0.2">
      <c r="GI30273" s="422"/>
    </row>
    <row r="30274" spans="191:191" x14ac:dyDescent="0.2">
      <c r="GI30274" s="422"/>
    </row>
    <row r="30275" spans="191:191" x14ac:dyDescent="0.2">
      <c r="GI30275" s="422"/>
    </row>
    <row r="30276" spans="191:191" x14ac:dyDescent="0.2">
      <c r="GI30276" s="422"/>
    </row>
    <row r="30277" spans="191:191" x14ac:dyDescent="0.2">
      <c r="GI30277" s="422"/>
    </row>
    <row r="30278" spans="191:191" x14ac:dyDescent="0.2">
      <c r="GI30278" s="422"/>
    </row>
    <row r="30279" spans="191:191" x14ac:dyDescent="0.2">
      <c r="GI30279" s="422"/>
    </row>
    <row r="30280" spans="191:191" x14ac:dyDescent="0.2">
      <c r="GI30280" s="422"/>
    </row>
    <row r="30281" spans="191:191" x14ac:dyDescent="0.2">
      <c r="GI30281" s="422"/>
    </row>
    <row r="30282" spans="191:191" x14ac:dyDescent="0.2">
      <c r="GI30282" s="422"/>
    </row>
    <row r="30283" spans="191:191" x14ac:dyDescent="0.2">
      <c r="GI30283" s="422"/>
    </row>
    <row r="30284" spans="191:191" x14ac:dyDescent="0.2">
      <c r="GI30284" s="422"/>
    </row>
    <row r="30285" spans="191:191" x14ac:dyDescent="0.2">
      <c r="GI30285" s="422"/>
    </row>
    <row r="30286" spans="191:191" x14ac:dyDescent="0.2">
      <c r="GI30286" s="422"/>
    </row>
    <row r="30287" spans="191:191" x14ac:dyDescent="0.2">
      <c r="GI30287" s="422"/>
    </row>
    <row r="30288" spans="191:191" x14ac:dyDescent="0.2">
      <c r="GI30288" s="422"/>
    </row>
    <row r="30289" spans="191:191" x14ac:dyDescent="0.2">
      <c r="GI30289" s="422"/>
    </row>
    <row r="30290" spans="191:191" x14ac:dyDescent="0.2">
      <c r="GI30290" s="422"/>
    </row>
    <row r="30291" spans="191:191" x14ac:dyDescent="0.2">
      <c r="GI30291" s="422"/>
    </row>
    <row r="30292" spans="191:191" x14ac:dyDescent="0.2">
      <c r="GI30292" s="422"/>
    </row>
    <row r="30293" spans="191:191" x14ac:dyDescent="0.2">
      <c r="GI30293" s="422"/>
    </row>
    <row r="30294" spans="191:191" x14ac:dyDescent="0.2">
      <c r="GI30294" s="422"/>
    </row>
    <row r="30295" spans="191:191" x14ac:dyDescent="0.2">
      <c r="GI30295" s="422"/>
    </row>
    <row r="30296" spans="191:191" x14ac:dyDescent="0.2">
      <c r="GI30296" s="422"/>
    </row>
    <row r="30297" spans="191:191" x14ac:dyDescent="0.2">
      <c r="GI30297" s="422"/>
    </row>
    <row r="30298" spans="191:191" x14ac:dyDescent="0.2">
      <c r="GI30298" s="422"/>
    </row>
    <row r="30299" spans="191:191" x14ac:dyDescent="0.2">
      <c r="GI30299" s="422"/>
    </row>
    <row r="30300" spans="191:191" x14ac:dyDescent="0.2">
      <c r="GI30300" s="422"/>
    </row>
    <row r="30301" spans="191:191" x14ac:dyDescent="0.2">
      <c r="GI30301" s="422"/>
    </row>
    <row r="30302" spans="191:191" x14ac:dyDescent="0.2">
      <c r="GI30302" s="422"/>
    </row>
    <row r="30303" spans="191:191" x14ac:dyDescent="0.2">
      <c r="GI30303" s="422"/>
    </row>
    <row r="30304" spans="191:191" x14ac:dyDescent="0.2">
      <c r="GI30304" s="422"/>
    </row>
    <row r="30305" spans="191:191" x14ac:dyDescent="0.2">
      <c r="GI30305" s="422"/>
    </row>
    <row r="30306" spans="191:191" x14ac:dyDescent="0.2">
      <c r="GI30306" s="422"/>
    </row>
    <row r="30307" spans="191:191" x14ac:dyDescent="0.2">
      <c r="GI30307" s="422"/>
    </row>
    <row r="30308" spans="191:191" x14ac:dyDescent="0.2">
      <c r="GI30308" s="422"/>
    </row>
    <row r="30309" spans="191:191" x14ac:dyDescent="0.2">
      <c r="GI30309" s="422"/>
    </row>
    <row r="30310" spans="191:191" x14ac:dyDescent="0.2">
      <c r="GI30310" s="422"/>
    </row>
    <row r="30311" spans="191:191" x14ac:dyDescent="0.2">
      <c r="GI30311" s="422"/>
    </row>
    <row r="30312" spans="191:191" x14ac:dyDescent="0.2">
      <c r="GI30312" s="422"/>
    </row>
    <row r="30313" spans="191:191" x14ac:dyDescent="0.2">
      <c r="GI30313" s="422"/>
    </row>
    <row r="30314" spans="191:191" x14ac:dyDescent="0.2">
      <c r="GI30314" s="422"/>
    </row>
    <row r="30315" spans="191:191" x14ac:dyDescent="0.2">
      <c r="GI30315" s="422"/>
    </row>
    <row r="30316" spans="191:191" x14ac:dyDescent="0.2">
      <c r="GI30316" s="422"/>
    </row>
    <row r="30317" spans="191:191" x14ac:dyDescent="0.2">
      <c r="GI30317" s="422"/>
    </row>
    <row r="30318" spans="191:191" x14ac:dyDescent="0.2">
      <c r="GI30318" s="422"/>
    </row>
    <row r="30319" spans="191:191" x14ac:dyDescent="0.2">
      <c r="GI30319" s="422"/>
    </row>
    <row r="30320" spans="191:191" x14ac:dyDescent="0.2">
      <c r="GI30320" s="422"/>
    </row>
    <row r="30321" spans="191:191" x14ac:dyDescent="0.2">
      <c r="GI30321" s="422"/>
    </row>
    <row r="30322" spans="191:191" x14ac:dyDescent="0.2">
      <c r="GI30322" s="422"/>
    </row>
    <row r="30323" spans="191:191" x14ac:dyDescent="0.2">
      <c r="GI30323" s="422"/>
    </row>
    <row r="30324" spans="191:191" x14ac:dyDescent="0.2">
      <c r="GI30324" s="422"/>
    </row>
    <row r="30325" spans="191:191" x14ac:dyDescent="0.2">
      <c r="GI30325" s="422"/>
    </row>
    <row r="30326" spans="191:191" x14ac:dyDescent="0.2">
      <c r="GI30326" s="422"/>
    </row>
    <row r="30327" spans="191:191" x14ac:dyDescent="0.2">
      <c r="GI30327" s="422"/>
    </row>
    <row r="30328" spans="191:191" x14ac:dyDescent="0.2">
      <c r="GI30328" s="422"/>
    </row>
    <row r="30329" spans="191:191" x14ac:dyDescent="0.2">
      <c r="GI30329" s="422"/>
    </row>
    <row r="30330" spans="191:191" x14ac:dyDescent="0.2">
      <c r="GI30330" s="422"/>
    </row>
    <row r="30331" spans="191:191" x14ac:dyDescent="0.2">
      <c r="GI30331" s="422"/>
    </row>
    <row r="30332" spans="191:191" x14ac:dyDescent="0.2">
      <c r="GI30332" s="422"/>
    </row>
    <row r="30333" spans="191:191" x14ac:dyDescent="0.2">
      <c r="GI30333" s="422"/>
    </row>
    <row r="30334" spans="191:191" x14ac:dyDescent="0.2">
      <c r="GI30334" s="422"/>
    </row>
    <row r="30335" spans="191:191" x14ac:dyDescent="0.2">
      <c r="GI30335" s="422"/>
    </row>
    <row r="30336" spans="191:191" x14ac:dyDescent="0.2">
      <c r="GI30336" s="422"/>
    </row>
    <row r="30337" spans="191:191" x14ac:dyDescent="0.2">
      <c r="GI30337" s="422"/>
    </row>
    <row r="30338" spans="191:191" x14ac:dyDescent="0.2">
      <c r="GI30338" s="422"/>
    </row>
    <row r="30339" spans="191:191" x14ac:dyDescent="0.2">
      <c r="GI30339" s="422"/>
    </row>
    <row r="30340" spans="191:191" x14ac:dyDescent="0.2">
      <c r="GI30340" s="422"/>
    </row>
    <row r="30341" spans="191:191" x14ac:dyDescent="0.2">
      <c r="GI30341" s="422"/>
    </row>
    <row r="30342" spans="191:191" x14ac:dyDescent="0.2">
      <c r="GI30342" s="422"/>
    </row>
    <row r="30343" spans="191:191" x14ac:dyDescent="0.2">
      <c r="GI30343" s="422"/>
    </row>
    <row r="30344" spans="191:191" x14ac:dyDescent="0.2">
      <c r="GI30344" s="422"/>
    </row>
    <row r="30345" spans="191:191" x14ac:dyDescent="0.2">
      <c r="GI30345" s="422"/>
    </row>
    <row r="30346" spans="191:191" x14ac:dyDescent="0.2">
      <c r="GI30346" s="422"/>
    </row>
    <row r="30347" spans="191:191" x14ac:dyDescent="0.2">
      <c r="GI30347" s="422"/>
    </row>
    <row r="30348" spans="191:191" x14ac:dyDescent="0.2">
      <c r="GI30348" s="422"/>
    </row>
    <row r="30349" spans="191:191" x14ac:dyDescent="0.2">
      <c r="GI30349" s="422"/>
    </row>
    <row r="30350" spans="191:191" x14ac:dyDescent="0.2">
      <c r="GI30350" s="422"/>
    </row>
    <row r="30351" spans="191:191" x14ac:dyDescent="0.2">
      <c r="GI30351" s="422"/>
    </row>
    <row r="30352" spans="191:191" x14ac:dyDescent="0.2">
      <c r="GI30352" s="422"/>
    </row>
    <row r="30353" spans="191:191" x14ac:dyDescent="0.2">
      <c r="GI30353" s="422"/>
    </row>
    <row r="30354" spans="191:191" x14ac:dyDescent="0.2">
      <c r="GI30354" s="422"/>
    </row>
    <row r="30355" spans="191:191" x14ac:dyDescent="0.2">
      <c r="GI30355" s="422"/>
    </row>
    <row r="30356" spans="191:191" x14ac:dyDescent="0.2">
      <c r="GI30356" s="422"/>
    </row>
    <row r="30357" spans="191:191" x14ac:dyDescent="0.2">
      <c r="GI30357" s="422"/>
    </row>
    <row r="30358" spans="191:191" x14ac:dyDescent="0.2">
      <c r="GI30358" s="422"/>
    </row>
    <row r="30359" spans="191:191" x14ac:dyDescent="0.2">
      <c r="GI30359" s="422"/>
    </row>
    <row r="30360" spans="191:191" x14ac:dyDescent="0.2">
      <c r="GI30360" s="422"/>
    </row>
    <row r="30361" spans="191:191" x14ac:dyDescent="0.2">
      <c r="GI30361" s="422"/>
    </row>
    <row r="30362" spans="191:191" x14ac:dyDescent="0.2">
      <c r="GI30362" s="422"/>
    </row>
    <row r="30363" spans="191:191" x14ac:dyDescent="0.2">
      <c r="GI30363" s="422"/>
    </row>
    <row r="30364" spans="191:191" x14ac:dyDescent="0.2">
      <c r="GI30364" s="422"/>
    </row>
    <row r="30365" spans="191:191" x14ac:dyDescent="0.2">
      <c r="GI30365" s="422"/>
    </row>
    <row r="30366" spans="191:191" x14ac:dyDescent="0.2">
      <c r="GI30366" s="422"/>
    </row>
    <row r="30367" spans="191:191" x14ac:dyDescent="0.2">
      <c r="GI30367" s="422"/>
    </row>
    <row r="30368" spans="191:191" x14ac:dyDescent="0.2">
      <c r="GI30368" s="422"/>
    </row>
    <row r="30369" spans="191:191" x14ac:dyDescent="0.2">
      <c r="GI30369" s="422"/>
    </row>
    <row r="30370" spans="191:191" x14ac:dyDescent="0.2">
      <c r="GI30370" s="422"/>
    </row>
    <row r="30371" spans="191:191" x14ac:dyDescent="0.2">
      <c r="GI30371" s="422"/>
    </row>
    <row r="30372" spans="191:191" x14ac:dyDescent="0.2">
      <c r="GI30372" s="422"/>
    </row>
    <row r="30373" spans="191:191" x14ac:dyDescent="0.2">
      <c r="GI30373" s="422"/>
    </row>
    <row r="30374" spans="191:191" x14ac:dyDescent="0.2">
      <c r="GI30374" s="422"/>
    </row>
    <row r="30375" spans="191:191" x14ac:dyDescent="0.2">
      <c r="GI30375" s="422"/>
    </row>
    <row r="30376" spans="191:191" x14ac:dyDescent="0.2">
      <c r="GI30376" s="422"/>
    </row>
    <row r="30377" spans="191:191" x14ac:dyDescent="0.2">
      <c r="GI30377" s="422"/>
    </row>
    <row r="30378" spans="191:191" x14ac:dyDescent="0.2">
      <c r="GI30378" s="422"/>
    </row>
    <row r="30379" spans="191:191" x14ac:dyDescent="0.2">
      <c r="GI30379" s="422"/>
    </row>
    <row r="30380" spans="191:191" x14ac:dyDescent="0.2">
      <c r="GI30380" s="422"/>
    </row>
    <row r="30381" spans="191:191" x14ac:dyDescent="0.2">
      <c r="GI30381" s="422"/>
    </row>
    <row r="30382" spans="191:191" x14ac:dyDescent="0.2">
      <c r="GI30382" s="422"/>
    </row>
    <row r="30383" spans="191:191" x14ac:dyDescent="0.2">
      <c r="GI30383" s="422"/>
    </row>
    <row r="30384" spans="191:191" x14ac:dyDescent="0.2">
      <c r="GI30384" s="422"/>
    </row>
    <row r="30385" spans="191:191" x14ac:dyDescent="0.2">
      <c r="GI30385" s="422"/>
    </row>
    <row r="30386" spans="191:191" x14ac:dyDescent="0.2">
      <c r="GI30386" s="422"/>
    </row>
    <row r="30387" spans="191:191" x14ac:dyDescent="0.2">
      <c r="GI30387" s="422"/>
    </row>
    <row r="30388" spans="191:191" x14ac:dyDescent="0.2">
      <c r="GI30388" s="422"/>
    </row>
    <row r="30389" spans="191:191" x14ac:dyDescent="0.2">
      <c r="GI30389" s="422"/>
    </row>
    <row r="30390" spans="191:191" x14ac:dyDescent="0.2">
      <c r="GI30390" s="422"/>
    </row>
    <row r="30391" spans="191:191" x14ac:dyDescent="0.2">
      <c r="GI30391" s="422"/>
    </row>
    <row r="30392" spans="191:191" x14ac:dyDescent="0.2">
      <c r="GI30392" s="422"/>
    </row>
    <row r="30393" spans="191:191" x14ac:dyDescent="0.2">
      <c r="GI30393" s="422"/>
    </row>
    <row r="30394" spans="191:191" x14ac:dyDescent="0.2">
      <c r="GI30394" s="422"/>
    </row>
    <row r="30395" spans="191:191" x14ac:dyDescent="0.2">
      <c r="GI30395" s="422"/>
    </row>
    <row r="30396" spans="191:191" x14ac:dyDescent="0.2">
      <c r="GI30396" s="422"/>
    </row>
    <row r="30397" spans="191:191" x14ac:dyDescent="0.2">
      <c r="GI30397" s="422"/>
    </row>
    <row r="30398" spans="191:191" x14ac:dyDescent="0.2">
      <c r="GI30398" s="422"/>
    </row>
    <row r="30399" spans="191:191" x14ac:dyDescent="0.2">
      <c r="GI30399" s="422"/>
    </row>
    <row r="30400" spans="191:191" x14ac:dyDescent="0.2">
      <c r="GI30400" s="422"/>
    </row>
    <row r="30401" spans="191:191" x14ac:dyDescent="0.2">
      <c r="GI30401" s="422"/>
    </row>
    <row r="30402" spans="191:191" x14ac:dyDescent="0.2">
      <c r="GI30402" s="422"/>
    </row>
    <row r="30403" spans="191:191" x14ac:dyDescent="0.2">
      <c r="GI30403" s="422"/>
    </row>
    <row r="30404" spans="191:191" x14ac:dyDescent="0.2">
      <c r="GI30404" s="422"/>
    </row>
    <row r="30405" spans="191:191" x14ac:dyDescent="0.2">
      <c r="GI30405" s="422"/>
    </row>
    <row r="30406" spans="191:191" x14ac:dyDescent="0.2">
      <c r="GI30406" s="422"/>
    </row>
    <row r="30407" spans="191:191" x14ac:dyDescent="0.2">
      <c r="GI30407" s="422"/>
    </row>
    <row r="30408" spans="191:191" x14ac:dyDescent="0.2">
      <c r="GI30408" s="422"/>
    </row>
    <row r="30409" spans="191:191" x14ac:dyDescent="0.2">
      <c r="GI30409" s="422"/>
    </row>
    <row r="30410" spans="191:191" x14ac:dyDescent="0.2">
      <c r="GI30410" s="422"/>
    </row>
    <row r="30411" spans="191:191" x14ac:dyDescent="0.2">
      <c r="GI30411" s="422"/>
    </row>
    <row r="30412" spans="191:191" x14ac:dyDescent="0.2">
      <c r="GI30412" s="422"/>
    </row>
    <row r="30413" spans="191:191" x14ac:dyDescent="0.2">
      <c r="GI30413" s="422"/>
    </row>
    <row r="30414" spans="191:191" x14ac:dyDescent="0.2">
      <c r="GI30414" s="422"/>
    </row>
    <row r="30415" spans="191:191" x14ac:dyDescent="0.2">
      <c r="GI30415" s="422"/>
    </row>
    <row r="30416" spans="191:191" x14ac:dyDescent="0.2">
      <c r="GI30416" s="422"/>
    </row>
    <row r="30417" spans="191:191" x14ac:dyDescent="0.2">
      <c r="GI30417" s="422"/>
    </row>
    <row r="30418" spans="191:191" x14ac:dyDescent="0.2">
      <c r="GI30418" s="422"/>
    </row>
    <row r="30419" spans="191:191" x14ac:dyDescent="0.2">
      <c r="GI30419" s="422"/>
    </row>
    <row r="30420" spans="191:191" x14ac:dyDescent="0.2">
      <c r="GI30420" s="422"/>
    </row>
    <row r="30421" spans="191:191" x14ac:dyDescent="0.2">
      <c r="GI30421" s="422"/>
    </row>
    <row r="30422" spans="191:191" x14ac:dyDescent="0.2">
      <c r="GI30422" s="422"/>
    </row>
    <row r="30423" spans="191:191" x14ac:dyDescent="0.2">
      <c r="GI30423" s="422"/>
    </row>
    <row r="30424" spans="191:191" x14ac:dyDescent="0.2">
      <c r="GI30424" s="422"/>
    </row>
    <row r="30425" spans="191:191" x14ac:dyDescent="0.2">
      <c r="GI30425" s="422"/>
    </row>
    <row r="30426" spans="191:191" x14ac:dyDescent="0.2">
      <c r="GI30426" s="422"/>
    </row>
    <row r="30427" spans="191:191" x14ac:dyDescent="0.2">
      <c r="GI30427" s="422"/>
    </row>
    <row r="30428" spans="191:191" x14ac:dyDescent="0.2">
      <c r="GI30428" s="422"/>
    </row>
    <row r="30429" spans="191:191" x14ac:dyDescent="0.2">
      <c r="GI30429" s="422"/>
    </row>
    <row r="30430" spans="191:191" x14ac:dyDescent="0.2">
      <c r="GI30430" s="422"/>
    </row>
    <row r="30431" spans="191:191" x14ac:dyDescent="0.2">
      <c r="GI30431" s="422"/>
    </row>
    <row r="30432" spans="191:191" x14ac:dyDescent="0.2">
      <c r="GI30432" s="422"/>
    </row>
    <row r="30433" spans="191:191" x14ac:dyDescent="0.2">
      <c r="GI30433" s="422"/>
    </row>
    <row r="30434" spans="191:191" x14ac:dyDescent="0.2">
      <c r="GI30434" s="422"/>
    </row>
    <row r="30435" spans="191:191" x14ac:dyDescent="0.2">
      <c r="GI30435" s="422"/>
    </row>
    <row r="30436" spans="191:191" x14ac:dyDescent="0.2">
      <c r="GI30436" s="422"/>
    </row>
    <row r="30437" spans="191:191" x14ac:dyDescent="0.2">
      <c r="GI30437" s="422"/>
    </row>
    <row r="30438" spans="191:191" x14ac:dyDescent="0.2">
      <c r="GI30438" s="422"/>
    </row>
    <row r="30439" spans="191:191" x14ac:dyDescent="0.2">
      <c r="GI30439" s="422"/>
    </row>
    <row r="30440" spans="191:191" x14ac:dyDescent="0.2">
      <c r="GI30440" s="422"/>
    </row>
    <row r="30441" spans="191:191" x14ac:dyDescent="0.2">
      <c r="GI30441" s="422"/>
    </row>
    <row r="30442" spans="191:191" x14ac:dyDescent="0.2">
      <c r="GI30442" s="422"/>
    </row>
    <row r="30443" spans="191:191" x14ac:dyDescent="0.2">
      <c r="GI30443" s="422"/>
    </row>
    <row r="30444" spans="191:191" x14ac:dyDescent="0.2">
      <c r="GI30444" s="422"/>
    </row>
    <row r="30445" spans="191:191" x14ac:dyDescent="0.2">
      <c r="GI30445" s="422"/>
    </row>
    <row r="30446" spans="191:191" x14ac:dyDescent="0.2">
      <c r="GI30446" s="422"/>
    </row>
    <row r="30447" spans="191:191" x14ac:dyDescent="0.2">
      <c r="GI30447" s="422"/>
    </row>
    <row r="30448" spans="191:191" x14ac:dyDescent="0.2">
      <c r="GI30448" s="422"/>
    </row>
    <row r="30449" spans="191:191" x14ac:dyDescent="0.2">
      <c r="GI30449" s="422"/>
    </row>
    <row r="30450" spans="191:191" x14ac:dyDescent="0.2">
      <c r="GI30450" s="422"/>
    </row>
    <row r="30451" spans="191:191" x14ac:dyDescent="0.2">
      <c r="GI30451" s="422"/>
    </row>
    <row r="30452" spans="191:191" x14ac:dyDescent="0.2">
      <c r="GI30452" s="422"/>
    </row>
    <row r="30453" spans="191:191" x14ac:dyDescent="0.2">
      <c r="GI30453" s="422"/>
    </row>
    <row r="30454" spans="191:191" x14ac:dyDescent="0.2">
      <c r="GI30454" s="422"/>
    </row>
    <row r="30455" spans="191:191" x14ac:dyDescent="0.2">
      <c r="GI30455" s="422"/>
    </row>
    <row r="30456" spans="191:191" x14ac:dyDescent="0.2">
      <c r="GI30456" s="422"/>
    </row>
    <row r="30457" spans="191:191" x14ac:dyDescent="0.2">
      <c r="GI30457" s="422"/>
    </row>
    <row r="30458" spans="191:191" x14ac:dyDescent="0.2">
      <c r="GI30458" s="422"/>
    </row>
    <row r="30459" spans="191:191" x14ac:dyDescent="0.2">
      <c r="GI30459" s="422"/>
    </row>
    <row r="30460" spans="191:191" x14ac:dyDescent="0.2">
      <c r="GI30460" s="422"/>
    </row>
    <row r="30461" spans="191:191" x14ac:dyDescent="0.2">
      <c r="GI30461" s="422"/>
    </row>
    <row r="30462" spans="191:191" x14ac:dyDescent="0.2">
      <c r="GI30462" s="422"/>
    </row>
    <row r="30463" spans="191:191" x14ac:dyDescent="0.2">
      <c r="GI30463" s="422"/>
    </row>
    <row r="30464" spans="191:191" x14ac:dyDescent="0.2">
      <c r="GI30464" s="422"/>
    </row>
    <row r="30465" spans="191:191" x14ac:dyDescent="0.2">
      <c r="GI30465" s="422"/>
    </row>
    <row r="30466" spans="191:191" x14ac:dyDescent="0.2">
      <c r="GI30466" s="422"/>
    </row>
    <row r="30467" spans="191:191" x14ac:dyDescent="0.2">
      <c r="GI30467" s="422"/>
    </row>
    <row r="30468" spans="191:191" x14ac:dyDescent="0.2">
      <c r="GI30468" s="422"/>
    </row>
    <row r="30469" spans="191:191" x14ac:dyDescent="0.2">
      <c r="GI30469" s="422"/>
    </row>
    <row r="30470" spans="191:191" x14ac:dyDescent="0.2">
      <c r="GI30470" s="422"/>
    </row>
    <row r="30471" spans="191:191" x14ac:dyDescent="0.2">
      <c r="GI30471" s="422"/>
    </row>
    <row r="30472" spans="191:191" x14ac:dyDescent="0.2">
      <c r="GI30472" s="422"/>
    </row>
    <row r="30473" spans="191:191" x14ac:dyDescent="0.2">
      <c r="GI30473" s="422"/>
    </row>
    <row r="30474" spans="191:191" x14ac:dyDescent="0.2">
      <c r="GI30474" s="422"/>
    </row>
    <row r="30475" spans="191:191" x14ac:dyDescent="0.2">
      <c r="GI30475" s="422"/>
    </row>
    <row r="30476" spans="191:191" x14ac:dyDescent="0.2">
      <c r="GI30476" s="422"/>
    </row>
    <row r="30477" spans="191:191" x14ac:dyDescent="0.2">
      <c r="GI30477" s="422"/>
    </row>
    <row r="30478" spans="191:191" x14ac:dyDescent="0.2">
      <c r="GI30478" s="422"/>
    </row>
    <row r="30479" spans="191:191" x14ac:dyDescent="0.2">
      <c r="GI30479" s="422"/>
    </row>
    <row r="30480" spans="191:191" x14ac:dyDescent="0.2">
      <c r="GI30480" s="422"/>
    </row>
    <row r="30481" spans="191:191" x14ac:dyDescent="0.2">
      <c r="GI30481" s="422"/>
    </row>
    <row r="30482" spans="191:191" x14ac:dyDescent="0.2">
      <c r="GI30482" s="422"/>
    </row>
    <row r="30483" spans="191:191" x14ac:dyDescent="0.2">
      <c r="GI30483" s="422"/>
    </row>
    <row r="30484" spans="191:191" x14ac:dyDescent="0.2">
      <c r="GI30484" s="422"/>
    </row>
    <row r="30485" spans="191:191" x14ac:dyDescent="0.2">
      <c r="GI30485" s="422"/>
    </row>
    <row r="30486" spans="191:191" x14ac:dyDescent="0.2">
      <c r="GI30486" s="422"/>
    </row>
    <row r="30487" spans="191:191" x14ac:dyDescent="0.2">
      <c r="GI30487" s="422"/>
    </row>
    <row r="30488" spans="191:191" x14ac:dyDescent="0.2">
      <c r="GI30488" s="422"/>
    </row>
    <row r="30489" spans="191:191" x14ac:dyDescent="0.2">
      <c r="GI30489" s="422"/>
    </row>
    <row r="30490" spans="191:191" x14ac:dyDescent="0.2">
      <c r="GI30490" s="422"/>
    </row>
    <row r="30491" spans="191:191" x14ac:dyDescent="0.2">
      <c r="GI30491" s="422"/>
    </row>
    <row r="30492" spans="191:191" x14ac:dyDescent="0.2">
      <c r="GI30492" s="422"/>
    </row>
    <row r="30493" spans="191:191" x14ac:dyDescent="0.2">
      <c r="GI30493" s="422"/>
    </row>
    <row r="30494" spans="191:191" x14ac:dyDescent="0.2">
      <c r="GI30494" s="422"/>
    </row>
    <row r="30495" spans="191:191" x14ac:dyDescent="0.2">
      <c r="GI30495" s="422"/>
    </row>
    <row r="30496" spans="191:191" x14ac:dyDescent="0.2">
      <c r="GI30496" s="422"/>
    </row>
    <row r="30497" spans="191:191" x14ac:dyDescent="0.2">
      <c r="GI30497" s="422"/>
    </row>
    <row r="30498" spans="191:191" x14ac:dyDescent="0.2">
      <c r="GI30498" s="422"/>
    </row>
    <row r="30499" spans="191:191" x14ac:dyDescent="0.2">
      <c r="GI30499" s="422"/>
    </row>
    <row r="30500" spans="191:191" x14ac:dyDescent="0.2">
      <c r="GI30500" s="422"/>
    </row>
    <row r="30501" spans="191:191" x14ac:dyDescent="0.2">
      <c r="GI30501" s="422"/>
    </row>
    <row r="30502" spans="191:191" x14ac:dyDescent="0.2">
      <c r="GI30502" s="422"/>
    </row>
    <row r="30503" spans="191:191" x14ac:dyDescent="0.2">
      <c r="GI30503" s="422"/>
    </row>
    <row r="30504" spans="191:191" x14ac:dyDescent="0.2">
      <c r="GI30504" s="422"/>
    </row>
    <row r="30505" spans="191:191" x14ac:dyDescent="0.2">
      <c r="GI30505" s="422"/>
    </row>
    <row r="30506" spans="191:191" x14ac:dyDescent="0.2">
      <c r="GI30506" s="422"/>
    </row>
    <row r="30507" spans="191:191" x14ac:dyDescent="0.2">
      <c r="GI30507" s="422"/>
    </row>
    <row r="30508" spans="191:191" x14ac:dyDescent="0.2">
      <c r="GI30508" s="422"/>
    </row>
    <row r="30509" spans="191:191" x14ac:dyDescent="0.2">
      <c r="GI30509" s="422"/>
    </row>
    <row r="30510" spans="191:191" x14ac:dyDescent="0.2">
      <c r="GI30510" s="422"/>
    </row>
    <row r="30511" spans="191:191" x14ac:dyDescent="0.2">
      <c r="GI30511" s="422"/>
    </row>
    <row r="30512" spans="191:191" x14ac:dyDescent="0.2">
      <c r="GI30512" s="422"/>
    </row>
    <row r="30513" spans="191:191" x14ac:dyDescent="0.2">
      <c r="GI30513" s="422"/>
    </row>
    <row r="30514" spans="191:191" x14ac:dyDescent="0.2">
      <c r="GI30514" s="422"/>
    </row>
    <row r="30515" spans="191:191" x14ac:dyDescent="0.2">
      <c r="GI30515" s="422"/>
    </row>
    <row r="30516" spans="191:191" x14ac:dyDescent="0.2">
      <c r="GI30516" s="422"/>
    </row>
    <row r="30517" spans="191:191" x14ac:dyDescent="0.2">
      <c r="GI30517" s="422"/>
    </row>
    <row r="30518" spans="191:191" x14ac:dyDescent="0.2">
      <c r="GI30518" s="422"/>
    </row>
    <row r="30519" spans="191:191" x14ac:dyDescent="0.2">
      <c r="GI30519" s="422"/>
    </row>
    <row r="30520" spans="191:191" x14ac:dyDescent="0.2">
      <c r="GI30520" s="422"/>
    </row>
    <row r="30521" spans="191:191" x14ac:dyDescent="0.2">
      <c r="GI30521" s="422"/>
    </row>
    <row r="30522" spans="191:191" x14ac:dyDescent="0.2">
      <c r="GI30522" s="422"/>
    </row>
    <row r="30523" spans="191:191" x14ac:dyDescent="0.2">
      <c r="GI30523" s="422"/>
    </row>
    <row r="30524" spans="191:191" x14ac:dyDescent="0.2">
      <c r="GI30524" s="422"/>
    </row>
    <row r="30525" spans="191:191" x14ac:dyDescent="0.2">
      <c r="GI30525" s="422"/>
    </row>
    <row r="30526" spans="191:191" x14ac:dyDescent="0.2">
      <c r="GI30526" s="422"/>
    </row>
    <row r="30527" spans="191:191" x14ac:dyDescent="0.2">
      <c r="GI30527" s="422"/>
    </row>
    <row r="30528" spans="191:191" x14ac:dyDescent="0.2">
      <c r="GI30528" s="422"/>
    </row>
    <row r="30529" spans="191:191" x14ac:dyDescent="0.2">
      <c r="GI30529" s="422"/>
    </row>
    <row r="30530" spans="191:191" x14ac:dyDescent="0.2">
      <c r="GI30530" s="422"/>
    </row>
    <row r="30531" spans="191:191" x14ac:dyDescent="0.2">
      <c r="GI30531" s="422"/>
    </row>
    <row r="30532" spans="191:191" x14ac:dyDescent="0.2">
      <c r="GI30532" s="422"/>
    </row>
    <row r="30533" spans="191:191" x14ac:dyDescent="0.2">
      <c r="GI30533" s="422"/>
    </row>
    <row r="30534" spans="191:191" x14ac:dyDescent="0.2">
      <c r="GI30534" s="422"/>
    </row>
    <row r="30535" spans="191:191" x14ac:dyDescent="0.2">
      <c r="GI30535" s="422"/>
    </row>
    <row r="30536" spans="191:191" x14ac:dyDescent="0.2">
      <c r="GI30536" s="422"/>
    </row>
    <row r="30537" spans="191:191" x14ac:dyDescent="0.2">
      <c r="GI30537" s="422"/>
    </row>
    <row r="30538" spans="191:191" x14ac:dyDescent="0.2">
      <c r="GI30538" s="422"/>
    </row>
    <row r="30539" spans="191:191" x14ac:dyDescent="0.2">
      <c r="GI30539" s="422"/>
    </row>
    <row r="30540" spans="191:191" x14ac:dyDescent="0.2">
      <c r="GI30540" s="422"/>
    </row>
    <row r="30541" spans="191:191" x14ac:dyDescent="0.2">
      <c r="GI30541" s="422"/>
    </row>
    <row r="30542" spans="191:191" x14ac:dyDescent="0.2">
      <c r="GI30542" s="422"/>
    </row>
    <row r="30543" spans="191:191" x14ac:dyDescent="0.2">
      <c r="GI30543" s="422"/>
    </row>
    <row r="30544" spans="191:191" x14ac:dyDescent="0.2">
      <c r="GI30544" s="422"/>
    </row>
    <row r="30545" spans="191:191" x14ac:dyDescent="0.2">
      <c r="GI30545" s="422"/>
    </row>
    <row r="30546" spans="191:191" x14ac:dyDescent="0.2">
      <c r="GI30546" s="422"/>
    </row>
    <row r="30547" spans="191:191" x14ac:dyDescent="0.2">
      <c r="GI30547" s="422"/>
    </row>
    <row r="30548" spans="191:191" x14ac:dyDescent="0.2">
      <c r="GI30548" s="422"/>
    </row>
    <row r="30549" spans="191:191" x14ac:dyDescent="0.2">
      <c r="GI30549" s="422"/>
    </row>
    <row r="30550" spans="191:191" x14ac:dyDescent="0.2">
      <c r="GI30550" s="422"/>
    </row>
    <row r="30551" spans="191:191" x14ac:dyDescent="0.2">
      <c r="GI30551" s="422"/>
    </row>
    <row r="30552" spans="191:191" x14ac:dyDescent="0.2">
      <c r="GI30552" s="422"/>
    </row>
    <row r="30553" spans="191:191" x14ac:dyDescent="0.2">
      <c r="GI30553" s="422"/>
    </row>
    <row r="30554" spans="191:191" x14ac:dyDescent="0.2">
      <c r="GI30554" s="422"/>
    </row>
    <row r="30555" spans="191:191" x14ac:dyDescent="0.2">
      <c r="GI30555" s="422"/>
    </row>
    <row r="30556" spans="191:191" x14ac:dyDescent="0.2">
      <c r="GI30556" s="422"/>
    </row>
    <row r="30557" spans="191:191" x14ac:dyDescent="0.2">
      <c r="GI30557" s="422"/>
    </row>
    <row r="30558" spans="191:191" x14ac:dyDescent="0.2">
      <c r="GI30558" s="422"/>
    </row>
    <row r="30559" spans="191:191" x14ac:dyDescent="0.2">
      <c r="GI30559" s="422"/>
    </row>
    <row r="30560" spans="191:191" x14ac:dyDescent="0.2">
      <c r="GI30560" s="422"/>
    </row>
    <row r="30561" spans="191:191" x14ac:dyDescent="0.2">
      <c r="GI30561" s="422"/>
    </row>
    <row r="30562" spans="191:191" x14ac:dyDescent="0.2">
      <c r="GI30562" s="422"/>
    </row>
    <row r="30563" spans="191:191" x14ac:dyDescent="0.2">
      <c r="GI30563" s="422"/>
    </row>
    <row r="30564" spans="191:191" x14ac:dyDescent="0.2">
      <c r="GI30564" s="422"/>
    </row>
    <row r="30565" spans="191:191" x14ac:dyDescent="0.2">
      <c r="GI30565" s="422"/>
    </row>
    <row r="30566" spans="191:191" x14ac:dyDescent="0.2">
      <c r="GI30566" s="422"/>
    </row>
    <row r="30567" spans="191:191" x14ac:dyDescent="0.2">
      <c r="GI30567" s="422"/>
    </row>
    <row r="30568" spans="191:191" x14ac:dyDescent="0.2">
      <c r="GI30568" s="422"/>
    </row>
    <row r="30569" spans="191:191" x14ac:dyDescent="0.2">
      <c r="GI30569" s="422"/>
    </row>
    <row r="30570" spans="191:191" x14ac:dyDescent="0.2">
      <c r="GI30570" s="422"/>
    </row>
    <row r="30571" spans="191:191" x14ac:dyDescent="0.2">
      <c r="GI30571" s="422"/>
    </row>
    <row r="30572" spans="191:191" x14ac:dyDescent="0.2">
      <c r="GI30572" s="422"/>
    </row>
    <row r="30573" spans="191:191" x14ac:dyDescent="0.2">
      <c r="GI30573" s="422"/>
    </row>
    <row r="30574" spans="191:191" x14ac:dyDescent="0.2">
      <c r="GI30574" s="422"/>
    </row>
    <row r="30575" spans="191:191" x14ac:dyDescent="0.2">
      <c r="GI30575" s="422"/>
    </row>
    <row r="30576" spans="191:191" x14ac:dyDescent="0.2">
      <c r="GI30576" s="422"/>
    </row>
    <row r="30577" spans="191:191" x14ac:dyDescent="0.2">
      <c r="GI30577" s="422"/>
    </row>
    <row r="30578" spans="191:191" x14ac:dyDescent="0.2">
      <c r="GI30578" s="422"/>
    </row>
    <row r="30579" spans="191:191" x14ac:dyDescent="0.2">
      <c r="GI30579" s="422"/>
    </row>
    <row r="30580" spans="191:191" x14ac:dyDescent="0.2">
      <c r="GI30580" s="422"/>
    </row>
    <row r="30581" spans="191:191" x14ac:dyDescent="0.2">
      <c r="GI30581" s="422"/>
    </row>
    <row r="30582" spans="191:191" x14ac:dyDescent="0.2">
      <c r="GI30582" s="422"/>
    </row>
    <row r="30583" spans="191:191" x14ac:dyDescent="0.2">
      <c r="GI30583" s="422"/>
    </row>
    <row r="30584" spans="191:191" x14ac:dyDescent="0.2">
      <c r="GI30584" s="422"/>
    </row>
    <row r="30585" spans="191:191" x14ac:dyDescent="0.2">
      <c r="GI30585" s="422"/>
    </row>
    <row r="30586" spans="191:191" x14ac:dyDescent="0.2">
      <c r="GI30586" s="422"/>
    </row>
    <row r="30587" spans="191:191" x14ac:dyDescent="0.2">
      <c r="GI30587" s="422"/>
    </row>
    <row r="30588" spans="191:191" x14ac:dyDescent="0.2">
      <c r="GI30588" s="422"/>
    </row>
    <row r="30589" spans="191:191" x14ac:dyDescent="0.2">
      <c r="GI30589" s="422"/>
    </row>
    <row r="30590" spans="191:191" x14ac:dyDescent="0.2">
      <c r="GI30590" s="422"/>
    </row>
    <row r="30591" spans="191:191" x14ac:dyDescent="0.2">
      <c r="GI30591" s="422"/>
    </row>
    <row r="30592" spans="191:191" x14ac:dyDescent="0.2">
      <c r="GI30592" s="422"/>
    </row>
    <row r="30593" spans="191:191" x14ac:dyDescent="0.2">
      <c r="GI30593" s="422"/>
    </row>
    <row r="30594" spans="191:191" x14ac:dyDescent="0.2">
      <c r="GI30594" s="422"/>
    </row>
    <row r="30595" spans="191:191" x14ac:dyDescent="0.2">
      <c r="GI30595" s="422"/>
    </row>
    <row r="30596" spans="191:191" x14ac:dyDescent="0.2">
      <c r="GI30596" s="422"/>
    </row>
    <row r="30597" spans="191:191" x14ac:dyDescent="0.2">
      <c r="GI30597" s="422"/>
    </row>
    <row r="30598" spans="191:191" x14ac:dyDescent="0.2">
      <c r="GI30598" s="422"/>
    </row>
    <row r="30599" spans="191:191" x14ac:dyDescent="0.2">
      <c r="GI30599" s="422"/>
    </row>
    <row r="30600" spans="191:191" x14ac:dyDescent="0.2">
      <c r="GI30600" s="422"/>
    </row>
    <row r="30601" spans="191:191" x14ac:dyDescent="0.2">
      <c r="GI30601" s="422"/>
    </row>
    <row r="30602" spans="191:191" x14ac:dyDescent="0.2">
      <c r="GI30602" s="422"/>
    </row>
    <row r="30603" spans="191:191" x14ac:dyDescent="0.2">
      <c r="GI30603" s="422"/>
    </row>
    <row r="30604" spans="191:191" x14ac:dyDescent="0.2">
      <c r="GI30604" s="422"/>
    </row>
    <row r="30605" spans="191:191" x14ac:dyDescent="0.2">
      <c r="GI30605" s="422"/>
    </row>
    <row r="30606" spans="191:191" x14ac:dyDescent="0.2">
      <c r="GI30606" s="422"/>
    </row>
    <row r="30607" spans="191:191" x14ac:dyDescent="0.2">
      <c r="GI30607" s="422"/>
    </row>
    <row r="30608" spans="191:191" x14ac:dyDescent="0.2">
      <c r="GI30608" s="422"/>
    </row>
    <row r="30609" spans="191:191" x14ac:dyDescent="0.2">
      <c r="GI30609" s="422"/>
    </row>
    <row r="30610" spans="191:191" x14ac:dyDescent="0.2">
      <c r="GI30610" s="422"/>
    </row>
    <row r="30611" spans="191:191" x14ac:dyDescent="0.2">
      <c r="GI30611" s="422"/>
    </row>
    <row r="30612" spans="191:191" x14ac:dyDescent="0.2">
      <c r="GI30612" s="422"/>
    </row>
    <row r="30613" spans="191:191" x14ac:dyDescent="0.2">
      <c r="GI30613" s="422"/>
    </row>
    <row r="30614" spans="191:191" x14ac:dyDescent="0.2">
      <c r="GI30614" s="422"/>
    </row>
    <row r="30615" spans="191:191" x14ac:dyDescent="0.2">
      <c r="GI30615" s="422"/>
    </row>
    <row r="30616" spans="191:191" x14ac:dyDescent="0.2">
      <c r="GI30616" s="422"/>
    </row>
    <row r="30617" spans="191:191" x14ac:dyDescent="0.2">
      <c r="GI30617" s="422"/>
    </row>
    <row r="30618" spans="191:191" x14ac:dyDescent="0.2">
      <c r="GI30618" s="422"/>
    </row>
    <row r="30619" spans="191:191" x14ac:dyDescent="0.2">
      <c r="GI30619" s="422"/>
    </row>
    <row r="30620" spans="191:191" x14ac:dyDescent="0.2">
      <c r="GI30620" s="422"/>
    </row>
    <row r="30621" spans="191:191" x14ac:dyDescent="0.2">
      <c r="GI30621" s="422"/>
    </row>
    <row r="30622" spans="191:191" x14ac:dyDescent="0.2">
      <c r="GI30622" s="422"/>
    </row>
    <row r="30623" spans="191:191" x14ac:dyDescent="0.2">
      <c r="GI30623" s="422"/>
    </row>
    <row r="30624" spans="191:191" x14ac:dyDescent="0.2">
      <c r="GI30624" s="422"/>
    </row>
    <row r="30625" spans="191:191" x14ac:dyDescent="0.2">
      <c r="GI30625" s="422"/>
    </row>
    <row r="30626" spans="191:191" x14ac:dyDescent="0.2">
      <c r="GI30626" s="422"/>
    </row>
    <row r="30627" spans="191:191" x14ac:dyDescent="0.2">
      <c r="GI30627" s="422"/>
    </row>
    <row r="30628" spans="191:191" x14ac:dyDescent="0.2">
      <c r="GI30628" s="422"/>
    </row>
    <row r="30629" spans="191:191" x14ac:dyDescent="0.2">
      <c r="GI30629" s="422"/>
    </row>
    <row r="30630" spans="191:191" x14ac:dyDescent="0.2">
      <c r="GI30630" s="422"/>
    </row>
    <row r="30631" spans="191:191" x14ac:dyDescent="0.2">
      <c r="GI30631" s="422"/>
    </row>
    <row r="30632" spans="191:191" x14ac:dyDescent="0.2">
      <c r="GI30632" s="422"/>
    </row>
    <row r="30633" spans="191:191" x14ac:dyDescent="0.2">
      <c r="GI30633" s="422"/>
    </row>
    <row r="30634" spans="191:191" x14ac:dyDescent="0.2">
      <c r="GI30634" s="422"/>
    </row>
    <row r="30635" spans="191:191" x14ac:dyDescent="0.2">
      <c r="GI30635" s="422"/>
    </row>
    <row r="30636" spans="191:191" x14ac:dyDescent="0.2">
      <c r="GI30636" s="422"/>
    </row>
    <row r="30637" spans="191:191" x14ac:dyDescent="0.2">
      <c r="GI30637" s="422"/>
    </row>
    <row r="30638" spans="191:191" x14ac:dyDescent="0.2">
      <c r="GI30638" s="422"/>
    </row>
    <row r="30639" spans="191:191" x14ac:dyDescent="0.2">
      <c r="GI30639" s="422"/>
    </row>
    <row r="30640" spans="191:191" x14ac:dyDescent="0.2">
      <c r="GI30640" s="422"/>
    </row>
    <row r="30641" spans="191:191" x14ac:dyDescent="0.2">
      <c r="GI30641" s="422"/>
    </row>
    <row r="30642" spans="191:191" x14ac:dyDescent="0.2">
      <c r="GI30642" s="422"/>
    </row>
    <row r="30643" spans="191:191" x14ac:dyDescent="0.2">
      <c r="GI30643" s="422"/>
    </row>
    <row r="30644" spans="191:191" x14ac:dyDescent="0.2">
      <c r="GI30644" s="422"/>
    </row>
    <row r="30645" spans="191:191" x14ac:dyDescent="0.2">
      <c r="GI30645" s="422"/>
    </row>
    <row r="30646" spans="191:191" x14ac:dyDescent="0.2">
      <c r="GI30646" s="422"/>
    </row>
    <row r="30647" spans="191:191" x14ac:dyDescent="0.2">
      <c r="GI30647" s="422"/>
    </row>
    <row r="30648" spans="191:191" x14ac:dyDescent="0.2">
      <c r="GI30648" s="422"/>
    </row>
    <row r="30649" spans="191:191" x14ac:dyDescent="0.2">
      <c r="GI30649" s="422"/>
    </row>
    <row r="30650" spans="191:191" x14ac:dyDescent="0.2">
      <c r="GI30650" s="422"/>
    </row>
    <row r="30651" spans="191:191" x14ac:dyDescent="0.2">
      <c r="GI30651" s="422"/>
    </row>
    <row r="30652" spans="191:191" x14ac:dyDescent="0.2">
      <c r="GI30652" s="422"/>
    </row>
    <row r="30653" spans="191:191" x14ac:dyDescent="0.2">
      <c r="GI30653" s="422"/>
    </row>
    <row r="30654" spans="191:191" x14ac:dyDescent="0.2">
      <c r="GI30654" s="422"/>
    </row>
    <row r="30655" spans="191:191" x14ac:dyDescent="0.2">
      <c r="GI30655" s="422"/>
    </row>
    <row r="30656" spans="191:191" x14ac:dyDescent="0.2">
      <c r="GI30656" s="422"/>
    </row>
    <row r="30657" spans="191:191" x14ac:dyDescent="0.2">
      <c r="GI30657" s="422"/>
    </row>
    <row r="30658" spans="191:191" x14ac:dyDescent="0.2">
      <c r="GI30658" s="422"/>
    </row>
    <row r="30659" spans="191:191" x14ac:dyDescent="0.2">
      <c r="GI30659" s="422"/>
    </row>
    <row r="30660" spans="191:191" x14ac:dyDescent="0.2">
      <c r="GI30660" s="422"/>
    </row>
    <row r="30661" spans="191:191" x14ac:dyDescent="0.2">
      <c r="GI30661" s="422"/>
    </row>
    <row r="30662" spans="191:191" x14ac:dyDescent="0.2">
      <c r="GI30662" s="422"/>
    </row>
    <row r="30663" spans="191:191" x14ac:dyDescent="0.2">
      <c r="GI30663" s="422"/>
    </row>
    <row r="30664" spans="191:191" x14ac:dyDescent="0.2">
      <c r="GI30664" s="422"/>
    </row>
    <row r="30665" spans="191:191" x14ac:dyDescent="0.2">
      <c r="GI30665" s="422"/>
    </row>
    <row r="30666" spans="191:191" x14ac:dyDescent="0.2">
      <c r="GI30666" s="422"/>
    </row>
    <row r="30667" spans="191:191" x14ac:dyDescent="0.2">
      <c r="GI30667" s="422"/>
    </row>
    <row r="30668" spans="191:191" x14ac:dyDescent="0.2">
      <c r="GI30668" s="422"/>
    </row>
    <row r="30669" spans="191:191" x14ac:dyDescent="0.2">
      <c r="GI30669" s="422"/>
    </row>
    <row r="30670" spans="191:191" x14ac:dyDescent="0.2">
      <c r="GI30670" s="422"/>
    </row>
    <row r="30671" spans="191:191" x14ac:dyDescent="0.2">
      <c r="GI30671" s="422"/>
    </row>
    <row r="30672" spans="191:191" x14ac:dyDescent="0.2">
      <c r="GI30672" s="422"/>
    </row>
    <row r="30673" spans="191:191" x14ac:dyDescent="0.2">
      <c r="GI30673" s="422"/>
    </row>
    <row r="30674" spans="191:191" x14ac:dyDescent="0.2">
      <c r="GI30674" s="422"/>
    </row>
    <row r="30675" spans="191:191" x14ac:dyDescent="0.2">
      <c r="GI30675" s="422"/>
    </row>
    <row r="30676" spans="191:191" x14ac:dyDescent="0.2">
      <c r="GI30676" s="422"/>
    </row>
    <row r="30677" spans="191:191" x14ac:dyDescent="0.2">
      <c r="GI30677" s="422"/>
    </row>
    <row r="30678" spans="191:191" x14ac:dyDescent="0.2">
      <c r="GI30678" s="422"/>
    </row>
    <row r="30679" spans="191:191" x14ac:dyDescent="0.2">
      <c r="GI30679" s="422"/>
    </row>
    <row r="30680" spans="191:191" x14ac:dyDescent="0.2">
      <c r="GI30680" s="422"/>
    </row>
    <row r="30681" spans="191:191" x14ac:dyDescent="0.2">
      <c r="GI30681" s="422"/>
    </row>
    <row r="30682" spans="191:191" x14ac:dyDescent="0.2">
      <c r="GI30682" s="422"/>
    </row>
    <row r="30683" spans="191:191" x14ac:dyDescent="0.2">
      <c r="GI30683" s="422"/>
    </row>
    <row r="30684" spans="191:191" x14ac:dyDescent="0.2">
      <c r="GI30684" s="422"/>
    </row>
    <row r="30685" spans="191:191" x14ac:dyDescent="0.2">
      <c r="GI30685" s="422"/>
    </row>
    <row r="30686" spans="191:191" x14ac:dyDescent="0.2">
      <c r="GI30686" s="422"/>
    </row>
    <row r="30687" spans="191:191" x14ac:dyDescent="0.2">
      <c r="GI30687" s="422"/>
    </row>
    <row r="30688" spans="191:191" x14ac:dyDescent="0.2">
      <c r="GI30688" s="422"/>
    </row>
    <row r="30689" spans="191:191" x14ac:dyDescent="0.2">
      <c r="GI30689" s="422"/>
    </row>
    <row r="30690" spans="191:191" x14ac:dyDescent="0.2">
      <c r="GI30690" s="422"/>
    </row>
    <row r="30691" spans="191:191" x14ac:dyDescent="0.2">
      <c r="GI30691" s="422"/>
    </row>
    <row r="30692" spans="191:191" x14ac:dyDescent="0.2">
      <c r="GI30692" s="422"/>
    </row>
    <row r="30693" spans="191:191" x14ac:dyDescent="0.2">
      <c r="GI30693" s="422"/>
    </row>
    <row r="30694" spans="191:191" x14ac:dyDescent="0.2">
      <c r="GI30694" s="422"/>
    </row>
    <row r="30695" spans="191:191" x14ac:dyDescent="0.2">
      <c r="GI30695" s="422"/>
    </row>
    <row r="30696" spans="191:191" x14ac:dyDescent="0.2">
      <c r="GI30696" s="422"/>
    </row>
    <row r="30697" spans="191:191" x14ac:dyDescent="0.2">
      <c r="GI30697" s="422"/>
    </row>
    <row r="30698" spans="191:191" x14ac:dyDescent="0.2">
      <c r="GI30698" s="422"/>
    </row>
    <row r="30699" spans="191:191" x14ac:dyDescent="0.2">
      <c r="GI30699" s="422"/>
    </row>
    <row r="30700" spans="191:191" x14ac:dyDescent="0.2">
      <c r="GI30700" s="422"/>
    </row>
    <row r="30701" spans="191:191" x14ac:dyDescent="0.2">
      <c r="GI30701" s="422"/>
    </row>
    <row r="30702" spans="191:191" x14ac:dyDescent="0.2">
      <c r="GI30702" s="422"/>
    </row>
    <row r="30703" spans="191:191" x14ac:dyDescent="0.2">
      <c r="GI30703" s="422"/>
    </row>
    <row r="30704" spans="191:191" x14ac:dyDescent="0.2">
      <c r="GI30704" s="422"/>
    </row>
    <row r="30705" spans="191:191" x14ac:dyDescent="0.2">
      <c r="GI30705" s="422"/>
    </row>
    <row r="30706" spans="191:191" x14ac:dyDescent="0.2">
      <c r="GI30706" s="422"/>
    </row>
    <row r="30707" spans="191:191" x14ac:dyDescent="0.2">
      <c r="GI30707" s="422"/>
    </row>
    <row r="30708" spans="191:191" x14ac:dyDescent="0.2">
      <c r="GI30708" s="422"/>
    </row>
    <row r="30709" spans="191:191" x14ac:dyDescent="0.2">
      <c r="GI30709" s="422"/>
    </row>
    <row r="30710" spans="191:191" x14ac:dyDescent="0.2">
      <c r="GI30710" s="422"/>
    </row>
    <row r="30711" spans="191:191" x14ac:dyDescent="0.2">
      <c r="GI30711" s="422"/>
    </row>
    <row r="30712" spans="191:191" x14ac:dyDescent="0.2">
      <c r="GI30712" s="422"/>
    </row>
    <row r="30713" spans="191:191" x14ac:dyDescent="0.2">
      <c r="GI30713" s="422"/>
    </row>
    <row r="30714" spans="191:191" x14ac:dyDescent="0.2">
      <c r="GI30714" s="422"/>
    </row>
    <row r="30715" spans="191:191" x14ac:dyDescent="0.2">
      <c r="GI30715" s="422"/>
    </row>
    <row r="30716" spans="191:191" x14ac:dyDescent="0.2">
      <c r="GI30716" s="422"/>
    </row>
    <row r="30717" spans="191:191" x14ac:dyDescent="0.2">
      <c r="GI30717" s="422"/>
    </row>
    <row r="30718" spans="191:191" x14ac:dyDescent="0.2">
      <c r="GI30718" s="422"/>
    </row>
    <row r="30719" spans="191:191" x14ac:dyDescent="0.2">
      <c r="GI30719" s="422"/>
    </row>
    <row r="30720" spans="191:191" x14ac:dyDescent="0.2">
      <c r="GI30720" s="422"/>
    </row>
    <row r="30721" spans="191:191" x14ac:dyDescent="0.2">
      <c r="GI30721" s="422"/>
    </row>
    <row r="30722" spans="191:191" x14ac:dyDescent="0.2">
      <c r="GI30722" s="422"/>
    </row>
    <row r="30723" spans="191:191" x14ac:dyDescent="0.2">
      <c r="GI30723" s="422"/>
    </row>
    <row r="30724" spans="191:191" x14ac:dyDescent="0.2">
      <c r="GI30724" s="422"/>
    </row>
    <row r="30725" spans="191:191" x14ac:dyDescent="0.2">
      <c r="GI30725" s="422"/>
    </row>
    <row r="30726" spans="191:191" x14ac:dyDescent="0.2">
      <c r="GI30726" s="422"/>
    </row>
    <row r="30727" spans="191:191" x14ac:dyDescent="0.2">
      <c r="GI30727" s="422"/>
    </row>
    <row r="30728" spans="191:191" x14ac:dyDescent="0.2">
      <c r="GI30728" s="422"/>
    </row>
    <row r="30729" spans="191:191" x14ac:dyDescent="0.2">
      <c r="GI30729" s="422"/>
    </row>
    <row r="30730" spans="191:191" x14ac:dyDescent="0.2">
      <c r="GI30730" s="422"/>
    </row>
    <row r="30731" spans="191:191" x14ac:dyDescent="0.2">
      <c r="GI30731" s="422"/>
    </row>
    <row r="30732" spans="191:191" x14ac:dyDescent="0.2">
      <c r="GI30732" s="422"/>
    </row>
    <row r="30733" spans="191:191" x14ac:dyDescent="0.2">
      <c r="GI30733" s="422"/>
    </row>
    <row r="30734" spans="191:191" x14ac:dyDescent="0.2">
      <c r="GI30734" s="422"/>
    </row>
    <row r="30735" spans="191:191" x14ac:dyDescent="0.2">
      <c r="GI30735" s="422"/>
    </row>
    <row r="30736" spans="191:191" x14ac:dyDescent="0.2">
      <c r="GI30736" s="422"/>
    </row>
    <row r="30737" spans="191:191" x14ac:dyDescent="0.2">
      <c r="GI30737" s="422"/>
    </row>
    <row r="30738" spans="191:191" x14ac:dyDescent="0.2">
      <c r="GI30738" s="422"/>
    </row>
    <row r="30739" spans="191:191" x14ac:dyDescent="0.2">
      <c r="GI30739" s="422"/>
    </row>
    <row r="30740" spans="191:191" x14ac:dyDescent="0.2">
      <c r="GI30740" s="422"/>
    </row>
    <row r="30741" spans="191:191" x14ac:dyDescent="0.2">
      <c r="GI30741" s="422"/>
    </row>
    <row r="30742" spans="191:191" x14ac:dyDescent="0.2">
      <c r="GI30742" s="422"/>
    </row>
    <row r="30743" spans="191:191" x14ac:dyDescent="0.2">
      <c r="GI30743" s="422"/>
    </row>
    <row r="30744" spans="191:191" x14ac:dyDescent="0.2">
      <c r="GI30744" s="422"/>
    </row>
    <row r="30745" spans="191:191" x14ac:dyDescent="0.2">
      <c r="GI30745" s="422"/>
    </row>
    <row r="30746" spans="191:191" x14ac:dyDescent="0.2">
      <c r="GI30746" s="422"/>
    </row>
    <row r="30747" spans="191:191" x14ac:dyDescent="0.2">
      <c r="GI30747" s="422"/>
    </row>
    <row r="30748" spans="191:191" x14ac:dyDescent="0.2">
      <c r="GI30748" s="422"/>
    </row>
    <row r="30749" spans="191:191" x14ac:dyDescent="0.2">
      <c r="GI30749" s="422"/>
    </row>
    <row r="30750" spans="191:191" x14ac:dyDescent="0.2">
      <c r="GI30750" s="422"/>
    </row>
    <row r="30751" spans="191:191" x14ac:dyDescent="0.2">
      <c r="GI30751" s="422"/>
    </row>
    <row r="30752" spans="191:191" x14ac:dyDescent="0.2">
      <c r="GI30752" s="422"/>
    </row>
    <row r="30753" spans="191:191" x14ac:dyDescent="0.2">
      <c r="GI30753" s="422"/>
    </row>
    <row r="30754" spans="191:191" x14ac:dyDescent="0.2">
      <c r="GI30754" s="422"/>
    </row>
    <row r="30755" spans="191:191" x14ac:dyDescent="0.2">
      <c r="GI30755" s="422"/>
    </row>
    <row r="30756" spans="191:191" x14ac:dyDescent="0.2">
      <c r="GI30756" s="422"/>
    </row>
    <row r="30757" spans="191:191" x14ac:dyDescent="0.2">
      <c r="GI30757" s="422"/>
    </row>
    <row r="30758" spans="191:191" x14ac:dyDescent="0.2">
      <c r="GI30758" s="422"/>
    </row>
    <row r="30759" spans="191:191" x14ac:dyDescent="0.2">
      <c r="GI30759" s="422"/>
    </row>
    <row r="30760" spans="191:191" x14ac:dyDescent="0.2">
      <c r="GI30760" s="422"/>
    </row>
    <row r="30761" spans="191:191" x14ac:dyDescent="0.2">
      <c r="GI30761" s="422"/>
    </row>
    <row r="30762" spans="191:191" x14ac:dyDescent="0.2">
      <c r="GI30762" s="422"/>
    </row>
    <row r="30763" spans="191:191" x14ac:dyDescent="0.2">
      <c r="GI30763" s="422"/>
    </row>
    <row r="30764" spans="191:191" x14ac:dyDescent="0.2">
      <c r="GI30764" s="422"/>
    </row>
    <row r="30765" spans="191:191" x14ac:dyDescent="0.2">
      <c r="GI30765" s="422"/>
    </row>
    <row r="30766" spans="191:191" x14ac:dyDescent="0.2">
      <c r="GI30766" s="422"/>
    </row>
    <row r="30767" spans="191:191" x14ac:dyDescent="0.2">
      <c r="GI30767" s="422"/>
    </row>
    <row r="30768" spans="191:191" x14ac:dyDescent="0.2">
      <c r="GI30768" s="422"/>
    </row>
    <row r="30769" spans="191:191" x14ac:dyDescent="0.2">
      <c r="GI30769" s="422"/>
    </row>
    <row r="30770" spans="191:191" x14ac:dyDescent="0.2">
      <c r="GI30770" s="422"/>
    </row>
    <row r="30771" spans="191:191" x14ac:dyDescent="0.2">
      <c r="GI30771" s="422"/>
    </row>
    <row r="30772" spans="191:191" x14ac:dyDescent="0.2">
      <c r="GI30772" s="422"/>
    </row>
    <row r="30773" spans="191:191" x14ac:dyDescent="0.2">
      <c r="GI30773" s="422"/>
    </row>
    <row r="30774" spans="191:191" x14ac:dyDescent="0.2">
      <c r="GI30774" s="422"/>
    </row>
    <row r="30775" spans="191:191" x14ac:dyDescent="0.2">
      <c r="GI30775" s="422"/>
    </row>
    <row r="30776" spans="191:191" x14ac:dyDescent="0.2">
      <c r="GI30776" s="422"/>
    </row>
    <row r="30777" spans="191:191" x14ac:dyDescent="0.2">
      <c r="GI30777" s="422"/>
    </row>
    <row r="30778" spans="191:191" x14ac:dyDescent="0.2">
      <c r="GI30778" s="422"/>
    </row>
    <row r="30779" spans="191:191" x14ac:dyDescent="0.2">
      <c r="GI30779" s="422"/>
    </row>
    <row r="30780" spans="191:191" x14ac:dyDescent="0.2">
      <c r="GI30780" s="422"/>
    </row>
    <row r="30781" spans="191:191" x14ac:dyDescent="0.2">
      <c r="GI30781" s="422"/>
    </row>
    <row r="30782" spans="191:191" x14ac:dyDescent="0.2">
      <c r="GI30782" s="422"/>
    </row>
    <row r="30783" spans="191:191" x14ac:dyDescent="0.2">
      <c r="GI30783" s="422"/>
    </row>
    <row r="30784" spans="191:191" x14ac:dyDescent="0.2">
      <c r="GI30784" s="422"/>
    </row>
    <row r="30785" spans="191:191" x14ac:dyDescent="0.2">
      <c r="GI30785" s="422"/>
    </row>
    <row r="30786" spans="191:191" x14ac:dyDescent="0.2">
      <c r="GI30786" s="422"/>
    </row>
    <row r="30787" spans="191:191" x14ac:dyDescent="0.2">
      <c r="GI30787" s="422"/>
    </row>
    <row r="30788" spans="191:191" x14ac:dyDescent="0.2">
      <c r="GI30788" s="422"/>
    </row>
    <row r="30789" spans="191:191" x14ac:dyDescent="0.2">
      <c r="GI30789" s="422"/>
    </row>
    <row r="30790" spans="191:191" x14ac:dyDescent="0.2">
      <c r="GI30790" s="422"/>
    </row>
    <row r="30791" spans="191:191" x14ac:dyDescent="0.2">
      <c r="GI30791" s="422"/>
    </row>
    <row r="30792" spans="191:191" x14ac:dyDescent="0.2">
      <c r="GI30792" s="422"/>
    </row>
    <row r="30793" spans="191:191" x14ac:dyDescent="0.2">
      <c r="GI30793" s="422"/>
    </row>
    <row r="30794" spans="191:191" x14ac:dyDescent="0.2">
      <c r="GI30794" s="422"/>
    </row>
    <row r="30795" spans="191:191" x14ac:dyDescent="0.2">
      <c r="GI30795" s="422"/>
    </row>
    <row r="30796" spans="191:191" x14ac:dyDescent="0.2">
      <c r="GI30796" s="422"/>
    </row>
    <row r="30797" spans="191:191" x14ac:dyDescent="0.2">
      <c r="GI30797" s="422"/>
    </row>
    <row r="30798" spans="191:191" x14ac:dyDescent="0.2">
      <c r="GI30798" s="422"/>
    </row>
    <row r="30799" spans="191:191" x14ac:dyDescent="0.2">
      <c r="GI30799" s="422"/>
    </row>
    <row r="30800" spans="191:191" x14ac:dyDescent="0.2">
      <c r="GI30800" s="422"/>
    </row>
    <row r="30801" spans="191:191" x14ac:dyDescent="0.2">
      <c r="GI30801" s="422"/>
    </row>
    <row r="30802" spans="191:191" x14ac:dyDescent="0.2">
      <c r="GI30802" s="422"/>
    </row>
    <row r="30803" spans="191:191" x14ac:dyDescent="0.2">
      <c r="GI30803" s="422"/>
    </row>
    <row r="30804" spans="191:191" x14ac:dyDescent="0.2">
      <c r="GI30804" s="422"/>
    </row>
    <row r="30805" spans="191:191" x14ac:dyDescent="0.2">
      <c r="GI30805" s="422"/>
    </row>
    <row r="30806" spans="191:191" x14ac:dyDescent="0.2">
      <c r="GI30806" s="422"/>
    </row>
    <row r="30807" spans="191:191" x14ac:dyDescent="0.2">
      <c r="GI30807" s="422"/>
    </row>
    <row r="30808" spans="191:191" x14ac:dyDescent="0.2">
      <c r="GI30808" s="422"/>
    </row>
    <row r="30809" spans="191:191" x14ac:dyDescent="0.2">
      <c r="GI30809" s="422"/>
    </row>
    <row r="30810" spans="191:191" x14ac:dyDescent="0.2">
      <c r="GI30810" s="422"/>
    </row>
    <row r="30811" spans="191:191" x14ac:dyDescent="0.2">
      <c r="GI30811" s="422"/>
    </row>
    <row r="30812" spans="191:191" x14ac:dyDescent="0.2">
      <c r="GI30812" s="422"/>
    </row>
    <row r="30813" spans="191:191" x14ac:dyDescent="0.2">
      <c r="GI30813" s="422"/>
    </row>
    <row r="30814" spans="191:191" x14ac:dyDescent="0.2">
      <c r="GI30814" s="422"/>
    </row>
    <row r="30815" spans="191:191" x14ac:dyDescent="0.2">
      <c r="GI30815" s="422"/>
    </row>
    <row r="30816" spans="191:191" x14ac:dyDescent="0.2">
      <c r="GI30816" s="422"/>
    </row>
    <row r="30817" spans="191:191" x14ac:dyDescent="0.2">
      <c r="GI30817" s="422"/>
    </row>
    <row r="30818" spans="191:191" x14ac:dyDescent="0.2">
      <c r="GI30818" s="422"/>
    </row>
    <row r="30819" spans="191:191" x14ac:dyDescent="0.2">
      <c r="GI30819" s="422"/>
    </row>
    <row r="30820" spans="191:191" x14ac:dyDescent="0.2">
      <c r="GI30820" s="422"/>
    </row>
    <row r="30821" spans="191:191" x14ac:dyDescent="0.2">
      <c r="GI30821" s="422"/>
    </row>
    <row r="30822" spans="191:191" x14ac:dyDescent="0.2">
      <c r="GI30822" s="422"/>
    </row>
    <row r="30823" spans="191:191" x14ac:dyDescent="0.2">
      <c r="GI30823" s="422"/>
    </row>
    <row r="30824" spans="191:191" x14ac:dyDescent="0.2">
      <c r="GI30824" s="422"/>
    </row>
    <row r="30825" spans="191:191" x14ac:dyDescent="0.2">
      <c r="GI30825" s="422"/>
    </row>
    <row r="30826" spans="191:191" x14ac:dyDescent="0.2">
      <c r="GI30826" s="422"/>
    </row>
    <row r="30827" spans="191:191" x14ac:dyDescent="0.2">
      <c r="GI30827" s="422"/>
    </row>
    <row r="30828" spans="191:191" x14ac:dyDescent="0.2">
      <c r="GI30828" s="422"/>
    </row>
    <row r="30829" spans="191:191" x14ac:dyDescent="0.2">
      <c r="GI30829" s="422"/>
    </row>
    <row r="30830" spans="191:191" x14ac:dyDescent="0.2">
      <c r="GI30830" s="422"/>
    </row>
    <row r="30831" spans="191:191" x14ac:dyDescent="0.2">
      <c r="GI30831" s="422"/>
    </row>
    <row r="30832" spans="191:191" x14ac:dyDescent="0.2">
      <c r="GI30832" s="422"/>
    </row>
    <row r="30833" spans="191:191" x14ac:dyDescent="0.2">
      <c r="GI30833" s="422"/>
    </row>
    <row r="30834" spans="191:191" x14ac:dyDescent="0.2">
      <c r="GI30834" s="422"/>
    </row>
    <row r="30835" spans="191:191" x14ac:dyDescent="0.2">
      <c r="GI30835" s="422"/>
    </row>
    <row r="30836" spans="191:191" x14ac:dyDescent="0.2">
      <c r="GI30836" s="422"/>
    </row>
    <row r="30837" spans="191:191" x14ac:dyDescent="0.2">
      <c r="GI30837" s="422"/>
    </row>
    <row r="30838" spans="191:191" x14ac:dyDescent="0.2">
      <c r="GI30838" s="422"/>
    </row>
    <row r="30839" spans="191:191" x14ac:dyDescent="0.2">
      <c r="GI30839" s="422"/>
    </row>
    <row r="30840" spans="191:191" x14ac:dyDescent="0.2">
      <c r="GI30840" s="422"/>
    </row>
    <row r="30841" spans="191:191" x14ac:dyDescent="0.2">
      <c r="GI30841" s="422"/>
    </row>
    <row r="30842" spans="191:191" x14ac:dyDescent="0.2">
      <c r="GI30842" s="422"/>
    </row>
    <row r="30843" spans="191:191" x14ac:dyDescent="0.2">
      <c r="GI30843" s="422"/>
    </row>
    <row r="30844" spans="191:191" x14ac:dyDescent="0.2">
      <c r="GI30844" s="422"/>
    </row>
    <row r="30845" spans="191:191" x14ac:dyDescent="0.2">
      <c r="GI30845" s="422"/>
    </row>
    <row r="30846" spans="191:191" x14ac:dyDescent="0.2">
      <c r="GI30846" s="422"/>
    </row>
    <row r="30847" spans="191:191" x14ac:dyDescent="0.2">
      <c r="GI30847" s="422"/>
    </row>
    <row r="30848" spans="191:191" x14ac:dyDescent="0.2">
      <c r="GI30848" s="422"/>
    </row>
    <row r="30849" spans="191:191" x14ac:dyDescent="0.2">
      <c r="GI30849" s="422"/>
    </row>
    <row r="30850" spans="191:191" x14ac:dyDescent="0.2">
      <c r="GI30850" s="422"/>
    </row>
    <row r="30851" spans="191:191" x14ac:dyDescent="0.2">
      <c r="GI30851" s="422"/>
    </row>
    <row r="30852" spans="191:191" x14ac:dyDescent="0.2">
      <c r="GI30852" s="422"/>
    </row>
    <row r="30853" spans="191:191" x14ac:dyDescent="0.2">
      <c r="GI30853" s="422"/>
    </row>
    <row r="30854" spans="191:191" x14ac:dyDescent="0.2">
      <c r="GI30854" s="422"/>
    </row>
    <row r="30855" spans="191:191" x14ac:dyDescent="0.2">
      <c r="GI30855" s="422"/>
    </row>
    <row r="30856" spans="191:191" x14ac:dyDescent="0.2">
      <c r="GI30856" s="422"/>
    </row>
    <row r="30857" spans="191:191" x14ac:dyDescent="0.2">
      <c r="GI30857" s="422"/>
    </row>
    <row r="30858" spans="191:191" x14ac:dyDescent="0.2">
      <c r="GI30858" s="422"/>
    </row>
    <row r="30859" spans="191:191" x14ac:dyDescent="0.2">
      <c r="GI30859" s="422"/>
    </row>
    <row r="30860" spans="191:191" x14ac:dyDescent="0.2">
      <c r="GI30860" s="422"/>
    </row>
    <row r="30861" spans="191:191" x14ac:dyDescent="0.2">
      <c r="GI30861" s="422"/>
    </row>
    <row r="30862" spans="191:191" x14ac:dyDescent="0.2">
      <c r="GI30862" s="422"/>
    </row>
    <row r="30863" spans="191:191" x14ac:dyDescent="0.2">
      <c r="GI30863" s="422"/>
    </row>
    <row r="30864" spans="191:191" x14ac:dyDescent="0.2">
      <c r="GI30864" s="422"/>
    </row>
    <row r="30865" spans="191:191" x14ac:dyDescent="0.2">
      <c r="GI30865" s="422"/>
    </row>
    <row r="30866" spans="191:191" x14ac:dyDescent="0.2">
      <c r="GI30866" s="422"/>
    </row>
    <row r="30867" spans="191:191" x14ac:dyDescent="0.2">
      <c r="GI30867" s="422"/>
    </row>
    <row r="30868" spans="191:191" x14ac:dyDescent="0.2">
      <c r="GI30868" s="422"/>
    </row>
    <row r="30869" spans="191:191" x14ac:dyDescent="0.2">
      <c r="GI30869" s="422"/>
    </row>
    <row r="30870" spans="191:191" x14ac:dyDescent="0.2">
      <c r="GI30870" s="422"/>
    </row>
    <row r="30871" spans="191:191" x14ac:dyDescent="0.2">
      <c r="GI30871" s="422"/>
    </row>
    <row r="30872" spans="191:191" x14ac:dyDescent="0.2">
      <c r="GI30872" s="422"/>
    </row>
    <row r="30873" spans="191:191" x14ac:dyDescent="0.2">
      <c r="GI30873" s="422"/>
    </row>
    <row r="30874" spans="191:191" x14ac:dyDescent="0.2">
      <c r="GI30874" s="422"/>
    </row>
    <row r="30875" spans="191:191" x14ac:dyDescent="0.2">
      <c r="GI30875" s="422"/>
    </row>
    <row r="30876" spans="191:191" x14ac:dyDescent="0.2">
      <c r="GI30876" s="422"/>
    </row>
    <row r="30877" spans="191:191" x14ac:dyDescent="0.2">
      <c r="GI30877" s="422"/>
    </row>
    <row r="30878" spans="191:191" x14ac:dyDescent="0.2">
      <c r="GI30878" s="422"/>
    </row>
    <row r="30879" spans="191:191" x14ac:dyDescent="0.2">
      <c r="GI30879" s="422"/>
    </row>
    <row r="30880" spans="191:191" x14ac:dyDescent="0.2">
      <c r="GI30880" s="422"/>
    </row>
    <row r="30881" spans="191:191" x14ac:dyDescent="0.2">
      <c r="GI30881" s="422"/>
    </row>
    <row r="30882" spans="191:191" x14ac:dyDescent="0.2">
      <c r="GI30882" s="422"/>
    </row>
    <row r="30883" spans="191:191" x14ac:dyDescent="0.2">
      <c r="GI30883" s="422"/>
    </row>
    <row r="30884" spans="191:191" x14ac:dyDescent="0.2">
      <c r="GI30884" s="422"/>
    </row>
    <row r="30885" spans="191:191" x14ac:dyDescent="0.2">
      <c r="GI30885" s="422"/>
    </row>
    <row r="30886" spans="191:191" x14ac:dyDescent="0.2">
      <c r="GI30886" s="422"/>
    </row>
    <row r="30887" spans="191:191" x14ac:dyDescent="0.2">
      <c r="GI30887" s="422"/>
    </row>
    <row r="30888" spans="191:191" x14ac:dyDescent="0.2">
      <c r="GI30888" s="422"/>
    </row>
    <row r="30889" spans="191:191" x14ac:dyDescent="0.2">
      <c r="GI30889" s="422"/>
    </row>
    <row r="30890" spans="191:191" x14ac:dyDescent="0.2">
      <c r="GI30890" s="422"/>
    </row>
    <row r="30891" spans="191:191" x14ac:dyDescent="0.2">
      <c r="GI30891" s="422"/>
    </row>
    <row r="30892" spans="191:191" x14ac:dyDescent="0.2">
      <c r="GI30892" s="422"/>
    </row>
    <row r="30893" spans="191:191" x14ac:dyDescent="0.2">
      <c r="GI30893" s="422"/>
    </row>
    <row r="30894" spans="191:191" x14ac:dyDescent="0.2">
      <c r="GI30894" s="422"/>
    </row>
    <row r="30895" spans="191:191" x14ac:dyDescent="0.2">
      <c r="GI30895" s="422"/>
    </row>
    <row r="30896" spans="191:191" x14ac:dyDescent="0.2">
      <c r="GI30896" s="422"/>
    </row>
    <row r="30897" spans="191:191" x14ac:dyDescent="0.2">
      <c r="GI30897" s="422"/>
    </row>
    <row r="30898" spans="191:191" x14ac:dyDescent="0.2">
      <c r="GI30898" s="422"/>
    </row>
    <row r="30899" spans="191:191" x14ac:dyDescent="0.2">
      <c r="GI30899" s="422"/>
    </row>
    <row r="30900" spans="191:191" x14ac:dyDescent="0.2">
      <c r="GI30900" s="422"/>
    </row>
    <row r="30901" spans="191:191" x14ac:dyDescent="0.2">
      <c r="GI30901" s="422"/>
    </row>
    <row r="30902" spans="191:191" x14ac:dyDescent="0.2">
      <c r="GI30902" s="422"/>
    </row>
    <row r="30903" spans="191:191" x14ac:dyDescent="0.2">
      <c r="GI30903" s="422"/>
    </row>
    <row r="30904" spans="191:191" x14ac:dyDescent="0.2">
      <c r="GI30904" s="422"/>
    </row>
    <row r="30905" spans="191:191" x14ac:dyDescent="0.2">
      <c r="GI30905" s="422"/>
    </row>
    <row r="30906" spans="191:191" x14ac:dyDescent="0.2">
      <c r="GI30906" s="422"/>
    </row>
    <row r="30907" spans="191:191" x14ac:dyDescent="0.2">
      <c r="GI30907" s="422"/>
    </row>
    <row r="30908" spans="191:191" x14ac:dyDescent="0.2">
      <c r="GI30908" s="422"/>
    </row>
    <row r="30909" spans="191:191" x14ac:dyDescent="0.2">
      <c r="GI30909" s="422"/>
    </row>
    <row r="30910" spans="191:191" x14ac:dyDescent="0.2">
      <c r="GI30910" s="422"/>
    </row>
    <row r="30911" spans="191:191" x14ac:dyDescent="0.2">
      <c r="GI30911" s="422"/>
    </row>
    <row r="30912" spans="191:191" x14ac:dyDescent="0.2">
      <c r="GI30912" s="422"/>
    </row>
    <row r="30913" spans="191:191" x14ac:dyDescent="0.2">
      <c r="GI30913" s="422"/>
    </row>
    <row r="30914" spans="191:191" x14ac:dyDescent="0.2">
      <c r="GI30914" s="422"/>
    </row>
    <row r="30915" spans="191:191" x14ac:dyDescent="0.2">
      <c r="GI30915" s="422"/>
    </row>
    <row r="30916" spans="191:191" x14ac:dyDescent="0.2">
      <c r="GI30916" s="422"/>
    </row>
    <row r="30917" spans="191:191" x14ac:dyDescent="0.2">
      <c r="GI30917" s="422"/>
    </row>
    <row r="30918" spans="191:191" x14ac:dyDescent="0.2">
      <c r="GI30918" s="422"/>
    </row>
    <row r="30919" spans="191:191" x14ac:dyDescent="0.2">
      <c r="GI30919" s="422"/>
    </row>
    <row r="30920" spans="191:191" x14ac:dyDescent="0.2">
      <c r="GI30920" s="422"/>
    </row>
    <row r="30921" spans="191:191" x14ac:dyDescent="0.2">
      <c r="GI30921" s="422"/>
    </row>
    <row r="30922" spans="191:191" x14ac:dyDescent="0.2">
      <c r="GI30922" s="422"/>
    </row>
    <row r="30923" spans="191:191" x14ac:dyDescent="0.2">
      <c r="GI30923" s="422"/>
    </row>
    <row r="30924" spans="191:191" x14ac:dyDescent="0.2">
      <c r="GI30924" s="422"/>
    </row>
    <row r="30925" spans="191:191" x14ac:dyDescent="0.2">
      <c r="GI30925" s="422"/>
    </row>
    <row r="30926" spans="191:191" x14ac:dyDescent="0.2">
      <c r="GI30926" s="422"/>
    </row>
    <row r="30927" spans="191:191" x14ac:dyDescent="0.2">
      <c r="GI30927" s="422"/>
    </row>
    <row r="30928" spans="191:191" x14ac:dyDescent="0.2">
      <c r="GI30928" s="422"/>
    </row>
    <row r="30929" spans="191:191" x14ac:dyDescent="0.2">
      <c r="GI30929" s="422"/>
    </row>
    <row r="30930" spans="191:191" x14ac:dyDescent="0.2">
      <c r="GI30930" s="422"/>
    </row>
    <row r="30931" spans="191:191" x14ac:dyDescent="0.2">
      <c r="GI30931" s="422"/>
    </row>
    <row r="30932" spans="191:191" x14ac:dyDescent="0.2">
      <c r="GI30932" s="422"/>
    </row>
    <row r="30933" spans="191:191" x14ac:dyDescent="0.2">
      <c r="GI30933" s="422"/>
    </row>
    <row r="30934" spans="191:191" x14ac:dyDescent="0.2">
      <c r="GI30934" s="422"/>
    </row>
    <row r="30935" spans="191:191" x14ac:dyDescent="0.2">
      <c r="GI30935" s="422"/>
    </row>
    <row r="30936" spans="191:191" x14ac:dyDescent="0.2">
      <c r="GI30936" s="422"/>
    </row>
    <row r="30937" spans="191:191" x14ac:dyDescent="0.2">
      <c r="GI30937" s="422"/>
    </row>
    <row r="30938" spans="191:191" x14ac:dyDescent="0.2">
      <c r="GI30938" s="422"/>
    </row>
    <row r="30939" spans="191:191" x14ac:dyDescent="0.2">
      <c r="GI30939" s="422"/>
    </row>
    <row r="30940" spans="191:191" x14ac:dyDescent="0.2">
      <c r="GI30940" s="422"/>
    </row>
    <row r="30941" spans="191:191" x14ac:dyDescent="0.2">
      <c r="GI30941" s="422"/>
    </row>
    <row r="30942" spans="191:191" x14ac:dyDescent="0.2">
      <c r="GI30942" s="422"/>
    </row>
    <row r="30943" spans="191:191" x14ac:dyDescent="0.2">
      <c r="GI30943" s="422"/>
    </row>
    <row r="30944" spans="191:191" x14ac:dyDescent="0.2">
      <c r="GI30944" s="422"/>
    </row>
    <row r="30945" spans="191:191" x14ac:dyDescent="0.2">
      <c r="GI30945" s="422"/>
    </row>
    <row r="30946" spans="191:191" x14ac:dyDescent="0.2">
      <c r="GI30946" s="422"/>
    </row>
    <row r="30947" spans="191:191" x14ac:dyDescent="0.2">
      <c r="GI30947" s="422"/>
    </row>
    <row r="30948" spans="191:191" x14ac:dyDescent="0.2">
      <c r="GI30948" s="422"/>
    </row>
    <row r="30949" spans="191:191" x14ac:dyDescent="0.2">
      <c r="GI30949" s="422"/>
    </row>
    <row r="30950" spans="191:191" x14ac:dyDescent="0.2">
      <c r="GI30950" s="422"/>
    </row>
    <row r="30951" spans="191:191" x14ac:dyDescent="0.2">
      <c r="GI30951" s="422"/>
    </row>
    <row r="30952" spans="191:191" x14ac:dyDescent="0.2">
      <c r="GI30952" s="422"/>
    </row>
    <row r="30953" spans="191:191" x14ac:dyDescent="0.2">
      <c r="GI30953" s="422"/>
    </row>
    <row r="30954" spans="191:191" x14ac:dyDescent="0.2">
      <c r="GI30954" s="422"/>
    </row>
    <row r="30955" spans="191:191" x14ac:dyDescent="0.2">
      <c r="GI30955" s="422"/>
    </row>
    <row r="30956" spans="191:191" x14ac:dyDescent="0.2">
      <c r="GI30956" s="422"/>
    </row>
    <row r="30957" spans="191:191" x14ac:dyDescent="0.2">
      <c r="GI30957" s="422"/>
    </row>
    <row r="30958" spans="191:191" x14ac:dyDescent="0.2">
      <c r="GI30958" s="422"/>
    </row>
    <row r="30959" spans="191:191" x14ac:dyDescent="0.2">
      <c r="GI30959" s="422"/>
    </row>
    <row r="30960" spans="191:191" x14ac:dyDescent="0.2">
      <c r="GI30960" s="422"/>
    </row>
    <row r="30961" spans="191:191" x14ac:dyDescent="0.2">
      <c r="GI30961" s="422"/>
    </row>
    <row r="30962" spans="191:191" x14ac:dyDescent="0.2">
      <c r="GI30962" s="422"/>
    </row>
    <row r="30963" spans="191:191" x14ac:dyDescent="0.2">
      <c r="GI30963" s="422"/>
    </row>
    <row r="30964" spans="191:191" x14ac:dyDescent="0.2">
      <c r="GI30964" s="422"/>
    </row>
    <row r="30965" spans="191:191" x14ac:dyDescent="0.2">
      <c r="GI30965" s="422"/>
    </row>
    <row r="30966" spans="191:191" x14ac:dyDescent="0.2">
      <c r="GI30966" s="422"/>
    </row>
    <row r="30967" spans="191:191" x14ac:dyDescent="0.2">
      <c r="GI30967" s="422"/>
    </row>
    <row r="30968" spans="191:191" x14ac:dyDescent="0.2">
      <c r="GI30968" s="422"/>
    </row>
    <row r="30969" spans="191:191" x14ac:dyDescent="0.2">
      <c r="GI30969" s="422"/>
    </row>
    <row r="30970" spans="191:191" x14ac:dyDescent="0.2">
      <c r="GI30970" s="422"/>
    </row>
    <row r="30971" spans="191:191" x14ac:dyDescent="0.2">
      <c r="GI30971" s="422"/>
    </row>
    <row r="30972" spans="191:191" x14ac:dyDescent="0.2">
      <c r="GI30972" s="422"/>
    </row>
    <row r="30973" spans="191:191" x14ac:dyDescent="0.2">
      <c r="GI30973" s="422"/>
    </row>
    <row r="30974" spans="191:191" x14ac:dyDescent="0.2">
      <c r="GI30974" s="422"/>
    </row>
    <row r="30975" spans="191:191" x14ac:dyDescent="0.2">
      <c r="GI30975" s="422"/>
    </row>
    <row r="30976" spans="191:191" x14ac:dyDescent="0.2">
      <c r="GI30976" s="422"/>
    </row>
    <row r="30977" spans="191:191" x14ac:dyDescent="0.2">
      <c r="GI30977" s="422"/>
    </row>
    <row r="30978" spans="191:191" x14ac:dyDescent="0.2">
      <c r="GI30978" s="422"/>
    </row>
    <row r="30979" spans="191:191" x14ac:dyDescent="0.2">
      <c r="GI30979" s="422"/>
    </row>
    <row r="30980" spans="191:191" x14ac:dyDescent="0.2">
      <c r="GI30980" s="422"/>
    </row>
    <row r="30981" spans="191:191" x14ac:dyDescent="0.2">
      <c r="GI30981" s="422"/>
    </row>
    <row r="30982" spans="191:191" x14ac:dyDescent="0.2">
      <c r="GI30982" s="422"/>
    </row>
    <row r="30983" spans="191:191" x14ac:dyDescent="0.2">
      <c r="GI30983" s="422"/>
    </row>
    <row r="30984" spans="191:191" x14ac:dyDescent="0.2">
      <c r="GI30984" s="422"/>
    </row>
    <row r="30985" spans="191:191" x14ac:dyDescent="0.2">
      <c r="GI30985" s="422"/>
    </row>
    <row r="30986" spans="191:191" x14ac:dyDescent="0.2">
      <c r="GI30986" s="422"/>
    </row>
    <row r="30987" spans="191:191" x14ac:dyDescent="0.2">
      <c r="GI30987" s="422"/>
    </row>
    <row r="30988" spans="191:191" x14ac:dyDescent="0.2">
      <c r="GI30988" s="422"/>
    </row>
    <row r="30989" spans="191:191" x14ac:dyDescent="0.2">
      <c r="GI30989" s="422"/>
    </row>
    <row r="30990" spans="191:191" x14ac:dyDescent="0.2">
      <c r="GI30990" s="422"/>
    </row>
    <row r="30991" spans="191:191" x14ac:dyDescent="0.2">
      <c r="GI30991" s="422"/>
    </row>
    <row r="30992" spans="191:191" x14ac:dyDescent="0.2">
      <c r="GI30992" s="422"/>
    </row>
    <row r="30993" spans="191:191" x14ac:dyDescent="0.2">
      <c r="GI30993" s="422"/>
    </row>
    <row r="30994" spans="191:191" x14ac:dyDescent="0.2">
      <c r="GI30994" s="422"/>
    </row>
    <row r="30995" spans="191:191" x14ac:dyDescent="0.2">
      <c r="GI30995" s="422"/>
    </row>
    <row r="30996" spans="191:191" x14ac:dyDescent="0.2">
      <c r="GI30996" s="422"/>
    </row>
    <row r="30997" spans="191:191" x14ac:dyDescent="0.2">
      <c r="GI30997" s="422"/>
    </row>
    <row r="30998" spans="191:191" x14ac:dyDescent="0.2">
      <c r="GI30998" s="422"/>
    </row>
    <row r="30999" spans="191:191" x14ac:dyDescent="0.2">
      <c r="GI30999" s="422"/>
    </row>
    <row r="31000" spans="191:191" x14ac:dyDescent="0.2">
      <c r="GI31000" s="422"/>
    </row>
    <row r="31001" spans="191:191" x14ac:dyDescent="0.2">
      <c r="GI31001" s="422"/>
    </row>
    <row r="31002" spans="191:191" x14ac:dyDescent="0.2">
      <c r="GI31002" s="422"/>
    </row>
    <row r="31003" spans="191:191" x14ac:dyDescent="0.2">
      <c r="GI31003" s="422"/>
    </row>
    <row r="31004" spans="191:191" x14ac:dyDescent="0.2">
      <c r="GI31004" s="422"/>
    </row>
    <row r="31005" spans="191:191" x14ac:dyDescent="0.2">
      <c r="GI31005" s="422"/>
    </row>
    <row r="31006" spans="191:191" x14ac:dyDescent="0.2">
      <c r="GI31006" s="422"/>
    </row>
    <row r="31007" spans="191:191" x14ac:dyDescent="0.2">
      <c r="GI31007" s="422"/>
    </row>
    <row r="31008" spans="191:191" x14ac:dyDescent="0.2">
      <c r="GI31008" s="422"/>
    </row>
    <row r="31009" spans="191:191" x14ac:dyDescent="0.2">
      <c r="GI31009" s="422"/>
    </row>
    <row r="31010" spans="191:191" x14ac:dyDescent="0.2">
      <c r="GI31010" s="422"/>
    </row>
    <row r="31011" spans="191:191" x14ac:dyDescent="0.2">
      <c r="GI31011" s="422"/>
    </row>
    <row r="31012" spans="191:191" x14ac:dyDescent="0.2">
      <c r="GI31012" s="422"/>
    </row>
    <row r="31013" spans="191:191" x14ac:dyDescent="0.2">
      <c r="GI31013" s="422"/>
    </row>
    <row r="31014" spans="191:191" x14ac:dyDescent="0.2">
      <c r="GI31014" s="422"/>
    </row>
    <row r="31015" spans="191:191" x14ac:dyDescent="0.2">
      <c r="GI31015" s="422"/>
    </row>
    <row r="31016" spans="191:191" x14ac:dyDescent="0.2">
      <c r="GI31016" s="422"/>
    </row>
    <row r="31017" spans="191:191" x14ac:dyDescent="0.2">
      <c r="GI31017" s="422"/>
    </row>
    <row r="31018" spans="191:191" x14ac:dyDescent="0.2">
      <c r="GI31018" s="422"/>
    </row>
    <row r="31019" spans="191:191" x14ac:dyDescent="0.2">
      <c r="GI31019" s="422"/>
    </row>
    <row r="31020" spans="191:191" x14ac:dyDescent="0.2">
      <c r="GI31020" s="422"/>
    </row>
    <row r="31021" spans="191:191" x14ac:dyDescent="0.2">
      <c r="GI31021" s="422"/>
    </row>
    <row r="31022" spans="191:191" x14ac:dyDescent="0.2">
      <c r="GI31022" s="422"/>
    </row>
    <row r="31023" spans="191:191" x14ac:dyDescent="0.2">
      <c r="GI31023" s="422"/>
    </row>
    <row r="31024" spans="191:191" x14ac:dyDescent="0.2">
      <c r="GI31024" s="422"/>
    </row>
    <row r="31025" spans="191:191" x14ac:dyDescent="0.2">
      <c r="GI31025" s="422"/>
    </row>
    <row r="31026" spans="191:191" x14ac:dyDescent="0.2">
      <c r="GI31026" s="422"/>
    </row>
    <row r="31027" spans="191:191" x14ac:dyDescent="0.2">
      <c r="GI31027" s="422"/>
    </row>
    <row r="31028" spans="191:191" x14ac:dyDescent="0.2">
      <c r="GI31028" s="422"/>
    </row>
    <row r="31029" spans="191:191" x14ac:dyDescent="0.2">
      <c r="GI31029" s="422"/>
    </row>
    <row r="31030" spans="191:191" x14ac:dyDescent="0.2">
      <c r="GI31030" s="422"/>
    </row>
    <row r="31031" spans="191:191" x14ac:dyDescent="0.2">
      <c r="GI31031" s="422"/>
    </row>
    <row r="31032" spans="191:191" x14ac:dyDescent="0.2">
      <c r="GI31032" s="422"/>
    </row>
    <row r="31033" spans="191:191" x14ac:dyDescent="0.2">
      <c r="GI31033" s="422"/>
    </row>
    <row r="31034" spans="191:191" x14ac:dyDescent="0.2">
      <c r="GI31034" s="422"/>
    </row>
    <row r="31035" spans="191:191" x14ac:dyDescent="0.2">
      <c r="GI31035" s="422"/>
    </row>
    <row r="31036" spans="191:191" x14ac:dyDescent="0.2">
      <c r="GI31036" s="422"/>
    </row>
    <row r="31037" spans="191:191" x14ac:dyDescent="0.2">
      <c r="GI31037" s="422"/>
    </row>
    <row r="31038" spans="191:191" x14ac:dyDescent="0.2">
      <c r="GI31038" s="422"/>
    </row>
    <row r="31039" spans="191:191" x14ac:dyDescent="0.2">
      <c r="GI31039" s="422"/>
    </row>
    <row r="31040" spans="191:191" x14ac:dyDescent="0.2">
      <c r="GI31040" s="422"/>
    </row>
    <row r="31041" spans="191:191" x14ac:dyDescent="0.2">
      <c r="GI31041" s="422"/>
    </row>
    <row r="31042" spans="191:191" x14ac:dyDescent="0.2">
      <c r="GI31042" s="422"/>
    </row>
    <row r="31043" spans="191:191" x14ac:dyDescent="0.2">
      <c r="GI31043" s="422"/>
    </row>
    <row r="31044" spans="191:191" x14ac:dyDescent="0.2">
      <c r="GI31044" s="422"/>
    </row>
    <row r="31045" spans="191:191" x14ac:dyDescent="0.2">
      <c r="GI31045" s="422"/>
    </row>
    <row r="31046" spans="191:191" x14ac:dyDescent="0.2">
      <c r="GI31046" s="422"/>
    </row>
    <row r="31047" spans="191:191" x14ac:dyDescent="0.2">
      <c r="GI31047" s="422"/>
    </row>
    <row r="31048" spans="191:191" x14ac:dyDescent="0.2">
      <c r="GI31048" s="422"/>
    </row>
    <row r="31049" spans="191:191" x14ac:dyDescent="0.2">
      <c r="GI31049" s="422"/>
    </row>
    <row r="31050" spans="191:191" x14ac:dyDescent="0.2">
      <c r="GI31050" s="422"/>
    </row>
    <row r="31051" spans="191:191" x14ac:dyDescent="0.2">
      <c r="GI31051" s="422"/>
    </row>
    <row r="31052" spans="191:191" x14ac:dyDescent="0.2">
      <c r="GI31052" s="422"/>
    </row>
    <row r="31053" spans="191:191" x14ac:dyDescent="0.2">
      <c r="GI31053" s="422"/>
    </row>
    <row r="31054" spans="191:191" x14ac:dyDescent="0.2">
      <c r="GI31054" s="422"/>
    </row>
    <row r="31055" spans="191:191" x14ac:dyDescent="0.2">
      <c r="GI31055" s="422"/>
    </row>
    <row r="31056" spans="191:191" x14ac:dyDescent="0.2">
      <c r="GI31056" s="422"/>
    </row>
    <row r="31057" spans="191:191" x14ac:dyDescent="0.2">
      <c r="GI31057" s="422"/>
    </row>
    <row r="31058" spans="191:191" x14ac:dyDescent="0.2">
      <c r="GI31058" s="422"/>
    </row>
    <row r="31059" spans="191:191" x14ac:dyDescent="0.2">
      <c r="GI31059" s="422"/>
    </row>
    <row r="31060" spans="191:191" x14ac:dyDescent="0.2">
      <c r="GI31060" s="422"/>
    </row>
    <row r="31061" spans="191:191" x14ac:dyDescent="0.2">
      <c r="GI31061" s="422"/>
    </row>
    <row r="31062" spans="191:191" x14ac:dyDescent="0.2">
      <c r="GI31062" s="422"/>
    </row>
    <row r="31063" spans="191:191" x14ac:dyDescent="0.2">
      <c r="GI31063" s="422"/>
    </row>
    <row r="31064" spans="191:191" x14ac:dyDescent="0.2">
      <c r="GI31064" s="422"/>
    </row>
    <row r="31065" spans="191:191" x14ac:dyDescent="0.2">
      <c r="GI31065" s="422"/>
    </row>
    <row r="31066" spans="191:191" x14ac:dyDescent="0.2">
      <c r="GI31066" s="422"/>
    </row>
    <row r="31067" spans="191:191" x14ac:dyDescent="0.2">
      <c r="GI31067" s="422"/>
    </row>
    <row r="31068" spans="191:191" x14ac:dyDescent="0.2">
      <c r="GI31068" s="422"/>
    </row>
    <row r="31069" spans="191:191" x14ac:dyDescent="0.2">
      <c r="GI31069" s="422"/>
    </row>
    <row r="31070" spans="191:191" x14ac:dyDescent="0.2">
      <c r="GI31070" s="422"/>
    </row>
    <row r="31071" spans="191:191" x14ac:dyDescent="0.2">
      <c r="GI31071" s="422"/>
    </row>
    <row r="31072" spans="191:191" x14ac:dyDescent="0.2">
      <c r="GI31072" s="422"/>
    </row>
    <row r="31073" spans="191:191" x14ac:dyDescent="0.2">
      <c r="GI31073" s="422"/>
    </row>
    <row r="31074" spans="191:191" x14ac:dyDescent="0.2">
      <c r="GI31074" s="422"/>
    </row>
    <row r="31075" spans="191:191" x14ac:dyDescent="0.2">
      <c r="GI31075" s="422"/>
    </row>
    <row r="31076" spans="191:191" x14ac:dyDescent="0.2">
      <c r="GI31076" s="422"/>
    </row>
    <row r="31077" spans="191:191" x14ac:dyDescent="0.2">
      <c r="GI31077" s="422"/>
    </row>
    <row r="31078" spans="191:191" x14ac:dyDescent="0.2">
      <c r="GI31078" s="422"/>
    </row>
    <row r="31079" spans="191:191" x14ac:dyDescent="0.2">
      <c r="GI31079" s="422"/>
    </row>
    <row r="31080" spans="191:191" x14ac:dyDescent="0.2">
      <c r="GI31080" s="422"/>
    </row>
    <row r="31081" spans="191:191" x14ac:dyDescent="0.2">
      <c r="GI31081" s="422"/>
    </row>
    <row r="31082" spans="191:191" x14ac:dyDescent="0.2">
      <c r="GI31082" s="422"/>
    </row>
    <row r="31083" spans="191:191" x14ac:dyDescent="0.2">
      <c r="GI31083" s="422"/>
    </row>
    <row r="31084" spans="191:191" x14ac:dyDescent="0.2">
      <c r="GI31084" s="422"/>
    </row>
    <row r="31085" spans="191:191" x14ac:dyDescent="0.2">
      <c r="GI31085" s="422"/>
    </row>
    <row r="31086" spans="191:191" x14ac:dyDescent="0.2">
      <c r="GI31086" s="422"/>
    </row>
    <row r="31087" spans="191:191" x14ac:dyDescent="0.2">
      <c r="GI31087" s="422"/>
    </row>
    <row r="31088" spans="191:191" x14ac:dyDescent="0.2">
      <c r="GI31088" s="422"/>
    </row>
    <row r="31089" spans="191:191" x14ac:dyDescent="0.2">
      <c r="GI31089" s="422"/>
    </row>
    <row r="31090" spans="191:191" x14ac:dyDescent="0.2">
      <c r="GI31090" s="422"/>
    </row>
    <row r="31091" spans="191:191" x14ac:dyDescent="0.2">
      <c r="GI31091" s="422"/>
    </row>
    <row r="31092" spans="191:191" x14ac:dyDescent="0.2">
      <c r="GI31092" s="422"/>
    </row>
    <row r="31093" spans="191:191" x14ac:dyDescent="0.2">
      <c r="GI31093" s="422"/>
    </row>
    <row r="31094" spans="191:191" x14ac:dyDescent="0.2">
      <c r="GI31094" s="422"/>
    </row>
    <row r="31095" spans="191:191" x14ac:dyDescent="0.2">
      <c r="GI31095" s="422"/>
    </row>
    <row r="31096" spans="191:191" x14ac:dyDescent="0.2">
      <c r="GI31096" s="422"/>
    </row>
    <row r="31097" spans="191:191" x14ac:dyDescent="0.2">
      <c r="GI31097" s="422"/>
    </row>
    <row r="31098" spans="191:191" x14ac:dyDescent="0.2">
      <c r="GI31098" s="422"/>
    </row>
    <row r="31099" spans="191:191" x14ac:dyDescent="0.2">
      <c r="GI31099" s="422"/>
    </row>
    <row r="31100" spans="191:191" x14ac:dyDescent="0.2">
      <c r="GI31100" s="422"/>
    </row>
    <row r="31101" spans="191:191" x14ac:dyDescent="0.2">
      <c r="GI31101" s="422"/>
    </row>
    <row r="31102" spans="191:191" x14ac:dyDescent="0.2">
      <c r="GI31102" s="422"/>
    </row>
    <row r="31103" spans="191:191" x14ac:dyDescent="0.2">
      <c r="GI31103" s="422"/>
    </row>
    <row r="31104" spans="191:191" x14ac:dyDescent="0.2">
      <c r="GI31104" s="422"/>
    </row>
    <row r="31105" spans="191:191" x14ac:dyDescent="0.2">
      <c r="GI31105" s="422"/>
    </row>
    <row r="31106" spans="191:191" x14ac:dyDescent="0.2">
      <c r="GI31106" s="422"/>
    </row>
    <row r="31107" spans="191:191" x14ac:dyDescent="0.2">
      <c r="GI31107" s="422"/>
    </row>
    <row r="31108" spans="191:191" x14ac:dyDescent="0.2">
      <c r="GI31108" s="422"/>
    </row>
    <row r="31109" spans="191:191" x14ac:dyDescent="0.2">
      <c r="GI31109" s="422"/>
    </row>
    <row r="31110" spans="191:191" x14ac:dyDescent="0.2">
      <c r="GI31110" s="422"/>
    </row>
    <row r="31111" spans="191:191" x14ac:dyDescent="0.2">
      <c r="GI31111" s="422"/>
    </row>
    <row r="31112" spans="191:191" x14ac:dyDescent="0.2">
      <c r="GI31112" s="422"/>
    </row>
    <row r="31113" spans="191:191" x14ac:dyDescent="0.2">
      <c r="GI31113" s="422"/>
    </row>
    <row r="31114" spans="191:191" x14ac:dyDescent="0.2">
      <c r="GI31114" s="422"/>
    </row>
    <row r="31115" spans="191:191" x14ac:dyDescent="0.2">
      <c r="GI31115" s="422"/>
    </row>
    <row r="31116" spans="191:191" x14ac:dyDescent="0.2">
      <c r="GI31116" s="422"/>
    </row>
    <row r="31117" spans="191:191" x14ac:dyDescent="0.2">
      <c r="GI31117" s="422"/>
    </row>
    <row r="31118" spans="191:191" x14ac:dyDescent="0.2">
      <c r="GI31118" s="422"/>
    </row>
    <row r="31119" spans="191:191" x14ac:dyDescent="0.2">
      <c r="GI31119" s="422"/>
    </row>
    <row r="31120" spans="191:191" x14ac:dyDescent="0.2">
      <c r="GI31120" s="422"/>
    </row>
    <row r="31121" spans="191:191" x14ac:dyDescent="0.2">
      <c r="GI31121" s="422"/>
    </row>
    <row r="31122" spans="191:191" x14ac:dyDescent="0.2">
      <c r="GI31122" s="422"/>
    </row>
    <row r="31123" spans="191:191" x14ac:dyDescent="0.2">
      <c r="GI31123" s="422"/>
    </row>
    <row r="31124" spans="191:191" x14ac:dyDescent="0.2">
      <c r="GI31124" s="422"/>
    </row>
    <row r="31125" spans="191:191" x14ac:dyDescent="0.2">
      <c r="GI31125" s="422"/>
    </row>
    <row r="31126" spans="191:191" x14ac:dyDescent="0.2">
      <c r="GI31126" s="422"/>
    </row>
    <row r="31127" spans="191:191" x14ac:dyDescent="0.2">
      <c r="GI31127" s="422"/>
    </row>
    <row r="31128" spans="191:191" x14ac:dyDescent="0.2">
      <c r="GI31128" s="422"/>
    </row>
    <row r="31129" spans="191:191" x14ac:dyDescent="0.2">
      <c r="GI31129" s="422"/>
    </row>
    <row r="31130" spans="191:191" x14ac:dyDescent="0.2">
      <c r="GI31130" s="422"/>
    </row>
    <row r="31131" spans="191:191" x14ac:dyDescent="0.2">
      <c r="GI31131" s="422"/>
    </row>
    <row r="31132" spans="191:191" x14ac:dyDescent="0.2">
      <c r="GI31132" s="422"/>
    </row>
    <row r="31133" spans="191:191" x14ac:dyDescent="0.2">
      <c r="GI31133" s="422"/>
    </row>
    <row r="31134" spans="191:191" x14ac:dyDescent="0.2">
      <c r="GI31134" s="422"/>
    </row>
    <row r="31135" spans="191:191" x14ac:dyDescent="0.2">
      <c r="GI31135" s="422"/>
    </row>
    <row r="31136" spans="191:191" x14ac:dyDescent="0.2">
      <c r="GI31136" s="422"/>
    </row>
    <row r="31137" spans="191:191" x14ac:dyDescent="0.2">
      <c r="GI31137" s="422"/>
    </row>
    <row r="31138" spans="191:191" x14ac:dyDescent="0.2">
      <c r="GI31138" s="422"/>
    </row>
    <row r="31139" spans="191:191" x14ac:dyDescent="0.2">
      <c r="GI31139" s="422"/>
    </row>
    <row r="31140" spans="191:191" x14ac:dyDescent="0.2">
      <c r="GI31140" s="422"/>
    </row>
    <row r="31141" spans="191:191" x14ac:dyDescent="0.2">
      <c r="GI31141" s="422"/>
    </row>
    <row r="31142" spans="191:191" x14ac:dyDescent="0.2">
      <c r="GI31142" s="422"/>
    </row>
    <row r="31143" spans="191:191" x14ac:dyDescent="0.2">
      <c r="GI31143" s="422"/>
    </row>
    <row r="31144" spans="191:191" x14ac:dyDescent="0.2">
      <c r="GI31144" s="422"/>
    </row>
    <row r="31145" spans="191:191" x14ac:dyDescent="0.2">
      <c r="GI31145" s="422"/>
    </row>
    <row r="31146" spans="191:191" x14ac:dyDescent="0.2">
      <c r="GI31146" s="422"/>
    </row>
    <row r="31147" spans="191:191" x14ac:dyDescent="0.2">
      <c r="GI31147" s="422"/>
    </row>
    <row r="31148" spans="191:191" x14ac:dyDescent="0.2">
      <c r="GI31148" s="422"/>
    </row>
    <row r="31149" spans="191:191" x14ac:dyDescent="0.2">
      <c r="GI31149" s="422"/>
    </row>
    <row r="31150" spans="191:191" x14ac:dyDescent="0.2">
      <c r="GI31150" s="422"/>
    </row>
    <row r="31151" spans="191:191" x14ac:dyDescent="0.2">
      <c r="GI31151" s="422"/>
    </row>
    <row r="31152" spans="191:191" x14ac:dyDescent="0.2">
      <c r="GI31152" s="422"/>
    </row>
    <row r="31153" spans="191:191" x14ac:dyDescent="0.2">
      <c r="GI31153" s="422"/>
    </row>
    <row r="31154" spans="191:191" x14ac:dyDescent="0.2">
      <c r="GI31154" s="422"/>
    </row>
    <row r="31155" spans="191:191" x14ac:dyDescent="0.2">
      <c r="GI31155" s="422"/>
    </row>
    <row r="31156" spans="191:191" x14ac:dyDescent="0.2">
      <c r="GI31156" s="422"/>
    </row>
    <row r="31157" spans="191:191" x14ac:dyDescent="0.2">
      <c r="GI31157" s="422"/>
    </row>
    <row r="31158" spans="191:191" x14ac:dyDescent="0.2">
      <c r="GI31158" s="422"/>
    </row>
    <row r="31159" spans="191:191" x14ac:dyDescent="0.2">
      <c r="GI31159" s="422"/>
    </row>
    <row r="31160" spans="191:191" x14ac:dyDescent="0.2">
      <c r="GI31160" s="422"/>
    </row>
    <row r="31161" spans="191:191" x14ac:dyDescent="0.2">
      <c r="GI31161" s="422"/>
    </row>
    <row r="31162" spans="191:191" x14ac:dyDescent="0.2">
      <c r="GI31162" s="422"/>
    </row>
    <row r="31163" spans="191:191" x14ac:dyDescent="0.2">
      <c r="GI31163" s="422"/>
    </row>
    <row r="31164" spans="191:191" x14ac:dyDescent="0.2">
      <c r="GI31164" s="422"/>
    </row>
    <row r="31165" spans="191:191" x14ac:dyDescent="0.2">
      <c r="GI31165" s="422"/>
    </row>
    <row r="31166" spans="191:191" x14ac:dyDescent="0.2">
      <c r="GI31166" s="422"/>
    </row>
    <row r="31167" spans="191:191" x14ac:dyDescent="0.2">
      <c r="GI31167" s="422"/>
    </row>
    <row r="31168" spans="191:191" x14ac:dyDescent="0.2">
      <c r="GI31168" s="422"/>
    </row>
    <row r="31169" spans="191:191" x14ac:dyDescent="0.2">
      <c r="GI31169" s="422"/>
    </row>
    <row r="31170" spans="191:191" x14ac:dyDescent="0.2">
      <c r="GI31170" s="422"/>
    </row>
    <row r="31171" spans="191:191" x14ac:dyDescent="0.2">
      <c r="GI31171" s="422"/>
    </row>
    <row r="31172" spans="191:191" x14ac:dyDescent="0.2">
      <c r="GI31172" s="422"/>
    </row>
    <row r="31173" spans="191:191" x14ac:dyDescent="0.2">
      <c r="GI31173" s="422"/>
    </row>
    <row r="31174" spans="191:191" x14ac:dyDescent="0.2">
      <c r="GI31174" s="422"/>
    </row>
    <row r="31175" spans="191:191" x14ac:dyDescent="0.2">
      <c r="GI31175" s="422"/>
    </row>
    <row r="31176" spans="191:191" x14ac:dyDescent="0.2">
      <c r="GI31176" s="422"/>
    </row>
    <row r="31177" spans="191:191" x14ac:dyDescent="0.2">
      <c r="GI31177" s="422"/>
    </row>
    <row r="31178" spans="191:191" x14ac:dyDescent="0.2">
      <c r="GI31178" s="422"/>
    </row>
    <row r="31179" spans="191:191" x14ac:dyDescent="0.2">
      <c r="GI31179" s="422"/>
    </row>
    <row r="31180" spans="191:191" x14ac:dyDescent="0.2">
      <c r="GI31180" s="422"/>
    </row>
    <row r="31181" spans="191:191" x14ac:dyDescent="0.2">
      <c r="GI31181" s="422"/>
    </row>
    <row r="31182" spans="191:191" x14ac:dyDescent="0.2">
      <c r="GI31182" s="422"/>
    </row>
    <row r="31183" spans="191:191" x14ac:dyDescent="0.2">
      <c r="GI31183" s="422"/>
    </row>
    <row r="31184" spans="191:191" x14ac:dyDescent="0.2">
      <c r="GI31184" s="422"/>
    </row>
    <row r="31185" spans="191:191" x14ac:dyDescent="0.2">
      <c r="GI31185" s="422"/>
    </row>
    <row r="31186" spans="191:191" x14ac:dyDescent="0.2">
      <c r="GI31186" s="422"/>
    </row>
    <row r="31187" spans="191:191" x14ac:dyDescent="0.2">
      <c r="GI31187" s="422"/>
    </row>
    <row r="31188" spans="191:191" x14ac:dyDescent="0.2">
      <c r="GI31188" s="422"/>
    </row>
    <row r="31189" spans="191:191" x14ac:dyDescent="0.2">
      <c r="GI31189" s="422"/>
    </row>
    <row r="31190" spans="191:191" x14ac:dyDescent="0.2">
      <c r="GI31190" s="422"/>
    </row>
    <row r="31191" spans="191:191" x14ac:dyDescent="0.2">
      <c r="GI31191" s="422"/>
    </row>
    <row r="31192" spans="191:191" x14ac:dyDescent="0.2">
      <c r="GI31192" s="422"/>
    </row>
    <row r="31193" spans="191:191" x14ac:dyDescent="0.2">
      <c r="GI31193" s="422"/>
    </row>
    <row r="31194" spans="191:191" x14ac:dyDescent="0.2">
      <c r="GI31194" s="422"/>
    </row>
    <row r="31195" spans="191:191" x14ac:dyDescent="0.2">
      <c r="GI31195" s="422"/>
    </row>
    <row r="31196" spans="191:191" x14ac:dyDescent="0.2">
      <c r="GI31196" s="422"/>
    </row>
    <row r="31197" spans="191:191" x14ac:dyDescent="0.2">
      <c r="GI31197" s="422"/>
    </row>
    <row r="31198" spans="191:191" x14ac:dyDescent="0.2">
      <c r="GI31198" s="422"/>
    </row>
    <row r="31199" spans="191:191" x14ac:dyDescent="0.2">
      <c r="GI31199" s="422"/>
    </row>
    <row r="31200" spans="191:191" x14ac:dyDescent="0.2">
      <c r="GI31200" s="422"/>
    </row>
    <row r="31201" spans="191:191" x14ac:dyDescent="0.2">
      <c r="GI31201" s="422"/>
    </row>
    <row r="31202" spans="191:191" x14ac:dyDescent="0.2">
      <c r="GI31202" s="422"/>
    </row>
    <row r="31203" spans="191:191" x14ac:dyDescent="0.2">
      <c r="GI31203" s="422"/>
    </row>
    <row r="31204" spans="191:191" x14ac:dyDescent="0.2">
      <c r="GI31204" s="422"/>
    </row>
    <row r="31205" spans="191:191" x14ac:dyDescent="0.2">
      <c r="GI31205" s="422"/>
    </row>
    <row r="31206" spans="191:191" x14ac:dyDescent="0.2">
      <c r="GI31206" s="422"/>
    </row>
    <row r="31207" spans="191:191" x14ac:dyDescent="0.2">
      <c r="GI31207" s="422"/>
    </row>
    <row r="31208" spans="191:191" x14ac:dyDescent="0.2">
      <c r="GI31208" s="422"/>
    </row>
    <row r="31209" spans="191:191" x14ac:dyDescent="0.2">
      <c r="GI31209" s="422"/>
    </row>
    <row r="31210" spans="191:191" x14ac:dyDescent="0.2">
      <c r="GI31210" s="422"/>
    </row>
    <row r="31211" spans="191:191" x14ac:dyDescent="0.2">
      <c r="GI31211" s="422"/>
    </row>
    <row r="31212" spans="191:191" x14ac:dyDescent="0.2">
      <c r="GI31212" s="422"/>
    </row>
    <row r="31213" spans="191:191" x14ac:dyDescent="0.2">
      <c r="GI31213" s="422"/>
    </row>
    <row r="31214" spans="191:191" x14ac:dyDescent="0.2">
      <c r="GI31214" s="422"/>
    </row>
    <row r="31215" spans="191:191" x14ac:dyDescent="0.2">
      <c r="GI31215" s="422"/>
    </row>
    <row r="31216" spans="191:191" x14ac:dyDescent="0.2">
      <c r="GI31216" s="422"/>
    </row>
    <row r="31217" spans="191:191" x14ac:dyDescent="0.2">
      <c r="GI31217" s="422"/>
    </row>
    <row r="31218" spans="191:191" x14ac:dyDescent="0.2">
      <c r="GI31218" s="422"/>
    </row>
    <row r="31219" spans="191:191" x14ac:dyDescent="0.2">
      <c r="GI31219" s="422"/>
    </row>
    <row r="31220" spans="191:191" x14ac:dyDescent="0.2">
      <c r="GI31220" s="422"/>
    </row>
    <row r="31221" spans="191:191" x14ac:dyDescent="0.2">
      <c r="GI31221" s="422"/>
    </row>
    <row r="31222" spans="191:191" x14ac:dyDescent="0.2">
      <c r="GI31222" s="422"/>
    </row>
    <row r="31223" spans="191:191" x14ac:dyDescent="0.2">
      <c r="GI31223" s="422"/>
    </row>
    <row r="31224" spans="191:191" x14ac:dyDescent="0.2">
      <c r="GI31224" s="422"/>
    </row>
    <row r="31225" spans="191:191" x14ac:dyDescent="0.2">
      <c r="GI31225" s="422"/>
    </row>
    <row r="31226" spans="191:191" x14ac:dyDescent="0.2">
      <c r="GI31226" s="422"/>
    </row>
    <row r="31227" spans="191:191" x14ac:dyDescent="0.2">
      <c r="GI31227" s="422"/>
    </row>
    <row r="31228" spans="191:191" x14ac:dyDescent="0.2">
      <c r="GI31228" s="422"/>
    </row>
    <row r="31229" spans="191:191" x14ac:dyDescent="0.2">
      <c r="GI31229" s="422"/>
    </row>
    <row r="31230" spans="191:191" x14ac:dyDescent="0.2">
      <c r="GI31230" s="422"/>
    </row>
    <row r="31231" spans="191:191" x14ac:dyDescent="0.2">
      <c r="GI31231" s="422"/>
    </row>
    <row r="31232" spans="191:191" x14ac:dyDescent="0.2">
      <c r="GI31232" s="422"/>
    </row>
    <row r="31233" spans="191:191" x14ac:dyDescent="0.2">
      <c r="GI31233" s="422"/>
    </row>
    <row r="31234" spans="191:191" x14ac:dyDescent="0.2">
      <c r="GI31234" s="422"/>
    </row>
    <row r="31235" spans="191:191" x14ac:dyDescent="0.2">
      <c r="GI31235" s="422"/>
    </row>
    <row r="31236" spans="191:191" x14ac:dyDescent="0.2">
      <c r="GI31236" s="422"/>
    </row>
    <row r="31237" spans="191:191" x14ac:dyDescent="0.2">
      <c r="GI31237" s="422"/>
    </row>
    <row r="31238" spans="191:191" x14ac:dyDescent="0.2">
      <c r="GI31238" s="422"/>
    </row>
    <row r="31239" spans="191:191" x14ac:dyDescent="0.2">
      <c r="GI31239" s="422"/>
    </row>
    <row r="31240" spans="191:191" x14ac:dyDescent="0.2">
      <c r="GI31240" s="422"/>
    </row>
    <row r="31241" spans="191:191" x14ac:dyDescent="0.2">
      <c r="GI31241" s="422"/>
    </row>
    <row r="31242" spans="191:191" x14ac:dyDescent="0.2">
      <c r="GI31242" s="422"/>
    </row>
    <row r="31243" spans="191:191" x14ac:dyDescent="0.2">
      <c r="GI31243" s="422"/>
    </row>
    <row r="31244" spans="191:191" x14ac:dyDescent="0.2">
      <c r="GI31244" s="422"/>
    </row>
    <row r="31245" spans="191:191" x14ac:dyDescent="0.2">
      <c r="GI31245" s="422"/>
    </row>
    <row r="31246" spans="191:191" x14ac:dyDescent="0.2">
      <c r="GI31246" s="422"/>
    </row>
    <row r="31247" spans="191:191" x14ac:dyDescent="0.2">
      <c r="GI31247" s="422"/>
    </row>
    <row r="31248" spans="191:191" x14ac:dyDescent="0.2">
      <c r="GI31248" s="422"/>
    </row>
    <row r="31249" spans="191:191" x14ac:dyDescent="0.2">
      <c r="GI31249" s="422"/>
    </row>
    <row r="31250" spans="191:191" x14ac:dyDescent="0.2">
      <c r="GI31250" s="422"/>
    </row>
    <row r="31251" spans="191:191" x14ac:dyDescent="0.2">
      <c r="GI31251" s="422"/>
    </row>
    <row r="31252" spans="191:191" x14ac:dyDescent="0.2">
      <c r="GI31252" s="422"/>
    </row>
    <row r="31253" spans="191:191" x14ac:dyDescent="0.2">
      <c r="GI31253" s="422"/>
    </row>
    <row r="31254" spans="191:191" x14ac:dyDescent="0.2">
      <c r="GI31254" s="422"/>
    </row>
    <row r="31255" spans="191:191" x14ac:dyDescent="0.2">
      <c r="GI31255" s="422"/>
    </row>
    <row r="31256" spans="191:191" x14ac:dyDescent="0.2">
      <c r="GI31256" s="422"/>
    </row>
    <row r="31257" spans="191:191" x14ac:dyDescent="0.2">
      <c r="GI31257" s="422"/>
    </row>
    <row r="31258" spans="191:191" x14ac:dyDescent="0.2">
      <c r="GI31258" s="422"/>
    </row>
    <row r="31259" spans="191:191" x14ac:dyDescent="0.2">
      <c r="GI31259" s="422"/>
    </row>
    <row r="31260" spans="191:191" x14ac:dyDescent="0.2">
      <c r="GI31260" s="422"/>
    </row>
    <row r="31261" spans="191:191" x14ac:dyDescent="0.2">
      <c r="GI31261" s="422"/>
    </row>
    <row r="31262" spans="191:191" x14ac:dyDescent="0.2">
      <c r="GI31262" s="422"/>
    </row>
    <row r="31263" spans="191:191" x14ac:dyDescent="0.2">
      <c r="GI31263" s="422"/>
    </row>
    <row r="31264" spans="191:191" x14ac:dyDescent="0.2">
      <c r="GI31264" s="422"/>
    </row>
    <row r="31265" spans="191:191" x14ac:dyDescent="0.2">
      <c r="GI31265" s="422"/>
    </row>
    <row r="31266" spans="191:191" x14ac:dyDescent="0.2">
      <c r="GI31266" s="422"/>
    </row>
    <row r="31267" spans="191:191" x14ac:dyDescent="0.2">
      <c r="GI31267" s="422"/>
    </row>
    <row r="31268" spans="191:191" x14ac:dyDescent="0.2">
      <c r="GI31268" s="422"/>
    </row>
    <row r="31269" spans="191:191" x14ac:dyDescent="0.2">
      <c r="GI31269" s="422"/>
    </row>
    <row r="31270" spans="191:191" x14ac:dyDescent="0.2">
      <c r="GI31270" s="422"/>
    </row>
    <row r="31271" spans="191:191" x14ac:dyDescent="0.2">
      <c r="GI31271" s="422"/>
    </row>
    <row r="31272" spans="191:191" x14ac:dyDescent="0.2">
      <c r="GI31272" s="422"/>
    </row>
    <row r="31273" spans="191:191" x14ac:dyDescent="0.2">
      <c r="GI31273" s="422"/>
    </row>
    <row r="31274" spans="191:191" x14ac:dyDescent="0.2">
      <c r="GI31274" s="422"/>
    </row>
    <row r="31275" spans="191:191" x14ac:dyDescent="0.2">
      <c r="GI31275" s="422"/>
    </row>
    <row r="31276" spans="191:191" x14ac:dyDescent="0.2">
      <c r="GI31276" s="422"/>
    </row>
    <row r="31277" spans="191:191" x14ac:dyDescent="0.2">
      <c r="GI31277" s="422"/>
    </row>
    <row r="31278" spans="191:191" x14ac:dyDescent="0.2">
      <c r="GI31278" s="422"/>
    </row>
    <row r="31279" spans="191:191" x14ac:dyDescent="0.2">
      <c r="GI31279" s="422"/>
    </row>
    <row r="31280" spans="191:191" x14ac:dyDescent="0.2">
      <c r="GI31280" s="422"/>
    </row>
    <row r="31281" spans="191:191" x14ac:dyDescent="0.2">
      <c r="GI31281" s="422"/>
    </row>
    <row r="31282" spans="191:191" x14ac:dyDescent="0.2">
      <c r="GI31282" s="422"/>
    </row>
    <row r="31283" spans="191:191" x14ac:dyDescent="0.2">
      <c r="GI31283" s="422"/>
    </row>
    <row r="31284" spans="191:191" x14ac:dyDescent="0.2">
      <c r="GI31284" s="422"/>
    </row>
    <row r="31285" spans="191:191" x14ac:dyDescent="0.2">
      <c r="GI31285" s="422"/>
    </row>
    <row r="31286" spans="191:191" x14ac:dyDescent="0.2">
      <c r="GI31286" s="422"/>
    </row>
    <row r="31287" spans="191:191" x14ac:dyDescent="0.2">
      <c r="GI31287" s="422"/>
    </row>
    <row r="31288" spans="191:191" x14ac:dyDescent="0.2">
      <c r="GI31288" s="422"/>
    </row>
    <row r="31289" spans="191:191" x14ac:dyDescent="0.2">
      <c r="GI31289" s="422"/>
    </row>
    <row r="31290" spans="191:191" x14ac:dyDescent="0.2">
      <c r="GI31290" s="422"/>
    </row>
    <row r="31291" spans="191:191" x14ac:dyDescent="0.2">
      <c r="GI31291" s="422"/>
    </row>
    <row r="31292" spans="191:191" x14ac:dyDescent="0.2">
      <c r="GI31292" s="422"/>
    </row>
    <row r="31293" spans="191:191" x14ac:dyDescent="0.2">
      <c r="GI31293" s="422"/>
    </row>
    <row r="31294" spans="191:191" x14ac:dyDescent="0.2">
      <c r="GI31294" s="422"/>
    </row>
    <row r="31295" spans="191:191" x14ac:dyDescent="0.2">
      <c r="GI31295" s="422"/>
    </row>
    <row r="31296" spans="191:191" x14ac:dyDescent="0.2">
      <c r="GI31296" s="422"/>
    </row>
    <row r="31297" spans="191:191" x14ac:dyDescent="0.2">
      <c r="GI31297" s="422"/>
    </row>
    <row r="31298" spans="191:191" x14ac:dyDescent="0.2">
      <c r="GI31298" s="422"/>
    </row>
    <row r="31299" spans="191:191" x14ac:dyDescent="0.2">
      <c r="GI31299" s="422"/>
    </row>
    <row r="31300" spans="191:191" x14ac:dyDescent="0.2">
      <c r="GI31300" s="422"/>
    </row>
    <row r="31301" spans="191:191" x14ac:dyDescent="0.2">
      <c r="GI31301" s="422"/>
    </row>
    <row r="31302" spans="191:191" x14ac:dyDescent="0.2">
      <c r="GI31302" s="422"/>
    </row>
    <row r="31303" spans="191:191" x14ac:dyDescent="0.2">
      <c r="GI31303" s="422"/>
    </row>
    <row r="31304" spans="191:191" x14ac:dyDescent="0.2">
      <c r="GI31304" s="422"/>
    </row>
    <row r="31305" spans="191:191" x14ac:dyDescent="0.2">
      <c r="GI31305" s="422"/>
    </row>
    <row r="31306" spans="191:191" x14ac:dyDescent="0.2">
      <c r="GI31306" s="422"/>
    </row>
    <row r="31307" spans="191:191" x14ac:dyDescent="0.2">
      <c r="GI31307" s="422"/>
    </row>
    <row r="31308" spans="191:191" x14ac:dyDescent="0.2">
      <c r="GI31308" s="422"/>
    </row>
    <row r="31309" spans="191:191" x14ac:dyDescent="0.2">
      <c r="GI31309" s="422"/>
    </row>
    <row r="31310" spans="191:191" x14ac:dyDescent="0.2">
      <c r="GI31310" s="422"/>
    </row>
    <row r="31311" spans="191:191" x14ac:dyDescent="0.2">
      <c r="GI31311" s="422"/>
    </row>
    <row r="31312" spans="191:191" x14ac:dyDescent="0.2">
      <c r="GI31312" s="422"/>
    </row>
    <row r="31313" spans="191:191" x14ac:dyDescent="0.2">
      <c r="GI31313" s="422"/>
    </row>
    <row r="31314" spans="191:191" x14ac:dyDescent="0.2">
      <c r="GI31314" s="422"/>
    </row>
    <row r="31315" spans="191:191" x14ac:dyDescent="0.2">
      <c r="GI31315" s="422"/>
    </row>
    <row r="31316" spans="191:191" x14ac:dyDescent="0.2">
      <c r="GI31316" s="422"/>
    </row>
    <row r="31317" spans="191:191" x14ac:dyDescent="0.2">
      <c r="GI31317" s="422"/>
    </row>
    <row r="31318" spans="191:191" x14ac:dyDescent="0.2">
      <c r="GI31318" s="422"/>
    </row>
    <row r="31319" spans="191:191" x14ac:dyDescent="0.2">
      <c r="GI31319" s="422"/>
    </row>
    <row r="31320" spans="191:191" x14ac:dyDescent="0.2">
      <c r="GI31320" s="422"/>
    </row>
    <row r="31321" spans="191:191" x14ac:dyDescent="0.2">
      <c r="GI31321" s="422"/>
    </row>
    <row r="31322" spans="191:191" x14ac:dyDescent="0.2">
      <c r="GI31322" s="422"/>
    </row>
    <row r="31323" spans="191:191" x14ac:dyDescent="0.2">
      <c r="GI31323" s="422"/>
    </row>
    <row r="31324" spans="191:191" x14ac:dyDescent="0.2">
      <c r="GI31324" s="422"/>
    </row>
    <row r="31325" spans="191:191" x14ac:dyDescent="0.2">
      <c r="GI31325" s="422"/>
    </row>
    <row r="31326" spans="191:191" x14ac:dyDescent="0.2">
      <c r="GI31326" s="422"/>
    </row>
    <row r="31327" spans="191:191" x14ac:dyDescent="0.2">
      <c r="GI31327" s="422"/>
    </row>
    <row r="31328" spans="191:191" x14ac:dyDescent="0.2">
      <c r="GI31328" s="422"/>
    </row>
    <row r="31329" spans="191:191" x14ac:dyDescent="0.2">
      <c r="GI31329" s="422"/>
    </row>
    <row r="31330" spans="191:191" x14ac:dyDescent="0.2">
      <c r="GI31330" s="422"/>
    </row>
    <row r="31331" spans="191:191" x14ac:dyDescent="0.2">
      <c r="GI31331" s="422"/>
    </row>
    <row r="31332" spans="191:191" x14ac:dyDescent="0.2">
      <c r="GI31332" s="422"/>
    </row>
    <row r="31333" spans="191:191" x14ac:dyDescent="0.2">
      <c r="GI31333" s="422"/>
    </row>
    <row r="31334" spans="191:191" x14ac:dyDescent="0.2">
      <c r="GI31334" s="422"/>
    </row>
    <row r="31335" spans="191:191" x14ac:dyDescent="0.2">
      <c r="GI31335" s="422"/>
    </row>
    <row r="31336" spans="191:191" x14ac:dyDescent="0.2">
      <c r="GI31336" s="422"/>
    </row>
    <row r="31337" spans="191:191" x14ac:dyDescent="0.2">
      <c r="GI31337" s="422"/>
    </row>
    <row r="31338" spans="191:191" x14ac:dyDescent="0.2">
      <c r="GI31338" s="422"/>
    </row>
    <row r="31339" spans="191:191" x14ac:dyDescent="0.2">
      <c r="GI31339" s="422"/>
    </row>
    <row r="31340" spans="191:191" x14ac:dyDescent="0.2">
      <c r="GI31340" s="422"/>
    </row>
    <row r="31341" spans="191:191" x14ac:dyDescent="0.2">
      <c r="GI31341" s="422"/>
    </row>
    <row r="31342" spans="191:191" x14ac:dyDescent="0.2">
      <c r="GI31342" s="422"/>
    </row>
    <row r="31343" spans="191:191" x14ac:dyDescent="0.2">
      <c r="GI31343" s="422"/>
    </row>
    <row r="31344" spans="191:191" x14ac:dyDescent="0.2">
      <c r="GI31344" s="422"/>
    </row>
    <row r="31345" spans="191:191" x14ac:dyDescent="0.2">
      <c r="GI31345" s="422"/>
    </row>
    <row r="31346" spans="191:191" x14ac:dyDescent="0.2">
      <c r="GI31346" s="422"/>
    </row>
    <row r="31347" spans="191:191" x14ac:dyDescent="0.2">
      <c r="GI31347" s="422"/>
    </row>
    <row r="31348" spans="191:191" x14ac:dyDescent="0.2">
      <c r="GI31348" s="422"/>
    </row>
    <row r="31349" spans="191:191" x14ac:dyDescent="0.2">
      <c r="GI31349" s="422"/>
    </row>
    <row r="31350" spans="191:191" x14ac:dyDescent="0.2">
      <c r="GI31350" s="422"/>
    </row>
    <row r="31351" spans="191:191" x14ac:dyDescent="0.2">
      <c r="GI31351" s="422"/>
    </row>
    <row r="31352" spans="191:191" x14ac:dyDescent="0.2">
      <c r="GI31352" s="422"/>
    </row>
    <row r="31353" spans="191:191" x14ac:dyDescent="0.2">
      <c r="GI31353" s="422"/>
    </row>
    <row r="31354" spans="191:191" x14ac:dyDescent="0.2">
      <c r="GI31354" s="422"/>
    </row>
    <row r="31355" spans="191:191" x14ac:dyDescent="0.2">
      <c r="GI31355" s="422"/>
    </row>
    <row r="31356" spans="191:191" x14ac:dyDescent="0.2">
      <c r="GI31356" s="422"/>
    </row>
    <row r="31357" spans="191:191" x14ac:dyDescent="0.2">
      <c r="GI31357" s="422"/>
    </row>
    <row r="31358" spans="191:191" x14ac:dyDescent="0.2">
      <c r="GI31358" s="422"/>
    </row>
    <row r="31359" spans="191:191" x14ac:dyDescent="0.2">
      <c r="GI31359" s="422"/>
    </row>
    <row r="31360" spans="191:191" x14ac:dyDescent="0.2">
      <c r="GI31360" s="422"/>
    </row>
    <row r="31361" spans="191:191" x14ac:dyDescent="0.2">
      <c r="GI31361" s="422"/>
    </row>
    <row r="31362" spans="191:191" x14ac:dyDescent="0.2">
      <c r="GI31362" s="422"/>
    </row>
    <row r="31363" spans="191:191" x14ac:dyDescent="0.2">
      <c r="GI31363" s="422"/>
    </row>
    <row r="31364" spans="191:191" x14ac:dyDescent="0.2">
      <c r="GI31364" s="422"/>
    </row>
    <row r="31365" spans="191:191" x14ac:dyDescent="0.2">
      <c r="GI31365" s="422"/>
    </row>
    <row r="31366" spans="191:191" x14ac:dyDescent="0.2">
      <c r="GI31366" s="422"/>
    </row>
    <row r="31367" spans="191:191" x14ac:dyDescent="0.2">
      <c r="GI31367" s="422"/>
    </row>
    <row r="31368" spans="191:191" x14ac:dyDescent="0.2">
      <c r="GI31368" s="422"/>
    </row>
    <row r="31369" spans="191:191" x14ac:dyDescent="0.2">
      <c r="GI31369" s="422"/>
    </row>
    <row r="31370" spans="191:191" x14ac:dyDescent="0.2">
      <c r="GI31370" s="422"/>
    </row>
    <row r="31371" spans="191:191" x14ac:dyDescent="0.2">
      <c r="GI31371" s="422"/>
    </row>
    <row r="31372" spans="191:191" x14ac:dyDescent="0.2">
      <c r="GI31372" s="422"/>
    </row>
    <row r="31373" spans="191:191" x14ac:dyDescent="0.2">
      <c r="GI31373" s="422"/>
    </row>
    <row r="31374" spans="191:191" x14ac:dyDescent="0.2">
      <c r="GI31374" s="422"/>
    </row>
    <row r="31375" spans="191:191" x14ac:dyDescent="0.2">
      <c r="GI31375" s="422"/>
    </row>
    <row r="31376" spans="191:191" x14ac:dyDescent="0.2">
      <c r="GI31376" s="422"/>
    </row>
    <row r="31377" spans="191:191" x14ac:dyDescent="0.2">
      <c r="GI31377" s="422"/>
    </row>
    <row r="31378" spans="191:191" x14ac:dyDescent="0.2">
      <c r="GI31378" s="422"/>
    </row>
    <row r="31379" spans="191:191" x14ac:dyDescent="0.2">
      <c r="GI31379" s="422"/>
    </row>
    <row r="31380" spans="191:191" x14ac:dyDescent="0.2">
      <c r="GI31380" s="422"/>
    </row>
    <row r="31381" spans="191:191" x14ac:dyDescent="0.2">
      <c r="GI31381" s="422"/>
    </row>
    <row r="31382" spans="191:191" x14ac:dyDescent="0.2">
      <c r="GI31382" s="422"/>
    </row>
    <row r="31383" spans="191:191" x14ac:dyDescent="0.2">
      <c r="GI31383" s="422"/>
    </row>
    <row r="31384" spans="191:191" x14ac:dyDescent="0.2">
      <c r="GI31384" s="422"/>
    </row>
    <row r="31385" spans="191:191" x14ac:dyDescent="0.2">
      <c r="GI31385" s="422"/>
    </row>
    <row r="31386" spans="191:191" x14ac:dyDescent="0.2">
      <c r="GI31386" s="422"/>
    </row>
    <row r="31387" spans="191:191" x14ac:dyDescent="0.2">
      <c r="GI31387" s="422"/>
    </row>
    <row r="31388" spans="191:191" x14ac:dyDescent="0.2">
      <c r="GI31388" s="422"/>
    </row>
    <row r="31389" spans="191:191" x14ac:dyDescent="0.2">
      <c r="GI31389" s="422"/>
    </row>
    <row r="31390" spans="191:191" x14ac:dyDescent="0.2">
      <c r="GI31390" s="422"/>
    </row>
    <row r="31391" spans="191:191" x14ac:dyDescent="0.2">
      <c r="GI31391" s="422"/>
    </row>
    <row r="31392" spans="191:191" x14ac:dyDescent="0.2">
      <c r="GI31392" s="422"/>
    </row>
    <row r="31393" spans="191:191" x14ac:dyDescent="0.2">
      <c r="GI31393" s="422"/>
    </row>
    <row r="31394" spans="191:191" x14ac:dyDescent="0.2">
      <c r="GI31394" s="422"/>
    </row>
    <row r="31395" spans="191:191" x14ac:dyDescent="0.2">
      <c r="GI31395" s="422"/>
    </row>
    <row r="31396" spans="191:191" x14ac:dyDescent="0.2">
      <c r="GI31396" s="422"/>
    </row>
    <row r="31397" spans="191:191" x14ac:dyDescent="0.2">
      <c r="GI31397" s="422"/>
    </row>
    <row r="31398" spans="191:191" x14ac:dyDescent="0.2">
      <c r="GI31398" s="422"/>
    </row>
    <row r="31399" spans="191:191" x14ac:dyDescent="0.2">
      <c r="GI31399" s="422"/>
    </row>
    <row r="31400" spans="191:191" x14ac:dyDescent="0.2">
      <c r="GI31400" s="422"/>
    </row>
    <row r="31401" spans="191:191" x14ac:dyDescent="0.2">
      <c r="GI31401" s="422"/>
    </row>
    <row r="31402" spans="191:191" x14ac:dyDescent="0.2">
      <c r="GI31402" s="422"/>
    </row>
    <row r="31403" spans="191:191" x14ac:dyDescent="0.2">
      <c r="GI31403" s="422"/>
    </row>
    <row r="31404" spans="191:191" x14ac:dyDescent="0.2">
      <c r="GI31404" s="422"/>
    </row>
    <row r="31405" spans="191:191" x14ac:dyDescent="0.2">
      <c r="GI31405" s="422"/>
    </row>
    <row r="31406" spans="191:191" x14ac:dyDescent="0.2">
      <c r="GI31406" s="422"/>
    </row>
    <row r="31407" spans="191:191" x14ac:dyDescent="0.2">
      <c r="GI31407" s="422"/>
    </row>
    <row r="31408" spans="191:191" x14ac:dyDescent="0.2">
      <c r="GI31408" s="422"/>
    </row>
    <row r="31409" spans="191:191" x14ac:dyDescent="0.2">
      <c r="GI31409" s="422"/>
    </row>
    <row r="31410" spans="191:191" x14ac:dyDescent="0.2">
      <c r="GI31410" s="422"/>
    </row>
    <row r="31411" spans="191:191" x14ac:dyDescent="0.2">
      <c r="GI31411" s="422"/>
    </row>
    <row r="31412" spans="191:191" x14ac:dyDescent="0.2">
      <c r="GI31412" s="422"/>
    </row>
    <row r="31413" spans="191:191" x14ac:dyDescent="0.2">
      <c r="GI31413" s="422"/>
    </row>
    <row r="31414" spans="191:191" x14ac:dyDescent="0.2">
      <c r="GI31414" s="422"/>
    </row>
    <row r="31415" spans="191:191" x14ac:dyDescent="0.2">
      <c r="GI31415" s="422"/>
    </row>
    <row r="31416" spans="191:191" x14ac:dyDescent="0.2">
      <c r="GI31416" s="422"/>
    </row>
    <row r="31417" spans="191:191" x14ac:dyDescent="0.2">
      <c r="GI31417" s="422"/>
    </row>
    <row r="31418" spans="191:191" x14ac:dyDescent="0.2">
      <c r="GI31418" s="422"/>
    </row>
    <row r="31419" spans="191:191" x14ac:dyDescent="0.2">
      <c r="GI31419" s="422"/>
    </row>
    <row r="31420" spans="191:191" x14ac:dyDescent="0.2">
      <c r="GI31420" s="422"/>
    </row>
    <row r="31421" spans="191:191" x14ac:dyDescent="0.2">
      <c r="GI31421" s="422"/>
    </row>
    <row r="31422" spans="191:191" x14ac:dyDescent="0.2">
      <c r="GI31422" s="422"/>
    </row>
    <row r="31423" spans="191:191" x14ac:dyDescent="0.2">
      <c r="GI31423" s="422"/>
    </row>
    <row r="31424" spans="191:191" x14ac:dyDescent="0.2">
      <c r="GI31424" s="422"/>
    </row>
    <row r="31425" spans="191:191" x14ac:dyDescent="0.2">
      <c r="GI31425" s="422"/>
    </row>
    <row r="31426" spans="191:191" x14ac:dyDescent="0.2">
      <c r="GI31426" s="422"/>
    </row>
    <row r="31427" spans="191:191" x14ac:dyDescent="0.2">
      <c r="GI31427" s="422"/>
    </row>
    <row r="31428" spans="191:191" x14ac:dyDescent="0.2">
      <c r="GI31428" s="422"/>
    </row>
    <row r="31429" spans="191:191" x14ac:dyDescent="0.2">
      <c r="GI31429" s="422"/>
    </row>
    <row r="31430" spans="191:191" x14ac:dyDescent="0.2">
      <c r="GI31430" s="422"/>
    </row>
    <row r="31431" spans="191:191" x14ac:dyDescent="0.2">
      <c r="GI31431" s="422"/>
    </row>
    <row r="31432" spans="191:191" x14ac:dyDescent="0.2">
      <c r="GI31432" s="422"/>
    </row>
    <row r="31433" spans="191:191" x14ac:dyDescent="0.2">
      <c r="GI31433" s="422"/>
    </row>
    <row r="31434" spans="191:191" x14ac:dyDescent="0.2">
      <c r="GI31434" s="422"/>
    </row>
    <row r="31435" spans="191:191" x14ac:dyDescent="0.2">
      <c r="GI31435" s="422"/>
    </row>
    <row r="31436" spans="191:191" x14ac:dyDescent="0.2">
      <c r="GI31436" s="422"/>
    </row>
    <row r="31437" spans="191:191" x14ac:dyDescent="0.2">
      <c r="GI31437" s="422"/>
    </row>
    <row r="31438" spans="191:191" x14ac:dyDescent="0.2">
      <c r="GI31438" s="422"/>
    </row>
    <row r="31439" spans="191:191" x14ac:dyDescent="0.2">
      <c r="GI31439" s="422"/>
    </row>
    <row r="31440" spans="191:191" x14ac:dyDescent="0.2">
      <c r="GI31440" s="422"/>
    </row>
    <row r="31441" spans="191:191" x14ac:dyDescent="0.2">
      <c r="GI31441" s="422"/>
    </row>
    <row r="31442" spans="191:191" x14ac:dyDescent="0.2">
      <c r="GI31442" s="422"/>
    </row>
    <row r="31443" spans="191:191" x14ac:dyDescent="0.2">
      <c r="GI31443" s="422"/>
    </row>
    <row r="31444" spans="191:191" x14ac:dyDescent="0.2">
      <c r="GI31444" s="422"/>
    </row>
    <row r="31445" spans="191:191" x14ac:dyDescent="0.2">
      <c r="GI31445" s="422"/>
    </row>
    <row r="31446" spans="191:191" x14ac:dyDescent="0.2">
      <c r="GI31446" s="422"/>
    </row>
    <row r="31447" spans="191:191" x14ac:dyDescent="0.2">
      <c r="GI31447" s="422"/>
    </row>
    <row r="31448" spans="191:191" x14ac:dyDescent="0.2">
      <c r="GI31448" s="422"/>
    </row>
    <row r="31449" spans="191:191" x14ac:dyDescent="0.2">
      <c r="GI31449" s="422"/>
    </row>
    <row r="31450" spans="191:191" x14ac:dyDescent="0.2">
      <c r="GI31450" s="422"/>
    </row>
    <row r="31451" spans="191:191" x14ac:dyDescent="0.2">
      <c r="GI31451" s="422"/>
    </row>
    <row r="31452" spans="191:191" x14ac:dyDescent="0.2">
      <c r="GI31452" s="422"/>
    </row>
    <row r="31453" spans="191:191" x14ac:dyDescent="0.2">
      <c r="GI31453" s="422"/>
    </row>
    <row r="31454" spans="191:191" x14ac:dyDescent="0.2">
      <c r="GI31454" s="422"/>
    </row>
    <row r="31455" spans="191:191" x14ac:dyDescent="0.2">
      <c r="GI31455" s="422"/>
    </row>
    <row r="31456" spans="191:191" x14ac:dyDescent="0.2">
      <c r="GI31456" s="422"/>
    </row>
    <row r="31457" spans="191:191" x14ac:dyDescent="0.2">
      <c r="GI31457" s="422"/>
    </row>
    <row r="31458" spans="191:191" x14ac:dyDescent="0.2">
      <c r="GI31458" s="422"/>
    </row>
    <row r="31459" spans="191:191" x14ac:dyDescent="0.2">
      <c r="GI31459" s="422"/>
    </row>
    <row r="31460" spans="191:191" x14ac:dyDescent="0.2">
      <c r="GI31460" s="422"/>
    </row>
    <row r="31461" spans="191:191" x14ac:dyDescent="0.2">
      <c r="GI31461" s="422"/>
    </row>
    <row r="31462" spans="191:191" x14ac:dyDescent="0.2">
      <c r="GI31462" s="422"/>
    </row>
    <row r="31463" spans="191:191" x14ac:dyDescent="0.2">
      <c r="GI31463" s="422"/>
    </row>
    <row r="31464" spans="191:191" x14ac:dyDescent="0.2">
      <c r="GI31464" s="422"/>
    </row>
    <row r="31465" spans="191:191" x14ac:dyDescent="0.2">
      <c r="GI31465" s="422"/>
    </row>
    <row r="31466" spans="191:191" x14ac:dyDescent="0.2">
      <c r="GI31466" s="422"/>
    </row>
    <row r="31467" spans="191:191" x14ac:dyDescent="0.2">
      <c r="GI31467" s="422"/>
    </row>
    <row r="31468" spans="191:191" x14ac:dyDescent="0.2">
      <c r="GI31468" s="422"/>
    </row>
    <row r="31469" spans="191:191" x14ac:dyDescent="0.2">
      <c r="GI31469" s="422"/>
    </row>
    <row r="31470" spans="191:191" x14ac:dyDescent="0.2">
      <c r="GI31470" s="422"/>
    </row>
    <row r="31471" spans="191:191" x14ac:dyDescent="0.2">
      <c r="GI31471" s="422"/>
    </row>
    <row r="31472" spans="191:191" x14ac:dyDescent="0.2">
      <c r="GI31472" s="422"/>
    </row>
    <row r="31473" spans="191:191" x14ac:dyDescent="0.2">
      <c r="GI31473" s="422"/>
    </row>
    <row r="31474" spans="191:191" x14ac:dyDescent="0.2">
      <c r="GI31474" s="422"/>
    </row>
    <row r="31475" spans="191:191" x14ac:dyDescent="0.2">
      <c r="GI31475" s="422"/>
    </row>
    <row r="31476" spans="191:191" x14ac:dyDescent="0.2">
      <c r="GI31476" s="422"/>
    </row>
    <row r="31477" spans="191:191" x14ac:dyDescent="0.2">
      <c r="GI31477" s="422"/>
    </row>
    <row r="31478" spans="191:191" x14ac:dyDescent="0.2">
      <c r="GI31478" s="422"/>
    </row>
    <row r="31479" spans="191:191" x14ac:dyDescent="0.2">
      <c r="GI31479" s="422"/>
    </row>
    <row r="31480" spans="191:191" x14ac:dyDescent="0.2">
      <c r="GI31480" s="422"/>
    </row>
    <row r="31481" spans="191:191" x14ac:dyDescent="0.2">
      <c r="GI31481" s="422"/>
    </row>
    <row r="31482" spans="191:191" x14ac:dyDescent="0.2">
      <c r="GI31482" s="422"/>
    </row>
    <row r="31483" spans="191:191" x14ac:dyDescent="0.2">
      <c r="GI31483" s="422"/>
    </row>
    <row r="31484" spans="191:191" x14ac:dyDescent="0.2">
      <c r="GI31484" s="422"/>
    </row>
    <row r="31485" spans="191:191" x14ac:dyDescent="0.2">
      <c r="GI31485" s="422"/>
    </row>
    <row r="31486" spans="191:191" x14ac:dyDescent="0.2">
      <c r="GI31486" s="422"/>
    </row>
    <row r="31487" spans="191:191" x14ac:dyDescent="0.2">
      <c r="GI31487" s="422"/>
    </row>
    <row r="31488" spans="191:191" x14ac:dyDescent="0.2">
      <c r="GI31488" s="422"/>
    </row>
    <row r="31489" spans="191:191" x14ac:dyDescent="0.2">
      <c r="GI31489" s="422"/>
    </row>
    <row r="31490" spans="191:191" x14ac:dyDescent="0.2">
      <c r="GI31490" s="422"/>
    </row>
    <row r="31491" spans="191:191" x14ac:dyDescent="0.2">
      <c r="GI31491" s="422"/>
    </row>
    <row r="31492" spans="191:191" x14ac:dyDescent="0.2">
      <c r="GI31492" s="422"/>
    </row>
    <row r="31493" spans="191:191" x14ac:dyDescent="0.2">
      <c r="GI31493" s="422"/>
    </row>
    <row r="31494" spans="191:191" x14ac:dyDescent="0.2">
      <c r="GI31494" s="422"/>
    </row>
    <row r="31495" spans="191:191" x14ac:dyDescent="0.2">
      <c r="GI31495" s="422"/>
    </row>
    <row r="31496" spans="191:191" x14ac:dyDescent="0.2">
      <c r="GI31496" s="422"/>
    </row>
    <row r="31497" spans="191:191" x14ac:dyDescent="0.2">
      <c r="GI31497" s="422"/>
    </row>
    <row r="31498" spans="191:191" x14ac:dyDescent="0.2">
      <c r="GI31498" s="422"/>
    </row>
    <row r="31499" spans="191:191" x14ac:dyDescent="0.2">
      <c r="GI31499" s="422"/>
    </row>
    <row r="31500" spans="191:191" x14ac:dyDescent="0.2">
      <c r="GI31500" s="422"/>
    </row>
    <row r="31501" spans="191:191" x14ac:dyDescent="0.2">
      <c r="GI31501" s="422"/>
    </row>
    <row r="31502" spans="191:191" x14ac:dyDescent="0.2">
      <c r="GI31502" s="422"/>
    </row>
    <row r="31503" spans="191:191" x14ac:dyDescent="0.2">
      <c r="GI31503" s="422"/>
    </row>
    <row r="31504" spans="191:191" x14ac:dyDescent="0.2">
      <c r="GI31504" s="422"/>
    </row>
    <row r="31505" spans="191:191" x14ac:dyDescent="0.2">
      <c r="GI31505" s="422"/>
    </row>
    <row r="31506" spans="191:191" x14ac:dyDescent="0.2">
      <c r="GI31506" s="422"/>
    </row>
    <row r="31507" spans="191:191" x14ac:dyDescent="0.2">
      <c r="GI31507" s="422"/>
    </row>
    <row r="31508" spans="191:191" x14ac:dyDescent="0.2">
      <c r="GI31508" s="422"/>
    </row>
    <row r="31509" spans="191:191" x14ac:dyDescent="0.2">
      <c r="GI31509" s="422"/>
    </row>
    <row r="31510" spans="191:191" x14ac:dyDescent="0.2">
      <c r="GI31510" s="422"/>
    </row>
    <row r="31511" spans="191:191" x14ac:dyDescent="0.2">
      <c r="GI31511" s="422"/>
    </row>
    <row r="31512" spans="191:191" x14ac:dyDescent="0.2">
      <c r="GI31512" s="422"/>
    </row>
    <row r="31513" spans="191:191" x14ac:dyDescent="0.2">
      <c r="GI31513" s="422"/>
    </row>
    <row r="31514" spans="191:191" x14ac:dyDescent="0.2">
      <c r="GI31514" s="422"/>
    </row>
    <row r="31515" spans="191:191" x14ac:dyDescent="0.2">
      <c r="GI31515" s="422"/>
    </row>
    <row r="31516" spans="191:191" x14ac:dyDescent="0.2">
      <c r="GI31516" s="422"/>
    </row>
    <row r="31517" spans="191:191" x14ac:dyDescent="0.2">
      <c r="GI31517" s="422"/>
    </row>
    <row r="31518" spans="191:191" x14ac:dyDescent="0.2">
      <c r="GI31518" s="422"/>
    </row>
    <row r="31519" spans="191:191" x14ac:dyDescent="0.2">
      <c r="GI31519" s="422"/>
    </row>
    <row r="31520" spans="191:191" x14ac:dyDescent="0.2">
      <c r="GI31520" s="422"/>
    </row>
    <row r="31521" spans="191:191" x14ac:dyDescent="0.2">
      <c r="GI31521" s="422"/>
    </row>
    <row r="31522" spans="191:191" x14ac:dyDescent="0.2">
      <c r="GI31522" s="422"/>
    </row>
    <row r="31523" spans="191:191" x14ac:dyDescent="0.2">
      <c r="GI31523" s="422"/>
    </row>
    <row r="31524" spans="191:191" x14ac:dyDescent="0.2">
      <c r="GI31524" s="422"/>
    </row>
    <row r="31525" spans="191:191" x14ac:dyDescent="0.2">
      <c r="GI31525" s="422"/>
    </row>
    <row r="31526" spans="191:191" x14ac:dyDescent="0.2">
      <c r="GI31526" s="422"/>
    </row>
    <row r="31527" spans="191:191" x14ac:dyDescent="0.2">
      <c r="GI31527" s="422"/>
    </row>
    <row r="31528" spans="191:191" x14ac:dyDescent="0.2">
      <c r="GI31528" s="422"/>
    </row>
    <row r="31529" spans="191:191" x14ac:dyDescent="0.2">
      <c r="GI31529" s="422"/>
    </row>
    <row r="31530" spans="191:191" x14ac:dyDescent="0.2">
      <c r="GI31530" s="422"/>
    </row>
    <row r="31531" spans="191:191" x14ac:dyDescent="0.2">
      <c r="GI31531" s="422"/>
    </row>
    <row r="31532" spans="191:191" x14ac:dyDescent="0.2">
      <c r="GI31532" s="422"/>
    </row>
    <row r="31533" spans="191:191" x14ac:dyDescent="0.2">
      <c r="GI31533" s="422"/>
    </row>
    <row r="31534" spans="191:191" x14ac:dyDescent="0.2">
      <c r="GI31534" s="422"/>
    </row>
    <row r="31535" spans="191:191" x14ac:dyDescent="0.2">
      <c r="GI31535" s="422"/>
    </row>
    <row r="31536" spans="191:191" x14ac:dyDescent="0.2">
      <c r="GI31536" s="422"/>
    </row>
    <row r="31537" spans="191:191" x14ac:dyDescent="0.2">
      <c r="GI31537" s="422"/>
    </row>
    <row r="31538" spans="191:191" x14ac:dyDescent="0.2">
      <c r="GI31538" s="422"/>
    </row>
    <row r="31539" spans="191:191" x14ac:dyDescent="0.2">
      <c r="GI31539" s="422"/>
    </row>
    <row r="31540" spans="191:191" x14ac:dyDescent="0.2">
      <c r="GI31540" s="422"/>
    </row>
    <row r="31541" spans="191:191" x14ac:dyDescent="0.2">
      <c r="GI31541" s="422"/>
    </row>
    <row r="31542" spans="191:191" x14ac:dyDescent="0.2">
      <c r="GI31542" s="422"/>
    </row>
    <row r="31543" spans="191:191" x14ac:dyDescent="0.2">
      <c r="GI31543" s="422"/>
    </row>
    <row r="31544" spans="191:191" x14ac:dyDescent="0.2">
      <c r="GI31544" s="422"/>
    </row>
    <row r="31545" spans="191:191" x14ac:dyDescent="0.2">
      <c r="GI31545" s="422"/>
    </row>
    <row r="31546" spans="191:191" x14ac:dyDescent="0.2">
      <c r="GI31546" s="422"/>
    </row>
    <row r="31547" spans="191:191" x14ac:dyDescent="0.2">
      <c r="GI31547" s="422"/>
    </row>
    <row r="31548" spans="191:191" x14ac:dyDescent="0.2">
      <c r="GI31548" s="422"/>
    </row>
    <row r="31549" spans="191:191" x14ac:dyDescent="0.2">
      <c r="GI31549" s="422"/>
    </row>
    <row r="31550" spans="191:191" x14ac:dyDescent="0.2">
      <c r="GI31550" s="422"/>
    </row>
    <row r="31551" spans="191:191" x14ac:dyDescent="0.2">
      <c r="GI31551" s="422"/>
    </row>
    <row r="31552" spans="191:191" x14ac:dyDescent="0.2">
      <c r="GI31552" s="422"/>
    </row>
    <row r="31553" spans="191:191" x14ac:dyDescent="0.2">
      <c r="GI31553" s="422"/>
    </row>
    <row r="31554" spans="191:191" x14ac:dyDescent="0.2">
      <c r="GI31554" s="422"/>
    </row>
    <row r="31555" spans="191:191" x14ac:dyDescent="0.2">
      <c r="GI31555" s="422"/>
    </row>
    <row r="31556" spans="191:191" x14ac:dyDescent="0.2">
      <c r="GI31556" s="422"/>
    </row>
    <row r="31557" spans="191:191" x14ac:dyDescent="0.2">
      <c r="GI31557" s="422"/>
    </row>
    <row r="31558" spans="191:191" x14ac:dyDescent="0.2">
      <c r="GI31558" s="422"/>
    </row>
    <row r="31559" spans="191:191" x14ac:dyDescent="0.2">
      <c r="GI31559" s="422"/>
    </row>
    <row r="31560" spans="191:191" x14ac:dyDescent="0.2">
      <c r="GI31560" s="422"/>
    </row>
    <row r="31561" spans="191:191" x14ac:dyDescent="0.2">
      <c r="GI31561" s="422"/>
    </row>
    <row r="31562" spans="191:191" x14ac:dyDescent="0.2">
      <c r="GI31562" s="422"/>
    </row>
    <row r="31563" spans="191:191" x14ac:dyDescent="0.2">
      <c r="GI31563" s="422"/>
    </row>
    <row r="31564" spans="191:191" x14ac:dyDescent="0.2">
      <c r="GI31564" s="422"/>
    </row>
    <row r="31565" spans="191:191" x14ac:dyDescent="0.2">
      <c r="GI31565" s="422"/>
    </row>
    <row r="31566" spans="191:191" x14ac:dyDescent="0.2">
      <c r="GI31566" s="422"/>
    </row>
    <row r="31567" spans="191:191" x14ac:dyDescent="0.2">
      <c r="GI31567" s="422"/>
    </row>
    <row r="31568" spans="191:191" x14ac:dyDescent="0.2">
      <c r="GI31568" s="422"/>
    </row>
    <row r="31569" spans="191:191" x14ac:dyDescent="0.2">
      <c r="GI31569" s="422"/>
    </row>
    <row r="31570" spans="191:191" x14ac:dyDescent="0.2">
      <c r="GI31570" s="422"/>
    </row>
    <row r="31571" spans="191:191" x14ac:dyDescent="0.2">
      <c r="GI31571" s="422"/>
    </row>
    <row r="31572" spans="191:191" x14ac:dyDescent="0.2">
      <c r="GI31572" s="422"/>
    </row>
    <row r="31573" spans="191:191" x14ac:dyDescent="0.2">
      <c r="GI31573" s="422"/>
    </row>
    <row r="31574" spans="191:191" x14ac:dyDescent="0.2">
      <c r="GI31574" s="422"/>
    </row>
    <row r="31575" spans="191:191" x14ac:dyDescent="0.2">
      <c r="GI31575" s="422"/>
    </row>
    <row r="31576" spans="191:191" x14ac:dyDescent="0.2">
      <c r="GI31576" s="422"/>
    </row>
    <row r="31577" spans="191:191" x14ac:dyDescent="0.2">
      <c r="GI31577" s="422"/>
    </row>
    <row r="31578" spans="191:191" x14ac:dyDescent="0.2">
      <c r="GI31578" s="422"/>
    </row>
    <row r="31579" spans="191:191" x14ac:dyDescent="0.2">
      <c r="GI31579" s="422"/>
    </row>
    <row r="31580" spans="191:191" x14ac:dyDescent="0.2">
      <c r="GI31580" s="422"/>
    </row>
    <row r="31581" spans="191:191" x14ac:dyDescent="0.2">
      <c r="GI31581" s="422"/>
    </row>
    <row r="31582" spans="191:191" x14ac:dyDescent="0.2">
      <c r="GI31582" s="422"/>
    </row>
    <row r="31583" spans="191:191" x14ac:dyDescent="0.2">
      <c r="GI31583" s="422"/>
    </row>
    <row r="31584" spans="191:191" x14ac:dyDescent="0.2">
      <c r="GI31584" s="422"/>
    </row>
    <row r="31585" spans="191:191" x14ac:dyDescent="0.2">
      <c r="GI31585" s="422"/>
    </row>
    <row r="31586" spans="191:191" x14ac:dyDescent="0.2">
      <c r="GI31586" s="422"/>
    </row>
    <row r="31587" spans="191:191" x14ac:dyDescent="0.2">
      <c r="GI31587" s="422"/>
    </row>
    <row r="31588" spans="191:191" x14ac:dyDescent="0.2">
      <c r="GI31588" s="422"/>
    </row>
    <row r="31589" spans="191:191" x14ac:dyDescent="0.2">
      <c r="GI31589" s="422"/>
    </row>
    <row r="31590" spans="191:191" x14ac:dyDescent="0.2">
      <c r="GI31590" s="422"/>
    </row>
    <row r="31591" spans="191:191" x14ac:dyDescent="0.2">
      <c r="GI31591" s="422"/>
    </row>
    <row r="31592" spans="191:191" x14ac:dyDescent="0.2">
      <c r="GI31592" s="422"/>
    </row>
    <row r="31593" spans="191:191" x14ac:dyDescent="0.2">
      <c r="GI31593" s="422"/>
    </row>
    <row r="31594" spans="191:191" x14ac:dyDescent="0.2">
      <c r="GI31594" s="422"/>
    </row>
    <row r="31595" spans="191:191" x14ac:dyDescent="0.2">
      <c r="GI31595" s="422"/>
    </row>
    <row r="31596" spans="191:191" x14ac:dyDescent="0.2">
      <c r="GI31596" s="422"/>
    </row>
    <row r="31597" spans="191:191" x14ac:dyDescent="0.2">
      <c r="GI31597" s="422"/>
    </row>
    <row r="31598" spans="191:191" x14ac:dyDescent="0.2">
      <c r="GI31598" s="422"/>
    </row>
    <row r="31599" spans="191:191" x14ac:dyDescent="0.2">
      <c r="GI31599" s="422"/>
    </row>
    <row r="31600" spans="191:191" x14ac:dyDescent="0.2">
      <c r="GI31600" s="422"/>
    </row>
    <row r="31601" spans="191:191" x14ac:dyDescent="0.2">
      <c r="GI31601" s="422"/>
    </row>
    <row r="31602" spans="191:191" x14ac:dyDescent="0.2">
      <c r="GI31602" s="422"/>
    </row>
    <row r="31603" spans="191:191" x14ac:dyDescent="0.2">
      <c r="GI31603" s="422"/>
    </row>
    <row r="31604" spans="191:191" x14ac:dyDescent="0.2">
      <c r="GI31604" s="422"/>
    </row>
    <row r="31605" spans="191:191" x14ac:dyDescent="0.2">
      <c r="GI31605" s="422"/>
    </row>
    <row r="31606" spans="191:191" x14ac:dyDescent="0.2">
      <c r="GI31606" s="422"/>
    </row>
    <row r="31607" spans="191:191" x14ac:dyDescent="0.2">
      <c r="GI31607" s="422"/>
    </row>
    <row r="31608" spans="191:191" x14ac:dyDescent="0.2">
      <c r="GI31608" s="422"/>
    </row>
    <row r="31609" spans="191:191" x14ac:dyDescent="0.2">
      <c r="GI31609" s="422"/>
    </row>
    <row r="31610" spans="191:191" x14ac:dyDescent="0.2">
      <c r="GI31610" s="422"/>
    </row>
    <row r="31611" spans="191:191" x14ac:dyDescent="0.2">
      <c r="GI31611" s="422"/>
    </row>
    <row r="31612" spans="191:191" x14ac:dyDescent="0.2">
      <c r="GI31612" s="422"/>
    </row>
    <row r="31613" spans="191:191" x14ac:dyDescent="0.2">
      <c r="GI31613" s="422"/>
    </row>
    <row r="31614" spans="191:191" x14ac:dyDescent="0.2">
      <c r="GI31614" s="422"/>
    </row>
    <row r="31615" spans="191:191" x14ac:dyDescent="0.2">
      <c r="GI31615" s="422"/>
    </row>
    <row r="31616" spans="191:191" x14ac:dyDescent="0.2">
      <c r="GI31616" s="422"/>
    </row>
    <row r="31617" spans="191:191" x14ac:dyDescent="0.2">
      <c r="GI31617" s="422"/>
    </row>
    <row r="31618" spans="191:191" x14ac:dyDescent="0.2">
      <c r="GI31618" s="422"/>
    </row>
    <row r="31619" spans="191:191" x14ac:dyDescent="0.2">
      <c r="GI31619" s="422"/>
    </row>
    <row r="31620" spans="191:191" x14ac:dyDescent="0.2">
      <c r="GI31620" s="422"/>
    </row>
    <row r="31621" spans="191:191" x14ac:dyDescent="0.2">
      <c r="GI31621" s="422"/>
    </row>
    <row r="31622" spans="191:191" x14ac:dyDescent="0.2">
      <c r="GI31622" s="422"/>
    </row>
    <row r="31623" spans="191:191" x14ac:dyDescent="0.2">
      <c r="GI31623" s="422"/>
    </row>
    <row r="31624" spans="191:191" x14ac:dyDescent="0.2">
      <c r="GI31624" s="422"/>
    </row>
    <row r="31625" spans="191:191" x14ac:dyDescent="0.2">
      <c r="GI31625" s="422"/>
    </row>
    <row r="31626" spans="191:191" x14ac:dyDescent="0.2">
      <c r="GI31626" s="422"/>
    </row>
    <row r="31627" spans="191:191" x14ac:dyDescent="0.2">
      <c r="GI31627" s="422"/>
    </row>
    <row r="31628" spans="191:191" x14ac:dyDescent="0.2">
      <c r="GI31628" s="422"/>
    </row>
    <row r="31629" spans="191:191" x14ac:dyDescent="0.2">
      <c r="GI31629" s="422"/>
    </row>
    <row r="31630" spans="191:191" x14ac:dyDescent="0.2">
      <c r="GI31630" s="422"/>
    </row>
    <row r="31631" spans="191:191" x14ac:dyDescent="0.2">
      <c r="GI31631" s="422"/>
    </row>
    <row r="31632" spans="191:191" x14ac:dyDescent="0.2">
      <c r="GI31632" s="422"/>
    </row>
    <row r="31633" spans="191:191" x14ac:dyDescent="0.2">
      <c r="GI31633" s="422"/>
    </row>
    <row r="31634" spans="191:191" x14ac:dyDescent="0.2">
      <c r="GI31634" s="422"/>
    </row>
    <row r="31635" spans="191:191" x14ac:dyDescent="0.2">
      <c r="GI31635" s="422"/>
    </row>
    <row r="31636" spans="191:191" x14ac:dyDescent="0.2">
      <c r="GI31636" s="422"/>
    </row>
    <row r="31637" spans="191:191" x14ac:dyDescent="0.2">
      <c r="GI31637" s="422"/>
    </row>
    <row r="31638" spans="191:191" x14ac:dyDescent="0.2">
      <c r="GI31638" s="422"/>
    </row>
    <row r="31639" spans="191:191" x14ac:dyDescent="0.2">
      <c r="GI31639" s="422"/>
    </row>
    <row r="31640" spans="191:191" x14ac:dyDescent="0.2">
      <c r="GI31640" s="422"/>
    </row>
    <row r="31641" spans="191:191" x14ac:dyDescent="0.2">
      <c r="GI31641" s="422"/>
    </row>
    <row r="31642" spans="191:191" x14ac:dyDescent="0.2">
      <c r="GI31642" s="422"/>
    </row>
    <row r="31643" spans="191:191" x14ac:dyDescent="0.2">
      <c r="GI31643" s="422"/>
    </row>
    <row r="31644" spans="191:191" x14ac:dyDescent="0.2">
      <c r="GI31644" s="422"/>
    </row>
    <row r="31645" spans="191:191" x14ac:dyDescent="0.2">
      <c r="GI31645" s="422"/>
    </row>
    <row r="31646" spans="191:191" x14ac:dyDescent="0.2">
      <c r="GI31646" s="422"/>
    </row>
    <row r="31647" spans="191:191" x14ac:dyDescent="0.2">
      <c r="GI31647" s="422"/>
    </row>
    <row r="31648" spans="191:191" x14ac:dyDescent="0.2">
      <c r="GI31648" s="422"/>
    </row>
    <row r="31649" spans="191:191" x14ac:dyDescent="0.2">
      <c r="GI31649" s="422"/>
    </row>
    <row r="31650" spans="191:191" x14ac:dyDescent="0.2">
      <c r="GI31650" s="422"/>
    </row>
    <row r="31651" spans="191:191" x14ac:dyDescent="0.2">
      <c r="GI31651" s="422"/>
    </row>
    <row r="31652" spans="191:191" x14ac:dyDescent="0.2">
      <c r="GI31652" s="422"/>
    </row>
    <row r="31653" spans="191:191" x14ac:dyDescent="0.2">
      <c r="GI31653" s="422"/>
    </row>
    <row r="31654" spans="191:191" x14ac:dyDescent="0.2">
      <c r="GI31654" s="422"/>
    </row>
    <row r="31655" spans="191:191" x14ac:dyDescent="0.2">
      <c r="GI31655" s="422"/>
    </row>
    <row r="31656" spans="191:191" x14ac:dyDescent="0.2">
      <c r="GI31656" s="422"/>
    </row>
    <row r="31657" spans="191:191" x14ac:dyDescent="0.2">
      <c r="GI31657" s="422"/>
    </row>
    <row r="31658" spans="191:191" x14ac:dyDescent="0.2">
      <c r="GI31658" s="422"/>
    </row>
    <row r="31659" spans="191:191" x14ac:dyDescent="0.2">
      <c r="GI31659" s="422"/>
    </row>
    <row r="31660" spans="191:191" x14ac:dyDescent="0.2">
      <c r="GI31660" s="422"/>
    </row>
    <row r="31661" spans="191:191" x14ac:dyDescent="0.2">
      <c r="GI31661" s="422"/>
    </row>
    <row r="31662" spans="191:191" x14ac:dyDescent="0.2">
      <c r="GI31662" s="422"/>
    </row>
    <row r="31663" spans="191:191" x14ac:dyDescent="0.2">
      <c r="GI31663" s="422"/>
    </row>
    <row r="31664" spans="191:191" x14ac:dyDescent="0.2">
      <c r="GI31664" s="422"/>
    </row>
    <row r="31665" spans="191:191" x14ac:dyDescent="0.2">
      <c r="GI31665" s="422"/>
    </row>
    <row r="31666" spans="191:191" x14ac:dyDescent="0.2">
      <c r="GI31666" s="422"/>
    </row>
    <row r="31667" spans="191:191" x14ac:dyDescent="0.2">
      <c r="GI31667" s="422"/>
    </row>
    <row r="31668" spans="191:191" x14ac:dyDescent="0.2">
      <c r="GI31668" s="422"/>
    </row>
    <row r="31669" spans="191:191" x14ac:dyDescent="0.2">
      <c r="GI31669" s="422"/>
    </row>
    <row r="31670" spans="191:191" x14ac:dyDescent="0.2">
      <c r="GI31670" s="422"/>
    </row>
    <row r="31671" spans="191:191" x14ac:dyDescent="0.2">
      <c r="GI31671" s="422"/>
    </row>
    <row r="31672" spans="191:191" x14ac:dyDescent="0.2">
      <c r="GI31672" s="422"/>
    </row>
    <row r="31673" spans="191:191" x14ac:dyDescent="0.2">
      <c r="GI31673" s="422"/>
    </row>
    <row r="31674" spans="191:191" x14ac:dyDescent="0.2">
      <c r="GI31674" s="422"/>
    </row>
    <row r="31675" spans="191:191" x14ac:dyDescent="0.2">
      <c r="GI31675" s="422"/>
    </row>
    <row r="31676" spans="191:191" x14ac:dyDescent="0.2">
      <c r="GI31676" s="422"/>
    </row>
    <row r="31677" spans="191:191" x14ac:dyDescent="0.2">
      <c r="GI31677" s="422"/>
    </row>
    <row r="31678" spans="191:191" x14ac:dyDescent="0.2">
      <c r="GI31678" s="422"/>
    </row>
    <row r="31679" spans="191:191" x14ac:dyDescent="0.2">
      <c r="GI31679" s="422"/>
    </row>
    <row r="31680" spans="191:191" x14ac:dyDescent="0.2">
      <c r="GI31680" s="422"/>
    </row>
    <row r="31681" spans="191:191" x14ac:dyDescent="0.2">
      <c r="GI31681" s="422"/>
    </row>
    <row r="31682" spans="191:191" x14ac:dyDescent="0.2">
      <c r="GI31682" s="422"/>
    </row>
    <row r="31683" spans="191:191" x14ac:dyDescent="0.2">
      <c r="GI31683" s="422"/>
    </row>
    <row r="31684" spans="191:191" x14ac:dyDescent="0.2">
      <c r="GI31684" s="422"/>
    </row>
    <row r="31685" spans="191:191" x14ac:dyDescent="0.2">
      <c r="GI31685" s="422"/>
    </row>
    <row r="31686" spans="191:191" x14ac:dyDescent="0.2">
      <c r="GI31686" s="422"/>
    </row>
    <row r="31687" spans="191:191" x14ac:dyDescent="0.2">
      <c r="GI31687" s="422"/>
    </row>
    <row r="31688" spans="191:191" x14ac:dyDescent="0.2">
      <c r="GI31688" s="422"/>
    </row>
    <row r="31689" spans="191:191" x14ac:dyDescent="0.2">
      <c r="GI31689" s="422"/>
    </row>
    <row r="31690" spans="191:191" x14ac:dyDescent="0.2">
      <c r="GI31690" s="422"/>
    </row>
    <row r="31691" spans="191:191" x14ac:dyDescent="0.2">
      <c r="GI31691" s="422"/>
    </row>
    <row r="31692" spans="191:191" x14ac:dyDescent="0.2">
      <c r="GI31692" s="422"/>
    </row>
    <row r="31693" spans="191:191" x14ac:dyDescent="0.2">
      <c r="GI31693" s="422"/>
    </row>
    <row r="31694" spans="191:191" x14ac:dyDescent="0.2">
      <c r="GI31694" s="422"/>
    </row>
    <row r="31695" spans="191:191" x14ac:dyDescent="0.2">
      <c r="GI31695" s="422"/>
    </row>
    <row r="31696" spans="191:191" x14ac:dyDescent="0.2">
      <c r="GI31696" s="422"/>
    </row>
    <row r="31697" spans="191:191" x14ac:dyDescent="0.2">
      <c r="GI31697" s="422"/>
    </row>
    <row r="31698" spans="191:191" x14ac:dyDescent="0.2">
      <c r="GI31698" s="422"/>
    </row>
    <row r="31699" spans="191:191" x14ac:dyDescent="0.2">
      <c r="GI31699" s="422"/>
    </row>
    <row r="31700" spans="191:191" x14ac:dyDescent="0.2">
      <c r="GI31700" s="422"/>
    </row>
    <row r="31701" spans="191:191" x14ac:dyDescent="0.2">
      <c r="GI31701" s="422"/>
    </row>
    <row r="31702" spans="191:191" x14ac:dyDescent="0.2">
      <c r="GI31702" s="422"/>
    </row>
    <row r="31703" spans="191:191" x14ac:dyDescent="0.2">
      <c r="GI31703" s="422"/>
    </row>
    <row r="31704" spans="191:191" x14ac:dyDescent="0.2">
      <c r="GI31704" s="422"/>
    </row>
    <row r="31705" spans="191:191" x14ac:dyDescent="0.2">
      <c r="GI31705" s="422"/>
    </row>
    <row r="31706" spans="191:191" x14ac:dyDescent="0.2">
      <c r="GI31706" s="422"/>
    </row>
    <row r="31707" spans="191:191" x14ac:dyDescent="0.2">
      <c r="GI31707" s="422"/>
    </row>
    <row r="31708" spans="191:191" x14ac:dyDescent="0.2">
      <c r="GI31708" s="422"/>
    </row>
    <row r="31709" spans="191:191" x14ac:dyDescent="0.2">
      <c r="GI31709" s="422"/>
    </row>
    <row r="31710" spans="191:191" x14ac:dyDescent="0.2">
      <c r="GI31710" s="422"/>
    </row>
    <row r="31711" spans="191:191" x14ac:dyDescent="0.2">
      <c r="GI31711" s="422"/>
    </row>
    <row r="31712" spans="191:191" x14ac:dyDescent="0.2">
      <c r="GI31712" s="422"/>
    </row>
    <row r="31713" spans="191:191" x14ac:dyDescent="0.2">
      <c r="GI31713" s="422"/>
    </row>
    <row r="31714" spans="191:191" x14ac:dyDescent="0.2">
      <c r="GI31714" s="422"/>
    </row>
    <row r="31715" spans="191:191" x14ac:dyDescent="0.2">
      <c r="GI31715" s="422"/>
    </row>
    <row r="31716" spans="191:191" x14ac:dyDescent="0.2">
      <c r="GI31716" s="422"/>
    </row>
    <row r="31717" spans="191:191" x14ac:dyDescent="0.2">
      <c r="GI31717" s="422"/>
    </row>
    <row r="31718" spans="191:191" x14ac:dyDescent="0.2">
      <c r="GI31718" s="422"/>
    </row>
    <row r="31719" spans="191:191" x14ac:dyDescent="0.2">
      <c r="GI31719" s="422"/>
    </row>
    <row r="31720" spans="191:191" x14ac:dyDescent="0.2">
      <c r="GI31720" s="422"/>
    </row>
    <row r="31721" spans="191:191" x14ac:dyDescent="0.2">
      <c r="GI31721" s="422"/>
    </row>
    <row r="31722" spans="191:191" x14ac:dyDescent="0.2">
      <c r="GI31722" s="422"/>
    </row>
    <row r="31723" spans="191:191" x14ac:dyDescent="0.2">
      <c r="GI31723" s="422"/>
    </row>
    <row r="31724" spans="191:191" x14ac:dyDescent="0.2">
      <c r="GI31724" s="422"/>
    </row>
    <row r="31725" spans="191:191" x14ac:dyDescent="0.2">
      <c r="GI31725" s="422"/>
    </row>
    <row r="31726" spans="191:191" x14ac:dyDescent="0.2">
      <c r="GI31726" s="422"/>
    </row>
    <row r="31727" spans="191:191" x14ac:dyDescent="0.2">
      <c r="GI31727" s="422"/>
    </row>
    <row r="31728" spans="191:191" x14ac:dyDescent="0.2">
      <c r="GI31728" s="422"/>
    </row>
    <row r="31729" spans="191:191" x14ac:dyDescent="0.2">
      <c r="GI31729" s="422"/>
    </row>
    <row r="31730" spans="191:191" x14ac:dyDescent="0.2">
      <c r="GI31730" s="422"/>
    </row>
    <row r="31731" spans="191:191" x14ac:dyDescent="0.2">
      <c r="GI31731" s="422"/>
    </row>
    <row r="31732" spans="191:191" x14ac:dyDescent="0.2">
      <c r="GI31732" s="422"/>
    </row>
    <row r="31733" spans="191:191" x14ac:dyDescent="0.2">
      <c r="GI31733" s="422"/>
    </row>
    <row r="31734" spans="191:191" x14ac:dyDescent="0.2">
      <c r="GI31734" s="422"/>
    </row>
    <row r="31735" spans="191:191" x14ac:dyDescent="0.2">
      <c r="GI31735" s="422"/>
    </row>
    <row r="31736" spans="191:191" x14ac:dyDescent="0.2">
      <c r="GI31736" s="422"/>
    </row>
    <row r="31737" spans="191:191" x14ac:dyDescent="0.2">
      <c r="GI31737" s="422"/>
    </row>
    <row r="31738" spans="191:191" x14ac:dyDescent="0.2">
      <c r="GI31738" s="422"/>
    </row>
    <row r="31739" spans="191:191" x14ac:dyDescent="0.2">
      <c r="GI31739" s="422"/>
    </row>
    <row r="31740" spans="191:191" x14ac:dyDescent="0.2">
      <c r="GI31740" s="422"/>
    </row>
    <row r="31741" spans="191:191" x14ac:dyDescent="0.2">
      <c r="GI31741" s="422"/>
    </row>
    <row r="31742" spans="191:191" x14ac:dyDescent="0.2">
      <c r="GI31742" s="422"/>
    </row>
    <row r="31743" spans="191:191" x14ac:dyDescent="0.2">
      <c r="GI31743" s="422"/>
    </row>
    <row r="31744" spans="191:191" x14ac:dyDescent="0.2">
      <c r="GI31744" s="422"/>
    </row>
    <row r="31745" spans="191:191" x14ac:dyDescent="0.2">
      <c r="GI31745" s="422"/>
    </row>
    <row r="31746" spans="191:191" x14ac:dyDescent="0.2">
      <c r="GI31746" s="422"/>
    </row>
    <row r="31747" spans="191:191" x14ac:dyDescent="0.2">
      <c r="GI31747" s="422"/>
    </row>
    <row r="31748" spans="191:191" x14ac:dyDescent="0.2">
      <c r="GI31748" s="422"/>
    </row>
    <row r="31749" spans="191:191" x14ac:dyDescent="0.2">
      <c r="GI31749" s="422"/>
    </row>
    <row r="31750" spans="191:191" x14ac:dyDescent="0.2">
      <c r="GI31750" s="422"/>
    </row>
    <row r="31751" spans="191:191" x14ac:dyDescent="0.2">
      <c r="GI31751" s="422"/>
    </row>
    <row r="31752" spans="191:191" x14ac:dyDescent="0.2">
      <c r="GI31752" s="422"/>
    </row>
    <row r="31753" spans="191:191" x14ac:dyDescent="0.2">
      <c r="GI31753" s="422"/>
    </row>
    <row r="31754" spans="191:191" x14ac:dyDescent="0.2">
      <c r="GI31754" s="422"/>
    </row>
    <row r="31755" spans="191:191" x14ac:dyDescent="0.2">
      <c r="GI31755" s="422"/>
    </row>
    <row r="31756" spans="191:191" x14ac:dyDescent="0.2">
      <c r="GI31756" s="422"/>
    </row>
    <row r="31757" spans="191:191" x14ac:dyDescent="0.2">
      <c r="GI31757" s="422"/>
    </row>
    <row r="31758" spans="191:191" x14ac:dyDescent="0.2">
      <c r="GI31758" s="422"/>
    </row>
    <row r="31759" spans="191:191" x14ac:dyDescent="0.2">
      <c r="GI31759" s="422"/>
    </row>
    <row r="31760" spans="191:191" x14ac:dyDescent="0.2">
      <c r="GI31760" s="422"/>
    </row>
    <row r="31761" spans="191:191" x14ac:dyDescent="0.2">
      <c r="GI31761" s="422"/>
    </row>
    <row r="31762" spans="191:191" x14ac:dyDescent="0.2">
      <c r="GI31762" s="422"/>
    </row>
    <row r="31763" spans="191:191" x14ac:dyDescent="0.2">
      <c r="GI31763" s="422"/>
    </row>
    <row r="31764" spans="191:191" x14ac:dyDescent="0.2">
      <c r="GI31764" s="422"/>
    </row>
    <row r="31765" spans="191:191" x14ac:dyDescent="0.2">
      <c r="GI31765" s="422"/>
    </row>
    <row r="31766" spans="191:191" x14ac:dyDescent="0.2">
      <c r="GI31766" s="422"/>
    </row>
    <row r="31767" spans="191:191" x14ac:dyDescent="0.2">
      <c r="GI31767" s="422"/>
    </row>
    <row r="31768" spans="191:191" x14ac:dyDescent="0.2">
      <c r="GI31768" s="422"/>
    </row>
    <row r="31769" spans="191:191" x14ac:dyDescent="0.2">
      <c r="GI31769" s="422"/>
    </row>
    <row r="31770" spans="191:191" x14ac:dyDescent="0.2">
      <c r="GI31770" s="422"/>
    </row>
    <row r="31771" spans="191:191" x14ac:dyDescent="0.2">
      <c r="GI31771" s="422"/>
    </row>
    <row r="31772" spans="191:191" x14ac:dyDescent="0.2">
      <c r="GI31772" s="422"/>
    </row>
    <row r="31773" spans="191:191" x14ac:dyDescent="0.2">
      <c r="GI31773" s="422"/>
    </row>
    <row r="31774" spans="191:191" x14ac:dyDescent="0.2">
      <c r="GI31774" s="422"/>
    </row>
    <row r="31775" spans="191:191" x14ac:dyDescent="0.2">
      <c r="GI31775" s="422"/>
    </row>
    <row r="31776" spans="191:191" x14ac:dyDescent="0.2">
      <c r="GI31776" s="422"/>
    </row>
    <row r="31777" spans="191:191" x14ac:dyDescent="0.2">
      <c r="GI31777" s="422"/>
    </row>
    <row r="31778" spans="191:191" x14ac:dyDescent="0.2">
      <c r="GI31778" s="422"/>
    </row>
    <row r="31779" spans="191:191" x14ac:dyDescent="0.2">
      <c r="GI31779" s="422"/>
    </row>
    <row r="31780" spans="191:191" x14ac:dyDescent="0.2">
      <c r="GI31780" s="422"/>
    </row>
    <row r="31781" spans="191:191" x14ac:dyDescent="0.2">
      <c r="GI31781" s="422"/>
    </row>
    <row r="31782" spans="191:191" x14ac:dyDescent="0.2">
      <c r="GI31782" s="422"/>
    </row>
    <row r="31783" spans="191:191" x14ac:dyDescent="0.2">
      <c r="GI31783" s="422"/>
    </row>
    <row r="31784" spans="191:191" x14ac:dyDescent="0.2">
      <c r="GI31784" s="422"/>
    </row>
    <row r="31785" spans="191:191" x14ac:dyDescent="0.2">
      <c r="GI31785" s="422"/>
    </row>
    <row r="31786" spans="191:191" x14ac:dyDescent="0.2">
      <c r="GI31786" s="422"/>
    </row>
    <row r="31787" spans="191:191" x14ac:dyDescent="0.2">
      <c r="GI31787" s="422"/>
    </row>
    <row r="31788" spans="191:191" x14ac:dyDescent="0.2">
      <c r="GI31788" s="422"/>
    </row>
    <row r="31789" spans="191:191" x14ac:dyDescent="0.2">
      <c r="GI31789" s="422"/>
    </row>
    <row r="31790" spans="191:191" x14ac:dyDescent="0.2">
      <c r="GI31790" s="422"/>
    </row>
    <row r="31791" spans="191:191" x14ac:dyDescent="0.2">
      <c r="GI31791" s="422"/>
    </row>
    <row r="31792" spans="191:191" x14ac:dyDescent="0.2">
      <c r="GI31792" s="422"/>
    </row>
    <row r="31793" spans="191:191" x14ac:dyDescent="0.2">
      <c r="GI31793" s="422"/>
    </row>
    <row r="31794" spans="191:191" x14ac:dyDescent="0.2">
      <c r="GI31794" s="422"/>
    </row>
    <row r="31795" spans="191:191" x14ac:dyDescent="0.2">
      <c r="GI31795" s="422"/>
    </row>
    <row r="31796" spans="191:191" x14ac:dyDescent="0.2">
      <c r="GI31796" s="422"/>
    </row>
    <row r="31797" spans="191:191" x14ac:dyDescent="0.2">
      <c r="GI31797" s="422"/>
    </row>
    <row r="31798" spans="191:191" x14ac:dyDescent="0.2">
      <c r="GI31798" s="422"/>
    </row>
    <row r="31799" spans="191:191" x14ac:dyDescent="0.2">
      <c r="GI31799" s="422"/>
    </row>
    <row r="31800" spans="191:191" x14ac:dyDescent="0.2">
      <c r="GI31800" s="422"/>
    </row>
    <row r="31801" spans="191:191" x14ac:dyDescent="0.2">
      <c r="GI31801" s="422"/>
    </row>
    <row r="31802" spans="191:191" x14ac:dyDescent="0.2">
      <c r="GI31802" s="422"/>
    </row>
    <row r="31803" spans="191:191" x14ac:dyDescent="0.2">
      <c r="GI31803" s="422"/>
    </row>
    <row r="31804" spans="191:191" x14ac:dyDescent="0.2">
      <c r="GI31804" s="422"/>
    </row>
    <row r="31805" spans="191:191" x14ac:dyDescent="0.2">
      <c r="GI31805" s="422"/>
    </row>
    <row r="31806" spans="191:191" x14ac:dyDescent="0.2">
      <c r="GI31806" s="422"/>
    </row>
    <row r="31807" spans="191:191" x14ac:dyDescent="0.2">
      <c r="GI31807" s="422"/>
    </row>
    <row r="31808" spans="191:191" x14ac:dyDescent="0.2">
      <c r="GI31808" s="422"/>
    </row>
    <row r="31809" spans="191:191" x14ac:dyDescent="0.2">
      <c r="GI31809" s="422"/>
    </row>
    <row r="31810" spans="191:191" x14ac:dyDescent="0.2">
      <c r="GI31810" s="422"/>
    </row>
    <row r="31811" spans="191:191" x14ac:dyDescent="0.2">
      <c r="GI31811" s="422"/>
    </row>
    <row r="31812" spans="191:191" x14ac:dyDescent="0.2">
      <c r="GI31812" s="422"/>
    </row>
    <row r="31813" spans="191:191" x14ac:dyDescent="0.2">
      <c r="GI31813" s="422"/>
    </row>
    <row r="31814" spans="191:191" x14ac:dyDescent="0.2">
      <c r="GI31814" s="422"/>
    </row>
    <row r="31815" spans="191:191" x14ac:dyDescent="0.2">
      <c r="GI31815" s="422"/>
    </row>
    <row r="31816" spans="191:191" x14ac:dyDescent="0.2">
      <c r="GI31816" s="422"/>
    </row>
    <row r="31817" spans="191:191" x14ac:dyDescent="0.2">
      <c r="GI31817" s="422"/>
    </row>
    <row r="31818" spans="191:191" x14ac:dyDescent="0.2">
      <c r="GI31818" s="422"/>
    </row>
    <row r="31819" spans="191:191" x14ac:dyDescent="0.2">
      <c r="GI31819" s="422"/>
    </row>
    <row r="31820" spans="191:191" x14ac:dyDescent="0.2">
      <c r="GI31820" s="422"/>
    </row>
    <row r="31821" spans="191:191" x14ac:dyDescent="0.2">
      <c r="GI31821" s="422"/>
    </row>
    <row r="31822" spans="191:191" x14ac:dyDescent="0.2">
      <c r="GI31822" s="422"/>
    </row>
    <row r="31823" spans="191:191" x14ac:dyDescent="0.2">
      <c r="GI31823" s="422"/>
    </row>
    <row r="31824" spans="191:191" x14ac:dyDescent="0.2">
      <c r="GI31824" s="422"/>
    </row>
    <row r="31825" spans="191:191" x14ac:dyDescent="0.2">
      <c r="GI31825" s="422"/>
    </row>
    <row r="31826" spans="191:191" x14ac:dyDescent="0.2">
      <c r="GI31826" s="422"/>
    </row>
    <row r="31827" spans="191:191" x14ac:dyDescent="0.2">
      <c r="GI31827" s="422"/>
    </row>
    <row r="31828" spans="191:191" x14ac:dyDescent="0.2">
      <c r="GI31828" s="422"/>
    </row>
    <row r="31829" spans="191:191" x14ac:dyDescent="0.2">
      <c r="GI31829" s="422"/>
    </row>
    <row r="31830" spans="191:191" x14ac:dyDescent="0.2">
      <c r="GI31830" s="422"/>
    </row>
    <row r="31831" spans="191:191" x14ac:dyDescent="0.2">
      <c r="GI31831" s="422"/>
    </row>
    <row r="31832" spans="191:191" x14ac:dyDescent="0.2">
      <c r="GI31832" s="422"/>
    </row>
    <row r="31833" spans="191:191" x14ac:dyDescent="0.2">
      <c r="GI31833" s="422"/>
    </row>
    <row r="31834" spans="191:191" x14ac:dyDescent="0.2">
      <c r="GI31834" s="422"/>
    </row>
    <row r="31835" spans="191:191" x14ac:dyDescent="0.2">
      <c r="GI31835" s="422"/>
    </row>
    <row r="31836" spans="191:191" x14ac:dyDescent="0.2">
      <c r="GI31836" s="422"/>
    </row>
    <row r="31837" spans="191:191" x14ac:dyDescent="0.2">
      <c r="GI31837" s="422"/>
    </row>
    <row r="31838" spans="191:191" x14ac:dyDescent="0.2">
      <c r="GI31838" s="422"/>
    </row>
    <row r="31839" spans="191:191" x14ac:dyDescent="0.2">
      <c r="GI31839" s="422"/>
    </row>
    <row r="31840" spans="191:191" x14ac:dyDescent="0.2">
      <c r="GI31840" s="422"/>
    </row>
    <row r="31841" spans="191:191" x14ac:dyDescent="0.2">
      <c r="GI31841" s="422"/>
    </row>
    <row r="31842" spans="191:191" x14ac:dyDescent="0.2">
      <c r="GI31842" s="422"/>
    </row>
    <row r="31843" spans="191:191" x14ac:dyDescent="0.2">
      <c r="GI31843" s="422"/>
    </row>
    <row r="31844" spans="191:191" x14ac:dyDescent="0.2">
      <c r="GI31844" s="422"/>
    </row>
    <row r="31845" spans="191:191" x14ac:dyDescent="0.2">
      <c r="GI31845" s="422"/>
    </row>
    <row r="31846" spans="191:191" x14ac:dyDescent="0.2">
      <c r="GI31846" s="422"/>
    </row>
    <row r="31847" spans="191:191" x14ac:dyDescent="0.2">
      <c r="GI31847" s="422"/>
    </row>
    <row r="31848" spans="191:191" x14ac:dyDescent="0.2">
      <c r="GI31848" s="422"/>
    </row>
    <row r="31849" spans="191:191" x14ac:dyDescent="0.2">
      <c r="GI31849" s="422"/>
    </row>
    <row r="31850" spans="191:191" x14ac:dyDescent="0.2">
      <c r="GI31850" s="422"/>
    </row>
    <row r="31851" spans="191:191" x14ac:dyDescent="0.2">
      <c r="GI31851" s="422"/>
    </row>
    <row r="31852" spans="191:191" x14ac:dyDescent="0.2">
      <c r="GI31852" s="422"/>
    </row>
    <row r="31853" spans="191:191" x14ac:dyDescent="0.2">
      <c r="GI31853" s="422"/>
    </row>
    <row r="31854" spans="191:191" x14ac:dyDescent="0.2">
      <c r="GI31854" s="422"/>
    </row>
    <row r="31855" spans="191:191" x14ac:dyDescent="0.2">
      <c r="GI31855" s="422"/>
    </row>
    <row r="31856" spans="191:191" x14ac:dyDescent="0.2">
      <c r="GI31856" s="422"/>
    </row>
    <row r="31857" spans="191:191" x14ac:dyDescent="0.2">
      <c r="GI31857" s="422"/>
    </row>
    <row r="31858" spans="191:191" x14ac:dyDescent="0.2">
      <c r="GI31858" s="422"/>
    </row>
    <row r="31859" spans="191:191" x14ac:dyDescent="0.2">
      <c r="GI31859" s="422"/>
    </row>
    <row r="31860" spans="191:191" x14ac:dyDescent="0.2">
      <c r="GI31860" s="422"/>
    </row>
    <row r="31861" spans="191:191" x14ac:dyDescent="0.2">
      <c r="GI31861" s="422"/>
    </row>
    <row r="31862" spans="191:191" x14ac:dyDescent="0.2">
      <c r="GI31862" s="422"/>
    </row>
    <row r="31863" spans="191:191" x14ac:dyDescent="0.2">
      <c r="GI31863" s="422"/>
    </row>
    <row r="31864" spans="191:191" x14ac:dyDescent="0.2">
      <c r="GI31864" s="422"/>
    </row>
    <row r="31865" spans="191:191" x14ac:dyDescent="0.2">
      <c r="GI31865" s="422"/>
    </row>
    <row r="31866" spans="191:191" x14ac:dyDescent="0.2">
      <c r="GI31866" s="422"/>
    </row>
    <row r="31867" spans="191:191" x14ac:dyDescent="0.2">
      <c r="GI31867" s="422"/>
    </row>
    <row r="31868" spans="191:191" x14ac:dyDescent="0.2">
      <c r="GI31868" s="422"/>
    </row>
    <row r="31869" spans="191:191" x14ac:dyDescent="0.2">
      <c r="GI31869" s="422"/>
    </row>
    <row r="31870" spans="191:191" x14ac:dyDescent="0.2">
      <c r="GI31870" s="422"/>
    </row>
    <row r="31871" spans="191:191" x14ac:dyDescent="0.2">
      <c r="GI31871" s="422"/>
    </row>
    <row r="31872" spans="191:191" x14ac:dyDescent="0.2">
      <c r="GI31872" s="422"/>
    </row>
    <row r="31873" spans="191:191" x14ac:dyDescent="0.2">
      <c r="GI31873" s="422"/>
    </row>
    <row r="31874" spans="191:191" x14ac:dyDescent="0.2">
      <c r="GI31874" s="422"/>
    </row>
    <row r="31875" spans="191:191" x14ac:dyDescent="0.2">
      <c r="GI31875" s="422"/>
    </row>
    <row r="31876" spans="191:191" x14ac:dyDescent="0.2">
      <c r="GI31876" s="422"/>
    </row>
    <row r="31877" spans="191:191" x14ac:dyDescent="0.2">
      <c r="GI31877" s="422"/>
    </row>
    <row r="31878" spans="191:191" x14ac:dyDescent="0.2">
      <c r="GI31878" s="422"/>
    </row>
    <row r="31879" spans="191:191" x14ac:dyDescent="0.2">
      <c r="GI31879" s="422"/>
    </row>
    <row r="31880" spans="191:191" x14ac:dyDescent="0.2">
      <c r="GI31880" s="422"/>
    </row>
    <row r="31881" spans="191:191" x14ac:dyDescent="0.2">
      <c r="GI31881" s="422"/>
    </row>
    <row r="31882" spans="191:191" x14ac:dyDescent="0.2">
      <c r="GI31882" s="422"/>
    </row>
    <row r="31883" spans="191:191" x14ac:dyDescent="0.2">
      <c r="GI31883" s="422"/>
    </row>
    <row r="31884" spans="191:191" x14ac:dyDescent="0.2">
      <c r="GI31884" s="422"/>
    </row>
    <row r="31885" spans="191:191" x14ac:dyDescent="0.2">
      <c r="GI31885" s="422"/>
    </row>
    <row r="31886" spans="191:191" x14ac:dyDescent="0.2">
      <c r="GI31886" s="422"/>
    </row>
    <row r="31887" spans="191:191" x14ac:dyDescent="0.2">
      <c r="GI31887" s="422"/>
    </row>
    <row r="31888" spans="191:191" x14ac:dyDescent="0.2">
      <c r="GI31888" s="422"/>
    </row>
    <row r="31889" spans="191:191" x14ac:dyDescent="0.2">
      <c r="GI31889" s="422"/>
    </row>
    <row r="31890" spans="191:191" x14ac:dyDescent="0.2">
      <c r="GI31890" s="422"/>
    </row>
    <row r="31891" spans="191:191" x14ac:dyDescent="0.2">
      <c r="GI31891" s="422"/>
    </row>
    <row r="31892" spans="191:191" x14ac:dyDescent="0.2">
      <c r="GI31892" s="422"/>
    </row>
    <row r="31893" spans="191:191" x14ac:dyDescent="0.2">
      <c r="GI31893" s="422"/>
    </row>
    <row r="31894" spans="191:191" x14ac:dyDescent="0.2">
      <c r="GI31894" s="422"/>
    </row>
    <row r="31895" spans="191:191" x14ac:dyDescent="0.2">
      <c r="GI31895" s="422"/>
    </row>
    <row r="31896" spans="191:191" x14ac:dyDescent="0.2">
      <c r="GI31896" s="422"/>
    </row>
    <row r="31897" spans="191:191" x14ac:dyDescent="0.2">
      <c r="GI31897" s="422"/>
    </row>
    <row r="31898" spans="191:191" x14ac:dyDescent="0.2">
      <c r="GI31898" s="422"/>
    </row>
    <row r="31899" spans="191:191" x14ac:dyDescent="0.2">
      <c r="GI31899" s="422"/>
    </row>
    <row r="31900" spans="191:191" x14ac:dyDescent="0.2">
      <c r="GI31900" s="422"/>
    </row>
    <row r="31901" spans="191:191" x14ac:dyDescent="0.2">
      <c r="GI31901" s="422"/>
    </row>
    <row r="31902" spans="191:191" x14ac:dyDescent="0.2">
      <c r="GI31902" s="422"/>
    </row>
    <row r="31903" spans="191:191" x14ac:dyDescent="0.2">
      <c r="GI31903" s="422"/>
    </row>
    <row r="31904" spans="191:191" x14ac:dyDescent="0.2">
      <c r="GI31904" s="422"/>
    </row>
    <row r="31905" spans="191:191" x14ac:dyDescent="0.2">
      <c r="GI31905" s="422"/>
    </row>
    <row r="31906" spans="191:191" x14ac:dyDescent="0.2">
      <c r="GI31906" s="422"/>
    </row>
    <row r="31907" spans="191:191" x14ac:dyDescent="0.2">
      <c r="GI31907" s="422"/>
    </row>
    <row r="31908" spans="191:191" x14ac:dyDescent="0.2">
      <c r="GI31908" s="422"/>
    </row>
    <row r="31909" spans="191:191" x14ac:dyDescent="0.2">
      <c r="GI31909" s="422"/>
    </row>
    <row r="31910" spans="191:191" x14ac:dyDescent="0.2">
      <c r="GI31910" s="422"/>
    </row>
    <row r="31911" spans="191:191" x14ac:dyDescent="0.2">
      <c r="GI31911" s="422"/>
    </row>
    <row r="31912" spans="191:191" x14ac:dyDescent="0.2">
      <c r="GI31912" s="422"/>
    </row>
    <row r="31913" spans="191:191" x14ac:dyDescent="0.2">
      <c r="GI31913" s="422"/>
    </row>
    <row r="31914" spans="191:191" x14ac:dyDescent="0.2">
      <c r="GI31914" s="422"/>
    </row>
    <row r="31915" spans="191:191" x14ac:dyDescent="0.2">
      <c r="GI31915" s="422"/>
    </row>
    <row r="31916" spans="191:191" x14ac:dyDescent="0.2">
      <c r="GI31916" s="422"/>
    </row>
    <row r="31917" spans="191:191" x14ac:dyDescent="0.2">
      <c r="GI31917" s="422"/>
    </row>
    <row r="31918" spans="191:191" x14ac:dyDescent="0.2">
      <c r="GI31918" s="422"/>
    </row>
    <row r="31919" spans="191:191" x14ac:dyDescent="0.2">
      <c r="GI31919" s="422"/>
    </row>
    <row r="31920" spans="191:191" x14ac:dyDescent="0.2">
      <c r="GI31920" s="422"/>
    </row>
    <row r="31921" spans="191:191" x14ac:dyDescent="0.2">
      <c r="GI31921" s="422"/>
    </row>
    <row r="31922" spans="191:191" x14ac:dyDescent="0.2">
      <c r="GI31922" s="422"/>
    </row>
    <row r="31923" spans="191:191" x14ac:dyDescent="0.2">
      <c r="GI31923" s="422"/>
    </row>
    <row r="31924" spans="191:191" x14ac:dyDescent="0.2">
      <c r="GI31924" s="422"/>
    </row>
    <row r="31925" spans="191:191" x14ac:dyDescent="0.2">
      <c r="GI31925" s="422"/>
    </row>
    <row r="31926" spans="191:191" x14ac:dyDescent="0.2">
      <c r="GI31926" s="422"/>
    </row>
    <row r="31927" spans="191:191" x14ac:dyDescent="0.2">
      <c r="GI31927" s="422"/>
    </row>
    <row r="31928" spans="191:191" x14ac:dyDescent="0.2">
      <c r="GI31928" s="422"/>
    </row>
    <row r="31929" spans="191:191" x14ac:dyDescent="0.2">
      <c r="GI31929" s="422"/>
    </row>
    <row r="31930" spans="191:191" x14ac:dyDescent="0.2">
      <c r="GI31930" s="422"/>
    </row>
    <row r="31931" spans="191:191" x14ac:dyDescent="0.2">
      <c r="GI31931" s="422"/>
    </row>
    <row r="31932" spans="191:191" x14ac:dyDescent="0.2">
      <c r="GI31932" s="422"/>
    </row>
    <row r="31933" spans="191:191" x14ac:dyDescent="0.2">
      <c r="GI31933" s="422"/>
    </row>
    <row r="31934" spans="191:191" x14ac:dyDescent="0.2">
      <c r="GI31934" s="422"/>
    </row>
    <row r="31935" spans="191:191" x14ac:dyDescent="0.2">
      <c r="GI31935" s="422"/>
    </row>
    <row r="31936" spans="191:191" x14ac:dyDescent="0.2">
      <c r="GI31936" s="422"/>
    </row>
    <row r="31937" spans="191:191" x14ac:dyDescent="0.2">
      <c r="GI31937" s="422"/>
    </row>
    <row r="31938" spans="191:191" x14ac:dyDescent="0.2">
      <c r="GI31938" s="422"/>
    </row>
    <row r="31939" spans="191:191" x14ac:dyDescent="0.2">
      <c r="GI31939" s="422"/>
    </row>
    <row r="31940" spans="191:191" x14ac:dyDescent="0.2">
      <c r="GI31940" s="422"/>
    </row>
    <row r="31941" spans="191:191" x14ac:dyDescent="0.2">
      <c r="GI31941" s="422"/>
    </row>
    <row r="31942" spans="191:191" x14ac:dyDescent="0.2">
      <c r="GI31942" s="422"/>
    </row>
    <row r="31943" spans="191:191" x14ac:dyDescent="0.2">
      <c r="GI31943" s="422"/>
    </row>
    <row r="31944" spans="191:191" x14ac:dyDescent="0.2">
      <c r="GI31944" s="422"/>
    </row>
    <row r="31945" spans="191:191" x14ac:dyDescent="0.2">
      <c r="GI31945" s="422"/>
    </row>
    <row r="31946" spans="191:191" x14ac:dyDescent="0.2">
      <c r="GI31946" s="422"/>
    </row>
    <row r="31947" spans="191:191" x14ac:dyDescent="0.2">
      <c r="GI31947" s="422"/>
    </row>
    <row r="31948" spans="191:191" x14ac:dyDescent="0.2">
      <c r="GI31948" s="422"/>
    </row>
    <row r="31949" spans="191:191" x14ac:dyDescent="0.2">
      <c r="GI31949" s="422"/>
    </row>
    <row r="31950" spans="191:191" x14ac:dyDescent="0.2">
      <c r="GI31950" s="422"/>
    </row>
    <row r="31951" spans="191:191" x14ac:dyDescent="0.2">
      <c r="GI31951" s="422"/>
    </row>
    <row r="31952" spans="191:191" x14ac:dyDescent="0.2">
      <c r="GI31952" s="422"/>
    </row>
    <row r="31953" spans="191:191" x14ac:dyDescent="0.2">
      <c r="GI31953" s="422"/>
    </row>
    <row r="31954" spans="191:191" x14ac:dyDescent="0.2">
      <c r="GI31954" s="422"/>
    </row>
    <row r="31955" spans="191:191" x14ac:dyDescent="0.2">
      <c r="GI31955" s="422"/>
    </row>
    <row r="31956" spans="191:191" x14ac:dyDescent="0.2">
      <c r="GI31956" s="422"/>
    </row>
    <row r="31957" spans="191:191" x14ac:dyDescent="0.2">
      <c r="GI31957" s="422"/>
    </row>
    <row r="31958" spans="191:191" x14ac:dyDescent="0.2">
      <c r="GI31958" s="422"/>
    </row>
    <row r="31959" spans="191:191" x14ac:dyDescent="0.2">
      <c r="GI31959" s="422"/>
    </row>
    <row r="31960" spans="191:191" x14ac:dyDescent="0.2">
      <c r="GI31960" s="422"/>
    </row>
    <row r="31961" spans="191:191" x14ac:dyDescent="0.2">
      <c r="GI31961" s="422"/>
    </row>
    <row r="31962" spans="191:191" x14ac:dyDescent="0.2">
      <c r="GI31962" s="422"/>
    </row>
    <row r="31963" spans="191:191" x14ac:dyDescent="0.2">
      <c r="GI31963" s="422"/>
    </row>
    <row r="31964" spans="191:191" x14ac:dyDescent="0.2">
      <c r="GI31964" s="422"/>
    </row>
    <row r="31965" spans="191:191" x14ac:dyDescent="0.2">
      <c r="GI31965" s="422"/>
    </row>
    <row r="31966" spans="191:191" x14ac:dyDescent="0.2">
      <c r="GI31966" s="422"/>
    </row>
    <row r="31967" spans="191:191" x14ac:dyDescent="0.2">
      <c r="GI31967" s="422"/>
    </row>
    <row r="31968" spans="191:191" x14ac:dyDescent="0.2">
      <c r="GI31968" s="422"/>
    </row>
    <row r="31969" spans="191:191" x14ac:dyDescent="0.2">
      <c r="GI31969" s="422"/>
    </row>
    <row r="31970" spans="191:191" x14ac:dyDescent="0.2">
      <c r="GI31970" s="422"/>
    </row>
    <row r="31971" spans="191:191" x14ac:dyDescent="0.2">
      <c r="GI31971" s="422"/>
    </row>
    <row r="31972" spans="191:191" x14ac:dyDescent="0.2">
      <c r="GI31972" s="422"/>
    </row>
    <row r="31973" spans="191:191" x14ac:dyDescent="0.2">
      <c r="GI31973" s="422"/>
    </row>
    <row r="31974" spans="191:191" x14ac:dyDescent="0.2">
      <c r="GI31974" s="422"/>
    </row>
    <row r="31975" spans="191:191" x14ac:dyDescent="0.2">
      <c r="GI31975" s="422"/>
    </row>
    <row r="31976" spans="191:191" x14ac:dyDescent="0.2">
      <c r="GI31976" s="422"/>
    </row>
    <row r="31977" spans="191:191" x14ac:dyDescent="0.2">
      <c r="GI31977" s="422"/>
    </row>
    <row r="31978" spans="191:191" x14ac:dyDescent="0.2">
      <c r="GI31978" s="422"/>
    </row>
    <row r="31979" spans="191:191" x14ac:dyDescent="0.2">
      <c r="GI31979" s="422"/>
    </row>
    <row r="31980" spans="191:191" x14ac:dyDescent="0.2">
      <c r="GI31980" s="422"/>
    </row>
    <row r="31981" spans="191:191" x14ac:dyDescent="0.2">
      <c r="GI31981" s="422"/>
    </row>
    <row r="31982" spans="191:191" x14ac:dyDescent="0.2">
      <c r="GI31982" s="422"/>
    </row>
    <row r="31983" spans="191:191" x14ac:dyDescent="0.2">
      <c r="GI31983" s="422"/>
    </row>
    <row r="31984" spans="191:191" x14ac:dyDescent="0.2">
      <c r="GI31984" s="422"/>
    </row>
    <row r="31985" spans="191:191" x14ac:dyDescent="0.2">
      <c r="GI31985" s="422"/>
    </row>
    <row r="31986" spans="191:191" x14ac:dyDescent="0.2">
      <c r="GI31986" s="422"/>
    </row>
    <row r="31987" spans="191:191" x14ac:dyDescent="0.2">
      <c r="GI31987" s="422"/>
    </row>
    <row r="31988" spans="191:191" x14ac:dyDescent="0.2">
      <c r="GI31988" s="422"/>
    </row>
    <row r="31989" spans="191:191" x14ac:dyDescent="0.2">
      <c r="GI31989" s="422"/>
    </row>
    <row r="31990" spans="191:191" x14ac:dyDescent="0.2">
      <c r="GI31990" s="422"/>
    </row>
    <row r="31991" spans="191:191" x14ac:dyDescent="0.2">
      <c r="GI31991" s="422"/>
    </row>
    <row r="31992" spans="191:191" x14ac:dyDescent="0.2">
      <c r="GI31992" s="422"/>
    </row>
    <row r="31993" spans="191:191" x14ac:dyDescent="0.2">
      <c r="GI31993" s="422"/>
    </row>
    <row r="31994" spans="191:191" x14ac:dyDescent="0.2">
      <c r="GI31994" s="422"/>
    </row>
    <row r="31995" spans="191:191" x14ac:dyDescent="0.2">
      <c r="GI31995" s="422"/>
    </row>
    <row r="31996" spans="191:191" x14ac:dyDescent="0.2">
      <c r="GI31996" s="422"/>
    </row>
    <row r="31997" spans="191:191" x14ac:dyDescent="0.2">
      <c r="GI31997" s="422"/>
    </row>
    <row r="31998" spans="191:191" x14ac:dyDescent="0.2">
      <c r="GI31998" s="422"/>
    </row>
    <row r="31999" spans="191:191" x14ac:dyDescent="0.2">
      <c r="GI31999" s="422"/>
    </row>
    <row r="32000" spans="191:191" x14ac:dyDescent="0.2">
      <c r="GI32000" s="422"/>
    </row>
    <row r="32001" spans="191:191" x14ac:dyDescent="0.2">
      <c r="GI32001" s="422"/>
    </row>
    <row r="32002" spans="191:191" x14ac:dyDescent="0.2">
      <c r="GI32002" s="422"/>
    </row>
    <row r="32003" spans="191:191" x14ac:dyDescent="0.2">
      <c r="GI32003" s="422"/>
    </row>
    <row r="32004" spans="191:191" x14ac:dyDescent="0.2">
      <c r="GI32004" s="422"/>
    </row>
    <row r="32005" spans="191:191" x14ac:dyDescent="0.2">
      <c r="GI32005" s="422"/>
    </row>
    <row r="32006" spans="191:191" x14ac:dyDescent="0.2">
      <c r="GI32006" s="422"/>
    </row>
    <row r="32007" spans="191:191" x14ac:dyDescent="0.2">
      <c r="GI32007" s="422"/>
    </row>
    <row r="32008" spans="191:191" x14ac:dyDescent="0.2">
      <c r="GI32008" s="422"/>
    </row>
    <row r="32009" spans="191:191" x14ac:dyDescent="0.2">
      <c r="GI32009" s="422"/>
    </row>
    <row r="32010" spans="191:191" x14ac:dyDescent="0.2">
      <c r="GI32010" s="422"/>
    </row>
    <row r="32011" spans="191:191" x14ac:dyDescent="0.2">
      <c r="GI32011" s="422"/>
    </row>
    <row r="32012" spans="191:191" x14ac:dyDescent="0.2">
      <c r="GI32012" s="422"/>
    </row>
    <row r="32013" spans="191:191" x14ac:dyDescent="0.2">
      <c r="GI32013" s="422"/>
    </row>
    <row r="32014" spans="191:191" x14ac:dyDescent="0.2">
      <c r="GI32014" s="422"/>
    </row>
    <row r="32015" spans="191:191" x14ac:dyDescent="0.2">
      <c r="GI32015" s="422"/>
    </row>
    <row r="32016" spans="191:191" x14ac:dyDescent="0.2">
      <c r="GI32016" s="422"/>
    </row>
    <row r="32017" spans="191:191" x14ac:dyDescent="0.2">
      <c r="GI32017" s="422"/>
    </row>
    <row r="32018" spans="191:191" x14ac:dyDescent="0.2">
      <c r="GI32018" s="422"/>
    </row>
    <row r="32019" spans="191:191" x14ac:dyDescent="0.2">
      <c r="GI32019" s="422"/>
    </row>
    <row r="32020" spans="191:191" x14ac:dyDescent="0.2">
      <c r="GI32020" s="422"/>
    </row>
    <row r="32021" spans="191:191" x14ac:dyDescent="0.2">
      <c r="GI32021" s="422"/>
    </row>
    <row r="32022" spans="191:191" x14ac:dyDescent="0.2">
      <c r="GI32022" s="422"/>
    </row>
    <row r="32023" spans="191:191" x14ac:dyDescent="0.2">
      <c r="GI32023" s="422"/>
    </row>
    <row r="32024" spans="191:191" x14ac:dyDescent="0.2">
      <c r="GI32024" s="422"/>
    </row>
    <row r="32025" spans="191:191" x14ac:dyDescent="0.2">
      <c r="GI32025" s="422"/>
    </row>
    <row r="32026" spans="191:191" x14ac:dyDescent="0.2">
      <c r="GI32026" s="422"/>
    </row>
    <row r="32027" spans="191:191" x14ac:dyDescent="0.2">
      <c r="GI32027" s="422"/>
    </row>
    <row r="32028" spans="191:191" x14ac:dyDescent="0.2">
      <c r="GI32028" s="422"/>
    </row>
    <row r="32029" spans="191:191" x14ac:dyDescent="0.2">
      <c r="GI32029" s="422"/>
    </row>
    <row r="32030" spans="191:191" x14ac:dyDescent="0.2">
      <c r="GI32030" s="422"/>
    </row>
    <row r="32031" spans="191:191" x14ac:dyDescent="0.2">
      <c r="GI32031" s="422"/>
    </row>
    <row r="32032" spans="191:191" x14ac:dyDescent="0.2">
      <c r="GI32032" s="422"/>
    </row>
    <row r="32033" spans="191:191" x14ac:dyDescent="0.2">
      <c r="GI32033" s="422"/>
    </row>
    <row r="32034" spans="191:191" x14ac:dyDescent="0.2">
      <c r="GI32034" s="422"/>
    </row>
    <row r="32035" spans="191:191" x14ac:dyDescent="0.2">
      <c r="GI32035" s="422"/>
    </row>
    <row r="32036" spans="191:191" x14ac:dyDescent="0.2">
      <c r="GI32036" s="422"/>
    </row>
    <row r="32037" spans="191:191" x14ac:dyDescent="0.2">
      <c r="GI32037" s="422"/>
    </row>
    <row r="32038" spans="191:191" x14ac:dyDescent="0.2">
      <c r="GI32038" s="422"/>
    </row>
    <row r="32039" spans="191:191" x14ac:dyDescent="0.2">
      <c r="GI32039" s="422"/>
    </row>
    <row r="32040" spans="191:191" x14ac:dyDescent="0.2">
      <c r="GI32040" s="422"/>
    </row>
    <row r="32041" spans="191:191" x14ac:dyDescent="0.2">
      <c r="GI32041" s="422"/>
    </row>
    <row r="32042" spans="191:191" x14ac:dyDescent="0.2">
      <c r="GI32042" s="422"/>
    </row>
    <row r="32043" spans="191:191" x14ac:dyDescent="0.2">
      <c r="GI32043" s="422"/>
    </row>
    <row r="32044" spans="191:191" x14ac:dyDescent="0.2">
      <c r="GI32044" s="422"/>
    </row>
    <row r="32045" spans="191:191" x14ac:dyDescent="0.2">
      <c r="GI32045" s="422"/>
    </row>
    <row r="32046" spans="191:191" x14ac:dyDescent="0.2">
      <c r="GI32046" s="422"/>
    </row>
    <row r="32047" spans="191:191" x14ac:dyDescent="0.2">
      <c r="GI32047" s="422"/>
    </row>
    <row r="32048" spans="191:191" x14ac:dyDescent="0.2">
      <c r="GI32048" s="422"/>
    </row>
    <row r="32049" spans="191:191" x14ac:dyDescent="0.2">
      <c r="GI32049" s="422"/>
    </row>
    <row r="32050" spans="191:191" x14ac:dyDescent="0.2">
      <c r="GI32050" s="422"/>
    </row>
    <row r="32051" spans="191:191" x14ac:dyDescent="0.2">
      <c r="GI32051" s="422"/>
    </row>
    <row r="32052" spans="191:191" x14ac:dyDescent="0.2">
      <c r="GI32052" s="422"/>
    </row>
    <row r="32053" spans="191:191" x14ac:dyDescent="0.2">
      <c r="GI32053" s="422"/>
    </row>
    <row r="32054" spans="191:191" x14ac:dyDescent="0.2">
      <c r="GI32054" s="422"/>
    </row>
    <row r="32055" spans="191:191" x14ac:dyDescent="0.2">
      <c r="GI32055" s="422"/>
    </row>
    <row r="32056" spans="191:191" x14ac:dyDescent="0.2">
      <c r="GI32056" s="422"/>
    </row>
    <row r="32057" spans="191:191" x14ac:dyDescent="0.2">
      <c r="GI32057" s="422"/>
    </row>
    <row r="32058" spans="191:191" x14ac:dyDescent="0.2">
      <c r="GI32058" s="422"/>
    </row>
    <row r="32059" spans="191:191" x14ac:dyDescent="0.2">
      <c r="GI32059" s="422"/>
    </row>
    <row r="32060" spans="191:191" x14ac:dyDescent="0.2">
      <c r="GI32060" s="422"/>
    </row>
    <row r="32061" spans="191:191" x14ac:dyDescent="0.2">
      <c r="GI32061" s="422"/>
    </row>
    <row r="32062" spans="191:191" x14ac:dyDescent="0.2">
      <c r="GI32062" s="422"/>
    </row>
    <row r="32063" spans="191:191" x14ac:dyDescent="0.2">
      <c r="GI32063" s="422"/>
    </row>
    <row r="32064" spans="191:191" x14ac:dyDescent="0.2">
      <c r="GI32064" s="422"/>
    </row>
    <row r="32065" spans="191:191" x14ac:dyDescent="0.2">
      <c r="GI32065" s="422"/>
    </row>
    <row r="32066" spans="191:191" x14ac:dyDescent="0.2">
      <c r="GI32066" s="422"/>
    </row>
    <row r="32067" spans="191:191" x14ac:dyDescent="0.2">
      <c r="GI32067" s="422"/>
    </row>
    <row r="32068" spans="191:191" x14ac:dyDescent="0.2">
      <c r="GI32068" s="422"/>
    </row>
    <row r="32069" spans="191:191" x14ac:dyDescent="0.2">
      <c r="GI32069" s="422"/>
    </row>
    <row r="32070" spans="191:191" x14ac:dyDescent="0.2">
      <c r="GI32070" s="422"/>
    </row>
    <row r="32071" spans="191:191" x14ac:dyDescent="0.2">
      <c r="GI32071" s="422"/>
    </row>
    <row r="32072" spans="191:191" x14ac:dyDescent="0.2">
      <c r="GI32072" s="422"/>
    </row>
    <row r="32073" spans="191:191" x14ac:dyDescent="0.2">
      <c r="GI32073" s="422"/>
    </row>
    <row r="32074" spans="191:191" x14ac:dyDescent="0.2">
      <c r="GI32074" s="422"/>
    </row>
    <row r="32075" spans="191:191" x14ac:dyDescent="0.2">
      <c r="GI32075" s="422"/>
    </row>
    <row r="32076" spans="191:191" x14ac:dyDescent="0.2">
      <c r="GI32076" s="422"/>
    </row>
    <row r="32077" spans="191:191" x14ac:dyDescent="0.2">
      <c r="GI32077" s="422"/>
    </row>
    <row r="32078" spans="191:191" x14ac:dyDescent="0.2">
      <c r="GI32078" s="422"/>
    </row>
    <row r="32079" spans="191:191" x14ac:dyDescent="0.2">
      <c r="GI32079" s="422"/>
    </row>
    <row r="32080" spans="191:191" x14ac:dyDescent="0.2">
      <c r="GI32080" s="422"/>
    </row>
    <row r="32081" spans="191:191" x14ac:dyDescent="0.2">
      <c r="GI32081" s="422"/>
    </row>
    <row r="32082" spans="191:191" x14ac:dyDescent="0.2">
      <c r="GI32082" s="422"/>
    </row>
    <row r="32083" spans="191:191" x14ac:dyDescent="0.2">
      <c r="GI32083" s="422"/>
    </row>
    <row r="32084" spans="191:191" x14ac:dyDescent="0.2">
      <c r="GI32084" s="422"/>
    </row>
    <row r="32085" spans="191:191" x14ac:dyDescent="0.2">
      <c r="GI32085" s="422"/>
    </row>
    <row r="32086" spans="191:191" x14ac:dyDescent="0.2">
      <c r="GI32086" s="422"/>
    </row>
    <row r="32087" spans="191:191" x14ac:dyDescent="0.2">
      <c r="GI32087" s="422"/>
    </row>
    <row r="32088" spans="191:191" x14ac:dyDescent="0.2">
      <c r="GI32088" s="422"/>
    </row>
    <row r="32089" spans="191:191" x14ac:dyDescent="0.2">
      <c r="GI32089" s="422"/>
    </row>
    <row r="32090" spans="191:191" x14ac:dyDescent="0.2">
      <c r="GI32090" s="422"/>
    </row>
    <row r="32091" spans="191:191" x14ac:dyDescent="0.2">
      <c r="GI32091" s="422"/>
    </row>
    <row r="32092" spans="191:191" x14ac:dyDescent="0.2">
      <c r="GI32092" s="422"/>
    </row>
    <row r="32093" spans="191:191" x14ac:dyDescent="0.2">
      <c r="GI32093" s="422"/>
    </row>
    <row r="32094" spans="191:191" x14ac:dyDescent="0.2">
      <c r="GI32094" s="422"/>
    </row>
    <row r="32095" spans="191:191" x14ac:dyDescent="0.2">
      <c r="GI32095" s="422"/>
    </row>
    <row r="32096" spans="191:191" x14ac:dyDescent="0.2">
      <c r="GI32096" s="422"/>
    </row>
    <row r="32097" spans="191:191" x14ac:dyDescent="0.2">
      <c r="GI32097" s="422"/>
    </row>
    <row r="32098" spans="191:191" x14ac:dyDescent="0.2">
      <c r="GI32098" s="422"/>
    </row>
    <row r="32099" spans="191:191" x14ac:dyDescent="0.2">
      <c r="GI32099" s="422"/>
    </row>
    <row r="32100" spans="191:191" x14ac:dyDescent="0.2">
      <c r="GI32100" s="422"/>
    </row>
    <row r="32101" spans="191:191" x14ac:dyDescent="0.2">
      <c r="GI32101" s="422"/>
    </row>
    <row r="32102" spans="191:191" x14ac:dyDescent="0.2">
      <c r="GI32102" s="422"/>
    </row>
    <row r="32103" spans="191:191" x14ac:dyDescent="0.2">
      <c r="GI32103" s="422"/>
    </row>
    <row r="32104" spans="191:191" x14ac:dyDescent="0.2">
      <c r="GI32104" s="422"/>
    </row>
    <row r="32105" spans="191:191" x14ac:dyDescent="0.2">
      <c r="GI32105" s="422"/>
    </row>
    <row r="32106" spans="191:191" x14ac:dyDescent="0.2">
      <c r="GI32106" s="422"/>
    </row>
    <row r="32107" spans="191:191" x14ac:dyDescent="0.2">
      <c r="GI32107" s="422"/>
    </row>
    <row r="32108" spans="191:191" x14ac:dyDescent="0.2">
      <c r="GI32108" s="422"/>
    </row>
    <row r="32109" spans="191:191" x14ac:dyDescent="0.2">
      <c r="GI32109" s="422"/>
    </row>
    <row r="32110" spans="191:191" x14ac:dyDescent="0.2">
      <c r="GI32110" s="422"/>
    </row>
    <row r="32111" spans="191:191" x14ac:dyDescent="0.2">
      <c r="GI32111" s="422"/>
    </row>
    <row r="32112" spans="191:191" x14ac:dyDescent="0.2">
      <c r="GI32112" s="422"/>
    </row>
    <row r="32113" spans="191:191" x14ac:dyDescent="0.2">
      <c r="GI32113" s="422"/>
    </row>
    <row r="32114" spans="191:191" x14ac:dyDescent="0.2">
      <c r="GI32114" s="422"/>
    </row>
    <row r="32115" spans="191:191" x14ac:dyDescent="0.2">
      <c r="GI32115" s="422"/>
    </row>
    <row r="32116" spans="191:191" x14ac:dyDescent="0.2">
      <c r="GI32116" s="422"/>
    </row>
    <row r="32117" spans="191:191" x14ac:dyDescent="0.2">
      <c r="GI32117" s="422"/>
    </row>
    <row r="32118" spans="191:191" x14ac:dyDescent="0.2">
      <c r="GI32118" s="422"/>
    </row>
    <row r="32119" spans="191:191" x14ac:dyDescent="0.2">
      <c r="GI32119" s="422"/>
    </row>
    <row r="32120" spans="191:191" x14ac:dyDescent="0.2">
      <c r="GI32120" s="422"/>
    </row>
    <row r="32121" spans="191:191" x14ac:dyDescent="0.2">
      <c r="GI32121" s="422"/>
    </row>
    <row r="32122" spans="191:191" x14ac:dyDescent="0.2">
      <c r="GI32122" s="422"/>
    </row>
    <row r="32123" spans="191:191" x14ac:dyDescent="0.2">
      <c r="GI32123" s="422"/>
    </row>
    <row r="32124" spans="191:191" x14ac:dyDescent="0.2">
      <c r="GI32124" s="422"/>
    </row>
    <row r="32125" spans="191:191" x14ac:dyDescent="0.2">
      <c r="GI32125" s="422"/>
    </row>
    <row r="32126" spans="191:191" x14ac:dyDescent="0.2">
      <c r="GI32126" s="422"/>
    </row>
    <row r="32127" spans="191:191" x14ac:dyDescent="0.2">
      <c r="GI32127" s="422"/>
    </row>
    <row r="32128" spans="191:191" x14ac:dyDescent="0.2">
      <c r="GI32128" s="422"/>
    </row>
    <row r="32129" spans="191:191" x14ac:dyDescent="0.2">
      <c r="GI32129" s="422"/>
    </row>
    <row r="32130" spans="191:191" x14ac:dyDescent="0.2">
      <c r="GI32130" s="422"/>
    </row>
    <row r="32131" spans="191:191" x14ac:dyDescent="0.2">
      <c r="GI32131" s="422"/>
    </row>
    <row r="32132" spans="191:191" x14ac:dyDescent="0.2">
      <c r="GI32132" s="422"/>
    </row>
    <row r="32133" spans="191:191" x14ac:dyDescent="0.2">
      <c r="GI32133" s="422"/>
    </row>
    <row r="32134" spans="191:191" x14ac:dyDescent="0.2">
      <c r="GI32134" s="422"/>
    </row>
    <row r="32135" spans="191:191" x14ac:dyDescent="0.2">
      <c r="GI32135" s="422"/>
    </row>
    <row r="32136" spans="191:191" x14ac:dyDescent="0.2">
      <c r="GI32136" s="422"/>
    </row>
    <row r="32137" spans="191:191" x14ac:dyDescent="0.2">
      <c r="GI32137" s="422"/>
    </row>
    <row r="32138" spans="191:191" x14ac:dyDescent="0.2">
      <c r="GI32138" s="422"/>
    </row>
    <row r="32139" spans="191:191" x14ac:dyDescent="0.2">
      <c r="GI32139" s="422"/>
    </row>
    <row r="32140" spans="191:191" x14ac:dyDescent="0.2">
      <c r="GI32140" s="422"/>
    </row>
    <row r="32141" spans="191:191" x14ac:dyDescent="0.2">
      <c r="GI32141" s="422"/>
    </row>
    <row r="32142" spans="191:191" x14ac:dyDescent="0.2">
      <c r="GI32142" s="422"/>
    </row>
    <row r="32143" spans="191:191" x14ac:dyDescent="0.2">
      <c r="GI32143" s="422"/>
    </row>
    <row r="32144" spans="191:191" x14ac:dyDescent="0.2">
      <c r="GI32144" s="422"/>
    </row>
    <row r="32145" spans="191:191" x14ac:dyDescent="0.2">
      <c r="GI32145" s="422"/>
    </row>
    <row r="32146" spans="191:191" x14ac:dyDescent="0.2">
      <c r="GI32146" s="422"/>
    </row>
    <row r="32147" spans="191:191" x14ac:dyDescent="0.2">
      <c r="GI32147" s="422"/>
    </row>
    <row r="32148" spans="191:191" x14ac:dyDescent="0.2">
      <c r="GI32148" s="422"/>
    </row>
    <row r="32149" spans="191:191" x14ac:dyDescent="0.2">
      <c r="GI32149" s="422"/>
    </row>
    <row r="32150" spans="191:191" x14ac:dyDescent="0.2">
      <c r="GI32150" s="422"/>
    </row>
    <row r="32151" spans="191:191" x14ac:dyDescent="0.2">
      <c r="GI32151" s="422"/>
    </row>
    <row r="32152" spans="191:191" x14ac:dyDescent="0.2">
      <c r="GI32152" s="422"/>
    </row>
    <row r="32153" spans="191:191" x14ac:dyDescent="0.2">
      <c r="GI32153" s="422"/>
    </row>
    <row r="32154" spans="191:191" x14ac:dyDescent="0.2">
      <c r="GI32154" s="422"/>
    </row>
    <row r="32155" spans="191:191" x14ac:dyDescent="0.2">
      <c r="GI32155" s="422"/>
    </row>
    <row r="32156" spans="191:191" x14ac:dyDescent="0.2">
      <c r="GI32156" s="422"/>
    </row>
    <row r="32157" spans="191:191" x14ac:dyDescent="0.2">
      <c r="GI32157" s="422"/>
    </row>
    <row r="32158" spans="191:191" x14ac:dyDescent="0.2">
      <c r="GI32158" s="422"/>
    </row>
    <row r="32159" spans="191:191" x14ac:dyDescent="0.2">
      <c r="GI32159" s="422"/>
    </row>
    <row r="32160" spans="191:191" x14ac:dyDescent="0.2">
      <c r="GI32160" s="422"/>
    </row>
    <row r="32161" spans="191:191" x14ac:dyDescent="0.2">
      <c r="GI32161" s="422"/>
    </row>
    <row r="32162" spans="191:191" x14ac:dyDescent="0.2">
      <c r="GI32162" s="422"/>
    </row>
    <row r="32163" spans="191:191" x14ac:dyDescent="0.2">
      <c r="GI32163" s="422"/>
    </row>
    <row r="32164" spans="191:191" x14ac:dyDescent="0.2">
      <c r="GI32164" s="422"/>
    </row>
    <row r="32165" spans="191:191" x14ac:dyDescent="0.2">
      <c r="GI32165" s="422"/>
    </row>
    <row r="32166" spans="191:191" x14ac:dyDescent="0.2">
      <c r="GI32166" s="422"/>
    </row>
    <row r="32167" spans="191:191" x14ac:dyDescent="0.2">
      <c r="GI32167" s="422"/>
    </row>
    <row r="32168" spans="191:191" x14ac:dyDescent="0.2">
      <c r="GI32168" s="422"/>
    </row>
    <row r="32169" spans="191:191" x14ac:dyDescent="0.2">
      <c r="GI32169" s="422"/>
    </row>
    <row r="32170" spans="191:191" x14ac:dyDescent="0.2">
      <c r="GI32170" s="422"/>
    </row>
    <row r="32171" spans="191:191" x14ac:dyDescent="0.2">
      <c r="GI32171" s="422"/>
    </row>
    <row r="32172" spans="191:191" x14ac:dyDescent="0.2">
      <c r="GI32172" s="422"/>
    </row>
    <row r="32173" spans="191:191" x14ac:dyDescent="0.2">
      <c r="GI32173" s="422"/>
    </row>
    <row r="32174" spans="191:191" x14ac:dyDescent="0.2">
      <c r="GI32174" s="422"/>
    </row>
    <row r="32175" spans="191:191" x14ac:dyDescent="0.2">
      <c r="GI32175" s="422"/>
    </row>
    <row r="32176" spans="191:191" x14ac:dyDescent="0.2">
      <c r="GI32176" s="422"/>
    </row>
    <row r="32177" spans="191:191" x14ac:dyDescent="0.2">
      <c r="GI32177" s="422"/>
    </row>
    <row r="32178" spans="191:191" x14ac:dyDescent="0.2">
      <c r="GI32178" s="422"/>
    </row>
    <row r="32179" spans="191:191" x14ac:dyDescent="0.2">
      <c r="GI32179" s="422"/>
    </row>
    <row r="32180" spans="191:191" x14ac:dyDescent="0.2">
      <c r="GI32180" s="422"/>
    </row>
    <row r="32181" spans="191:191" x14ac:dyDescent="0.2">
      <c r="GI32181" s="422"/>
    </row>
    <row r="32182" spans="191:191" x14ac:dyDescent="0.2">
      <c r="GI32182" s="422"/>
    </row>
    <row r="32183" spans="191:191" x14ac:dyDescent="0.2">
      <c r="GI32183" s="422"/>
    </row>
    <row r="32184" spans="191:191" x14ac:dyDescent="0.2">
      <c r="GI32184" s="422"/>
    </row>
    <row r="32185" spans="191:191" x14ac:dyDescent="0.2">
      <c r="GI32185" s="422"/>
    </row>
    <row r="32186" spans="191:191" x14ac:dyDescent="0.2">
      <c r="GI32186" s="422"/>
    </row>
    <row r="32187" spans="191:191" x14ac:dyDescent="0.2">
      <c r="GI32187" s="422"/>
    </row>
    <row r="32188" spans="191:191" x14ac:dyDescent="0.2">
      <c r="GI32188" s="422"/>
    </row>
    <row r="32189" spans="191:191" x14ac:dyDescent="0.2">
      <c r="GI32189" s="422"/>
    </row>
    <row r="32190" spans="191:191" x14ac:dyDescent="0.2">
      <c r="GI32190" s="422"/>
    </row>
    <row r="32191" spans="191:191" x14ac:dyDescent="0.2">
      <c r="GI32191" s="422"/>
    </row>
    <row r="32192" spans="191:191" x14ac:dyDescent="0.2">
      <c r="GI32192" s="422"/>
    </row>
    <row r="32193" spans="191:191" x14ac:dyDescent="0.2">
      <c r="GI32193" s="422"/>
    </row>
    <row r="32194" spans="191:191" x14ac:dyDescent="0.2">
      <c r="GI32194" s="422"/>
    </row>
    <row r="32195" spans="191:191" x14ac:dyDescent="0.2">
      <c r="GI32195" s="422"/>
    </row>
    <row r="32196" spans="191:191" x14ac:dyDescent="0.2">
      <c r="GI32196" s="422"/>
    </row>
    <row r="32197" spans="191:191" x14ac:dyDescent="0.2">
      <c r="GI32197" s="422"/>
    </row>
    <row r="32198" spans="191:191" x14ac:dyDescent="0.2">
      <c r="GI32198" s="422"/>
    </row>
    <row r="32199" spans="191:191" x14ac:dyDescent="0.2">
      <c r="GI32199" s="422"/>
    </row>
    <row r="32200" spans="191:191" x14ac:dyDescent="0.2">
      <c r="GI32200" s="422"/>
    </row>
    <row r="32201" spans="191:191" x14ac:dyDescent="0.2">
      <c r="GI32201" s="422"/>
    </row>
    <row r="32202" spans="191:191" x14ac:dyDescent="0.2">
      <c r="GI32202" s="422"/>
    </row>
    <row r="32203" spans="191:191" x14ac:dyDescent="0.2">
      <c r="GI32203" s="422"/>
    </row>
    <row r="32204" spans="191:191" x14ac:dyDescent="0.2">
      <c r="GI32204" s="422"/>
    </row>
    <row r="32205" spans="191:191" x14ac:dyDescent="0.2">
      <c r="GI32205" s="422"/>
    </row>
    <row r="32206" spans="191:191" x14ac:dyDescent="0.2">
      <c r="GI32206" s="422"/>
    </row>
    <row r="32207" spans="191:191" x14ac:dyDescent="0.2">
      <c r="GI32207" s="422"/>
    </row>
    <row r="32208" spans="191:191" x14ac:dyDescent="0.2">
      <c r="GI32208" s="422"/>
    </row>
    <row r="32209" spans="191:191" x14ac:dyDescent="0.2">
      <c r="GI32209" s="422"/>
    </row>
    <row r="32210" spans="191:191" x14ac:dyDescent="0.2">
      <c r="GI32210" s="422"/>
    </row>
    <row r="32211" spans="191:191" x14ac:dyDescent="0.2">
      <c r="GI32211" s="422"/>
    </row>
    <row r="32212" spans="191:191" x14ac:dyDescent="0.2">
      <c r="GI32212" s="422"/>
    </row>
    <row r="32213" spans="191:191" x14ac:dyDescent="0.2">
      <c r="GI32213" s="422"/>
    </row>
    <row r="32214" spans="191:191" x14ac:dyDescent="0.2">
      <c r="GI32214" s="422"/>
    </row>
    <row r="32215" spans="191:191" x14ac:dyDescent="0.2">
      <c r="GI32215" s="422"/>
    </row>
    <row r="32216" spans="191:191" x14ac:dyDescent="0.2">
      <c r="GI32216" s="422"/>
    </row>
    <row r="32217" spans="191:191" x14ac:dyDescent="0.2">
      <c r="GI32217" s="422"/>
    </row>
    <row r="32218" spans="191:191" x14ac:dyDescent="0.2">
      <c r="GI32218" s="422"/>
    </row>
    <row r="32219" spans="191:191" x14ac:dyDescent="0.2">
      <c r="GI32219" s="422"/>
    </row>
    <row r="32220" spans="191:191" x14ac:dyDescent="0.2">
      <c r="GI32220" s="422"/>
    </row>
    <row r="32221" spans="191:191" x14ac:dyDescent="0.2">
      <c r="GI32221" s="422"/>
    </row>
    <row r="32222" spans="191:191" x14ac:dyDescent="0.2">
      <c r="GI32222" s="422"/>
    </row>
    <row r="32223" spans="191:191" x14ac:dyDescent="0.2">
      <c r="GI32223" s="422"/>
    </row>
    <row r="32224" spans="191:191" x14ac:dyDescent="0.2">
      <c r="GI32224" s="422"/>
    </row>
    <row r="32225" spans="191:191" x14ac:dyDescent="0.2">
      <c r="GI32225" s="422"/>
    </row>
    <row r="32226" spans="191:191" x14ac:dyDescent="0.2">
      <c r="GI32226" s="422"/>
    </row>
    <row r="32227" spans="191:191" x14ac:dyDescent="0.2">
      <c r="GI32227" s="422"/>
    </row>
    <row r="32228" spans="191:191" x14ac:dyDescent="0.2">
      <c r="GI32228" s="422"/>
    </row>
    <row r="32229" spans="191:191" x14ac:dyDescent="0.2">
      <c r="GI32229" s="422"/>
    </row>
    <row r="32230" spans="191:191" x14ac:dyDescent="0.2">
      <c r="GI32230" s="422"/>
    </row>
    <row r="32231" spans="191:191" x14ac:dyDescent="0.2">
      <c r="GI32231" s="422"/>
    </row>
    <row r="32232" spans="191:191" x14ac:dyDescent="0.2">
      <c r="GI32232" s="422"/>
    </row>
    <row r="32233" spans="191:191" x14ac:dyDescent="0.2">
      <c r="GI32233" s="422"/>
    </row>
    <row r="32234" spans="191:191" x14ac:dyDescent="0.2">
      <c r="GI32234" s="422"/>
    </row>
    <row r="32235" spans="191:191" x14ac:dyDescent="0.2">
      <c r="GI32235" s="422"/>
    </row>
    <row r="32236" spans="191:191" x14ac:dyDescent="0.2">
      <c r="GI32236" s="422"/>
    </row>
    <row r="32237" spans="191:191" x14ac:dyDescent="0.2">
      <c r="GI32237" s="422"/>
    </row>
    <row r="32238" spans="191:191" x14ac:dyDescent="0.2">
      <c r="GI32238" s="422"/>
    </row>
    <row r="32239" spans="191:191" x14ac:dyDescent="0.2">
      <c r="GI32239" s="422"/>
    </row>
    <row r="32240" spans="191:191" x14ac:dyDescent="0.2">
      <c r="GI32240" s="422"/>
    </row>
    <row r="32241" spans="191:191" x14ac:dyDescent="0.2">
      <c r="GI32241" s="422"/>
    </row>
    <row r="32242" spans="191:191" x14ac:dyDescent="0.2">
      <c r="GI32242" s="422"/>
    </row>
    <row r="32243" spans="191:191" x14ac:dyDescent="0.2">
      <c r="GI32243" s="422"/>
    </row>
    <row r="32244" spans="191:191" x14ac:dyDescent="0.2">
      <c r="GI32244" s="422"/>
    </row>
    <row r="32245" spans="191:191" x14ac:dyDescent="0.2">
      <c r="GI32245" s="422"/>
    </row>
    <row r="32246" spans="191:191" x14ac:dyDescent="0.2">
      <c r="GI32246" s="422"/>
    </row>
    <row r="32247" spans="191:191" x14ac:dyDescent="0.2">
      <c r="GI32247" s="422"/>
    </row>
    <row r="32248" spans="191:191" x14ac:dyDescent="0.2">
      <c r="GI32248" s="422"/>
    </row>
    <row r="32249" spans="191:191" x14ac:dyDescent="0.2">
      <c r="GI32249" s="422"/>
    </row>
    <row r="32250" spans="191:191" x14ac:dyDescent="0.2">
      <c r="GI32250" s="422"/>
    </row>
    <row r="32251" spans="191:191" x14ac:dyDescent="0.2">
      <c r="GI32251" s="422"/>
    </row>
    <row r="32252" spans="191:191" x14ac:dyDescent="0.2">
      <c r="GI32252" s="422"/>
    </row>
    <row r="32253" spans="191:191" x14ac:dyDescent="0.2">
      <c r="GI32253" s="422"/>
    </row>
    <row r="32254" spans="191:191" x14ac:dyDescent="0.2">
      <c r="GI32254" s="422"/>
    </row>
    <row r="32255" spans="191:191" x14ac:dyDescent="0.2">
      <c r="GI32255" s="422"/>
    </row>
    <row r="32256" spans="191:191" x14ac:dyDescent="0.2">
      <c r="GI32256" s="422"/>
    </row>
    <row r="32257" spans="191:191" x14ac:dyDescent="0.2">
      <c r="GI32257" s="422"/>
    </row>
    <row r="32258" spans="191:191" x14ac:dyDescent="0.2">
      <c r="GI32258" s="422"/>
    </row>
    <row r="32259" spans="191:191" x14ac:dyDescent="0.2">
      <c r="GI32259" s="422"/>
    </row>
    <row r="32260" spans="191:191" x14ac:dyDescent="0.2">
      <c r="GI32260" s="422"/>
    </row>
    <row r="32261" spans="191:191" x14ac:dyDescent="0.2">
      <c r="GI32261" s="422"/>
    </row>
    <row r="32262" spans="191:191" x14ac:dyDescent="0.2">
      <c r="GI32262" s="422"/>
    </row>
    <row r="32263" spans="191:191" x14ac:dyDescent="0.2">
      <c r="GI32263" s="422"/>
    </row>
    <row r="32264" spans="191:191" x14ac:dyDescent="0.2">
      <c r="GI32264" s="422"/>
    </row>
    <row r="32265" spans="191:191" x14ac:dyDescent="0.2">
      <c r="GI32265" s="422"/>
    </row>
    <row r="32266" spans="191:191" x14ac:dyDescent="0.2">
      <c r="GI32266" s="422"/>
    </row>
    <row r="32267" spans="191:191" x14ac:dyDescent="0.2">
      <c r="GI32267" s="422"/>
    </row>
    <row r="32268" spans="191:191" x14ac:dyDescent="0.2">
      <c r="GI32268" s="422"/>
    </row>
    <row r="32269" spans="191:191" x14ac:dyDescent="0.2">
      <c r="GI32269" s="422"/>
    </row>
    <row r="32270" spans="191:191" x14ac:dyDescent="0.2">
      <c r="GI32270" s="422"/>
    </row>
    <row r="32271" spans="191:191" x14ac:dyDescent="0.2">
      <c r="GI32271" s="422"/>
    </row>
    <row r="32272" spans="191:191" x14ac:dyDescent="0.2">
      <c r="GI32272" s="422"/>
    </row>
    <row r="32273" spans="191:191" x14ac:dyDescent="0.2">
      <c r="GI32273" s="422"/>
    </row>
    <row r="32274" spans="191:191" x14ac:dyDescent="0.2">
      <c r="GI32274" s="422"/>
    </row>
    <row r="32275" spans="191:191" x14ac:dyDescent="0.2">
      <c r="GI32275" s="422"/>
    </row>
    <row r="32276" spans="191:191" x14ac:dyDescent="0.2">
      <c r="GI32276" s="422"/>
    </row>
    <row r="32277" spans="191:191" x14ac:dyDescent="0.2">
      <c r="GI32277" s="422"/>
    </row>
    <row r="32278" spans="191:191" x14ac:dyDescent="0.2">
      <c r="GI32278" s="422"/>
    </row>
    <row r="32279" spans="191:191" x14ac:dyDescent="0.2">
      <c r="GI32279" s="422"/>
    </row>
    <row r="32280" spans="191:191" x14ac:dyDescent="0.2">
      <c r="GI32280" s="422"/>
    </row>
    <row r="32281" spans="191:191" x14ac:dyDescent="0.2">
      <c r="GI32281" s="422"/>
    </row>
    <row r="32282" spans="191:191" x14ac:dyDescent="0.2">
      <c r="GI32282" s="422"/>
    </row>
    <row r="32283" spans="191:191" x14ac:dyDescent="0.2">
      <c r="GI32283" s="422"/>
    </row>
    <row r="32284" spans="191:191" x14ac:dyDescent="0.2">
      <c r="GI32284" s="422"/>
    </row>
    <row r="32285" spans="191:191" x14ac:dyDescent="0.2">
      <c r="GI32285" s="422"/>
    </row>
    <row r="32286" spans="191:191" x14ac:dyDescent="0.2">
      <c r="GI32286" s="422"/>
    </row>
    <row r="32287" spans="191:191" x14ac:dyDescent="0.2">
      <c r="GI32287" s="422"/>
    </row>
    <row r="32288" spans="191:191" x14ac:dyDescent="0.2">
      <c r="GI32288" s="422"/>
    </row>
    <row r="32289" spans="191:191" x14ac:dyDescent="0.2">
      <c r="GI32289" s="422"/>
    </row>
    <row r="32290" spans="191:191" x14ac:dyDescent="0.2">
      <c r="GI32290" s="422"/>
    </row>
    <row r="32291" spans="191:191" x14ac:dyDescent="0.2">
      <c r="GI32291" s="422"/>
    </row>
    <row r="32292" spans="191:191" x14ac:dyDescent="0.2">
      <c r="GI32292" s="422"/>
    </row>
    <row r="32293" spans="191:191" x14ac:dyDescent="0.2">
      <c r="GI32293" s="422"/>
    </row>
    <row r="32294" spans="191:191" x14ac:dyDescent="0.2">
      <c r="GI32294" s="422"/>
    </row>
    <row r="32295" spans="191:191" x14ac:dyDescent="0.2">
      <c r="GI32295" s="422"/>
    </row>
    <row r="32296" spans="191:191" x14ac:dyDescent="0.2">
      <c r="GI32296" s="422"/>
    </row>
    <row r="32297" spans="191:191" x14ac:dyDescent="0.2">
      <c r="GI32297" s="422"/>
    </row>
    <row r="32298" spans="191:191" x14ac:dyDescent="0.2">
      <c r="GI32298" s="422"/>
    </row>
    <row r="32299" spans="191:191" x14ac:dyDescent="0.2">
      <c r="GI32299" s="422"/>
    </row>
    <row r="32300" spans="191:191" x14ac:dyDescent="0.2">
      <c r="GI32300" s="422"/>
    </row>
    <row r="32301" spans="191:191" x14ac:dyDescent="0.2">
      <c r="GI32301" s="422"/>
    </row>
    <row r="32302" spans="191:191" x14ac:dyDescent="0.2">
      <c r="GI32302" s="422"/>
    </row>
    <row r="32303" spans="191:191" x14ac:dyDescent="0.2">
      <c r="GI32303" s="422"/>
    </row>
    <row r="32304" spans="191:191" x14ac:dyDescent="0.2">
      <c r="GI32304" s="422"/>
    </row>
    <row r="32305" spans="191:191" x14ac:dyDescent="0.2">
      <c r="GI32305" s="422"/>
    </row>
    <row r="32306" spans="191:191" x14ac:dyDescent="0.2">
      <c r="GI32306" s="422"/>
    </row>
    <row r="32307" spans="191:191" x14ac:dyDescent="0.2">
      <c r="GI32307" s="422"/>
    </row>
    <row r="32308" spans="191:191" x14ac:dyDescent="0.2">
      <c r="GI32308" s="422"/>
    </row>
    <row r="32309" spans="191:191" x14ac:dyDescent="0.2">
      <c r="GI32309" s="422"/>
    </row>
    <row r="32310" spans="191:191" x14ac:dyDescent="0.2">
      <c r="GI32310" s="422"/>
    </row>
    <row r="32311" spans="191:191" x14ac:dyDescent="0.2">
      <c r="GI32311" s="422"/>
    </row>
    <row r="32312" spans="191:191" x14ac:dyDescent="0.2">
      <c r="GI32312" s="422"/>
    </row>
    <row r="32313" spans="191:191" x14ac:dyDescent="0.2">
      <c r="GI32313" s="422"/>
    </row>
    <row r="32314" spans="191:191" x14ac:dyDescent="0.2">
      <c r="GI32314" s="422"/>
    </row>
    <row r="32315" spans="191:191" x14ac:dyDescent="0.2">
      <c r="GI32315" s="422"/>
    </row>
    <row r="32316" spans="191:191" x14ac:dyDescent="0.2">
      <c r="GI32316" s="422"/>
    </row>
    <row r="32317" spans="191:191" x14ac:dyDescent="0.2">
      <c r="GI32317" s="422"/>
    </row>
    <row r="32318" spans="191:191" x14ac:dyDescent="0.2">
      <c r="GI32318" s="422"/>
    </row>
    <row r="32319" spans="191:191" x14ac:dyDescent="0.2">
      <c r="GI32319" s="422"/>
    </row>
    <row r="32320" spans="191:191" x14ac:dyDescent="0.2">
      <c r="GI32320" s="422"/>
    </row>
    <row r="32321" spans="191:191" x14ac:dyDescent="0.2">
      <c r="GI32321" s="422"/>
    </row>
    <row r="32322" spans="191:191" x14ac:dyDescent="0.2">
      <c r="GI32322" s="422"/>
    </row>
    <row r="32323" spans="191:191" x14ac:dyDescent="0.2">
      <c r="GI32323" s="422"/>
    </row>
    <row r="32324" spans="191:191" x14ac:dyDescent="0.2">
      <c r="GI32324" s="422"/>
    </row>
    <row r="32325" spans="191:191" x14ac:dyDescent="0.2">
      <c r="GI32325" s="422"/>
    </row>
    <row r="32326" spans="191:191" x14ac:dyDescent="0.2">
      <c r="GI32326" s="422"/>
    </row>
    <row r="32327" spans="191:191" x14ac:dyDescent="0.2">
      <c r="GI32327" s="422"/>
    </row>
    <row r="32328" spans="191:191" x14ac:dyDescent="0.2">
      <c r="GI32328" s="422"/>
    </row>
    <row r="32329" spans="191:191" x14ac:dyDescent="0.2">
      <c r="GI32329" s="422"/>
    </row>
    <row r="32330" spans="191:191" x14ac:dyDescent="0.2">
      <c r="GI32330" s="422"/>
    </row>
    <row r="32331" spans="191:191" x14ac:dyDescent="0.2">
      <c r="GI32331" s="422"/>
    </row>
    <row r="32332" spans="191:191" x14ac:dyDescent="0.2">
      <c r="GI32332" s="422"/>
    </row>
    <row r="32333" spans="191:191" x14ac:dyDescent="0.2">
      <c r="GI32333" s="422"/>
    </row>
    <row r="32334" spans="191:191" x14ac:dyDescent="0.2">
      <c r="GI32334" s="422"/>
    </row>
    <row r="32335" spans="191:191" x14ac:dyDescent="0.2">
      <c r="GI32335" s="422"/>
    </row>
    <row r="32336" spans="191:191" x14ac:dyDescent="0.2">
      <c r="GI32336" s="422"/>
    </row>
    <row r="32337" spans="191:191" x14ac:dyDescent="0.2">
      <c r="GI32337" s="422"/>
    </row>
    <row r="32338" spans="191:191" x14ac:dyDescent="0.2">
      <c r="GI32338" s="422"/>
    </row>
    <row r="32339" spans="191:191" x14ac:dyDescent="0.2">
      <c r="GI32339" s="422"/>
    </row>
    <row r="32340" spans="191:191" x14ac:dyDescent="0.2">
      <c r="GI32340" s="422"/>
    </row>
    <row r="32341" spans="191:191" x14ac:dyDescent="0.2">
      <c r="GI32341" s="422"/>
    </row>
    <row r="32342" spans="191:191" x14ac:dyDescent="0.2">
      <c r="GI32342" s="422"/>
    </row>
    <row r="32343" spans="191:191" x14ac:dyDescent="0.2">
      <c r="GI32343" s="422"/>
    </row>
    <row r="32344" spans="191:191" x14ac:dyDescent="0.2">
      <c r="GI32344" s="422"/>
    </row>
    <row r="32345" spans="191:191" x14ac:dyDescent="0.2">
      <c r="GI32345" s="422"/>
    </row>
    <row r="32346" spans="191:191" x14ac:dyDescent="0.2">
      <c r="GI32346" s="422"/>
    </row>
    <row r="32347" spans="191:191" x14ac:dyDescent="0.2">
      <c r="GI32347" s="422"/>
    </row>
    <row r="32348" spans="191:191" x14ac:dyDescent="0.2">
      <c r="GI32348" s="422"/>
    </row>
    <row r="32349" spans="191:191" x14ac:dyDescent="0.2">
      <c r="GI32349" s="422"/>
    </row>
    <row r="32350" spans="191:191" x14ac:dyDescent="0.2">
      <c r="GI32350" s="422"/>
    </row>
    <row r="32351" spans="191:191" x14ac:dyDescent="0.2">
      <c r="GI32351" s="422"/>
    </row>
    <row r="32352" spans="191:191" x14ac:dyDescent="0.2">
      <c r="GI32352" s="422"/>
    </row>
    <row r="32353" spans="191:191" x14ac:dyDescent="0.2">
      <c r="GI32353" s="422"/>
    </row>
    <row r="32354" spans="191:191" x14ac:dyDescent="0.2">
      <c r="GI32354" s="422"/>
    </row>
    <row r="32355" spans="191:191" x14ac:dyDescent="0.2">
      <c r="GI32355" s="422"/>
    </row>
    <row r="32356" spans="191:191" x14ac:dyDescent="0.2">
      <c r="GI32356" s="422"/>
    </row>
    <row r="32357" spans="191:191" x14ac:dyDescent="0.2">
      <c r="GI32357" s="422"/>
    </row>
    <row r="32358" spans="191:191" x14ac:dyDescent="0.2">
      <c r="GI32358" s="422"/>
    </row>
    <row r="32359" spans="191:191" x14ac:dyDescent="0.2">
      <c r="GI32359" s="422"/>
    </row>
    <row r="32360" spans="191:191" x14ac:dyDescent="0.2">
      <c r="GI32360" s="422"/>
    </row>
    <row r="32361" spans="191:191" x14ac:dyDescent="0.2">
      <c r="GI32361" s="422"/>
    </row>
    <row r="32362" spans="191:191" x14ac:dyDescent="0.2">
      <c r="GI32362" s="422"/>
    </row>
    <row r="32363" spans="191:191" x14ac:dyDescent="0.2">
      <c r="GI32363" s="422"/>
    </row>
    <row r="32364" spans="191:191" x14ac:dyDescent="0.2">
      <c r="GI32364" s="422"/>
    </row>
    <row r="32365" spans="191:191" x14ac:dyDescent="0.2">
      <c r="GI32365" s="422"/>
    </row>
    <row r="32366" spans="191:191" x14ac:dyDescent="0.2">
      <c r="GI32366" s="422"/>
    </row>
    <row r="32367" spans="191:191" x14ac:dyDescent="0.2">
      <c r="GI32367" s="422"/>
    </row>
    <row r="32368" spans="191:191" x14ac:dyDescent="0.2">
      <c r="GI32368" s="422"/>
    </row>
    <row r="32369" spans="191:191" x14ac:dyDescent="0.2">
      <c r="GI32369" s="422"/>
    </row>
    <row r="32370" spans="191:191" x14ac:dyDescent="0.2">
      <c r="GI32370" s="422"/>
    </row>
    <row r="32371" spans="191:191" x14ac:dyDescent="0.2">
      <c r="GI32371" s="422"/>
    </row>
    <row r="32372" spans="191:191" x14ac:dyDescent="0.2">
      <c r="GI32372" s="422"/>
    </row>
    <row r="32373" spans="191:191" x14ac:dyDescent="0.2">
      <c r="GI32373" s="422"/>
    </row>
    <row r="32374" spans="191:191" x14ac:dyDescent="0.2">
      <c r="GI32374" s="422"/>
    </row>
    <row r="32375" spans="191:191" x14ac:dyDescent="0.2">
      <c r="GI32375" s="422"/>
    </row>
    <row r="32376" spans="191:191" x14ac:dyDescent="0.2">
      <c r="GI32376" s="422"/>
    </row>
    <row r="32377" spans="191:191" x14ac:dyDescent="0.2">
      <c r="GI32377" s="422"/>
    </row>
    <row r="32378" spans="191:191" x14ac:dyDescent="0.2">
      <c r="GI32378" s="422"/>
    </row>
    <row r="32379" spans="191:191" x14ac:dyDescent="0.2">
      <c r="GI32379" s="422"/>
    </row>
    <row r="32380" spans="191:191" x14ac:dyDescent="0.2">
      <c r="GI32380" s="422"/>
    </row>
    <row r="32381" spans="191:191" x14ac:dyDescent="0.2">
      <c r="GI32381" s="422"/>
    </row>
    <row r="32382" spans="191:191" x14ac:dyDescent="0.2">
      <c r="GI32382" s="422"/>
    </row>
    <row r="32383" spans="191:191" x14ac:dyDescent="0.2">
      <c r="GI32383" s="422"/>
    </row>
    <row r="32384" spans="191:191" x14ac:dyDescent="0.2">
      <c r="GI32384" s="422"/>
    </row>
    <row r="32385" spans="191:191" x14ac:dyDescent="0.2">
      <c r="GI32385" s="422"/>
    </row>
    <row r="32386" spans="191:191" x14ac:dyDescent="0.2">
      <c r="GI32386" s="422"/>
    </row>
    <row r="32387" spans="191:191" x14ac:dyDescent="0.2">
      <c r="GI32387" s="422"/>
    </row>
    <row r="32388" spans="191:191" x14ac:dyDescent="0.2">
      <c r="GI32388" s="422"/>
    </row>
    <row r="32389" spans="191:191" x14ac:dyDescent="0.2">
      <c r="GI32389" s="422"/>
    </row>
    <row r="32390" spans="191:191" x14ac:dyDescent="0.2">
      <c r="GI32390" s="422"/>
    </row>
    <row r="32391" spans="191:191" x14ac:dyDescent="0.2">
      <c r="GI32391" s="422"/>
    </row>
    <row r="32392" spans="191:191" x14ac:dyDescent="0.2">
      <c r="GI32392" s="422"/>
    </row>
    <row r="32393" spans="191:191" x14ac:dyDescent="0.2">
      <c r="GI32393" s="422"/>
    </row>
    <row r="32394" spans="191:191" x14ac:dyDescent="0.2">
      <c r="GI32394" s="422"/>
    </row>
    <row r="32395" spans="191:191" x14ac:dyDescent="0.2">
      <c r="GI32395" s="422"/>
    </row>
    <row r="32396" spans="191:191" x14ac:dyDescent="0.2">
      <c r="GI32396" s="422"/>
    </row>
    <row r="32397" spans="191:191" x14ac:dyDescent="0.2">
      <c r="GI32397" s="422"/>
    </row>
    <row r="32398" spans="191:191" x14ac:dyDescent="0.2">
      <c r="GI32398" s="422"/>
    </row>
    <row r="32399" spans="191:191" x14ac:dyDescent="0.2">
      <c r="GI32399" s="422"/>
    </row>
    <row r="32400" spans="191:191" x14ac:dyDescent="0.2">
      <c r="GI32400" s="422"/>
    </row>
    <row r="32401" spans="191:191" x14ac:dyDescent="0.2">
      <c r="GI32401" s="422"/>
    </row>
    <row r="32402" spans="191:191" x14ac:dyDescent="0.2">
      <c r="GI32402" s="422"/>
    </row>
    <row r="32403" spans="191:191" x14ac:dyDescent="0.2">
      <c r="GI32403" s="422"/>
    </row>
    <row r="32404" spans="191:191" x14ac:dyDescent="0.2">
      <c r="GI32404" s="422"/>
    </row>
    <row r="32405" spans="191:191" x14ac:dyDescent="0.2">
      <c r="GI32405" s="422"/>
    </row>
    <row r="32406" spans="191:191" x14ac:dyDescent="0.2">
      <c r="GI32406" s="422"/>
    </row>
    <row r="32407" spans="191:191" x14ac:dyDescent="0.2">
      <c r="GI32407" s="422"/>
    </row>
    <row r="32408" spans="191:191" x14ac:dyDescent="0.2">
      <c r="GI32408" s="422"/>
    </row>
    <row r="32409" spans="191:191" x14ac:dyDescent="0.2">
      <c r="GI32409" s="422"/>
    </row>
    <row r="32410" spans="191:191" x14ac:dyDescent="0.2">
      <c r="GI32410" s="422"/>
    </row>
    <row r="32411" spans="191:191" x14ac:dyDescent="0.2">
      <c r="GI32411" s="422"/>
    </row>
    <row r="32412" spans="191:191" x14ac:dyDescent="0.2">
      <c r="GI32412" s="422"/>
    </row>
    <row r="32413" spans="191:191" x14ac:dyDescent="0.2">
      <c r="GI32413" s="422"/>
    </row>
    <row r="32414" spans="191:191" x14ac:dyDescent="0.2">
      <c r="GI32414" s="422"/>
    </row>
    <row r="32415" spans="191:191" x14ac:dyDescent="0.2">
      <c r="GI32415" s="422"/>
    </row>
    <row r="32416" spans="191:191" x14ac:dyDescent="0.2">
      <c r="GI32416" s="422"/>
    </row>
    <row r="32417" spans="191:191" x14ac:dyDescent="0.2">
      <c r="GI32417" s="422"/>
    </row>
    <row r="32418" spans="191:191" x14ac:dyDescent="0.2">
      <c r="GI32418" s="422"/>
    </row>
    <row r="32419" spans="191:191" x14ac:dyDescent="0.2">
      <c r="GI32419" s="422"/>
    </row>
    <row r="32420" spans="191:191" x14ac:dyDescent="0.2">
      <c r="GI32420" s="422"/>
    </row>
    <row r="32421" spans="191:191" x14ac:dyDescent="0.2">
      <c r="GI32421" s="422"/>
    </row>
    <row r="32422" spans="191:191" x14ac:dyDescent="0.2">
      <c r="GI32422" s="422"/>
    </row>
    <row r="32423" spans="191:191" x14ac:dyDescent="0.2">
      <c r="GI32423" s="422"/>
    </row>
    <row r="32424" spans="191:191" x14ac:dyDescent="0.2">
      <c r="GI32424" s="422"/>
    </row>
    <row r="32425" spans="191:191" x14ac:dyDescent="0.2">
      <c r="GI32425" s="422"/>
    </row>
    <row r="32426" spans="191:191" x14ac:dyDescent="0.2">
      <c r="GI32426" s="422"/>
    </row>
    <row r="32427" spans="191:191" x14ac:dyDescent="0.2">
      <c r="GI32427" s="422"/>
    </row>
    <row r="32428" spans="191:191" x14ac:dyDescent="0.2">
      <c r="GI32428" s="422"/>
    </row>
    <row r="32429" spans="191:191" x14ac:dyDescent="0.2">
      <c r="GI32429" s="422"/>
    </row>
    <row r="32430" spans="191:191" x14ac:dyDescent="0.2">
      <c r="GI32430" s="422"/>
    </row>
    <row r="32431" spans="191:191" x14ac:dyDescent="0.2">
      <c r="GI32431" s="422"/>
    </row>
    <row r="32432" spans="191:191" x14ac:dyDescent="0.2">
      <c r="GI32432" s="422"/>
    </row>
    <row r="32433" spans="191:191" x14ac:dyDescent="0.2">
      <c r="GI32433" s="422"/>
    </row>
    <row r="32434" spans="191:191" x14ac:dyDescent="0.2">
      <c r="GI32434" s="422"/>
    </row>
    <row r="32435" spans="191:191" x14ac:dyDescent="0.2">
      <c r="GI32435" s="422"/>
    </row>
    <row r="32436" spans="191:191" x14ac:dyDescent="0.2">
      <c r="GI32436" s="422"/>
    </row>
    <row r="32437" spans="191:191" x14ac:dyDescent="0.2">
      <c r="GI32437" s="422"/>
    </row>
    <row r="32438" spans="191:191" x14ac:dyDescent="0.2">
      <c r="GI32438" s="422"/>
    </row>
    <row r="32439" spans="191:191" x14ac:dyDescent="0.2">
      <c r="GI32439" s="422"/>
    </row>
    <row r="32440" spans="191:191" x14ac:dyDescent="0.2">
      <c r="GI32440" s="422"/>
    </row>
    <row r="32441" spans="191:191" x14ac:dyDescent="0.2">
      <c r="GI32441" s="422"/>
    </row>
    <row r="32442" spans="191:191" x14ac:dyDescent="0.2">
      <c r="GI32442" s="422"/>
    </row>
    <row r="32443" spans="191:191" x14ac:dyDescent="0.2">
      <c r="GI32443" s="422"/>
    </row>
    <row r="32444" spans="191:191" x14ac:dyDescent="0.2">
      <c r="GI32444" s="422"/>
    </row>
    <row r="32445" spans="191:191" x14ac:dyDescent="0.2">
      <c r="GI32445" s="422"/>
    </row>
    <row r="32446" spans="191:191" x14ac:dyDescent="0.2">
      <c r="GI32446" s="422"/>
    </row>
    <row r="32447" spans="191:191" x14ac:dyDescent="0.2">
      <c r="GI32447" s="422"/>
    </row>
    <row r="32448" spans="191:191" x14ac:dyDescent="0.2">
      <c r="GI32448" s="422"/>
    </row>
    <row r="32449" spans="191:191" x14ac:dyDescent="0.2">
      <c r="GI32449" s="422"/>
    </row>
    <row r="32450" spans="191:191" x14ac:dyDescent="0.2">
      <c r="GI32450" s="422"/>
    </row>
    <row r="32451" spans="191:191" x14ac:dyDescent="0.2">
      <c r="GI32451" s="422"/>
    </row>
    <row r="32452" spans="191:191" x14ac:dyDescent="0.2">
      <c r="GI32452" s="422"/>
    </row>
    <row r="32453" spans="191:191" x14ac:dyDescent="0.2">
      <c r="GI32453" s="422"/>
    </row>
    <row r="32454" spans="191:191" x14ac:dyDescent="0.2">
      <c r="GI32454" s="422"/>
    </row>
    <row r="32455" spans="191:191" x14ac:dyDescent="0.2">
      <c r="GI32455" s="422"/>
    </row>
    <row r="32456" spans="191:191" x14ac:dyDescent="0.2">
      <c r="GI32456" s="422"/>
    </row>
    <row r="32457" spans="191:191" x14ac:dyDescent="0.2">
      <c r="GI32457" s="422"/>
    </row>
    <row r="32458" spans="191:191" x14ac:dyDescent="0.2">
      <c r="GI32458" s="422"/>
    </row>
    <row r="32459" spans="191:191" x14ac:dyDescent="0.2">
      <c r="GI32459" s="422"/>
    </row>
    <row r="32460" spans="191:191" x14ac:dyDescent="0.2">
      <c r="GI32460" s="422"/>
    </row>
    <row r="32461" spans="191:191" x14ac:dyDescent="0.2">
      <c r="GI32461" s="422"/>
    </row>
    <row r="32462" spans="191:191" x14ac:dyDescent="0.2">
      <c r="GI32462" s="422"/>
    </row>
    <row r="32463" spans="191:191" x14ac:dyDescent="0.2">
      <c r="GI32463" s="422"/>
    </row>
    <row r="32464" spans="191:191" x14ac:dyDescent="0.2">
      <c r="GI32464" s="422"/>
    </row>
    <row r="32465" spans="191:191" x14ac:dyDescent="0.2">
      <c r="GI32465" s="422"/>
    </row>
    <row r="32466" spans="191:191" x14ac:dyDescent="0.2">
      <c r="GI32466" s="422"/>
    </row>
    <row r="32467" spans="191:191" x14ac:dyDescent="0.2">
      <c r="GI32467" s="422"/>
    </row>
    <row r="32468" spans="191:191" x14ac:dyDescent="0.2">
      <c r="GI32468" s="422"/>
    </row>
    <row r="32469" spans="191:191" x14ac:dyDescent="0.2">
      <c r="GI32469" s="422"/>
    </row>
    <row r="32470" spans="191:191" x14ac:dyDescent="0.2">
      <c r="GI32470" s="422"/>
    </row>
    <row r="32471" spans="191:191" x14ac:dyDescent="0.2">
      <c r="GI32471" s="422"/>
    </row>
    <row r="32472" spans="191:191" x14ac:dyDescent="0.2">
      <c r="GI32472" s="422"/>
    </row>
    <row r="32473" spans="191:191" x14ac:dyDescent="0.2">
      <c r="GI32473" s="422"/>
    </row>
    <row r="32474" spans="191:191" x14ac:dyDescent="0.2">
      <c r="GI32474" s="422"/>
    </row>
    <row r="32475" spans="191:191" x14ac:dyDescent="0.2">
      <c r="GI32475" s="422"/>
    </row>
    <row r="32476" spans="191:191" x14ac:dyDescent="0.2">
      <c r="GI32476" s="422"/>
    </row>
    <row r="32477" spans="191:191" x14ac:dyDescent="0.2">
      <c r="GI32477" s="422"/>
    </row>
    <row r="32478" spans="191:191" x14ac:dyDescent="0.2">
      <c r="GI32478" s="422"/>
    </row>
    <row r="32479" spans="191:191" x14ac:dyDescent="0.2">
      <c r="GI32479" s="422"/>
    </row>
    <row r="32480" spans="191:191" x14ac:dyDescent="0.2">
      <c r="GI32480" s="422"/>
    </row>
    <row r="32481" spans="191:191" x14ac:dyDescent="0.2">
      <c r="GI32481" s="422"/>
    </row>
    <row r="32482" spans="191:191" x14ac:dyDescent="0.2">
      <c r="GI32482" s="422"/>
    </row>
    <row r="32483" spans="191:191" x14ac:dyDescent="0.2">
      <c r="GI32483" s="422"/>
    </row>
    <row r="32484" spans="191:191" x14ac:dyDescent="0.2">
      <c r="GI32484" s="422"/>
    </row>
    <row r="32485" spans="191:191" x14ac:dyDescent="0.2">
      <c r="GI32485" s="422"/>
    </row>
    <row r="32486" spans="191:191" x14ac:dyDescent="0.2">
      <c r="GI32486" s="422"/>
    </row>
    <row r="32487" spans="191:191" x14ac:dyDescent="0.2">
      <c r="GI32487" s="422"/>
    </row>
    <row r="32488" spans="191:191" x14ac:dyDescent="0.2">
      <c r="GI32488" s="422"/>
    </row>
    <row r="32489" spans="191:191" x14ac:dyDescent="0.2">
      <c r="GI32489" s="422"/>
    </row>
    <row r="32490" spans="191:191" x14ac:dyDescent="0.2">
      <c r="GI32490" s="422"/>
    </row>
    <row r="32491" spans="191:191" x14ac:dyDescent="0.2">
      <c r="GI32491" s="422"/>
    </row>
    <row r="32492" spans="191:191" x14ac:dyDescent="0.2">
      <c r="GI32492" s="422"/>
    </row>
    <row r="32493" spans="191:191" x14ac:dyDescent="0.2">
      <c r="GI32493" s="422"/>
    </row>
    <row r="32494" spans="191:191" x14ac:dyDescent="0.2">
      <c r="GI32494" s="422"/>
    </row>
    <row r="32495" spans="191:191" x14ac:dyDescent="0.2">
      <c r="GI32495" s="422"/>
    </row>
    <row r="32496" spans="191:191" x14ac:dyDescent="0.2">
      <c r="GI32496" s="422"/>
    </row>
    <row r="32497" spans="191:191" x14ac:dyDescent="0.2">
      <c r="GI32497" s="422"/>
    </row>
    <row r="32498" spans="191:191" x14ac:dyDescent="0.2">
      <c r="GI32498" s="422"/>
    </row>
    <row r="32499" spans="191:191" x14ac:dyDescent="0.2">
      <c r="GI32499" s="422"/>
    </row>
    <row r="32500" spans="191:191" x14ac:dyDescent="0.2">
      <c r="GI32500" s="422"/>
    </row>
    <row r="32501" spans="191:191" x14ac:dyDescent="0.2">
      <c r="GI32501" s="422"/>
    </row>
    <row r="32502" spans="191:191" x14ac:dyDescent="0.2">
      <c r="GI32502" s="422"/>
    </row>
    <row r="32503" spans="191:191" x14ac:dyDescent="0.2">
      <c r="GI32503" s="422"/>
    </row>
    <row r="32504" spans="191:191" x14ac:dyDescent="0.2">
      <c r="GI32504" s="422"/>
    </row>
    <row r="32505" spans="191:191" x14ac:dyDescent="0.2">
      <c r="GI32505" s="422"/>
    </row>
    <row r="32506" spans="191:191" x14ac:dyDescent="0.2">
      <c r="GI32506" s="422"/>
    </row>
    <row r="32507" spans="191:191" x14ac:dyDescent="0.2">
      <c r="GI32507" s="422"/>
    </row>
    <row r="32508" spans="191:191" x14ac:dyDescent="0.2">
      <c r="GI32508" s="422"/>
    </row>
    <row r="32509" spans="191:191" x14ac:dyDescent="0.2">
      <c r="GI32509" s="422"/>
    </row>
    <row r="32510" spans="191:191" x14ac:dyDescent="0.2">
      <c r="GI32510" s="422"/>
    </row>
    <row r="32511" spans="191:191" x14ac:dyDescent="0.2">
      <c r="GI32511" s="422"/>
    </row>
    <row r="32512" spans="191:191" x14ac:dyDescent="0.2">
      <c r="GI32512" s="422"/>
    </row>
    <row r="32513" spans="191:191" x14ac:dyDescent="0.2">
      <c r="GI32513" s="422"/>
    </row>
    <row r="32514" spans="191:191" x14ac:dyDescent="0.2">
      <c r="GI32514" s="422"/>
    </row>
    <row r="32515" spans="191:191" x14ac:dyDescent="0.2">
      <c r="GI32515" s="422"/>
    </row>
    <row r="32516" spans="191:191" x14ac:dyDescent="0.2">
      <c r="GI32516" s="422"/>
    </row>
    <row r="32517" spans="191:191" x14ac:dyDescent="0.2">
      <c r="GI32517" s="422"/>
    </row>
    <row r="32518" spans="191:191" x14ac:dyDescent="0.2">
      <c r="GI32518" s="422"/>
    </row>
    <row r="32519" spans="191:191" x14ac:dyDescent="0.2">
      <c r="GI32519" s="422"/>
    </row>
    <row r="32520" spans="191:191" x14ac:dyDescent="0.2">
      <c r="GI32520" s="422"/>
    </row>
    <row r="32521" spans="191:191" x14ac:dyDescent="0.2">
      <c r="GI32521" s="422"/>
    </row>
    <row r="32522" spans="191:191" x14ac:dyDescent="0.2">
      <c r="GI32522" s="422"/>
    </row>
    <row r="32523" spans="191:191" x14ac:dyDescent="0.2">
      <c r="GI32523" s="422"/>
    </row>
    <row r="32524" spans="191:191" x14ac:dyDescent="0.2">
      <c r="GI32524" s="422"/>
    </row>
    <row r="32525" spans="191:191" x14ac:dyDescent="0.2">
      <c r="GI32525" s="422"/>
    </row>
    <row r="32526" spans="191:191" x14ac:dyDescent="0.2">
      <c r="GI32526" s="422"/>
    </row>
    <row r="32527" spans="191:191" x14ac:dyDescent="0.2">
      <c r="GI32527" s="422"/>
    </row>
    <row r="32528" spans="191:191" x14ac:dyDescent="0.2">
      <c r="GI32528" s="422"/>
    </row>
    <row r="32529" spans="191:191" x14ac:dyDescent="0.2">
      <c r="GI32529" s="422"/>
    </row>
    <row r="32530" spans="191:191" x14ac:dyDescent="0.2">
      <c r="GI32530" s="422"/>
    </row>
    <row r="32531" spans="191:191" x14ac:dyDescent="0.2">
      <c r="GI32531" s="422"/>
    </row>
    <row r="32532" spans="191:191" x14ac:dyDescent="0.2">
      <c r="GI32532" s="422"/>
    </row>
    <row r="32533" spans="191:191" x14ac:dyDescent="0.2">
      <c r="GI32533" s="422"/>
    </row>
    <row r="32534" spans="191:191" x14ac:dyDescent="0.2">
      <c r="GI32534" s="422"/>
    </row>
    <row r="32535" spans="191:191" x14ac:dyDescent="0.2">
      <c r="GI32535" s="422"/>
    </row>
    <row r="32536" spans="191:191" x14ac:dyDescent="0.2">
      <c r="GI32536" s="422"/>
    </row>
    <row r="32537" spans="191:191" x14ac:dyDescent="0.2">
      <c r="GI32537" s="422"/>
    </row>
    <row r="32538" spans="191:191" x14ac:dyDescent="0.2">
      <c r="GI32538" s="422"/>
    </row>
    <row r="32539" spans="191:191" x14ac:dyDescent="0.2">
      <c r="GI32539" s="422"/>
    </row>
    <row r="32540" spans="191:191" x14ac:dyDescent="0.2">
      <c r="GI32540" s="422"/>
    </row>
    <row r="32541" spans="191:191" x14ac:dyDescent="0.2">
      <c r="GI32541" s="422"/>
    </row>
    <row r="32542" spans="191:191" x14ac:dyDescent="0.2">
      <c r="GI32542" s="422"/>
    </row>
    <row r="32543" spans="191:191" x14ac:dyDescent="0.2">
      <c r="GI32543" s="422"/>
    </row>
    <row r="32544" spans="191:191" x14ac:dyDescent="0.2">
      <c r="GI32544" s="422"/>
    </row>
    <row r="32545" spans="191:191" x14ac:dyDescent="0.2">
      <c r="GI32545" s="422"/>
    </row>
    <row r="32546" spans="191:191" x14ac:dyDescent="0.2">
      <c r="GI32546" s="422"/>
    </row>
    <row r="32547" spans="191:191" x14ac:dyDescent="0.2">
      <c r="GI32547" s="422"/>
    </row>
    <row r="32548" spans="191:191" x14ac:dyDescent="0.2">
      <c r="GI32548" s="422"/>
    </row>
    <row r="32549" spans="191:191" x14ac:dyDescent="0.2">
      <c r="GI32549" s="422"/>
    </row>
    <row r="32550" spans="191:191" x14ac:dyDescent="0.2">
      <c r="GI32550" s="422"/>
    </row>
    <row r="32551" spans="191:191" x14ac:dyDescent="0.2">
      <c r="GI32551" s="422"/>
    </row>
    <row r="32552" spans="191:191" x14ac:dyDescent="0.2">
      <c r="GI32552" s="422"/>
    </row>
    <row r="32553" spans="191:191" x14ac:dyDescent="0.2">
      <c r="GI32553" s="422"/>
    </row>
    <row r="32554" spans="191:191" x14ac:dyDescent="0.2">
      <c r="GI32554" s="422"/>
    </row>
    <row r="32555" spans="191:191" x14ac:dyDescent="0.2">
      <c r="GI32555" s="422"/>
    </row>
    <row r="32556" spans="191:191" x14ac:dyDescent="0.2">
      <c r="GI32556" s="422"/>
    </row>
    <row r="32557" spans="191:191" x14ac:dyDescent="0.2">
      <c r="GI32557" s="422"/>
    </row>
    <row r="32558" spans="191:191" x14ac:dyDescent="0.2">
      <c r="GI32558" s="422"/>
    </row>
    <row r="32559" spans="191:191" x14ac:dyDescent="0.2">
      <c r="GI32559" s="422"/>
    </row>
    <row r="32560" spans="191:191" x14ac:dyDescent="0.2">
      <c r="GI32560" s="422"/>
    </row>
    <row r="32561" spans="191:191" x14ac:dyDescent="0.2">
      <c r="GI32561" s="422"/>
    </row>
    <row r="32562" spans="191:191" x14ac:dyDescent="0.2">
      <c r="GI32562" s="422"/>
    </row>
    <row r="32563" spans="191:191" x14ac:dyDescent="0.2">
      <c r="GI32563" s="422"/>
    </row>
    <row r="32564" spans="191:191" x14ac:dyDescent="0.2">
      <c r="GI32564" s="422"/>
    </row>
    <row r="32565" spans="191:191" x14ac:dyDescent="0.2">
      <c r="GI32565" s="422"/>
    </row>
    <row r="32566" spans="191:191" x14ac:dyDescent="0.2">
      <c r="GI32566" s="422"/>
    </row>
    <row r="32567" spans="191:191" x14ac:dyDescent="0.2">
      <c r="GI32567" s="422"/>
    </row>
    <row r="32568" spans="191:191" x14ac:dyDescent="0.2">
      <c r="GI32568" s="422"/>
    </row>
    <row r="32569" spans="191:191" x14ac:dyDescent="0.2">
      <c r="GI32569" s="422"/>
    </row>
    <row r="32570" spans="191:191" x14ac:dyDescent="0.2">
      <c r="GI32570" s="422"/>
    </row>
    <row r="32571" spans="191:191" x14ac:dyDescent="0.2">
      <c r="GI32571" s="422"/>
    </row>
    <row r="32572" spans="191:191" x14ac:dyDescent="0.2">
      <c r="GI32572" s="422"/>
    </row>
    <row r="32573" spans="191:191" x14ac:dyDescent="0.2">
      <c r="GI32573" s="422"/>
    </row>
    <row r="32574" spans="191:191" x14ac:dyDescent="0.2">
      <c r="GI32574" s="422"/>
    </row>
    <row r="32575" spans="191:191" x14ac:dyDescent="0.2">
      <c r="GI32575" s="422"/>
    </row>
    <row r="32576" spans="191:191" x14ac:dyDescent="0.2">
      <c r="GI32576" s="422"/>
    </row>
    <row r="32577" spans="191:191" x14ac:dyDescent="0.2">
      <c r="GI32577" s="422"/>
    </row>
    <row r="32578" spans="191:191" x14ac:dyDescent="0.2">
      <c r="GI32578" s="422"/>
    </row>
    <row r="32579" spans="191:191" x14ac:dyDescent="0.2">
      <c r="GI32579" s="422"/>
    </row>
    <row r="32580" spans="191:191" x14ac:dyDescent="0.2">
      <c r="GI32580" s="422"/>
    </row>
    <row r="32581" spans="191:191" x14ac:dyDescent="0.2">
      <c r="GI32581" s="422"/>
    </row>
    <row r="32582" spans="191:191" x14ac:dyDescent="0.2">
      <c r="GI32582" s="422"/>
    </row>
    <row r="32583" spans="191:191" x14ac:dyDescent="0.2">
      <c r="GI32583" s="422"/>
    </row>
    <row r="32584" spans="191:191" x14ac:dyDescent="0.2">
      <c r="GI32584" s="422"/>
    </row>
    <row r="32585" spans="191:191" x14ac:dyDescent="0.2">
      <c r="GI32585" s="422"/>
    </row>
    <row r="32586" spans="191:191" x14ac:dyDescent="0.2">
      <c r="GI32586" s="422"/>
    </row>
    <row r="32587" spans="191:191" x14ac:dyDescent="0.2">
      <c r="GI32587" s="422"/>
    </row>
    <row r="32588" spans="191:191" x14ac:dyDescent="0.2">
      <c r="GI32588" s="422"/>
    </row>
    <row r="32589" spans="191:191" x14ac:dyDescent="0.2">
      <c r="GI32589" s="422"/>
    </row>
    <row r="32590" spans="191:191" x14ac:dyDescent="0.2">
      <c r="GI32590" s="422"/>
    </row>
    <row r="32591" spans="191:191" x14ac:dyDescent="0.2">
      <c r="GI32591" s="422"/>
    </row>
    <row r="32592" spans="191:191" x14ac:dyDescent="0.2">
      <c r="GI32592" s="422"/>
    </row>
    <row r="32593" spans="191:191" x14ac:dyDescent="0.2">
      <c r="GI32593" s="422"/>
    </row>
    <row r="32594" spans="191:191" x14ac:dyDescent="0.2">
      <c r="GI32594" s="422"/>
    </row>
    <row r="32595" spans="191:191" x14ac:dyDescent="0.2">
      <c r="GI32595" s="422"/>
    </row>
    <row r="32596" spans="191:191" x14ac:dyDescent="0.2">
      <c r="GI32596" s="422"/>
    </row>
    <row r="32597" spans="191:191" x14ac:dyDescent="0.2">
      <c r="GI32597" s="422"/>
    </row>
    <row r="32598" spans="191:191" x14ac:dyDescent="0.2">
      <c r="GI32598" s="422"/>
    </row>
    <row r="32599" spans="191:191" x14ac:dyDescent="0.2">
      <c r="GI32599" s="422"/>
    </row>
    <row r="32600" spans="191:191" x14ac:dyDescent="0.2">
      <c r="GI32600" s="422"/>
    </row>
    <row r="32601" spans="191:191" x14ac:dyDescent="0.2">
      <c r="GI32601" s="422"/>
    </row>
    <row r="32602" spans="191:191" x14ac:dyDescent="0.2">
      <c r="GI32602" s="422"/>
    </row>
    <row r="32603" spans="191:191" x14ac:dyDescent="0.2">
      <c r="GI32603" s="422"/>
    </row>
    <row r="32604" spans="191:191" x14ac:dyDescent="0.2">
      <c r="GI32604" s="422"/>
    </row>
    <row r="32605" spans="191:191" x14ac:dyDescent="0.2">
      <c r="GI32605" s="422"/>
    </row>
    <row r="32606" spans="191:191" x14ac:dyDescent="0.2">
      <c r="GI32606" s="422"/>
    </row>
    <row r="32607" spans="191:191" x14ac:dyDescent="0.2">
      <c r="GI32607" s="422"/>
    </row>
    <row r="32608" spans="191:191" x14ac:dyDescent="0.2">
      <c r="GI32608" s="422"/>
    </row>
    <row r="32609" spans="191:191" x14ac:dyDescent="0.2">
      <c r="GI32609" s="422"/>
    </row>
    <row r="32610" spans="191:191" x14ac:dyDescent="0.2">
      <c r="GI32610" s="422"/>
    </row>
    <row r="32611" spans="191:191" x14ac:dyDescent="0.2">
      <c r="GI32611" s="422"/>
    </row>
    <row r="32612" spans="191:191" x14ac:dyDescent="0.2">
      <c r="GI32612" s="422"/>
    </row>
    <row r="32613" spans="191:191" x14ac:dyDescent="0.2">
      <c r="GI32613" s="422"/>
    </row>
    <row r="32614" spans="191:191" x14ac:dyDescent="0.2">
      <c r="GI32614" s="422"/>
    </row>
    <row r="32615" spans="191:191" x14ac:dyDescent="0.2">
      <c r="GI32615" s="422"/>
    </row>
    <row r="32616" spans="191:191" x14ac:dyDescent="0.2">
      <c r="GI32616" s="422"/>
    </row>
    <row r="32617" spans="191:191" x14ac:dyDescent="0.2">
      <c r="GI32617" s="422"/>
    </row>
    <row r="32618" spans="191:191" x14ac:dyDescent="0.2">
      <c r="GI32618" s="422"/>
    </row>
    <row r="32619" spans="191:191" x14ac:dyDescent="0.2">
      <c r="GI32619" s="422"/>
    </row>
    <row r="32620" spans="191:191" x14ac:dyDescent="0.2">
      <c r="GI32620" s="422"/>
    </row>
    <row r="32621" spans="191:191" x14ac:dyDescent="0.2">
      <c r="GI32621" s="422"/>
    </row>
    <row r="32622" spans="191:191" x14ac:dyDescent="0.2">
      <c r="GI32622" s="422"/>
    </row>
    <row r="32623" spans="191:191" x14ac:dyDescent="0.2">
      <c r="GI32623" s="422"/>
    </row>
    <row r="32624" spans="191:191" x14ac:dyDescent="0.2">
      <c r="GI32624" s="422"/>
    </row>
    <row r="32625" spans="191:191" x14ac:dyDescent="0.2">
      <c r="GI32625" s="422"/>
    </row>
    <row r="32626" spans="191:191" x14ac:dyDescent="0.2">
      <c r="GI32626" s="422"/>
    </row>
    <row r="32627" spans="191:191" x14ac:dyDescent="0.2">
      <c r="GI32627" s="422"/>
    </row>
    <row r="32628" spans="191:191" x14ac:dyDescent="0.2">
      <c r="GI32628" s="422"/>
    </row>
    <row r="32629" spans="191:191" x14ac:dyDescent="0.2">
      <c r="GI32629" s="422"/>
    </row>
    <row r="32630" spans="191:191" x14ac:dyDescent="0.2">
      <c r="GI32630" s="422"/>
    </row>
    <row r="32631" spans="191:191" x14ac:dyDescent="0.2">
      <c r="GI32631" s="422"/>
    </row>
    <row r="32632" spans="191:191" x14ac:dyDescent="0.2">
      <c r="GI32632" s="422"/>
    </row>
    <row r="32633" spans="191:191" x14ac:dyDescent="0.2">
      <c r="GI32633" s="422"/>
    </row>
    <row r="32634" spans="191:191" x14ac:dyDescent="0.2">
      <c r="GI32634" s="422"/>
    </row>
    <row r="32635" spans="191:191" x14ac:dyDescent="0.2">
      <c r="GI32635" s="422"/>
    </row>
    <row r="32636" spans="191:191" x14ac:dyDescent="0.2">
      <c r="GI32636" s="422"/>
    </row>
    <row r="32637" spans="191:191" x14ac:dyDescent="0.2">
      <c r="GI32637" s="422"/>
    </row>
    <row r="32638" spans="191:191" x14ac:dyDescent="0.2">
      <c r="GI32638" s="422"/>
    </row>
    <row r="32639" spans="191:191" x14ac:dyDescent="0.2">
      <c r="GI32639" s="422"/>
    </row>
    <row r="32640" spans="191:191" x14ac:dyDescent="0.2">
      <c r="GI32640" s="422"/>
    </row>
    <row r="32641" spans="191:191" x14ac:dyDescent="0.2">
      <c r="GI32641" s="422"/>
    </row>
    <row r="32642" spans="191:191" x14ac:dyDescent="0.2">
      <c r="GI32642" s="422"/>
    </row>
    <row r="32643" spans="191:191" x14ac:dyDescent="0.2">
      <c r="GI32643" s="422"/>
    </row>
    <row r="32644" spans="191:191" x14ac:dyDescent="0.2">
      <c r="GI32644" s="422"/>
    </row>
    <row r="32645" spans="191:191" x14ac:dyDescent="0.2">
      <c r="GI32645" s="422"/>
    </row>
    <row r="32646" spans="191:191" x14ac:dyDescent="0.2">
      <c r="GI32646" s="422"/>
    </row>
    <row r="32647" spans="191:191" x14ac:dyDescent="0.2">
      <c r="GI32647" s="422"/>
    </row>
    <row r="32648" spans="191:191" x14ac:dyDescent="0.2">
      <c r="GI32648" s="422"/>
    </row>
    <row r="32649" spans="191:191" x14ac:dyDescent="0.2">
      <c r="GI32649" s="422"/>
    </row>
    <row r="32650" spans="191:191" x14ac:dyDescent="0.2">
      <c r="GI32650" s="422"/>
    </row>
    <row r="32651" spans="191:191" x14ac:dyDescent="0.2">
      <c r="GI32651" s="422"/>
    </row>
    <row r="32652" spans="191:191" x14ac:dyDescent="0.2">
      <c r="GI32652" s="422"/>
    </row>
    <row r="32653" spans="191:191" x14ac:dyDescent="0.2">
      <c r="GI32653" s="422"/>
    </row>
    <row r="32654" spans="191:191" x14ac:dyDescent="0.2">
      <c r="GI32654" s="422"/>
    </row>
    <row r="32655" spans="191:191" x14ac:dyDescent="0.2">
      <c r="GI32655" s="422"/>
    </row>
    <row r="32656" spans="191:191" x14ac:dyDescent="0.2">
      <c r="GI32656" s="422"/>
    </row>
    <row r="32657" spans="191:191" x14ac:dyDescent="0.2">
      <c r="GI32657" s="422"/>
    </row>
    <row r="32658" spans="191:191" x14ac:dyDescent="0.2">
      <c r="GI32658" s="422"/>
    </row>
    <row r="32659" spans="191:191" x14ac:dyDescent="0.2">
      <c r="GI32659" s="422"/>
    </row>
    <row r="32660" spans="191:191" x14ac:dyDescent="0.2">
      <c r="GI32660" s="422"/>
    </row>
    <row r="32661" spans="191:191" x14ac:dyDescent="0.2">
      <c r="GI32661" s="422"/>
    </row>
    <row r="32662" spans="191:191" x14ac:dyDescent="0.2">
      <c r="GI32662" s="422"/>
    </row>
    <row r="32663" spans="191:191" x14ac:dyDescent="0.2">
      <c r="GI32663" s="422"/>
    </row>
    <row r="32664" spans="191:191" x14ac:dyDescent="0.2">
      <c r="GI32664" s="422"/>
    </row>
    <row r="32665" spans="191:191" x14ac:dyDescent="0.2">
      <c r="GI32665" s="422"/>
    </row>
    <row r="32666" spans="191:191" x14ac:dyDescent="0.2">
      <c r="GI32666" s="422"/>
    </row>
    <row r="32667" spans="191:191" x14ac:dyDescent="0.2">
      <c r="GI32667" s="422"/>
    </row>
    <row r="32668" spans="191:191" x14ac:dyDescent="0.2">
      <c r="GI32668" s="422"/>
    </row>
    <row r="32669" spans="191:191" x14ac:dyDescent="0.2">
      <c r="GI32669" s="422"/>
    </row>
    <row r="32670" spans="191:191" x14ac:dyDescent="0.2">
      <c r="GI32670" s="422"/>
    </row>
    <row r="32671" spans="191:191" x14ac:dyDescent="0.2">
      <c r="GI32671" s="422"/>
    </row>
    <row r="32672" spans="191:191" x14ac:dyDescent="0.2">
      <c r="GI32672" s="422"/>
    </row>
    <row r="32673" spans="191:191" x14ac:dyDescent="0.2">
      <c r="GI32673" s="422"/>
    </row>
    <row r="32674" spans="191:191" x14ac:dyDescent="0.2">
      <c r="GI32674" s="422"/>
    </row>
    <row r="32675" spans="191:191" x14ac:dyDescent="0.2">
      <c r="GI32675" s="422"/>
    </row>
    <row r="32676" spans="191:191" x14ac:dyDescent="0.2">
      <c r="GI32676" s="422"/>
    </row>
    <row r="32677" spans="191:191" x14ac:dyDescent="0.2">
      <c r="GI32677" s="422"/>
    </row>
    <row r="32678" spans="191:191" x14ac:dyDescent="0.2">
      <c r="GI32678" s="422"/>
    </row>
    <row r="32679" spans="191:191" x14ac:dyDescent="0.2">
      <c r="GI32679" s="422"/>
    </row>
    <row r="32680" spans="191:191" x14ac:dyDescent="0.2">
      <c r="GI32680" s="422"/>
    </row>
    <row r="32681" spans="191:191" x14ac:dyDescent="0.2">
      <c r="GI32681" s="422"/>
    </row>
    <row r="32682" spans="191:191" x14ac:dyDescent="0.2">
      <c r="GI32682" s="422"/>
    </row>
    <row r="32683" spans="191:191" x14ac:dyDescent="0.2">
      <c r="GI32683" s="422"/>
    </row>
    <row r="32684" spans="191:191" x14ac:dyDescent="0.2">
      <c r="GI32684" s="422"/>
    </row>
    <row r="32685" spans="191:191" x14ac:dyDescent="0.2">
      <c r="GI32685" s="422"/>
    </row>
    <row r="32686" spans="191:191" x14ac:dyDescent="0.2">
      <c r="GI32686" s="422"/>
    </row>
    <row r="32687" spans="191:191" x14ac:dyDescent="0.2">
      <c r="GI32687" s="422"/>
    </row>
    <row r="32688" spans="191:191" x14ac:dyDescent="0.2">
      <c r="GI32688" s="422"/>
    </row>
    <row r="32689" spans="191:191" x14ac:dyDescent="0.2">
      <c r="GI32689" s="422"/>
    </row>
    <row r="32690" spans="191:191" x14ac:dyDescent="0.2">
      <c r="GI32690" s="422"/>
    </row>
    <row r="32691" spans="191:191" x14ac:dyDescent="0.2">
      <c r="GI32691" s="422"/>
    </row>
    <row r="32692" spans="191:191" x14ac:dyDescent="0.2">
      <c r="GI32692" s="422"/>
    </row>
    <row r="32693" spans="191:191" x14ac:dyDescent="0.2">
      <c r="GI32693" s="422"/>
    </row>
    <row r="32694" spans="191:191" x14ac:dyDescent="0.2">
      <c r="GI32694" s="422"/>
    </row>
    <row r="32695" spans="191:191" x14ac:dyDescent="0.2">
      <c r="GI32695" s="422"/>
    </row>
    <row r="32696" spans="191:191" x14ac:dyDescent="0.2">
      <c r="GI32696" s="422"/>
    </row>
    <row r="32697" spans="191:191" x14ac:dyDescent="0.2">
      <c r="GI32697" s="422"/>
    </row>
    <row r="32698" spans="191:191" x14ac:dyDescent="0.2">
      <c r="GI32698" s="422"/>
    </row>
    <row r="32699" spans="191:191" x14ac:dyDescent="0.2">
      <c r="GI32699" s="422"/>
    </row>
    <row r="32700" spans="191:191" x14ac:dyDescent="0.2">
      <c r="GI32700" s="422"/>
    </row>
    <row r="32701" spans="191:191" x14ac:dyDescent="0.2">
      <c r="GI32701" s="422"/>
    </row>
    <row r="32702" spans="191:191" x14ac:dyDescent="0.2">
      <c r="GI32702" s="422"/>
    </row>
    <row r="32703" spans="191:191" x14ac:dyDescent="0.2">
      <c r="GI32703" s="422"/>
    </row>
    <row r="32704" spans="191:191" x14ac:dyDescent="0.2">
      <c r="GI32704" s="422"/>
    </row>
    <row r="32705" spans="191:191" x14ac:dyDescent="0.2">
      <c r="GI32705" s="422"/>
    </row>
    <row r="32706" spans="191:191" x14ac:dyDescent="0.2">
      <c r="GI32706" s="422"/>
    </row>
    <row r="32707" spans="191:191" x14ac:dyDescent="0.2">
      <c r="GI32707" s="422"/>
    </row>
    <row r="32708" spans="191:191" x14ac:dyDescent="0.2">
      <c r="GI32708" s="422"/>
    </row>
    <row r="32709" spans="191:191" x14ac:dyDescent="0.2">
      <c r="GI32709" s="422"/>
    </row>
    <row r="32710" spans="191:191" x14ac:dyDescent="0.2">
      <c r="GI32710" s="422"/>
    </row>
    <row r="32711" spans="191:191" x14ac:dyDescent="0.2">
      <c r="GI32711" s="422"/>
    </row>
    <row r="32712" spans="191:191" x14ac:dyDescent="0.2">
      <c r="GI32712" s="422"/>
    </row>
    <row r="32713" spans="191:191" x14ac:dyDescent="0.2">
      <c r="GI32713" s="422"/>
    </row>
    <row r="32714" spans="191:191" x14ac:dyDescent="0.2">
      <c r="GI32714" s="422"/>
    </row>
    <row r="32715" spans="191:191" x14ac:dyDescent="0.2">
      <c r="GI32715" s="422"/>
    </row>
    <row r="32716" spans="191:191" x14ac:dyDescent="0.2">
      <c r="GI32716" s="422"/>
    </row>
    <row r="32717" spans="191:191" x14ac:dyDescent="0.2">
      <c r="GI32717" s="422"/>
    </row>
    <row r="32718" spans="191:191" x14ac:dyDescent="0.2">
      <c r="GI32718" s="422"/>
    </row>
    <row r="32719" spans="191:191" x14ac:dyDescent="0.2">
      <c r="GI32719" s="422"/>
    </row>
    <row r="32720" spans="191:191" x14ac:dyDescent="0.2">
      <c r="GI32720" s="422"/>
    </row>
    <row r="32721" spans="191:191" x14ac:dyDescent="0.2">
      <c r="GI32721" s="422"/>
    </row>
    <row r="32722" spans="191:191" x14ac:dyDescent="0.2">
      <c r="GI32722" s="422"/>
    </row>
    <row r="32723" spans="191:191" x14ac:dyDescent="0.2">
      <c r="GI32723" s="422"/>
    </row>
    <row r="32724" spans="191:191" x14ac:dyDescent="0.2">
      <c r="GI32724" s="422"/>
    </row>
    <row r="32725" spans="191:191" x14ac:dyDescent="0.2">
      <c r="GI32725" s="422"/>
    </row>
    <row r="32726" spans="191:191" x14ac:dyDescent="0.2">
      <c r="GI32726" s="422"/>
    </row>
    <row r="32727" spans="191:191" x14ac:dyDescent="0.2">
      <c r="GI32727" s="422"/>
    </row>
    <row r="32728" spans="191:191" x14ac:dyDescent="0.2">
      <c r="GI32728" s="422"/>
    </row>
    <row r="32729" spans="191:191" x14ac:dyDescent="0.2">
      <c r="GI32729" s="422"/>
    </row>
    <row r="32730" spans="191:191" x14ac:dyDescent="0.2">
      <c r="GI32730" s="422"/>
    </row>
    <row r="32731" spans="191:191" x14ac:dyDescent="0.2">
      <c r="GI32731" s="422"/>
    </row>
    <row r="32732" spans="191:191" x14ac:dyDescent="0.2">
      <c r="GI32732" s="422"/>
    </row>
    <row r="32733" spans="191:191" x14ac:dyDescent="0.2">
      <c r="GI32733" s="422"/>
    </row>
    <row r="32734" spans="191:191" x14ac:dyDescent="0.2">
      <c r="GI32734" s="422"/>
    </row>
    <row r="32735" spans="191:191" x14ac:dyDescent="0.2">
      <c r="GI32735" s="422"/>
    </row>
    <row r="32736" spans="191:191" x14ac:dyDescent="0.2">
      <c r="GI32736" s="422"/>
    </row>
    <row r="32737" spans="191:191" x14ac:dyDescent="0.2">
      <c r="GI32737" s="422"/>
    </row>
    <row r="32738" spans="191:191" x14ac:dyDescent="0.2">
      <c r="GI32738" s="422"/>
    </row>
    <row r="32739" spans="191:191" x14ac:dyDescent="0.2">
      <c r="GI32739" s="422"/>
    </row>
    <row r="32740" spans="191:191" x14ac:dyDescent="0.2">
      <c r="GI32740" s="422"/>
    </row>
    <row r="32741" spans="191:191" x14ac:dyDescent="0.2">
      <c r="GI32741" s="422"/>
    </row>
    <row r="32742" spans="191:191" x14ac:dyDescent="0.2">
      <c r="GI32742" s="422"/>
    </row>
    <row r="32743" spans="191:191" x14ac:dyDescent="0.2">
      <c r="GI32743" s="422"/>
    </row>
    <row r="32744" spans="191:191" x14ac:dyDescent="0.2">
      <c r="GI32744" s="422"/>
    </row>
    <row r="32745" spans="191:191" x14ac:dyDescent="0.2">
      <c r="GI32745" s="422"/>
    </row>
    <row r="32746" spans="191:191" x14ac:dyDescent="0.2">
      <c r="GI32746" s="422"/>
    </row>
    <row r="32747" spans="191:191" x14ac:dyDescent="0.2">
      <c r="GI32747" s="422"/>
    </row>
    <row r="32748" spans="191:191" x14ac:dyDescent="0.2">
      <c r="GI32748" s="422"/>
    </row>
    <row r="32749" spans="191:191" x14ac:dyDescent="0.2">
      <c r="GI32749" s="422"/>
    </row>
    <row r="32750" spans="191:191" x14ac:dyDescent="0.2">
      <c r="GI32750" s="422"/>
    </row>
    <row r="32751" spans="191:191" x14ac:dyDescent="0.2">
      <c r="GI32751" s="422"/>
    </row>
    <row r="32752" spans="191:191" x14ac:dyDescent="0.2">
      <c r="GI32752" s="422"/>
    </row>
    <row r="32753" spans="191:191" x14ac:dyDescent="0.2">
      <c r="GI32753" s="422"/>
    </row>
    <row r="32754" spans="191:191" x14ac:dyDescent="0.2">
      <c r="GI32754" s="422"/>
    </row>
    <row r="32755" spans="191:191" x14ac:dyDescent="0.2">
      <c r="GI32755" s="422"/>
    </row>
    <row r="32756" spans="191:191" x14ac:dyDescent="0.2">
      <c r="GI32756" s="422"/>
    </row>
    <row r="32757" spans="191:191" x14ac:dyDescent="0.2">
      <c r="GI32757" s="422"/>
    </row>
    <row r="32758" spans="191:191" x14ac:dyDescent="0.2">
      <c r="GI32758" s="422"/>
    </row>
    <row r="32759" spans="191:191" x14ac:dyDescent="0.2">
      <c r="GI32759" s="422"/>
    </row>
    <row r="32760" spans="191:191" x14ac:dyDescent="0.2">
      <c r="GI32760" s="422"/>
    </row>
    <row r="32761" spans="191:191" x14ac:dyDescent="0.2">
      <c r="GI32761" s="422"/>
    </row>
    <row r="32762" spans="191:191" x14ac:dyDescent="0.2">
      <c r="GI32762" s="422"/>
    </row>
    <row r="32763" spans="191:191" x14ac:dyDescent="0.2">
      <c r="GI32763" s="422"/>
    </row>
    <row r="32764" spans="191:191" x14ac:dyDescent="0.2">
      <c r="GI32764" s="422"/>
    </row>
    <row r="32765" spans="191:191" x14ac:dyDescent="0.2">
      <c r="GI32765" s="422"/>
    </row>
    <row r="32766" spans="191:191" x14ac:dyDescent="0.2">
      <c r="GI32766" s="422"/>
    </row>
    <row r="32767" spans="191:191" x14ac:dyDescent="0.2">
      <c r="GI32767" s="422"/>
    </row>
    <row r="32768" spans="191:191" x14ac:dyDescent="0.2">
      <c r="GI32768" s="422"/>
    </row>
    <row r="32769" spans="191:191" x14ac:dyDescent="0.2">
      <c r="GI32769" s="422"/>
    </row>
    <row r="32770" spans="191:191" x14ac:dyDescent="0.2">
      <c r="GI32770" s="422"/>
    </row>
    <row r="32771" spans="191:191" x14ac:dyDescent="0.2">
      <c r="GI32771" s="422"/>
    </row>
    <row r="32772" spans="191:191" x14ac:dyDescent="0.2">
      <c r="GI32772" s="422"/>
    </row>
    <row r="32773" spans="191:191" x14ac:dyDescent="0.2">
      <c r="GI32773" s="422"/>
    </row>
    <row r="32774" spans="191:191" x14ac:dyDescent="0.2">
      <c r="GI32774" s="422"/>
    </row>
    <row r="32775" spans="191:191" x14ac:dyDescent="0.2">
      <c r="GI32775" s="422"/>
    </row>
    <row r="32776" spans="191:191" x14ac:dyDescent="0.2">
      <c r="GI32776" s="422"/>
    </row>
    <row r="32777" spans="191:191" x14ac:dyDescent="0.2">
      <c r="GI32777" s="422"/>
    </row>
    <row r="32778" spans="191:191" x14ac:dyDescent="0.2">
      <c r="GI32778" s="422"/>
    </row>
    <row r="32779" spans="191:191" x14ac:dyDescent="0.2">
      <c r="GI32779" s="422"/>
    </row>
    <row r="32780" spans="191:191" x14ac:dyDescent="0.2">
      <c r="GI32780" s="422"/>
    </row>
    <row r="32781" spans="191:191" x14ac:dyDescent="0.2">
      <c r="GI32781" s="422"/>
    </row>
    <row r="32782" spans="191:191" x14ac:dyDescent="0.2">
      <c r="GI32782" s="422"/>
    </row>
    <row r="32783" spans="191:191" x14ac:dyDescent="0.2">
      <c r="GI32783" s="422"/>
    </row>
    <row r="32784" spans="191:191" x14ac:dyDescent="0.2">
      <c r="GI32784" s="422"/>
    </row>
    <row r="32785" spans="191:191" x14ac:dyDescent="0.2">
      <c r="GI32785" s="422"/>
    </row>
    <row r="32786" spans="191:191" x14ac:dyDescent="0.2">
      <c r="GI32786" s="422"/>
    </row>
    <row r="32787" spans="191:191" x14ac:dyDescent="0.2">
      <c r="GI32787" s="422"/>
    </row>
    <row r="32788" spans="191:191" x14ac:dyDescent="0.2">
      <c r="GI32788" s="422"/>
    </row>
    <row r="32789" spans="191:191" x14ac:dyDescent="0.2">
      <c r="GI32789" s="422"/>
    </row>
    <row r="32790" spans="191:191" x14ac:dyDescent="0.2">
      <c r="GI32790" s="422"/>
    </row>
    <row r="32791" spans="191:191" x14ac:dyDescent="0.2">
      <c r="GI32791" s="422"/>
    </row>
    <row r="32792" spans="191:191" x14ac:dyDescent="0.2">
      <c r="GI32792" s="422"/>
    </row>
    <row r="32793" spans="191:191" x14ac:dyDescent="0.2">
      <c r="GI32793" s="422"/>
    </row>
    <row r="32794" spans="191:191" x14ac:dyDescent="0.2">
      <c r="GI32794" s="422"/>
    </row>
    <row r="32795" spans="191:191" x14ac:dyDescent="0.2">
      <c r="GI32795" s="422"/>
    </row>
    <row r="32796" spans="191:191" x14ac:dyDescent="0.2">
      <c r="GI32796" s="422"/>
    </row>
    <row r="32797" spans="191:191" x14ac:dyDescent="0.2">
      <c r="GI32797" s="422"/>
    </row>
    <row r="32798" spans="191:191" x14ac:dyDescent="0.2">
      <c r="GI32798" s="422"/>
    </row>
    <row r="32799" spans="191:191" x14ac:dyDescent="0.2">
      <c r="GI32799" s="422"/>
    </row>
    <row r="32800" spans="191:191" x14ac:dyDescent="0.2">
      <c r="GI32800" s="422"/>
    </row>
    <row r="32801" spans="191:191" x14ac:dyDescent="0.2">
      <c r="GI32801" s="422"/>
    </row>
    <row r="32802" spans="191:191" x14ac:dyDescent="0.2">
      <c r="GI32802" s="422"/>
    </row>
    <row r="32803" spans="191:191" x14ac:dyDescent="0.2">
      <c r="GI32803" s="422"/>
    </row>
    <row r="32804" spans="191:191" x14ac:dyDescent="0.2">
      <c r="GI32804" s="422"/>
    </row>
    <row r="32805" spans="191:191" x14ac:dyDescent="0.2">
      <c r="GI32805" s="422"/>
    </row>
    <row r="32806" spans="191:191" x14ac:dyDescent="0.2">
      <c r="GI32806" s="422"/>
    </row>
    <row r="32807" spans="191:191" x14ac:dyDescent="0.2">
      <c r="GI32807" s="422"/>
    </row>
    <row r="32808" spans="191:191" x14ac:dyDescent="0.2">
      <c r="GI32808" s="422"/>
    </row>
    <row r="32809" spans="191:191" x14ac:dyDescent="0.2">
      <c r="GI32809" s="422"/>
    </row>
    <row r="32810" spans="191:191" x14ac:dyDescent="0.2">
      <c r="GI32810" s="422"/>
    </row>
    <row r="32811" spans="191:191" x14ac:dyDescent="0.2">
      <c r="GI32811" s="422"/>
    </row>
    <row r="32812" spans="191:191" x14ac:dyDescent="0.2">
      <c r="GI32812" s="422"/>
    </row>
    <row r="32813" spans="191:191" x14ac:dyDescent="0.2">
      <c r="GI32813" s="422"/>
    </row>
    <row r="32814" spans="191:191" x14ac:dyDescent="0.2">
      <c r="GI32814" s="422"/>
    </row>
    <row r="32815" spans="191:191" x14ac:dyDescent="0.2">
      <c r="GI32815" s="422"/>
    </row>
    <row r="32816" spans="191:191" x14ac:dyDescent="0.2">
      <c r="GI32816" s="422"/>
    </row>
    <row r="32817" spans="191:191" x14ac:dyDescent="0.2">
      <c r="GI32817" s="422"/>
    </row>
    <row r="32818" spans="191:191" x14ac:dyDescent="0.2">
      <c r="GI32818" s="422"/>
    </row>
    <row r="32819" spans="191:191" x14ac:dyDescent="0.2">
      <c r="GI32819" s="422"/>
    </row>
    <row r="32820" spans="191:191" x14ac:dyDescent="0.2">
      <c r="GI32820" s="422"/>
    </row>
    <row r="32821" spans="191:191" x14ac:dyDescent="0.2">
      <c r="GI32821" s="422"/>
    </row>
    <row r="32822" spans="191:191" x14ac:dyDescent="0.2">
      <c r="GI32822" s="422"/>
    </row>
    <row r="32823" spans="191:191" x14ac:dyDescent="0.2">
      <c r="GI32823" s="422"/>
    </row>
    <row r="32824" spans="191:191" x14ac:dyDescent="0.2">
      <c r="GI32824" s="422"/>
    </row>
    <row r="32825" spans="191:191" x14ac:dyDescent="0.2">
      <c r="GI32825" s="422"/>
    </row>
    <row r="32826" spans="191:191" x14ac:dyDescent="0.2">
      <c r="GI32826" s="422"/>
    </row>
    <row r="32827" spans="191:191" x14ac:dyDescent="0.2">
      <c r="GI32827" s="422"/>
    </row>
    <row r="32828" spans="191:191" x14ac:dyDescent="0.2">
      <c r="GI32828" s="422"/>
    </row>
    <row r="32829" spans="191:191" x14ac:dyDescent="0.2">
      <c r="GI32829" s="422"/>
    </row>
    <row r="32830" spans="191:191" x14ac:dyDescent="0.2">
      <c r="GI32830" s="422"/>
    </row>
    <row r="32831" spans="191:191" x14ac:dyDescent="0.2">
      <c r="GI32831" s="422"/>
    </row>
    <row r="32832" spans="191:191" x14ac:dyDescent="0.2">
      <c r="GI32832" s="422"/>
    </row>
    <row r="32833" spans="191:191" x14ac:dyDescent="0.2">
      <c r="GI32833" s="422"/>
    </row>
    <row r="32834" spans="191:191" x14ac:dyDescent="0.2">
      <c r="GI32834" s="422"/>
    </row>
    <row r="32835" spans="191:191" x14ac:dyDescent="0.2">
      <c r="GI32835" s="422"/>
    </row>
    <row r="32836" spans="191:191" x14ac:dyDescent="0.2">
      <c r="GI32836" s="422"/>
    </row>
    <row r="32837" spans="191:191" x14ac:dyDescent="0.2">
      <c r="GI32837" s="422"/>
    </row>
    <row r="32838" spans="191:191" x14ac:dyDescent="0.2">
      <c r="GI32838" s="422"/>
    </row>
    <row r="32839" spans="191:191" x14ac:dyDescent="0.2">
      <c r="GI32839" s="422"/>
    </row>
    <row r="32840" spans="191:191" x14ac:dyDescent="0.2">
      <c r="GI32840" s="422"/>
    </row>
    <row r="32841" spans="191:191" x14ac:dyDescent="0.2">
      <c r="GI32841" s="422"/>
    </row>
    <row r="32842" spans="191:191" x14ac:dyDescent="0.2">
      <c r="GI32842" s="422"/>
    </row>
    <row r="32843" spans="191:191" x14ac:dyDescent="0.2">
      <c r="GI32843" s="422"/>
    </row>
    <row r="32844" spans="191:191" x14ac:dyDescent="0.2">
      <c r="GI32844" s="422"/>
    </row>
    <row r="32845" spans="191:191" x14ac:dyDescent="0.2">
      <c r="GI32845" s="422"/>
    </row>
    <row r="32846" spans="191:191" x14ac:dyDescent="0.2">
      <c r="GI32846" s="422"/>
    </row>
    <row r="32847" spans="191:191" x14ac:dyDescent="0.2">
      <c r="GI32847" s="422"/>
    </row>
    <row r="32848" spans="191:191" x14ac:dyDescent="0.2">
      <c r="GI32848" s="422"/>
    </row>
    <row r="32849" spans="191:191" x14ac:dyDescent="0.2">
      <c r="GI32849" s="422"/>
    </row>
    <row r="32850" spans="191:191" x14ac:dyDescent="0.2">
      <c r="GI32850" s="422"/>
    </row>
    <row r="32851" spans="191:191" x14ac:dyDescent="0.2">
      <c r="GI32851" s="422"/>
    </row>
    <row r="32852" spans="191:191" x14ac:dyDescent="0.2">
      <c r="GI32852" s="422"/>
    </row>
    <row r="32853" spans="191:191" x14ac:dyDescent="0.2">
      <c r="GI32853" s="422"/>
    </row>
    <row r="32854" spans="191:191" x14ac:dyDescent="0.2">
      <c r="GI32854" s="422"/>
    </row>
    <row r="32855" spans="191:191" x14ac:dyDescent="0.2">
      <c r="GI32855" s="422"/>
    </row>
    <row r="32856" spans="191:191" x14ac:dyDescent="0.2">
      <c r="GI32856" s="422"/>
    </row>
    <row r="32857" spans="191:191" x14ac:dyDescent="0.2">
      <c r="GI32857" s="422"/>
    </row>
    <row r="32858" spans="191:191" x14ac:dyDescent="0.2">
      <c r="GI32858" s="422"/>
    </row>
    <row r="32859" spans="191:191" x14ac:dyDescent="0.2">
      <c r="GI32859" s="422"/>
    </row>
    <row r="32860" spans="191:191" x14ac:dyDescent="0.2">
      <c r="GI32860" s="422"/>
    </row>
    <row r="32861" spans="191:191" x14ac:dyDescent="0.2">
      <c r="GI32861" s="422"/>
    </row>
    <row r="32862" spans="191:191" x14ac:dyDescent="0.2">
      <c r="GI32862" s="422"/>
    </row>
    <row r="32863" spans="191:191" x14ac:dyDescent="0.2">
      <c r="GI32863" s="422"/>
    </row>
    <row r="32864" spans="191:191" x14ac:dyDescent="0.2">
      <c r="GI32864" s="422"/>
    </row>
    <row r="32865" spans="191:191" x14ac:dyDescent="0.2">
      <c r="GI32865" s="422"/>
    </row>
    <row r="32866" spans="191:191" x14ac:dyDescent="0.2">
      <c r="GI32866" s="422"/>
    </row>
    <row r="32867" spans="191:191" x14ac:dyDescent="0.2">
      <c r="GI32867" s="422"/>
    </row>
    <row r="32868" spans="191:191" x14ac:dyDescent="0.2">
      <c r="GI32868" s="422"/>
    </row>
    <row r="32869" spans="191:191" x14ac:dyDescent="0.2">
      <c r="GI32869" s="422"/>
    </row>
    <row r="32870" spans="191:191" x14ac:dyDescent="0.2">
      <c r="GI32870" s="422"/>
    </row>
    <row r="32871" spans="191:191" x14ac:dyDescent="0.2">
      <c r="GI32871" s="422"/>
    </row>
    <row r="32872" spans="191:191" x14ac:dyDescent="0.2">
      <c r="GI32872" s="422"/>
    </row>
    <row r="32873" spans="191:191" x14ac:dyDescent="0.2">
      <c r="GI32873" s="422"/>
    </row>
    <row r="32874" spans="191:191" x14ac:dyDescent="0.2">
      <c r="GI32874" s="422"/>
    </row>
    <row r="32875" spans="191:191" x14ac:dyDescent="0.2">
      <c r="GI32875" s="422"/>
    </row>
    <row r="32876" spans="191:191" x14ac:dyDescent="0.2">
      <c r="GI32876" s="422"/>
    </row>
    <row r="32877" spans="191:191" x14ac:dyDescent="0.2">
      <c r="GI32877" s="422"/>
    </row>
    <row r="32878" spans="191:191" x14ac:dyDescent="0.2">
      <c r="GI32878" s="422"/>
    </row>
    <row r="32879" spans="191:191" x14ac:dyDescent="0.2">
      <c r="GI32879" s="422"/>
    </row>
    <row r="32880" spans="191:191" x14ac:dyDescent="0.2">
      <c r="GI32880" s="422"/>
    </row>
    <row r="32881" spans="191:191" x14ac:dyDescent="0.2">
      <c r="GI32881" s="422"/>
    </row>
    <row r="32882" spans="191:191" x14ac:dyDescent="0.2">
      <c r="GI32882" s="422"/>
    </row>
    <row r="32883" spans="191:191" x14ac:dyDescent="0.2">
      <c r="GI32883" s="422"/>
    </row>
    <row r="32884" spans="191:191" x14ac:dyDescent="0.2">
      <c r="GI32884" s="422"/>
    </row>
    <row r="32885" spans="191:191" x14ac:dyDescent="0.2">
      <c r="GI32885" s="422"/>
    </row>
    <row r="32886" spans="191:191" x14ac:dyDescent="0.2">
      <c r="GI32886" s="422"/>
    </row>
    <row r="32887" spans="191:191" x14ac:dyDescent="0.2">
      <c r="GI32887" s="422"/>
    </row>
    <row r="32888" spans="191:191" x14ac:dyDescent="0.2">
      <c r="GI32888" s="422"/>
    </row>
    <row r="32889" spans="191:191" x14ac:dyDescent="0.2">
      <c r="GI32889" s="422"/>
    </row>
    <row r="32890" spans="191:191" x14ac:dyDescent="0.2">
      <c r="GI32890" s="422"/>
    </row>
    <row r="32891" spans="191:191" x14ac:dyDescent="0.2">
      <c r="GI32891" s="422"/>
    </row>
    <row r="32892" spans="191:191" x14ac:dyDescent="0.2">
      <c r="GI32892" s="422"/>
    </row>
    <row r="32893" spans="191:191" x14ac:dyDescent="0.2">
      <c r="GI32893" s="422"/>
    </row>
    <row r="32894" spans="191:191" x14ac:dyDescent="0.2">
      <c r="GI32894" s="422"/>
    </row>
    <row r="32895" spans="191:191" x14ac:dyDescent="0.2">
      <c r="GI32895" s="422"/>
    </row>
    <row r="32896" spans="191:191" x14ac:dyDescent="0.2">
      <c r="GI32896" s="422"/>
    </row>
    <row r="32897" spans="191:191" x14ac:dyDescent="0.2">
      <c r="GI32897" s="422"/>
    </row>
    <row r="32898" spans="191:191" x14ac:dyDescent="0.2">
      <c r="GI32898" s="422"/>
    </row>
    <row r="32899" spans="191:191" x14ac:dyDescent="0.2">
      <c r="GI32899" s="422"/>
    </row>
    <row r="32900" spans="191:191" x14ac:dyDescent="0.2">
      <c r="GI32900" s="422"/>
    </row>
    <row r="32901" spans="191:191" x14ac:dyDescent="0.2">
      <c r="GI32901" s="422"/>
    </row>
    <row r="32902" spans="191:191" x14ac:dyDescent="0.2">
      <c r="GI32902" s="422"/>
    </row>
    <row r="32903" spans="191:191" x14ac:dyDescent="0.2">
      <c r="GI32903" s="422"/>
    </row>
    <row r="32904" spans="191:191" x14ac:dyDescent="0.2">
      <c r="GI32904" s="422"/>
    </row>
    <row r="32905" spans="191:191" x14ac:dyDescent="0.2">
      <c r="GI32905" s="422"/>
    </row>
    <row r="32906" spans="191:191" x14ac:dyDescent="0.2">
      <c r="GI32906" s="422"/>
    </row>
    <row r="32907" spans="191:191" x14ac:dyDescent="0.2">
      <c r="GI32907" s="422"/>
    </row>
    <row r="32908" spans="191:191" x14ac:dyDescent="0.2">
      <c r="GI32908" s="422"/>
    </row>
    <row r="32909" spans="191:191" x14ac:dyDescent="0.2">
      <c r="GI32909" s="422"/>
    </row>
    <row r="32910" spans="191:191" x14ac:dyDescent="0.2">
      <c r="GI32910" s="422"/>
    </row>
    <row r="32911" spans="191:191" x14ac:dyDescent="0.2">
      <c r="GI32911" s="422"/>
    </row>
    <row r="32912" spans="191:191" x14ac:dyDescent="0.2">
      <c r="GI32912" s="422"/>
    </row>
    <row r="32913" spans="191:191" x14ac:dyDescent="0.2">
      <c r="GI32913" s="422"/>
    </row>
    <row r="32914" spans="191:191" x14ac:dyDescent="0.2">
      <c r="GI32914" s="422"/>
    </row>
    <row r="32915" spans="191:191" x14ac:dyDescent="0.2">
      <c r="GI32915" s="422"/>
    </row>
    <row r="32916" spans="191:191" x14ac:dyDescent="0.2">
      <c r="GI32916" s="422"/>
    </row>
    <row r="32917" spans="191:191" x14ac:dyDescent="0.2">
      <c r="GI32917" s="422"/>
    </row>
    <row r="32918" spans="191:191" x14ac:dyDescent="0.2">
      <c r="GI32918" s="422"/>
    </row>
    <row r="32919" spans="191:191" x14ac:dyDescent="0.2">
      <c r="GI32919" s="422"/>
    </row>
    <row r="32920" spans="191:191" x14ac:dyDescent="0.2">
      <c r="GI32920" s="422"/>
    </row>
    <row r="32921" spans="191:191" x14ac:dyDescent="0.2">
      <c r="GI32921" s="422"/>
    </row>
    <row r="32922" spans="191:191" x14ac:dyDescent="0.2">
      <c r="GI32922" s="422"/>
    </row>
    <row r="32923" spans="191:191" x14ac:dyDescent="0.2">
      <c r="GI32923" s="422"/>
    </row>
    <row r="32924" spans="191:191" x14ac:dyDescent="0.2">
      <c r="GI32924" s="422"/>
    </row>
    <row r="32925" spans="191:191" x14ac:dyDescent="0.2">
      <c r="GI32925" s="422"/>
    </row>
    <row r="32926" spans="191:191" x14ac:dyDescent="0.2">
      <c r="GI32926" s="422"/>
    </row>
    <row r="32927" spans="191:191" x14ac:dyDescent="0.2">
      <c r="GI32927" s="422"/>
    </row>
    <row r="32928" spans="191:191" x14ac:dyDescent="0.2">
      <c r="GI32928" s="422"/>
    </row>
    <row r="32929" spans="191:191" x14ac:dyDescent="0.2">
      <c r="GI32929" s="422"/>
    </row>
    <row r="32930" spans="191:191" x14ac:dyDescent="0.2">
      <c r="GI32930" s="422"/>
    </row>
    <row r="32931" spans="191:191" x14ac:dyDescent="0.2">
      <c r="GI32931" s="422"/>
    </row>
    <row r="32932" spans="191:191" x14ac:dyDescent="0.2">
      <c r="GI32932" s="422"/>
    </row>
    <row r="32933" spans="191:191" x14ac:dyDescent="0.2">
      <c r="GI32933" s="422"/>
    </row>
    <row r="32934" spans="191:191" x14ac:dyDescent="0.2">
      <c r="GI32934" s="422"/>
    </row>
    <row r="32935" spans="191:191" x14ac:dyDescent="0.2">
      <c r="GI32935" s="422"/>
    </row>
    <row r="32936" spans="191:191" x14ac:dyDescent="0.2">
      <c r="GI32936" s="422"/>
    </row>
    <row r="32937" spans="191:191" x14ac:dyDescent="0.2">
      <c r="GI32937" s="422"/>
    </row>
    <row r="32938" spans="191:191" x14ac:dyDescent="0.2">
      <c r="GI32938" s="422"/>
    </row>
    <row r="32939" spans="191:191" x14ac:dyDescent="0.2">
      <c r="GI32939" s="422"/>
    </row>
    <row r="32940" spans="191:191" x14ac:dyDescent="0.2">
      <c r="GI32940" s="422"/>
    </row>
    <row r="32941" spans="191:191" x14ac:dyDescent="0.2">
      <c r="GI32941" s="422"/>
    </row>
    <row r="32942" spans="191:191" x14ac:dyDescent="0.2">
      <c r="GI32942" s="422"/>
    </row>
    <row r="32943" spans="191:191" x14ac:dyDescent="0.2">
      <c r="GI32943" s="422"/>
    </row>
    <row r="32944" spans="191:191" x14ac:dyDescent="0.2">
      <c r="GI32944" s="422"/>
    </row>
    <row r="32945" spans="191:191" x14ac:dyDescent="0.2">
      <c r="GI32945" s="422"/>
    </row>
    <row r="32946" spans="191:191" x14ac:dyDescent="0.2">
      <c r="GI32946" s="422"/>
    </row>
    <row r="32947" spans="191:191" x14ac:dyDescent="0.2">
      <c r="GI32947" s="422"/>
    </row>
    <row r="32948" spans="191:191" x14ac:dyDescent="0.2">
      <c r="GI32948" s="422"/>
    </row>
    <row r="32949" spans="191:191" x14ac:dyDescent="0.2">
      <c r="GI32949" s="422"/>
    </row>
    <row r="32950" spans="191:191" x14ac:dyDescent="0.2">
      <c r="GI32950" s="422"/>
    </row>
    <row r="32951" spans="191:191" x14ac:dyDescent="0.2">
      <c r="GI32951" s="422"/>
    </row>
    <row r="32952" spans="191:191" x14ac:dyDescent="0.2">
      <c r="GI32952" s="422"/>
    </row>
    <row r="32953" spans="191:191" x14ac:dyDescent="0.2">
      <c r="GI32953" s="422"/>
    </row>
    <row r="32954" spans="191:191" x14ac:dyDescent="0.2">
      <c r="GI32954" s="422"/>
    </row>
    <row r="32955" spans="191:191" x14ac:dyDescent="0.2">
      <c r="GI32955" s="422"/>
    </row>
    <row r="32956" spans="191:191" x14ac:dyDescent="0.2">
      <c r="GI32956" s="422"/>
    </row>
    <row r="32957" spans="191:191" x14ac:dyDescent="0.2">
      <c r="GI32957" s="422"/>
    </row>
    <row r="32958" spans="191:191" x14ac:dyDescent="0.2">
      <c r="GI32958" s="422"/>
    </row>
    <row r="32959" spans="191:191" x14ac:dyDescent="0.2">
      <c r="GI32959" s="422"/>
    </row>
    <row r="32960" spans="191:191" x14ac:dyDescent="0.2">
      <c r="GI32960" s="422"/>
    </row>
    <row r="32961" spans="191:191" x14ac:dyDescent="0.2">
      <c r="GI32961" s="422"/>
    </row>
    <row r="32962" spans="191:191" x14ac:dyDescent="0.2">
      <c r="GI32962" s="422"/>
    </row>
    <row r="32963" spans="191:191" x14ac:dyDescent="0.2">
      <c r="GI32963" s="422"/>
    </row>
    <row r="32964" spans="191:191" x14ac:dyDescent="0.2">
      <c r="GI32964" s="422"/>
    </row>
    <row r="32965" spans="191:191" x14ac:dyDescent="0.2">
      <c r="GI32965" s="422"/>
    </row>
    <row r="32966" spans="191:191" x14ac:dyDescent="0.2">
      <c r="GI32966" s="422"/>
    </row>
    <row r="32967" spans="191:191" x14ac:dyDescent="0.2">
      <c r="GI32967" s="422"/>
    </row>
    <row r="32968" spans="191:191" x14ac:dyDescent="0.2">
      <c r="GI32968" s="422"/>
    </row>
    <row r="32969" spans="191:191" x14ac:dyDescent="0.2">
      <c r="GI32969" s="422"/>
    </row>
    <row r="32970" spans="191:191" x14ac:dyDescent="0.2">
      <c r="GI32970" s="422"/>
    </row>
    <row r="32971" spans="191:191" x14ac:dyDescent="0.2">
      <c r="GI32971" s="422"/>
    </row>
    <row r="32972" spans="191:191" x14ac:dyDescent="0.2">
      <c r="GI32972" s="422"/>
    </row>
    <row r="32973" spans="191:191" x14ac:dyDescent="0.2">
      <c r="GI32973" s="422"/>
    </row>
    <row r="32974" spans="191:191" x14ac:dyDescent="0.2">
      <c r="GI32974" s="422"/>
    </row>
    <row r="32975" spans="191:191" x14ac:dyDescent="0.2">
      <c r="GI32975" s="422"/>
    </row>
    <row r="32976" spans="191:191" x14ac:dyDescent="0.2">
      <c r="GI32976" s="422"/>
    </row>
    <row r="32977" spans="191:191" x14ac:dyDescent="0.2">
      <c r="GI32977" s="422"/>
    </row>
    <row r="32978" spans="191:191" x14ac:dyDescent="0.2">
      <c r="GI32978" s="422"/>
    </row>
    <row r="32979" spans="191:191" x14ac:dyDescent="0.2">
      <c r="GI32979" s="422"/>
    </row>
    <row r="32980" spans="191:191" x14ac:dyDescent="0.2">
      <c r="GI32980" s="422"/>
    </row>
    <row r="32981" spans="191:191" x14ac:dyDescent="0.2">
      <c r="GI32981" s="422"/>
    </row>
    <row r="32982" spans="191:191" x14ac:dyDescent="0.2">
      <c r="GI32982" s="422"/>
    </row>
    <row r="32983" spans="191:191" x14ac:dyDescent="0.2">
      <c r="GI32983" s="422"/>
    </row>
    <row r="32984" spans="191:191" x14ac:dyDescent="0.2">
      <c r="GI32984" s="422"/>
    </row>
    <row r="32985" spans="191:191" x14ac:dyDescent="0.2">
      <c r="GI32985" s="422"/>
    </row>
    <row r="32986" spans="191:191" x14ac:dyDescent="0.2">
      <c r="GI32986" s="422"/>
    </row>
    <row r="32987" spans="191:191" x14ac:dyDescent="0.2">
      <c r="GI32987" s="422"/>
    </row>
    <row r="32988" spans="191:191" x14ac:dyDescent="0.2">
      <c r="GI32988" s="422"/>
    </row>
    <row r="32989" spans="191:191" x14ac:dyDescent="0.2">
      <c r="GI32989" s="422"/>
    </row>
    <row r="32990" spans="191:191" x14ac:dyDescent="0.2">
      <c r="GI32990" s="422"/>
    </row>
    <row r="32991" spans="191:191" x14ac:dyDescent="0.2">
      <c r="GI32991" s="422"/>
    </row>
    <row r="32992" spans="191:191" x14ac:dyDescent="0.2">
      <c r="GI32992" s="422"/>
    </row>
    <row r="32993" spans="191:191" x14ac:dyDescent="0.2">
      <c r="GI32993" s="422"/>
    </row>
    <row r="32994" spans="191:191" x14ac:dyDescent="0.2">
      <c r="GI32994" s="422"/>
    </row>
    <row r="32995" spans="191:191" x14ac:dyDescent="0.2">
      <c r="GI32995" s="422"/>
    </row>
    <row r="32996" spans="191:191" x14ac:dyDescent="0.2">
      <c r="GI32996" s="422"/>
    </row>
    <row r="32997" spans="191:191" x14ac:dyDescent="0.2">
      <c r="GI32997" s="422"/>
    </row>
    <row r="32998" spans="191:191" x14ac:dyDescent="0.2">
      <c r="GI32998" s="422"/>
    </row>
    <row r="32999" spans="191:191" x14ac:dyDescent="0.2">
      <c r="GI32999" s="422"/>
    </row>
    <row r="33000" spans="191:191" x14ac:dyDescent="0.2">
      <c r="GI33000" s="422"/>
    </row>
    <row r="33001" spans="191:191" x14ac:dyDescent="0.2">
      <c r="GI33001" s="422"/>
    </row>
    <row r="33002" spans="191:191" x14ac:dyDescent="0.2">
      <c r="GI33002" s="422"/>
    </row>
    <row r="33003" spans="191:191" x14ac:dyDescent="0.2">
      <c r="GI33003" s="422"/>
    </row>
    <row r="33004" spans="191:191" x14ac:dyDescent="0.2">
      <c r="GI33004" s="422"/>
    </row>
    <row r="33005" spans="191:191" x14ac:dyDescent="0.2">
      <c r="GI33005" s="422"/>
    </row>
    <row r="33006" spans="191:191" x14ac:dyDescent="0.2">
      <c r="GI33006" s="422"/>
    </row>
    <row r="33007" spans="191:191" x14ac:dyDescent="0.2">
      <c r="GI33007" s="422"/>
    </row>
    <row r="33008" spans="191:191" x14ac:dyDescent="0.2">
      <c r="GI33008" s="422"/>
    </row>
    <row r="33009" spans="191:191" x14ac:dyDescent="0.2">
      <c r="GI33009" s="422"/>
    </row>
    <row r="33010" spans="191:191" x14ac:dyDescent="0.2">
      <c r="GI33010" s="422"/>
    </row>
    <row r="33011" spans="191:191" x14ac:dyDescent="0.2">
      <c r="GI33011" s="422"/>
    </row>
    <row r="33012" spans="191:191" x14ac:dyDescent="0.2">
      <c r="GI33012" s="422"/>
    </row>
    <row r="33013" spans="191:191" x14ac:dyDescent="0.2">
      <c r="GI33013" s="422"/>
    </row>
    <row r="33014" spans="191:191" x14ac:dyDescent="0.2">
      <c r="GI33014" s="422"/>
    </row>
    <row r="33015" spans="191:191" x14ac:dyDescent="0.2">
      <c r="GI33015" s="422"/>
    </row>
    <row r="33016" spans="191:191" x14ac:dyDescent="0.2">
      <c r="GI33016" s="422"/>
    </row>
    <row r="33017" spans="191:191" x14ac:dyDescent="0.2">
      <c r="GI33017" s="422"/>
    </row>
    <row r="33018" spans="191:191" x14ac:dyDescent="0.2">
      <c r="GI33018" s="422"/>
    </row>
    <row r="33019" spans="191:191" x14ac:dyDescent="0.2">
      <c r="GI33019" s="422"/>
    </row>
    <row r="33020" spans="191:191" x14ac:dyDescent="0.2">
      <c r="GI33020" s="422"/>
    </row>
    <row r="33021" spans="191:191" x14ac:dyDescent="0.2">
      <c r="GI33021" s="422"/>
    </row>
    <row r="33022" spans="191:191" x14ac:dyDescent="0.2">
      <c r="GI33022" s="422"/>
    </row>
    <row r="33023" spans="191:191" x14ac:dyDescent="0.2">
      <c r="GI33023" s="422"/>
    </row>
    <row r="33024" spans="191:191" x14ac:dyDescent="0.2">
      <c r="GI33024" s="422"/>
    </row>
    <row r="33025" spans="191:191" x14ac:dyDescent="0.2">
      <c r="GI33025" s="422"/>
    </row>
    <row r="33026" spans="191:191" x14ac:dyDescent="0.2">
      <c r="GI33026" s="422"/>
    </row>
    <row r="33027" spans="191:191" x14ac:dyDescent="0.2">
      <c r="GI33027" s="422"/>
    </row>
    <row r="33028" spans="191:191" x14ac:dyDescent="0.2">
      <c r="GI33028" s="422"/>
    </row>
    <row r="33029" spans="191:191" x14ac:dyDescent="0.2">
      <c r="GI33029" s="422"/>
    </row>
    <row r="33030" spans="191:191" x14ac:dyDescent="0.2">
      <c r="GI33030" s="422"/>
    </row>
    <row r="33031" spans="191:191" x14ac:dyDescent="0.2">
      <c r="GI33031" s="422"/>
    </row>
    <row r="33032" spans="191:191" x14ac:dyDescent="0.2">
      <c r="GI33032" s="422"/>
    </row>
    <row r="33033" spans="191:191" x14ac:dyDescent="0.2">
      <c r="GI33033" s="422"/>
    </row>
    <row r="33034" spans="191:191" x14ac:dyDescent="0.2">
      <c r="GI33034" s="422"/>
    </row>
    <row r="33035" spans="191:191" x14ac:dyDescent="0.2">
      <c r="GI33035" s="422"/>
    </row>
    <row r="33036" spans="191:191" x14ac:dyDescent="0.2">
      <c r="GI33036" s="422"/>
    </row>
    <row r="33037" spans="191:191" x14ac:dyDescent="0.2">
      <c r="GI33037" s="422"/>
    </row>
    <row r="33038" spans="191:191" x14ac:dyDescent="0.2">
      <c r="GI33038" s="422"/>
    </row>
    <row r="33039" spans="191:191" x14ac:dyDescent="0.2">
      <c r="GI33039" s="422"/>
    </row>
    <row r="33040" spans="191:191" x14ac:dyDescent="0.2">
      <c r="GI33040" s="422"/>
    </row>
    <row r="33041" spans="191:191" x14ac:dyDescent="0.2">
      <c r="GI33041" s="422"/>
    </row>
    <row r="33042" spans="191:191" x14ac:dyDescent="0.2">
      <c r="GI33042" s="422"/>
    </row>
    <row r="33043" spans="191:191" x14ac:dyDescent="0.2">
      <c r="GI33043" s="422"/>
    </row>
    <row r="33044" spans="191:191" x14ac:dyDescent="0.2">
      <c r="GI33044" s="422"/>
    </row>
    <row r="33045" spans="191:191" x14ac:dyDescent="0.2">
      <c r="GI33045" s="422"/>
    </row>
    <row r="33046" spans="191:191" x14ac:dyDescent="0.2">
      <c r="GI33046" s="422"/>
    </row>
    <row r="33047" spans="191:191" x14ac:dyDescent="0.2">
      <c r="GI33047" s="422"/>
    </row>
    <row r="33048" spans="191:191" x14ac:dyDescent="0.2">
      <c r="GI33048" s="422"/>
    </row>
    <row r="33049" spans="191:191" x14ac:dyDescent="0.2">
      <c r="GI33049" s="422"/>
    </row>
    <row r="33050" spans="191:191" x14ac:dyDescent="0.2">
      <c r="GI33050" s="422"/>
    </row>
    <row r="33051" spans="191:191" x14ac:dyDescent="0.2">
      <c r="GI33051" s="422"/>
    </row>
    <row r="33052" spans="191:191" x14ac:dyDescent="0.2">
      <c r="GI33052" s="422"/>
    </row>
    <row r="33053" spans="191:191" x14ac:dyDescent="0.2">
      <c r="GI33053" s="422"/>
    </row>
    <row r="33054" spans="191:191" x14ac:dyDescent="0.2">
      <c r="GI33054" s="422"/>
    </row>
    <row r="33055" spans="191:191" x14ac:dyDescent="0.2">
      <c r="GI33055" s="422"/>
    </row>
    <row r="33056" spans="191:191" x14ac:dyDescent="0.2">
      <c r="GI33056" s="422"/>
    </row>
    <row r="33057" spans="191:191" x14ac:dyDescent="0.2">
      <c r="GI33057" s="422"/>
    </row>
    <row r="33058" spans="191:191" x14ac:dyDescent="0.2">
      <c r="GI33058" s="422"/>
    </row>
    <row r="33059" spans="191:191" x14ac:dyDescent="0.2">
      <c r="GI33059" s="422"/>
    </row>
    <row r="33060" spans="191:191" x14ac:dyDescent="0.2">
      <c r="GI33060" s="422"/>
    </row>
    <row r="33061" spans="191:191" x14ac:dyDescent="0.2">
      <c r="GI33061" s="422"/>
    </row>
    <row r="33062" spans="191:191" x14ac:dyDescent="0.2">
      <c r="GI33062" s="422"/>
    </row>
    <row r="33063" spans="191:191" x14ac:dyDescent="0.2">
      <c r="GI33063" s="422"/>
    </row>
    <row r="33064" spans="191:191" x14ac:dyDescent="0.2">
      <c r="GI33064" s="422"/>
    </row>
    <row r="33065" spans="191:191" x14ac:dyDescent="0.2">
      <c r="GI33065" s="422"/>
    </row>
    <row r="33066" spans="191:191" x14ac:dyDescent="0.2">
      <c r="GI33066" s="422"/>
    </row>
    <row r="33067" spans="191:191" x14ac:dyDescent="0.2">
      <c r="GI33067" s="422"/>
    </row>
    <row r="33068" spans="191:191" x14ac:dyDescent="0.2">
      <c r="GI33068" s="422"/>
    </row>
    <row r="33069" spans="191:191" x14ac:dyDescent="0.2">
      <c r="GI33069" s="422"/>
    </row>
    <row r="33070" spans="191:191" x14ac:dyDescent="0.2">
      <c r="GI33070" s="422"/>
    </row>
    <row r="33071" spans="191:191" x14ac:dyDescent="0.2">
      <c r="GI33071" s="422"/>
    </row>
    <row r="33072" spans="191:191" x14ac:dyDescent="0.2">
      <c r="GI33072" s="422"/>
    </row>
    <row r="33073" spans="191:191" x14ac:dyDescent="0.2">
      <c r="GI33073" s="422"/>
    </row>
    <row r="33074" spans="191:191" x14ac:dyDescent="0.2">
      <c r="GI33074" s="422"/>
    </row>
    <row r="33075" spans="191:191" x14ac:dyDescent="0.2">
      <c r="GI33075" s="422"/>
    </row>
    <row r="33076" spans="191:191" x14ac:dyDescent="0.2">
      <c r="GI33076" s="422"/>
    </row>
    <row r="33077" spans="191:191" x14ac:dyDescent="0.2">
      <c r="GI33077" s="422"/>
    </row>
    <row r="33078" spans="191:191" x14ac:dyDescent="0.2">
      <c r="GI33078" s="422"/>
    </row>
    <row r="33079" spans="191:191" x14ac:dyDescent="0.2">
      <c r="GI33079" s="422"/>
    </row>
    <row r="33080" spans="191:191" x14ac:dyDescent="0.2">
      <c r="GI33080" s="422"/>
    </row>
    <row r="33081" spans="191:191" x14ac:dyDescent="0.2">
      <c r="GI33081" s="422"/>
    </row>
    <row r="33082" spans="191:191" x14ac:dyDescent="0.2">
      <c r="GI33082" s="422"/>
    </row>
    <row r="33083" spans="191:191" x14ac:dyDescent="0.2">
      <c r="GI33083" s="422"/>
    </row>
    <row r="33084" spans="191:191" x14ac:dyDescent="0.2">
      <c r="GI33084" s="422"/>
    </row>
    <row r="33085" spans="191:191" x14ac:dyDescent="0.2">
      <c r="GI33085" s="422"/>
    </row>
    <row r="33086" spans="191:191" x14ac:dyDescent="0.2">
      <c r="GI33086" s="422"/>
    </row>
    <row r="33087" spans="191:191" x14ac:dyDescent="0.2">
      <c r="GI33087" s="422"/>
    </row>
    <row r="33088" spans="191:191" x14ac:dyDescent="0.2">
      <c r="GI33088" s="422"/>
    </row>
    <row r="33089" spans="191:191" x14ac:dyDescent="0.2">
      <c r="GI33089" s="422"/>
    </row>
    <row r="33090" spans="191:191" x14ac:dyDescent="0.2">
      <c r="GI33090" s="422"/>
    </row>
    <row r="33091" spans="191:191" x14ac:dyDescent="0.2">
      <c r="GI33091" s="422"/>
    </row>
    <row r="33092" spans="191:191" x14ac:dyDescent="0.2">
      <c r="GI33092" s="422"/>
    </row>
    <row r="33093" spans="191:191" x14ac:dyDescent="0.2">
      <c r="GI33093" s="422"/>
    </row>
    <row r="33094" spans="191:191" x14ac:dyDescent="0.2">
      <c r="GI33094" s="422"/>
    </row>
    <row r="33095" spans="191:191" x14ac:dyDescent="0.2">
      <c r="GI33095" s="422"/>
    </row>
    <row r="33096" spans="191:191" x14ac:dyDescent="0.2">
      <c r="GI33096" s="422"/>
    </row>
    <row r="33097" spans="191:191" x14ac:dyDescent="0.2">
      <c r="GI33097" s="422"/>
    </row>
    <row r="33098" spans="191:191" x14ac:dyDescent="0.2">
      <c r="GI33098" s="422"/>
    </row>
    <row r="33099" spans="191:191" x14ac:dyDescent="0.2">
      <c r="GI33099" s="422"/>
    </row>
    <row r="33100" spans="191:191" x14ac:dyDescent="0.2">
      <c r="GI33100" s="422"/>
    </row>
    <row r="33101" spans="191:191" x14ac:dyDescent="0.2">
      <c r="GI33101" s="422"/>
    </row>
    <row r="33102" spans="191:191" x14ac:dyDescent="0.2">
      <c r="GI33102" s="422"/>
    </row>
    <row r="33103" spans="191:191" x14ac:dyDescent="0.2">
      <c r="GI33103" s="422"/>
    </row>
    <row r="33104" spans="191:191" x14ac:dyDescent="0.2">
      <c r="GI33104" s="422"/>
    </row>
    <row r="33105" spans="191:191" x14ac:dyDescent="0.2">
      <c r="GI33105" s="422"/>
    </row>
    <row r="33106" spans="191:191" x14ac:dyDescent="0.2">
      <c r="GI33106" s="422"/>
    </row>
    <row r="33107" spans="191:191" x14ac:dyDescent="0.2">
      <c r="GI33107" s="422"/>
    </row>
    <row r="33108" spans="191:191" x14ac:dyDescent="0.2">
      <c r="GI33108" s="422"/>
    </row>
    <row r="33109" spans="191:191" x14ac:dyDescent="0.2">
      <c r="GI33109" s="422"/>
    </row>
    <row r="33110" spans="191:191" x14ac:dyDescent="0.2">
      <c r="GI33110" s="422"/>
    </row>
    <row r="33111" spans="191:191" x14ac:dyDescent="0.2">
      <c r="GI33111" s="422"/>
    </row>
    <row r="33112" spans="191:191" x14ac:dyDescent="0.2">
      <c r="GI33112" s="422"/>
    </row>
    <row r="33113" spans="191:191" x14ac:dyDescent="0.2">
      <c r="GI33113" s="422"/>
    </row>
    <row r="33114" spans="191:191" x14ac:dyDescent="0.2">
      <c r="GI33114" s="422"/>
    </row>
    <row r="33115" spans="191:191" x14ac:dyDescent="0.2">
      <c r="GI33115" s="422"/>
    </row>
    <row r="33116" spans="191:191" x14ac:dyDescent="0.2">
      <c r="GI33116" s="422"/>
    </row>
    <row r="33117" spans="191:191" x14ac:dyDescent="0.2">
      <c r="GI33117" s="422"/>
    </row>
    <row r="33118" spans="191:191" x14ac:dyDescent="0.2">
      <c r="GI33118" s="422"/>
    </row>
    <row r="33119" spans="191:191" x14ac:dyDescent="0.2">
      <c r="GI33119" s="422"/>
    </row>
    <row r="33120" spans="191:191" x14ac:dyDescent="0.2">
      <c r="GI33120" s="422"/>
    </row>
    <row r="33121" spans="191:191" x14ac:dyDescent="0.2">
      <c r="GI33121" s="422"/>
    </row>
    <row r="33122" spans="191:191" x14ac:dyDescent="0.2">
      <c r="GI33122" s="422"/>
    </row>
    <row r="33123" spans="191:191" x14ac:dyDescent="0.2">
      <c r="GI33123" s="422"/>
    </row>
    <row r="33124" spans="191:191" x14ac:dyDescent="0.2">
      <c r="GI33124" s="422"/>
    </row>
    <row r="33125" spans="191:191" x14ac:dyDescent="0.2">
      <c r="GI33125" s="422"/>
    </row>
    <row r="33126" spans="191:191" x14ac:dyDescent="0.2">
      <c r="GI33126" s="422"/>
    </row>
    <row r="33127" spans="191:191" x14ac:dyDescent="0.2">
      <c r="GI33127" s="422"/>
    </row>
    <row r="33128" spans="191:191" x14ac:dyDescent="0.2">
      <c r="GI33128" s="422"/>
    </row>
    <row r="33129" spans="191:191" x14ac:dyDescent="0.2">
      <c r="GI33129" s="422"/>
    </row>
    <row r="33130" spans="191:191" x14ac:dyDescent="0.2">
      <c r="GI33130" s="422"/>
    </row>
    <row r="33131" spans="191:191" x14ac:dyDescent="0.2">
      <c r="GI33131" s="422"/>
    </row>
    <row r="33132" spans="191:191" x14ac:dyDescent="0.2">
      <c r="GI33132" s="422"/>
    </row>
    <row r="33133" spans="191:191" x14ac:dyDescent="0.2">
      <c r="GI33133" s="422"/>
    </row>
    <row r="33134" spans="191:191" x14ac:dyDescent="0.2">
      <c r="GI33134" s="422"/>
    </row>
    <row r="33135" spans="191:191" x14ac:dyDescent="0.2">
      <c r="GI33135" s="422"/>
    </row>
    <row r="33136" spans="191:191" x14ac:dyDescent="0.2">
      <c r="GI33136" s="422"/>
    </row>
    <row r="33137" spans="191:191" x14ac:dyDescent="0.2">
      <c r="GI33137" s="422"/>
    </row>
    <row r="33138" spans="191:191" x14ac:dyDescent="0.2">
      <c r="GI33138" s="422"/>
    </row>
    <row r="33139" spans="191:191" x14ac:dyDescent="0.2">
      <c r="GI33139" s="422"/>
    </row>
    <row r="33140" spans="191:191" x14ac:dyDescent="0.2">
      <c r="GI33140" s="422"/>
    </row>
    <row r="33141" spans="191:191" x14ac:dyDescent="0.2">
      <c r="GI33141" s="422"/>
    </row>
    <row r="33142" spans="191:191" x14ac:dyDescent="0.2">
      <c r="GI33142" s="422"/>
    </row>
    <row r="33143" spans="191:191" x14ac:dyDescent="0.2">
      <c r="GI33143" s="422"/>
    </row>
    <row r="33144" spans="191:191" x14ac:dyDescent="0.2">
      <c r="GI33144" s="422"/>
    </row>
    <row r="33145" spans="191:191" x14ac:dyDescent="0.2">
      <c r="GI33145" s="422"/>
    </row>
    <row r="33146" spans="191:191" x14ac:dyDescent="0.2">
      <c r="GI33146" s="422"/>
    </row>
    <row r="33147" spans="191:191" x14ac:dyDescent="0.2">
      <c r="GI33147" s="422"/>
    </row>
    <row r="33148" spans="191:191" x14ac:dyDescent="0.2">
      <c r="GI33148" s="422"/>
    </row>
    <row r="33149" spans="191:191" x14ac:dyDescent="0.2">
      <c r="GI33149" s="422"/>
    </row>
    <row r="33150" spans="191:191" x14ac:dyDescent="0.2">
      <c r="GI33150" s="422"/>
    </row>
    <row r="33151" spans="191:191" x14ac:dyDescent="0.2">
      <c r="GI33151" s="422"/>
    </row>
    <row r="33152" spans="191:191" x14ac:dyDescent="0.2">
      <c r="GI33152" s="422"/>
    </row>
    <row r="33153" spans="191:191" x14ac:dyDescent="0.2">
      <c r="GI33153" s="422"/>
    </row>
    <row r="33154" spans="191:191" x14ac:dyDescent="0.2">
      <c r="GI33154" s="422"/>
    </row>
    <row r="33155" spans="191:191" x14ac:dyDescent="0.2">
      <c r="GI33155" s="422"/>
    </row>
    <row r="33156" spans="191:191" x14ac:dyDescent="0.2">
      <c r="GI33156" s="422"/>
    </row>
    <row r="33157" spans="191:191" x14ac:dyDescent="0.2">
      <c r="GI33157" s="422"/>
    </row>
    <row r="33158" spans="191:191" x14ac:dyDescent="0.2">
      <c r="GI33158" s="422"/>
    </row>
    <row r="33159" spans="191:191" x14ac:dyDescent="0.2">
      <c r="GI33159" s="422"/>
    </row>
    <row r="33160" spans="191:191" x14ac:dyDescent="0.2">
      <c r="GI33160" s="422"/>
    </row>
    <row r="33161" spans="191:191" x14ac:dyDescent="0.2">
      <c r="GI33161" s="422"/>
    </row>
    <row r="33162" spans="191:191" x14ac:dyDescent="0.2">
      <c r="GI33162" s="422"/>
    </row>
    <row r="33163" spans="191:191" x14ac:dyDescent="0.2">
      <c r="GI33163" s="422"/>
    </row>
    <row r="33164" spans="191:191" x14ac:dyDescent="0.2">
      <c r="GI33164" s="422"/>
    </row>
    <row r="33165" spans="191:191" x14ac:dyDescent="0.2">
      <c r="GI33165" s="422"/>
    </row>
    <row r="33166" spans="191:191" x14ac:dyDescent="0.2">
      <c r="GI33166" s="422"/>
    </row>
    <row r="33167" spans="191:191" x14ac:dyDescent="0.2">
      <c r="GI33167" s="422"/>
    </row>
    <row r="33168" spans="191:191" x14ac:dyDescent="0.2">
      <c r="GI33168" s="422"/>
    </row>
    <row r="33169" spans="191:191" x14ac:dyDescent="0.2">
      <c r="GI33169" s="422"/>
    </row>
    <row r="33170" spans="191:191" x14ac:dyDescent="0.2">
      <c r="GI33170" s="422"/>
    </row>
    <row r="33171" spans="191:191" x14ac:dyDescent="0.2">
      <c r="GI33171" s="422"/>
    </row>
    <row r="33172" spans="191:191" x14ac:dyDescent="0.2">
      <c r="GI33172" s="422"/>
    </row>
    <row r="33173" spans="191:191" x14ac:dyDescent="0.2">
      <c r="GI33173" s="422"/>
    </row>
    <row r="33174" spans="191:191" x14ac:dyDescent="0.2">
      <c r="GI33174" s="422"/>
    </row>
    <row r="33175" spans="191:191" x14ac:dyDescent="0.2">
      <c r="GI33175" s="422"/>
    </row>
    <row r="33176" spans="191:191" x14ac:dyDescent="0.2">
      <c r="GI33176" s="422"/>
    </row>
    <row r="33177" spans="191:191" x14ac:dyDescent="0.2">
      <c r="GI33177" s="422"/>
    </row>
    <row r="33178" spans="191:191" x14ac:dyDescent="0.2">
      <c r="GI33178" s="422"/>
    </row>
    <row r="33179" spans="191:191" x14ac:dyDescent="0.2">
      <c r="GI33179" s="422"/>
    </row>
    <row r="33180" spans="191:191" x14ac:dyDescent="0.2">
      <c r="GI33180" s="422"/>
    </row>
    <row r="33181" spans="191:191" x14ac:dyDescent="0.2">
      <c r="GI33181" s="422"/>
    </row>
    <row r="33182" spans="191:191" x14ac:dyDescent="0.2">
      <c r="GI33182" s="422"/>
    </row>
    <row r="33183" spans="191:191" x14ac:dyDescent="0.2">
      <c r="GI33183" s="422"/>
    </row>
    <row r="33184" spans="191:191" x14ac:dyDescent="0.2">
      <c r="GI33184" s="422"/>
    </row>
    <row r="33185" spans="191:191" x14ac:dyDescent="0.2">
      <c r="GI33185" s="422"/>
    </row>
    <row r="33186" spans="191:191" x14ac:dyDescent="0.2">
      <c r="GI33186" s="422"/>
    </row>
    <row r="33187" spans="191:191" x14ac:dyDescent="0.2">
      <c r="GI33187" s="422"/>
    </row>
    <row r="33188" spans="191:191" x14ac:dyDescent="0.2">
      <c r="GI33188" s="422"/>
    </row>
    <row r="33189" spans="191:191" x14ac:dyDescent="0.2">
      <c r="GI33189" s="422"/>
    </row>
    <row r="33190" spans="191:191" x14ac:dyDescent="0.2">
      <c r="GI33190" s="422"/>
    </row>
    <row r="33191" spans="191:191" x14ac:dyDescent="0.2">
      <c r="GI33191" s="422"/>
    </row>
    <row r="33192" spans="191:191" x14ac:dyDescent="0.2">
      <c r="GI33192" s="422"/>
    </row>
    <row r="33193" spans="191:191" x14ac:dyDescent="0.2">
      <c r="GI33193" s="422"/>
    </row>
    <row r="33194" spans="191:191" x14ac:dyDescent="0.2">
      <c r="GI33194" s="422"/>
    </row>
    <row r="33195" spans="191:191" x14ac:dyDescent="0.2">
      <c r="GI33195" s="422"/>
    </row>
    <row r="33196" spans="191:191" x14ac:dyDescent="0.2">
      <c r="GI33196" s="422"/>
    </row>
    <row r="33197" spans="191:191" x14ac:dyDescent="0.2">
      <c r="GI33197" s="422"/>
    </row>
    <row r="33198" spans="191:191" x14ac:dyDescent="0.2">
      <c r="GI33198" s="422"/>
    </row>
    <row r="33199" spans="191:191" x14ac:dyDescent="0.2">
      <c r="GI33199" s="422"/>
    </row>
    <row r="33200" spans="191:191" x14ac:dyDescent="0.2">
      <c r="GI33200" s="422"/>
    </row>
    <row r="33201" spans="191:191" x14ac:dyDescent="0.2">
      <c r="GI33201" s="422"/>
    </row>
    <row r="33202" spans="191:191" x14ac:dyDescent="0.2">
      <c r="GI33202" s="422"/>
    </row>
    <row r="33203" spans="191:191" x14ac:dyDescent="0.2">
      <c r="GI33203" s="422"/>
    </row>
    <row r="33204" spans="191:191" x14ac:dyDescent="0.2">
      <c r="GI33204" s="422"/>
    </row>
    <row r="33205" spans="191:191" x14ac:dyDescent="0.2">
      <c r="GI33205" s="422"/>
    </row>
    <row r="33206" spans="191:191" x14ac:dyDescent="0.2">
      <c r="GI33206" s="422"/>
    </row>
    <row r="33207" spans="191:191" x14ac:dyDescent="0.2">
      <c r="GI33207" s="422"/>
    </row>
    <row r="33208" spans="191:191" x14ac:dyDescent="0.2">
      <c r="GI33208" s="422"/>
    </row>
    <row r="33209" spans="191:191" x14ac:dyDescent="0.2">
      <c r="GI33209" s="422"/>
    </row>
    <row r="33210" spans="191:191" x14ac:dyDescent="0.2">
      <c r="GI33210" s="422"/>
    </row>
    <row r="33211" spans="191:191" x14ac:dyDescent="0.2">
      <c r="GI33211" s="422"/>
    </row>
    <row r="33212" spans="191:191" x14ac:dyDescent="0.2">
      <c r="GI33212" s="422"/>
    </row>
    <row r="33213" spans="191:191" x14ac:dyDescent="0.2">
      <c r="GI33213" s="422"/>
    </row>
    <row r="33214" spans="191:191" x14ac:dyDescent="0.2">
      <c r="GI33214" s="422"/>
    </row>
    <row r="33215" spans="191:191" x14ac:dyDescent="0.2">
      <c r="GI33215" s="422"/>
    </row>
    <row r="33216" spans="191:191" x14ac:dyDescent="0.2">
      <c r="GI33216" s="422"/>
    </row>
    <row r="33217" spans="191:191" x14ac:dyDescent="0.2">
      <c r="GI33217" s="422"/>
    </row>
    <row r="33218" spans="191:191" x14ac:dyDescent="0.2">
      <c r="GI33218" s="422"/>
    </row>
    <row r="33219" spans="191:191" x14ac:dyDescent="0.2">
      <c r="GI33219" s="422"/>
    </row>
    <row r="33220" spans="191:191" x14ac:dyDescent="0.2">
      <c r="GI33220" s="422"/>
    </row>
    <row r="33221" spans="191:191" x14ac:dyDescent="0.2">
      <c r="GI33221" s="422"/>
    </row>
    <row r="33222" spans="191:191" x14ac:dyDescent="0.2">
      <c r="GI33222" s="422"/>
    </row>
    <row r="33223" spans="191:191" x14ac:dyDescent="0.2">
      <c r="GI33223" s="422"/>
    </row>
    <row r="33224" spans="191:191" x14ac:dyDescent="0.2">
      <c r="GI33224" s="422"/>
    </row>
    <row r="33225" spans="191:191" x14ac:dyDescent="0.2">
      <c r="GI33225" s="422"/>
    </row>
    <row r="33226" spans="191:191" x14ac:dyDescent="0.2">
      <c r="GI33226" s="422"/>
    </row>
    <row r="33227" spans="191:191" x14ac:dyDescent="0.2">
      <c r="GI33227" s="422"/>
    </row>
    <row r="33228" spans="191:191" x14ac:dyDescent="0.2">
      <c r="GI33228" s="422"/>
    </row>
    <row r="33229" spans="191:191" x14ac:dyDescent="0.2">
      <c r="GI33229" s="422"/>
    </row>
    <row r="33230" spans="191:191" x14ac:dyDescent="0.2">
      <c r="GI33230" s="422"/>
    </row>
    <row r="33231" spans="191:191" x14ac:dyDescent="0.2">
      <c r="GI33231" s="422"/>
    </row>
    <row r="33232" spans="191:191" x14ac:dyDescent="0.2">
      <c r="GI33232" s="422"/>
    </row>
    <row r="33233" spans="191:191" x14ac:dyDescent="0.2">
      <c r="GI33233" s="422"/>
    </row>
    <row r="33234" spans="191:191" x14ac:dyDescent="0.2">
      <c r="GI33234" s="422"/>
    </row>
    <row r="33235" spans="191:191" x14ac:dyDescent="0.2">
      <c r="GI33235" s="422"/>
    </row>
    <row r="33236" spans="191:191" x14ac:dyDescent="0.2">
      <c r="GI33236" s="422"/>
    </row>
    <row r="33237" spans="191:191" x14ac:dyDescent="0.2">
      <c r="GI33237" s="422"/>
    </row>
    <row r="33238" spans="191:191" x14ac:dyDescent="0.2">
      <c r="GI33238" s="422"/>
    </row>
    <row r="33239" spans="191:191" x14ac:dyDescent="0.2">
      <c r="GI33239" s="422"/>
    </row>
    <row r="33240" spans="191:191" x14ac:dyDescent="0.2">
      <c r="GI33240" s="422"/>
    </row>
    <row r="33241" spans="191:191" x14ac:dyDescent="0.2">
      <c r="GI33241" s="422"/>
    </row>
    <row r="33242" spans="191:191" x14ac:dyDescent="0.2">
      <c r="GI33242" s="422"/>
    </row>
    <row r="33243" spans="191:191" x14ac:dyDescent="0.2">
      <c r="GI33243" s="422"/>
    </row>
    <row r="33244" spans="191:191" x14ac:dyDescent="0.2">
      <c r="GI33244" s="422"/>
    </row>
    <row r="33245" spans="191:191" x14ac:dyDescent="0.2">
      <c r="GI33245" s="422"/>
    </row>
    <row r="33246" spans="191:191" x14ac:dyDescent="0.2">
      <c r="GI33246" s="422"/>
    </row>
    <row r="33247" spans="191:191" x14ac:dyDescent="0.2">
      <c r="GI33247" s="422"/>
    </row>
    <row r="33248" spans="191:191" x14ac:dyDescent="0.2">
      <c r="GI33248" s="422"/>
    </row>
    <row r="33249" spans="191:191" x14ac:dyDescent="0.2">
      <c r="GI33249" s="422"/>
    </row>
    <row r="33250" spans="191:191" x14ac:dyDescent="0.2">
      <c r="GI33250" s="422"/>
    </row>
    <row r="33251" spans="191:191" x14ac:dyDescent="0.2">
      <c r="GI33251" s="422"/>
    </row>
    <row r="33252" spans="191:191" x14ac:dyDescent="0.2">
      <c r="GI33252" s="422"/>
    </row>
    <row r="33253" spans="191:191" x14ac:dyDescent="0.2">
      <c r="GI33253" s="422"/>
    </row>
    <row r="33254" spans="191:191" x14ac:dyDescent="0.2">
      <c r="GI33254" s="422"/>
    </row>
    <row r="33255" spans="191:191" x14ac:dyDescent="0.2">
      <c r="GI33255" s="422"/>
    </row>
    <row r="33256" spans="191:191" x14ac:dyDescent="0.2">
      <c r="GI33256" s="422"/>
    </row>
    <row r="33257" spans="191:191" x14ac:dyDescent="0.2">
      <c r="GI33257" s="422"/>
    </row>
    <row r="33258" spans="191:191" x14ac:dyDescent="0.2">
      <c r="GI33258" s="422"/>
    </row>
    <row r="33259" spans="191:191" x14ac:dyDescent="0.2">
      <c r="GI33259" s="422"/>
    </row>
    <row r="33260" spans="191:191" x14ac:dyDescent="0.2">
      <c r="GI33260" s="422"/>
    </row>
    <row r="33261" spans="191:191" x14ac:dyDescent="0.2">
      <c r="GI33261" s="422"/>
    </row>
    <row r="33262" spans="191:191" x14ac:dyDescent="0.2">
      <c r="GI33262" s="422"/>
    </row>
    <row r="33263" spans="191:191" x14ac:dyDescent="0.2">
      <c r="GI33263" s="422"/>
    </row>
    <row r="33264" spans="191:191" x14ac:dyDescent="0.2">
      <c r="GI33264" s="422"/>
    </row>
    <row r="33265" spans="191:191" x14ac:dyDescent="0.2">
      <c r="GI33265" s="422"/>
    </row>
    <row r="33266" spans="191:191" x14ac:dyDescent="0.2">
      <c r="GI33266" s="422"/>
    </row>
    <row r="33267" spans="191:191" x14ac:dyDescent="0.2">
      <c r="GI33267" s="422"/>
    </row>
    <row r="33268" spans="191:191" x14ac:dyDescent="0.2">
      <c r="GI33268" s="422"/>
    </row>
    <row r="33269" spans="191:191" x14ac:dyDescent="0.2">
      <c r="GI33269" s="422"/>
    </row>
    <row r="33270" spans="191:191" x14ac:dyDescent="0.2">
      <c r="GI33270" s="422"/>
    </row>
    <row r="33271" spans="191:191" x14ac:dyDescent="0.2">
      <c r="GI33271" s="422"/>
    </row>
    <row r="33272" spans="191:191" x14ac:dyDescent="0.2">
      <c r="GI33272" s="422"/>
    </row>
    <row r="33273" spans="191:191" x14ac:dyDescent="0.2">
      <c r="GI33273" s="422"/>
    </row>
    <row r="33274" spans="191:191" x14ac:dyDescent="0.2">
      <c r="GI33274" s="422"/>
    </row>
    <row r="33275" spans="191:191" x14ac:dyDescent="0.2">
      <c r="GI33275" s="422"/>
    </row>
    <row r="33276" spans="191:191" x14ac:dyDescent="0.2">
      <c r="GI33276" s="422"/>
    </row>
    <row r="33277" spans="191:191" x14ac:dyDescent="0.2">
      <c r="GI33277" s="422"/>
    </row>
    <row r="33278" spans="191:191" x14ac:dyDescent="0.2">
      <c r="GI33278" s="422"/>
    </row>
    <row r="33279" spans="191:191" x14ac:dyDescent="0.2">
      <c r="GI33279" s="422"/>
    </row>
    <row r="33280" spans="191:191" x14ac:dyDescent="0.2">
      <c r="GI33280" s="422"/>
    </row>
    <row r="33281" spans="191:191" x14ac:dyDescent="0.2">
      <c r="GI33281" s="422"/>
    </row>
    <row r="33282" spans="191:191" x14ac:dyDescent="0.2">
      <c r="GI33282" s="422"/>
    </row>
    <row r="33283" spans="191:191" x14ac:dyDescent="0.2">
      <c r="GI33283" s="422"/>
    </row>
    <row r="33284" spans="191:191" x14ac:dyDescent="0.2">
      <c r="GI33284" s="422"/>
    </row>
    <row r="33285" spans="191:191" x14ac:dyDescent="0.2">
      <c r="GI33285" s="422"/>
    </row>
    <row r="33286" spans="191:191" x14ac:dyDescent="0.2">
      <c r="GI33286" s="422"/>
    </row>
    <row r="33287" spans="191:191" x14ac:dyDescent="0.2">
      <c r="GI33287" s="422"/>
    </row>
    <row r="33288" spans="191:191" x14ac:dyDescent="0.2">
      <c r="GI33288" s="422"/>
    </row>
    <row r="33289" spans="191:191" x14ac:dyDescent="0.2">
      <c r="GI33289" s="422"/>
    </row>
    <row r="33290" spans="191:191" x14ac:dyDescent="0.2">
      <c r="GI33290" s="422"/>
    </row>
    <row r="33291" spans="191:191" x14ac:dyDescent="0.2">
      <c r="GI33291" s="422"/>
    </row>
    <row r="33292" spans="191:191" x14ac:dyDescent="0.2">
      <c r="GI33292" s="422"/>
    </row>
    <row r="33293" spans="191:191" x14ac:dyDescent="0.2">
      <c r="GI33293" s="422"/>
    </row>
    <row r="33294" spans="191:191" x14ac:dyDescent="0.2">
      <c r="GI33294" s="422"/>
    </row>
    <row r="33295" spans="191:191" x14ac:dyDescent="0.2">
      <c r="GI33295" s="422"/>
    </row>
    <row r="33296" spans="191:191" x14ac:dyDescent="0.2">
      <c r="GI33296" s="422"/>
    </row>
    <row r="33297" spans="191:191" x14ac:dyDescent="0.2">
      <c r="GI33297" s="422"/>
    </row>
    <row r="33298" spans="191:191" x14ac:dyDescent="0.2">
      <c r="GI33298" s="422"/>
    </row>
    <row r="33299" spans="191:191" x14ac:dyDescent="0.2">
      <c r="GI33299" s="422"/>
    </row>
    <row r="33300" spans="191:191" x14ac:dyDescent="0.2">
      <c r="GI33300" s="422"/>
    </row>
    <row r="33301" spans="191:191" x14ac:dyDescent="0.2">
      <c r="GI33301" s="422"/>
    </row>
    <row r="33302" spans="191:191" x14ac:dyDescent="0.2">
      <c r="GI33302" s="422"/>
    </row>
    <row r="33303" spans="191:191" x14ac:dyDescent="0.2">
      <c r="GI33303" s="422"/>
    </row>
    <row r="33304" spans="191:191" x14ac:dyDescent="0.2">
      <c r="GI33304" s="422"/>
    </row>
    <row r="33305" spans="191:191" x14ac:dyDescent="0.2">
      <c r="GI33305" s="422"/>
    </row>
    <row r="33306" spans="191:191" x14ac:dyDescent="0.2">
      <c r="GI33306" s="422"/>
    </row>
    <row r="33307" spans="191:191" x14ac:dyDescent="0.2">
      <c r="GI33307" s="422"/>
    </row>
    <row r="33308" spans="191:191" x14ac:dyDescent="0.2">
      <c r="GI33308" s="422"/>
    </row>
    <row r="33309" spans="191:191" x14ac:dyDescent="0.2">
      <c r="GI33309" s="422"/>
    </row>
    <row r="33310" spans="191:191" x14ac:dyDescent="0.2">
      <c r="GI33310" s="422"/>
    </row>
    <row r="33311" spans="191:191" x14ac:dyDescent="0.2">
      <c r="GI33311" s="422"/>
    </row>
    <row r="33312" spans="191:191" x14ac:dyDescent="0.2">
      <c r="GI33312" s="422"/>
    </row>
    <row r="33313" spans="191:191" x14ac:dyDescent="0.2">
      <c r="GI33313" s="422"/>
    </row>
    <row r="33314" spans="191:191" x14ac:dyDescent="0.2">
      <c r="GI33314" s="422"/>
    </row>
    <row r="33315" spans="191:191" x14ac:dyDescent="0.2">
      <c r="GI33315" s="422"/>
    </row>
    <row r="33316" spans="191:191" x14ac:dyDescent="0.2">
      <c r="GI33316" s="422"/>
    </row>
    <row r="33317" spans="191:191" x14ac:dyDescent="0.2">
      <c r="GI33317" s="422"/>
    </row>
    <row r="33318" spans="191:191" x14ac:dyDescent="0.2">
      <c r="GI33318" s="422"/>
    </row>
    <row r="33319" spans="191:191" x14ac:dyDescent="0.2">
      <c r="GI33319" s="422"/>
    </row>
    <row r="33320" spans="191:191" x14ac:dyDescent="0.2">
      <c r="GI33320" s="422"/>
    </row>
    <row r="33321" spans="191:191" x14ac:dyDescent="0.2">
      <c r="GI33321" s="422"/>
    </row>
    <row r="33322" spans="191:191" x14ac:dyDescent="0.2">
      <c r="GI33322" s="422"/>
    </row>
    <row r="33323" spans="191:191" x14ac:dyDescent="0.2">
      <c r="GI33323" s="422"/>
    </row>
    <row r="33324" spans="191:191" x14ac:dyDescent="0.2">
      <c r="GI33324" s="422"/>
    </row>
    <row r="33325" spans="191:191" x14ac:dyDescent="0.2">
      <c r="GI33325" s="422"/>
    </row>
    <row r="33326" spans="191:191" x14ac:dyDescent="0.2">
      <c r="GI33326" s="422"/>
    </row>
    <row r="33327" spans="191:191" x14ac:dyDescent="0.2">
      <c r="GI33327" s="422"/>
    </row>
    <row r="33328" spans="191:191" x14ac:dyDescent="0.2">
      <c r="GI33328" s="422"/>
    </row>
    <row r="33329" spans="191:191" x14ac:dyDescent="0.2">
      <c r="GI33329" s="422"/>
    </row>
    <row r="33330" spans="191:191" x14ac:dyDescent="0.2">
      <c r="GI33330" s="422"/>
    </row>
    <row r="33331" spans="191:191" x14ac:dyDescent="0.2">
      <c r="GI33331" s="422"/>
    </row>
    <row r="33332" spans="191:191" x14ac:dyDescent="0.2">
      <c r="GI33332" s="422"/>
    </row>
    <row r="33333" spans="191:191" x14ac:dyDescent="0.2">
      <c r="GI33333" s="422"/>
    </row>
    <row r="33334" spans="191:191" x14ac:dyDescent="0.2">
      <c r="GI33334" s="422"/>
    </row>
    <row r="33335" spans="191:191" x14ac:dyDescent="0.2">
      <c r="GI33335" s="422"/>
    </row>
    <row r="33336" spans="191:191" x14ac:dyDescent="0.2">
      <c r="GI33336" s="422"/>
    </row>
    <row r="33337" spans="191:191" x14ac:dyDescent="0.2">
      <c r="GI33337" s="422"/>
    </row>
    <row r="33338" spans="191:191" x14ac:dyDescent="0.2">
      <c r="GI33338" s="422"/>
    </row>
    <row r="33339" spans="191:191" x14ac:dyDescent="0.2">
      <c r="GI33339" s="422"/>
    </row>
    <row r="33340" spans="191:191" x14ac:dyDescent="0.2">
      <c r="GI33340" s="422"/>
    </row>
    <row r="33341" spans="191:191" x14ac:dyDescent="0.2">
      <c r="GI33341" s="422"/>
    </row>
    <row r="33342" spans="191:191" x14ac:dyDescent="0.2">
      <c r="GI33342" s="422"/>
    </row>
    <row r="33343" spans="191:191" x14ac:dyDescent="0.2">
      <c r="GI33343" s="422"/>
    </row>
    <row r="33344" spans="191:191" x14ac:dyDescent="0.2">
      <c r="GI33344" s="422"/>
    </row>
    <row r="33345" spans="191:191" x14ac:dyDescent="0.2">
      <c r="GI33345" s="422"/>
    </row>
    <row r="33346" spans="191:191" x14ac:dyDescent="0.2">
      <c r="GI33346" s="422"/>
    </row>
    <row r="33347" spans="191:191" x14ac:dyDescent="0.2">
      <c r="GI33347" s="422"/>
    </row>
    <row r="33348" spans="191:191" x14ac:dyDescent="0.2">
      <c r="GI33348" s="422"/>
    </row>
    <row r="33349" spans="191:191" x14ac:dyDescent="0.2">
      <c r="GI33349" s="422"/>
    </row>
    <row r="33350" spans="191:191" x14ac:dyDescent="0.2">
      <c r="GI33350" s="422"/>
    </row>
    <row r="33351" spans="191:191" x14ac:dyDescent="0.2">
      <c r="GI33351" s="422"/>
    </row>
    <row r="33352" spans="191:191" x14ac:dyDescent="0.2">
      <c r="GI33352" s="422"/>
    </row>
    <row r="33353" spans="191:191" x14ac:dyDescent="0.2">
      <c r="GI33353" s="422"/>
    </row>
    <row r="33354" spans="191:191" x14ac:dyDescent="0.2">
      <c r="GI33354" s="422"/>
    </row>
    <row r="33355" spans="191:191" x14ac:dyDescent="0.2">
      <c r="GI33355" s="422"/>
    </row>
    <row r="33356" spans="191:191" x14ac:dyDescent="0.2">
      <c r="GI33356" s="422"/>
    </row>
    <row r="33357" spans="191:191" x14ac:dyDescent="0.2">
      <c r="GI33357" s="422"/>
    </row>
    <row r="33358" spans="191:191" x14ac:dyDescent="0.2">
      <c r="GI33358" s="422"/>
    </row>
    <row r="33359" spans="191:191" x14ac:dyDescent="0.2">
      <c r="GI33359" s="422"/>
    </row>
    <row r="33360" spans="191:191" x14ac:dyDescent="0.2">
      <c r="GI33360" s="422"/>
    </row>
    <row r="33361" spans="191:191" x14ac:dyDescent="0.2">
      <c r="GI33361" s="422"/>
    </row>
    <row r="33362" spans="191:191" x14ac:dyDescent="0.2">
      <c r="GI33362" s="422"/>
    </row>
    <row r="33363" spans="191:191" x14ac:dyDescent="0.2">
      <c r="GI33363" s="422"/>
    </row>
    <row r="33364" spans="191:191" x14ac:dyDescent="0.2">
      <c r="GI33364" s="422"/>
    </row>
    <row r="33365" spans="191:191" x14ac:dyDescent="0.2">
      <c r="GI33365" s="422"/>
    </row>
    <row r="33366" spans="191:191" x14ac:dyDescent="0.2">
      <c r="GI33366" s="422"/>
    </row>
    <row r="33367" spans="191:191" x14ac:dyDescent="0.2">
      <c r="GI33367" s="422"/>
    </row>
    <row r="33368" spans="191:191" x14ac:dyDescent="0.2">
      <c r="GI33368" s="422"/>
    </row>
    <row r="33369" spans="191:191" x14ac:dyDescent="0.2">
      <c r="GI33369" s="422"/>
    </row>
    <row r="33370" spans="191:191" x14ac:dyDescent="0.2">
      <c r="GI33370" s="422"/>
    </row>
    <row r="33371" spans="191:191" x14ac:dyDescent="0.2">
      <c r="GI33371" s="422"/>
    </row>
    <row r="33372" spans="191:191" x14ac:dyDescent="0.2">
      <c r="GI33372" s="422"/>
    </row>
    <row r="33373" spans="191:191" x14ac:dyDescent="0.2">
      <c r="GI33373" s="422"/>
    </row>
    <row r="33374" spans="191:191" x14ac:dyDescent="0.2">
      <c r="GI33374" s="422"/>
    </row>
    <row r="33375" spans="191:191" x14ac:dyDescent="0.2">
      <c r="GI33375" s="422"/>
    </row>
    <row r="33376" spans="191:191" x14ac:dyDescent="0.2">
      <c r="GI33376" s="422"/>
    </row>
    <row r="33377" spans="191:191" x14ac:dyDescent="0.2">
      <c r="GI33377" s="422"/>
    </row>
    <row r="33378" spans="191:191" x14ac:dyDescent="0.2">
      <c r="GI33378" s="422"/>
    </row>
    <row r="33379" spans="191:191" x14ac:dyDescent="0.2">
      <c r="GI33379" s="422"/>
    </row>
    <row r="33380" spans="191:191" x14ac:dyDescent="0.2">
      <c r="GI33380" s="422"/>
    </row>
    <row r="33381" spans="191:191" x14ac:dyDescent="0.2">
      <c r="GI33381" s="422"/>
    </row>
    <row r="33382" spans="191:191" x14ac:dyDescent="0.2">
      <c r="GI33382" s="422"/>
    </row>
    <row r="33383" spans="191:191" x14ac:dyDescent="0.2">
      <c r="GI33383" s="422"/>
    </row>
    <row r="33384" spans="191:191" x14ac:dyDescent="0.2">
      <c r="GI33384" s="422"/>
    </row>
    <row r="33385" spans="191:191" x14ac:dyDescent="0.2">
      <c r="GI33385" s="422"/>
    </row>
    <row r="33386" spans="191:191" x14ac:dyDescent="0.2">
      <c r="GI33386" s="422"/>
    </row>
    <row r="33387" spans="191:191" x14ac:dyDescent="0.2">
      <c r="GI33387" s="422"/>
    </row>
    <row r="33388" spans="191:191" x14ac:dyDescent="0.2">
      <c r="GI33388" s="422"/>
    </row>
    <row r="33389" spans="191:191" x14ac:dyDescent="0.2">
      <c r="GI33389" s="422"/>
    </row>
    <row r="33390" spans="191:191" x14ac:dyDescent="0.2">
      <c r="GI33390" s="422"/>
    </row>
    <row r="33391" spans="191:191" x14ac:dyDescent="0.2">
      <c r="GI33391" s="422"/>
    </row>
    <row r="33392" spans="191:191" x14ac:dyDescent="0.2">
      <c r="GI33392" s="422"/>
    </row>
    <row r="33393" spans="191:191" x14ac:dyDescent="0.2">
      <c r="GI33393" s="422"/>
    </row>
    <row r="33394" spans="191:191" x14ac:dyDescent="0.2">
      <c r="GI33394" s="422"/>
    </row>
    <row r="33395" spans="191:191" x14ac:dyDescent="0.2">
      <c r="GI33395" s="422"/>
    </row>
    <row r="33396" spans="191:191" x14ac:dyDescent="0.2">
      <c r="GI33396" s="422"/>
    </row>
    <row r="33397" spans="191:191" x14ac:dyDescent="0.2">
      <c r="GI33397" s="422"/>
    </row>
    <row r="33398" spans="191:191" x14ac:dyDescent="0.2">
      <c r="GI33398" s="422"/>
    </row>
    <row r="33399" spans="191:191" x14ac:dyDescent="0.2">
      <c r="GI33399" s="422"/>
    </row>
    <row r="33400" spans="191:191" x14ac:dyDescent="0.2">
      <c r="GI33400" s="422"/>
    </row>
    <row r="33401" spans="191:191" x14ac:dyDescent="0.2">
      <c r="GI33401" s="422"/>
    </row>
    <row r="33402" spans="191:191" x14ac:dyDescent="0.2">
      <c r="GI33402" s="422"/>
    </row>
    <row r="33403" spans="191:191" x14ac:dyDescent="0.2">
      <c r="GI33403" s="422"/>
    </row>
    <row r="33404" spans="191:191" x14ac:dyDescent="0.2">
      <c r="GI33404" s="422"/>
    </row>
    <row r="33405" spans="191:191" x14ac:dyDescent="0.2">
      <c r="GI33405" s="422"/>
    </row>
    <row r="33406" spans="191:191" x14ac:dyDescent="0.2">
      <c r="GI33406" s="422"/>
    </row>
    <row r="33407" spans="191:191" x14ac:dyDescent="0.2">
      <c r="GI33407" s="422"/>
    </row>
    <row r="33408" spans="191:191" x14ac:dyDescent="0.2">
      <c r="GI33408" s="422"/>
    </row>
    <row r="33409" spans="191:191" x14ac:dyDescent="0.2">
      <c r="GI33409" s="422"/>
    </row>
    <row r="33410" spans="191:191" x14ac:dyDescent="0.2">
      <c r="GI33410" s="422"/>
    </row>
    <row r="33411" spans="191:191" x14ac:dyDescent="0.2">
      <c r="GI33411" s="422"/>
    </row>
    <row r="33412" spans="191:191" x14ac:dyDescent="0.2">
      <c r="GI33412" s="422"/>
    </row>
    <row r="33413" spans="191:191" x14ac:dyDescent="0.2">
      <c r="GI33413" s="422"/>
    </row>
    <row r="33414" spans="191:191" x14ac:dyDescent="0.2">
      <c r="GI33414" s="422"/>
    </row>
    <row r="33415" spans="191:191" x14ac:dyDescent="0.2">
      <c r="GI33415" s="422"/>
    </row>
    <row r="33416" spans="191:191" x14ac:dyDescent="0.2">
      <c r="GI33416" s="422"/>
    </row>
    <row r="33417" spans="191:191" x14ac:dyDescent="0.2">
      <c r="GI33417" s="422"/>
    </row>
    <row r="33418" spans="191:191" x14ac:dyDescent="0.2">
      <c r="GI33418" s="422"/>
    </row>
    <row r="33419" spans="191:191" x14ac:dyDescent="0.2">
      <c r="GI33419" s="422"/>
    </row>
    <row r="33420" spans="191:191" x14ac:dyDescent="0.2">
      <c r="GI33420" s="422"/>
    </row>
    <row r="33421" spans="191:191" x14ac:dyDescent="0.2">
      <c r="GI33421" s="422"/>
    </row>
    <row r="33422" spans="191:191" x14ac:dyDescent="0.2">
      <c r="GI33422" s="422"/>
    </row>
    <row r="33423" spans="191:191" x14ac:dyDescent="0.2">
      <c r="GI33423" s="422"/>
    </row>
    <row r="33424" spans="191:191" x14ac:dyDescent="0.2">
      <c r="GI33424" s="422"/>
    </row>
    <row r="33425" spans="191:191" x14ac:dyDescent="0.2">
      <c r="GI33425" s="422"/>
    </row>
    <row r="33426" spans="191:191" x14ac:dyDescent="0.2">
      <c r="GI33426" s="422"/>
    </row>
    <row r="33427" spans="191:191" x14ac:dyDescent="0.2">
      <c r="GI33427" s="422"/>
    </row>
    <row r="33428" spans="191:191" x14ac:dyDescent="0.2">
      <c r="GI33428" s="422"/>
    </row>
    <row r="33429" spans="191:191" x14ac:dyDescent="0.2">
      <c r="GI33429" s="422"/>
    </row>
    <row r="33430" spans="191:191" x14ac:dyDescent="0.2">
      <c r="GI33430" s="422"/>
    </row>
    <row r="33431" spans="191:191" x14ac:dyDescent="0.2">
      <c r="GI33431" s="422"/>
    </row>
    <row r="33432" spans="191:191" x14ac:dyDescent="0.2">
      <c r="GI33432" s="422"/>
    </row>
    <row r="33433" spans="191:191" x14ac:dyDescent="0.2">
      <c r="GI33433" s="422"/>
    </row>
    <row r="33434" spans="191:191" x14ac:dyDescent="0.2">
      <c r="GI33434" s="422"/>
    </row>
    <row r="33435" spans="191:191" x14ac:dyDescent="0.2">
      <c r="GI33435" s="422"/>
    </row>
    <row r="33436" spans="191:191" x14ac:dyDescent="0.2">
      <c r="GI33436" s="422"/>
    </row>
    <row r="33437" spans="191:191" x14ac:dyDescent="0.2">
      <c r="GI33437" s="422"/>
    </row>
    <row r="33438" spans="191:191" x14ac:dyDescent="0.2">
      <c r="GI33438" s="422"/>
    </row>
    <row r="33439" spans="191:191" x14ac:dyDescent="0.2">
      <c r="GI33439" s="422"/>
    </row>
    <row r="33440" spans="191:191" x14ac:dyDescent="0.2">
      <c r="GI33440" s="422"/>
    </row>
    <row r="33441" spans="191:191" x14ac:dyDescent="0.2">
      <c r="GI33441" s="422"/>
    </row>
    <row r="33442" spans="191:191" x14ac:dyDescent="0.2">
      <c r="GI33442" s="422"/>
    </row>
    <row r="33443" spans="191:191" x14ac:dyDescent="0.2">
      <c r="GI33443" s="422"/>
    </row>
    <row r="33444" spans="191:191" x14ac:dyDescent="0.2">
      <c r="GI33444" s="422"/>
    </row>
    <row r="33445" spans="191:191" x14ac:dyDescent="0.2">
      <c r="GI33445" s="422"/>
    </row>
    <row r="33446" spans="191:191" x14ac:dyDescent="0.2">
      <c r="GI33446" s="422"/>
    </row>
    <row r="33447" spans="191:191" x14ac:dyDescent="0.2">
      <c r="GI33447" s="422"/>
    </row>
    <row r="33448" spans="191:191" x14ac:dyDescent="0.2">
      <c r="GI33448" s="422"/>
    </row>
    <row r="33449" spans="191:191" x14ac:dyDescent="0.2">
      <c r="GI33449" s="422"/>
    </row>
    <row r="33450" spans="191:191" x14ac:dyDescent="0.2">
      <c r="GI33450" s="422"/>
    </row>
    <row r="33451" spans="191:191" x14ac:dyDescent="0.2">
      <c r="GI33451" s="422"/>
    </row>
    <row r="33452" spans="191:191" x14ac:dyDescent="0.2">
      <c r="GI33452" s="422"/>
    </row>
    <row r="33453" spans="191:191" x14ac:dyDescent="0.2">
      <c r="GI33453" s="422"/>
    </row>
    <row r="33454" spans="191:191" x14ac:dyDescent="0.2">
      <c r="GI33454" s="422"/>
    </row>
    <row r="33455" spans="191:191" x14ac:dyDescent="0.2">
      <c r="GI33455" s="422"/>
    </row>
    <row r="33456" spans="191:191" x14ac:dyDescent="0.2">
      <c r="GI33456" s="422"/>
    </row>
    <row r="33457" spans="191:191" x14ac:dyDescent="0.2">
      <c r="GI33457" s="422"/>
    </row>
    <row r="33458" spans="191:191" x14ac:dyDescent="0.2">
      <c r="GI33458" s="422"/>
    </row>
    <row r="33459" spans="191:191" x14ac:dyDescent="0.2">
      <c r="GI33459" s="422"/>
    </row>
    <row r="33460" spans="191:191" x14ac:dyDescent="0.2">
      <c r="GI33460" s="422"/>
    </row>
    <row r="33461" spans="191:191" x14ac:dyDescent="0.2">
      <c r="GI33461" s="422"/>
    </row>
    <row r="33462" spans="191:191" x14ac:dyDescent="0.2">
      <c r="GI33462" s="422"/>
    </row>
    <row r="33463" spans="191:191" x14ac:dyDescent="0.2">
      <c r="GI33463" s="422"/>
    </row>
    <row r="33464" spans="191:191" x14ac:dyDescent="0.2">
      <c r="GI33464" s="422"/>
    </row>
    <row r="33465" spans="191:191" x14ac:dyDescent="0.2">
      <c r="GI33465" s="422"/>
    </row>
    <row r="33466" spans="191:191" x14ac:dyDescent="0.2">
      <c r="GI33466" s="422"/>
    </row>
    <row r="33467" spans="191:191" x14ac:dyDescent="0.2">
      <c r="GI33467" s="422"/>
    </row>
    <row r="33468" spans="191:191" x14ac:dyDescent="0.2">
      <c r="GI33468" s="422"/>
    </row>
    <row r="33469" spans="191:191" x14ac:dyDescent="0.2">
      <c r="GI33469" s="422"/>
    </row>
    <row r="33470" spans="191:191" x14ac:dyDescent="0.2">
      <c r="GI33470" s="422"/>
    </row>
    <row r="33471" spans="191:191" x14ac:dyDescent="0.2">
      <c r="GI33471" s="422"/>
    </row>
    <row r="33472" spans="191:191" x14ac:dyDescent="0.2">
      <c r="GI33472" s="422"/>
    </row>
    <row r="33473" spans="191:191" x14ac:dyDescent="0.2">
      <c r="GI33473" s="422"/>
    </row>
    <row r="33474" spans="191:191" x14ac:dyDescent="0.2">
      <c r="GI33474" s="422"/>
    </row>
    <row r="33475" spans="191:191" x14ac:dyDescent="0.2">
      <c r="GI33475" s="422"/>
    </row>
    <row r="33476" spans="191:191" x14ac:dyDescent="0.2">
      <c r="GI33476" s="422"/>
    </row>
    <row r="33477" spans="191:191" x14ac:dyDescent="0.2">
      <c r="GI33477" s="422"/>
    </row>
    <row r="33478" spans="191:191" x14ac:dyDescent="0.2">
      <c r="GI33478" s="422"/>
    </row>
    <row r="33479" spans="191:191" x14ac:dyDescent="0.2">
      <c r="GI33479" s="422"/>
    </row>
    <row r="33480" spans="191:191" x14ac:dyDescent="0.2">
      <c r="GI33480" s="422"/>
    </row>
    <row r="33481" spans="191:191" x14ac:dyDescent="0.2">
      <c r="GI33481" s="422"/>
    </row>
    <row r="33482" spans="191:191" x14ac:dyDescent="0.2">
      <c r="GI33482" s="422"/>
    </row>
    <row r="33483" spans="191:191" x14ac:dyDescent="0.2">
      <c r="GI33483" s="422"/>
    </row>
    <row r="33484" spans="191:191" x14ac:dyDescent="0.2">
      <c r="GI33484" s="422"/>
    </row>
    <row r="33485" spans="191:191" x14ac:dyDescent="0.2">
      <c r="GI33485" s="422"/>
    </row>
    <row r="33486" spans="191:191" x14ac:dyDescent="0.2">
      <c r="GI33486" s="422"/>
    </row>
    <row r="33487" spans="191:191" x14ac:dyDescent="0.2">
      <c r="GI33487" s="422"/>
    </row>
    <row r="33488" spans="191:191" x14ac:dyDescent="0.2">
      <c r="GI33488" s="422"/>
    </row>
    <row r="33489" spans="191:191" x14ac:dyDescent="0.2">
      <c r="GI33489" s="422"/>
    </row>
    <row r="33490" spans="191:191" x14ac:dyDescent="0.2">
      <c r="GI33490" s="422"/>
    </row>
    <row r="33491" spans="191:191" x14ac:dyDescent="0.2">
      <c r="GI33491" s="422"/>
    </row>
    <row r="33492" spans="191:191" x14ac:dyDescent="0.2">
      <c r="GI33492" s="422"/>
    </row>
    <row r="33493" spans="191:191" x14ac:dyDescent="0.2">
      <c r="GI33493" s="422"/>
    </row>
    <row r="33494" spans="191:191" x14ac:dyDescent="0.2">
      <c r="GI33494" s="422"/>
    </row>
    <row r="33495" spans="191:191" x14ac:dyDescent="0.2">
      <c r="GI33495" s="422"/>
    </row>
    <row r="33496" spans="191:191" x14ac:dyDescent="0.2">
      <c r="GI33496" s="422"/>
    </row>
    <row r="33497" spans="191:191" x14ac:dyDescent="0.2">
      <c r="GI33497" s="422"/>
    </row>
    <row r="33498" spans="191:191" x14ac:dyDescent="0.2">
      <c r="GI33498" s="422"/>
    </row>
    <row r="33499" spans="191:191" x14ac:dyDescent="0.2">
      <c r="GI33499" s="422"/>
    </row>
    <row r="33500" spans="191:191" x14ac:dyDescent="0.2">
      <c r="GI33500" s="422"/>
    </row>
    <row r="33501" spans="191:191" x14ac:dyDescent="0.2">
      <c r="GI33501" s="422"/>
    </row>
    <row r="33502" spans="191:191" x14ac:dyDescent="0.2">
      <c r="GI33502" s="422"/>
    </row>
    <row r="33503" spans="191:191" x14ac:dyDescent="0.2">
      <c r="GI33503" s="422"/>
    </row>
    <row r="33504" spans="191:191" x14ac:dyDescent="0.2">
      <c r="GI33504" s="422"/>
    </row>
    <row r="33505" spans="191:191" x14ac:dyDescent="0.2">
      <c r="GI33505" s="422"/>
    </row>
    <row r="33506" spans="191:191" x14ac:dyDescent="0.2">
      <c r="GI33506" s="422"/>
    </row>
    <row r="33507" spans="191:191" x14ac:dyDescent="0.2">
      <c r="GI33507" s="422"/>
    </row>
    <row r="33508" spans="191:191" x14ac:dyDescent="0.2">
      <c r="GI33508" s="422"/>
    </row>
    <row r="33509" spans="191:191" x14ac:dyDescent="0.2">
      <c r="GI33509" s="422"/>
    </row>
    <row r="33510" spans="191:191" x14ac:dyDescent="0.2">
      <c r="GI33510" s="422"/>
    </row>
    <row r="33511" spans="191:191" x14ac:dyDescent="0.2">
      <c r="GI33511" s="422"/>
    </row>
    <row r="33512" spans="191:191" x14ac:dyDescent="0.2">
      <c r="GI33512" s="422"/>
    </row>
    <row r="33513" spans="191:191" x14ac:dyDescent="0.2">
      <c r="GI33513" s="422"/>
    </row>
    <row r="33514" spans="191:191" x14ac:dyDescent="0.2">
      <c r="GI33514" s="422"/>
    </row>
    <row r="33515" spans="191:191" x14ac:dyDescent="0.2">
      <c r="GI33515" s="422"/>
    </row>
    <row r="33516" spans="191:191" x14ac:dyDescent="0.2">
      <c r="GI33516" s="422"/>
    </row>
    <row r="33517" spans="191:191" x14ac:dyDescent="0.2">
      <c r="GI33517" s="422"/>
    </row>
    <row r="33518" spans="191:191" x14ac:dyDescent="0.2">
      <c r="GI33518" s="422"/>
    </row>
    <row r="33519" spans="191:191" x14ac:dyDescent="0.2">
      <c r="GI33519" s="422"/>
    </row>
    <row r="33520" spans="191:191" x14ac:dyDescent="0.2">
      <c r="GI33520" s="422"/>
    </row>
    <row r="33521" spans="191:191" x14ac:dyDescent="0.2">
      <c r="GI33521" s="422"/>
    </row>
    <row r="33522" spans="191:191" x14ac:dyDescent="0.2">
      <c r="GI33522" s="422"/>
    </row>
    <row r="33523" spans="191:191" x14ac:dyDescent="0.2">
      <c r="GI33523" s="422"/>
    </row>
    <row r="33524" spans="191:191" x14ac:dyDescent="0.2">
      <c r="GI33524" s="422"/>
    </row>
    <row r="33525" spans="191:191" x14ac:dyDescent="0.2">
      <c r="GI33525" s="422"/>
    </row>
    <row r="33526" spans="191:191" x14ac:dyDescent="0.2">
      <c r="GI33526" s="422"/>
    </row>
    <row r="33527" spans="191:191" x14ac:dyDescent="0.2">
      <c r="GI33527" s="422"/>
    </row>
    <row r="33528" spans="191:191" x14ac:dyDescent="0.2">
      <c r="GI33528" s="422"/>
    </row>
    <row r="33529" spans="191:191" x14ac:dyDescent="0.2">
      <c r="GI33529" s="422"/>
    </row>
    <row r="33530" spans="191:191" x14ac:dyDescent="0.2">
      <c r="GI33530" s="422"/>
    </row>
    <row r="33531" spans="191:191" x14ac:dyDescent="0.2">
      <c r="GI33531" s="422"/>
    </row>
    <row r="33532" spans="191:191" x14ac:dyDescent="0.2">
      <c r="GI33532" s="422"/>
    </row>
    <row r="33533" spans="191:191" x14ac:dyDescent="0.2">
      <c r="GI33533" s="422"/>
    </row>
    <row r="33534" spans="191:191" x14ac:dyDescent="0.2">
      <c r="GI33534" s="422"/>
    </row>
    <row r="33535" spans="191:191" x14ac:dyDescent="0.2">
      <c r="GI33535" s="422"/>
    </row>
    <row r="33536" spans="191:191" x14ac:dyDescent="0.2">
      <c r="GI33536" s="422"/>
    </row>
    <row r="33537" spans="191:191" x14ac:dyDescent="0.2">
      <c r="GI33537" s="422"/>
    </row>
    <row r="33538" spans="191:191" x14ac:dyDescent="0.2">
      <c r="GI33538" s="422"/>
    </row>
    <row r="33539" spans="191:191" x14ac:dyDescent="0.2">
      <c r="GI33539" s="422"/>
    </row>
    <row r="33540" spans="191:191" x14ac:dyDescent="0.2">
      <c r="GI33540" s="422"/>
    </row>
    <row r="33541" spans="191:191" x14ac:dyDescent="0.2">
      <c r="GI33541" s="422"/>
    </row>
    <row r="33542" spans="191:191" x14ac:dyDescent="0.2">
      <c r="GI33542" s="422"/>
    </row>
    <row r="33543" spans="191:191" x14ac:dyDescent="0.2">
      <c r="GI33543" s="422"/>
    </row>
    <row r="33544" spans="191:191" x14ac:dyDescent="0.2">
      <c r="GI33544" s="422"/>
    </row>
    <row r="33545" spans="191:191" x14ac:dyDescent="0.2">
      <c r="GI33545" s="422"/>
    </row>
    <row r="33546" spans="191:191" x14ac:dyDescent="0.2">
      <c r="GI33546" s="422"/>
    </row>
    <row r="33547" spans="191:191" x14ac:dyDescent="0.2">
      <c r="GI33547" s="422"/>
    </row>
    <row r="33548" spans="191:191" x14ac:dyDescent="0.2">
      <c r="GI33548" s="422"/>
    </row>
    <row r="33549" spans="191:191" x14ac:dyDescent="0.2">
      <c r="GI33549" s="422"/>
    </row>
    <row r="33550" spans="191:191" x14ac:dyDescent="0.2">
      <c r="GI33550" s="422"/>
    </row>
    <row r="33551" spans="191:191" x14ac:dyDescent="0.2">
      <c r="GI33551" s="422"/>
    </row>
    <row r="33552" spans="191:191" x14ac:dyDescent="0.2">
      <c r="GI33552" s="422"/>
    </row>
    <row r="33553" spans="191:191" x14ac:dyDescent="0.2">
      <c r="GI33553" s="422"/>
    </row>
    <row r="33554" spans="191:191" x14ac:dyDescent="0.2">
      <c r="GI33554" s="422"/>
    </row>
    <row r="33555" spans="191:191" x14ac:dyDescent="0.2">
      <c r="GI33555" s="422"/>
    </row>
    <row r="33556" spans="191:191" x14ac:dyDescent="0.2">
      <c r="GI33556" s="422"/>
    </row>
    <row r="33557" spans="191:191" x14ac:dyDescent="0.2">
      <c r="GI33557" s="422"/>
    </row>
    <row r="33558" spans="191:191" x14ac:dyDescent="0.2">
      <c r="GI33558" s="422"/>
    </row>
    <row r="33559" spans="191:191" x14ac:dyDescent="0.2">
      <c r="GI33559" s="422"/>
    </row>
    <row r="33560" spans="191:191" x14ac:dyDescent="0.2">
      <c r="GI33560" s="422"/>
    </row>
    <row r="33561" spans="191:191" x14ac:dyDescent="0.2">
      <c r="GI33561" s="422"/>
    </row>
    <row r="33562" spans="191:191" x14ac:dyDescent="0.2">
      <c r="GI33562" s="422"/>
    </row>
    <row r="33563" spans="191:191" x14ac:dyDescent="0.2">
      <c r="GI33563" s="422"/>
    </row>
    <row r="33564" spans="191:191" x14ac:dyDescent="0.2">
      <c r="GI33564" s="422"/>
    </row>
    <row r="33565" spans="191:191" x14ac:dyDescent="0.2">
      <c r="GI33565" s="422"/>
    </row>
    <row r="33566" spans="191:191" x14ac:dyDescent="0.2">
      <c r="GI33566" s="422"/>
    </row>
    <row r="33567" spans="191:191" x14ac:dyDescent="0.2">
      <c r="GI33567" s="422"/>
    </row>
    <row r="33568" spans="191:191" x14ac:dyDescent="0.2">
      <c r="GI33568" s="422"/>
    </row>
    <row r="33569" spans="191:191" x14ac:dyDescent="0.2">
      <c r="GI33569" s="422"/>
    </row>
    <row r="33570" spans="191:191" x14ac:dyDescent="0.2">
      <c r="GI33570" s="422"/>
    </row>
    <row r="33571" spans="191:191" x14ac:dyDescent="0.2">
      <c r="GI33571" s="422"/>
    </row>
    <row r="33572" spans="191:191" x14ac:dyDescent="0.2">
      <c r="GI33572" s="422"/>
    </row>
    <row r="33573" spans="191:191" x14ac:dyDescent="0.2">
      <c r="GI33573" s="422"/>
    </row>
    <row r="33574" spans="191:191" x14ac:dyDescent="0.2">
      <c r="GI33574" s="422"/>
    </row>
    <row r="33575" spans="191:191" x14ac:dyDescent="0.2">
      <c r="GI33575" s="422"/>
    </row>
    <row r="33576" spans="191:191" x14ac:dyDescent="0.2">
      <c r="GI33576" s="422"/>
    </row>
    <row r="33577" spans="191:191" x14ac:dyDescent="0.2">
      <c r="GI33577" s="422"/>
    </row>
    <row r="33578" spans="191:191" x14ac:dyDescent="0.2">
      <c r="GI33578" s="422"/>
    </row>
    <row r="33579" spans="191:191" x14ac:dyDescent="0.2">
      <c r="GI33579" s="422"/>
    </row>
    <row r="33580" spans="191:191" x14ac:dyDescent="0.2">
      <c r="GI33580" s="422"/>
    </row>
    <row r="33581" spans="191:191" x14ac:dyDescent="0.2">
      <c r="GI33581" s="422"/>
    </row>
    <row r="33582" spans="191:191" x14ac:dyDescent="0.2">
      <c r="GI33582" s="422"/>
    </row>
    <row r="33583" spans="191:191" x14ac:dyDescent="0.2">
      <c r="GI33583" s="422"/>
    </row>
    <row r="33584" spans="191:191" x14ac:dyDescent="0.2">
      <c r="GI33584" s="422"/>
    </row>
    <row r="33585" spans="191:191" x14ac:dyDescent="0.2">
      <c r="GI33585" s="422"/>
    </row>
    <row r="33586" spans="191:191" x14ac:dyDescent="0.2">
      <c r="GI33586" s="422"/>
    </row>
    <row r="33587" spans="191:191" x14ac:dyDescent="0.2">
      <c r="GI33587" s="422"/>
    </row>
    <row r="33588" spans="191:191" x14ac:dyDescent="0.2">
      <c r="GI33588" s="422"/>
    </row>
    <row r="33589" spans="191:191" x14ac:dyDescent="0.2">
      <c r="GI33589" s="422"/>
    </row>
    <row r="33590" spans="191:191" x14ac:dyDescent="0.2">
      <c r="GI33590" s="422"/>
    </row>
    <row r="33591" spans="191:191" x14ac:dyDescent="0.2">
      <c r="GI33591" s="422"/>
    </row>
    <row r="33592" spans="191:191" x14ac:dyDescent="0.2">
      <c r="GI33592" s="422"/>
    </row>
    <row r="33593" spans="191:191" x14ac:dyDescent="0.2">
      <c r="GI33593" s="422"/>
    </row>
    <row r="33594" spans="191:191" x14ac:dyDescent="0.2">
      <c r="GI33594" s="422"/>
    </row>
    <row r="33595" spans="191:191" x14ac:dyDescent="0.2">
      <c r="GI33595" s="422"/>
    </row>
    <row r="33596" spans="191:191" x14ac:dyDescent="0.2">
      <c r="GI33596" s="422"/>
    </row>
    <row r="33597" spans="191:191" x14ac:dyDescent="0.2">
      <c r="GI33597" s="422"/>
    </row>
    <row r="33598" spans="191:191" x14ac:dyDescent="0.2">
      <c r="GI33598" s="422"/>
    </row>
    <row r="33599" spans="191:191" x14ac:dyDescent="0.2">
      <c r="GI33599" s="422"/>
    </row>
    <row r="33600" spans="191:191" x14ac:dyDescent="0.2">
      <c r="GI33600" s="422"/>
    </row>
    <row r="33601" spans="191:191" x14ac:dyDescent="0.2">
      <c r="GI33601" s="422"/>
    </row>
    <row r="33602" spans="191:191" x14ac:dyDescent="0.2">
      <c r="GI33602" s="422"/>
    </row>
    <row r="33603" spans="191:191" x14ac:dyDescent="0.2">
      <c r="GI33603" s="422"/>
    </row>
    <row r="33604" spans="191:191" x14ac:dyDescent="0.2">
      <c r="GI33604" s="422"/>
    </row>
    <row r="33605" spans="191:191" x14ac:dyDescent="0.2">
      <c r="GI33605" s="422"/>
    </row>
    <row r="33606" spans="191:191" x14ac:dyDescent="0.2">
      <c r="GI33606" s="422"/>
    </row>
    <row r="33607" spans="191:191" x14ac:dyDescent="0.2">
      <c r="GI33607" s="422"/>
    </row>
    <row r="33608" spans="191:191" x14ac:dyDescent="0.2">
      <c r="GI33608" s="422"/>
    </row>
    <row r="33609" spans="191:191" x14ac:dyDescent="0.2">
      <c r="GI33609" s="422"/>
    </row>
    <row r="33610" spans="191:191" x14ac:dyDescent="0.2">
      <c r="GI33610" s="422"/>
    </row>
    <row r="33611" spans="191:191" x14ac:dyDescent="0.2">
      <c r="GI33611" s="422"/>
    </row>
    <row r="33612" spans="191:191" x14ac:dyDescent="0.2">
      <c r="GI33612" s="422"/>
    </row>
    <row r="33613" spans="191:191" x14ac:dyDescent="0.2">
      <c r="GI33613" s="422"/>
    </row>
    <row r="33614" spans="191:191" x14ac:dyDescent="0.2">
      <c r="GI33614" s="422"/>
    </row>
    <row r="33615" spans="191:191" x14ac:dyDescent="0.2">
      <c r="GI33615" s="422"/>
    </row>
    <row r="33616" spans="191:191" x14ac:dyDescent="0.2">
      <c r="GI33616" s="422"/>
    </row>
    <row r="33617" spans="191:191" x14ac:dyDescent="0.2">
      <c r="GI33617" s="422"/>
    </row>
    <row r="33618" spans="191:191" x14ac:dyDescent="0.2">
      <c r="GI33618" s="422"/>
    </row>
    <row r="33619" spans="191:191" x14ac:dyDescent="0.2">
      <c r="GI33619" s="422"/>
    </row>
    <row r="33620" spans="191:191" x14ac:dyDescent="0.2">
      <c r="GI33620" s="422"/>
    </row>
    <row r="33621" spans="191:191" x14ac:dyDescent="0.2">
      <c r="GI33621" s="422"/>
    </row>
    <row r="33622" spans="191:191" x14ac:dyDescent="0.2">
      <c r="GI33622" s="422"/>
    </row>
    <row r="33623" spans="191:191" x14ac:dyDescent="0.2">
      <c r="GI33623" s="422"/>
    </row>
    <row r="33624" spans="191:191" x14ac:dyDescent="0.2">
      <c r="GI33624" s="422"/>
    </row>
    <row r="33625" spans="191:191" x14ac:dyDescent="0.2">
      <c r="GI33625" s="422"/>
    </row>
    <row r="33626" spans="191:191" x14ac:dyDescent="0.2">
      <c r="GI33626" s="422"/>
    </row>
    <row r="33627" spans="191:191" x14ac:dyDescent="0.2">
      <c r="GI33627" s="422"/>
    </row>
    <row r="33628" spans="191:191" x14ac:dyDescent="0.2">
      <c r="GI33628" s="422"/>
    </row>
    <row r="33629" spans="191:191" x14ac:dyDescent="0.2">
      <c r="GI33629" s="422"/>
    </row>
    <row r="33630" spans="191:191" x14ac:dyDescent="0.2">
      <c r="GI33630" s="422"/>
    </row>
    <row r="33631" spans="191:191" x14ac:dyDescent="0.2">
      <c r="GI33631" s="422"/>
    </row>
    <row r="33632" spans="191:191" x14ac:dyDescent="0.2">
      <c r="GI33632" s="422"/>
    </row>
    <row r="33633" spans="191:191" x14ac:dyDescent="0.2">
      <c r="GI33633" s="422"/>
    </row>
    <row r="33634" spans="191:191" x14ac:dyDescent="0.2">
      <c r="GI33634" s="422"/>
    </row>
    <row r="33635" spans="191:191" x14ac:dyDescent="0.2">
      <c r="GI33635" s="422"/>
    </row>
    <row r="33636" spans="191:191" x14ac:dyDescent="0.2">
      <c r="GI33636" s="422"/>
    </row>
    <row r="33637" spans="191:191" x14ac:dyDescent="0.2">
      <c r="GI33637" s="422"/>
    </row>
    <row r="33638" spans="191:191" x14ac:dyDescent="0.2">
      <c r="GI33638" s="422"/>
    </row>
    <row r="33639" spans="191:191" x14ac:dyDescent="0.2">
      <c r="GI33639" s="422"/>
    </row>
    <row r="33640" spans="191:191" x14ac:dyDescent="0.2">
      <c r="GI33640" s="422"/>
    </row>
    <row r="33641" spans="191:191" x14ac:dyDescent="0.2">
      <c r="GI33641" s="422"/>
    </row>
    <row r="33642" spans="191:191" x14ac:dyDescent="0.2">
      <c r="GI33642" s="422"/>
    </row>
    <row r="33643" spans="191:191" x14ac:dyDescent="0.2">
      <c r="GI33643" s="422"/>
    </row>
    <row r="33644" spans="191:191" x14ac:dyDescent="0.2">
      <c r="GI33644" s="422"/>
    </row>
    <row r="33645" spans="191:191" x14ac:dyDescent="0.2">
      <c r="GI33645" s="422"/>
    </row>
    <row r="33646" spans="191:191" x14ac:dyDescent="0.2">
      <c r="GI33646" s="422"/>
    </row>
    <row r="33647" spans="191:191" x14ac:dyDescent="0.2">
      <c r="GI33647" s="422"/>
    </row>
    <row r="33648" spans="191:191" x14ac:dyDescent="0.2">
      <c r="GI33648" s="422"/>
    </row>
    <row r="33649" spans="191:191" x14ac:dyDescent="0.2">
      <c r="GI33649" s="422"/>
    </row>
    <row r="33650" spans="191:191" x14ac:dyDescent="0.2">
      <c r="GI33650" s="422"/>
    </row>
    <row r="33651" spans="191:191" x14ac:dyDescent="0.2">
      <c r="GI33651" s="422"/>
    </row>
    <row r="33652" spans="191:191" x14ac:dyDescent="0.2">
      <c r="GI33652" s="422"/>
    </row>
    <row r="33653" spans="191:191" x14ac:dyDescent="0.2">
      <c r="GI33653" s="422"/>
    </row>
    <row r="33654" spans="191:191" x14ac:dyDescent="0.2">
      <c r="GI33654" s="422"/>
    </row>
    <row r="33655" spans="191:191" x14ac:dyDescent="0.2">
      <c r="GI33655" s="422"/>
    </row>
    <row r="33656" spans="191:191" x14ac:dyDescent="0.2">
      <c r="GI33656" s="422"/>
    </row>
    <row r="33657" spans="191:191" x14ac:dyDescent="0.2">
      <c r="GI33657" s="422"/>
    </row>
    <row r="33658" spans="191:191" x14ac:dyDescent="0.2">
      <c r="GI33658" s="422"/>
    </row>
    <row r="33659" spans="191:191" x14ac:dyDescent="0.2">
      <c r="GI33659" s="422"/>
    </row>
    <row r="33660" spans="191:191" x14ac:dyDescent="0.2">
      <c r="GI33660" s="422"/>
    </row>
    <row r="33661" spans="191:191" x14ac:dyDescent="0.2">
      <c r="GI33661" s="422"/>
    </row>
    <row r="33662" spans="191:191" x14ac:dyDescent="0.2">
      <c r="GI33662" s="422"/>
    </row>
    <row r="33663" spans="191:191" x14ac:dyDescent="0.2">
      <c r="GI33663" s="422"/>
    </row>
    <row r="33664" spans="191:191" x14ac:dyDescent="0.2">
      <c r="GI33664" s="422"/>
    </row>
    <row r="33665" spans="191:191" x14ac:dyDescent="0.2">
      <c r="GI33665" s="422"/>
    </row>
    <row r="33666" spans="191:191" x14ac:dyDescent="0.2">
      <c r="GI33666" s="422"/>
    </row>
    <row r="33667" spans="191:191" x14ac:dyDescent="0.2">
      <c r="GI33667" s="422"/>
    </row>
    <row r="33668" spans="191:191" x14ac:dyDescent="0.2">
      <c r="GI33668" s="422"/>
    </row>
    <row r="33669" spans="191:191" x14ac:dyDescent="0.2">
      <c r="GI33669" s="422"/>
    </row>
    <row r="33670" spans="191:191" x14ac:dyDescent="0.2">
      <c r="GI33670" s="422"/>
    </row>
    <row r="33671" spans="191:191" x14ac:dyDescent="0.2">
      <c r="GI33671" s="422"/>
    </row>
    <row r="33672" spans="191:191" x14ac:dyDescent="0.2">
      <c r="GI33672" s="422"/>
    </row>
    <row r="33673" spans="191:191" x14ac:dyDescent="0.2">
      <c r="GI33673" s="422"/>
    </row>
    <row r="33674" spans="191:191" x14ac:dyDescent="0.2">
      <c r="GI33674" s="422"/>
    </row>
    <row r="33675" spans="191:191" x14ac:dyDescent="0.2">
      <c r="GI33675" s="422"/>
    </row>
    <row r="33676" spans="191:191" x14ac:dyDescent="0.2">
      <c r="GI33676" s="422"/>
    </row>
    <row r="33677" spans="191:191" x14ac:dyDescent="0.2">
      <c r="GI33677" s="422"/>
    </row>
    <row r="33678" spans="191:191" x14ac:dyDescent="0.2">
      <c r="GI33678" s="422"/>
    </row>
    <row r="33679" spans="191:191" x14ac:dyDescent="0.2">
      <c r="GI33679" s="422"/>
    </row>
    <row r="33680" spans="191:191" x14ac:dyDescent="0.2">
      <c r="GI33680" s="422"/>
    </row>
    <row r="33681" spans="191:191" x14ac:dyDescent="0.2">
      <c r="GI33681" s="422"/>
    </row>
    <row r="33682" spans="191:191" x14ac:dyDescent="0.2">
      <c r="GI33682" s="422"/>
    </row>
    <row r="33683" spans="191:191" x14ac:dyDescent="0.2">
      <c r="GI33683" s="422"/>
    </row>
    <row r="33684" spans="191:191" x14ac:dyDescent="0.2">
      <c r="GI33684" s="422"/>
    </row>
    <row r="33685" spans="191:191" x14ac:dyDescent="0.2">
      <c r="GI33685" s="422"/>
    </row>
    <row r="33686" spans="191:191" x14ac:dyDescent="0.2">
      <c r="GI33686" s="422"/>
    </row>
    <row r="33687" spans="191:191" x14ac:dyDescent="0.2">
      <c r="GI33687" s="422"/>
    </row>
    <row r="33688" spans="191:191" x14ac:dyDescent="0.2">
      <c r="GI33688" s="422"/>
    </row>
    <row r="33689" spans="191:191" x14ac:dyDescent="0.2">
      <c r="GI33689" s="422"/>
    </row>
    <row r="33690" spans="191:191" x14ac:dyDescent="0.2">
      <c r="GI33690" s="422"/>
    </row>
    <row r="33691" spans="191:191" x14ac:dyDescent="0.2">
      <c r="GI33691" s="422"/>
    </row>
    <row r="33692" spans="191:191" x14ac:dyDescent="0.2">
      <c r="GI33692" s="422"/>
    </row>
    <row r="33693" spans="191:191" x14ac:dyDescent="0.2">
      <c r="GI33693" s="422"/>
    </row>
    <row r="33694" spans="191:191" x14ac:dyDescent="0.2">
      <c r="GI33694" s="422"/>
    </row>
    <row r="33695" spans="191:191" x14ac:dyDescent="0.2">
      <c r="GI33695" s="422"/>
    </row>
    <row r="33696" spans="191:191" x14ac:dyDescent="0.2">
      <c r="GI33696" s="422"/>
    </row>
    <row r="33697" spans="191:191" x14ac:dyDescent="0.2">
      <c r="GI33697" s="422"/>
    </row>
    <row r="33698" spans="191:191" x14ac:dyDescent="0.2">
      <c r="GI33698" s="422"/>
    </row>
    <row r="33699" spans="191:191" x14ac:dyDescent="0.2">
      <c r="GI33699" s="422"/>
    </row>
    <row r="33700" spans="191:191" x14ac:dyDescent="0.2">
      <c r="GI33700" s="422"/>
    </row>
    <row r="33701" spans="191:191" x14ac:dyDescent="0.2">
      <c r="GI33701" s="422"/>
    </row>
    <row r="33702" spans="191:191" x14ac:dyDescent="0.2">
      <c r="GI33702" s="422"/>
    </row>
    <row r="33703" spans="191:191" x14ac:dyDescent="0.2">
      <c r="GI33703" s="422"/>
    </row>
    <row r="33704" spans="191:191" x14ac:dyDescent="0.2">
      <c r="GI33704" s="422"/>
    </row>
    <row r="33705" spans="191:191" x14ac:dyDescent="0.2">
      <c r="GI33705" s="422"/>
    </row>
    <row r="33706" spans="191:191" x14ac:dyDescent="0.2">
      <c r="GI33706" s="422"/>
    </row>
    <row r="33707" spans="191:191" x14ac:dyDescent="0.2">
      <c r="GI33707" s="422"/>
    </row>
    <row r="33708" spans="191:191" x14ac:dyDescent="0.2">
      <c r="GI33708" s="422"/>
    </row>
    <row r="33709" spans="191:191" x14ac:dyDescent="0.2">
      <c r="GI33709" s="422"/>
    </row>
    <row r="33710" spans="191:191" x14ac:dyDescent="0.2">
      <c r="GI33710" s="422"/>
    </row>
    <row r="33711" spans="191:191" x14ac:dyDescent="0.2">
      <c r="GI33711" s="422"/>
    </row>
    <row r="33712" spans="191:191" x14ac:dyDescent="0.2">
      <c r="GI33712" s="422"/>
    </row>
    <row r="33713" spans="191:191" x14ac:dyDescent="0.2">
      <c r="GI33713" s="422"/>
    </row>
    <row r="33714" spans="191:191" x14ac:dyDescent="0.2">
      <c r="GI33714" s="422"/>
    </row>
    <row r="33715" spans="191:191" x14ac:dyDescent="0.2">
      <c r="GI33715" s="422"/>
    </row>
    <row r="33716" spans="191:191" x14ac:dyDescent="0.2">
      <c r="GI33716" s="422"/>
    </row>
    <row r="33717" spans="191:191" x14ac:dyDescent="0.2">
      <c r="GI33717" s="422"/>
    </row>
    <row r="33718" spans="191:191" x14ac:dyDescent="0.2">
      <c r="GI33718" s="422"/>
    </row>
    <row r="33719" spans="191:191" x14ac:dyDescent="0.2">
      <c r="GI33719" s="422"/>
    </row>
    <row r="33720" spans="191:191" x14ac:dyDescent="0.2">
      <c r="GI33720" s="422"/>
    </row>
    <row r="33721" spans="191:191" x14ac:dyDescent="0.2">
      <c r="GI33721" s="422"/>
    </row>
    <row r="33722" spans="191:191" x14ac:dyDescent="0.2">
      <c r="GI33722" s="422"/>
    </row>
    <row r="33723" spans="191:191" x14ac:dyDescent="0.2">
      <c r="GI33723" s="422"/>
    </row>
    <row r="33724" spans="191:191" x14ac:dyDescent="0.2">
      <c r="GI33724" s="422"/>
    </row>
    <row r="33725" spans="191:191" x14ac:dyDescent="0.2">
      <c r="GI33725" s="422"/>
    </row>
    <row r="33726" spans="191:191" x14ac:dyDescent="0.2">
      <c r="GI33726" s="422"/>
    </row>
    <row r="33727" spans="191:191" x14ac:dyDescent="0.2">
      <c r="GI33727" s="422"/>
    </row>
    <row r="33728" spans="191:191" x14ac:dyDescent="0.2">
      <c r="GI33728" s="422"/>
    </row>
    <row r="33729" spans="191:191" x14ac:dyDescent="0.2">
      <c r="GI33729" s="422"/>
    </row>
    <row r="33730" spans="191:191" x14ac:dyDescent="0.2">
      <c r="GI33730" s="422"/>
    </row>
    <row r="33731" spans="191:191" x14ac:dyDescent="0.2">
      <c r="GI33731" s="422"/>
    </row>
    <row r="33732" spans="191:191" x14ac:dyDescent="0.2">
      <c r="GI33732" s="422"/>
    </row>
    <row r="33733" spans="191:191" x14ac:dyDescent="0.2">
      <c r="GI33733" s="422"/>
    </row>
    <row r="33734" spans="191:191" x14ac:dyDescent="0.2">
      <c r="GI33734" s="422"/>
    </row>
    <row r="33735" spans="191:191" x14ac:dyDescent="0.2">
      <c r="GI33735" s="422"/>
    </row>
    <row r="33736" spans="191:191" x14ac:dyDescent="0.2">
      <c r="GI33736" s="422"/>
    </row>
    <row r="33737" spans="191:191" x14ac:dyDescent="0.2">
      <c r="GI33737" s="422"/>
    </row>
    <row r="33738" spans="191:191" x14ac:dyDescent="0.2">
      <c r="GI33738" s="422"/>
    </row>
    <row r="33739" spans="191:191" x14ac:dyDescent="0.2">
      <c r="GI33739" s="422"/>
    </row>
    <row r="33740" spans="191:191" x14ac:dyDescent="0.2">
      <c r="GI33740" s="422"/>
    </row>
    <row r="33741" spans="191:191" x14ac:dyDescent="0.2">
      <c r="GI33741" s="422"/>
    </row>
    <row r="33742" spans="191:191" x14ac:dyDescent="0.2">
      <c r="GI33742" s="422"/>
    </row>
    <row r="33743" spans="191:191" x14ac:dyDescent="0.2">
      <c r="GI33743" s="422"/>
    </row>
    <row r="33744" spans="191:191" x14ac:dyDescent="0.2">
      <c r="GI33744" s="422"/>
    </row>
    <row r="33745" spans="191:191" x14ac:dyDescent="0.2">
      <c r="GI33745" s="422"/>
    </row>
    <row r="33746" spans="191:191" x14ac:dyDescent="0.2">
      <c r="GI33746" s="422"/>
    </row>
    <row r="33747" spans="191:191" x14ac:dyDescent="0.2">
      <c r="GI33747" s="422"/>
    </row>
    <row r="33748" spans="191:191" x14ac:dyDescent="0.2">
      <c r="GI33748" s="422"/>
    </row>
    <row r="33749" spans="191:191" x14ac:dyDescent="0.2">
      <c r="GI33749" s="422"/>
    </row>
    <row r="33750" spans="191:191" x14ac:dyDescent="0.2">
      <c r="GI33750" s="422"/>
    </row>
    <row r="33751" spans="191:191" x14ac:dyDescent="0.2">
      <c r="GI33751" s="422"/>
    </row>
    <row r="33752" spans="191:191" x14ac:dyDescent="0.2">
      <c r="GI33752" s="422"/>
    </row>
    <row r="33753" spans="191:191" x14ac:dyDescent="0.2">
      <c r="GI33753" s="422"/>
    </row>
    <row r="33754" spans="191:191" x14ac:dyDescent="0.2">
      <c r="GI33754" s="422"/>
    </row>
    <row r="33755" spans="191:191" x14ac:dyDescent="0.2">
      <c r="GI33755" s="422"/>
    </row>
    <row r="33756" spans="191:191" x14ac:dyDescent="0.2">
      <c r="GI33756" s="422"/>
    </row>
    <row r="33757" spans="191:191" x14ac:dyDescent="0.2">
      <c r="GI33757" s="422"/>
    </row>
    <row r="33758" spans="191:191" x14ac:dyDescent="0.2">
      <c r="GI33758" s="422"/>
    </row>
    <row r="33759" spans="191:191" x14ac:dyDescent="0.2">
      <c r="GI33759" s="422"/>
    </row>
    <row r="33760" spans="191:191" x14ac:dyDescent="0.2">
      <c r="GI33760" s="422"/>
    </row>
    <row r="33761" spans="191:191" x14ac:dyDescent="0.2">
      <c r="GI33761" s="422"/>
    </row>
    <row r="33762" spans="191:191" x14ac:dyDescent="0.2">
      <c r="GI33762" s="422"/>
    </row>
    <row r="33763" spans="191:191" x14ac:dyDescent="0.2">
      <c r="GI33763" s="422"/>
    </row>
    <row r="33764" spans="191:191" x14ac:dyDescent="0.2">
      <c r="GI33764" s="422"/>
    </row>
    <row r="33765" spans="191:191" x14ac:dyDescent="0.2">
      <c r="GI33765" s="422"/>
    </row>
    <row r="33766" spans="191:191" x14ac:dyDescent="0.2">
      <c r="GI33766" s="422"/>
    </row>
    <row r="33767" spans="191:191" x14ac:dyDescent="0.2">
      <c r="GI33767" s="422"/>
    </row>
    <row r="33768" spans="191:191" x14ac:dyDescent="0.2">
      <c r="GI33768" s="422"/>
    </row>
    <row r="33769" spans="191:191" x14ac:dyDescent="0.2">
      <c r="GI33769" s="422"/>
    </row>
    <row r="33770" spans="191:191" x14ac:dyDescent="0.2">
      <c r="GI33770" s="422"/>
    </row>
    <row r="33771" spans="191:191" x14ac:dyDescent="0.2">
      <c r="GI33771" s="422"/>
    </row>
    <row r="33772" spans="191:191" x14ac:dyDescent="0.2">
      <c r="GI33772" s="422"/>
    </row>
    <row r="33773" spans="191:191" x14ac:dyDescent="0.2">
      <c r="GI33773" s="422"/>
    </row>
    <row r="33774" spans="191:191" x14ac:dyDescent="0.2">
      <c r="GI33774" s="422"/>
    </row>
    <row r="33775" spans="191:191" x14ac:dyDescent="0.2">
      <c r="GI33775" s="422"/>
    </row>
    <row r="33776" spans="191:191" x14ac:dyDescent="0.2">
      <c r="GI33776" s="422"/>
    </row>
    <row r="33777" spans="191:191" x14ac:dyDescent="0.2">
      <c r="GI33777" s="422"/>
    </row>
    <row r="33778" spans="191:191" x14ac:dyDescent="0.2">
      <c r="GI33778" s="422"/>
    </row>
    <row r="33779" spans="191:191" x14ac:dyDescent="0.2">
      <c r="GI33779" s="422"/>
    </row>
    <row r="33780" spans="191:191" x14ac:dyDescent="0.2">
      <c r="GI33780" s="422"/>
    </row>
    <row r="33781" spans="191:191" x14ac:dyDescent="0.2">
      <c r="GI33781" s="422"/>
    </row>
    <row r="33782" spans="191:191" x14ac:dyDescent="0.2">
      <c r="GI33782" s="422"/>
    </row>
    <row r="33783" spans="191:191" x14ac:dyDescent="0.2">
      <c r="GI33783" s="422"/>
    </row>
    <row r="33784" spans="191:191" x14ac:dyDescent="0.2">
      <c r="GI33784" s="422"/>
    </row>
    <row r="33785" spans="191:191" x14ac:dyDescent="0.2">
      <c r="GI33785" s="422"/>
    </row>
    <row r="33786" spans="191:191" x14ac:dyDescent="0.2">
      <c r="GI33786" s="422"/>
    </row>
    <row r="33787" spans="191:191" x14ac:dyDescent="0.2">
      <c r="GI33787" s="422"/>
    </row>
    <row r="33788" spans="191:191" x14ac:dyDescent="0.2">
      <c r="GI33788" s="422"/>
    </row>
    <row r="33789" spans="191:191" x14ac:dyDescent="0.2">
      <c r="GI33789" s="422"/>
    </row>
    <row r="33790" spans="191:191" x14ac:dyDescent="0.2">
      <c r="GI33790" s="422"/>
    </row>
    <row r="33791" spans="191:191" x14ac:dyDescent="0.2">
      <c r="GI33791" s="422"/>
    </row>
    <row r="33792" spans="191:191" x14ac:dyDescent="0.2">
      <c r="GI33792" s="422"/>
    </row>
    <row r="33793" spans="191:191" x14ac:dyDescent="0.2">
      <c r="GI33793" s="422"/>
    </row>
    <row r="33794" spans="191:191" x14ac:dyDescent="0.2">
      <c r="GI33794" s="422"/>
    </row>
    <row r="33795" spans="191:191" x14ac:dyDescent="0.2">
      <c r="GI33795" s="422"/>
    </row>
    <row r="33796" spans="191:191" x14ac:dyDescent="0.2">
      <c r="GI33796" s="422"/>
    </row>
    <row r="33797" spans="191:191" x14ac:dyDescent="0.2">
      <c r="GI33797" s="422"/>
    </row>
    <row r="33798" spans="191:191" x14ac:dyDescent="0.2">
      <c r="GI33798" s="422"/>
    </row>
    <row r="33799" spans="191:191" x14ac:dyDescent="0.2">
      <c r="GI33799" s="422"/>
    </row>
    <row r="33800" spans="191:191" x14ac:dyDescent="0.2">
      <c r="GI33800" s="422"/>
    </row>
    <row r="33801" spans="191:191" x14ac:dyDescent="0.2">
      <c r="GI33801" s="422"/>
    </row>
    <row r="33802" spans="191:191" x14ac:dyDescent="0.2">
      <c r="GI33802" s="422"/>
    </row>
    <row r="33803" spans="191:191" x14ac:dyDescent="0.2">
      <c r="GI33803" s="422"/>
    </row>
    <row r="33804" spans="191:191" x14ac:dyDescent="0.2">
      <c r="GI33804" s="422"/>
    </row>
    <row r="33805" spans="191:191" x14ac:dyDescent="0.2">
      <c r="GI33805" s="422"/>
    </row>
    <row r="33806" spans="191:191" x14ac:dyDescent="0.2">
      <c r="GI33806" s="422"/>
    </row>
    <row r="33807" spans="191:191" x14ac:dyDescent="0.2">
      <c r="GI33807" s="422"/>
    </row>
    <row r="33808" spans="191:191" x14ac:dyDescent="0.2">
      <c r="GI33808" s="422"/>
    </row>
    <row r="33809" spans="191:191" x14ac:dyDescent="0.2">
      <c r="GI33809" s="422"/>
    </row>
    <row r="33810" spans="191:191" x14ac:dyDescent="0.2">
      <c r="GI33810" s="422"/>
    </row>
    <row r="33811" spans="191:191" x14ac:dyDescent="0.2">
      <c r="GI33811" s="422"/>
    </row>
    <row r="33812" spans="191:191" x14ac:dyDescent="0.2">
      <c r="GI33812" s="422"/>
    </row>
    <row r="33813" spans="191:191" x14ac:dyDescent="0.2">
      <c r="GI33813" s="422"/>
    </row>
    <row r="33814" spans="191:191" x14ac:dyDescent="0.2">
      <c r="GI33814" s="422"/>
    </row>
    <row r="33815" spans="191:191" x14ac:dyDescent="0.2">
      <c r="GI33815" s="422"/>
    </row>
    <row r="33816" spans="191:191" x14ac:dyDescent="0.2">
      <c r="GI33816" s="422"/>
    </row>
    <row r="33817" spans="191:191" x14ac:dyDescent="0.2">
      <c r="GI33817" s="422"/>
    </row>
    <row r="33818" spans="191:191" x14ac:dyDescent="0.2">
      <c r="GI33818" s="422"/>
    </row>
    <row r="33819" spans="191:191" x14ac:dyDescent="0.2">
      <c r="GI33819" s="422"/>
    </row>
    <row r="33820" spans="191:191" x14ac:dyDescent="0.2">
      <c r="GI33820" s="422"/>
    </row>
    <row r="33821" spans="191:191" x14ac:dyDescent="0.2">
      <c r="GI33821" s="422"/>
    </row>
    <row r="33822" spans="191:191" x14ac:dyDescent="0.2">
      <c r="GI33822" s="422"/>
    </row>
    <row r="33823" spans="191:191" x14ac:dyDescent="0.2">
      <c r="GI33823" s="422"/>
    </row>
    <row r="33824" spans="191:191" x14ac:dyDescent="0.2">
      <c r="GI33824" s="422"/>
    </row>
    <row r="33825" spans="191:191" x14ac:dyDescent="0.2">
      <c r="GI33825" s="422"/>
    </row>
    <row r="33826" spans="191:191" x14ac:dyDescent="0.2">
      <c r="GI33826" s="422"/>
    </row>
    <row r="33827" spans="191:191" x14ac:dyDescent="0.2">
      <c r="GI33827" s="422"/>
    </row>
    <row r="33828" spans="191:191" x14ac:dyDescent="0.2">
      <c r="GI33828" s="422"/>
    </row>
    <row r="33829" spans="191:191" x14ac:dyDescent="0.2">
      <c r="GI33829" s="422"/>
    </row>
    <row r="33830" spans="191:191" x14ac:dyDescent="0.2">
      <c r="GI33830" s="422"/>
    </row>
    <row r="33831" spans="191:191" x14ac:dyDescent="0.2">
      <c r="GI33831" s="422"/>
    </row>
    <row r="33832" spans="191:191" x14ac:dyDescent="0.2">
      <c r="GI33832" s="422"/>
    </row>
    <row r="33833" spans="191:191" x14ac:dyDescent="0.2">
      <c r="GI33833" s="422"/>
    </row>
    <row r="33834" spans="191:191" x14ac:dyDescent="0.2">
      <c r="GI33834" s="422"/>
    </row>
    <row r="33835" spans="191:191" x14ac:dyDescent="0.2">
      <c r="GI33835" s="422"/>
    </row>
    <row r="33836" spans="191:191" x14ac:dyDescent="0.2">
      <c r="GI33836" s="422"/>
    </row>
    <row r="33837" spans="191:191" x14ac:dyDescent="0.2">
      <c r="GI33837" s="422"/>
    </row>
    <row r="33838" spans="191:191" x14ac:dyDescent="0.2">
      <c r="GI33838" s="422"/>
    </row>
    <row r="33839" spans="191:191" x14ac:dyDescent="0.2">
      <c r="GI33839" s="422"/>
    </row>
    <row r="33840" spans="191:191" x14ac:dyDescent="0.2">
      <c r="GI33840" s="422"/>
    </row>
    <row r="33841" spans="191:191" x14ac:dyDescent="0.2">
      <c r="GI33841" s="422"/>
    </row>
    <row r="33842" spans="191:191" x14ac:dyDescent="0.2">
      <c r="GI33842" s="422"/>
    </row>
    <row r="33843" spans="191:191" x14ac:dyDescent="0.2">
      <c r="GI33843" s="422"/>
    </row>
    <row r="33844" spans="191:191" x14ac:dyDescent="0.2">
      <c r="GI33844" s="422"/>
    </row>
    <row r="33845" spans="191:191" x14ac:dyDescent="0.2">
      <c r="GI33845" s="422"/>
    </row>
    <row r="33846" spans="191:191" x14ac:dyDescent="0.2">
      <c r="GI33846" s="422"/>
    </row>
    <row r="33847" spans="191:191" x14ac:dyDescent="0.2">
      <c r="GI33847" s="422"/>
    </row>
    <row r="33848" spans="191:191" x14ac:dyDescent="0.2">
      <c r="GI33848" s="422"/>
    </row>
    <row r="33849" spans="191:191" x14ac:dyDescent="0.2">
      <c r="GI33849" s="422"/>
    </row>
    <row r="33850" spans="191:191" x14ac:dyDescent="0.2">
      <c r="GI33850" s="422"/>
    </row>
    <row r="33851" spans="191:191" x14ac:dyDescent="0.2">
      <c r="GI33851" s="422"/>
    </row>
    <row r="33852" spans="191:191" x14ac:dyDescent="0.2">
      <c r="GI33852" s="422"/>
    </row>
    <row r="33853" spans="191:191" x14ac:dyDescent="0.2">
      <c r="GI33853" s="422"/>
    </row>
    <row r="33854" spans="191:191" x14ac:dyDescent="0.2">
      <c r="GI33854" s="422"/>
    </row>
    <row r="33855" spans="191:191" x14ac:dyDescent="0.2">
      <c r="GI33855" s="422"/>
    </row>
    <row r="33856" spans="191:191" x14ac:dyDescent="0.2">
      <c r="GI33856" s="422"/>
    </row>
    <row r="33857" spans="191:191" x14ac:dyDescent="0.2">
      <c r="GI33857" s="422"/>
    </row>
    <row r="33858" spans="191:191" x14ac:dyDescent="0.2">
      <c r="GI33858" s="422"/>
    </row>
    <row r="33859" spans="191:191" x14ac:dyDescent="0.2">
      <c r="GI33859" s="422"/>
    </row>
    <row r="33860" spans="191:191" x14ac:dyDescent="0.2">
      <c r="GI33860" s="422"/>
    </row>
    <row r="33861" spans="191:191" x14ac:dyDescent="0.2">
      <c r="GI33861" s="422"/>
    </row>
    <row r="33862" spans="191:191" x14ac:dyDescent="0.2">
      <c r="GI33862" s="422"/>
    </row>
    <row r="33863" spans="191:191" x14ac:dyDescent="0.2">
      <c r="GI33863" s="422"/>
    </row>
    <row r="33864" spans="191:191" x14ac:dyDescent="0.2">
      <c r="GI33864" s="422"/>
    </row>
    <row r="33865" spans="191:191" x14ac:dyDescent="0.2">
      <c r="GI33865" s="422"/>
    </row>
    <row r="33866" spans="191:191" x14ac:dyDescent="0.2">
      <c r="GI33866" s="422"/>
    </row>
    <row r="33867" spans="191:191" x14ac:dyDescent="0.2">
      <c r="GI33867" s="422"/>
    </row>
    <row r="33868" spans="191:191" x14ac:dyDescent="0.2">
      <c r="GI33868" s="422"/>
    </row>
    <row r="33869" spans="191:191" x14ac:dyDescent="0.2">
      <c r="GI33869" s="422"/>
    </row>
    <row r="33870" spans="191:191" x14ac:dyDescent="0.2">
      <c r="GI33870" s="422"/>
    </row>
    <row r="33871" spans="191:191" x14ac:dyDescent="0.2">
      <c r="GI33871" s="422"/>
    </row>
    <row r="33872" spans="191:191" x14ac:dyDescent="0.2">
      <c r="GI33872" s="422"/>
    </row>
    <row r="33873" spans="191:191" x14ac:dyDescent="0.2">
      <c r="GI33873" s="422"/>
    </row>
    <row r="33874" spans="191:191" x14ac:dyDescent="0.2">
      <c r="GI33874" s="422"/>
    </row>
    <row r="33875" spans="191:191" x14ac:dyDescent="0.2">
      <c r="GI33875" s="422"/>
    </row>
    <row r="33876" spans="191:191" x14ac:dyDescent="0.2">
      <c r="GI33876" s="422"/>
    </row>
    <row r="33877" spans="191:191" x14ac:dyDescent="0.2">
      <c r="GI33877" s="422"/>
    </row>
    <row r="33878" spans="191:191" x14ac:dyDescent="0.2">
      <c r="GI33878" s="422"/>
    </row>
    <row r="33879" spans="191:191" x14ac:dyDescent="0.2">
      <c r="GI33879" s="422"/>
    </row>
    <row r="33880" spans="191:191" x14ac:dyDescent="0.2">
      <c r="GI33880" s="422"/>
    </row>
    <row r="33881" spans="191:191" x14ac:dyDescent="0.2">
      <c r="GI33881" s="422"/>
    </row>
    <row r="33882" spans="191:191" x14ac:dyDescent="0.2">
      <c r="GI33882" s="422"/>
    </row>
    <row r="33883" spans="191:191" x14ac:dyDescent="0.2">
      <c r="GI33883" s="422"/>
    </row>
    <row r="33884" spans="191:191" x14ac:dyDescent="0.2">
      <c r="GI33884" s="422"/>
    </row>
    <row r="33885" spans="191:191" x14ac:dyDescent="0.2">
      <c r="GI33885" s="422"/>
    </row>
    <row r="33886" spans="191:191" x14ac:dyDescent="0.2">
      <c r="GI33886" s="422"/>
    </row>
    <row r="33887" spans="191:191" x14ac:dyDescent="0.2">
      <c r="GI33887" s="422"/>
    </row>
    <row r="33888" spans="191:191" x14ac:dyDescent="0.2">
      <c r="GI33888" s="422"/>
    </row>
    <row r="33889" spans="191:191" x14ac:dyDescent="0.2">
      <c r="GI33889" s="422"/>
    </row>
    <row r="33890" spans="191:191" x14ac:dyDescent="0.2">
      <c r="GI33890" s="422"/>
    </row>
    <row r="33891" spans="191:191" x14ac:dyDescent="0.2">
      <c r="GI33891" s="422"/>
    </row>
    <row r="33892" spans="191:191" x14ac:dyDescent="0.2">
      <c r="GI33892" s="422"/>
    </row>
    <row r="33893" spans="191:191" x14ac:dyDescent="0.2">
      <c r="GI33893" s="422"/>
    </row>
    <row r="33894" spans="191:191" x14ac:dyDescent="0.2">
      <c r="GI33894" s="422"/>
    </row>
    <row r="33895" spans="191:191" x14ac:dyDescent="0.2">
      <c r="GI33895" s="422"/>
    </row>
    <row r="33896" spans="191:191" x14ac:dyDescent="0.2">
      <c r="GI33896" s="422"/>
    </row>
    <row r="33897" spans="191:191" x14ac:dyDescent="0.2">
      <c r="GI33897" s="422"/>
    </row>
    <row r="33898" spans="191:191" x14ac:dyDescent="0.2">
      <c r="GI33898" s="422"/>
    </row>
    <row r="33899" spans="191:191" x14ac:dyDescent="0.2">
      <c r="GI33899" s="422"/>
    </row>
    <row r="33900" spans="191:191" x14ac:dyDescent="0.2">
      <c r="GI33900" s="422"/>
    </row>
    <row r="33901" spans="191:191" x14ac:dyDescent="0.2">
      <c r="GI33901" s="422"/>
    </row>
    <row r="33902" spans="191:191" x14ac:dyDescent="0.2">
      <c r="GI33902" s="422"/>
    </row>
    <row r="33903" spans="191:191" x14ac:dyDescent="0.2">
      <c r="GI33903" s="422"/>
    </row>
    <row r="33904" spans="191:191" x14ac:dyDescent="0.2">
      <c r="GI33904" s="422"/>
    </row>
    <row r="33905" spans="191:191" x14ac:dyDescent="0.2">
      <c r="GI33905" s="422"/>
    </row>
    <row r="33906" spans="191:191" x14ac:dyDescent="0.2">
      <c r="GI33906" s="422"/>
    </row>
    <row r="33907" spans="191:191" x14ac:dyDescent="0.2">
      <c r="GI33907" s="422"/>
    </row>
    <row r="33908" spans="191:191" x14ac:dyDescent="0.2">
      <c r="GI33908" s="422"/>
    </row>
    <row r="33909" spans="191:191" x14ac:dyDescent="0.2">
      <c r="GI33909" s="422"/>
    </row>
    <row r="33910" spans="191:191" x14ac:dyDescent="0.2">
      <c r="GI33910" s="422"/>
    </row>
    <row r="33911" spans="191:191" x14ac:dyDescent="0.2">
      <c r="GI33911" s="422"/>
    </row>
    <row r="33912" spans="191:191" x14ac:dyDescent="0.2">
      <c r="GI33912" s="422"/>
    </row>
    <row r="33913" spans="191:191" x14ac:dyDescent="0.2">
      <c r="GI33913" s="422"/>
    </row>
    <row r="33914" spans="191:191" x14ac:dyDescent="0.2">
      <c r="GI33914" s="422"/>
    </row>
    <row r="33915" spans="191:191" x14ac:dyDescent="0.2">
      <c r="GI33915" s="422"/>
    </row>
    <row r="33916" spans="191:191" x14ac:dyDescent="0.2">
      <c r="GI33916" s="422"/>
    </row>
    <row r="33917" spans="191:191" x14ac:dyDescent="0.2">
      <c r="GI33917" s="422"/>
    </row>
    <row r="33918" spans="191:191" x14ac:dyDescent="0.2">
      <c r="GI33918" s="422"/>
    </row>
    <row r="33919" spans="191:191" x14ac:dyDescent="0.2">
      <c r="GI33919" s="422"/>
    </row>
    <row r="33920" spans="191:191" x14ac:dyDescent="0.2">
      <c r="GI33920" s="422"/>
    </row>
    <row r="33921" spans="191:191" x14ac:dyDescent="0.2">
      <c r="GI33921" s="422"/>
    </row>
    <row r="33922" spans="191:191" x14ac:dyDescent="0.2">
      <c r="GI33922" s="422"/>
    </row>
    <row r="33923" spans="191:191" x14ac:dyDescent="0.2">
      <c r="GI33923" s="422"/>
    </row>
    <row r="33924" spans="191:191" x14ac:dyDescent="0.2">
      <c r="GI33924" s="422"/>
    </row>
    <row r="33925" spans="191:191" x14ac:dyDescent="0.2">
      <c r="GI33925" s="422"/>
    </row>
    <row r="33926" spans="191:191" x14ac:dyDescent="0.2">
      <c r="GI33926" s="422"/>
    </row>
    <row r="33927" spans="191:191" x14ac:dyDescent="0.2">
      <c r="GI33927" s="422"/>
    </row>
    <row r="33928" spans="191:191" x14ac:dyDescent="0.2">
      <c r="GI33928" s="422"/>
    </row>
    <row r="33929" spans="191:191" x14ac:dyDescent="0.2">
      <c r="GI33929" s="422"/>
    </row>
    <row r="33930" spans="191:191" x14ac:dyDescent="0.2">
      <c r="GI33930" s="422"/>
    </row>
    <row r="33931" spans="191:191" x14ac:dyDescent="0.2">
      <c r="GI33931" s="422"/>
    </row>
    <row r="33932" spans="191:191" x14ac:dyDescent="0.2">
      <c r="GI33932" s="422"/>
    </row>
    <row r="33933" spans="191:191" x14ac:dyDescent="0.2">
      <c r="GI33933" s="422"/>
    </row>
    <row r="33934" spans="191:191" x14ac:dyDescent="0.2">
      <c r="GI33934" s="422"/>
    </row>
    <row r="33935" spans="191:191" x14ac:dyDescent="0.2">
      <c r="GI33935" s="422"/>
    </row>
    <row r="33936" spans="191:191" x14ac:dyDescent="0.2">
      <c r="GI33936" s="422"/>
    </row>
    <row r="33937" spans="191:191" x14ac:dyDescent="0.2">
      <c r="GI33937" s="422"/>
    </row>
    <row r="33938" spans="191:191" x14ac:dyDescent="0.2">
      <c r="GI33938" s="422"/>
    </row>
    <row r="33939" spans="191:191" x14ac:dyDescent="0.2">
      <c r="GI33939" s="422"/>
    </row>
    <row r="33940" spans="191:191" x14ac:dyDescent="0.2">
      <c r="GI33940" s="422"/>
    </row>
    <row r="33941" spans="191:191" x14ac:dyDescent="0.2">
      <c r="GI33941" s="422"/>
    </row>
    <row r="33942" spans="191:191" x14ac:dyDescent="0.2">
      <c r="GI33942" s="422"/>
    </row>
    <row r="33943" spans="191:191" x14ac:dyDescent="0.2">
      <c r="GI33943" s="422"/>
    </row>
    <row r="33944" spans="191:191" x14ac:dyDescent="0.2">
      <c r="GI33944" s="422"/>
    </row>
    <row r="33945" spans="191:191" x14ac:dyDescent="0.2">
      <c r="GI33945" s="422"/>
    </row>
    <row r="33946" spans="191:191" x14ac:dyDescent="0.2">
      <c r="GI33946" s="422"/>
    </row>
    <row r="33947" spans="191:191" x14ac:dyDescent="0.2">
      <c r="GI33947" s="422"/>
    </row>
    <row r="33948" spans="191:191" x14ac:dyDescent="0.2">
      <c r="GI33948" s="422"/>
    </row>
    <row r="33949" spans="191:191" x14ac:dyDescent="0.2">
      <c r="GI33949" s="422"/>
    </row>
    <row r="33950" spans="191:191" x14ac:dyDescent="0.2">
      <c r="GI33950" s="422"/>
    </row>
    <row r="33951" spans="191:191" x14ac:dyDescent="0.2">
      <c r="GI33951" s="422"/>
    </row>
    <row r="33952" spans="191:191" x14ac:dyDescent="0.2">
      <c r="GI33952" s="422"/>
    </row>
    <row r="33953" spans="191:191" x14ac:dyDescent="0.2">
      <c r="GI33953" s="422"/>
    </row>
    <row r="33954" spans="191:191" x14ac:dyDescent="0.2">
      <c r="GI33954" s="422"/>
    </row>
    <row r="33955" spans="191:191" x14ac:dyDescent="0.2">
      <c r="GI33955" s="422"/>
    </row>
    <row r="33956" spans="191:191" x14ac:dyDescent="0.2">
      <c r="GI33956" s="422"/>
    </row>
    <row r="33957" spans="191:191" x14ac:dyDescent="0.2">
      <c r="GI33957" s="422"/>
    </row>
    <row r="33958" spans="191:191" x14ac:dyDescent="0.2">
      <c r="GI33958" s="422"/>
    </row>
    <row r="33959" spans="191:191" x14ac:dyDescent="0.2">
      <c r="GI33959" s="422"/>
    </row>
    <row r="33960" spans="191:191" x14ac:dyDescent="0.2">
      <c r="GI33960" s="422"/>
    </row>
    <row r="33961" spans="191:191" x14ac:dyDescent="0.2">
      <c r="GI33961" s="422"/>
    </row>
    <row r="33962" spans="191:191" x14ac:dyDescent="0.2">
      <c r="GI33962" s="422"/>
    </row>
    <row r="33963" spans="191:191" x14ac:dyDescent="0.2">
      <c r="GI33963" s="422"/>
    </row>
    <row r="33964" spans="191:191" x14ac:dyDescent="0.2">
      <c r="GI33964" s="422"/>
    </row>
    <row r="33965" spans="191:191" x14ac:dyDescent="0.2">
      <c r="GI33965" s="422"/>
    </row>
    <row r="33966" spans="191:191" x14ac:dyDescent="0.2">
      <c r="GI33966" s="422"/>
    </row>
    <row r="33967" spans="191:191" x14ac:dyDescent="0.2">
      <c r="GI33967" s="422"/>
    </row>
    <row r="33968" spans="191:191" x14ac:dyDescent="0.2">
      <c r="GI33968" s="422"/>
    </row>
    <row r="33969" spans="191:191" x14ac:dyDescent="0.2">
      <c r="GI33969" s="422"/>
    </row>
    <row r="33970" spans="191:191" x14ac:dyDescent="0.2">
      <c r="GI33970" s="422"/>
    </row>
    <row r="33971" spans="191:191" x14ac:dyDescent="0.2">
      <c r="GI33971" s="422"/>
    </row>
    <row r="33972" spans="191:191" x14ac:dyDescent="0.2">
      <c r="GI33972" s="422"/>
    </row>
    <row r="33973" spans="191:191" x14ac:dyDescent="0.2">
      <c r="GI33973" s="422"/>
    </row>
    <row r="33974" spans="191:191" x14ac:dyDescent="0.2">
      <c r="GI33974" s="422"/>
    </row>
    <row r="33975" spans="191:191" x14ac:dyDescent="0.2">
      <c r="GI33975" s="422"/>
    </row>
    <row r="33976" spans="191:191" x14ac:dyDescent="0.2">
      <c r="GI33976" s="422"/>
    </row>
    <row r="33977" spans="191:191" x14ac:dyDescent="0.2">
      <c r="GI33977" s="422"/>
    </row>
    <row r="33978" spans="191:191" x14ac:dyDescent="0.2">
      <c r="GI33978" s="422"/>
    </row>
    <row r="33979" spans="191:191" x14ac:dyDescent="0.2">
      <c r="GI33979" s="422"/>
    </row>
    <row r="33980" spans="191:191" x14ac:dyDescent="0.2">
      <c r="GI33980" s="422"/>
    </row>
    <row r="33981" spans="191:191" x14ac:dyDescent="0.2">
      <c r="GI33981" s="422"/>
    </row>
    <row r="33982" spans="191:191" x14ac:dyDescent="0.2">
      <c r="GI33982" s="422"/>
    </row>
    <row r="33983" spans="191:191" x14ac:dyDescent="0.2">
      <c r="GI33983" s="422"/>
    </row>
    <row r="33984" spans="191:191" x14ac:dyDescent="0.2">
      <c r="GI33984" s="422"/>
    </row>
    <row r="33985" spans="191:191" x14ac:dyDescent="0.2">
      <c r="GI33985" s="422"/>
    </row>
    <row r="33986" spans="191:191" x14ac:dyDescent="0.2">
      <c r="GI33986" s="422"/>
    </row>
    <row r="33987" spans="191:191" x14ac:dyDescent="0.2">
      <c r="GI33987" s="422"/>
    </row>
    <row r="33988" spans="191:191" x14ac:dyDescent="0.2">
      <c r="GI33988" s="422"/>
    </row>
    <row r="33989" spans="191:191" x14ac:dyDescent="0.2">
      <c r="GI33989" s="422"/>
    </row>
    <row r="33990" spans="191:191" x14ac:dyDescent="0.2">
      <c r="GI33990" s="422"/>
    </row>
    <row r="33991" spans="191:191" x14ac:dyDescent="0.2">
      <c r="GI33991" s="422"/>
    </row>
    <row r="33992" spans="191:191" x14ac:dyDescent="0.2">
      <c r="GI33992" s="422"/>
    </row>
    <row r="33993" spans="191:191" x14ac:dyDescent="0.2">
      <c r="GI33993" s="422"/>
    </row>
    <row r="33994" spans="191:191" x14ac:dyDescent="0.2">
      <c r="GI33994" s="422"/>
    </row>
    <row r="33995" spans="191:191" x14ac:dyDescent="0.2">
      <c r="GI33995" s="422"/>
    </row>
    <row r="33996" spans="191:191" x14ac:dyDescent="0.2">
      <c r="GI33996" s="422"/>
    </row>
    <row r="33997" spans="191:191" x14ac:dyDescent="0.2">
      <c r="GI33997" s="422"/>
    </row>
    <row r="33998" spans="191:191" x14ac:dyDescent="0.2">
      <c r="GI33998" s="422"/>
    </row>
    <row r="33999" spans="191:191" x14ac:dyDescent="0.2">
      <c r="GI33999" s="422"/>
    </row>
    <row r="34000" spans="191:191" x14ac:dyDescent="0.2">
      <c r="GI34000" s="422"/>
    </row>
    <row r="34001" spans="191:191" x14ac:dyDescent="0.2">
      <c r="GI34001" s="422"/>
    </row>
    <row r="34002" spans="191:191" x14ac:dyDescent="0.2">
      <c r="GI34002" s="422"/>
    </row>
    <row r="34003" spans="191:191" x14ac:dyDescent="0.2">
      <c r="GI34003" s="422"/>
    </row>
    <row r="34004" spans="191:191" x14ac:dyDescent="0.2">
      <c r="GI34004" s="422"/>
    </row>
    <row r="34005" spans="191:191" x14ac:dyDescent="0.2">
      <c r="GI34005" s="422"/>
    </row>
    <row r="34006" spans="191:191" x14ac:dyDescent="0.2">
      <c r="GI34006" s="422"/>
    </row>
    <row r="34007" spans="191:191" x14ac:dyDescent="0.2">
      <c r="GI34007" s="422"/>
    </row>
    <row r="34008" spans="191:191" x14ac:dyDescent="0.2">
      <c r="GI34008" s="422"/>
    </row>
    <row r="34009" spans="191:191" x14ac:dyDescent="0.2">
      <c r="GI34009" s="422"/>
    </row>
    <row r="34010" spans="191:191" x14ac:dyDescent="0.2">
      <c r="GI34010" s="422"/>
    </row>
    <row r="34011" spans="191:191" x14ac:dyDescent="0.2">
      <c r="GI34011" s="422"/>
    </row>
    <row r="34012" spans="191:191" x14ac:dyDescent="0.2">
      <c r="GI34012" s="422"/>
    </row>
    <row r="34013" spans="191:191" x14ac:dyDescent="0.2">
      <c r="GI34013" s="422"/>
    </row>
    <row r="34014" spans="191:191" x14ac:dyDescent="0.2">
      <c r="GI34014" s="422"/>
    </row>
    <row r="34015" spans="191:191" x14ac:dyDescent="0.2">
      <c r="GI34015" s="422"/>
    </row>
    <row r="34016" spans="191:191" x14ac:dyDescent="0.2">
      <c r="GI34016" s="422"/>
    </row>
    <row r="34017" spans="191:191" x14ac:dyDescent="0.2">
      <c r="GI34017" s="422"/>
    </row>
    <row r="34018" spans="191:191" x14ac:dyDescent="0.2">
      <c r="GI34018" s="422"/>
    </row>
    <row r="34019" spans="191:191" x14ac:dyDescent="0.2">
      <c r="GI34019" s="422"/>
    </row>
    <row r="34020" spans="191:191" x14ac:dyDescent="0.2">
      <c r="GI34020" s="422"/>
    </row>
    <row r="34021" spans="191:191" x14ac:dyDescent="0.2">
      <c r="GI34021" s="422"/>
    </row>
    <row r="34022" spans="191:191" x14ac:dyDescent="0.2">
      <c r="GI34022" s="422"/>
    </row>
    <row r="34023" spans="191:191" x14ac:dyDescent="0.2">
      <c r="GI34023" s="422"/>
    </row>
    <row r="34024" spans="191:191" x14ac:dyDescent="0.2">
      <c r="GI34024" s="422"/>
    </row>
    <row r="34025" spans="191:191" x14ac:dyDescent="0.2">
      <c r="GI34025" s="422"/>
    </row>
    <row r="34026" spans="191:191" x14ac:dyDescent="0.2">
      <c r="GI34026" s="422"/>
    </row>
    <row r="34027" spans="191:191" x14ac:dyDescent="0.2">
      <c r="GI34027" s="422"/>
    </row>
    <row r="34028" spans="191:191" x14ac:dyDescent="0.2">
      <c r="GI34028" s="422"/>
    </row>
    <row r="34029" spans="191:191" x14ac:dyDescent="0.2">
      <c r="GI34029" s="422"/>
    </row>
    <row r="34030" spans="191:191" x14ac:dyDescent="0.2">
      <c r="GI34030" s="422"/>
    </row>
    <row r="34031" spans="191:191" x14ac:dyDescent="0.2">
      <c r="GI34031" s="422"/>
    </row>
    <row r="34032" spans="191:191" x14ac:dyDescent="0.2">
      <c r="GI34032" s="422"/>
    </row>
    <row r="34033" spans="191:191" x14ac:dyDescent="0.2">
      <c r="GI34033" s="422"/>
    </row>
    <row r="34034" spans="191:191" x14ac:dyDescent="0.2">
      <c r="GI34034" s="422"/>
    </row>
    <row r="34035" spans="191:191" x14ac:dyDescent="0.2">
      <c r="GI34035" s="422"/>
    </row>
    <row r="34036" spans="191:191" x14ac:dyDescent="0.2">
      <c r="GI34036" s="422"/>
    </row>
    <row r="34037" spans="191:191" x14ac:dyDescent="0.2">
      <c r="GI34037" s="422"/>
    </row>
    <row r="34038" spans="191:191" x14ac:dyDescent="0.2">
      <c r="GI34038" s="422"/>
    </row>
    <row r="34039" spans="191:191" x14ac:dyDescent="0.2">
      <c r="GI34039" s="422"/>
    </row>
    <row r="34040" spans="191:191" x14ac:dyDescent="0.2">
      <c r="GI34040" s="422"/>
    </row>
    <row r="34041" spans="191:191" x14ac:dyDescent="0.2">
      <c r="GI34041" s="422"/>
    </row>
    <row r="34042" spans="191:191" x14ac:dyDescent="0.2">
      <c r="GI34042" s="422"/>
    </row>
    <row r="34043" spans="191:191" x14ac:dyDescent="0.2">
      <c r="GI34043" s="422"/>
    </row>
    <row r="34044" spans="191:191" x14ac:dyDescent="0.2">
      <c r="GI34044" s="422"/>
    </row>
    <row r="34045" spans="191:191" x14ac:dyDescent="0.2">
      <c r="GI34045" s="422"/>
    </row>
    <row r="34046" spans="191:191" x14ac:dyDescent="0.2">
      <c r="GI34046" s="422"/>
    </row>
    <row r="34047" spans="191:191" x14ac:dyDescent="0.2">
      <c r="GI34047" s="422"/>
    </row>
    <row r="34048" spans="191:191" x14ac:dyDescent="0.2">
      <c r="GI34048" s="422"/>
    </row>
    <row r="34049" spans="191:191" x14ac:dyDescent="0.2">
      <c r="GI34049" s="422"/>
    </row>
    <row r="34050" spans="191:191" x14ac:dyDescent="0.2">
      <c r="GI34050" s="422"/>
    </row>
    <row r="34051" spans="191:191" x14ac:dyDescent="0.2">
      <c r="GI34051" s="422"/>
    </row>
    <row r="34052" spans="191:191" x14ac:dyDescent="0.2">
      <c r="GI34052" s="422"/>
    </row>
    <row r="34053" spans="191:191" x14ac:dyDescent="0.2">
      <c r="GI34053" s="422"/>
    </row>
    <row r="34054" spans="191:191" x14ac:dyDescent="0.2">
      <c r="GI34054" s="422"/>
    </row>
    <row r="34055" spans="191:191" x14ac:dyDescent="0.2">
      <c r="GI34055" s="422"/>
    </row>
    <row r="34056" spans="191:191" x14ac:dyDescent="0.2">
      <c r="GI34056" s="422"/>
    </row>
    <row r="34057" spans="191:191" x14ac:dyDescent="0.2">
      <c r="GI34057" s="422"/>
    </row>
    <row r="34058" spans="191:191" x14ac:dyDescent="0.2">
      <c r="GI34058" s="422"/>
    </row>
    <row r="34059" spans="191:191" x14ac:dyDescent="0.2">
      <c r="GI34059" s="422"/>
    </row>
    <row r="34060" spans="191:191" x14ac:dyDescent="0.2">
      <c r="GI34060" s="422"/>
    </row>
    <row r="34061" spans="191:191" x14ac:dyDescent="0.2">
      <c r="GI34061" s="422"/>
    </row>
    <row r="34062" spans="191:191" x14ac:dyDescent="0.2">
      <c r="GI34062" s="422"/>
    </row>
    <row r="34063" spans="191:191" x14ac:dyDescent="0.2">
      <c r="GI34063" s="422"/>
    </row>
    <row r="34064" spans="191:191" x14ac:dyDescent="0.2">
      <c r="GI34064" s="422"/>
    </row>
    <row r="34065" spans="191:191" x14ac:dyDescent="0.2">
      <c r="GI34065" s="422"/>
    </row>
    <row r="34066" spans="191:191" x14ac:dyDescent="0.2">
      <c r="GI34066" s="422"/>
    </row>
    <row r="34067" spans="191:191" x14ac:dyDescent="0.2">
      <c r="GI34067" s="422"/>
    </row>
    <row r="34068" spans="191:191" x14ac:dyDescent="0.2">
      <c r="GI34068" s="422"/>
    </row>
    <row r="34069" spans="191:191" x14ac:dyDescent="0.2">
      <c r="GI34069" s="422"/>
    </row>
    <row r="34070" spans="191:191" x14ac:dyDescent="0.2">
      <c r="GI34070" s="422"/>
    </row>
    <row r="34071" spans="191:191" x14ac:dyDescent="0.2">
      <c r="GI34071" s="422"/>
    </row>
    <row r="34072" spans="191:191" x14ac:dyDescent="0.2">
      <c r="GI34072" s="422"/>
    </row>
    <row r="34073" spans="191:191" x14ac:dyDescent="0.2">
      <c r="GI34073" s="422"/>
    </row>
    <row r="34074" spans="191:191" x14ac:dyDescent="0.2">
      <c r="GI34074" s="422"/>
    </row>
    <row r="34075" spans="191:191" x14ac:dyDescent="0.2">
      <c r="GI34075" s="422"/>
    </row>
    <row r="34076" spans="191:191" x14ac:dyDescent="0.2">
      <c r="GI34076" s="422"/>
    </row>
    <row r="34077" spans="191:191" x14ac:dyDescent="0.2">
      <c r="GI34077" s="422"/>
    </row>
    <row r="34078" spans="191:191" x14ac:dyDescent="0.2">
      <c r="GI34078" s="422"/>
    </row>
    <row r="34079" spans="191:191" x14ac:dyDescent="0.2">
      <c r="GI34079" s="422"/>
    </row>
    <row r="34080" spans="191:191" x14ac:dyDescent="0.2">
      <c r="GI34080" s="422"/>
    </row>
    <row r="34081" spans="191:191" x14ac:dyDescent="0.2">
      <c r="GI34081" s="422"/>
    </row>
    <row r="34082" spans="191:191" x14ac:dyDescent="0.2">
      <c r="GI34082" s="422"/>
    </row>
    <row r="34083" spans="191:191" x14ac:dyDescent="0.2">
      <c r="GI34083" s="422"/>
    </row>
    <row r="34084" spans="191:191" x14ac:dyDescent="0.2">
      <c r="GI34084" s="422"/>
    </row>
    <row r="34085" spans="191:191" x14ac:dyDescent="0.2">
      <c r="GI34085" s="422"/>
    </row>
    <row r="34086" spans="191:191" x14ac:dyDescent="0.2">
      <c r="GI34086" s="422"/>
    </row>
    <row r="34087" spans="191:191" x14ac:dyDescent="0.2">
      <c r="GI34087" s="422"/>
    </row>
    <row r="34088" spans="191:191" x14ac:dyDescent="0.2">
      <c r="GI34088" s="422"/>
    </row>
    <row r="34089" spans="191:191" x14ac:dyDescent="0.2">
      <c r="GI34089" s="422"/>
    </row>
    <row r="34090" spans="191:191" x14ac:dyDescent="0.2">
      <c r="GI34090" s="422"/>
    </row>
    <row r="34091" spans="191:191" x14ac:dyDescent="0.2">
      <c r="GI34091" s="422"/>
    </row>
    <row r="34092" spans="191:191" x14ac:dyDescent="0.2">
      <c r="GI34092" s="422"/>
    </row>
    <row r="34093" spans="191:191" x14ac:dyDescent="0.2">
      <c r="GI34093" s="422"/>
    </row>
    <row r="34094" spans="191:191" x14ac:dyDescent="0.2">
      <c r="GI34094" s="422"/>
    </row>
    <row r="34095" spans="191:191" x14ac:dyDescent="0.2">
      <c r="GI34095" s="422"/>
    </row>
    <row r="34096" spans="191:191" x14ac:dyDescent="0.2">
      <c r="GI34096" s="422"/>
    </row>
    <row r="34097" spans="191:191" x14ac:dyDescent="0.2">
      <c r="GI34097" s="422"/>
    </row>
    <row r="34098" spans="191:191" x14ac:dyDescent="0.2">
      <c r="GI34098" s="422"/>
    </row>
    <row r="34099" spans="191:191" x14ac:dyDescent="0.2">
      <c r="GI34099" s="422"/>
    </row>
    <row r="34100" spans="191:191" x14ac:dyDescent="0.2">
      <c r="GI34100" s="422"/>
    </row>
    <row r="34101" spans="191:191" x14ac:dyDescent="0.2">
      <c r="GI34101" s="422"/>
    </row>
    <row r="34102" spans="191:191" x14ac:dyDescent="0.2">
      <c r="GI34102" s="422"/>
    </row>
    <row r="34103" spans="191:191" x14ac:dyDescent="0.2">
      <c r="GI34103" s="422"/>
    </row>
    <row r="34104" spans="191:191" x14ac:dyDescent="0.2">
      <c r="GI34104" s="422"/>
    </row>
    <row r="34105" spans="191:191" x14ac:dyDescent="0.2">
      <c r="GI34105" s="422"/>
    </row>
    <row r="34106" spans="191:191" x14ac:dyDescent="0.2">
      <c r="GI34106" s="422"/>
    </row>
    <row r="34107" spans="191:191" x14ac:dyDescent="0.2">
      <c r="GI34107" s="422"/>
    </row>
    <row r="34108" spans="191:191" x14ac:dyDescent="0.2">
      <c r="GI34108" s="422"/>
    </row>
    <row r="34109" spans="191:191" x14ac:dyDescent="0.2">
      <c r="GI34109" s="422"/>
    </row>
    <row r="34110" spans="191:191" x14ac:dyDescent="0.2">
      <c r="GI34110" s="422"/>
    </row>
    <row r="34111" spans="191:191" x14ac:dyDescent="0.2">
      <c r="GI34111" s="422"/>
    </row>
    <row r="34112" spans="191:191" x14ac:dyDescent="0.2">
      <c r="GI34112" s="422"/>
    </row>
    <row r="34113" spans="191:191" x14ac:dyDescent="0.2">
      <c r="GI34113" s="422"/>
    </row>
    <row r="34114" spans="191:191" x14ac:dyDescent="0.2">
      <c r="GI34114" s="422"/>
    </row>
    <row r="34115" spans="191:191" x14ac:dyDescent="0.2">
      <c r="GI34115" s="422"/>
    </row>
    <row r="34116" spans="191:191" x14ac:dyDescent="0.2">
      <c r="GI34116" s="422"/>
    </row>
    <row r="34117" spans="191:191" x14ac:dyDescent="0.2">
      <c r="GI34117" s="422"/>
    </row>
    <row r="34118" spans="191:191" x14ac:dyDescent="0.2">
      <c r="GI34118" s="422"/>
    </row>
    <row r="34119" spans="191:191" x14ac:dyDescent="0.2">
      <c r="GI34119" s="422"/>
    </row>
    <row r="34120" spans="191:191" x14ac:dyDescent="0.2">
      <c r="GI34120" s="422"/>
    </row>
    <row r="34121" spans="191:191" x14ac:dyDescent="0.2">
      <c r="GI34121" s="422"/>
    </row>
    <row r="34122" spans="191:191" x14ac:dyDescent="0.2">
      <c r="GI34122" s="422"/>
    </row>
    <row r="34123" spans="191:191" x14ac:dyDescent="0.2">
      <c r="GI34123" s="422"/>
    </row>
    <row r="34124" spans="191:191" x14ac:dyDescent="0.2">
      <c r="GI34124" s="422"/>
    </row>
    <row r="34125" spans="191:191" x14ac:dyDescent="0.2">
      <c r="GI34125" s="422"/>
    </row>
    <row r="34126" spans="191:191" x14ac:dyDescent="0.2">
      <c r="GI34126" s="422"/>
    </row>
    <row r="34127" spans="191:191" x14ac:dyDescent="0.2">
      <c r="GI34127" s="422"/>
    </row>
    <row r="34128" spans="191:191" x14ac:dyDescent="0.2">
      <c r="GI34128" s="422"/>
    </row>
    <row r="34129" spans="191:191" x14ac:dyDescent="0.2">
      <c r="GI34129" s="422"/>
    </row>
    <row r="34130" spans="191:191" x14ac:dyDescent="0.2">
      <c r="GI34130" s="422"/>
    </row>
    <row r="34131" spans="191:191" x14ac:dyDescent="0.2">
      <c r="GI34131" s="422"/>
    </row>
    <row r="34132" spans="191:191" x14ac:dyDescent="0.2">
      <c r="GI34132" s="422"/>
    </row>
    <row r="34133" spans="191:191" x14ac:dyDescent="0.2">
      <c r="GI34133" s="422"/>
    </row>
    <row r="34134" spans="191:191" x14ac:dyDescent="0.2">
      <c r="GI34134" s="422"/>
    </row>
    <row r="34135" spans="191:191" x14ac:dyDescent="0.2">
      <c r="GI34135" s="422"/>
    </row>
    <row r="34136" spans="191:191" x14ac:dyDescent="0.2">
      <c r="GI34136" s="422"/>
    </row>
    <row r="34137" spans="191:191" x14ac:dyDescent="0.2">
      <c r="GI34137" s="422"/>
    </row>
    <row r="34138" spans="191:191" x14ac:dyDescent="0.2">
      <c r="GI34138" s="422"/>
    </row>
    <row r="34139" spans="191:191" x14ac:dyDescent="0.2">
      <c r="GI34139" s="422"/>
    </row>
    <row r="34140" spans="191:191" x14ac:dyDescent="0.2">
      <c r="GI34140" s="422"/>
    </row>
    <row r="34141" spans="191:191" x14ac:dyDescent="0.2">
      <c r="GI34141" s="422"/>
    </row>
    <row r="34142" spans="191:191" x14ac:dyDescent="0.2">
      <c r="GI34142" s="422"/>
    </row>
    <row r="34143" spans="191:191" x14ac:dyDescent="0.2">
      <c r="GI34143" s="422"/>
    </row>
    <row r="34144" spans="191:191" x14ac:dyDescent="0.2">
      <c r="GI34144" s="422"/>
    </row>
    <row r="34145" spans="191:191" x14ac:dyDescent="0.2">
      <c r="GI34145" s="422"/>
    </row>
    <row r="34146" spans="191:191" x14ac:dyDescent="0.2">
      <c r="GI34146" s="422"/>
    </row>
    <row r="34147" spans="191:191" x14ac:dyDescent="0.2">
      <c r="GI34147" s="422"/>
    </row>
    <row r="34148" spans="191:191" x14ac:dyDescent="0.2">
      <c r="GI34148" s="422"/>
    </row>
    <row r="34149" spans="191:191" x14ac:dyDescent="0.2">
      <c r="GI34149" s="422"/>
    </row>
    <row r="34150" spans="191:191" x14ac:dyDescent="0.2">
      <c r="GI34150" s="422"/>
    </row>
    <row r="34151" spans="191:191" x14ac:dyDescent="0.2">
      <c r="GI34151" s="422"/>
    </row>
    <row r="34152" spans="191:191" x14ac:dyDescent="0.2">
      <c r="GI34152" s="422"/>
    </row>
    <row r="34153" spans="191:191" x14ac:dyDescent="0.2">
      <c r="GI34153" s="422"/>
    </row>
    <row r="34154" spans="191:191" x14ac:dyDescent="0.2">
      <c r="GI34154" s="422"/>
    </row>
    <row r="34155" spans="191:191" x14ac:dyDescent="0.2">
      <c r="GI34155" s="422"/>
    </row>
    <row r="34156" spans="191:191" x14ac:dyDescent="0.2">
      <c r="GI34156" s="422"/>
    </row>
    <row r="34157" spans="191:191" x14ac:dyDescent="0.2">
      <c r="GI34157" s="422"/>
    </row>
    <row r="34158" spans="191:191" x14ac:dyDescent="0.2">
      <c r="GI34158" s="422"/>
    </row>
    <row r="34159" spans="191:191" x14ac:dyDescent="0.2">
      <c r="GI34159" s="422"/>
    </row>
    <row r="34160" spans="191:191" x14ac:dyDescent="0.2">
      <c r="GI34160" s="422"/>
    </row>
    <row r="34161" spans="191:191" x14ac:dyDescent="0.2">
      <c r="GI34161" s="422"/>
    </row>
    <row r="34162" spans="191:191" x14ac:dyDescent="0.2">
      <c r="GI34162" s="422"/>
    </row>
    <row r="34163" spans="191:191" x14ac:dyDescent="0.2">
      <c r="GI34163" s="422"/>
    </row>
    <row r="34164" spans="191:191" x14ac:dyDescent="0.2">
      <c r="GI34164" s="422"/>
    </row>
    <row r="34165" spans="191:191" x14ac:dyDescent="0.2">
      <c r="GI34165" s="422"/>
    </row>
    <row r="34166" spans="191:191" x14ac:dyDescent="0.2">
      <c r="GI34166" s="422"/>
    </row>
    <row r="34167" spans="191:191" x14ac:dyDescent="0.2">
      <c r="GI34167" s="422"/>
    </row>
    <row r="34168" spans="191:191" x14ac:dyDescent="0.2">
      <c r="GI34168" s="422"/>
    </row>
    <row r="34169" spans="191:191" x14ac:dyDescent="0.2">
      <c r="GI34169" s="422"/>
    </row>
    <row r="34170" spans="191:191" x14ac:dyDescent="0.2">
      <c r="GI34170" s="422"/>
    </row>
    <row r="34171" spans="191:191" x14ac:dyDescent="0.2">
      <c r="GI34171" s="422"/>
    </row>
    <row r="34172" spans="191:191" x14ac:dyDescent="0.2">
      <c r="GI34172" s="422"/>
    </row>
    <row r="34173" spans="191:191" x14ac:dyDescent="0.2">
      <c r="GI34173" s="422"/>
    </row>
    <row r="34174" spans="191:191" x14ac:dyDescent="0.2">
      <c r="GI34174" s="422"/>
    </row>
    <row r="34175" spans="191:191" x14ac:dyDescent="0.2">
      <c r="GI34175" s="422"/>
    </row>
    <row r="34176" spans="191:191" x14ac:dyDescent="0.2">
      <c r="GI34176" s="422"/>
    </row>
    <row r="34177" spans="191:191" x14ac:dyDescent="0.2">
      <c r="GI34177" s="422"/>
    </row>
    <row r="34178" spans="191:191" x14ac:dyDescent="0.2">
      <c r="GI34178" s="422"/>
    </row>
    <row r="34179" spans="191:191" x14ac:dyDescent="0.2">
      <c r="GI34179" s="422"/>
    </row>
    <row r="34180" spans="191:191" x14ac:dyDescent="0.2">
      <c r="GI34180" s="422"/>
    </row>
    <row r="34181" spans="191:191" x14ac:dyDescent="0.2">
      <c r="GI34181" s="422"/>
    </row>
    <row r="34182" spans="191:191" x14ac:dyDescent="0.2">
      <c r="GI34182" s="422"/>
    </row>
    <row r="34183" spans="191:191" x14ac:dyDescent="0.2">
      <c r="GI34183" s="422"/>
    </row>
    <row r="34184" spans="191:191" x14ac:dyDescent="0.2">
      <c r="GI34184" s="422"/>
    </row>
    <row r="34185" spans="191:191" x14ac:dyDescent="0.2">
      <c r="GI34185" s="422"/>
    </row>
    <row r="34186" spans="191:191" x14ac:dyDescent="0.2">
      <c r="GI34186" s="422"/>
    </row>
    <row r="34187" spans="191:191" x14ac:dyDescent="0.2">
      <c r="GI34187" s="422"/>
    </row>
    <row r="34188" spans="191:191" x14ac:dyDescent="0.2">
      <c r="GI34188" s="422"/>
    </row>
    <row r="34189" spans="191:191" x14ac:dyDescent="0.2">
      <c r="GI34189" s="422"/>
    </row>
    <row r="34190" spans="191:191" x14ac:dyDescent="0.2">
      <c r="GI34190" s="422"/>
    </row>
    <row r="34191" spans="191:191" x14ac:dyDescent="0.2">
      <c r="GI34191" s="422"/>
    </row>
    <row r="34192" spans="191:191" x14ac:dyDescent="0.2">
      <c r="GI34192" s="422"/>
    </row>
    <row r="34193" spans="191:191" x14ac:dyDescent="0.2">
      <c r="GI34193" s="422"/>
    </row>
    <row r="34194" spans="191:191" x14ac:dyDescent="0.2">
      <c r="GI34194" s="422"/>
    </row>
    <row r="34195" spans="191:191" x14ac:dyDescent="0.2">
      <c r="GI34195" s="422"/>
    </row>
    <row r="34196" spans="191:191" x14ac:dyDescent="0.2">
      <c r="GI34196" s="422"/>
    </row>
    <row r="34197" spans="191:191" x14ac:dyDescent="0.2">
      <c r="GI34197" s="422"/>
    </row>
    <row r="34198" spans="191:191" x14ac:dyDescent="0.2">
      <c r="GI34198" s="422"/>
    </row>
    <row r="34199" spans="191:191" x14ac:dyDescent="0.2">
      <c r="GI34199" s="422"/>
    </row>
    <row r="34200" spans="191:191" x14ac:dyDescent="0.2">
      <c r="GI34200" s="422"/>
    </row>
    <row r="34201" spans="191:191" x14ac:dyDescent="0.2">
      <c r="GI34201" s="422"/>
    </row>
    <row r="34202" spans="191:191" x14ac:dyDescent="0.2">
      <c r="GI34202" s="422"/>
    </row>
    <row r="34203" spans="191:191" x14ac:dyDescent="0.2">
      <c r="GI34203" s="422"/>
    </row>
    <row r="34204" spans="191:191" x14ac:dyDescent="0.2">
      <c r="GI34204" s="422"/>
    </row>
    <row r="34205" spans="191:191" x14ac:dyDescent="0.2">
      <c r="GI34205" s="422"/>
    </row>
    <row r="34206" spans="191:191" x14ac:dyDescent="0.2">
      <c r="GI34206" s="422"/>
    </row>
    <row r="34207" spans="191:191" x14ac:dyDescent="0.2">
      <c r="GI34207" s="422"/>
    </row>
    <row r="34208" spans="191:191" x14ac:dyDescent="0.2">
      <c r="GI34208" s="422"/>
    </row>
    <row r="34209" spans="191:191" x14ac:dyDescent="0.2">
      <c r="GI34209" s="422"/>
    </row>
    <row r="34210" spans="191:191" x14ac:dyDescent="0.2">
      <c r="GI34210" s="422"/>
    </row>
    <row r="34211" spans="191:191" x14ac:dyDescent="0.2">
      <c r="GI34211" s="422"/>
    </row>
    <row r="34212" spans="191:191" x14ac:dyDescent="0.2">
      <c r="GI34212" s="422"/>
    </row>
    <row r="34213" spans="191:191" x14ac:dyDescent="0.2">
      <c r="GI34213" s="422"/>
    </row>
    <row r="34214" spans="191:191" x14ac:dyDescent="0.2">
      <c r="GI34214" s="422"/>
    </row>
    <row r="34215" spans="191:191" x14ac:dyDescent="0.2">
      <c r="GI34215" s="422"/>
    </row>
    <row r="34216" spans="191:191" x14ac:dyDescent="0.2">
      <c r="GI34216" s="422"/>
    </row>
    <row r="34217" spans="191:191" x14ac:dyDescent="0.2">
      <c r="GI34217" s="422"/>
    </row>
    <row r="34218" spans="191:191" x14ac:dyDescent="0.2">
      <c r="GI34218" s="422"/>
    </row>
    <row r="34219" spans="191:191" x14ac:dyDescent="0.2">
      <c r="GI34219" s="422"/>
    </row>
    <row r="34220" spans="191:191" x14ac:dyDescent="0.2">
      <c r="GI34220" s="422"/>
    </row>
    <row r="34221" spans="191:191" x14ac:dyDescent="0.2">
      <c r="GI34221" s="422"/>
    </row>
    <row r="34222" spans="191:191" x14ac:dyDescent="0.2">
      <c r="GI34222" s="422"/>
    </row>
    <row r="34223" spans="191:191" x14ac:dyDescent="0.2">
      <c r="GI34223" s="422"/>
    </row>
    <row r="34224" spans="191:191" x14ac:dyDescent="0.2">
      <c r="GI34224" s="422"/>
    </row>
    <row r="34225" spans="191:191" x14ac:dyDescent="0.2">
      <c r="GI34225" s="422"/>
    </row>
    <row r="34226" spans="191:191" x14ac:dyDescent="0.2">
      <c r="GI34226" s="422"/>
    </row>
    <row r="34227" spans="191:191" x14ac:dyDescent="0.2">
      <c r="GI34227" s="422"/>
    </row>
    <row r="34228" spans="191:191" x14ac:dyDescent="0.2">
      <c r="GI34228" s="422"/>
    </row>
    <row r="34229" spans="191:191" x14ac:dyDescent="0.2">
      <c r="GI34229" s="422"/>
    </row>
    <row r="34230" spans="191:191" x14ac:dyDescent="0.2">
      <c r="GI34230" s="422"/>
    </row>
    <row r="34231" spans="191:191" x14ac:dyDescent="0.2">
      <c r="GI34231" s="422"/>
    </row>
    <row r="34232" spans="191:191" x14ac:dyDescent="0.2">
      <c r="GI34232" s="422"/>
    </row>
    <row r="34233" spans="191:191" x14ac:dyDescent="0.2">
      <c r="GI34233" s="422"/>
    </row>
    <row r="34234" spans="191:191" x14ac:dyDescent="0.2">
      <c r="GI34234" s="422"/>
    </row>
    <row r="34235" spans="191:191" x14ac:dyDescent="0.2">
      <c r="GI34235" s="422"/>
    </row>
    <row r="34236" spans="191:191" x14ac:dyDescent="0.2">
      <c r="GI34236" s="422"/>
    </row>
    <row r="34237" spans="191:191" x14ac:dyDescent="0.2">
      <c r="GI34237" s="422"/>
    </row>
    <row r="34238" spans="191:191" x14ac:dyDescent="0.2">
      <c r="GI34238" s="422"/>
    </row>
    <row r="34239" spans="191:191" x14ac:dyDescent="0.2">
      <c r="GI34239" s="422"/>
    </row>
    <row r="34240" spans="191:191" x14ac:dyDescent="0.2">
      <c r="GI34240" s="422"/>
    </row>
    <row r="34241" spans="191:191" x14ac:dyDescent="0.2">
      <c r="GI34241" s="422"/>
    </row>
    <row r="34242" spans="191:191" x14ac:dyDescent="0.2">
      <c r="GI34242" s="422"/>
    </row>
    <row r="34243" spans="191:191" x14ac:dyDescent="0.2">
      <c r="GI34243" s="422"/>
    </row>
    <row r="34244" spans="191:191" x14ac:dyDescent="0.2">
      <c r="GI34244" s="422"/>
    </row>
    <row r="34245" spans="191:191" x14ac:dyDescent="0.2">
      <c r="GI34245" s="422"/>
    </row>
    <row r="34246" spans="191:191" x14ac:dyDescent="0.2">
      <c r="GI34246" s="422"/>
    </row>
    <row r="34247" spans="191:191" x14ac:dyDescent="0.2">
      <c r="GI34247" s="422"/>
    </row>
    <row r="34248" spans="191:191" x14ac:dyDescent="0.2">
      <c r="GI34248" s="422"/>
    </row>
    <row r="34249" spans="191:191" x14ac:dyDescent="0.2">
      <c r="GI34249" s="422"/>
    </row>
    <row r="34250" spans="191:191" x14ac:dyDescent="0.2">
      <c r="GI34250" s="422"/>
    </row>
    <row r="34251" spans="191:191" x14ac:dyDescent="0.2">
      <c r="GI34251" s="422"/>
    </row>
    <row r="34252" spans="191:191" x14ac:dyDescent="0.2">
      <c r="GI34252" s="422"/>
    </row>
    <row r="34253" spans="191:191" x14ac:dyDescent="0.2">
      <c r="GI34253" s="422"/>
    </row>
    <row r="34254" spans="191:191" x14ac:dyDescent="0.2">
      <c r="GI34254" s="422"/>
    </row>
    <row r="34255" spans="191:191" x14ac:dyDescent="0.2">
      <c r="GI34255" s="422"/>
    </row>
    <row r="34256" spans="191:191" x14ac:dyDescent="0.2">
      <c r="GI34256" s="422"/>
    </row>
    <row r="34257" spans="191:191" x14ac:dyDescent="0.2">
      <c r="GI34257" s="422"/>
    </row>
    <row r="34258" spans="191:191" x14ac:dyDescent="0.2">
      <c r="GI34258" s="422"/>
    </row>
    <row r="34259" spans="191:191" x14ac:dyDescent="0.2">
      <c r="GI34259" s="422"/>
    </row>
    <row r="34260" spans="191:191" x14ac:dyDescent="0.2">
      <c r="GI34260" s="422"/>
    </row>
    <row r="34261" spans="191:191" x14ac:dyDescent="0.2">
      <c r="GI34261" s="422"/>
    </row>
    <row r="34262" spans="191:191" x14ac:dyDescent="0.2">
      <c r="GI34262" s="422"/>
    </row>
    <row r="34263" spans="191:191" x14ac:dyDescent="0.2">
      <c r="GI34263" s="422"/>
    </row>
    <row r="34264" spans="191:191" x14ac:dyDescent="0.2">
      <c r="GI34264" s="422"/>
    </row>
    <row r="34265" spans="191:191" x14ac:dyDescent="0.2">
      <c r="GI34265" s="422"/>
    </row>
    <row r="34266" spans="191:191" x14ac:dyDescent="0.2">
      <c r="GI34266" s="422"/>
    </row>
    <row r="34267" spans="191:191" x14ac:dyDescent="0.2">
      <c r="GI34267" s="422"/>
    </row>
    <row r="34268" spans="191:191" x14ac:dyDescent="0.2">
      <c r="GI34268" s="422"/>
    </row>
    <row r="34269" spans="191:191" x14ac:dyDescent="0.2">
      <c r="GI34269" s="422"/>
    </row>
    <row r="34270" spans="191:191" x14ac:dyDescent="0.2">
      <c r="GI34270" s="422"/>
    </row>
    <row r="34271" spans="191:191" x14ac:dyDescent="0.2">
      <c r="GI34271" s="422"/>
    </row>
    <row r="34272" spans="191:191" x14ac:dyDescent="0.2">
      <c r="GI34272" s="422"/>
    </row>
    <row r="34273" spans="191:191" x14ac:dyDescent="0.2">
      <c r="GI34273" s="422"/>
    </row>
    <row r="34274" spans="191:191" x14ac:dyDescent="0.2">
      <c r="GI34274" s="422"/>
    </row>
    <row r="34275" spans="191:191" x14ac:dyDescent="0.2">
      <c r="GI34275" s="422"/>
    </row>
    <row r="34276" spans="191:191" x14ac:dyDescent="0.2">
      <c r="GI34276" s="422"/>
    </row>
    <row r="34277" spans="191:191" x14ac:dyDescent="0.2">
      <c r="GI34277" s="422"/>
    </row>
    <row r="34278" spans="191:191" x14ac:dyDescent="0.2">
      <c r="GI34278" s="422"/>
    </row>
    <row r="34279" spans="191:191" x14ac:dyDescent="0.2">
      <c r="GI34279" s="422"/>
    </row>
    <row r="34280" spans="191:191" x14ac:dyDescent="0.2">
      <c r="GI34280" s="422"/>
    </row>
    <row r="34281" spans="191:191" x14ac:dyDescent="0.2">
      <c r="GI34281" s="422"/>
    </row>
    <row r="34282" spans="191:191" x14ac:dyDescent="0.2">
      <c r="GI34282" s="422"/>
    </row>
    <row r="34283" spans="191:191" x14ac:dyDescent="0.2">
      <c r="GI34283" s="422"/>
    </row>
    <row r="34284" spans="191:191" x14ac:dyDescent="0.2">
      <c r="GI34284" s="422"/>
    </row>
    <row r="34285" spans="191:191" x14ac:dyDescent="0.2">
      <c r="GI34285" s="422"/>
    </row>
    <row r="34286" spans="191:191" x14ac:dyDescent="0.2">
      <c r="GI34286" s="422"/>
    </row>
    <row r="34287" spans="191:191" x14ac:dyDescent="0.2">
      <c r="GI34287" s="422"/>
    </row>
    <row r="34288" spans="191:191" x14ac:dyDescent="0.2">
      <c r="GI34288" s="422"/>
    </row>
    <row r="34289" spans="191:191" x14ac:dyDescent="0.2">
      <c r="GI34289" s="422"/>
    </row>
    <row r="34290" spans="191:191" x14ac:dyDescent="0.2">
      <c r="GI34290" s="422"/>
    </row>
    <row r="34291" spans="191:191" x14ac:dyDescent="0.2">
      <c r="GI34291" s="422"/>
    </row>
    <row r="34292" spans="191:191" x14ac:dyDescent="0.2">
      <c r="GI34292" s="422"/>
    </row>
    <row r="34293" spans="191:191" x14ac:dyDescent="0.2">
      <c r="GI34293" s="422"/>
    </row>
    <row r="34294" spans="191:191" x14ac:dyDescent="0.2">
      <c r="GI34294" s="422"/>
    </row>
    <row r="34295" spans="191:191" x14ac:dyDescent="0.2">
      <c r="GI34295" s="422"/>
    </row>
    <row r="34296" spans="191:191" x14ac:dyDescent="0.2">
      <c r="GI34296" s="422"/>
    </row>
    <row r="34297" spans="191:191" x14ac:dyDescent="0.2">
      <c r="GI34297" s="422"/>
    </row>
    <row r="34298" spans="191:191" x14ac:dyDescent="0.2">
      <c r="GI34298" s="422"/>
    </row>
    <row r="34299" spans="191:191" x14ac:dyDescent="0.2">
      <c r="GI34299" s="422"/>
    </row>
    <row r="34300" spans="191:191" x14ac:dyDescent="0.2">
      <c r="GI34300" s="422"/>
    </row>
    <row r="34301" spans="191:191" x14ac:dyDescent="0.2">
      <c r="GI34301" s="422"/>
    </row>
    <row r="34302" spans="191:191" x14ac:dyDescent="0.2">
      <c r="GI34302" s="422"/>
    </row>
    <row r="34303" spans="191:191" x14ac:dyDescent="0.2">
      <c r="GI34303" s="422"/>
    </row>
    <row r="34304" spans="191:191" x14ac:dyDescent="0.2">
      <c r="GI34304" s="422"/>
    </row>
    <row r="34305" spans="191:191" x14ac:dyDescent="0.2">
      <c r="GI34305" s="422"/>
    </row>
    <row r="34306" spans="191:191" x14ac:dyDescent="0.2">
      <c r="GI34306" s="422"/>
    </row>
    <row r="34307" spans="191:191" x14ac:dyDescent="0.2">
      <c r="GI34307" s="422"/>
    </row>
    <row r="34308" spans="191:191" x14ac:dyDescent="0.2">
      <c r="GI34308" s="422"/>
    </row>
    <row r="34309" spans="191:191" x14ac:dyDescent="0.2">
      <c r="GI34309" s="422"/>
    </row>
    <row r="34310" spans="191:191" x14ac:dyDescent="0.2">
      <c r="GI34310" s="422"/>
    </row>
    <row r="34311" spans="191:191" x14ac:dyDescent="0.2">
      <c r="GI34311" s="422"/>
    </row>
    <row r="34312" spans="191:191" x14ac:dyDescent="0.2">
      <c r="GI34312" s="422"/>
    </row>
    <row r="34313" spans="191:191" x14ac:dyDescent="0.2">
      <c r="GI34313" s="422"/>
    </row>
    <row r="34314" spans="191:191" x14ac:dyDescent="0.2">
      <c r="GI34314" s="422"/>
    </row>
    <row r="34315" spans="191:191" x14ac:dyDescent="0.2">
      <c r="GI34315" s="422"/>
    </row>
    <row r="34316" spans="191:191" x14ac:dyDescent="0.2">
      <c r="GI34316" s="422"/>
    </row>
    <row r="34317" spans="191:191" x14ac:dyDescent="0.2">
      <c r="GI34317" s="422"/>
    </row>
    <row r="34318" spans="191:191" x14ac:dyDescent="0.2">
      <c r="GI34318" s="422"/>
    </row>
    <row r="34319" spans="191:191" x14ac:dyDescent="0.2">
      <c r="GI34319" s="422"/>
    </row>
    <row r="34320" spans="191:191" x14ac:dyDescent="0.2">
      <c r="GI34320" s="422"/>
    </row>
    <row r="34321" spans="191:191" x14ac:dyDescent="0.2">
      <c r="GI34321" s="422"/>
    </row>
    <row r="34322" spans="191:191" x14ac:dyDescent="0.2">
      <c r="GI34322" s="422"/>
    </row>
    <row r="34323" spans="191:191" x14ac:dyDescent="0.2">
      <c r="GI34323" s="422"/>
    </row>
    <row r="34324" spans="191:191" x14ac:dyDescent="0.2">
      <c r="GI34324" s="422"/>
    </row>
    <row r="34325" spans="191:191" x14ac:dyDescent="0.2">
      <c r="GI34325" s="422"/>
    </row>
    <row r="34326" spans="191:191" x14ac:dyDescent="0.2">
      <c r="GI34326" s="422"/>
    </row>
    <row r="34327" spans="191:191" x14ac:dyDescent="0.2">
      <c r="GI34327" s="422"/>
    </row>
    <row r="34328" spans="191:191" x14ac:dyDescent="0.2">
      <c r="GI34328" s="422"/>
    </row>
    <row r="34329" spans="191:191" x14ac:dyDescent="0.2">
      <c r="GI34329" s="422"/>
    </row>
    <row r="34330" spans="191:191" x14ac:dyDescent="0.2">
      <c r="GI34330" s="422"/>
    </row>
    <row r="34331" spans="191:191" x14ac:dyDescent="0.2">
      <c r="GI34331" s="422"/>
    </row>
    <row r="34332" spans="191:191" x14ac:dyDescent="0.2">
      <c r="GI34332" s="422"/>
    </row>
    <row r="34333" spans="191:191" x14ac:dyDescent="0.2">
      <c r="GI34333" s="422"/>
    </row>
    <row r="34334" spans="191:191" x14ac:dyDescent="0.2">
      <c r="GI34334" s="422"/>
    </row>
    <row r="34335" spans="191:191" x14ac:dyDescent="0.2">
      <c r="GI34335" s="422"/>
    </row>
    <row r="34336" spans="191:191" x14ac:dyDescent="0.2">
      <c r="GI34336" s="422"/>
    </row>
    <row r="34337" spans="191:191" x14ac:dyDescent="0.2">
      <c r="GI34337" s="422"/>
    </row>
    <row r="34338" spans="191:191" x14ac:dyDescent="0.2">
      <c r="GI34338" s="422"/>
    </row>
    <row r="34339" spans="191:191" x14ac:dyDescent="0.2">
      <c r="GI34339" s="422"/>
    </row>
    <row r="34340" spans="191:191" x14ac:dyDescent="0.2">
      <c r="GI34340" s="422"/>
    </row>
    <row r="34341" spans="191:191" x14ac:dyDescent="0.2">
      <c r="GI34341" s="422"/>
    </row>
    <row r="34342" spans="191:191" x14ac:dyDescent="0.2">
      <c r="GI34342" s="422"/>
    </row>
    <row r="34343" spans="191:191" x14ac:dyDescent="0.2">
      <c r="GI34343" s="422"/>
    </row>
    <row r="34344" spans="191:191" x14ac:dyDescent="0.2">
      <c r="GI34344" s="422"/>
    </row>
    <row r="34345" spans="191:191" x14ac:dyDescent="0.2">
      <c r="GI34345" s="422"/>
    </row>
    <row r="34346" spans="191:191" x14ac:dyDescent="0.2">
      <c r="GI34346" s="422"/>
    </row>
    <row r="34347" spans="191:191" x14ac:dyDescent="0.2">
      <c r="GI34347" s="422"/>
    </row>
    <row r="34348" spans="191:191" x14ac:dyDescent="0.2">
      <c r="GI34348" s="422"/>
    </row>
    <row r="34349" spans="191:191" x14ac:dyDescent="0.2">
      <c r="GI34349" s="422"/>
    </row>
    <row r="34350" spans="191:191" x14ac:dyDescent="0.2">
      <c r="GI34350" s="422"/>
    </row>
    <row r="34351" spans="191:191" x14ac:dyDescent="0.2">
      <c r="GI34351" s="422"/>
    </row>
    <row r="34352" spans="191:191" x14ac:dyDescent="0.2">
      <c r="GI34352" s="422"/>
    </row>
    <row r="34353" spans="191:191" x14ac:dyDescent="0.2">
      <c r="GI34353" s="422"/>
    </row>
    <row r="34354" spans="191:191" x14ac:dyDescent="0.2">
      <c r="GI34354" s="422"/>
    </row>
    <row r="34355" spans="191:191" x14ac:dyDescent="0.2">
      <c r="GI34355" s="422"/>
    </row>
    <row r="34356" spans="191:191" x14ac:dyDescent="0.2">
      <c r="GI34356" s="422"/>
    </row>
    <row r="34357" spans="191:191" x14ac:dyDescent="0.2">
      <c r="GI34357" s="422"/>
    </row>
    <row r="34358" spans="191:191" x14ac:dyDescent="0.2">
      <c r="GI34358" s="422"/>
    </row>
    <row r="34359" spans="191:191" x14ac:dyDescent="0.2">
      <c r="GI34359" s="422"/>
    </row>
    <row r="34360" spans="191:191" x14ac:dyDescent="0.2">
      <c r="GI34360" s="422"/>
    </row>
    <row r="34361" spans="191:191" x14ac:dyDescent="0.2">
      <c r="GI34361" s="422"/>
    </row>
    <row r="34362" spans="191:191" x14ac:dyDescent="0.2">
      <c r="GI34362" s="422"/>
    </row>
    <row r="34363" spans="191:191" x14ac:dyDescent="0.2">
      <c r="GI34363" s="422"/>
    </row>
    <row r="34364" spans="191:191" x14ac:dyDescent="0.2">
      <c r="GI34364" s="422"/>
    </row>
    <row r="34365" spans="191:191" x14ac:dyDescent="0.2">
      <c r="GI34365" s="422"/>
    </row>
    <row r="34366" spans="191:191" x14ac:dyDescent="0.2">
      <c r="GI34366" s="422"/>
    </row>
    <row r="34367" spans="191:191" x14ac:dyDescent="0.2">
      <c r="GI34367" s="422"/>
    </row>
    <row r="34368" spans="191:191" x14ac:dyDescent="0.2">
      <c r="GI34368" s="422"/>
    </row>
    <row r="34369" spans="191:191" x14ac:dyDescent="0.2">
      <c r="GI34369" s="422"/>
    </row>
    <row r="34370" spans="191:191" x14ac:dyDescent="0.2">
      <c r="GI34370" s="422"/>
    </row>
    <row r="34371" spans="191:191" x14ac:dyDescent="0.2">
      <c r="GI34371" s="422"/>
    </row>
    <row r="34372" spans="191:191" x14ac:dyDescent="0.2">
      <c r="GI34372" s="422"/>
    </row>
    <row r="34373" spans="191:191" x14ac:dyDescent="0.2">
      <c r="GI34373" s="422"/>
    </row>
    <row r="34374" spans="191:191" x14ac:dyDescent="0.2">
      <c r="GI34374" s="422"/>
    </row>
    <row r="34375" spans="191:191" x14ac:dyDescent="0.2">
      <c r="GI34375" s="422"/>
    </row>
    <row r="34376" spans="191:191" x14ac:dyDescent="0.2">
      <c r="GI34376" s="422"/>
    </row>
    <row r="34377" spans="191:191" x14ac:dyDescent="0.2">
      <c r="GI34377" s="422"/>
    </row>
    <row r="34378" spans="191:191" x14ac:dyDescent="0.2">
      <c r="GI34378" s="422"/>
    </row>
    <row r="34379" spans="191:191" x14ac:dyDescent="0.2">
      <c r="GI34379" s="422"/>
    </row>
    <row r="34380" spans="191:191" x14ac:dyDescent="0.2">
      <c r="GI34380" s="422"/>
    </row>
    <row r="34381" spans="191:191" x14ac:dyDescent="0.2">
      <c r="GI34381" s="422"/>
    </row>
    <row r="34382" spans="191:191" x14ac:dyDescent="0.2">
      <c r="GI34382" s="422"/>
    </row>
    <row r="34383" spans="191:191" x14ac:dyDescent="0.2">
      <c r="GI34383" s="422"/>
    </row>
    <row r="34384" spans="191:191" x14ac:dyDescent="0.2">
      <c r="GI34384" s="422"/>
    </row>
    <row r="34385" spans="191:191" x14ac:dyDescent="0.2">
      <c r="GI34385" s="422"/>
    </row>
    <row r="34386" spans="191:191" x14ac:dyDescent="0.2">
      <c r="GI34386" s="422"/>
    </row>
    <row r="34387" spans="191:191" x14ac:dyDescent="0.2">
      <c r="GI34387" s="422"/>
    </row>
    <row r="34388" spans="191:191" x14ac:dyDescent="0.2">
      <c r="GI34388" s="422"/>
    </row>
    <row r="34389" spans="191:191" x14ac:dyDescent="0.2">
      <c r="GI34389" s="422"/>
    </row>
    <row r="34390" spans="191:191" x14ac:dyDescent="0.2">
      <c r="GI34390" s="422"/>
    </row>
    <row r="34391" spans="191:191" x14ac:dyDescent="0.2">
      <c r="GI34391" s="422"/>
    </row>
    <row r="34392" spans="191:191" x14ac:dyDescent="0.2">
      <c r="GI34392" s="422"/>
    </row>
    <row r="34393" spans="191:191" x14ac:dyDescent="0.2">
      <c r="GI34393" s="422"/>
    </row>
    <row r="34394" spans="191:191" x14ac:dyDescent="0.2">
      <c r="GI34394" s="422"/>
    </row>
    <row r="34395" spans="191:191" x14ac:dyDescent="0.2">
      <c r="GI34395" s="422"/>
    </row>
    <row r="34396" spans="191:191" x14ac:dyDescent="0.2">
      <c r="GI34396" s="422"/>
    </row>
    <row r="34397" spans="191:191" x14ac:dyDescent="0.2">
      <c r="GI34397" s="422"/>
    </row>
    <row r="34398" spans="191:191" x14ac:dyDescent="0.2">
      <c r="GI34398" s="422"/>
    </row>
    <row r="34399" spans="191:191" x14ac:dyDescent="0.2">
      <c r="GI34399" s="422"/>
    </row>
    <row r="34400" spans="191:191" x14ac:dyDescent="0.2">
      <c r="GI34400" s="422"/>
    </row>
    <row r="34401" spans="191:191" x14ac:dyDescent="0.2">
      <c r="GI34401" s="422"/>
    </row>
    <row r="34402" spans="191:191" x14ac:dyDescent="0.2">
      <c r="GI34402" s="422"/>
    </row>
    <row r="34403" spans="191:191" x14ac:dyDescent="0.2">
      <c r="GI34403" s="422"/>
    </row>
    <row r="34404" spans="191:191" x14ac:dyDescent="0.2">
      <c r="GI34404" s="422"/>
    </row>
    <row r="34405" spans="191:191" x14ac:dyDescent="0.2">
      <c r="GI34405" s="422"/>
    </row>
    <row r="34406" spans="191:191" x14ac:dyDescent="0.2">
      <c r="GI34406" s="422"/>
    </row>
    <row r="34407" spans="191:191" x14ac:dyDescent="0.2">
      <c r="GI34407" s="422"/>
    </row>
    <row r="34408" spans="191:191" x14ac:dyDescent="0.2">
      <c r="GI34408" s="422"/>
    </row>
    <row r="34409" spans="191:191" x14ac:dyDescent="0.2">
      <c r="GI34409" s="422"/>
    </row>
    <row r="34410" spans="191:191" x14ac:dyDescent="0.2">
      <c r="GI34410" s="422"/>
    </row>
    <row r="34411" spans="191:191" x14ac:dyDescent="0.2">
      <c r="GI34411" s="422"/>
    </row>
    <row r="34412" spans="191:191" x14ac:dyDescent="0.2">
      <c r="GI34412" s="422"/>
    </row>
    <row r="34413" spans="191:191" x14ac:dyDescent="0.2">
      <c r="GI34413" s="422"/>
    </row>
    <row r="34414" spans="191:191" x14ac:dyDescent="0.2">
      <c r="GI34414" s="422"/>
    </row>
    <row r="34415" spans="191:191" x14ac:dyDescent="0.2">
      <c r="GI34415" s="422"/>
    </row>
    <row r="34416" spans="191:191" x14ac:dyDescent="0.2">
      <c r="GI34416" s="422"/>
    </row>
    <row r="34417" spans="191:191" x14ac:dyDescent="0.2">
      <c r="GI34417" s="422"/>
    </row>
    <row r="34418" spans="191:191" x14ac:dyDescent="0.2">
      <c r="GI34418" s="422"/>
    </row>
    <row r="34419" spans="191:191" x14ac:dyDescent="0.2">
      <c r="GI34419" s="422"/>
    </row>
    <row r="34420" spans="191:191" x14ac:dyDescent="0.2">
      <c r="GI34420" s="422"/>
    </row>
    <row r="34421" spans="191:191" x14ac:dyDescent="0.2">
      <c r="GI34421" s="422"/>
    </row>
    <row r="34422" spans="191:191" x14ac:dyDescent="0.2">
      <c r="GI34422" s="422"/>
    </row>
    <row r="34423" spans="191:191" x14ac:dyDescent="0.2">
      <c r="GI34423" s="422"/>
    </row>
    <row r="34424" spans="191:191" x14ac:dyDescent="0.2">
      <c r="GI34424" s="422"/>
    </row>
    <row r="34425" spans="191:191" x14ac:dyDescent="0.2">
      <c r="GI34425" s="422"/>
    </row>
    <row r="34426" spans="191:191" x14ac:dyDescent="0.2">
      <c r="GI34426" s="422"/>
    </row>
    <row r="34427" spans="191:191" x14ac:dyDescent="0.2">
      <c r="GI34427" s="422"/>
    </row>
    <row r="34428" spans="191:191" x14ac:dyDescent="0.2">
      <c r="GI34428" s="422"/>
    </row>
    <row r="34429" spans="191:191" x14ac:dyDescent="0.2">
      <c r="GI34429" s="422"/>
    </row>
    <row r="34430" spans="191:191" x14ac:dyDescent="0.2">
      <c r="GI34430" s="422"/>
    </row>
    <row r="34431" spans="191:191" x14ac:dyDescent="0.2">
      <c r="GI34431" s="422"/>
    </row>
    <row r="34432" spans="191:191" x14ac:dyDescent="0.2">
      <c r="GI34432" s="422"/>
    </row>
    <row r="34433" spans="191:191" x14ac:dyDescent="0.2">
      <c r="GI34433" s="422"/>
    </row>
    <row r="34434" spans="191:191" x14ac:dyDescent="0.2">
      <c r="GI34434" s="422"/>
    </row>
    <row r="34435" spans="191:191" x14ac:dyDescent="0.2">
      <c r="GI34435" s="422"/>
    </row>
    <row r="34436" spans="191:191" x14ac:dyDescent="0.2">
      <c r="GI34436" s="422"/>
    </row>
    <row r="34437" spans="191:191" x14ac:dyDescent="0.2">
      <c r="GI34437" s="422"/>
    </row>
    <row r="34438" spans="191:191" x14ac:dyDescent="0.2">
      <c r="GI34438" s="422"/>
    </row>
    <row r="34439" spans="191:191" x14ac:dyDescent="0.2">
      <c r="GI34439" s="422"/>
    </row>
    <row r="34440" spans="191:191" x14ac:dyDescent="0.2">
      <c r="GI34440" s="422"/>
    </row>
    <row r="34441" spans="191:191" x14ac:dyDescent="0.2">
      <c r="GI34441" s="422"/>
    </row>
    <row r="34442" spans="191:191" x14ac:dyDescent="0.2">
      <c r="GI34442" s="422"/>
    </row>
    <row r="34443" spans="191:191" x14ac:dyDescent="0.2">
      <c r="GI34443" s="422"/>
    </row>
    <row r="34444" spans="191:191" x14ac:dyDescent="0.2">
      <c r="GI34444" s="422"/>
    </row>
    <row r="34445" spans="191:191" x14ac:dyDescent="0.2">
      <c r="GI34445" s="422"/>
    </row>
    <row r="34446" spans="191:191" x14ac:dyDescent="0.2">
      <c r="GI34446" s="422"/>
    </row>
    <row r="34447" spans="191:191" x14ac:dyDescent="0.2">
      <c r="GI34447" s="422"/>
    </row>
    <row r="34448" spans="191:191" x14ac:dyDescent="0.2">
      <c r="GI34448" s="422"/>
    </row>
    <row r="34449" spans="191:191" x14ac:dyDescent="0.2">
      <c r="GI34449" s="422"/>
    </row>
    <row r="34450" spans="191:191" x14ac:dyDescent="0.2">
      <c r="GI34450" s="422"/>
    </row>
    <row r="34451" spans="191:191" x14ac:dyDescent="0.2">
      <c r="GI34451" s="422"/>
    </row>
    <row r="34452" spans="191:191" x14ac:dyDescent="0.2">
      <c r="GI34452" s="422"/>
    </row>
    <row r="34453" spans="191:191" x14ac:dyDescent="0.2">
      <c r="GI34453" s="422"/>
    </row>
    <row r="34454" spans="191:191" x14ac:dyDescent="0.2">
      <c r="GI34454" s="422"/>
    </row>
    <row r="34455" spans="191:191" x14ac:dyDescent="0.2">
      <c r="GI34455" s="422"/>
    </row>
    <row r="34456" spans="191:191" x14ac:dyDescent="0.2">
      <c r="GI34456" s="422"/>
    </row>
    <row r="34457" spans="191:191" x14ac:dyDescent="0.2">
      <c r="GI34457" s="422"/>
    </row>
    <row r="34458" spans="191:191" x14ac:dyDescent="0.2">
      <c r="GI34458" s="422"/>
    </row>
    <row r="34459" spans="191:191" x14ac:dyDescent="0.2">
      <c r="GI34459" s="422"/>
    </row>
    <row r="34460" spans="191:191" x14ac:dyDescent="0.2">
      <c r="GI34460" s="422"/>
    </row>
    <row r="34461" spans="191:191" x14ac:dyDescent="0.2">
      <c r="GI34461" s="422"/>
    </row>
    <row r="34462" spans="191:191" x14ac:dyDescent="0.2">
      <c r="GI34462" s="422"/>
    </row>
    <row r="34463" spans="191:191" x14ac:dyDescent="0.2">
      <c r="GI34463" s="422"/>
    </row>
    <row r="34464" spans="191:191" x14ac:dyDescent="0.2">
      <c r="GI34464" s="422"/>
    </row>
    <row r="34465" spans="191:191" x14ac:dyDescent="0.2">
      <c r="GI34465" s="422"/>
    </row>
    <row r="34466" spans="191:191" x14ac:dyDescent="0.2">
      <c r="GI34466" s="422"/>
    </row>
    <row r="34467" spans="191:191" x14ac:dyDescent="0.2">
      <c r="GI34467" s="422"/>
    </row>
    <row r="34468" spans="191:191" x14ac:dyDescent="0.2">
      <c r="GI34468" s="422"/>
    </row>
    <row r="34469" spans="191:191" x14ac:dyDescent="0.2">
      <c r="GI34469" s="422"/>
    </row>
    <row r="34470" spans="191:191" x14ac:dyDescent="0.2">
      <c r="GI34470" s="422"/>
    </row>
    <row r="34471" spans="191:191" x14ac:dyDescent="0.2">
      <c r="GI34471" s="422"/>
    </row>
    <row r="34472" spans="191:191" x14ac:dyDescent="0.2">
      <c r="GI34472" s="422"/>
    </row>
    <row r="34473" spans="191:191" x14ac:dyDescent="0.2">
      <c r="GI34473" s="422"/>
    </row>
    <row r="34474" spans="191:191" x14ac:dyDescent="0.2">
      <c r="GI34474" s="422"/>
    </row>
    <row r="34475" spans="191:191" x14ac:dyDescent="0.2">
      <c r="GI34475" s="422"/>
    </row>
    <row r="34476" spans="191:191" x14ac:dyDescent="0.2">
      <c r="GI34476" s="422"/>
    </row>
    <row r="34477" spans="191:191" x14ac:dyDescent="0.2">
      <c r="GI34477" s="422"/>
    </row>
    <row r="34478" spans="191:191" x14ac:dyDescent="0.2">
      <c r="GI34478" s="422"/>
    </row>
    <row r="34479" spans="191:191" x14ac:dyDescent="0.2">
      <c r="GI34479" s="422"/>
    </row>
    <row r="34480" spans="191:191" x14ac:dyDescent="0.2">
      <c r="GI34480" s="422"/>
    </row>
    <row r="34481" spans="191:191" x14ac:dyDescent="0.2">
      <c r="GI34481" s="422"/>
    </row>
    <row r="34482" spans="191:191" x14ac:dyDescent="0.2">
      <c r="GI34482" s="422"/>
    </row>
    <row r="34483" spans="191:191" x14ac:dyDescent="0.2">
      <c r="GI34483" s="422"/>
    </row>
    <row r="34484" spans="191:191" x14ac:dyDescent="0.2">
      <c r="GI34484" s="422"/>
    </row>
    <row r="34485" spans="191:191" x14ac:dyDescent="0.2">
      <c r="GI34485" s="422"/>
    </row>
    <row r="34486" spans="191:191" x14ac:dyDescent="0.2">
      <c r="GI34486" s="422"/>
    </row>
    <row r="34487" spans="191:191" x14ac:dyDescent="0.2">
      <c r="GI34487" s="422"/>
    </row>
    <row r="34488" spans="191:191" x14ac:dyDescent="0.2">
      <c r="GI34488" s="422"/>
    </row>
    <row r="34489" spans="191:191" x14ac:dyDescent="0.2">
      <c r="GI34489" s="422"/>
    </row>
    <row r="34490" spans="191:191" x14ac:dyDescent="0.2">
      <c r="GI34490" s="422"/>
    </row>
    <row r="34491" spans="191:191" x14ac:dyDescent="0.2">
      <c r="GI34491" s="422"/>
    </row>
    <row r="34492" spans="191:191" x14ac:dyDescent="0.2">
      <c r="GI34492" s="422"/>
    </row>
    <row r="34493" spans="191:191" x14ac:dyDescent="0.2">
      <c r="GI34493" s="422"/>
    </row>
    <row r="34494" spans="191:191" x14ac:dyDescent="0.2">
      <c r="GI34494" s="422"/>
    </row>
    <row r="34495" spans="191:191" x14ac:dyDescent="0.2">
      <c r="GI34495" s="422"/>
    </row>
    <row r="34496" spans="191:191" x14ac:dyDescent="0.2">
      <c r="GI34496" s="422"/>
    </row>
    <row r="34497" spans="191:191" x14ac:dyDescent="0.2">
      <c r="GI34497" s="422"/>
    </row>
    <row r="34498" spans="191:191" x14ac:dyDescent="0.2">
      <c r="GI34498" s="422"/>
    </row>
    <row r="34499" spans="191:191" x14ac:dyDescent="0.2">
      <c r="GI34499" s="422"/>
    </row>
    <row r="34500" spans="191:191" x14ac:dyDescent="0.2">
      <c r="GI34500" s="422"/>
    </row>
    <row r="34501" spans="191:191" x14ac:dyDescent="0.2">
      <c r="GI34501" s="422"/>
    </row>
    <row r="34502" spans="191:191" x14ac:dyDescent="0.2">
      <c r="GI34502" s="422"/>
    </row>
    <row r="34503" spans="191:191" x14ac:dyDescent="0.2">
      <c r="GI34503" s="422"/>
    </row>
    <row r="34504" spans="191:191" x14ac:dyDescent="0.2">
      <c r="GI34504" s="422"/>
    </row>
    <row r="34505" spans="191:191" x14ac:dyDescent="0.2">
      <c r="GI34505" s="422"/>
    </row>
    <row r="34506" spans="191:191" x14ac:dyDescent="0.2">
      <c r="GI34506" s="422"/>
    </row>
    <row r="34507" spans="191:191" x14ac:dyDescent="0.2">
      <c r="GI34507" s="422"/>
    </row>
    <row r="34508" spans="191:191" x14ac:dyDescent="0.2">
      <c r="GI34508" s="422"/>
    </row>
    <row r="34509" spans="191:191" x14ac:dyDescent="0.2">
      <c r="GI34509" s="422"/>
    </row>
    <row r="34510" spans="191:191" x14ac:dyDescent="0.2">
      <c r="GI34510" s="422"/>
    </row>
    <row r="34511" spans="191:191" x14ac:dyDescent="0.2">
      <c r="GI34511" s="422"/>
    </row>
    <row r="34512" spans="191:191" x14ac:dyDescent="0.2">
      <c r="GI34512" s="422"/>
    </row>
    <row r="34513" spans="191:191" x14ac:dyDescent="0.2">
      <c r="GI34513" s="422"/>
    </row>
    <row r="34514" spans="191:191" x14ac:dyDescent="0.2">
      <c r="GI34514" s="422"/>
    </row>
    <row r="34515" spans="191:191" x14ac:dyDescent="0.2">
      <c r="GI34515" s="422"/>
    </row>
    <row r="34516" spans="191:191" x14ac:dyDescent="0.2">
      <c r="GI34516" s="422"/>
    </row>
    <row r="34517" spans="191:191" x14ac:dyDescent="0.2">
      <c r="GI34517" s="422"/>
    </row>
    <row r="34518" spans="191:191" x14ac:dyDescent="0.2">
      <c r="GI34518" s="422"/>
    </row>
    <row r="34519" spans="191:191" x14ac:dyDescent="0.2">
      <c r="GI34519" s="422"/>
    </row>
    <row r="34520" spans="191:191" x14ac:dyDescent="0.2">
      <c r="GI34520" s="422"/>
    </row>
    <row r="34521" spans="191:191" x14ac:dyDescent="0.2">
      <c r="GI34521" s="422"/>
    </row>
    <row r="34522" spans="191:191" x14ac:dyDescent="0.2">
      <c r="GI34522" s="422"/>
    </row>
    <row r="34523" spans="191:191" x14ac:dyDescent="0.2">
      <c r="GI34523" s="422"/>
    </row>
    <row r="34524" spans="191:191" x14ac:dyDescent="0.2">
      <c r="GI34524" s="422"/>
    </row>
    <row r="34525" spans="191:191" x14ac:dyDescent="0.2">
      <c r="GI34525" s="422"/>
    </row>
    <row r="34526" spans="191:191" x14ac:dyDescent="0.2">
      <c r="GI34526" s="422"/>
    </row>
    <row r="34527" spans="191:191" x14ac:dyDescent="0.2">
      <c r="GI34527" s="422"/>
    </row>
    <row r="34528" spans="191:191" x14ac:dyDescent="0.2">
      <c r="GI34528" s="422"/>
    </row>
    <row r="34529" spans="191:191" x14ac:dyDescent="0.2">
      <c r="GI34529" s="422"/>
    </row>
    <row r="34530" spans="191:191" x14ac:dyDescent="0.2">
      <c r="GI34530" s="422"/>
    </row>
    <row r="34531" spans="191:191" x14ac:dyDescent="0.2">
      <c r="GI34531" s="422"/>
    </row>
    <row r="34532" spans="191:191" x14ac:dyDescent="0.2">
      <c r="GI34532" s="422"/>
    </row>
    <row r="34533" spans="191:191" x14ac:dyDescent="0.2">
      <c r="GI34533" s="422"/>
    </row>
    <row r="34534" spans="191:191" x14ac:dyDescent="0.2">
      <c r="GI34534" s="422"/>
    </row>
    <row r="34535" spans="191:191" x14ac:dyDescent="0.2">
      <c r="GI34535" s="422"/>
    </row>
    <row r="34536" spans="191:191" x14ac:dyDescent="0.2">
      <c r="GI34536" s="422"/>
    </row>
    <row r="34537" spans="191:191" x14ac:dyDescent="0.2">
      <c r="GI34537" s="422"/>
    </row>
    <row r="34538" spans="191:191" x14ac:dyDescent="0.2">
      <c r="GI34538" s="422"/>
    </row>
    <row r="34539" spans="191:191" x14ac:dyDescent="0.2">
      <c r="GI34539" s="422"/>
    </row>
    <row r="34540" spans="191:191" x14ac:dyDescent="0.2">
      <c r="GI34540" s="422"/>
    </row>
    <row r="34541" spans="191:191" x14ac:dyDescent="0.2">
      <c r="GI34541" s="422"/>
    </row>
    <row r="34542" spans="191:191" x14ac:dyDescent="0.2">
      <c r="GI34542" s="422"/>
    </row>
    <row r="34543" spans="191:191" x14ac:dyDescent="0.2">
      <c r="GI34543" s="422"/>
    </row>
    <row r="34544" spans="191:191" x14ac:dyDescent="0.2">
      <c r="GI34544" s="422"/>
    </row>
    <row r="34545" spans="191:191" x14ac:dyDescent="0.2">
      <c r="GI34545" s="422"/>
    </row>
    <row r="34546" spans="191:191" x14ac:dyDescent="0.2">
      <c r="GI34546" s="422"/>
    </row>
    <row r="34547" spans="191:191" x14ac:dyDescent="0.2">
      <c r="GI34547" s="422"/>
    </row>
    <row r="34548" spans="191:191" x14ac:dyDescent="0.2">
      <c r="GI34548" s="422"/>
    </row>
    <row r="34549" spans="191:191" x14ac:dyDescent="0.2">
      <c r="GI34549" s="422"/>
    </row>
    <row r="34550" spans="191:191" x14ac:dyDescent="0.2">
      <c r="GI34550" s="422"/>
    </row>
    <row r="34551" spans="191:191" x14ac:dyDescent="0.2">
      <c r="GI34551" s="422"/>
    </row>
    <row r="34552" spans="191:191" x14ac:dyDescent="0.2">
      <c r="GI34552" s="422"/>
    </row>
    <row r="34553" spans="191:191" x14ac:dyDescent="0.2">
      <c r="GI34553" s="422"/>
    </row>
    <row r="34554" spans="191:191" x14ac:dyDescent="0.2">
      <c r="GI34554" s="422"/>
    </row>
    <row r="34555" spans="191:191" x14ac:dyDescent="0.2">
      <c r="GI34555" s="422"/>
    </row>
    <row r="34556" spans="191:191" x14ac:dyDescent="0.2">
      <c r="GI34556" s="422"/>
    </row>
    <row r="34557" spans="191:191" x14ac:dyDescent="0.2">
      <c r="GI34557" s="422"/>
    </row>
    <row r="34558" spans="191:191" x14ac:dyDescent="0.2">
      <c r="GI34558" s="422"/>
    </row>
    <row r="34559" spans="191:191" x14ac:dyDescent="0.2">
      <c r="GI34559" s="422"/>
    </row>
    <row r="34560" spans="191:191" x14ac:dyDescent="0.2">
      <c r="GI34560" s="422"/>
    </row>
    <row r="34561" spans="191:191" x14ac:dyDescent="0.2">
      <c r="GI34561" s="422"/>
    </row>
    <row r="34562" spans="191:191" x14ac:dyDescent="0.2">
      <c r="GI34562" s="422"/>
    </row>
    <row r="34563" spans="191:191" x14ac:dyDescent="0.2">
      <c r="GI34563" s="422"/>
    </row>
    <row r="34564" spans="191:191" x14ac:dyDescent="0.2">
      <c r="GI34564" s="422"/>
    </row>
    <row r="34565" spans="191:191" x14ac:dyDescent="0.2">
      <c r="GI34565" s="422"/>
    </row>
    <row r="34566" spans="191:191" x14ac:dyDescent="0.2">
      <c r="GI34566" s="422"/>
    </row>
    <row r="34567" spans="191:191" x14ac:dyDescent="0.2">
      <c r="GI34567" s="422"/>
    </row>
    <row r="34568" spans="191:191" x14ac:dyDescent="0.2">
      <c r="GI34568" s="422"/>
    </row>
    <row r="34569" spans="191:191" x14ac:dyDescent="0.2">
      <c r="GI34569" s="422"/>
    </row>
    <row r="34570" spans="191:191" x14ac:dyDescent="0.2">
      <c r="GI34570" s="422"/>
    </row>
    <row r="34571" spans="191:191" x14ac:dyDescent="0.2">
      <c r="GI34571" s="422"/>
    </row>
    <row r="34572" spans="191:191" x14ac:dyDescent="0.2">
      <c r="GI34572" s="422"/>
    </row>
    <row r="34573" spans="191:191" x14ac:dyDescent="0.2">
      <c r="GI34573" s="422"/>
    </row>
    <row r="34574" spans="191:191" x14ac:dyDescent="0.2">
      <c r="GI34574" s="422"/>
    </row>
    <row r="34575" spans="191:191" x14ac:dyDescent="0.2">
      <c r="GI34575" s="422"/>
    </row>
    <row r="34576" spans="191:191" x14ac:dyDescent="0.2">
      <c r="GI34576" s="422"/>
    </row>
    <row r="34577" spans="191:191" x14ac:dyDescent="0.2">
      <c r="GI34577" s="422"/>
    </row>
    <row r="34578" spans="191:191" x14ac:dyDescent="0.2">
      <c r="GI34578" s="422"/>
    </row>
    <row r="34579" spans="191:191" x14ac:dyDescent="0.2">
      <c r="GI34579" s="422"/>
    </row>
    <row r="34580" spans="191:191" x14ac:dyDescent="0.2">
      <c r="GI34580" s="422"/>
    </row>
    <row r="34581" spans="191:191" x14ac:dyDescent="0.2">
      <c r="GI34581" s="422"/>
    </row>
    <row r="34582" spans="191:191" x14ac:dyDescent="0.2">
      <c r="GI34582" s="422"/>
    </row>
    <row r="34583" spans="191:191" x14ac:dyDescent="0.2">
      <c r="GI34583" s="422"/>
    </row>
    <row r="34584" spans="191:191" x14ac:dyDescent="0.2">
      <c r="GI34584" s="422"/>
    </row>
    <row r="34585" spans="191:191" x14ac:dyDescent="0.2">
      <c r="GI34585" s="422"/>
    </row>
    <row r="34586" spans="191:191" x14ac:dyDescent="0.2">
      <c r="GI34586" s="422"/>
    </row>
    <row r="34587" spans="191:191" x14ac:dyDescent="0.2">
      <c r="GI34587" s="422"/>
    </row>
    <row r="34588" spans="191:191" x14ac:dyDescent="0.2">
      <c r="GI34588" s="422"/>
    </row>
    <row r="34589" spans="191:191" x14ac:dyDescent="0.2">
      <c r="GI34589" s="422"/>
    </row>
    <row r="34590" spans="191:191" x14ac:dyDescent="0.2">
      <c r="GI34590" s="422"/>
    </row>
    <row r="34591" spans="191:191" x14ac:dyDescent="0.2">
      <c r="GI34591" s="422"/>
    </row>
    <row r="34592" spans="191:191" x14ac:dyDescent="0.2">
      <c r="GI34592" s="422"/>
    </row>
    <row r="34593" spans="191:191" x14ac:dyDescent="0.2">
      <c r="GI34593" s="422"/>
    </row>
    <row r="34594" spans="191:191" x14ac:dyDescent="0.2">
      <c r="GI34594" s="422"/>
    </row>
    <row r="34595" spans="191:191" x14ac:dyDescent="0.2">
      <c r="GI34595" s="422"/>
    </row>
    <row r="34596" spans="191:191" x14ac:dyDescent="0.2">
      <c r="GI34596" s="422"/>
    </row>
    <row r="34597" spans="191:191" x14ac:dyDescent="0.2">
      <c r="GI34597" s="422"/>
    </row>
    <row r="34598" spans="191:191" x14ac:dyDescent="0.2">
      <c r="GI34598" s="422"/>
    </row>
    <row r="34599" spans="191:191" x14ac:dyDescent="0.2">
      <c r="GI34599" s="422"/>
    </row>
    <row r="34600" spans="191:191" x14ac:dyDescent="0.2">
      <c r="GI34600" s="422"/>
    </row>
    <row r="34601" spans="191:191" x14ac:dyDescent="0.2">
      <c r="GI34601" s="422"/>
    </row>
    <row r="34602" spans="191:191" x14ac:dyDescent="0.2">
      <c r="GI34602" s="422"/>
    </row>
    <row r="34603" spans="191:191" x14ac:dyDescent="0.2">
      <c r="GI34603" s="422"/>
    </row>
    <row r="34604" spans="191:191" x14ac:dyDescent="0.2">
      <c r="GI34604" s="422"/>
    </row>
    <row r="34605" spans="191:191" x14ac:dyDescent="0.2">
      <c r="GI34605" s="422"/>
    </row>
    <row r="34606" spans="191:191" x14ac:dyDescent="0.2">
      <c r="GI34606" s="422"/>
    </row>
    <row r="34607" spans="191:191" x14ac:dyDescent="0.2">
      <c r="GI34607" s="422"/>
    </row>
    <row r="34608" spans="191:191" x14ac:dyDescent="0.2">
      <c r="GI34608" s="422"/>
    </row>
    <row r="34609" spans="191:191" x14ac:dyDescent="0.2">
      <c r="GI34609" s="422"/>
    </row>
    <row r="34610" spans="191:191" x14ac:dyDescent="0.2">
      <c r="GI34610" s="422"/>
    </row>
    <row r="34611" spans="191:191" x14ac:dyDescent="0.2">
      <c r="GI34611" s="422"/>
    </row>
    <row r="34612" spans="191:191" x14ac:dyDescent="0.2">
      <c r="GI34612" s="422"/>
    </row>
    <row r="34613" spans="191:191" x14ac:dyDescent="0.2">
      <c r="GI34613" s="422"/>
    </row>
    <row r="34614" spans="191:191" x14ac:dyDescent="0.2">
      <c r="GI34614" s="422"/>
    </row>
    <row r="34615" spans="191:191" x14ac:dyDescent="0.2">
      <c r="GI34615" s="422"/>
    </row>
    <row r="34616" spans="191:191" x14ac:dyDescent="0.2">
      <c r="GI34616" s="422"/>
    </row>
    <row r="34617" spans="191:191" x14ac:dyDescent="0.2">
      <c r="GI34617" s="422"/>
    </row>
    <row r="34618" spans="191:191" x14ac:dyDescent="0.2">
      <c r="GI34618" s="422"/>
    </row>
    <row r="34619" spans="191:191" x14ac:dyDescent="0.2">
      <c r="GI34619" s="422"/>
    </row>
    <row r="34620" spans="191:191" x14ac:dyDescent="0.2">
      <c r="GI34620" s="422"/>
    </row>
    <row r="34621" spans="191:191" x14ac:dyDescent="0.2">
      <c r="GI34621" s="422"/>
    </row>
    <row r="34622" spans="191:191" x14ac:dyDescent="0.2">
      <c r="GI34622" s="422"/>
    </row>
    <row r="34623" spans="191:191" x14ac:dyDescent="0.2">
      <c r="GI34623" s="422"/>
    </row>
    <row r="34624" spans="191:191" x14ac:dyDescent="0.2">
      <c r="GI34624" s="422"/>
    </row>
    <row r="34625" spans="191:191" x14ac:dyDescent="0.2">
      <c r="GI34625" s="422"/>
    </row>
    <row r="34626" spans="191:191" x14ac:dyDescent="0.2">
      <c r="GI34626" s="422"/>
    </row>
    <row r="34627" spans="191:191" x14ac:dyDescent="0.2">
      <c r="GI34627" s="422"/>
    </row>
    <row r="34628" spans="191:191" x14ac:dyDescent="0.2">
      <c r="GI34628" s="422"/>
    </row>
    <row r="34629" spans="191:191" x14ac:dyDescent="0.2">
      <c r="GI34629" s="422"/>
    </row>
    <row r="34630" spans="191:191" x14ac:dyDescent="0.2">
      <c r="GI34630" s="422"/>
    </row>
    <row r="34631" spans="191:191" x14ac:dyDescent="0.2">
      <c r="GI34631" s="422"/>
    </row>
    <row r="34632" spans="191:191" x14ac:dyDescent="0.2">
      <c r="GI34632" s="422"/>
    </row>
    <row r="34633" spans="191:191" x14ac:dyDescent="0.2">
      <c r="GI34633" s="422"/>
    </row>
    <row r="34634" spans="191:191" x14ac:dyDescent="0.2">
      <c r="GI34634" s="422"/>
    </row>
    <row r="34635" spans="191:191" x14ac:dyDescent="0.2">
      <c r="GI34635" s="422"/>
    </row>
    <row r="34636" spans="191:191" x14ac:dyDescent="0.2">
      <c r="GI34636" s="422"/>
    </row>
    <row r="34637" spans="191:191" x14ac:dyDescent="0.2">
      <c r="GI34637" s="422"/>
    </row>
    <row r="34638" spans="191:191" x14ac:dyDescent="0.2">
      <c r="GI34638" s="422"/>
    </row>
    <row r="34639" spans="191:191" x14ac:dyDescent="0.2">
      <c r="GI34639" s="422"/>
    </row>
    <row r="34640" spans="191:191" x14ac:dyDescent="0.2">
      <c r="GI34640" s="422"/>
    </row>
    <row r="34641" spans="191:191" x14ac:dyDescent="0.2">
      <c r="GI34641" s="422"/>
    </row>
    <row r="34642" spans="191:191" x14ac:dyDescent="0.2">
      <c r="GI34642" s="422"/>
    </row>
    <row r="34643" spans="191:191" x14ac:dyDescent="0.2">
      <c r="GI34643" s="422"/>
    </row>
    <row r="34644" spans="191:191" x14ac:dyDescent="0.2">
      <c r="GI34644" s="422"/>
    </row>
    <row r="34645" spans="191:191" x14ac:dyDescent="0.2">
      <c r="GI34645" s="422"/>
    </row>
    <row r="34646" spans="191:191" x14ac:dyDescent="0.2">
      <c r="GI34646" s="422"/>
    </row>
    <row r="34647" spans="191:191" x14ac:dyDescent="0.2">
      <c r="GI34647" s="422"/>
    </row>
    <row r="34648" spans="191:191" x14ac:dyDescent="0.2">
      <c r="GI34648" s="422"/>
    </row>
    <row r="34649" spans="191:191" x14ac:dyDescent="0.2">
      <c r="GI34649" s="422"/>
    </row>
    <row r="34650" spans="191:191" x14ac:dyDescent="0.2">
      <c r="GI34650" s="422"/>
    </row>
    <row r="34651" spans="191:191" x14ac:dyDescent="0.2">
      <c r="GI34651" s="422"/>
    </row>
    <row r="34652" spans="191:191" x14ac:dyDescent="0.2">
      <c r="GI34652" s="422"/>
    </row>
    <row r="34653" spans="191:191" x14ac:dyDescent="0.2">
      <c r="GI34653" s="422"/>
    </row>
    <row r="34654" spans="191:191" x14ac:dyDescent="0.2">
      <c r="GI34654" s="422"/>
    </row>
    <row r="34655" spans="191:191" x14ac:dyDescent="0.2">
      <c r="GI34655" s="422"/>
    </row>
    <row r="34656" spans="191:191" x14ac:dyDescent="0.2">
      <c r="GI34656" s="422"/>
    </row>
    <row r="34657" spans="191:191" x14ac:dyDescent="0.2">
      <c r="GI34657" s="422"/>
    </row>
    <row r="34658" spans="191:191" x14ac:dyDescent="0.2">
      <c r="GI34658" s="422"/>
    </row>
    <row r="34659" spans="191:191" x14ac:dyDescent="0.2">
      <c r="GI34659" s="422"/>
    </row>
    <row r="34660" spans="191:191" x14ac:dyDescent="0.2">
      <c r="GI34660" s="422"/>
    </row>
    <row r="34661" spans="191:191" x14ac:dyDescent="0.2">
      <c r="GI34661" s="422"/>
    </row>
    <row r="34662" spans="191:191" x14ac:dyDescent="0.2">
      <c r="GI34662" s="422"/>
    </row>
    <row r="34663" spans="191:191" x14ac:dyDescent="0.2">
      <c r="GI34663" s="422"/>
    </row>
    <row r="34664" spans="191:191" x14ac:dyDescent="0.2">
      <c r="GI34664" s="422"/>
    </row>
    <row r="34665" spans="191:191" x14ac:dyDescent="0.2">
      <c r="GI34665" s="422"/>
    </row>
    <row r="34666" spans="191:191" x14ac:dyDescent="0.2">
      <c r="GI34666" s="422"/>
    </row>
    <row r="34667" spans="191:191" x14ac:dyDescent="0.2">
      <c r="GI34667" s="422"/>
    </row>
    <row r="34668" spans="191:191" x14ac:dyDescent="0.2">
      <c r="GI34668" s="422"/>
    </row>
    <row r="34669" spans="191:191" x14ac:dyDescent="0.2">
      <c r="GI34669" s="422"/>
    </row>
    <row r="34670" spans="191:191" x14ac:dyDescent="0.2">
      <c r="GI34670" s="422"/>
    </row>
    <row r="34671" spans="191:191" x14ac:dyDescent="0.2">
      <c r="GI34671" s="422"/>
    </row>
    <row r="34672" spans="191:191" x14ac:dyDescent="0.2">
      <c r="GI34672" s="422"/>
    </row>
    <row r="34673" spans="191:191" x14ac:dyDescent="0.2">
      <c r="GI34673" s="422"/>
    </row>
    <row r="34674" spans="191:191" x14ac:dyDescent="0.2">
      <c r="GI34674" s="422"/>
    </row>
    <row r="34675" spans="191:191" x14ac:dyDescent="0.2">
      <c r="GI34675" s="422"/>
    </row>
    <row r="34676" spans="191:191" x14ac:dyDescent="0.2">
      <c r="GI34676" s="422"/>
    </row>
    <row r="34677" spans="191:191" x14ac:dyDescent="0.2">
      <c r="GI34677" s="422"/>
    </row>
    <row r="34678" spans="191:191" x14ac:dyDescent="0.2">
      <c r="GI34678" s="422"/>
    </row>
    <row r="34679" spans="191:191" x14ac:dyDescent="0.2">
      <c r="GI34679" s="422"/>
    </row>
    <row r="34680" spans="191:191" x14ac:dyDescent="0.2">
      <c r="GI34680" s="422"/>
    </row>
    <row r="34681" spans="191:191" x14ac:dyDescent="0.2">
      <c r="GI34681" s="422"/>
    </row>
    <row r="34682" spans="191:191" x14ac:dyDescent="0.2">
      <c r="GI34682" s="422"/>
    </row>
    <row r="34683" spans="191:191" x14ac:dyDescent="0.2">
      <c r="GI34683" s="422"/>
    </row>
    <row r="34684" spans="191:191" x14ac:dyDescent="0.2">
      <c r="GI34684" s="422"/>
    </row>
    <row r="34685" spans="191:191" x14ac:dyDescent="0.2">
      <c r="GI34685" s="422"/>
    </row>
    <row r="34686" spans="191:191" x14ac:dyDescent="0.2">
      <c r="GI34686" s="422"/>
    </row>
    <row r="34687" spans="191:191" x14ac:dyDescent="0.2">
      <c r="GI34687" s="422"/>
    </row>
    <row r="34688" spans="191:191" x14ac:dyDescent="0.2">
      <c r="GI34688" s="422"/>
    </row>
    <row r="34689" spans="191:191" x14ac:dyDescent="0.2">
      <c r="GI34689" s="422"/>
    </row>
    <row r="34690" spans="191:191" x14ac:dyDescent="0.2">
      <c r="GI34690" s="422"/>
    </row>
    <row r="34691" spans="191:191" x14ac:dyDescent="0.2">
      <c r="GI34691" s="422"/>
    </row>
    <row r="34692" spans="191:191" x14ac:dyDescent="0.2">
      <c r="GI34692" s="422"/>
    </row>
    <row r="34693" spans="191:191" x14ac:dyDescent="0.2">
      <c r="GI34693" s="422"/>
    </row>
    <row r="34694" spans="191:191" x14ac:dyDescent="0.2">
      <c r="GI34694" s="422"/>
    </row>
    <row r="34695" spans="191:191" x14ac:dyDescent="0.2">
      <c r="GI34695" s="422"/>
    </row>
    <row r="34696" spans="191:191" x14ac:dyDescent="0.2">
      <c r="GI34696" s="422"/>
    </row>
    <row r="34697" spans="191:191" x14ac:dyDescent="0.2">
      <c r="GI34697" s="422"/>
    </row>
    <row r="34698" spans="191:191" x14ac:dyDescent="0.2">
      <c r="GI34698" s="422"/>
    </row>
    <row r="34699" spans="191:191" x14ac:dyDescent="0.2">
      <c r="GI34699" s="422"/>
    </row>
    <row r="34700" spans="191:191" x14ac:dyDescent="0.2">
      <c r="GI34700" s="422"/>
    </row>
    <row r="34701" spans="191:191" x14ac:dyDescent="0.2">
      <c r="GI34701" s="422"/>
    </row>
    <row r="34702" spans="191:191" x14ac:dyDescent="0.2">
      <c r="GI34702" s="422"/>
    </row>
    <row r="34703" spans="191:191" x14ac:dyDescent="0.2">
      <c r="GI34703" s="422"/>
    </row>
    <row r="34704" spans="191:191" x14ac:dyDescent="0.2">
      <c r="GI34704" s="422"/>
    </row>
    <row r="34705" spans="191:191" x14ac:dyDescent="0.2">
      <c r="GI34705" s="422"/>
    </row>
    <row r="34706" spans="191:191" x14ac:dyDescent="0.2">
      <c r="GI34706" s="422"/>
    </row>
    <row r="34707" spans="191:191" x14ac:dyDescent="0.2">
      <c r="GI34707" s="422"/>
    </row>
    <row r="34708" spans="191:191" x14ac:dyDescent="0.2">
      <c r="GI34708" s="422"/>
    </row>
    <row r="34709" spans="191:191" x14ac:dyDescent="0.2">
      <c r="GI34709" s="422"/>
    </row>
    <row r="34710" spans="191:191" x14ac:dyDescent="0.2">
      <c r="GI34710" s="422"/>
    </row>
    <row r="34711" spans="191:191" x14ac:dyDescent="0.2">
      <c r="GI34711" s="422"/>
    </row>
    <row r="34712" spans="191:191" x14ac:dyDescent="0.2">
      <c r="GI34712" s="422"/>
    </row>
    <row r="34713" spans="191:191" x14ac:dyDescent="0.2">
      <c r="GI34713" s="422"/>
    </row>
    <row r="34714" spans="191:191" x14ac:dyDescent="0.2">
      <c r="GI34714" s="422"/>
    </row>
    <row r="34715" spans="191:191" x14ac:dyDescent="0.2">
      <c r="GI34715" s="422"/>
    </row>
    <row r="34716" spans="191:191" x14ac:dyDescent="0.2">
      <c r="GI34716" s="422"/>
    </row>
    <row r="34717" spans="191:191" x14ac:dyDescent="0.2">
      <c r="GI34717" s="422"/>
    </row>
    <row r="34718" spans="191:191" x14ac:dyDescent="0.2">
      <c r="GI34718" s="422"/>
    </row>
    <row r="34719" spans="191:191" x14ac:dyDescent="0.2">
      <c r="GI34719" s="422"/>
    </row>
    <row r="34720" spans="191:191" x14ac:dyDescent="0.2">
      <c r="GI34720" s="422"/>
    </row>
    <row r="34721" spans="191:191" x14ac:dyDescent="0.2">
      <c r="GI34721" s="422"/>
    </row>
    <row r="34722" spans="191:191" x14ac:dyDescent="0.2">
      <c r="GI34722" s="422"/>
    </row>
    <row r="34723" spans="191:191" x14ac:dyDescent="0.2">
      <c r="GI34723" s="422"/>
    </row>
    <row r="34724" spans="191:191" x14ac:dyDescent="0.2">
      <c r="GI34724" s="422"/>
    </row>
    <row r="34725" spans="191:191" x14ac:dyDescent="0.2">
      <c r="GI34725" s="422"/>
    </row>
    <row r="34726" spans="191:191" x14ac:dyDescent="0.2">
      <c r="GI34726" s="422"/>
    </row>
    <row r="34727" spans="191:191" x14ac:dyDescent="0.2">
      <c r="GI34727" s="422"/>
    </row>
    <row r="34728" spans="191:191" x14ac:dyDescent="0.2">
      <c r="GI34728" s="422"/>
    </row>
    <row r="34729" spans="191:191" x14ac:dyDescent="0.2">
      <c r="GI34729" s="422"/>
    </row>
    <row r="34730" spans="191:191" x14ac:dyDescent="0.2">
      <c r="GI34730" s="422"/>
    </row>
    <row r="34731" spans="191:191" x14ac:dyDescent="0.2">
      <c r="GI34731" s="422"/>
    </row>
    <row r="34732" spans="191:191" x14ac:dyDescent="0.2">
      <c r="GI34732" s="422"/>
    </row>
    <row r="34733" spans="191:191" x14ac:dyDescent="0.2">
      <c r="GI34733" s="422"/>
    </row>
    <row r="34734" spans="191:191" x14ac:dyDescent="0.2">
      <c r="GI34734" s="422"/>
    </row>
    <row r="34735" spans="191:191" x14ac:dyDescent="0.2">
      <c r="GI34735" s="422"/>
    </row>
    <row r="34736" spans="191:191" x14ac:dyDescent="0.2">
      <c r="GI34736" s="422"/>
    </row>
    <row r="34737" spans="191:191" x14ac:dyDescent="0.2">
      <c r="GI34737" s="422"/>
    </row>
    <row r="34738" spans="191:191" x14ac:dyDescent="0.2">
      <c r="GI34738" s="422"/>
    </row>
    <row r="34739" spans="191:191" x14ac:dyDescent="0.2">
      <c r="GI34739" s="422"/>
    </row>
    <row r="34740" spans="191:191" x14ac:dyDescent="0.2">
      <c r="GI34740" s="422"/>
    </row>
    <row r="34741" spans="191:191" x14ac:dyDescent="0.2">
      <c r="GI34741" s="422"/>
    </row>
    <row r="34742" spans="191:191" x14ac:dyDescent="0.2">
      <c r="GI34742" s="422"/>
    </row>
    <row r="34743" spans="191:191" x14ac:dyDescent="0.2">
      <c r="GI34743" s="422"/>
    </row>
    <row r="34744" spans="191:191" x14ac:dyDescent="0.2">
      <c r="GI34744" s="422"/>
    </row>
    <row r="34745" spans="191:191" x14ac:dyDescent="0.2">
      <c r="GI34745" s="422"/>
    </row>
    <row r="34746" spans="191:191" x14ac:dyDescent="0.2">
      <c r="GI34746" s="422"/>
    </row>
    <row r="34747" spans="191:191" x14ac:dyDescent="0.2">
      <c r="GI34747" s="422"/>
    </row>
    <row r="34748" spans="191:191" x14ac:dyDescent="0.2">
      <c r="GI34748" s="422"/>
    </row>
    <row r="34749" spans="191:191" x14ac:dyDescent="0.2">
      <c r="GI34749" s="422"/>
    </row>
    <row r="34750" spans="191:191" x14ac:dyDescent="0.2">
      <c r="GI34750" s="422"/>
    </row>
    <row r="34751" spans="191:191" x14ac:dyDescent="0.2">
      <c r="GI34751" s="422"/>
    </row>
    <row r="34752" spans="191:191" x14ac:dyDescent="0.2">
      <c r="GI34752" s="422"/>
    </row>
    <row r="34753" spans="191:191" x14ac:dyDescent="0.2">
      <c r="GI34753" s="422"/>
    </row>
    <row r="34754" spans="191:191" x14ac:dyDescent="0.2">
      <c r="GI34754" s="422"/>
    </row>
    <row r="34755" spans="191:191" x14ac:dyDescent="0.2">
      <c r="GI34755" s="422"/>
    </row>
    <row r="34756" spans="191:191" x14ac:dyDescent="0.2">
      <c r="GI34756" s="422"/>
    </row>
    <row r="34757" spans="191:191" x14ac:dyDescent="0.2">
      <c r="GI34757" s="422"/>
    </row>
    <row r="34758" spans="191:191" x14ac:dyDescent="0.2">
      <c r="GI34758" s="422"/>
    </row>
    <row r="34759" spans="191:191" x14ac:dyDescent="0.2">
      <c r="GI34759" s="422"/>
    </row>
    <row r="34760" spans="191:191" x14ac:dyDescent="0.2">
      <c r="GI34760" s="422"/>
    </row>
    <row r="34761" spans="191:191" x14ac:dyDescent="0.2">
      <c r="GI34761" s="422"/>
    </row>
    <row r="34762" spans="191:191" x14ac:dyDescent="0.2">
      <c r="GI34762" s="422"/>
    </row>
    <row r="34763" spans="191:191" x14ac:dyDescent="0.2">
      <c r="GI34763" s="422"/>
    </row>
    <row r="34764" spans="191:191" x14ac:dyDescent="0.2">
      <c r="GI34764" s="422"/>
    </row>
    <row r="34765" spans="191:191" x14ac:dyDescent="0.2">
      <c r="GI34765" s="422"/>
    </row>
    <row r="34766" spans="191:191" x14ac:dyDescent="0.2">
      <c r="GI34766" s="422"/>
    </row>
    <row r="34767" spans="191:191" x14ac:dyDescent="0.2">
      <c r="GI34767" s="422"/>
    </row>
    <row r="34768" spans="191:191" x14ac:dyDescent="0.2">
      <c r="GI34768" s="422"/>
    </row>
    <row r="34769" spans="191:191" x14ac:dyDescent="0.2">
      <c r="GI34769" s="422"/>
    </row>
    <row r="34770" spans="191:191" x14ac:dyDescent="0.2">
      <c r="GI34770" s="422"/>
    </row>
    <row r="34771" spans="191:191" x14ac:dyDescent="0.2">
      <c r="GI34771" s="422"/>
    </row>
    <row r="34772" spans="191:191" x14ac:dyDescent="0.2">
      <c r="GI34772" s="422"/>
    </row>
    <row r="34773" spans="191:191" x14ac:dyDescent="0.2">
      <c r="GI34773" s="422"/>
    </row>
    <row r="34774" spans="191:191" x14ac:dyDescent="0.2">
      <c r="GI34774" s="422"/>
    </row>
    <row r="34775" spans="191:191" x14ac:dyDescent="0.2">
      <c r="GI34775" s="422"/>
    </row>
    <row r="34776" spans="191:191" x14ac:dyDescent="0.2">
      <c r="GI34776" s="422"/>
    </row>
    <row r="34777" spans="191:191" x14ac:dyDescent="0.2">
      <c r="GI34777" s="422"/>
    </row>
    <row r="34778" spans="191:191" x14ac:dyDescent="0.2">
      <c r="GI34778" s="422"/>
    </row>
    <row r="34779" spans="191:191" x14ac:dyDescent="0.2">
      <c r="GI34779" s="422"/>
    </row>
    <row r="34780" spans="191:191" x14ac:dyDescent="0.2">
      <c r="GI34780" s="422"/>
    </row>
    <row r="34781" spans="191:191" x14ac:dyDescent="0.2">
      <c r="GI34781" s="422"/>
    </row>
    <row r="34782" spans="191:191" x14ac:dyDescent="0.2">
      <c r="GI34782" s="422"/>
    </row>
    <row r="34783" spans="191:191" x14ac:dyDescent="0.2">
      <c r="GI34783" s="422"/>
    </row>
    <row r="34784" spans="191:191" x14ac:dyDescent="0.2">
      <c r="GI34784" s="422"/>
    </row>
    <row r="34785" spans="191:191" x14ac:dyDescent="0.2">
      <c r="GI34785" s="422"/>
    </row>
    <row r="34786" spans="191:191" x14ac:dyDescent="0.2">
      <c r="GI34786" s="422"/>
    </row>
    <row r="34787" spans="191:191" x14ac:dyDescent="0.2">
      <c r="GI34787" s="422"/>
    </row>
    <row r="34788" spans="191:191" x14ac:dyDescent="0.2">
      <c r="GI34788" s="422"/>
    </row>
    <row r="34789" spans="191:191" x14ac:dyDescent="0.2">
      <c r="GI34789" s="422"/>
    </row>
    <row r="34790" spans="191:191" x14ac:dyDescent="0.2">
      <c r="GI34790" s="422"/>
    </row>
    <row r="34791" spans="191:191" x14ac:dyDescent="0.2">
      <c r="GI34791" s="422"/>
    </row>
    <row r="34792" spans="191:191" x14ac:dyDescent="0.2">
      <c r="GI34792" s="422"/>
    </row>
    <row r="34793" spans="191:191" x14ac:dyDescent="0.2">
      <c r="GI34793" s="422"/>
    </row>
    <row r="34794" spans="191:191" x14ac:dyDescent="0.2">
      <c r="GI34794" s="422"/>
    </row>
    <row r="34795" spans="191:191" x14ac:dyDescent="0.2">
      <c r="GI34795" s="422"/>
    </row>
    <row r="34796" spans="191:191" x14ac:dyDescent="0.2">
      <c r="GI34796" s="422"/>
    </row>
    <row r="34797" spans="191:191" x14ac:dyDescent="0.2">
      <c r="GI34797" s="422"/>
    </row>
    <row r="34798" spans="191:191" x14ac:dyDescent="0.2">
      <c r="GI34798" s="422"/>
    </row>
    <row r="34799" spans="191:191" x14ac:dyDescent="0.2">
      <c r="GI34799" s="422"/>
    </row>
    <row r="34800" spans="191:191" x14ac:dyDescent="0.2">
      <c r="GI34800" s="422"/>
    </row>
    <row r="34801" spans="191:191" x14ac:dyDescent="0.2">
      <c r="GI34801" s="422"/>
    </row>
    <row r="34802" spans="191:191" x14ac:dyDescent="0.2">
      <c r="GI34802" s="422"/>
    </row>
    <row r="34803" spans="191:191" x14ac:dyDescent="0.2">
      <c r="GI34803" s="422"/>
    </row>
    <row r="34804" spans="191:191" x14ac:dyDescent="0.2">
      <c r="GI34804" s="422"/>
    </row>
    <row r="34805" spans="191:191" x14ac:dyDescent="0.2">
      <c r="GI34805" s="422"/>
    </row>
    <row r="34806" spans="191:191" x14ac:dyDescent="0.2">
      <c r="GI34806" s="422"/>
    </row>
    <row r="34807" spans="191:191" x14ac:dyDescent="0.2">
      <c r="GI34807" s="422"/>
    </row>
    <row r="34808" spans="191:191" x14ac:dyDescent="0.2">
      <c r="GI34808" s="422"/>
    </row>
    <row r="34809" spans="191:191" x14ac:dyDescent="0.2">
      <c r="GI34809" s="422"/>
    </row>
    <row r="34810" spans="191:191" x14ac:dyDescent="0.2">
      <c r="GI34810" s="422"/>
    </row>
    <row r="34811" spans="191:191" x14ac:dyDescent="0.2">
      <c r="GI34811" s="422"/>
    </row>
    <row r="34812" spans="191:191" x14ac:dyDescent="0.2">
      <c r="GI34812" s="422"/>
    </row>
    <row r="34813" spans="191:191" x14ac:dyDescent="0.2">
      <c r="GI34813" s="422"/>
    </row>
    <row r="34814" spans="191:191" x14ac:dyDescent="0.2">
      <c r="GI34814" s="422"/>
    </row>
    <row r="34815" spans="191:191" x14ac:dyDescent="0.2">
      <c r="GI34815" s="422"/>
    </row>
    <row r="34816" spans="191:191" x14ac:dyDescent="0.2">
      <c r="GI34816" s="422"/>
    </row>
    <row r="34817" spans="191:191" x14ac:dyDescent="0.2">
      <c r="GI34817" s="422"/>
    </row>
    <row r="34818" spans="191:191" x14ac:dyDescent="0.2">
      <c r="GI34818" s="422"/>
    </row>
    <row r="34819" spans="191:191" x14ac:dyDescent="0.2">
      <c r="GI34819" s="422"/>
    </row>
    <row r="34820" spans="191:191" x14ac:dyDescent="0.2">
      <c r="GI34820" s="422"/>
    </row>
    <row r="34821" spans="191:191" x14ac:dyDescent="0.2">
      <c r="GI34821" s="422"/>
    </row>
    <row r="34822" spans="191:191" x14ac:dyDescent="0.2">
      <c r="GI34822" s="422"/>
    </row>
    <row r="34823" spans="191:191" x14ac:dyDescent="0.2">
      <c r="GI34823" s="422"/>
    </row>
    <row r="34824" spans="191:191" x14ac:dyDescent="0.2">
      <c r="GI34824" s="422"/>
    </row>
    <row r="34825" spans="191:191" x14ac:dyDescent="0.2">
      <c r="GI34825" s="422"/>
    </row>
    <row r="34826" spans="191:191" x14ac:dyDescent="0.2">
      <c r="GI34826" s="422"/>
    </row>
    <row r="34827" spans="191:191" x14ac:dyDescent="0.2">
      <c r="GI34827" s="422"/>
    </row>
    <row r="34828" spans="191:191" x14ac:dyDescent="0.2">
      <c r="GI34828" s="422"/>
    </row>
    <row r="34829" spans="191:191" x14ac:dyDescent="0.2">
      <c r="GI34829" s="422"/>
    </row>
    <row r="34830" spans="191:191" x14ac:dyDescent="0.2">
      <c r="GI34830" s="422"/>
    </row>
    <row r="34831" spans="191:191" x14ac:dyDescent="0.2">
      <c r="GI34831" s="422"/>
    </row>
    <row r="34832" spans="191:191" x14ac:dyDescent="0.2">
      <c r="GI34832" s="422"/>
    </row>
    <row r="34833" spans="191:191" x14ac:dyDescent="0.2">
      <c r="GI34833" s="422"/>
    </row>
    <row r="34834" spans="191:191" x14ac:dyDescent="0.2">
      <c r="GI34834" s="422"/>
    </row>
    <row r="34835" spans="191:191" x14ac:dyDescent="0.2">
      <c r="GI34835" s="422"/>
    </row>
    <row r="34836" spans="191:191" x14ac:dyDescent="0.2">
      <c r="GI34836" s="422"/>
    </row>
    <row r="34837" spans="191:191" x14ac:dyDescent="0.2">
      <c r="GI34837" s="422"/>
    </row>
    <row r="34838" spans="191:191" x14ac:dyDescent="0.2">
      <c r="GI34838" s="422"/>
    </row>
    <row r="34839" spans="191:191" x14ac:dyDescent="0.2">
      <c r="GI34839" s="422"/>
    </row>
    <row r="34840" spans="191:191" x14ac:dyDescent="0.2">
      <c r="GI34840" s="422"/>
    </row>
    <row r="34841" spans="191:191" x14ac:dyDescent="0.2">
      <c r="GI34841" s="422"/>
    </row>
    <row r="34842" spans="191:191" x14ac:dyDescent="0.2">
      <c r="GI34842" s="422"/>
    </row>
    <row r="34843" spans="191:191" x14ac:dyDescent="0.2">
      <c r="GI34843" s="422"/>
    </row>
    <row r="34844" spans="191:191" x14ac:dyDescent="0.2">
      <c r="GI34844" s="422"/>
    </row>
    <row r="34845" spans="191:191" x14ac:dyDescent="0.2">
      <c r="GI34845" s="422"/>
    </row>
    <row r="34846" spans="191:191" x14ac:dyDescent="0.2">
      <c r="GI34846" s="422"/>
    </row>
    <row r="34847" spans="191:191" x14ac:dyDescent="0.2">
      <c r="GI34847" s="422"/>
    </row>
    <row r="34848" spans="191:191" x14ac:dyDescent="0.2">
      <c r="GI34848" s="422"/>
    </row>
    <row r="34849" spans="191:191" x14ac:dyDescent="0.2">
      <c r="GI34849" s="422"/>
    </row>
    <row r="34850" spans="191:191" x14ac:dyDescent="0.2">
      <c r="GI34850" s="422"/>
    </row>
    <row r="34851" spans="191:191" x14ac:dyDescent="0.2">
      <c r="GI34851" s="422"/>
    </row>
    <row r="34852" spans="191:191" x14ac:dyDescent="0.2">
      <c r="GI34852" s="422"/>
    </row>
    <row r="34853" spans="191:191" x14ac:dyDescent="0.2">
      <c r="GI34853" s="422"/>
    </row>
    <row r="34854" spans="191:191" x14ac:dyDescent="0.2">
      <c r="GI34854" s="422"/>
    </row>
    <row r="34855" spans="191:191" x14ac:dyDescent="0.2">
      <c r="GI34855" s="422"/>
    </row>
    <row r="34856" spans="191:191" x14ac:dyDescent="0.2">
      <c r="GI34856" s="422"/>
    </row>
    <row r="34857" spans="191:191" x14ac:dyDescent="0.2">
      <c r="GI34857" s="422"/>
    </row>
    <row r="34858" spans="191:191" x14ac:dyDescent="0.2">
      <c r="GI34858" s="422"/>
    </row>
    <row r="34859" spans="191:191" x14ac:dyDescent="0.2">
      <c r="GI34859" s="422"/>
    </row>
    <row r="34860" spans="191:191" x14ac:dyDescent="0.2">
      <c r="GI34860" s="422"/>
    </row>
    <row r="34861" spans="191:191" x14ac:dyDescent="0.2">
      <c r="GI34861" s="422"/>
    </row>
    <row r="34862" spans="191:191" x14ac:dyDescent="0.2">
      <c r="GI34862" s="422"/>
    </row>
    <row r="34863" spans="191:191" x14ac:dyDescent="0.2">
      <c r="GI34863" s="422"/>
    </row>
    <row r="34864" spans="191:191" x14ac:dyDescent="0.2">
      <c r="GI34864" s="422"/>
    </row>
    <row r="34865" spans="191:191" x14ac:dyDescent="0.2">
      <c r="GI34865" s="422"/>
    </row>
    <row r="34866" spans="191:191" x14ac:dyDescent="0.2">
      <c r="GI34866" s="422"/>
    </row>
    <row r="34867" spans="191:191" x14ac:dyDescent="0.2">
      <c r="GI34867" s="422"/>
    </row>
    <row r="34868" spans="191:191" x14ac:dyDescent="0.2">
      <c r="GI34868" s="422"/>
    </row>
    <row r="34869" spans="191:191" x14ac:dyDescent="0.2">
      <c r="GI34869" s="422"/>
    </row>
    <row r="34870" spans="191:191" x14ac:dyDescent="0.2">
      <c r="GI34870" s="422"/>
    </row>
    <row r="34871" spans="191:191" x14ac:dyDescent="0.2">
      <c r="GI34871" s="422"/>
    </row>
    <row r="34872" spans="191:191" x14ac:dyDescent="0.2">
      <c r="GI34872" s="422"/>
    </row>
    <row r="34873" spans="191:191" x14ac:dyDescent="0.2">
      <c r="GI34873" s="422"/>
    </row>
    <row r="34874" spans="191:191" x14ac:dyDescent="0.2">
      <c r="GI34874" s="422"/>
    </row>
    <row r="34875" spans="191:191" x14ac:dyDescent="0.2">
      <c r="GI34875" s="422"/>
    </row>
    <row r="34876" spans="191:191" x14ac:dyDescent="0.2">
      <c r="GI34876" s="422"/>
    </row>
    <row r="34877" spans="191:191" x14ac:dyDescent="0.2">
      <c r="GI34877" s="422"/>
    </row>
    <row r="34878" spans="191:191" x14ac:dyDescent="0.2">
      <c r="GI34878" s="422"/>
    </row>
    <row r="34879" spans="191:191" x14ac:dyDescent="0.2">
      <c r="GI34879" s="422"/>
    </row>
    <row r="34880" spans="191:191" x14ac:dyDescent="0.2">
      <c r="GI34880" s="422"/>
    </row>
    <row r="34881" spans="191:191" x14ac:dyDescent="0.2">
      <c r="GI34881" s="422"/>
    </row>
    <row r="34882" spans="191:191" x14ac:dyDescent="0.2">
      <c r="GI34882" s="422"/>
    </row>
    <row r="34883" spans="191:191" x14ac:dyDescent="0.2">
      <c r="GI34883" s="422"/>
    </row>
    <row r="34884" spans="191:191" x14ac:dyDescent="0.2">
      <c r="GI34884" s="422"/>
    </row>
    <row r="34885" spans="191:191" x14ac:dyDescent="0.2">
      <c r="GI34885" s="422"/>
    </row>
    <row r="34886" spans="191:191" x14ac:dyDescent="0.2">
      <c r="GI34886" s="422"/>
    </row>
    <row r="34887" spans="191:191" x14ac:dyDescent="0.2">
      <c r="GI34887" s="422"/>
    </row>
    <row r="34888" spans="191:191" x14ac:dyDescent="0.2">
      <c r="GI34888" s="422"/>
    </row>
    <row r="34889" spans="191:191" x14ac:dyDescent="0.2">
      <c r="GI34889" s="422"/>
    </row>
    <row r="34890" spans="191:191" x14ac:dyDescent="0.2">
      <c r="GI34890" s="422"/>
    </row>
    <row r="34891" spans="191:191" x14ac:dyDescent="0.2">
      <c r="GI34891" s="422"/>
    </row>
    <row r="34892" spans="191:191" x14ac:dyDescent="0.2">
      <c r="GI34892" s="422"/>
    </row>
    <row r="34893" spans="191:191" x14ac:dyDescent="0.2">
      <c r="GI34893" s="422"/>
    </row>
    <row r="34894" spans="191:191" x14ac:dyDescent="0.2">
      <c r="GI34894" s="422"/>
    </row>
    <row r="34895" spans="191:191" x14ac:dyDescent="0.2">
      <c r="GI34895" s="422"/>
    </row>
    <row r="34896" spans="191:191" x14ac:dyDescent="0.2">
      <c r="GI34896" s="422"/>
    </row>
    <row r="34897" spans="191:191" x14ac:dyDescent="0.2">
      <c r="GI34897" s="422"/>
    </row>
    <row r="34898" spans="191:191" x14ac:dyDescent="0.2">
      <c r="GI34898" s="422"/>
    </row>
    <row r="34899" spans="191:191" x14ac:dyDescent="0.2">
      <c r="GI34899" s="422"/>
    </row>
    <row r="34900" spans="191:191" x14ac:dyDescent="0.2">
      <c r="GI34900" s="422"/>
    </row>
    <row r="34901" spans="191:191" x14ac:dyDescent="0.2">
      <c r="GI34901" s="422"/>
    </row>
    <row r="34902" spans="191:191" x14ac:dyDescent="0.2">
      <c r="GI34902" s="422"/>
    </row>
    <row r="34903" spans="191:191" x14ac:dyDescent="0.2">
      <c r="GI34903" s="422"/>
    </row>
    <row r="34904" spans="191:191" x14ac:dyDescent="0.2">
      <c r="GI34904" s="422"/>
    </row>
    <row r="34905" spans="191:191" x14ac:dyDescent="0.2">
      <c r="GI34905" s="422"/>
    </row>
    <row r="34906" spans="191:191" x14ac:dyDescent="0.2">
      <c r="GI34906" s="422"/>
    </row>
    <row r="34907" spans="191:191" x14ac:dyDescent="0.2">
      <c r="GI34907" s="422"/>
    </row>
    <row r="34908" spans="191:191" x14ac:dyDescent="0.2">
      <c r="GI34908" s="422"/>
    </row>
    <row r="34909" spans="191:191" x14ac:dyDescent="0.2">
      <c r="GI34909" s="422"/>
    </row>
    <row r="34910" spans="191:191" x14ac:dyDescent="0.2">
      <c r="GI34910" s="422"/>
    </row>
    <row r="34911" spans="191:191" x14ac:dyDescent="0.2">
      <c r="GI34911" s="422"/>
    </row>
    <row r="34912" spans="191:191" x14ac:dyDescent="0.2">
      <c r="GI34912" s="422"/>
    </row>
    <row r="34913" spans="191:191" x14ac:dyDescent="0.2">
      <c r="GI34913" s="422"/>
    </row>
    <row r="34914" spans="191:191" x14ac:dyDescent="0.2">
      <c r="GI34914" s="422"/>
    </row>
    <row r="34915" spans="191:191" x14ac:dyDescent="0.2">
      <c r="GI34915" s="422"/>
    </row>
    <row r="34916" spans="191:191" x14ac:dyDescent="0.2">
      <c r="GI34916" s="422"/>
    </row>
    <row r="34917" spans="191:191" x14ac:dyDescent="0.2">
      <c r="GI34917" s="422"/>
    </row>
    <row r="34918" spans="191:191" x14ac:dyDescent="0.2">
      <c r="GI34918" s="422"/>
    </row>
    <row r="34919" spans="191:191" x14ac:dyDescent="0.2">
      <c r="GI34919" s="422"/>
    </row>
    <row r="34920" spans="191:191" x14ac:dyDescent="0.2">
      <c r="GI34920" s="422"/>
    </row>
    <row r="34921" spans="191:191" x14ac:dyDescent="0.2">
      <c r="GI34921" s="422"/>
    </row>
    <row r="34922" spans="191:191" x14ac:dyDescent="0.2">
      <c r="GI34922" s="422"/>
    </row>
    <row r="34923" spans="191:191" x14ac:dyDescent="0.2">
      <c r="GI34923" s="422"/>
    </row>
    <row r="34924" spans="191:191" x14ac:dyDescent="0.2">
      <c r="GI34924" s="422"/>
    </row>
    <row r="34925" spans="191:191" x14ac:dyDescent="0.2">
      <c r="GI34925" s="422"/>
    </row>
    <row r="34926" spans="191:191" x14ac:dyDescent="0.2">
      <c r="GI34926" s="422"/>
    </row>
    <row r="34927" spans="191:191" x14ac:dyDescent="0.2">
      <c r="GI34927" s="422"/>
    </row>
    <row r="34928" spans="191:191" x14ac:dyDescent="0.2">
      <c r="GI34928" s="422"/>
    </row>
    <row r="34929" spans="191:191" x14ac:dyDescent="0.2">
      <c r="GI34929" s="422"/>
    </row>
    <row r="34930" spans="191:191" x14ac:dyDescent="0.2">
      <c r="GI34930" s="422"/>
    </row>
    <row r="34931" spans="191:191" x14ac:dyDescent="0.2">
      <c r="GI34931" s="422"/>
    </row>
    <row r="34932" spans="191:191" x14ac:dyDescent="0.2">
      <c r="GI34932" s="422"/>
    </row>
    <row r="34933" spans="191:191" x14ac:dyDescent="0.2">
      <c r="GI34933" s="422"/>
    </row>
    <row r="34934" spans="191:191" x14ac:dyDescent="0.2">
      <c r="GI34934" s="422"/>
    </row>
    <row r="34935" spans="191:191" x14ac:dyDescent="0.2">
      <c r="GI34935" s="422"/>
    </row>
    <row r="34936" spans="191:191" x14ac:dyDescent="0.2">
      <c r="GI34936" s="422"/>
    </row>
    <row r="34937" spans="191:191" x14ac:dyDescent="0.2">
      <c r="GI34937" s="422"/>
    </row>
    <row r="34938" spans="191:191" x14ac:dyDescent="0.2">
      <c r="GI34938" s="422"/>
    </row>
    <row r="34939" spans="191:191" x14ac:dyDescent="0.2">
      <c r="GI34939" s="422"/>
    </row>
    <row r="34940" spans="191:191" x14ac:dyDescent="0.2">
      <c r="GI34940" s="422"/>
    </row>
    <row r="34941" spans="191:191" x14ac:dyDescent="0.2">
      <c r="GI34941" s="422"/>
    </row>
    <row r="34942" spans="191:191" x14ac:dyDescent="0.2">
      <c r="GI34942" s="422"/>
    </row>
    <row r="34943" spans="191:191" x14ac:dyDescent="0.2">
      <c r="GI34943" s="422"/>
    </row>
    <row r="34944" spans="191:191" x14ac:dyDescent="0.2">
      <c r="GI34944" s="422"/>
    </row>
    <row r="34945" spans="191:191" x14ac:dyDescent="0.2">
      <c r="GI34945" s="422"/>
    </row>
    <row r="34946" spans="191:191" x14ac:dyDescent="0.2">
      <c r="GI34946" s="422"/>
    </row>
    <row r="34947" spans="191:191" x14ac:dyDescent="0.2">
      <c r="GI34947" s="422"/>
    </row>
    <row r="34948" spans="191:191" x14ac:dyDescent="0.2">
      <c r="GI34948" s="422"/>
    </row>
    <row r="34949" spans="191:191" x14ac:dyDescent="0.2">
      <c r="GI34949" s="422"/>
    </row>
    <row r="34950" spans="191:191" x14ac:dyDescent="0.2">
      <c r="GI34950" s="422"/>
    </row>
    <row r="34951" spans="191:191" x14ac:dyDescent="0.2">
      <c r="GI34951" s="422"/>
    </row>
    <row r="34952" spans="191:191" x14ac:dyDescent="0.2">
      <c r="GI34952" s="422"/>
    </row>
    <row r="34953" spans="191:191" x14ac:dyDescent="0.2">
      <c r="GI34953" s="422"/>
    </row>
    <row r="34954" spans="191:191" x14ac:dyDescent="0.2">
      <c r="GI34954" s="422"/>
    </row>
    <row r="34955" spans="191:191" x14ac:dyDescent="0.2">
      <c r="GI34955" s="422"/>
    </row>
    <row r="34956" spans="191:191" x14ac:dyDescent="0.2">
      <c r="GI34956" s="422"/>
    </row>
    <row r="34957" spans="191:191" x14ac:dyDescent="0.2">
      <c r="GI34957" s="422"/>
    </row>
    <row r="34958" spans="191:191" x14ac:dyDescent="0.2">
      <c r="GI34958" s="422"/>
    </row>
    <row r="34959" spans="191:191" x14ac:dyDescent="0.2">
      <c r="GI34959" s="422"/>
    </row>
    <row r="34960" spans="191:191" x14ac:dyDescent="0.2">
      <c r="GI34960" s="422"/>
    </row>
    <row r="34961" spans="191:191" x14ac:dyDescent="0.2">
      <c r="GI34961" s="422"/>
    </row>
    <row r="34962" spans="191:191" x14ac:dyDescent="0.2">
      <c r="GI34962" s="422"/>
    </row>
    <row r="34963" spans="191:191" x14ac:dyDescent="0.2">
      <c r="GI34963" s="422"/>
    </row>
    <row r="34964" spans="191:191" x14ac:dyDescent="0.2">
      <c r="GI34964" s="422"/>
    </row>
    <row r="34965" spans="191:191" x14ac:dyDescent="0.2">
      <c r="GI34965" s="422"/>
    </row>
    <row r="34966" spans="191:191" x14ac:dyDescent="0.2">
      <c r="GI34966" s="422"/>
    </row>
    <row r="34967" spans="191:191" x14ac:dyDescent="0.2">
      <c r="GI34967" s="422"/>
    </row>
    <row r="34968" spans="191:191" x14ac:dyDescent="0.2">
      <c r="GI34968" s="422"/>
    </row>
    <row r="34969" spans="191:191" x14ac:dyDescent="0.2">
      <c r="GI34969" s="422"/>
    </row>
    <row r="34970" spans="191:191" x14ac:dyDescent="0.2">
      <c r="GI34970" s="422"/>
    </row>
    <row r="34971" spans="191:191" x14ac:dyDescent="0.2">
      <c r="GI34971" s="422"/>
    </row>
    <row r="34972" spans="191:191" x14ac:dyDescent="0.2">
      <c r="GI34972" s="422"/>
    </row>
    <row r="34973" spans="191:191" x14ac:dyDescent="0.2">
      <c r="GI34973" s="422"/>
    </row>
    <row r="34974" spans="191:191" x14ac:dyDescent="0.2">
      <c r="GI34974" s="422"/>
    </row>
    <row r="34975" spans="191:191" x14ac:dyDescent="0.2">
      <c r="GI34975" s="422"/>
    </row>
    <row r="34976" spans="191:191" x14ac:dyDescent="0.2">
      <c r="GI34976" s="422"/>
    </row>
    <row r="34977" spans="191:191" x14ac:dyDescent="0.2">
      <c r="GI34977" s="422"/>
    </row>
    <row r="34978" spans="191:191" x14ac:dyDescent="0.2">
      <c r="GI34978" s="422"/>
    </row>
    <row r="34979" spans="191:191" x14ac:dyDescent="0.2">
      <c r="GI34979" s="422"/>
    </row>
    <row r="34980" spans="191:191" x14ac:dyDescent="0.2">
      <c r="GI34980" s="422"/>
    </row>
    <row r="34981" spans="191:191" x14ac:dyDescent="0.2">
      <c r="GI34981" s="422"/>
    </row>
    <row r="34982" spans="191:191" x14ac:dyDescent="0.2">
      <c r="GI34982" s="422"/>
    </row>
    <row r="34983" spans="191:191" x14ac:dyDescent="0.2">
      <c r="GI34983" s="422"/>
    </row>
    <row r="34984" spans="191:191" x14ac:dyDescent="0.2">
      <c r="GI34984" s="422"/>
    </row>
    <row r="34985" spans="191:191" x14ac:dyDescent="0.2">
      <c r="GI34985" s="422"/>
    </row>
    <row r="34986" spans="191:191" x14ac:dyDescent="0.2">
      <c r="GI34986" s="422"/>
    </row>
    <row r="34987" spans="191:191" x14ac:dyDescent="0.2">
      <c r="GI34987" s="422"/>
    </row>
    <row r="34988" spans="191:191" x14ac:dyDescent="0.2">
      <c r="GI34988" s="422"/>
    </row>
    <row r="34989" spans="191:191" x14ac:dyDescent="0.2">
      <c r="GI34989" s="422"/>
    </row>
    <row r="34990" spans="191:191" x14ac:dyDescent="0.2">
      <c r="GI34990" s="422"/>
    </row>
    <row r="34991" spans="191:191" x14ac:dyDescent="0.2">
      <c r="GI34991" s="422"/>
    </row>
    <row r="34992" spans="191:191" x14ac:dyDescent="0.2">
      <c r="GI34992" s="422"/>
    </row>
    <row r="34993" spans="191:191" x14ac:dyDescent="0.2">
      <c r="GI34993" s="422"/>
    </row>
    <row r="34994" spans="191:191" x14ac:dyDescent="0.2">
      <c r="GI34994" s="422"/>
    </row>
    <row r="34995" spans="191:191" x14ac:dyDescent="0.2">
      <c r="GI34995" s="422"/>
    </row>
    <row r="34996" spans="191:191" x14ac:dyDescent="0.2">
      <c r="GI34996" s="422"/>
    </row>
    <row r="34997" spans="191:191" x14ac:dyDescent="0.2">
      <c r="GI34997" s="422"/>
    </row>
    <row r="34998" spans="191:191" x14ac:dyDescent="0.2">
      <c r="GI34998" s="422"/>
    </row>
    <row r="34999" spans="191:191" x14ac:dyDescent="0.2">
      <c r="GI34999" s="422"/>
    </row>
    <row r="35000" spans="191:191" x14ac:dyDescent="0.2">
      <c r="GI35000" s="422"/>
    </row>
    <row r="35001" spans="191:191" x14ac:dyDescent="0.2">
      <c r="GI35001" s="422"/>
    </row>
    <row r="35002" spans="191:191" x14ac:dyDescent="0.2">
      <c r="GI35002" s="422"/>
    </row>
    <row r="35003" spans="191:191" x14ac:dyDescent="0.2">
      <c r="GI35003" s="422"/>
    </row>
    <row r="35004" spans="191:191" x14ac:dyDescent="0.2">
      <c r="GI35004" s="422"/>
    </row>
    <row r="35005" spans="191:191" x14ac:dyDescent="0.2">
      <c r="GI35005" s="422"/>
    </row>
    <row r="35006" spans="191:191" x14ac:dyDescent="0.2">
      <c r="GI35006" s="422"/>
    </row>
    <row r="35007" spans="191:191" x14ac:dyDescent="0.2">
      <c r="GI35007" s="422"/>
    </row>
    <row r="35008" spans="191:191" x14ac:dyDescent="0.2">
      <c r="GI35008" s="422"/>
    </row>
    <row r="35009" spans="191:191" x14ac:dyDescent="0.2">
      <c r="GI35009" s="422"/>
    </row>
    <row r="35010" spans="191:191" x14ac:dyDescent="0.2">
      <c r="GI35010" s="422"/>
    </row>
    <row r="35011" spans="191:191" x14ac:dyDescent="0.2">
      <c r="GI35011" s="422"/>
    </row>
    <row r="35012" spans="191:191" x14ac:dyDescent="0.2">
      <c r="GI35012" s="422"/>
    </row>
    <row r="35013" spans="191:191" x14ac:dyDescent="0.2">
      <c r="GI35013" s="422"/>
    </row>
    <row r="35014" spans="191:191" x14ac:dyDescent="0.2">
      <c r="GI35014" s="422"/>
    </row>
    <row r="35015" spans="191:191" x14ac:dyDescent="0.2">
      <c r="GI35015" s="422"/>
    </row>
    <row r="35016" spans="191:191" x14ac:dyDescent="0.2">
      <c r="GI35016" s="422"/>
    </row>
    <row r="35017" spans="191:191" x14ac:dyDescent="0.2">
      <c r="GI35017" s="422"/>
    </row>
    <row r="35018" spans="191:191" x14ac:dyDescent="0.2">
      <c r="GI35018" s="422"/>
    </row>
    <row r="35019" spans="191:191" x14ac:dyDescent="0.2">
      <c r="GI35019" s="422"/>
    </row>
    <row r="35020" spans="191:191" x14ac:dyDescent="0.2">
      <c r="GI35020" s="422"/>
    </row>
    <row r="35021" spans="191:191" x14ac:dyDescent="0.2">
      <c r="GI35021" s="422"/>
    </row>
    <row r="35022" spans="191:191" x14ac:dyDescent="0.2">
      <c r="GI35022" s="422"/>
    </row>
    <row r="35023" spans="191:191" x14ac:dyDescent="0.2">
      <c r="GI35023" s="422"/>
    </row>
    <row r="35024" spans="191:191" x14ac:dyDescent="0.2">
      <c r="GI35024" s="422"/>
    </row>
    <row r="35025" spans="191:191" x14ac:dyDescent="0.2">
      <c r="GI35025" s="422"/>
    </row>
    <row r="35026" spans="191:191" x14ac:dyDescent="0.2">
      <c r="GI35026" s="422"/>
    </row>
    <row r="35027" spans="191:191" x14ac:dyDescent="0.2">
      <c r="GI35027" s="422"/>
    </row>
    <row r="35028" spans="191:191" x14ac:dyDescent="0.2">
      <c r="GI35028" s="422"/>
    </row>
    <row r="35029" spans="191:191" x14ac:dyDescent="0.2">
      <c r="GI35029" s="422"/>
    </row>
    <row r="35030" spans="191:191" x14ac:dyDescent="0.2">
      <c r="GI35030" s="422"/>
    </row>
    <row r="35031" spans="191:191" x14ac:dyDescent="0.2">
      <c r="GI35031" s="422"/>
    </row>
    <row r="35032" spans="191:191" x14ac:dyDescent="0.2">
      <c r="GI35032" s="422"/>
    </row>
    <row r="35033" spans="191:191" x14ac:dyDescent="0.2">
      <c r="GI35033" s="422"/>
    </row>
    <row r="35034" spans="191:191" x14ac:dyDescent="0.2">
      <c r="GI35034" s="422"/>
    </row>
    <row r="35035" spans="191:191" x14ac:dyDescent="0.2">
      <c r="GI35035" s="422"/>
    </row>
    <row r="35036" spans="191:191" x14ac:dyDescent="0.2">
      <c r="GI35036" s="422"/>
    </row>
    <row r="35037" spans="191:191" x14ac:dyDescent="0.2">
      <c r="GI35037" s="422"/>
    </row>
    <row r="35038" spans="191:191" x14ac:dyDescent="0.2">
      <c r="GI35038" s="422"/>
    </row>
    <row r="35039" spans="191:191" x14ac:dyDescent="0.2">
      <c r="GI35039" s="422"/>
    </row>
    <row r="35040" spans="191:191" x14ac:dyDescent="0.2">
      <c r="GI35040" s="422"/>
    </row>
    <row r="35041" spans="191:191" x14ac:dyDescent="0.2">
      <c r="GI35041" s="422"/>
    </row>
    <row r="35042" spans="191:191" x14ac:dyDescent="0.2">
      <c r="GI35042" s="422"/>
    </row>
    <row r="35043" spans="191:191" x14ac:dyDescent="0.2">
      <c r="GI35043" s="422"/>
    </row>
    <row r="35044" spans="191:191" x14ac:dyDescent="0.2">
      <c r="GI35044" s="422"/>
    </row>
    <row r="35045" spans="191:191" x14ac:dyDescent="0.2">
      <c r="GI35045" s="422"/>
    </row>
    <row r="35046" spans="191:191" x14ac:dyDescent="0.2">
      <c r="GI35046" s="422"/>
    </row>
    <row r="35047" spans="191:191" x14ac:dyDescent="0.2">
      <c r="GI35047" s="422"/>
    </row>
    <row r="35048" spans="191:191" x14ac:dyDescent="0.2">
      <c r="GI35048" s="422"/>
    </row>
    <row r="35049" spans="191:191" x14ac:dyDescent="0.2">
      <c r="GI35049" s="422"/>
    </row>
    <row r="35050" spans="191:191" x14ac:dyDescent="0.2">
      <c r="GI35050" s="422"/>
    </row>
    <row r="35051" spans="191:191" x14ac:dyDescent="0.2">
      <c r="GI35051" s="422"/>
    </row>
    <row r="35052" spans="191:191" x14ac:dyDescent="0.2">
      <c r="GI35052" s="422"/>
    </row>
    <row r="35053" spans="191:191" x14ac:dyDescent="0.2">
      <c r="GI35053" s="422"/>
    </row>
    <row r="35054" spans="191:191" x14ac:dyDescent="0.2">
      <c r="GI35054" s="422"/>
    </row>
    <row r="35055" spans="191:191" x14ac:dyDescent="0.2">
      <c r="GI35055" s="422"/>
    </row>
    <row r="35056" spans="191:191" x14ac:dyDescent="0.2">
      <c r="GI35056" s="422"/>
    </row>
    <row r="35057" spans="191:191" x14ac:dyDescent="0.2">
      <c r="GI35057" s="422"/>
    </row>
    <row r="35058" spans="191:191" x14ac:dyDescent="0.2">
      <c r="GI35058" s="422"/>
    </row>
    <row r="35059" spans="191:191" x14ac:dyDescent="0.2">
      <c r="GI35059" s="422"/>
    </row>
    <row r="35060" spans="191:191" x14ac:dyDescent="0.2">
      <c r="GI35060" s="422"/>
    </row>
    <row r="35061" spans="191:191" x14ac:dyDescent="0.2">
      <c r="GI35061" s="422"/>
    </row>
    <row r="35062" spans="191:191" x14ac:dyDescent="0.2">
      <c r="GI35062" s="422"/>
    </row>
    <row r="35063" spans="191:191" x14ac:dyDescent="0.2">
      <c r="GI35063" s="422"/>
    </row>
    <row r="35064" spans="191:191" x14ac:dyDescent="0.2">
      <c r="GI35064" s="422"/>
    </row>
    <row r="35065" spans="191:191" x14ac:dyDescent="0.2">
      <c r="GI35065" s="422"/>
    </row>
    <row r="35066" spans="191:191" x14ac:dyDescent="0.2">
      <c r="GI35066" s="422"/>
    </row>
    <row r="35067" spans="191:191" x14ac:dyDescent="0.2">
      <c r="GI35067" s="422"/>
    </row>
    <row r="35068" spans="191:191" x14ac:dyDescent="0.2">
      <c r="GI35068" s="422"/>
    </row>
    <row r="35069" spans="191:191" x14ac:dyDescent="0.2">
      <c r="GI35069" s="422"/>
    </row>
    <row r="35070" spans="191:191" x14ac:dyDescent="0.2">
      <c r="GI35070" s="422"/>
    </row>
    <row r="35071" spans="191:191" x14ac:dyDescent="0.2">
      <c r="GI35071" s="422"/>
    </row>
    <row r="35072" spans="191:191" x14ac:dyDescent="0.2">
      <c r="GI35072" s="422"/>
    </row>
    <row r="35073" spans="191:191" x14ac:dyDescent="0.2">
      <c r="GI35073" s="422"/>
    </row>
    <row r="35074" spans="191:191" x14ac:dyDescent="0.2">
      <c r="GI35074" s="422"/>
    </row>
    <row r="35075" spans="191:191" x14ac:dyDescent="0.2">
      <c r="GI35075" s="422"/>
    </row>
    <row r="35076" spans="191:191" x14ac:dyDescent="0.2">
      <c r="GI35076" s="422"/>
    </row>
    <row r="35077" spans="191:191" x14ac:dyDescent="0.2">
      <c r="GI35077" s="422"/>
    </row>
    <row r="35078" spans="191:191" x14ac:dyDescent="0.2">
      <c r="GI35078" s="422"/>
    </row>
    <row r="35079" spans="191:191" x14ac:dyDescent="0.2">
      <c r="GI35079" s="422"/>
    </row>
    <row r="35080" spans="191:191" x14ac:dyDescent="0.2">
      <c r="GI35080" s="422"/>
    </row>
    <row r="35081" spans="191:191" x14ac:dyDescent="0.2">
      <c r="GI35081" s="422"/>
    </row>
    <row r="35082" spans="191:191" x14ac:dyDescent="0.2">
      <c r="GI35082" s="422"/>
    </row>
    <row r="35083" spans="191:191" x14ac:dyDescent="0.2">
      <c r="GI35083" s="422"/>
    </row>
    <row r="35084" spans="191:191" x14ac:dyDescent="0.2">
      <c r="GI35084" s="422"/>
    </row>
    <row r="35085" spans="191:191" x14ac:dyDescent="0.2">
      <c r="GI35085" s="422"/>
    </row>
    <row r="35086" spans="191:191" x14ac:dyDescent="0.2">
      <c r="GI35086" s="422"/>
    </row>
    <row r="35087" spans="191:191" x14ac:dyDescent="0.2">
      <c r="GI35087" s="422"/>
    </row>
    <row r="35088" spans="191:191" x14ac:dyDescent="0.2">
      <c r="GI35088" s="422"/>
    </row>
    <row r="35089" spans="191:191" x14ac:dyDescent="0.2">
      <c r="GI35089" s="422"/>
    </row>
    <row r="35090" spans="191:191" x14ac:dyDescent="0.2">
      <c r="GI35090" s="422"/>
    </row>
    <row r="35091" spans="191:191" x14ac:dyDescent="0.2">
      <c r="GI35091" s="422"/>
    </row>
    <row r="35092" spans="191:191" x14ac:dyDescent="0.2">
      <c r="GI35092" s="422"/>
    </row>
    <row r="35093" spans="191:191" x14ac:dyDescent="0.2">
      <c r="GI35093" s="422"/>
    </row>
    <row r="35094" spans="191:191" x14ac:dyDescent="0.2">
      <c r="GI35094" s="422"/>
    </row>
    <row r="35095" spans="191:191" x14ac:dyDescent="0.2">
      <c r="GI35095" s="422"/>
    </row>
    <row r="35096" spans="191:191" x14ac:dyDescent="0.2">
      <c r="GI35096" s="422"/>
    </row>
    <row r="35097" spans="191:191" x14ac:dyDescent="0.2">
      <c r="GI35097" s="422"/>
    </row>
    <row r="35098" spans="191:191" x14ac:dyDescent="0.2">
      <c r="GI35098" s="422"/>
    </row>
    <row r="35099" spans="191:191" x14ac:dyDescent="0.2">
      <c r="GI35099" s="422"/>
    </row>
    <row r="35100" spans="191:191" x14ac:dyDescent="0.2">
      <c r="GI35100" s="422"/>
    </row>
    <row r="35101" spans="191:191" x14ac:dyDescent="0.2">
      <c r="GI35101" s="422"/>
    </row>
    <row r="35102" spans="191:191" x14ac:dyDescent="0.2">
      <c r="GI35102" s="422"/>
    </row>
    <row r="35103" spans="191:191" x14ac:dyDescent="0.2">
      <c r="GI35103" s="422"/>
    </row>
    <row r="35104" spans="191:191" x14ac:dyDescent="0.2">
      <c r="GI35104" s="422"/>
    </row>
    <row r="35105" spans="191:191" x14ac:dyDescent="0.2">
      <c r="GI35105" s="422"/>
    </row>
    <row r="35106" spans="191:191" x14ac:dyDescent="0.2">
      <c r="GI35106" s="422"/>
    </row>
    <row r="35107" spans="191:191" x14ac:dyDescent="0.2">
      <c r="GI35107" s="422"/>
    </row>
    <row r="35108" spans="191:191" x14ac:dyDescent="0.2">
      <c r="GI35108" s="422"/>
    </row>
    <row r="35109" spans="191:191" x14ac:dyDescent="0.2">
      <c r="GI35109" s="422"/>
    </row>
    <row r="35110" spans="191:191" x14ac:dyDescent="0.2">
      <c r="GI35110" s="422"/>
    </row>
    <row r="35111" spans="191:191" x14ac:dyDescent="0.2">
      <c r="GI35111" s="422"/>
    </row>
    <row r="35112" spans="191:191" x14ac:dyDescent="0.2">
      <c r="GI35112" s="422"/>
    </row>
    <row r="35113" spans="191:191" x14ac:dyDescent="0.2">
      <c r="GI35113" s="422"/>
    </row>
    <row r="35114" spans="191:191" x14ac:dyDescent="0.2">
      <c r="GI35114" s="422"/>
    </row>
    <row r="35115" spans="191:191" x14ac:dyDescent="0.2">
      <c r="GI35115" s="422"/>
    </row>
    <row r="35116" spans="191:191" x14ac:dyDescent="0.2">
      <c r="GI35116" s="422"/>
    </row>
    <row r="35117" spans="191:191" x14ac:dyDescent="0.2">
      <c r="GI35117" s="422"/>
    </row>
    <row r="35118" spans="191:191" x14ac:dyDescent="0.2">
      <c r="GI35118" s="422"/>
    </row>
    <row r="35119" spans="191:191" x14ac:dyDescent="0.2">
      <c r="GI35119" s="422"/>
    </row>
    <row r="35120" spans="191:191" x14ac:dyDescent="0.2">
      <c r="GI35120" s="422"/>
    </row>
    <row r="35121" spans="191:191" x14ac:dyDescent="0.2">
      <c r="GI35121" s="422"/>
    </row>
    <row r="35122" spans="191:191" x14ac:dyDescent="0.2">
      <c r="GI35122" s="422"/>
    </row>
    <row r="35123" spans="191:191" x14ac:dyDescent="0.2">
      <c r="GI35123" s="422"/>
    </row>
    <row r="35124" spans="191:191" x14ac:dyDescent="0.2">
      <c r="GI35124" s="422"/>
    </row>
    <row r="35125" spans="191:191" x14ac:dyDescent="0.2">
      <c r="GI35125" s="422"/>
    </row>
    <row r="35126" spans="191:191" x14ac:dyDescent="0.2">
      <c r="GI35126" s="422"/>
    </row>
    <row r="35127" spans="191:191" x14ac:dyDescent="0.2">
      <c r="GI35127" s="422"/>
    </row>
    <row r="35128" spans="191:191" x14ac:dyDescent="0.2">
      <c r="GI35128" s="422"/>
    </row>
    <row r="35129" spans="191:191" x14ac:dyDescent="0.2">
      <c r="GI35129" s="422"/>
    </row>
    <row r="35130" spans="191:191" x14ac:dyDescent="0.2">
      <c r="GI35130" s="422"/>
    </row>
    <row r="35131" spans="191:191" x14ac:dyDescent="0.2">
      <c r="GI35131" s="422"/>
    </row>
    <row r="35132" spans="191:191" x14ac:dyDescent="0.2">
      <c r="GI35132" s="422"/>
    </row>
    <row r="35133" spans="191:191" x14ac:dyDescent="0.2">
      <c r="GI35133" s="422"/>
    </row>
    <row r="35134" spans="191:191" x14ac:dyDescent="0.2">
      <c r="GI35134" s="422"/>
    </row>
    <row r="35135" spans="191:191" x14ac:dyDescent="0.2">
      <c r="GI35135" s="422"/>
    </row>
    <row r="35136" spans="191:191" x14ac:dyDescent="0.2">
      <c r="GI35136" s="422"/>
    </row>
    <row r="35137" spans="191:191" x14ac:dyDescent="0.2">
      <c r="GI35137" s="422"/>
    </row>
    <row r="35138" spans="191:191" x14ac:dyDescent="0.2">
      <c r="GI35138" s="422"/>
    </row>
    <row r="35139" spans="191:191" x14ac:dyDescent="0.2">
      <c r="GI35139" s="422"/>
    </row>
    <row r="35140" spans="191:191" x14ac:dyDescent="0.2">
      <c r="GI35140" s="422"/>
    </row>
    <row r="35141" spans="191:191" x14ac:dyDescent="0.2">
      <c r="GI35141" s="422"/>
    </row>
    <row r="35142" spans="191:191" x14ac:dyDescent="0.2">
      <c r="GI35142" s="422"/>
    </row>
    <row r="35143" spans="191:191" x14ac:dyDescent="0.2">
      <c r="GI35143" s="422"/>
    </row>
    <row r="35144" spans="191:191" x14ac:dyDescent="0.2">
      <c r="GI35144" s="422"/>
    </row>
    <row r="35145" spans="191:191" x14ac:dyDescent="0.2">
      <c r="GI35145" s="422"/>
    </row>
    <row r="35146" spans="191:191" x14ac:dyDescent="0.2">
      <c r="GI35146" s="422"/>
    </row>
    <row r="35147" spans="191:191" x14ac:dyDescent="0.2">
      <c r="GI35147" s="422"/>
    </row>
    <row r="35148" spans="191:191" x14ac:dyDescent="0.2">
      <c r="GI35148" s="422"/>
    </row>
    <row r="35149" spans="191:191" x14ac:dyDescent="0.2">
      <c r="GI35149" s="422"/>
    </row>
    <row r="35150" spans="191:191" x14ac:dyDescent="0.2">
      <c r="GI35150" s="422"/>
    </row>
    <row r="35151" spans="191:191" x14ac:dyDescent="0.2">
      <c r="GI35151" s="422"/>
    </row>
    <row r="35152" spans="191:191" x14ac:dyDescent="0.2">
      <c r="GI35152" s="422"/>
    </row>
    <row r="35153" spans="191:191" x14ac:dyDescent="0.2">
      <c r="GI35153" s="422"/>
    </row>
    <row r="35154" spans="191:191" x14ac:dyDescent="0.2">
      <c r="GI35154" s="422"/>
    </row>
    <row r="35155" spans="191:191" x14ac:dyDescent="0.2">
      <c r="GI35155" s="422"/>
    </row>
    <row r="35156" spans="191:191" x14ac:dyDescent="0.2">
      <c r="GI35156" s="422"/>
    </row>
    <row r="35157" spans="191:191" x14ac:dyDescent="0.2">
      <c r="GI35157" s="422"/>
    </row>
    <row r="35158" spans="191:191" x14ac:dyDescent="0.2">
      <c r="GI35158" s="422"/>
    </row>
    <row r="35159" spans="191:191" x14ac:dyDescent="0.2">
      <c r="GI35159" s="422"/>
    </row>
    <row r="35160" spans="191:191" x14ac:dyDescent="0.2">
      <c r="GI35160" s="422"/>
    </row>
    <row r="35161" spans="191:191" x14ac:dyDescent="0.2">
      <c r="GI35161" s="422"/>
    </row>
    <row r="35162" spans="191:191" x14ac:dyDescent="0.2">
      <c r="GI35162" s="422"/>
    </row>
    <row r="35163" spans="191:191" x14ac:dyDescent="0.2">
      <c r="GI35163" s="422"/>
    </row>
    <row r="35164" spans="191:191" x14ac:dyDescent="0.2">
      <c r="GI35164" s="422"/>
    </row>
    <row r="35165" spans="191:191" x14ac:dyDescent="0.2">
      <c r="GI35165" s="422"/>
    </row>
    <row r="35166" spans="191:191" x14ac:dyDescent="0.2">
      <c r="GI35166" s="422"/>
    </row>
    <row r="35167" spans="191:191" x14ac:dyDescent="0.2">
      <c r="GI35167" s="422"/>
    </row>
    <row r="35168" spans="191:191" x14ac:dyDescent="0.2">
      <c r="GI35168" s="422"/>
    </row>
    <row r="35169" spans="191:191" x14ac:dyDescent="0.2">
      <c r="GI35169" s="422"/>
    </row>
    <row r="35170" spans="191:191" x14ac:dyDescent="0.2">
      <c r="GI35170" s="422"/>
    </row>
    <row r="35171" spans="191:191" x14ac:dyDescent="0.2">
      <c r="GI35171" s="422"/>
    </row>
    <row r="35172" spans="191:191" x14ac:dyDescent="0.2">
      <c r="GI35172" s="422"/>
    </row>
    <row r="35173" spans="191:191" x14ac:dyDescent="0.2">
      <c r="GI35173" s="422"/>
    </row>
    <row r="35174" spans="191:191" x14ac:dyDescent="0.2">
      <c r="GI35174" s="422"/>
    </row>
    <row r="35175" spans="191:191" x14ac:dyDescent="0.2">
      <c r="GI35175" s="422"/>
    </row>
    <row r="35176" spans="191:191" x14ac:dyDescent="0.2">
      <c r="GI35176" s="422"/>
    </row>
    <row r="35177" spans="191:191" x14ac:dyDescent="0.2">
      <c r="GI35177" s="422"/>
    </row>
    <row r="35178" spans="191:191" x14ac:dyDescent="0.2">
      <c r="GI35178" s="422"/>
    </row>
    <row r="35179" spans="191:191" x14ac:dyDescent="0.2">
      <c r="GI35179" s="422"/>
    </row>
    <row r="35180" spans="191:191" x14ac:dyDescent="0.2">
      <c r="GI35180" s="422"/>
    </row>
    <row r="35181" spans="191:191" x14ac:dyDescent="0.2">
      <c r="GI35181" s="422"/>
    </row>
    <row r="35182" spans="191:191" x14ac:dyDescent="0.2">
      <c r="GI35182" s="422"/>
    </row>
    <row r="35183" spans="191:191" x14ac:dyDescent="0.2">
      <c r="GI35183" s="422"/>
    </row>
    <row r="35184" spans="191:191" x14ac:dyDescent="0.2">
      <c r="GI35184" s="422"/>
    </row>
    <row r="35185" spans="191:191" x14ac:dyDescent="0.2">
      <c r="GI35185" s="422"/>
    </row>
    <row r="35186" spans="191:191" x14ac:dyDescent="0.2">
      <c r="GI35186" s="422"/>
    </row>
    <row r="35187" spans="191:191" x14ac:dyDescent="0.2">
      <c r="GI35187" s="422"/>
    </row>
    <row r="35188" spans="191:191" x14ac:dyDescent="0.2">
      <c r="GI35188" s="422"/>
    </row>
    <row r="35189" spans="191:191" x14ac:dyDescent="0.2">
      <c r="GI35189" s="422"/>
    </row>
    <row r="35190" spans="191:191" x14ac:dyDescent="0.2">
      <c r="GI35190" s="422"/>
    </row>
    <row r="35191" spans="191:191" x14ac:dyDescent="0.2">
      <c r="GI35191" s="422"/>
    </row>
    <row r="35192" spans="191:191" x14ac:dyDescent="0.2">
      <c r="GI35192" s="422"/>
    </row>
    <row r="35193" spans="191:191" x14ac:dyDescent="0.2">
      <c r="GI35193" s="422"/>
    </row>
    <row r="35194" spans="191:191" x14ac:dyDescent="0.2">
      <c r="GI35194" s="422"/>
    </row>
    <row r="35195" spans="191:191" x14ac:dyDescent="0.2">
      <c r="GI35195" s="422"/>
    </row>
    <row r="35196" spans="191:191" x14ac:dyDescent="0.2">
      <c r="GI35196" s="422"/>
    </row>
    <row r="35197" spans="191:191" x14ac:dyDescent="0.2">
      <c r="GI35197" s="422"/>
    </row>
    <row r="35198" spans="191:191" x14ac:dyDescent="0.2">
      <c r="GI35198" s="422"/>
    </row>
    <row r="35199" spans="191:191" x14ac:dyDescent="0.2">
      <c r="GI35199" s="422"/>
    </row>
    <row r="35200" spans="191:191" x14ac:dyDescent="0.2">
      <c r="GI35200" s="422"/>
    </row>
    <row r="35201" spans="191:191" x14ac:dyDescent="0.2">
      <c r="GI35201" s="422"/>
    </row>
    <row r="35202" spans="191:191" x14ac:dyDescent="0.2">
      <c r="GI35202" s="422"/>
    </row>
    <row r="35203" spans="191:191" x14ac:dyDescent="0.2">
      <c r="GI35203" s="422"/>
    </row>
    <row r="35204" spans="191:191" x14ac:dyDescent="0.2">
      <c r="GI35204" s="422"/>
    </row>
    <row r="35205" spans="191:191" x14ac:dyDescent="0.2">
      <c r="GI35205" s="422"/>
    </row>
    <row r="35206" spans="191:191" x14ac:dyDescent="0.2">
      <c r="GI35206" s="422"/>
    </row>
    <row r="35207" spans="191:191" x14ac:dyDescent="0.2">
      <c r="GI35207" s="422"/>
    </row>
    <row r="35208" spans="191:191" x14ac:dyDescent="0.2">
      <c r="GI35208" s="422"/>
    </row>
    <row r="35209" spans="191:191" x14ac:dyDescent="0.2">
      <c r="GI35209" s="422"/>
    </row>
    <row r="35210" spans="191:191" x14ac:dyDescent="0.2">
      <c r="GI35210" s="422"/>
    </row>
    <row r="35211" spans="191:191" x14ac:dyDescent="0.2">
      <c r="GI35211" s="422"/>
    </row>
    <row r="35212" spans="191:191" x14ac:dyDescent="0.2">
      <c r="GI35212" s="422"/>
    </row>
    <row r="35213" spans="191:191" x14ac:dyDescent="0.2">
      <c r="GI35213" s="422"/>
    </row>
    <row r="35214" spans="191:191" x14ac:dyDescent="0.2">
      <c r="GI35214" s="422"/>
    </row>
    <row r="35215" spans="191:191" x14ac:dyDescent="0.2">
      <c r="GI35215" s="422"/>
    </row>
    <row r="35216" spans="191:191" x14ac:dyDescent="0.2">
      <c r="GI35216" s="422"/>
    </row>
    <row r="35217" spans="191:191" x14ac:dyDescent="0.2">
      <c r="GI35217" s="422"/>
    </row>
    <row r="35218" spans="191:191" x14ac:dyDescent="0.2">
      <c r="GI35218" s="422"/>
    </row>
    <row r="35219" spans="191:191" x14ac:dyDescent="0.2">
      <c r="GI35219" s="422"/>
    </row>
    <row r="35220" spans="191:191" x14ac:dyDescent="0.2">
      <c r="GI35220" s="422"/>
    </row>
    <row r="35221" spans="191:191" x14ac:dyDescent="0.2">
      <c r="GI35221" s="422"/>
    </row>
    <row r="35222" spans="191:191" x14ac:dyDescent="0.2">
      <c r="GI35222" s="422"/>
    </row>
    <row r="35223" spans="191:191" x14ac:dyDescent="0.2">
      <c r="GI35223" s="422"/>
    </row>
    <row r="35224" spans="191:191" x14ac:dyDescent="0.2">
      <c r="GI35224" s="422"/>
    </row>
    <row r="35225" spans="191:191" x14ac:dyDescent="0.2">
      <c r="GI35225" s="422"/>
    </row>
    <row r="35226" spans="191:191" x14ac:dyDescent="0.2">
      <c r="GI35226" s="422"/>
    </row>
    <row r="35227" spans="191:191" x14ac:dyDescent="0.2">
      <c r="GI35227" s="422"/>
    </row>
    <row r="35228" spans="191:191" x14ac:dyDescent="0.2">
      <c r="GI35228" s="422"/>
    </row>
    <row r="35229" spans="191:191" x14ac:dyDescent="0.2">
      <c r="GI35229" s="422"/>
    </row>
    <row r="35230" spans="191:191" x14ac:dyDescent="0.2">
      <c r="GI35230" s="422"/>
    </row>
    <row r="35231" spans="191:191" x14ac:dyDescent="0.2">
      <c r="GI35231" s="422"/>
    </row>
    <row r="35232" spans="191:191" x14ac:dyDescent="0.2">
      <c r="GI35232" s="422"/>
    </row>
    <row r="35233" spans="191:191" x14ac:dyDescent="0.2">
      <c r="GI35233" s="422"/>
    </row>
    <row r="35234" spans="191:191" x14ac:dyDescent="0.2">
      <c r="GI35234" s="422"/>
    </row>
    <row r="35235" spans="191:191" x14ac:dyDescent="0.2">
      <c r="GI35235" s="422"/>
    </row>
    <row r="35236" spans="191:191" x14ac:dyDescent="0.2">
      <c r="GI35236" s="422"/>
    </row>
    <row r="35237" spans="191:191" x14ac:dyDescent="0.2">
      <c r="GI35237" s="422"/>
    </row>
    <row r="35238" spans="191:191" x14ac:dyDescent="0.2">
      <c r="GI35238" s="422"/>
    </row>
    <row r="35239" spans="191:191" x14ac:dyDescent="0.2">
      <c r="GI35239" s="422"/>
    </row>
    <row r="35240" spans="191:191" x14ac:dyDescent="0.2">
      <c r="GI35240" s="422"/>
    </row>
    <row r="35241" spans="191:191" x14ac:dyDescent="0.2">
      <c r="GI35241" s="422"/>
    </row>
    <row r="35242" spans="191:191" x14ac:dyDescent="0.2">
      <c r="GI35242" s="422"/>
    </row>
    <row r="35243" spans="191:191" x14ac:dyDescent="0.2">
      <c r="GI35243" s="422"/>
    </row>
    <row r="35244" spans="191:191" x14ac:dyDescent="0.2">
      <c r="GI35244" s="422"/>
    </row>
    <row r="35245" spans="191:191" x14ac:dyDescent="0.2">
      <c r="GI35245" s="422"/>
    </row>
    <row r="35246" spans="191:191" x14ac:dyDescent="0.2">
      <c r="GI35246" s="422"/>
    </row>
    <row r="35247" spans="191:191" x14ac:dyDescent="0.2">
      <c r="GI35247" s="422"/>
    </row>
    <row r="35248" spans="191:191" x14ac:dyDescent="0.2">
      <c r="GI35248" s="422"/>
    </row>
    <row r="35249" spans="191:191" x14ac:dyDescent="0.2">
      <c r="GI35249" s="422"/>
    </row>
    <row r="35250" spans="191:191" x14ac:dyDescent="0.2">
      <c r="GI35250" s="422"/>
    </row>
    <row r="35251" spans="191:191" x14ac:dyDescent="0.2">
      <c r="GI35251" s="422"/>
    </row>
    <row r="35252" spans="191:191" x14ac:dyDescent="0.2">
      <c r="GI35252" s="422"/>
    </row>
    <row r="35253" spans="191:191" x14ac:dyDescent="0.2">
      <c r="GI35253" s="422"/>
    </row>
    <row r="35254" spans="191:191" x14ac:dyDescent="0.2">
      <c r="GI35254" s="422"/>
    </row>
    <row r="35255" spans="191:191" x14ac:dyDescent="0.2">
      <c r="GI35255" s="422"/>
    </row>
    <row r="35256" spans="191:191" x14ac:dyDescent="0.2">
      <c r="GI35256" s="422"/>
    </row>
    <row r="35257" spans="191:191" x14ac:dyDescent="0.2">
      <c r="GI35257" s="422"/>
    </row>
    <row r="35258" spans="191:191" x14ac:dyDescent="0.2">
      <c r="GI35258" s="422"/>
    </row>
    <row r="35259" spans="191:191" x14ac:dyDescent="0.2">
      <c r="GI35259" s="422"/>
    </row>
    <row r="35260" spans="191:191" x14ac:dyDescent="0.2">
      <c r="GI35260" s="422"/>
    </row>
    <row r="35261" spans="191:191" x14ac:dyDescent="0.2">
      <c r="GI35261" s="422"/>
    </row>
    <row r="35262" spans="191:191" x14ac:dyDescent="0.2">
      <c r="GI35262" s="422"/>
    </row>
    <row r="35263" spans="191:191" x14ac:dyDescent="0.2">
      <c r="GI35263" s="422"/>
    </row>
    <row r="35264" spans="191:191" x14ac:dyDescent="0.2">
      <c r="GI35264" s="422"/>
    </row>
    <row r="35265" spans="191:191" x14ac:dyDescent="0.2">
      <c r="GI35265" s="422"/>
    </row>
    <row r="35266" spans="191:191" x14ac:dyDescent="0.2">
      <c r="GI35266" s="422"/>
    </row>
    <row r="35267" spans="191:191" x14ac:dyDescent="0.2">
      <c r="GI35267" s="422"/>
    </row>
    <row r="35268" spans="191:191" x14ac:dyDescent="0.2">
      <c r="GI35268" s="422"/>
    </row>
    <row r="35269" spans="191:191" x14ac:dyDescent="0.2">
      <c r="GI35269" s="422"/>
    </row>
    <row r="35270" spans="191:191" x14ac:dyDescent="0.2">
      <c r="GI35270" s="422"/>
    </row>
    <row r="35271" spans="191:191" x14ac:dyDescent="0.2">
      <c r="GI35271" s="422"/>
    </row>
    <row r="35272" spans="191:191" x14ac:dyDescent="0.2">
      <c r="GI35272" s="422"/>
    </row>
    <row r="35273" spans="191:191" x14ac:dyDescent="0.2">
      <c r="GI35273" s="422"/>
    </row>
    <row r="35274" spans="191:191" x14ac:dyDescent="0.2">
      <c r="GI35274" s="422"/>
    </row>
    <row r="35275" spans="191:191" x14ac:dyDescent="0.2">
      <c r="GI35275" s="422"/>
    </row>
    <row r="35276" spans="191:191" x14ac:dyDescent="0.2">
      <c r="GI35276" s="422"/>
    </row>
    <row r="35277" spans="191:191" x14ac:dyDescent="0.2">
      <c r="GI35277" s="422"/>
    </row>
    <row r="35278" spans="191:191" x14ac:dyDescent="0.2">
      <c r="GI35278" s="422"/>
    </row>
    <row r="35279" spans="191:191" x14ac:dyDescent="0.2">
      <c r="GI35279" s="422"/>
    </row>
    <row r="35280" spans="191:191" x14ac:dyDescent="0.2">
      <c r="GI35280" s="422"/>
    </row>
    <row r="35281" spans="191:191" x14ac:dyDescent="0.2">
      <c r="GI35281" s="422"/>
    </row>
    <row r="35282" spans="191:191" x14ac:dyDescent="0.2">
      <c r="GI35282" s="422"/>
    </row>
    <row r="35283" spans="191:191" x14ac:dyDescent="0.2">
      <c r="GI35283" s="422"/>
    </row>
    <row r="35284" spans="191:191" x14ac:dyDescent="0.2">
      <c r="GI35284" s="422"/>
    </row>
    <row r="35285" spans="191:191" x14ac:dyDescent="0.2">
      <c r="GI35285" s="422"/>
    </row>
    <row r="35286" spans="191:191" x14ac:dyDescent="0.2">
      <c r="GI35286" s="422"/>
    </row>
    <row r="35287" spans="191:191" x14ac:dyDescent="0.2">
      <c r="GI35287" s="422"/>
    </row>
    <row r="35288" spans="191:191" x14ac:dyDescent="0.2">
      <c r="GI35288" s="422"/>
    </row>
    <row r="35289" spans="191:191" x14ac:dyDescent="0.2">
      <c r="GI35289" s="422"/>
    </row>
    <row r="35290" spans="191:191" x14ac:dyDescent="0.2">
      <c r="GI35290" s="422"/>
    </row>
    <row r="35291" spans="191:191" x14ac:dyDescent="0.2">
      <c r="GI35291" s="422"/>
    </row>
    <row r="35292" spans="191:191" x14ac:dyDescent="0.2">
      <c r="GI35292" s="422"/>
    </row>
    <row r="35293" spans="191:191" x14ac:dyDescent="0.2">
      <c r="GI35293" s="422"/>
    </row>
    <row r="35294" spans="191:191" x14ac:dyDescent="0.2">
      <c r="GI35294" s="422"/>
    </row>
    <row r="35295" spans="191:191" x14ac:dyDescent="0.2">
      <c r="GI35295" s="422"/>
    </row>
    <row r="35296" spans="191:191" x14ac:dyDescent="0.2">
      <c r="GI35296" s="422"/>
    </row>
    <row r="35297" spans="191:191" x14ac:dyDescent="0.2">
      <c r="GI35297" s="422"/>
    </row>
    <row r="35298" spans="191:191" x14ac:dyDescent="0.2">
      <c r="GI35298" s="422"/>
    </row>
    <row r="35299" spans="191:191" x14ac:dyDescent="0.2">
      <c r="GI35299" s="422"/>
    </row>
    <row r="35300" spans="191:191" x14ac:dyDescent="0.2">
      <c r="GI35300" s="422"/>
    </row>
    <row r="35301" spans="191:191" x14ac:dyDescent="0.2">
      <c r="GI35301" s="422"/>
    </row>
    <row r="35302" spans="191:191" x14ac:dyDescent="0.2">
      <c r="GI35302" s="422"/>
    </row>
    <row r="35303" spans="191:191" x14ac:dyDescent="0.2">
      <c r="GI35303" s="422"/>
    </row>
    <row r="35304" spans="191:191" x14ac:dyDescent="0.2">
      <c r="GI35304" s="422"/>
    </row>
    <row r="35305" spans="191:191" x14ac:dyDescent="0.2">
      <c r="GI35305" s="422"/>
    </row>
    <row r="35306" spans="191:191" x14ac:dyDescent="0.2">
      <c r="GI35306" s="422"/>
    </row>
    <row r="35307" spans="191:191" x14ac:dyDescent="0.2">
      <c r="GI35307" s="422"/>
    </row>
    <row r="35308" spans="191:191" x14ac:dyDescent="0.2">
      <c r="GI35308" s="422"/>
    </row>
    <row r="35309" spans="191:191" x14ac:dyDescent="0.2">
      <c r="GI35309" s="422"/>
    </row>
    <row r="35310" spans="191:191" x14ac:dyDescent="0.2">
      <c r="GI35310" s="422"/>
    </row>
    <row r="35311" spans="191:191" x14ac:dyDescent="0.2">
      <c r="GI35311" s="422"/>
    </row>
    <row r="35312" spans="191:191" x14ac:dyDescent="0.2">
      <c r="GI35312" s="422"/>
    </row>
    <row r="35313" spans="191:191" x14ac:dyDescent="0.2">
      <c r="GI35313" s="422"/>
    </row>
    <row r="35314" spans="191:191" x14ac:dyDescent="0.2">
      <c r="GI35314" s="422"/>
    </row>
    <row r="35315" spans="191:191" x14ac:dyDescent="0.2">
      <c r="GI35315" s="422"/>
    </row>
    <row r="35316" spans="191:191" x14ac:dyDescent="0.2">
      <c r="GI35316" s="422"/>
    </row>
    <row r="35317" spans="191:191" x14ac:dyDescent="0.2">
      <c r="GI35317" s="422"/>
    </row>
    <row r="35318" spans="191:191" x14ac:dyDescent="0.2">
      <c r="GI35318" s="422"/>
    </row>
    <row r="35319" spans="191:191" x14ac:dyDescent="0.2">
      <c r="GI35319" s="422"/>
    </row>
    <row r="35320" spans="191:191" x14ac:dyDescent="0.2">
      <c r="GI35320" s="422"/>
    </row>
    <row r="35321" spans="191:191" x14ac:dyDescent="0.2">
      <c r="GI35321" s="422"/>
    </row>
    <row r="35322" spans="191:191" x14ac:dyDescent="0.2">
      <c r="GI35322" s="422"/>
    </row>
    <row r="35323" spans="191:191" x14ac:dyDescent="0.2">
      <c r="GI35323" s="422"/>
    </row>
    <row r="35324" spans="191:191" x14ac:dyDescent="0.2">
      <c r="GI35324" s="422"/>
    </row>
    <row r="35325" spans="191:191" x14ac:dyDescent="0.2">
      <c r="GI35325" s="422"/>
    </row>
    <row r="35326" spans="191:191" x14ac:dyDescent="0.2">
      <c r="GI35326" s="422"/>
    </row>
    <row r="35327" spans="191:191" x14ac:dyDescent="0.2">
      <c r="GI35327" s="422"/>
    </row>
    <row r="35328" spans="191:191" x14ac:dyDescent="0.2">
      <c r="GI35328" s="422"/>
    </row>
    <row r="35329" spans="191:191" x14ac:dyDescent="0.2">
      <c r="GI35329" s="422"/>
    </row>
    <row r="35330" spans="191:191" x14ac:dyDescent="0.2">
      <c r="GI35330" s="422"/>
    </row>
    <row r="35331" spans="191:191" x14ac:dyDescent="0.2">
      <c r="GI35331" s="422"/>
    </row>
    <row r="35332" spans="191:191" x14ac:dyDescent="0.2">
      <c r="GI35332" s="422"/>
    </row>
    <row r="35333" spans="191:191" x14ac:dyDescent="0.2">
      <c r="GI35333" s="422"/>
    </row>
    <row r="35334" spans="191:191" x14ac:dyDescent="0.2">
      <c r="GI35334" s="422"/>
    </row>
    <row r="35335" spans="191:191" x14ac:dyDescent="0.2">
      <c r="GI35335" s="422"/>
    </row>
    <row r="35336" spans="191:191" x14ac:dyDescent="0.2">
      <c r="GI35336" s="422"/>
    </row>
    <row r="35337" spans="191:191" x14ac:dyDescent="0.2">
      <c r="GI35337" s="422"/>
    </row>
    <row r="35338" spans="191:191" x14ac:dyDescent="0.2">
      <c r="GI35338" s="422"/>
    </row>
    <row r="35339" spans="191:191" x14ac:dyDescent="0.2">
      <c r="GI35339" s="422"/>
    </row>
    <row r="35340" spans="191:191" x14ac:dyDescent="0.2">
      <c r="GI35340" s="422"/>
    </row>
    <row r="35341" spans="191:191" x14ac:dyDescent="0.2">
      <c r="GI35341" s="422"/>
    </row>
    <row r="35342" spans="191:191" x14ac:dyDescent="0.2">
      <c r="GI35342" s="422"/>
    </row>
    <row r="35343" spans="191:191" x14ac:dyDescent="0.2">
      <c r="GI35343" s="422"/>
    </row>
    <row r="35344" spans="191:191" x14ac:dyDescent="0.2">
      <c r="GI35344" s="422"/>
    </row>
    <row r="35345" spans="191:191" x14ac:dyDescent="0.2">
      <c r="GI35345" s="422"/>
    </row>
    <row r="35346" spans="191:191" x14ac:dyDescent="0.2">
      <c r="GI35346" s="422"/>
    </row>
    <row r="35347" spans="191:191" x14ac:dyDescent="0.2">
      <c r="GI35347" s="422"/>
    </row>
    <row r="35348" spans="191:191" x14ac:dyDescent="0.2">
      <c r="GI35348" s="422"/>
    </row>
    <row r="35349" spans="191:191" x14ac:dyDescent="0.2">
      <c r="GI35349" s="422"/>
    </row>
    <row r="35350" spans="191:191" x14ac:dyDescent="0.2">
      <c r="GI35350" s="422"/>
    </row>
    <row r="35351" spans="191:191" x14ac:dyDescent="0.2">
      <c r="GI35351" s="422"/>
    </row>
    <row r="35352" spans="191:191" x14ac:dyDescent="0.2">
      <c r="GI35352" s="422"/>
    </row>
    <row r="35353" spans="191:191" x14ac:dyDescent="0.2">
      <c r="GI35353" s="422"/>
    </row>
    <row r="35354" spans="191:191" x14ac:dyDescent="0.2">
      <c r="GI35354" s="422"/>
    </row>
    <row r="35355" spans="191:191" x14ac:dyDescent="0.2">
      <c r="GI35355" s="422"/>
    </row>
    <row r="35356" spans="191:191" x14ac:dyDescent="0.2">
      <c r="GI35356" s="422"/>
    </row>
    <row r="35357" spans="191:191" x14ac:dyDescent="0.2">
      <c r="GI35357" s="422"/>
    </row>
    <row r="35358" spans="191:191" x14ac:dyDescent="0.2">
      <c r="GI35358" s="422"/>
    </row>
    <row r="35359" spans="191:191" x14ac:dyDescent="0.2">
      <c r="GI35359" s="422"/>
    </row>
    <row r="35360" spans="191:191" x14ac:dyDescent="0.2">
      <c r="GI35360" s="422"/>
    </row>
    <row r="35361" spans="191:191" x14ac:dyDescent="0.2">
      <c r="GI35361" s="422"/>
    </row>
    <row r="35362" spans="191:191" x14ac:dyDescent="0.2">
      <c r="GI35362" s="422"/>
    </row>
    <row r="35363" spans="191:191" x14ac:dyDescent="0.2">
      <c r="GI35363" s="422"/>
    </row>
    <row r="35364" spans="191:191" x14ac:dyDescent="0.2">
      <c r="GI35364" s="422"/>
    </row>
    <row r="35365" spans="191:191" x14ac:dyDescent="0.2">
      <c r="GI35365" s="422"/>
    </row>
    <row r="35366" spans="191:191" x14ac:dyDescent="0.2">
      <c r="GI35366" s="422"/>
    </row>
    <row r="35367" spans="191:191" x14ac:dyDescent="0.2">
      <c r="GI35367" s="422"/>
    </row>
    <row r="35368" spans="191:191" x14ac:dyDescent="0.2">
      <c r="GI35368" s="422"/>
    </row>
    <row r="35369" spans="191:191" x14ac:dyDescent="0.2">
      <c r="GI35369" s="422"/>
    </row>
    <row r="35370" spans="191:191" x14ac:dyDescent="0.2">
      <c r="GI35370" s="422"/>
    </row>
    <row r="35371" spans="191:191" x14ac:dyDescent="0.2">
      <c r="GI35371" s="422"/>
    </row>
    <row r="35372" spans="191:191" x14ac:dyDescent="0.2">
      <c r="GI35372" s="422"/>
    </row>
    <row r="35373" spans="191:191" x14ac:dyDescent="0.2">
      <c r="GI35373" s="422"/>
    </row>
    <row r="35374" spans="191:191" x14ac:dyDescent="0.2">
      <c r="GI35374" s="422"/>
    </row>
    <row r="35375" spans="191:191" x14ac:dyDescent="0.2">
      <c r="GI35375" s="422"/>
    </row>
    <row r="35376" spans="191:191" x14ac:dyDescent="0.2">
      <c r="GI35376" s="422"/>
    </row>
    <row r="35377" spans="191:191" x14ac:dyDescent="0.2">
      <c r="GI35377" s="422"/>
    </row>
    <row r="35378" spans="191:191" x14ac:dyDescent="0.2">
      <c r="GI35378" s="422"/>
    </row>
    <row r="35379" spans="191:191" x14ac:dyDescent="0.2">
      <c r="GI35379" s="422"/>
    </row>
    <row r="35380" spans="191:191" x14ac:dyDescent="0.2">
      <c r="GI35380" s="422"/>
    </row>
    <row r="35381" spans="191:191" x14ac:dyDescent="0.2">
      <c r="GI35381" s="422"/>
    </row>
    <row r="35382" spans="191:191" x14ac:dyDescent="0.2">
      <c r="GI35382" s="422"/>
    </row>
    <row r="35383" spans="191:191" x14ac:dyDescent="0.2">
      <c r="GI35383" s="422"/>
    </row>
    <row r="35384" spans="191:191" x14ac:dyDescent="0.2">
      <c r="GI35384" s="422"/>
    </row>
    <row r="35385" spans="191:191" x14ac:dyDescent="0.2">
      <c r="GI35385" s="422"/>
    </row>
    <row r="35386" spans="191:191" x14ac:dyDescent="0.2">
      <c r="GI35386" s="422"/>
    </row>
    <row r="35387" spans="191:191" x14ac:dyDescent="0.2">
      <c r="GI35387" s="422"/>
    </row>
    <row r="35388" spans="191:191" x14ac:dyDescent="0.2">
      <c r="GI35388" s="422"/>
    </row>
    <row r="35389" spans="191:191" x14ac:dyDescent="0.2">
      <c r="GI35389" s="422"/>
    </row>
    <row r="35390" spans="191:191" x14ac:dyDescent="0.2">
      <c r="GI35390" s="422"/>
    </row>
    <row r="35391" spans="191:191" x14ac:dyDescent="0.2">
      <c r="GI35391" s="422"/>
    </row>
    <row r="35392" spans="191:191" x14ac:dyDescent="0.2">
      <c r="GI35392" s="422"/>
    </row>
    <row r="35393" spans="191:191" x14ac:dyDescent="0.2">
      <c r="GI35393" s="422"/>
    </row>
    <row r="35394" spans="191:191" x14ac:dyDescent="0.2">
      <c r="GI35394" s="422"/>
    </row>
    <row r="35395" spans="191:191" x14ac:dyDescent="0.2">
      <c r="GI35395" s="422"/>
    </row>
    <row r="35396" spans="191:191" x14ac:dyDescent="0.2">
      <c r="GI35396" s="422"/>
    </row>
    <row r="35397" spans="191:191" x14ac:dyDescent="0.2">
      <c r="GI35397" s="422"/>
    </row>
    <row r="35398" spans="191:191" x14ac:dyDescent="0.2">
      <c r="GI35398" s="422"/>
    </row>
    <row r="35399" spans="191:191" x14ac:dyDescent="0.2">
      <c r="GI35399" s="422"/>
    </row>
    <row r="35400" spans="191:191" x14ac:dyDescent="0.2">
      <c r="GI35400" s="422"/>
    </row>
    <row r="35401" spans="191:191" x14ac:dyDescent="0.2">
      <c r="GI35401" s="422"/>
    </row>
    <row r="35402" spans="191:191" x14ac:dyDescent="0.2">
      <c r="GI35402" s="422"/>
    </row>
    <row r="35403" spans="191:191" x14ac:dyDescent="0.2">
      <c r="GI35403" s="422"/>
    </row>
    <row r="35404" spans="191:191" x14ac:dyDescent="0.2">
      <c r="GI35404" s="422"/>
    </row>
    <row r="35405" spans="191:191" x14ac:dyDescent="0.2">
      <c r="GI35405" s="422"/>
    </row>
    <row r="35406" spans="191:191" x14ac:dyDescent="0.2">
      <c r="GI35406" s="422"/>
    </row>
    <row r="35407" spans="191:191" x14ac:dyDescent="0.2">
      <c r="GI35407" s="422"/>
    </row>
    <row r="35408" spans="191:191" x14ac:dyDescent="0.2">
      <c r="GI35408" s="422"/>
    </row>
    <row r="35409" spans="191:191" x14ac:dyDescent="0.2">
      <c r="GI35409" s="422"/>
    </row>
    <row r="35410" spans="191:191" x14ac:dyDescent="0.2">
      <c r="GI35410" s="422"/>
    </row>
    <row r="35411" spans="191:191" x14ac:dyDescent="0.2">
      <c r="GI35411" s="422"/>
    </row>
    <row r="35412" spans="191:191" x14ac:dyDescent="0.2">
      <c r="GI35412" s="422"/>
    </row>
    <row r="35413" spans="191:191" x14ac:dyDescent="0.2">
      <c r="GI35413" s="422"/>
    </row>
    <row r="35414" spans="191:191" x14ac:dyDescent="0.2">
      <c r="GI35414" s="422"/>
    </row>
    <row r="35415" spans="191:191" x14ac:dyDescent="0.2">
      <c r="GI35415" s="422"/>
    </row>
    <row r="35416" spans="191:191" x14ac:dyDescent="0.2">
      <c r="GI35416" s="422"/>
    </row>
    <row r="35417" spans="191:191" x14ac:dyDescent="0.2">
      <c r="GI35417" s="422"/>
    </row>
    <row r="35418" spans="191:191" x14ac:dyDescent="0.2">
      <c r="GI35418" s="422"/>
    </row>
    <row r="35419" spans="191:191" x14ac:dyDescent="0.2">
      <c r="GI35419" s="422"/>
    </row>
    <row r="35420" spans="191:191" x14ac:dyDescent="0.2">
      <c r="GI35420" s="422"/>
    </row>
    <row r="35421" spans="191:191" x14ac:dyDescent="0.2">
      <c r="GI35421" s="422"/>
    </row>
    <row r="35422" spans="191:191" x14ac:dyDescent="0.2">
      <c r="GI35422" s="422"/>
    </row>
    <row r="35423" spans="191:191" x14ac:dyDescent="0.2">
      <c r="GI35423" s="422"/>
    </row>
    <row r="35424" spans="191:191" x14ac:dyDescent="0.2">
      <c r="GI35424" s="422"/>
    </row>
    <row r="35425" spans="191:191" x14ac:dyDescent="0.2">
      <c r="GI35425" s="422"/>
    </row>
    <row r="35426" spans="191:191" x14ac:dyDescent="0.2">
      <c r="GI35426" s="422"/>
    </row>
    <row r="35427" spans="191:191" x14ac:dyDescent="0.2">
      <c r="GI35427" s="422"/>
    </row>
    <row r="35428" spans="191:191" x14ac:dyDescent="0.2">
      <c r="GI35428" s="422"/>
    </row>
    <row r="35429" spans="191:191" x14ac:dyDescent="0.2">
      <c r="GI35429" s="422"/>
    </row>
    <row r="35430" spans="191:191" x14ac:dyDescent="0.2">
      <c r="GI35430" s="422"/>
    </row>
    <row r="35431" spans="191:191" x14ac:dyDescent="0.2">
      <c r="GI35431" s="422"/>
    </row>
    <row r="35432" spans="191:191" x14ac:dyDescent="0.2">
      <c r="GI35432" s="422"/>
    </row>
    <row r="35433" spans="191:191" x14ac:dyDescent="0.2">
      <c r="GI35433" s="422"/>
    </row>
    <row r="35434" spans="191:191" x14ac:dyDescent="0.2">
      <c r="GI35434" s="422"/>
    </row>
    <row r="35435" spans="191:191" x14ac:dyDescent="0.2">
      <c r="GI35435" s="422"/>
    </row>
    <row r="35436" spans="191:191" x14ac:dyDescent="0.2">
      <c r="GI35436" s="422"/>
    </row>
    <row r="35437" spans="191:191" x14ac:dyDescent="0.2">
      <c r="GI35437" s="422"/>
    </row>
    <row r="35438" spans="191:191" x14ac:dyDescent="0.2">
      <c r="GI35438" s="422"/>
    </row>
    <row r="35439" spans="191:191" x14ac:dyDescent="0.2">
      <c r="GI35439" s="422"/>
    </row>
    <row r="35440" spans="191:191" x14ac:dyDescent="0.2">
      <c r="GI35440" s="422"/>
    </row>
    <row r="35441" spans="191:191" x14ac:dyDescent="0.2">
      <c r="GI35441" s="422"/>
    </row>
    <row r="35442" spans="191:191" x14ac:dyDescent="0.2">
      <c r="GI35442" s="422"/>
    </row>
    <row r="35443" spans="191:191" x14ac:dyDescent="0.2">
      <c r="GI35443" s="422"/>
    </row>
    <row r="35444" spans="191:191" x14ac:dyDescent="0.2">
      <c r="GI35444" s="422"/>
    </row>
    <row r="35445" spans="191:191" x14ac:dyDescent="0.2">
      <c r="GI35445" s="422"/>
    </row>
    <row r="35446" spans="191:191" x14ac:dyDescent="0.2">
      <c r="GI35446" s="422"/>
    </row>
    <row r="35447" spans="191:191" x14ac:dyDescent="0.2">
      <c r="GI35447" s="422"/>
    </row>
    <row r="35448" spans="191:191" x14ac:dyDescent="0.2">
      <c r="GI35448" s="422"/>
    </row>
    <row r="35449" spans="191:191" x14ac:dyDescent="0.2">
      <c r="GI35449" s="422"/>
    </row>
    <row r="35450" spans="191:191" x14ac:dyDescent="0.2">
      <c r="GI35450" s="422"/>
    </row>
    <row r="35451" spans="191:191" x14ac:dyDescent="0.2">
      <c r="GI35451" s="422"/>
    </row>
    <row r="35452" spans="191:191" x14ac:dyDescent="0.2">
      <c r="GI35452" s="422"/>
    </row>
    <row r="35453" spans="191:191" x14ac:dyDescent="0.2">
      <c r="GI35453" s="422"/>
    </row>
    <row r="35454" spans="191:191" x14ac:dyDescent="0.2">
      <c r="GI35454" s="422"/>
    </row>
    <row r="35455" spans="191:191" x14ac:dyDescent="0.2">
      <c r="GI35455" s="422"/>
    </row>
    <row r="35456" spans="191:191" x14ac:dyDescent="0.2">
      <c r="GI35456" s="422"/>
    </row>
    <row r="35457" spans="191:191" x14ac:dyDescent="0.2">
      <c r="GI35457" s="422"/>
    </row>
    <row r="35458" spans="191:191" x14ac:dyDescent="0.2">
      <c r="GI35458" s="422"/>
    </row>
    <row r="35459" spans="191:191" x14ac:dyDescent="0.2">
      <c r="GI35459" s="422"/>
    </row>
    <row r="35460" spans="191:191" x14ac:dyDescent="0.2">
      <c r="GI35460" s="422"/>
    </row>
    <row r="35461" spans="191:191" x14ac:dyDescent="0.2">
      <c r="GI35461" s="422"/>
    </row>
    <row r="35462" spans="191:191" x14ac:dyDescent="0.2">
      <c r="GI35462" s="422"/>
    </row>
    <row r="35463" spans="191:191" x14ac:dyDescent="0.2">
      <c r="GI35463" s="422"/>
    </row>
    <row r="35464" spans="191:191" x14ac:dyDescent="0.2">
      <c r="GI35464" s="422"/>
    </row>
    <row r="35465" spans="191:191" x14ac:dyDescent="0.2">
      <c r="GI35465" s="422"/>
    </row>
    <row r="35466" spans="191:191" x14ac:dyDescent="0.2">
      <c r="GI35466" s="422"/>
    </row>
    <row r="35467" spans="191:191" x14ac:dyDescent="0.2">
      <c r="GI35467" s="422"/>
    </row>
    <row r="35468" spans="191:191" x14ac:dyDescent="0.2">
      <c r="GI35468" s="422"/>
    </row>
    <row r="35469" spans="191:191" x14ac:dyDescent="0.2">
      <c r="GI35469" s="422"/>
    </row>
    <row r="35470" spans="191:191" x14ac:dyDescent="0.2">
      <c r="GI35470" s="422"/>
    </row>
    <row r="35471" spans="191:191" x14ac:dyDescent="0.2">
      <c r="GI35471" s="422"/>
    </row>
    <row r="35472" spans="191:191" x14ac:dyDescent="0.2">
      <c r="GI35472" s="422"/>
    </row>
    <row r="35473" spans="191:191" x14ac:dyDescent="0.2">
      <c r="GI35473" s="422"/>
    </row>
    <row r="35474" spans="191:191" x14ac:dyDescent="0.2">
      <c r="GI35474" s="422"/>
    </row>
    <row r="35475" spans="191:191" x14ac:dyDescent="0.2">
      <c r="GI35475" s="422"/>
    </row>
    <row r="35476" spans="191:191" x14ac:dyDescent="0.2">
      <c r="GI35476" s="422"/>
    </row>
    <row r="35477" spans="191:191" x14ac:dyDescent="0.2">
      <c r="GI35477" s="422"/>
    </row>
    <row r="35478" spans="191:191" x14ac:dyDescent="0.2">
      <c r="GI35478" s="422"/>
    </row>
    <row r="35479" spans="191:191" x14ac:dyDescent="0.2">
      <c r="GI35479" s="422"/>
    </row>
    <row r="35480" spans="191:191" x14ac:dyDescent="0.2">
      <c r="GI35480" s="422"/>
    </row>
    <row r="35481" spans="191:191" x14ac:dyDescent="0.2">
      <c r="GI35481" s="422"/>
    </row>
    <row r="35482" spans="191:191" x14ac:dyDescent="0.2">
      <c r="GI35482" s="422"/>
    </row>
    <row r="35483" spans="191:191" x14ac:dyDescent="0.2">
      <c r="GI35483" s="422"/>
    </row>
    <row r="35484" spans="191:191" x14ac:dyDescent="0.2">
      <c r="GI35484" s="422"/>
    </row>
    <row r="35485" spans="191:191" x14ac:dyDescent="0.2">
      <c r="GI35485" s="422"/>
    </row>
    <row r="35486" spans="191:191" x14ac:dyDescent="0.2">
      <c r="GI35486" s="422"/>
    </row>
    <row r="35487" spans="191:191" x14ac:dyDescent="0.2">
      <c r="GI35487" s="422"/>
    </row>
    <row r="35488" spans="191:191" x14ac:dyDescent="0.2">
      <c r="GI35488" s="422"/>
    </row>
    <row r="35489" spans="191:191" x14ac:dyDescent="0.2">
      <c r="GI35489" s="422"/>
    </row>
    <row r="35490" spans="191:191" x14ac:dyDescent="0.2">
      <c r="GI35490" s="422"/>
    </row>
    <row r="35491" spans="191:191" x14ac:dyDescent="0.2">
      <c r="GI35491" s="422"/>
    </row>
    <row r="35492" spans="191:191" x14ac:dyDescent="0.2">
      <c r="GI35492" s="422"/>
    </row>
    <row r="35493" spans="191:191" x14ac:dyDescent="0.2">
      <c r="GI35493" s="422"/>
    </row>
    <row r="35494" spans="191:191" x14ac:dyDescent="0.2">
      <c r="GI35494" s="422"/>
    </row>
    <row r="35495" spans="191:191" x14ac:dyDescent="0.2">
      <c r="GI35495" s="422"/>
    </row>
    <row r="35496" spans="191:191" x14ac:dyDescent="0.2">
      <c r="GI35496" s="422"/>
    </row>
    <row r="35497" spans="191:191" x14ac:dyDescent="0.2">
      <c r="GI35497" s="422"/>
    </row>
    <row r="35498" spans="191:191" x14ac:dyDescent="0.2">
      <c r="GI35498" s="422"/>
    </row>
    <row r="35499" spans="191:191" x14ac:dyDescent="0.2">
      <c r="GI35499" s="422"/>
    </row>
    <row r="35500" spans="191:191" x14ac:dyDescent="0.2">
      <c r="GI35500" s="422"/>
    </row>
    <row r="35501" spans="191:191" x14ac:dyDescent="0.2">
      <c r="GI35501" s="422"/>
    </row>
    <row r="35502" spans="191:191" x14ac:dyDescent="0.2">
      <c r="GI35502" s="422"/>
    </row>
    <row r="35503" spans="191:191" x14ac:dyDescent="0.2">
      <c r="GI35503" s="422"/>
    </row>
    <row r="35504" spans="191:191" x14ac:dyDescent="0.2">
      <c r="GI35504" s="422"/>
    </row>
    <row r="35505" spans="191:191" x14ac:dyDescent="0.2">
      <c r="GI35505" s="422"/>
    </row>
    <row r="35506" spans="191:191" x14ac:dyDescent="0.2">
      <c r="GI35506" s="422"/>
    </row>
    <row r="35507" spans="191:191" x14ac:dyDescent="0.2">
      <c r="GI35507" s="422"/>
    </row>
    <row r="35508" spans="191:191" x14ac:dyDescent="0.2">
      <c r="GI35508" s="422"/>
    </row>
    <row r="35509" spans="191:191" x14ac:dyDescent="0.2">
      <c r="GI35509" s="422"/>
    </row>
    <row r="35510" spans="191:191" x14ac:dyDescent="0.2">
      <c r="GI35510" s="422"/>
    </row>
    <row r="35511" spans="191:191" x14ac:dyDescent="0.2">
      <c r="GI35511" s="422"/>
    </row>
    <row r="35512" spans="191:191" x14ac:dyDescent="0.2">
      <c r="GI35512" s="422"/>
    </row>
    <row r="35513" spans="191:191" x14ac:dyDescent="0.2">
      <c r="GI35513" s="422"/>
    </row>
    <row r="35514" spans="191:191" x14ac:dyDescent="0.2">
      <c r="GI35514" s="422"/>
    </row>
    <row r="35515" spans="191:191" x14ac:dyDescent="0.2">
      <c r="GI35515" s="422"/>
    </row>
    <row r="35516" spans="191:191" x14ac:dyDescent="0.2">
      <c r="GI35516" s="422"/>
    </row>
    <row r="35517" spans="191:191" x14ac:dyDescent="0.2">
      <c r="GI35517" s="422"/>
    </row>
    <row r="35518" spans="191:191" x14ac:dyDescent="0.2">
      <c r="GI35518" s="422"/>
    </row>
    <row r="35519" spans="191:191" x14ac:dyDescent="0.2">
      <c r="GI35519" s="422"/>
    </row>
    <row r="35520" spans="191:191" x14ac:dyDescent="0.2">
      <c r="GI35520" s="422"/>
    </row>
    <row r="35521" spans="191:191" x14ac:dyDescent="0.2">
      <c r="GI35521" s="422"/>
    </row>
    <row r="35522" spans="191:191" x14ac:dyDescent="0.2">
      <c r="GI35522" s="422"/>
    </row>
    <row r="35523" spans="191:191" x14ac:dyDescent="0.2">
      <c r="GI35523" s="422"/>
    </row>
    <row r="35524" spans="191:191" x14ac:dyDescent="0.2">
      <c r="GI35524" s="422"/>
    </row>
    <row r="35525" spans="191:191" x14ac:dyDescent="0.2">
      <c r="GI35525" s="422"/>
    </row>
    <row r="35526" spans="191:191" x14ac:dyDescent="0.2">
      <c r="GI35526" s="422"/>
    </row>
    <row r="35527" spans="191:191" x14ac:dyDescent="0.2">
      <c r="GI35527" s="422"/>
    </row>
    <row r="35528" spans="191:191" x14ac:dyDescent="0.2">
      <c r="GI35528" s="422"/>
    </row>
    <row r="35529" spans="191:191" x14ac:dyDescent="0.2">
      <c r="GI35529" s="422"/>
    </row>
    <row r="35530" spans="191:191" x14ac:dyDescent="0.2">
      <c r="GI35530" s="422"/>
    </row>
    <row r="35531" spans="191:191" x14ac:dyDescent="0.2">
      <c r="GI35531" s="422"/>
    </row>
    <row r="35532" spans="191:191" x14ac:dyDescent="0.2">
      <c r="GI35532" s="422"/>
    </row>
    <row r="35533" spans="191:191" x14ac:dyDescent="0.2">
      <c r="GI35533" s="422"/>
    </row>
    <row r="35534" spans="191:191" x14ac:dyDescent="0.2">
      <c r="GI35534" s="422"/>
    </row>
    <row r="35535" spans="191:191" x14ac:dyDescent="0.2">
      <c r="GI35535" s="422"/>
    </row>
    <row r="35536" spans="191:191" x14ac:dyDescent="0.2">
      <c r="GI35536" s="422"/>
    </row>
    <row r="35537" spans="191:191" x14ac:dyDescent="0.2">
      <c r="GI35537" s="422"/>
    </row>
    <row r="35538" spans="191:191" x14ac:dyDescent="0.2">
      <c r="GI35538" s="422"/>
    </row>
    <row r="35539" spans="191:191" x14ac:dyDescent="0.2">
      <c r="GI35539" s="422"/>
    </row>
    <row r="35540" spans="191:191" x14ac:dyDescent="0.2">
      <c r="GI35540" s="422"/>
    </row>
    <row r="35541" spans="191:191" x14ac:dyDescent="0.2">
      <c r="GI35541" s="422"/>
    </row>
    <row r="35542" spans="191:191" x14ac:dyDescent="0.2">
      <c r="GI35542" s="422"/>
    </row>
    <row r="35543" spans="191:191" x14ac:dyDescent="0.2">
      <c r="GI35543" s="422"/>
    </row>
    <row r="35544" spans="191:191" x14ac:dyDescent="0.2">
      <c r="GI35544" s="422"/>
    </row>
    <row r="35545" spans="191:191" x14ac:dyDescent="0.2">
      <c r="GI35545" s="422"/>
    </row>
    <row r="35546" spans="191:191" x14ac:dyDescent="0.2">
      <c r="GI35546" s="422"/>
    </row>
    <row r="35547" spans="191:191" x14ac:dyDescent="0.2">
      <c r="GI35547" s="422"/>
    </row>
    <row r="35548" spans="191:191" x14ac:dyDescent="0.2">
      <c r="GI35548" s="422"/>
    </row>
    <row r="35549" spans="191:191" x14ac:dyDescent="0.2">
      <c r="GI35549" s="422"/>
    </row>
    <row r="35550" spans="191:191" x14ac:dyDescent="0.2">
      <c r="GI35550" s="422"/>
    </row>
    <row r="35551" spans="191:191" x14ac:dyDescent="0.2">
      <c r="GI35551" s="422"/>
    </row>
    <row r="35552" spans="191:191" x14ac:dyDescent="0.2">
      <c r="GI35552" s="422"/>
    </row>
    <row r="35553" spans="191:191" x14ac:dyDescent="0.2">
      <c r="GI35553" s="422"/>
    </row>
    <row r="35554" spans="191:191" x14ac:dyDescent="0.2">
      <c r="GI35554" s="422"/>
    </row>
    <row r="35555" spans="191:191" x14ac:dyDescent="0.2">
      <c r="GI35555" s="422"/>
    </row>
    <row r="35556" spans="191:191" x14ac:dyDescent="0.2">
      <c r="GI35556" s="422"/>
    </row>
    <row r="35557" spans="191:191" x14ac:dyDescent="0.2">
      <c r="GI35557" s="422"/>
    </row>
    <row r="35558" spans="191:191" x14ac:dyDescent="0.2">
      <c r="GI35558" s="422"/>
    </row>
    <row r="35559" spans="191:191" x14ac:dyDescent="0.2">
      <c r="GI35559" s="422"/>
    </row>
    <row r="35560" spans="191:191" x14ac:dyDescent="0.2">
      <c r="GI35560" s="422"/>
    </row>
    <row r="35561" spans="191:191" x14ac:dyDescent="0.2">
      <c r="GI35561" s="422"/>
    </row>
    <row r="35562" spans="191:191" x14ac:dyDescent="0.2">
      <c r="GI35562" s="422"/>
    </row>
    <row r="35563" spans="191:191" x14ac:dyDescent="0.2">
      <c r="GI35563" s="422"/>
    </row>
    <row r="35564" spans="191:191" x14ac:dyDescent="0.2">
      <c r="GI35564" s="422"/>
    </row>
    <row r="35565" spans="191:191" x14ac:dyDescent="0.2">
      <c r="GI35565" s="422"/>
    </row>
    <row r="35566" spans="191:191" x14ac:dyDescent="0.2">
      <c r="GI35566" s="422"/>
    </row>
    <row r="35567" spans="191:191" x14ac:dyDescent="0.2">
      <c r="GI35567" s="422"/>
    </row>
    <row r="35568" spans="191:191" x14ac:dyDescent="0.2">
      <c r="GI35568" s="422"/>
    </row>
    <row r="35569" spans="191:191" x14ac:dyDescent="0.2">
      <c r="GI35569" s="422"/>
    </row>
    <row r="35570" spans="191:191" x14ac:dyDescent="0.2">
      <c r="GI35570" s="422"/>
    </row>
    <row r="35571" spans="191:191" x14ac:dyDescent="0.2">
      <c r="GI35571" s="422"/>
    </row>
    <row r="35572" spans="191:191" x14ac:dyDescent="0.2">
      <c r="GI35572" s="422"/>
    </row>
    <row r="35573" spans="191:191" x14ac:dyDescent="0.2">
      <c r="GI35573" s="422"/>
    </row>
    <row r="35574" spans="191:191" x14ac:dyDescent="0.2">
      <c r="GI35574" s="422"/>
    </row>
    <row r="35575" spans="191:191" x14ac:dyDescent="0.2">
      <c r="GI35575" s="422"/>
    </row>
    <row r="35576" spans="191:191" x14ac:dyDescent="0.2">
      <c r="GI35576" s="422"/>
    </row>
    <row r="35577" spans="191:191" x14ac:dyDescent="0.2">
      <c r="GI35577" s="422"/>
    </row>
    <row r="35578" spans="191:191" x14ac:dyDescent="0.2">
      <c r="GI35578" s="422"/>
    </row>
    <row r="35579" spans="191:191" x14ac:dyDescent="0.2">
      <c r="GI35579" s="422"/>
    </row>
    <row r="35580" spans="191:191" x14ac:dyDescent="0.2">
      <c r="GI35580" s="422"/>
    </row>
    <row r="35581" spans="191:191" x14ac:dyDescent="0.2">
      <c r="GI35581" s="422"/>
    </row>
    <row r="35582" spans="191:191" x14ac:dyDescent="0.2">
      <c r="GI35582" s="422"/>
    </row>
    <row r="35583" spans="191:191" x14ac:dyDescent="0.2">
      <c r="GI35583" s="422"/>
    </row>
    <row r="35584" spans="191:191" x14ac:dyDescent="0.2">
      <c r="GI35584" s="422"/>
    </row>
    <row r="35585" spans="191:191" x14ac:dyDescent="0.2">
      <c r="GI35585" s="422"/>
    </row>
    <row r="35586" spans="191:191" x14ac:dyDescent="0.2">
      <c r="GI35586" s="422"/>
    </row>
    <row r="35587" spans="191:191" x14ac:dyDescent="0.2">
      <c r="GI35587" s="422"/>
    </row>
    <row r="35588" spans="191:191" x14ac:dyDescent="0.2">
      <c r="GI35588" s="422"/>
    </row>
    <row r="35589" spans="191:191" x14ac:dyDescent="0.2">
      <c r="GI35589" s="422"/>
    </row>
    <row r="35590" spans="191:191" x14ac:dyDescent="0.2">
      <c r="GI35590" s="422"/>
    </row>
    <row r="35591" spans="191:191" x14ac:dyDescent="0.2">
      <c r="GI35591" s="422"/>
    </row>
    <row r="35592" spans="191:191" x14ac:dyDescent="0.2">
      <c r="GI35592" s="422"/>
    </row>
    <row r="35593" spans="191:191" x14ac:dyDescent="0.2">
      <c r="GI35593" s="422"/>
    </row>
    <row r="35594" spans="191:191" x14ac:dyDescent="0.2">
      <c r="GI35594" s="422"/>
    </row>
    <row r="35595" spans="191:191" x14ac:dyDescent="0.2">
      <c r="GI35595" s="422"/>
    </row>
    <row r="35596" spans="191:191" x14ac:dyDescent="0.2">
      <c r="GI35596" s="422"/>
    </row>
    <row r="35597" spans="191:191" x14ac:dyDescent="0.2">
      <c r="GI35597" s="422"/>
    </row>
    <row r="35598" spans="191:191" x14ac:dyDescent="0.2">
      <c r="GI35598" s="422"/>
    </row>
    <row r="35599" spans="191:191" x14ac:dyDescent="0.2">
      <c r="GI35599" s="422"/>
    </row>
    <row r="35600" spans="191:191" x14ac:dyDescent="0.2">
      <c r="GI35600" s="422"/>
    </row>
    <row r="35601" spans="191:191" x14ac:dyDescent="0.2">
      <c r="GI35601" s="422"/>
    </row>
    <row r="35602" spans="191:191" x14ac:dyDescent="0.2">
      <c r="GI35602" s="422"/>
    </row>
    <row r="35603" spans="191:191" x14ac:dyDescent="0.2">
      <c r="GI35603" s="422"/>
    </row>
    <row r="35604" spans="191:191" x14ac:dyDescent="0.2">
      <c r="GI35604" s="422"/>
    </row>
    <row r="35605" spans="191:191" x14ac:dyDescent="0.2">
      <c r="GI35605" s="422"/>
    </row>
    <row r="35606" spans="191:191" x14ac:dyDescent="0.2">
      <c r="GI35606" s="422"/>
    </row>
    <row r="35607" spans="191:191" x14ac:dyDescent="0.2">
      <c r="GI35607" s="422"/>
    </row>
    <row r="35608" spans="191:191" x14ac:dyDescent="0.2">
      <c r="GI35608" s="422"/>
    </row>
    <row r="35609" spans="191:191" x14ac:dyDescent="0.2">
      <c r="GI35609" s="422"/>
    </row>
    <row r="35610" spans="191:191" x14ac:dyDescent="0.2">
      <c r="GI35610" s="422"/>
    </row>
    <row r="35611" spans="191:191" x14ac:dyDescent="0.2">
      <c r="GI35611" s="422"/>
    </row>
    <row r="35612" spans="191:191" x14ac:dyDescent="0.2">
      <c r="GI35612" s="422"/>
    </row>
    <row r="35613" spans="191:191" x14ac:dyDescent="0.2">
      <c r="GI35613" s="422"/>
    </row>
    <row r="35614" spans="191:191" x14ac:dyDescent="0.2">
      <c r="GI35614" s="422"/>
    </row>
    <row r="35615" spans="191:191" x14ac:dyDescent="0.2">
      <c r="GI35615" s="422"/>
    </row>
    <row r="35616" spans="191:191" x14ac:dyDescent="0.2">
      <c r="GI35616" s="422"/>
    </row>
    <row r="35617" spans="191:191" x14ac:dyDescent="0.2">
      <c r="GI35617" s="422"/>
    </row>
    <row r="35618" spans="191:191" x14ac:dyDescent="0.2">
      <c r="GI35618" s="422"/>
    </row>
    <row r="35619" spans="191:191" x14ac:dyDescent="0.2">
      <c r="GI35619" s="422"/>
    </row>
    <row r="35620" spans="191:191" x14ac:dyDescent="0.2">
      <c r="GI35620" s="422"/>
    </row>
    <row r="35621" spans="191:191" x14ac:dyDescent="0.2">
      <c r="GI35621" s="422"/>
    </row>
    <row r="35622" spans="191:191" x14ac:dyDescent="0.2">
      <c r="GI35622" s="422"/>
    </row>
    <row r="35623" spans="191:191" x14ac:dyDescent="0.2">
      <c r="GI35623" s="422"/>
    </row>
    <row r="35624" spans="191:191" x14ac:dyDescent="0.2">
      <c r="GI35624" s="422"/>
    </row>
    <row r="35625" spans="191:191" x14ac:dyDescent="0.2">
      <c r="GI35625" s="422"/>
    </row>
    <row r="35626" spans="191:191" x14ac:dyDescent="0.2">
      <c r="GI35626" s="422"/>
    </row>
    <row r="35627" spans="191:191" x14ac:dyDescent="0.2">
      <c r="GI35627" s="422"/>
    </row>
    <row r="35628" spans="191:191" x14ac:dyDescent="0.2">
      <c r="GI35628" s="422"/>
    </row>
    <row r="35629" spans="191:191" x14ac:dyDescent="0.2">
      <c r="GI35629" s="422"/>
    </row>
    <row r="35630" spans="191:191" x14ac:dyDescent="0.2">
      <c r="GI35630" s="422"/>
    </row>
    <row r="35631" spans="191:191" x14ac:dyDescent="0.2">
      <c r="GI35631" s="422"/>
    </row>
    <row r="35632" spans="191:191" x14ac:dyDescent="0.2">
      <c r="GI35632" s="422"/>
    </row>
    <row r="35633" spans="191:191" x14ac:dyDescent="0.2">
      <c r="GI35633" s="422"/>
    </row>
    <row r="35634" spans="191:191" x14ac:dyDescent="0.2">
      <c r="GI35634" s="422"/>
    </row>
    <row r="35635" spans="191:191" x14ac:dyDescent="0.2">
      <c r="GI35635" s="422"/>
    </row>
    <row r="35636" spans="191:191" x14ac:dyDescent="0.2">
      <c r="GI35636" s="422"/>
    </row>
    <row r="35637" spans="191:191" x14ac:dyDescent="0.2">
      <c r="GI35637" s="422"/>
    </row>
    <row r="35638" spans="191:191" x14ac:dyDescent="0.2">
      <c r="GI35638" s="422"/>
    </row>
    <row r="35639" spans="191:191" x14ac:dyDescent="0.2">
      <c r="GI35639" s="422"/>
    </row>
    <row r="35640" spans="191:191" x14ac:dyDescent="0.2">
      <c r="GI35640" s="422"/>
    </row>
    <row r="35641" spans="191:191" x14ac:dyDescent="0.2">
      <c r="GI35641" s="422"/>
    </row>
    <row r="35642" spans="191:191" x14ac:dyDescent="0.2">
      <c r="GI35642" s="422"/>
    </row>
    <row r="35643" spans="191:191" x14ac:dyDescent="0.2">
      <c r="GI35643" s="422"/>
    </row>
    <row r="35644" spans="191:191" x14ac:dyDescent="0.2">
      <c r="GI35644" s="422"/>
    </row>
    <row r="35645" spans="191:191" x14ac:dyDescent="0.2">
      <c r="GI35645" s="422"/>
    </row>
    <row r="35646" spans="191:191" x14ac:dyDescent="0.2">
      <c r="GI35646" s="422"/>
    </row>
    <row r="35647" spans="191:191" x14ac:dyDescent="0.2">
      <c r="GI35647" s="422"/>
    </row>
    <row r="35648" spans="191:191" x14ac:dyDescent="0.2">
      <c r="GI35648" s="422"/>
    </row>
    <row r="35649" spans="191:191" x14ac:dyDescent="0.2">
      <c r="GI35649" s="422"/>
    </row>
    <row r="35650" spans="191:191" x14ac:dyDescent="0.2">
      <c r="GI35650" s="422"/>
    </row>
    <row r="35651" spans="191:191" x14ac:dyDescent="0.2">
      <c r="GI35651" s="422"/>
    </row>
    <row r="35652" spans="191:191" x14ac:dyDescent="0.2">
      <c r="GI35652" s="422"/>
    </row>
    <row r="35653" spans="191:191" x14ac:dyDescent="0.2">
      <c r="GI35653" s="422"/>
    </row>
    <row r="35654" spans="191:191" x14ac:dyDescent="0.2">
      <c r="GI35654" s="422"/>
    </row>
    <row r="35655" spans="191:191" x14ac:dyDescent="0.2">
      <c r="GI35655" s="422"/>
    </row>
    <row r="35656" spans="191:191" x14ac:dyDescent="0.2">
      <c r="GI35656" s="422"/>
    </row>
    <row r="35657" spans="191:191" x14ac:dyDescent="0.2">
      <c r="GI35657" s="422"/>
    </row>
    <row r="35658" spans="191:191" x14ac:dyDescent="0.2">
      <c r="GI35658" s="422"/>
    </row>
    <row r="35659" spans="191:191" x14ac:dyDescent="0.2">
      <c r="GI35659" s="422"/>
    </row>
    <row r="35660" spans="191:191" x14ac:dyDescent="0.2">
      <c r="GI35660" s="422"/>
    </row>
    <row r="35661" spans="191:191" x14ac:dyDescent="0.2">
      <c r="GI35661" s="422"/>
    </row>
    <row r="35662" spans="191:191" x14ac:dyDescent="0.2">
      <c r="GI35662" s="422"/>
    </row>
    <row r="35663" spans="191:191" x14ac:dyDescent="0.2">
      <c r="GI35663" s="422"/>
    </row>
    <row r="35664" spans="191:191" x14ac:dyDescent="0.2">
      <c r="GI35664" s="422"/>
    </row>
    <row r="35665" spans="191:191" x14ac:dyDescent="0.2">
      <c r="GI35665" s="422"/>
    </row>
    <row r="35666" spans="191:191" x14ac:dyDescent="0.2">
      <c r="GI35666" s="422"/>
    </row>
    <row r="35667" spans="191:191" x14ac:dyDescent="0.2">
      <c r="GI35667" s="422"/>
    </row>
    <row r="35668" spans="191:191" x14ac:dyDescent="0.2">
      <c r="GI35668" s="422"/>
    </row>
    <row r="35669" spans="191:191" x14ac:dyDescent="0.2">
      <c r="GI35669" s="422"/>
    </row>
    <row r="35670" spans="191:191" x14ac:dyDescent="0.2">
      <c r="GI35670" s="422"/>
    </row>
    <row r="35671" spans="191:191" x14ac:dyDescent="0.2">
      <c r="GI35671" s="422"/>
    </row>
    <row r="35672" spans="191:191" x14ac:dyDescent="0.2">
      <c r="GI35672" s="422"/>
    </row>
    <row r="35673" spans="191:191" x14ac:dyDescent="0.2">
      <c r="GI35673" s="422"/>
    </row>
    <row r="35674" spans="191:191" x14ac:dyDescent="0.2">
      <c r="GI35674" s="422"/>
    </row>
    <row r="35675" spans="191:191" x14ac:dyDescent="0.2">
      <c r="GI35675" s="422"/>
    </row>
    <row r="35676" spans="191:191" x14ac:dyDescent="0.2">
      <c r="GI35676" s="422"/>
    </row>
    <row r="35677" spans="191:191" x14ac:dyDescent="0.2">
      <c r="GI35677" s="422"/>
    </row>
    <row r="35678" spans="191:191" x14ac:dyDescent="0.2">
      <c r="GI35678" s="422"/>
    </row>
    <row r="35679" spans="191:191" x14ac:dyDescent="0.2">
      <c r="GI35679" s="422"/>
    </row>
    <row r="35680" spans="191:191" x14ac:dyDescent="0.2">
      <c r="GI35680" s="422"/>
    </row>
    <row r="35681" spans="191:191" x14ac:dyDescent="0.2">
      <c r="GI35681" s="422"/>
    </row>
    <row r="35682" spans="191:191" x14ac:dyDescent="0.2">
      <c r="GI35682" s="422"/>
    </row>
    <row r="35683" spans="191:191" x14ac:dyDescent="0.2">
      <c r="GI35683" s="422"/>
    </row>
    <row r="35684" spans="191:191" x14ac:dyDescent="0.2">
      <c r="GI35684" s="422"/>
    </row>
    <row r="35685" spans="191:191" x14ac:dyDescent="0.2">
      <c r="GI35685" s="422"/>
    </row>
    <row r="35686" spans="191:191" x14ac:dyDescent="0.2">
      <c r="GI35686" s="422"/>
    </row>
    <row r="35687" spans="191:191" x14ac:dyDescent="0.2">
      <c r="GI35687" s="422"/>
    </row>
    <row r="35688" spans="191:191" x14ac:dyDescent="0.2">
      <c r="GI35688" s="422"/>
    </row>
    <row r="35689" spans="191:191" x14ac:dyDescent="0.2">
      <c r="GI35689" s="422"/>
    </row>
    <row r="35690" spans="191:191" x14ac:dyDescent="0.2">
      <c r="GI35690" s="422"/>
    </row>
    <row r="35691" spans="191:191" x14ac:dyDescent="0.2">
      <c r="GI35691" s="422"/>
    </row>
    <row r="35692" spans="191:191" x14ac:dyDescent="0.2">
      <c r="GI35692" s="422"/>
    </row>
    <row r="35693" spans="191:191" x14ac:dyDescent="0.2">
      <c r="GI35693" s="422"/>
    </row>
    <row r="35694" spans="191:191" x14ac:dyDescent="0.2">
      <c r="GI35694" s="422"/>
    </row>
    <row r="35695" spans="191:191" x14ac:dyDescent="0.2">
      <c r="GI35695" s="422"/>
    </row>
    <row r="35696" spans="191:191" x14ac:dyDescent="0.2">
      <c r="GI35696" s="422"/>
    </row>
    <row r="35697" spans="191:191" x14ac:dyDescent="0.2">
      <c r="GI35697" s="422"/>
    </row>
    <row r="35698" spans="191:191" x14ac:dyDescent="0.2">
      <c r="GI35698" s="422"/>
    </row>
    <row r="35699" spans="191:191" x14ac:dyDescent="0.2">
      <c r="GI35699" s="422"/>
    </row>
    <row r="35700" spans="191:191" x14ac:dyDescent="0.2">
      <c r="GI35700" s="422"/>
    </row>
    <row r="35701" spans="191:191" x14ac:dyDescent="0.2">
      <c r="GI35701" s="422"/>
    </row>
    <row r="35702" spans="191:191" x14ac:dyDescent="0.2">
      <c r="GI35702" s="422"/>
    </row>
    <row r="35703" spans="191:191" x14ac:dyDescent="0.2">
      <c r="GI35703" s="422"/>
    </row>
    <row r="35704" spans="191:191" x14ac:dyDescent="0.2">
      <c r="GI35704" s="422"/>
    </row>
    <row r="35705" spans="191:191" x14ac:dyDescent="0.2">
      <c r="GI35705" s="422"/>
    </row>
    <row r="35706" spans="191:191" x14ac:dyDescent="0.2">
      <c r="GI35706" s="422"/>
    </row>
    <row r="35707" spans="191:191" x14ac:dyDescent="0.2">
      <c r="GI35707" s="422"/>
    </row>
    <row r="35708" spans="191:191" x14ac:dyDescent="0.2">
      <c r="GI35708" s="422"/>
    </row>
    <row r="35709" spans="191:191" x14ac:dyDescent="0.2">
      <c r="GI35709" s="422"/>
    </row>
    <row r="35710" spans="191:191" x14ac:dyDescent="0.2">
      <c r="GI35710" s="422"/>
    </row>
    <row r="35711" spans="191:191" x14ac:dyDescent="0.2">
      <c r="GI35711" s="422"/>
    </row>
    <row r="35712" spans="191:191" x14ac:dyDescent="0.2">
      <c r="GI35712" s="422"/>
    </row>
    <row r="35713" spans="191:191" x14ac:dyDescent="0.2">
      <c r="GI35713" s="422"/>
    </row>
    <row r="35714" spans="191:191" x14ac:dyDescent="0.2">
      <c r="GI35714" s="422"/>
    </row>
    <row r="35715" spans="191:191" x14ac:dyDescent="0.2">
      <c r="GI35715" s="422"/>
    </row>
    <row r="35716" spans="191:191" x14ac:dyDescent="0.2">
      <c r="GI35716" s="422"/>
    </row>
    <row r="35717" spans="191:191" x14ac:dyDescent="0.2">
      <c r="GI35717" s="422"/>
    </row>
    <row r="35718" spans="191:191" x14ac:dyDescent="0.2">
      <c r="GI35718" s="422"/>
    </row>
    <row r="35719" spans="191:191" x14ac:dyDescent="0.2">
      <c r="GI35719" s="422"/>
    </row>
    <row r="35720" spans="191:191" x14ac:dyDescent="0.2">
      <c r="GI35720" s="422"/>
    </row>
    <row r="35721" spans="191:191" x14ac:dyDescent="0.2">
      <c r="GI35721" s="422"/>
    </row>
    <row r="35722" spans="191:191" x14ac:dyDescent="0.2">
      <c r="GI35722" s="422"/>
    </row>
    <row r="35723" spans="191:191" x14ac:dyDescent="0.2">
      <c r="GI35723" s="422"/>
    </row>
    <row r="35724" spans="191:191" x14ac:dyDescent="0.2">
      <c r="GI35724" s="422"/>
    </row>
    <row r="35725" spans="191:191" x14ac:dyDescent="0.2">
      <c r="GI35725" s="422"/>
    </row>
    <row r="35726" spans="191:191" x14ac:dyDescent="0.2">
      <c r="GI35726" s="422"/>
    </row>
    <row r="35727" spans="191:191" x14ac:dyDescent="0.2">
      <c r="GI35727" s="422"/>
    </row>
    <row r="35728" spans="191:191" x14ac:dyDescent="0.2">
      <c r="GI35728" s="422"/>
    </row>
    <row r="35729" spans="191:191" x14ac:dyDescent="0.2">
      <c r="GI35729" s="422"/>
    </row>
    <row r="35730" spans="191:191" x14ac:dyDescent="0.2">
      <c r="GI35730" s="422"/>
    </row>
    <row r="35731" spans="191:191" x14ac:dyDescent="0.2">
      <c r="GI35731" s="422"/>
    </row>
    <row r="35732" spans="191:191" x14ac:dyDescent="0.2">
      <c r="GI35732" s="422"/>
    </row>
    <row r="35733" spans="191:191" x14ac:dyDescent="0.2">
      <c r="GI35733" s="422"/>
    </row>
    <row r="35734" spans="191:191" x14ac:dyDescent="0.2">
      <c r="GI35734" s="422"/>
    </row>
    <row r="35735" spans="191:191" x14ac:dyDescent="0.2">
      <c r="GI35735" s="422"/>
    </row>
    <row r="35736" spans="191:191" x14ac:dyDescent="0.2">
      <c r="GI35736" s="422"/>
    </row>
    <row r="35737" spans="191:191" x14ac:dyDescent="0.2">
      <c r="GI35737" s="422"/>
    </row>
    <row r="35738" spans="191:191" x14ac:dyDescent="0.2">
      <c r="GI35738" s="422"/>
    </row>
    <row r="35739" spans="191:191" x14ac:dyDescent="0.2">
      <c r="GI35739" s="422"/>
    </row>
    <row r="35740" spans="191:191" x14ac:dyDescent="0.2">
      <c r="GI35740" s="422"/>
    </row>
    <row r="35741" spans="191:191" x14ac:dyDescent="0.2">
      <c r="GI35741" s="422"/>
    </row>
    <row r="35742" spans="191:191" x14ac:dyDescent="0.2">
      <c r="GI35742" s="422"/>
    </row>
    <row r="35743" spans="191:191" x14ac:dyDescent="0.2">
      <c r="GI35743" s="422"/>
    </row>
    <row r="35744" spans="191:191" x14ac:dyDescent="0.2">
      <c r="GI35744" s="422"/>
    </row>
    <row r="35745" spans="191:191" x14ac:dyDescent="0.2">
      <c r="GI35745" s="422"/>
    </row>
    <row r="35746" spans="191:191" x14ac:dyDescent="0.2">
      <c r="GI35746" s="422"/>
    </row>
    <row r="35747" spans="191:191" x14ac:dyDescent="0.2">
      <c r="GI35747" s="422"/>
    </row>
    <row r="35748" spans="191:191" x14ac:dyDescent="0.2">
      <c r="GI35748" s="422"/>
    </row>
    <row r="35749" spans="191:191" x14ac:dyDescent="0.2">
      <c r="GI35749" s="422"/>
    </row>
    <row r="35750" spans="191:191" x14ac:dyDescent="0.2">
      <c r="GI35750" s="422"/>
    </row>
    <row r="35751" spans="191:191" x14ac:dyDescent="0.2">
      <c r="GI35751" s="422"/>
    </row>
    <row r="35752" spans="191:191" x14ac:dyDescent="0.2">
      <c r="GI35752" s="422"/>
    </row>
    <row r="35753" spans="191:191" x14ac:dyDescent="0.2">
      <c r="GI35753" s="422"/>
    </row>
    <row r="35754" spans="191:191" x14ac:dyDescent="0.2">
      <c r="GI35754" s="422"/>
    </row>
    <row r="35755" spans="191:191" x14ac:dyDescent="0.2">
      <c r="GI35755" s="422"/>
    </row>
    <row r="35756" spans="191:191" x14ac:dyDescent="0.2">
      <c r="GI35756" s="422"/>
    </row>
    <row r="35757" spans="191:191" x14ac:dyDescent="0.2">
      <c r="GI35757" s="422"/>
    </row>
    <row r="35758" spans="191:191" x14ac:dyDescent="0.2">
      <c r="GI35758" s="422"/>
    </row>
    <row r="35759" spans="191:191" x14ac:dyDescent="0.2">
      <c r="GI35759" s="422"/>
    </row>
    <row r="35760" spans="191:191" x14ac:dyDescent="0.2">
      <c r="GI35760" s="422"/>
    </row>
    <row r="35761" spans="191:191" x14ac:dyDescent="0.2">
      <c r="GI35761" s="422"/>
    </row>
    <row r="35762" spans="191:191" x14ac:dyDescent="0.2">
      <c r="GI35762" s="422"/>
    </row>
    <row r="35763" spans="191:191" x14ac:dyDescent="0.2">
      <c r="GI35763" s="422"/>
    </row>
    <row r="35764" spans="191:191" x14ac:dyDescent="0.2">
      <c r="GI35764" s="422"/>
    </row>
    <row r="35765" spans="191:191" x14ac:dyDescent="0.2">
      <c r="GI35765" s="422"/>
    </row>
    <row r="35766" spans="191:191" x14ac:dyDescent="0.2">
      <c r="GI35766" s="422"/>
    </row>
    <row r="35767" spans="191:191" x14ac:dyDescent="0.2">
      <c r="GI35767" s="422"/>
    </row>
    <row r="35768" spans="191:191" x14ac:dyDescent="0.2">
      <c r="GI35768" s="422"/>
    </row>
    <row r="35769" spans="191:191" x14ac:dyDescent="0.2">
      <c r="GI35769" s="422"/>
    </row>
    <row r="35770" spans="191:191" x14ac:dyDescent="0.2">
      <c r="GI35770" s="422"/>
    </row>
    <row r="35771" spans="191:191" x14ac:dyDescent="0.2">
      <c r="GI35771" s="422"/>
    </row>
    <row r="35772" spans="191:191" x14ac:dyDescent="0.2">
      <c r="GI35772" s="422"/>
    </row>
    <row r="35773" spans="191:191" x14ac:dyDescent="0.2">
      <c r="GI35773" s="422"/>
    </row>
    <row r="35774" spans="191:191" x14ac:dyDescent="0.2">
      <c r="GI35774" s="422"/>
    </row>
    <row r="35775" spans="191:191" x14ac:dyDescent="0.2">
      <c r="GI35775" s="422"/>
    </row>
    <row r="35776" spans="191:191" x14ac:dyDescent="0.2">
      <c r="GI35776" s="422"/>
    </row>
    <row r="35777" spans="191:191" x14ac:dyDescent="0.2">
      <c r="GI35777" s="422"/>
    </row>
    <row r="35778" spans="191:191" x14ac:dyDescent="0.2">
      <c r="GI35778" s="422"/>
    </row>
    <row r="35779" spans="191:191" x14ac:dyDescent="0.2">
      <c r="GI35779" s="422"/>
    </row>
    <row r="35780" spans="191:191" x14ac:dyDescent="0.2">
      <c r="GI35780" s="422"/>
    </row>
    <row r="35781" spans="191:191" x14ac:dyDescent="0.2">
      <c r="GI35781" s="422"/>
    </row>
    <row r="35782" spans="191:191" x14ac:dyDescent="0.2">
      <c r="GI35782" s="422"/>
    </row>
    <row r="35783" spans="191:191" x14ac:dyDescent="0.2">
      <c r="GI35783" s="422"/>
    </row>
    <row r="35784" spans="191:191" x14ac:dyDescent="0.2">
      <c r="GI35784" s="422"/>
    </row>
    <row r="35785" spans="191:191" x14ac:dyDescent="0.2">
      <c r="GI35785" s="422"/>
    </row>
    <row r="35786" spans="191:191" x14ac:dyDescent="0.2">
      <c r="GI35786" s="422"/>
    </row>
    <row r="35787" spans="191:191" x14ac:dyDescent="0.2">
      <c r="GI35787" s="422"/>
    </row>
    <row r="35788" spans="191:191" x14ac:dyDescent="0.2">
      <c r="GI35788" s="422"/>
    </row>
    <row r="35789" spans="191:191" x14ac:dyDescent="0.2">
      <c r="GI35789" s="422"/>
    </row>
    <row r="35790" spans="191:191" x14ac:dyDescent="0.2">
      <c r="GI35790" s="422"/>
    </row>
    <row r="35791" spans="191:191" x14ac:dyDescent="0.2">
      <c r="GI35791" s="422"/>
    </row>
    <row r="35792" spans="191:191" x14ac:dyDescent="0.2">
      <c r="GI35792" s="422"/>
    </row>
    <row r="35793" spans="191:191" x14ac:dyDescent="0.2">
      <c r="GI35793" s="422"/>
    </row>
    <row r="35794" spans="191:191" x14ac:dyDescent="0.2">
      <c r="GI35794" s="422"/>
    </row>
    <row r="35795" spans="191:191" x14ac:dyDescent="0.2">
      <c r="GI35795" s="422"/>
    </row>
    <row r="35796" spans="191:191" x14ac:dyDescent="0.2">
      <c r="GI35796" s="422"/>
    </row>
    <row r="35797" spans="191:191" x14ac:dyDescent="0.2">
      <c r="GI35797" s="422"/>
    </row>
    <row r="35798" spans="191:191" x14ac:dyDescent="0.2">
      <c r="GI35798" s="422"/>
    </row>
    <row r="35799" spans="191:191" x14ac:dyDescent="0.2">
      <c r="GI35799" s="422"/>
    </row>
    <row r="35800" spans="191:191" x14ac:dyDescent="0.2">
      <c r="GI35800" s="422"/>
    </row>
    <row r="35801" spans="191:191" x14ac:dyDescent="0.2">
      <c r="GI35801" s="422"/>
    </row>
    <row r="35802" spans="191:191" x14ac:dyDescent="0.2">
      <c r="GI35802" s="422"/>
    </row>
    <row r="35803" spans="191:191" x14ac:dyDescent="0.2">
      <c r="GI35803" s="422"/>
    </row>
    <row r="35804" spans="191:191" x14ac:dyDescent="0.2">
      <c r="GI35804" s="422"/>
    </row>
    <row r="35805" spans="191:191" x14ac:dyDescent="0.2">
      <c r="GI35805" s="422"/>
    </row>
    <row r="35806" spans="191:191" x14ac:dyDescent="0.2">
      <c r="GI35806" s="422"/>
    </row>
    <row r="35807" spans="191:191" x14ac:dyDescent="0.2">
      <c r="GI35807" s="422"/>
    </row>
    <row r="35808" spans="191:191" x14ac:dyDescent="0.2">
      <c r="GI35808" s="422"/>
    </row>
    <row r="35809" spans="191:191" x14ac:dyDescent="0.2">
      <c r="GI35809" s="422"/>
    </row>
    <row r="35810" spans="191:191" x14ac:dyDescent="0.2">
      <c r="GI35810" s="422"/>
    </row>
    <row r="35811" spans="191:191" x14ac:dyDescent="0.2">
      <c r="GI35811" s="422"/>
    </row>
    <row r="35812" spans="191:191" x14ac:dyDescent="0.2">
      <c r="GI35812" s="422"/>
    </row>
    <row r="35813" spans="191:191" x14ac:dyDescent="0.2">
      <c r="GI35813" s="422"/>
    </row>
    <row r="35814" spans="191:191" x14ac:dyDescent="0.2">
      <c r="GI35814" s="422"/>
    </row>
    <row r="35815" spans="191:191" x14ac:dyDescent="0.2">
      <c r="GI35815" s="422"/>
    </row>
    <row r="35816" spans="191:191" x14ac:dyDescent="0.2">
      <c r="GI35816" s="422"/>
    </row>
    <row r="35817" spans="191:191" x14ac:dyDescent="0.2">
      <c r="GI35817" s="422"/>
    </row>
    <row r="35818" spans="191:191" x14ac:dyDescent="0.2">
      <c r="GI35818" s="422"/>
    </row>
    <row r="35819" spans="191:191" x14ac:dyDescent="0.2">
      <c r="GI35819" s="422"/>
    </row>
    <row r="35820" spans="191:191" x14ac:dyDescent="0.2">
      <c r="GI35820" s="422"/>
    </row>
    <row r="35821" spans="191:191" x14ac:dyDescent="0.2">
      <c r="GI35821" s="422"/>
    </row>
    <row r="35822" spans="191:191" x14ac:dyDescent="0.2">
      <c r="GI35822" s="422"/>
    </row>
    <row r="35823" spans="191:191" x14ac:dyDescent="0.2">
      <c r="GI35823" s="422"/>
    </row>
    <row r="35824" spans="191:191" x14ac:dyDescent="0.2">
      <c r="GI35824" s="422"/>
    </row>
    <row r="35825" spans="191:191" x14ac:dyDescent="0.2">
      <c r="GI35825" s="422"/>
    </row>
    <row r="35826" spans="191:191" x14ac:dyDescent="0.2">
      <c r="GI35826" s="422"/>
    </row>
    <row r="35827" spans="191:191" x14ac:dyDescent="0.2">
      <c r="GI35827" s="422"/>
    </row>
    <row r="35828" spans="191:191" x14ac:dyDescent="0.2">
      <c r="GI35828" s="422"/>
    </row>
    <row r="35829" spans="191:191" x14ac:dyDescent="0.2">
      <c r="GI35829" s="422"/>
    </row>
    <row r="35830" spans="191:191" x14ac:dyDescent="0.2">
      <c r="GI35830" s="422"/>
    </row>
    <row r="35831" spans="191:191" x14ac:dyDescent="0.2">
      <c r="GI35831" s="422"/>
    </row>
    <row r="35832" spans="191:191" x14ac:dyDescent="0.2">
      <c r="GI35832" s="422"/>
    </row>
    <row r="35833" spans="191:191" x14ac:dyDescent="0.2">
      <c r="GI35833" s="422"/>
    </row>
    <row r="35834" spans="191:191" x14ac:dyDescent="0.2">
      <c r="GI35834" s="422"/>
    </row>
    <row r="35835" spans="191:191" x14ac:dyDescent="0.2">
      <c r="GI35835" s="422"/>
    </row>
    <row r="35836" spans="191:191" x14ac:dyDescent="0.2">
      <c r="GI35836" s="422"/>
    </row>
    <row r="35837" spans="191:191" x14ac:dyDescent="0.2">
      <c r="GI35837" s="422"/>
    </row>
    <row r="35838" spans="191:191" x14ac:dyDescent="0.2">
      <c r="GI35838" s="422"/>
    </row>
    <row r="35839" spans="191:191" x14ac:dyDescent="0.2">
      <c r="GI35839" s="422"/>
    </row>
    <row r="35840" spans="191:191" x14ac:dyDescent="0.2">
      <c r="GI35840" s="422"/>
    </row>
    <row r="35841" spans="191:191" x14ac:dyDescent="0.2">
      <c r="GI35841" s="422"/>
    </row>
    <row r="35842" spans="191:191" x14ac:dyDescent="0.2">
      <c r="GI35842" s="422"/>
    </row>
    <row r="35843" spans="191:191" x14ac:dyDescent="0.2">
      <c r="GI35843" s="422"/>
    </row>
    <row r="35844" spans="191:191" x14ac:dyDescent="0.2">
      <c r="GI35844" s="422"/>
    </row>
    <row r="35845" spans="191:191" x14ac:dyDescent="0.2">
      <c r="GI35845" s="422"/>
    </row>
    <row r="35846" spans="191:191" x14ac:dyDescent="0.2">
      <c r="GI35846" s="422"/>
    </row>
    <row r="35847" spans="191:191" x14ac:dyDescent="0.2">
      <c r="GI35847" s="422"/>
    </row>
    <row r="35848" spans="191:191" x14ac:dyDescent="0.2">
      <c r="GI35848" s="422"/>
    </row>
    <row r="35849" spans="191:191" x14ac:dyDescent="0.2">
      <c r="GI35849" s="422"/>
    </row>
    <row r="35850" spans="191:191" x14ac:dyDescent="0.2">
      <c r="GI35850" s="422"/>
    </row>
    <row r="35851" spans="191:191" x14ac:dyDescent="0.2">
      <c r="GI35851" s="422"/>
    </row>
    <row r="35852" spans="191:191" x14ac:dyDescent="0.2">
      <c r="GI35852" s="422"/>
    </row>
    <row r="35853" spans="191:191" x14ac:dyDescent="0.2">
      <c r="GI35853" s="422"/>
    </row>
    <row r="35854" spans="191:191" x14ac:dyDescent="0.2">
      <c r="GI35854" s="422"/>
    </row>
    <row r="35855" spans="191:191" x14ac:dyDescent="0.2">
      <c r="GI35855" s="422"/>
    </row>
    <row r="35856" spans="191:191" x14ac:dyDescent="0.2">
      <c r="GI35856" s="422"/>
    </row>
    <row r="35857" spans="191:191" x14ac:dyDescent="0.2">
      <c r="GI35857" s="422"/>
    </row>
    <row r="35858" spans="191:191" x14ac:dyDescent="0.2">
      <c r="GI35858" s="422"/>
    </row>
    <row r="35859" spans="191:191" x14ac:dyDescent="0.2">
      <c r="GI35859" s="422"/>
    </row>
    <row r="35860" spans="191:191" x14ac:dyDescent="0.2">
      <c r="GI35860" s="422"/>
    </row>
    <row r="35861" spans="191:191" x14ac:dyDescent="0.2">
      <c r="GI35861" s="422"/>
    </row>
    <row r="35862" spans="191:191" x14ac:dyDescent="0.2">
      <c r="GI35862" s="422"/>
    </row>
    <row r="35863" spans="191:191" x14ac:dyDescent="0.2">
      <c r="GI35863" s="422"/>
    </row>
    <row r="35864" spans="191:191" x14ac:dyDescent="0.2">
      <c r="GI35864" s="422"/>
    </row>
    <row r="35865" spans="191:191" x14ac:dyDescent="0.2">
      <c r="GI35865" s="422"/>
    </row>
    <row r="35866" spans="191:191" x14ac:dyDescent="0.2">
      <c r="GI35866" s="422"/>
    </row>
    <row r="35867" spans="191:191" x14ac:dyDescent="0.2">
      <c r="GI35867" s="422"/>
    </row>
    <row r="35868" spans="191:191" x14ac:dyDescent="0.2">
      <c r="GI35868" s="422"/>
    </row>
    <row r="35869" spans="191:191" x14ac:dyDescent="0.2">
      <c r="GI35869" s="422"/>
    </row>
    <row r="35870" spans="191:191" x14ac:dyDescent="0.2">
      <c r="GI35870" s="422"/>
    </row>
    <row r="35871" spans="191:191" x14ac:dyDescent="0.2">
      <c r="GI35871" s="422"/>
    </row>
    <row r="35872" spans="191:191" x14ac:dyDescent="0.2">
      <c r="GI35872" s="422"/>
    </row>
    <row r="35873" spans="191:191" x14ac:dyDescent="0.2">
      <c r="GI35873" s="422"/>
    </row>
    <row r="35874" spans="191:191" x14ac:dyDescent="0.2">
      <c r="GI35874" s="422"/>
    </row>
    <row r="35875" spans="191:191" x14ac:dyDescent="0.2">
      <c r="GI35875" s="422"/>
    </row>
    <row r="35876" spans="191:191" x14ac:dyDescent="0.2">
      <c r="GI35876" s="422"/>
    </row>
    <row r="35877" spans="191:191" x14ac:dyDescent="0.2">
      <c r="GI35877" s="422"/>
    </row>
    <row r="35878" spans="191:191" x14ac:dyDescent="0.2">
      <c r="GI35878" s="422"/>
    </row>
    <row r="35879" spans="191:191" x14ac:dyDescent="0.2">
      <c r="GI35879" s="422"/>
    </row>
    <row r="35880" spans="191:191" x14ac:dyDescent="0.2">
      <c r="GI35880" s="422"/>
    </row>
    <row r="35881" spans="191:191" x14ac:dyDescent="0.2">
      <c r="GI35881" s="422"/>
    </row>
    <row r="35882" spans="191:191" x14ac:dyDescent="0.2">
      <c r="GI35882" s="422"/>
    </row>
    <row r="35883" spans="191:191" x14ac:dyDescent="0.2">
      <c r="GI35883" s="422"/>
    </row>
    <row r="35884" spans="191:191" x14ac:dyDescent="0.2">
      <c r="GI35884" s="422"/>
    </row>
    <row r="35885" spans="191:191" x14ac:dyDescent="0.2">
      <c r="GI35885" s="422"/>
    </row>
    <row r="35886" spans="191:191" x14ac:dyDescent="0.2">
      <c r="GI35886" s="422"/>
    </row>
    <row r="35887" spans="191:191" x14ac:dyDescent="0.2">
      <c r="GI35887" s="422"/>
    </row>
    <row r="35888" spans="191:191" x14ac:dyDescent="0.2">
      <c r="GI35888" s="422"/>
    </row>
    <row r="35889" spans="191:191" x14ac:dyDescent="0.2">
      <c r="GI35889" s="422"/>
    </row>
    <row r="35890" spans="191:191" x14ac:dyDescent="0.2">
      <c r="GI35890" s="422"/>
    </row>
    <row r="35891" spans="191:191" x14ac:dyDescent="0.2">
      <c r="GI35891" s="422"/>
    </row>
    <row r="35892" spans="191:191" x14ac:dyDescent="0.2">
      <c r="GI35892" s="422"/>
    </row>
    <row r="35893" spans="191:191" x14ac:dyDescent="0.2">
      <c r="GI35893" s="422"/>
    </row>
    <row r="35894" spans="191:191" x14ac:dyDescent="0.2">
      <c r="GI35894" s="422"/>
    </row>
    <row r="35895" spans="191:191" x14ac:dyDescent="0.2">
      <c r="GI35895" s="422"/>
    </row>
    <row r="35896" spans="191:191" x14ac:dyDescent="0.2">
      <c r="GI35896" s="422"/>
    </row>
    <row r="35897" spans="191:191" x14ac:dyDescent="0.2">
      <c r="GI35897" s="422"/>
    </row>
    <row r="35898" spans="191:191" x14ac:dyDescent="0.2">
      <c r="GI35898" s="422"/>
    </row>
    <row r="35899" spans="191:191" x14ac:dyDescent="0.2">
      <c r="GI35899" s="422"/>
    </row>
    <row r="35900" spans="191:191" x14ac:dyDescent="0.2">
      <c r="GI35900" s="422"/>
    </row>
    <row r="35901" spans="191:191" x14ac:dyDescent="0.2">
      <c r="GI35901" s="422"/>
    </row>
    <row r="35902" spans="191:191" x14ac:dyDescent="0.2">
      <c r="GI35902" s="422"/>
    </row>
    <row r="35903" spans="191:191" x14ac:dyDescent="0.2">
      <c r="GI35903" s="422"/>
    </row>
    <row r="35904" spans="191:191" x14ac:dyDescent="0.2">
      <c r="GI35904" s="422"/>
    </row>
    <row r="35905" spans="191:191" x14ac:dyDescent="0.2">
      <c r="GI35905" s="422"/>
    </row>
    <row r="35906" spans="191:191" x14ac:dyDescent="0.2">
      <c r="GI35906" s="422"/>
    </row>
    <row r="35907" spans="191:191" x14ac:dyDescent="0.2">
      <c r="GI35907" s="422"/>
    </row>
    <row r="35908" spans="191:191" x14ac:dyDescent="0.2">
      <c r="GI35908" s="422"/>
    </row>
    <row r="35909" spans="191:191" x14ac:dyDescent="0.2">
      <c r="GI35909" s="422"/>
    </row>
    <row r="35910" spans="191:191" x14ac:dyDescent="0.2">
      <c r="GI35910" s="422"/>
    </row>
    <row r="35911" spans="191:191" x14ac:dyDescent="0.2">
      <c r="GI35911" s="422"/>
    </row>
    <row r="35912" spans="191:191" x14ac:dyDescent="0.2">
      <c r="GI35912" s="422"/>
    </row>
    <row r="35913" spans="191:191" x14ac:dyDescent="0.2">
      <c r="GI35913" s="422"/>
    </row>
    <row r="35914" spans="191:191" x14ac:dyDescent="0.2">
      <c r="GI35914" s="422"/>
    </row>
    <row r="35915" spans="191:191" x14ac:dyDescent="0.2">
      <c r="GI35915" s="422"/>
    </row>
    <row r="35916" spans="191:191" x14ac:dyDescent="0.2">
      <c r="GI35916" s="422"/>
    </row>
    <row r="35917" spans="191:191" x14ac:dyDescent="0.2">
      <c r="GI35917" s="422"/>
    </row>
    <row r="35918" spans="191:191" x14ac:dyDescent="0.2">
      <c r="GI35918" s="422"/>
    </row>
    <row r="35919" spans="191:191" x14ac:dyDescent="0.2">
      <c r="GI35919" s="422"/>
    </row>
    <row r="35920" spans="191:191" x14ac:dyDescent="0.2">
      <c r="GI35920" s="422"/>
    </row>
    <row r="35921" spans="191:191" x14ac:dyDescent="0.2">
      <c r="GI35921" s="422"/>
    </row>
    <row r="35922" spans="191:191" x14ac:dyDescent="0.2">
      <c r="GI35922" s="422"/>
    </row>
    <row r="35923" spans="191:191" x14ac:dyDescent="0.2">
      <c r="GI35923" s="422"/>
    </row>
    <row r="35924" spans="191:191" x14ac:dyDescent="0.2">
      <c r="GI35924" s="422"/>
    </row>
    <row r="35925" spans="191:191" x14ac:dyDescent="0.2">
      <c r="GI35925" s="422"/>
    </row>
    <row r="35926" spans="191:191" x14ac:dyDescent="0.2">
      <c r="GI35926" s="422"/>
    </row>
    <row r="35927" spans="191:191" x14ac:dyDescent="0.2">
      <c r="GI35927" s="422"/>
    </row>
    <row r="35928" spans="191:191" x14ac:dyDescent="0.2">
      <c r="GI35928" s="422"/>
    </row>
    <row r="35929" spans="191:191" x14ac:dyDescent="0.2">
      <c r="GI35929" s="422"/>
    </row>
    <row r="35930" spans="191:191" x14ac:dyDescent="0.2">
      <c r="GI35930" s="422"/>
    </row>
    <row r="35931" spans="191:191" x14ac:dyDescent="0.2">
      <c r="GI35931" s="422"/>
    </row>
    <row r="35932" spans="191:191" x14ac:dyDescent="0.2">
      <c r="GI35932" s="422"/>
    </row>
    <row r="35933" spans="191:191" x14ac:dyDescent="0.2">
      <c r="GI35933" s="422"/>
    </row>
    <row r="35934" spans="191:191" x14ac:dyDescent="0.2">
      <c r="GI35934" s="422"/>
    </row>
    <row r="35935" spans="191:191" x14ac:dyDescent="0.2">
      <c r="GI35935" s="422"/>
    </row>
    <row r="35936" spans="191:191" x14ac:dyDescent="0.2">
      <c r="GI35936" s="422"/>
    </row>
    <row r="35937" spans="191:191" x14ac:dyDescent="0.2">
      <c r="GI35937" s="422"/>
    </row>
    <row r="35938" spans="191:191" x14ac:dyDescent="0.2">
      <c r="GI35938" s="422"/>
    </row>
    <row r="35939" spans="191:191" x14ac:dyDescent="0.2">
      <c r="GI35939" s="422"/>
    </row>
    <row r="35940" spans="191:191" x14ac:dyDescent="0.2">
      <c r="GI35940" s="422"/>
    </row>
    <row r="35941" spans="191:191" x14ac:dyDescent="0.2">
      <c r="GI35941" s="422"/>
    </row>
    <row r="35942" spans="191:191" x14ac:dyDescent="0.2">
      <c r="GI35942" s="422"/>
    </row>
    <row r="35943" spans="191:191" x14ac:dyDescent="0.2">
      <c r="GI35943" s="422"/>
    </row>
    <row r="35944" spans="191:191" x14ac:dyDescent="0.2">
      <c r="GI35944" s="422"/>
    </row>
    <row r="35945" spans="191:191" x14ac:dyDescent="0.2">
      <c r="GI35945" s="422"/>
    </row>
    <row r="35946" spans="191:191" x14ac:dyDescent="0.2">
      <c r="GI35946" s="422"/>
    </row>
    <row r="35947" spans="191:191" x14ac:dyDescent="0.2">
      <c r="GI35947" s="422"/>
    </row>
    <row r="35948" spans="191:191" x14ac:dyDescent="0.2">
      <c r="GI35948" s="422"/>
    </row>
    <row r="35949" spans="191:191" x14ac:dyDescent="0.2">
      <c r="GI35949" s="422"/>
    </row>
    <row r="35950" spans="191:191" x14ac:dyDescent="0.2">
      <c r="GI35950" s="422"/>
    </row>
    <row r="35951" spans="191:191" x14ac:dyDescent="0.2">
      <c r="GI35951" s="422"/>
    </row>
    <row r="35952" spans="191:191" x14ac:dyDescent="0.2">
      <c r="GI35952" s="422"/>
    </row>
    <row r="35953" spans="191:191" x14ac:dyDescent="0.2">
      <c r="GI35953" s="422"/>
    </row>
    <row r="35954" spans="191:191" x14ac:dyDescent="0.2">
      <c r="GI35954" s="422"/>
    </row>
    <row r="35955" spans="191:191" x14ac:dyDescent="0.2">
      <c r="GI35955" s="422"/>
    </row>
    <row r="35956" spans="191:191" x14ac:dyDescent="0.2">
      <c r="GI35956" s="422"/>
    </row>
    <row r="35957" spans="191:191" x14ac:dyDescent="0.2">
      <c r="GI35957" s="422"/>
    </row>
    <row r="35958" spans="191:191" x14ac:dyDescent="0.2">
      <c r="GI35958" s="422"/>
    </row>
    <row r="35959" spans="191:191" x14ac:dyDescent="0.2">
      <c r="GI35959" s="422"/>
    </row>
    <row r="35960" spans="191:191" x14ac:dyDescent="0.2">
      <c r="GI35960" s="422"/>
    </row>
    <row r="35961" spans="191:191" x14ac:dyDescent="0.2">
      <c r="GI35961" s="422"/>
    </row>
    <row r="35962" spans="191:191" x14ac:dyDescent="0.2">
      <c r="GI35962" s="422"/>
    </row>
    <row r="35963" spans="191:191" x14ac:dyDescent="0.2">
      <c r="GI35963" s="422"/>
    </row>
    <row r="35964" spans="191:191" x14ac:dyDescent="0.2">
      <c r="GI35964" s="422"/>
    </row>
    <row r="35965" spans="191:191" x14ac:dyDescent="0.2">
      <c r="GI35965" s="422"/>
    </row>
    <row r="35966" spans="191:191" x14ac:dyDescent="0.2">
      <c r="GI35966" s="422"/>
    </row>
    <row r="35967" spans="191:191" x14ac:dyDescent="0.2">
      <c r="GI35967" s="422"/>
    </row>
    <row r="35968" spans="191:191" x14ac:dyDescent="0.2">
      <c r="GI35968" s="422"/>
    </row>
    <row r="35969" spans="191:191" x14ac:dyDescent="0.2">
      <c r="GI35969" s="422"/>
    </row>
    <row r="35970" spans="191:191" x14ac:dyDescent="0.2">
      <c r="GI35970" s="422"/>
    </row>
    <row r="35971" spans="191:191" x14ac:dyDescent="0.2">
      <c r="GI35971" s="422"/>
    </row>
    <row r="35972" spans="191:191" x14ac:dyDescent="0.2">
      <c r="GI35972" s="422"/>
    </row>
    <row r="35973" spans="191:191" x14ac:dyDescent="0.2">
      <c r="GI35973" s="422"/>
    </row>
    <row r="35974" spans="191:191" x14ac:dyDescent="0.2">
      <c r="GI35974" s="422"/>
    </row>
    <row r="35975" spans="191:191" x14ac:dyDescent="0.2">
      <c r="GI35975" s="422"/>
    </row>
    <row r="35976" spans="191:191" x14ac:dyDescent="0.2">
      <c r="GI35976" s="422"/>
    </row>
    <row r="35977" spans="191:191" x14ac:dyDescent="0.2">
      <c r="GI35977" s="422"/>
    </row>
    <row r="35978" spans="191:191" x14ac:dyDescent="0.2">
      <c r="GI35978" s="422"/>
    </row>
    <row r="35979" spans="191:191" x14ac:dyDescent="0.2">
      <c r="GI35979" s="422"/>
    </row>
    <row r="35980" spans="191:191" x14ac:dyDescent="0.2">
      <c r="GI35980" s="422"/>
    </row>
    <row r="35981" spans="191:191" x14ac:dyDescent="0.2">
      <c r="GI35981" s="422"/>
    </row>
    <row r="35982" spans="191:191" x14ac:dyDescent="0.2">
      <c r="GI35982" s="422"/>
    </row>
    <row r="35983" spans="191:191" x14ac:dyDescent="0.2">
      <c r="GI35983" s="422"/>
    </row>
    <row r="35984" spans="191:191" x14ac:dyDescent="0.2">
      <c r="GI35984" s="422"/>
    </row>
    <row r="35985" spans="191:191" x14ac:dyDescent="0.2">
      <c r="GI35985" s="422"/>
    </row>
    <row r="35986" spans="191:191" x14ac:dyDescent="0.2">
      <c r="GI35986" s="422"/>
    </row>
    <row r="35987" spans="191:191" x14ac:dyDescent="0.2">
      <c r="GI35987" s="422"/>
    </row>
    <row r="35988" spans="191:191" x14ac:dyDescent="0.2">
      <c r="GI35988" s="422"/>
    </row>
    <row r="35989" spans="191:191" x14ac:dyDescent="0.2">
      <c r="GI35989" s="422"/>
    </row>
    <row r="35990" spans="191:191" x14ac:dyDescent="0.2">
      <c r="GI35990" s="422"/>
    </row>
    <row r="35991" spans="191:191" x14ac:dyDescent="0.2">
      <c r="GI35991" s="422"/>
    </row>
    <row r="35992" spans="191:191" x14ac:dyDescent="0.2">
      <c r="GI35992" s="422"/>
    </row>
    <row r="35993" spans="191:191" x14ac:dyDescent="0.2">
      <c r="GI35993" s="422"/>
    </row>
    <row r="35994" spans="191:191" x14ac:dyDescent="0.2">
      <c r="GI35994" s="422"/>
    </row>
    <row r="35995" spans="191:191" x14ac:dyDescent="0.2">
      <c r="GI35995" s="422"/>
    </row>
    <row r="35996" spans="191:191" x14ac:dyDescent="0.2">
      <c r="GI35996" s="422"/>
    </row>
    <row r="35997" spans="191:191" x14ac:dyDescent="0.2">
      <c r="GI35997" s="422"/>
    </row>
    <row r="35998" spans="191:191" x14ac:dyDescent="0.2">
      <c r="GI35998" s="422"/>
    </row>
    <row r="35999" spans="191:191" x14ac:dyDescent="0.2">
      <c r="GI35999" s="422"/>
    </row>
    <row r="36000" spans="191:191" x14ac:dyDescent="0.2">
      <c r="GI36000" s="422"/>
    </row>
    <row r="36001" spans="191:191" x14ac:dyDescent="0.2">
      <c r="GI36001" s="422"/>
    </row>
    <row r="36002" spans="191:191" x14ac:dyDescent="0.2">
      <c r="GI36002" s="422"/>
    </row>
    <row r="36003" spans="191:191" x14ac:dyDescent="0.2">
      <c r="GI36003" s="422"/>
    </row>
    <row r="36004" spans="191:191" x14ac:dyDescent="0.2">
      <c r="GI36004" s="422"/>
    </row>
    <row r="36005" spans="191:191" x14ac:dyDescent="0.2">
      <c r="GI36005" s="422"/>
    </row>
    <row r="36006" spans="191:191" x14ac:dyDescent="0.2">
      <c r="GI36006" s="422"/>
    </row>
    <row r="36007" spans="191:191" x14ac:dyDescent="0.2">
      <c r="GI36007" s="422"/>
    </row>
    <row r="36008" spans="191:191" x14ac:dyDescent="0.2">
      <c r="GI36008" s="422"/>
    </row>
    <row r="36009" spans="191:191" x14ac:dyDescent="0.2">
      <c r="GI36009" s="422"/>
    </row>
    <row r="36010" spans="191:191" x14ac:dyDescent="0.2">
      <c r="GI36010" s="422"/>
    </row>
    <row r="36011" spans="191:191" x14ac:dyDescent="0.2">
      <c r="GI36011" s="422"/>
    </row>
    <row r="36012" spans="191:191" x14ac:dyDescent="0.2">
      <c r="GI36012" s="422"/>
    </row>
    <row r="36013" spans="191:191" x14ac:dyDescent="0.2">
      <c r="GI36013" s="422"/>
    </row>
    <row r="36014" spans="191:191" x14ac:dyDescent="0.2">
      <c r="GI36014" s="422"/>
    </row>
    <row r="36015" spans="191:191" x14ac:dyDescent="0.2">
      <c r="GI36015" s="422"/>
    </row>
    <row r="36016" spans="191:191" x14ac:dyDescent="0.2">
      <c r="GI36016" s="422"/>
    </row>
    <row r="36017" spans="191:191" x14ac:dyDescent="0.2">
      <c r="GI36017" s="422"/>
    </row>
    <row r="36018" spans="191:191" x14ac:dyDescent="0.2">
      <c r="GI36018" s="422"/>
    </row>
    <row r="36019" spans="191:191" x14ac:dyDescent="0.2">
      <c r="GI36019" s="422"/>
    </row>
    <row r="36020" spans="191:191" x14ac:dyDescent="0.2">
      <c r="GI36020" s="422"/>
    </row>
    <row r="36021" spans="191:191" x14ac:dyDescent="0.2">
      <c r="GI36021" s="422"/>
    </row>
    <row r="36022" spans="191:191" x14ac:dyDescent="0.2">
      <c r="GI36022" s="422"/>
    </row>
    <row r="36023" spans="191:191" x14ac:dyDescent="0.2">
      <c r="GI36023" s="422"/>
    </row>
    <row r="36024" spans="191:191" x14ac:dyDescent="0.2">
      <c r="GI36024" s="422"/>
    </row>
    <row r="36025" spans="191:191" x14ac:dyDescent="0.2">
      <c r="GI36025" s="422"/>
    </row>
    <row r="36026" spans="191:191" x14ac:dyDescent="0.2">
      <c r="GI36026" s="422"/>
    </row>
    <row r="36027" spans="191:191" x14ac:dyDescent="0.2">
      <c r="GI36027" s="422"/>
    </row>
    <row r="36028" spans="191:191" x14ac:dyDescent="0.2">
      <c r="GI36028" s="422"/>
    </row>
    <row r="36029" spans="191:191" x14ac:dyDescent="0.2">
      <c r="GI36029" s="422"/>
    </row>
    <row r="36030" spans="191:191" x14ac:dyDescent="0.2">
      <c r="GI36030" s="422"/>
    </row>
    <row r="36031" spans="191:191" x14ac:dyDescent="0.2">
      <c r="GI36031" s="422"/>
    </row>
    <row r="36032" spans="191:191" x14ac:dyDescent="0.2">
      <c r="GI36032" s="422"/>
    </row>
    <row r="36033" spans="191:191" x14ac:dyDescent="0.2">
      <c r="GI36033" s="422"/>
    </row>
    <row r="36034" spans="191:191" x14ac:dyDescent="0.2">
      <c r="GI36034" s="422"/>
    </row>
    <row r="36035" spans="191:191" x14ac:dyDescent="0.2">
      <c r="GI36035" s="422"/>
    </row>
    <row r="36036" spans="191:191" x14ac:dyDescent="0.2">
      <c r="GI36036" s="422"/>
    </row>
    <row r="36037" spans="191:191" x14ac:dyDescent="0.2">
      <c r="GI36037" s="422"/>
    </row>
    <row r="36038" spans="191:191" x14ac:dyDescent="0.2">
      <c r="GI36038" s="422"/>
    </row>
    <row r="36039" spans="191:191" x14ac:dyDescent="0.2">
      <c r="GI36039" s="422"/>
    </row>
    <row r="36040" spans="191:191" x14ac:dyDescent="0.2">
      <c r="GI36040" s="422"/>
    </row>
    <row r="36041" spans="191:191" x14ac:dyDescent="0.2">
      <c r="GI36041" s="422"/>
    </row>
    <row r="36042" spans="191:191" x14ac:dyDescent="0.2">
      <c r="GI36042" s="422"/>
    </row>
    <row r="36043" spans="191:191" x14ac:dyDescent="0.2">
      <c r="GI36043" s="422"/>
    </row>
    <row r="36044" spans="191:191" x14ac:dyDescent="0.2">
      <c r="GI36044" s="422"/>
    </row>
    <row r="36045" spans="191:191" x14ac:dyDescent="0.2">
      <c r="GI36045" s="422"/>
    </row>
    <row r="36046" spans="191:191" x14ac:dyDescent="0.2">
      <c r="GI36046" s="422"/>
    </row>
    <row r="36047" spans="191:191" x14ac:dyDescent="0.2">
      <c r="GI36047" s="422"/>
    </row>
    <row r="36048" spans="191:191" x14ac:dyDescent="0.2">
      <c r="GI36048" s="422"/>
    </row>
    <row r="36049" spans="191:191" x14ac:dyDescent="0.2">
      <c r="GI36049" s="422"/>
    </row>
    <row r="36050" spans="191:191" x14ac:dyDescent="0.2">
      <c r="GI36050" s="422"/>
    </row>
    <row r="36051" spans="191:191" x14ac:dyDescent="0.2">
      <c r="GI36051" s="422"/>
    </row>
    <row r="36052" spans="191:191" x14ac:dyDescent="0.2">
      <c r="GI36052" s="422"/>
    </row>
    <row r="36053" spans="191:191" x14ac:dyDescent="0.2">
      <c r="GI36053" s="422"/>
    </row>
    <row r="36054" spans="191:191" x14ac:dyDescent="0.2">
      <c r="GI36054" s="422"/>
    </row>
    <row r="36055" spans="191:191" x14ac:dyDescent="0.2">
      <c r="GI36055" s="422"/>
    </row>
    <row r="36056" spans="191:191" x14ac:dyDescent="0.2">
      <c r="GI36056" s="422"/>
    </row>
    <row r="36057" spans="191:191" x14ac:dyDescent="0.2">
      <c r="GI36057" s="422"/>
    </row>
    <row r="36058" spans="191:191" x14ac:dyDescent="0.2">
      <c r="GI36058" s="422"/>
    </row>
    <row r="36059" spans="191:191" x14ac:dyDescent="0.2">
      <c r="GI36059" s="422"/>
    </row>
    <row r="36060" spans="191:191" x14ac:dyDescent="0.2">
      <c r="GI36060" s="422"/>
    </row>
    <row r="36061" spans="191:191" x14ac:dyDescent="0.2">
      <c r="GI36061" s="422"/>
    </row>
    <row r="36062" spans="191:191" x14ac:dyDescent="0.2">
      <c r="GI36062" s="422"/>
    </row>
    <row r="36063" spans="191:191" x14ac:dyDescent="0.2">
      <c r="GI36063" s="422"/>
    </row>
    <row r="36064" spans="191:191" x14ac:dyDescent="0.2">
      <c r="GI36064" s="422"/>
    </row>
    <row r="36065" spans="191:191" x14ac:dyDescent="0.2">
      <c r="GI36065" s="422"/>
    </row>
    <row r="36066" spans="191:191" x14ac:dyDescent="0.2">
      <c r="GI36066" s="422"/>
    </row>
    <row r="36067" spans="191:191" x14ac:dyDescent="0.2">
      <c r="GI36067" s="422"/>
    </row>
    <row r="36068" spans="191:191" x14ac:dyDescent="0.2">
      <c r="GI36068" s="422"/>
    </row>
    <row r="36069" spans="191:191" x14ac:dyDescent="0.2">
      <c r="GI36069" s="422"/>
    </row>
    <row r="36070" spans="191:191" x14ac:dyDescent="0.2">
      <c r="GI36070" s="422"/>
    </row>
    <row r="36071" spans="191:191" x14ac:dyDescent="0.2">
      <c r="GI36071" s="422"/>
    </row>
    <row r="36072" spans="191:191" x14ac:dyDescent="0.2">
      <c r="GI36072" s="422"/>
    </row>
    <row r="36073" spans="191:191" x14ac:dyDescent="0.2">
      <c r="GI36073" s="422"/>
    </row>
    <row r="36074" spans="191:191" x14ac:dyDescent="0.2">
      <c r="GI36074" s="422"/>
    </row>
    <row r="36075" spans="191:191" x14ac:dyDescent="0.2">
      <c r="GI36075" s="422"/>
    </row>
    <row r="36076" spans="191:191" x14ac:dyDescent="0.2">
      <c r="GI36076" s="422"/>
    </row>
    <row r="36077" spans="191:191" x14ac:dyDescent="0.2">
      <c r="GI36077" s="422"/>
    </row>
    <row r="36078" spans="191:191" x14ac:dyDescent="0.2">
      <c r="GI36078" s="422"/>
    </row>
    <row r="36079" spans="191:191" x14ac:dyDescent="0.2">
      <c r="GI36079" s="422"/>
    </row>
    <row r="36080" spans="191:191" x14ac:dyDescent="0.2">
      <c r="GI36080" s="422"/>
    </row>
    <row r="36081" spans="191:191" x14ac:dyDescent="0.2">
      <c r="GI36081" s="422"/>
    </row>
    <row r="36082" spans="191:191" x14ac:dyDescent="0.2">
      <c r="GI36082" s="422"/>
    </row>
    <row r="36083" spans="191:191" x14ac:dyDescent="0.2">
      <c r="GI36083" s="422"/>
    </row>
    <row r="36084" spans="191:191" x14ac:dyDescent="0.2">
      <c r="GI36084" s="422"/>
    </row>
    <row r="36085" spans="191:191" x14ac:dyDescent="0.2">
      <c r="GI36085" s="422"/>
    </row>
    <row r="36086" spans="191:191" x14ac:dyDescent="0.2">
      <c r="GI36086" s="422"/>
    </row>
    <row r="36087" spans="191:191" x14ac:dyDescent="0.2">
      <c r="GI36087" s="422"/>
    </row>
    <row r="36088" spans="191:191" x14ac:dyDescent="0.2">
      <c r="GI36088" s="422"/>
    </row>
    <row r="36089" spans="191:191" x14ac:dyDescent="0.2">
      <c r="GI36089" s="422"/>
    </row>
    <row r="36090" spans="191:191" x14ac:dyDescent="0.2">
      <c r="GI36090" s="422"/>
    </row>
    <row r="36091" spans="191:191" x14ac:dyDescent="0.2">
      <c r="GI36091" s="422"/>
    </row>
    <row r="36092" spans="191:191" x14ac:dyDescent="0.2">
      <c r="GI36092" s="422"/>
    </row>
    <row r="36093" spans="191:191" x14ac:dyDescent="0.2">
      <c r="GI36093" s="422"/>
    </row>
    <row r="36094" spans="191:191" x14ac:dyDescent="0.2">
      <c r="GI36094" s="422"/>
    </row>
    <row r="36095" spans="191:191" x14ac:dyDescent="0.2">
      <c r="GI36095" s="422"/>
    </row>
    <row r="36096" spans="191:191" x14ac:dyDescent="0.2">
      <c r="GI36096" s="422"/>
    </row>
    <row r="36097" spans="191:191" x14ac:dyDescent="0.2">
      <c r="GI36097" s="422"/>
    </row>
    <row r="36098" spans="191:191" x14ac:dyDescent="0.2">
      <c r="GI36098" s="422"/>
    </row>
    <row r="36099" spans="191:191" x14ac:dyDescent="0.2">
      <c r="GI36099" s="422"/>
    </row>
    <row r="36100" spans="191:191" x14ac:dyDescent="0.2">
      <c r="GI36100" s="422"/>
    </row>
    <row r="36101" spans="191:191" x14ac:dyDescent="0.2">
      <c r="GI36101" s="422"/>
    </row>
    <row r="36102" spans="191:191" x14ac:dyDescent="0.2">
      <c r="GI36102" s="422"/>
    </row>
    <row r="36103" spans="191:191" x14ac:dyDescent="0.2">
      <c r="GI36103" s="422"/>
    </row>
    <row r="36104" spans="191:191" x14ac:dyDescent="0.2">
      <c r="GI36104" s="422"/>
    </row>
    <row r="36105" spans="191:191" x14ac:dyDescent="0.2">
      <c r="GI36105" s="422"/>
    </row>
    <row r="36106" spans="191:191" x14ac:dyDescent="0.2">
      <c r="GI36106" s="422"/>
    </row>
    <row r="36107" spans="191:191" x14ac:dyDescent="0.2">
      <c r="GI36107" s="422"/>
    </row>
    <row r="36108" spans="191:191" x14ac:dyDescent="0.2">
      <c r="GI36108" s="422"/>
    </row>
    <row r="36109" spans="191:191" x14ac:dyDescent="0.2">
      <c r="GI36109" s="422"/>
    </row>
    <row r="36110" spans="191:191" x14ac:dyDescent="0.2">
      <c r="GI36110" s="422"/>
    </row>
    <row r="36111" spans="191:191" x14ac:dyDescent="0.2">
      <c r="GI36111" s="422"/>
    </row>
    <row r="36112" spans="191:191" x14ac:dyDescent="0.2">
      <c r="GI36112" s="422"/>
    </row>
    <row r="36113" spans="191:191" x14ac:dyDescent="0.2">
      <c r="GI36113" s="422"/>
    </row>
    <row r="36114" spans="191:191" x14ac:dyDescent="0.2">
      <c r="GI36114" s="422"/>
    </row>
    <row r="36115" spans="191:191" x14ac:dyDescent="0.2">
      <c r="GI36115" s="422"/>
    </row>
    <row r="36116" spans="191:191" x14ac:dyDescent="0.2">
      <c r="GI36116" s="422"/>
    </row>
    <row r="36117" spans="191:191" x14ac:dyDescent="0.2">
      <c r="GI36117" s="422"/>
    </row>
    <row r="36118" spans="191:191" x14ac:dyDescent="0.2">
      <c r="GI36118" s="422"/>
    </row>
    <row r="36119" spans="191:191" x14ac:dyDescent="0.2">
      <c r="GI36119" s="422"/>
    </row>
    <row r="36120" spans="191:191" x14ac:dyDescent="0.2">
      <c r="GI36120" s="422"/>
    </row>
    <row r="36121" spans="191:191" x14ac:dyDescent="0.2">
      <c r="GI36121" s="422"/>
    </row>
    <row r="36122" spans="191:191" x14ac:dyDescent="0.2">
      <c r="GI36122" s="422"/>
    </row>
    <row r="36123" spans="191:191" x14ac:dyDescent="0.2">
      <c r="GI36123" s="422"/>
    </row>
    <row r="36124" spans="191:191" x14ac:dyDescent="0.2">
      <c r="GI36124" s="422"/>
    </row>
    <row r="36125" spans="191:191" x14ac:dyDescent="0.2">
      <c r="GI36125" s="422"/>
    </row>
    <row r="36126" spans="191:191" x14ac:dyDescent="0.2">
      <c r="GI36126" s="422"/>
    </row>
    <row r="36127" spans="191:191" x14ac:dyDescent="0.2">
      <c r="GI36127" s="422"/>
    </row>
    <row r="36128" spans="191:191" x14ac:dyDescent="0.2">
      <c r="GI36128" s="422"/>
    </row>
    <row r="36129" spans="191:191" x14ac:dyDescent="0.2">
      <c r="GI36129" s="422"/>
    </row>
    <row r="36130" spans="191:191" x14ac:dyDescent="0.2">
      <c r="GI36130" s="422"/>
    </row>
    <row r="36131" spans="191:191" x14ac:dyDescent="0.2">
      <c r="GI36131" s="422"/>
    </row>
    <row r="36132" spans="191:191" x14ac:dyDescent="0.2">
      <c r="GI36132" s="422"/>
    </row>
    <row r="36133" spans="191:191" x14ac:dyDescent="0.2">
      <c r="GI36133" s="422"/>
    </row>
    <row r="36134" spans="191:191" x14ac:dyDescent="0.2">
      <c r="GI36134" s="422"/>
    </row>
    <row r="36135" spans="191:191" x14ac:dyDescent="0.2">
      <c r="GI36135" s="422"/>
    </row>
    <row r="36136" spans="191:191" x14ac:dyDescent="0.2">
      <c r="GI36136" s="422"/>
    </row>
    <row r="36137" spans="191:191" x14ac:dyDescent="0.2">
      <c r="GI36137" s="422"/>
    </row>
    <row r="36138" spans="191:191" x14ac:dyDescent="0.2">
      <c r="GI36138" s="422"/>
    </row>
    <row r="36139" spans="191:191" x14ac:dyDescent="0.2">
      <c r="GI36139" s="422"/>
    </row>
    <row r="36140" spans="191:191" x14ac:dyDescent="0.2">
      <c r="GI36140" s="422"/>
    </row>
    <row r="36141" spans="191:191" x14ac:dyDescent="0.2">
      <c r="GI36141" s="422"/>
    </row>
    <row r="36142" spans="191:191" x14ac:dyDescent="0.2">
      <c r="GI36142" s="422"/>
    </row>
    <row r="36143" spans="191:191" x14ac:dyDescent="0.2">
      <c r="GI36143" s="422"/>
    </row>
    <row r="36144" spans="191:191" x14ac:dyDescent="0.2">
      <c r="GI36144" s="422"/>
    </row>
    <row r="36145" spans="191:191" x14ac:dyDescent="0.2">
      <c r="GI36145" s="422"/>
    </row>
    <row r="36146" spans="191:191" x14ac:dyDescent="0.2">
      <c r="GI36146" s="422"/>
    </row>
    <row r="36147" spans="191:191" x14ac:dyDescent="0.2">
      <c r="GI36147" s="422"/>
    </row>
    <row r="36148" spans="191:191" x14ac:dyDescent="0.2">
      <c r="GI36148" s="422"/>
    </row>
    <row r="36149" spans="191:191" x14ac:dyDescent="0.2">
      <c r="GI36149" s="422"/>
    </row>
    <row r="36150" spans="191:191" x14ac:dyDescent="0.2">
      <c r="GI36150" s="422"/>
    </row>
    <row r="36151" spans="191:191" x14ac:dyDescent="0.2">
      <c r="GI36151" s="422"/>
    </row>
    <row r="36152" spans="191:191" x14ac:dyDescent="0.2">
      <c r="GI36152" s="422"/>
    </row>
    <row r="36153" spans="191:191" x14ac:dyDescent="0.2">
      <c r="GI36153" s="422"/>
    </row>
    <row r="36154" spans="191:191" x14ac:dyDescent="0.2">
      <c r="GI36154" s="422"/>
    </row>
    <row r="36155" spans="191:191" x14ac:dyDescent="0.2">
      <c r="GI36155" s="422"/>
    </row>
    <row r="36156" spans="191:191" x14ac:dyDescent="0.2">
      <c r="GI36156" s="422"/>
    </row>
    <row r="36157" spans="191:191" x14ac:dyDescent="0.2">
      <c r="GI36157" s="422"/>
    </row>
    <row r="36158" spans="191:191" x14ac:dyDescent="0.2">
      <c r="GI36158" s="422"/>
    </row>
    <row r="36159" spans="191:191" x14ac:dyDescent="0.2">
      <c r="GI36159" s="422"/>
    </row>
    <row r="36160" spans="191:191" x14ac:dyDescent="0.2">
      <c r="GI36160" s="422"/>
    </row>
    <row r="36161" spans="191:191" x14ac:dyDescent="0.2">
      <c r="GI36161" s="422"/>
    </row>
    <row r="36162" spans="191:191" x14ac:dyDescent="0.2">
      <c r="GI36162" s="422"/>
    </row>
    <row r="36163" spans="191:191" x14ac:dyDescent="0.2">
      <c r="GI36163" s="422"/>
    </row>
    <row r="36164" spans="191:191" x14ac:dyDescent="0.2">
      <c r="GI36164" s="422"/>
    </row>
    <row r="36165" spans="191:191" x14ac:dyDescent="0.2">
      <c r="GI36165" s="422"/>
    </row>
    <row r="36166" spans="191:191" x14ac:dyDescent="0.2">
      <c r="GI36166" s="422"/>
    </row>
    <row r="36167" spans="191:191" x14ac:dyDescent="0.2">
      <c r="GI36167" s="422"/>
    </row>
    <row r="36168" spans="191:191" x14ac:dyDescent="0.2">
      <c r="GI36168" s="422"/>
    </row>
    <row r="36169" spans="191:191" x14ac:dyDescent="0.2">
      <c r="GI36169" s="422"/>
    </row>
    <row r="36170" spans="191:191" x14ac:dyDescent="0.2">
      <c r="GI36170" s="422"/>
    </row>
    <row r="36171" spans="191:191" x14ac:dyDescent="0.2">
      <c r="GI36171" s="422"/>
    </row>
    <row r="36172" spans="191:191" x14ac:dyDescent="0.2">
      <c r="GI36172" s="422"/>
    </row>
    <row r="36173" spans="191:191" x14ac:dyDescent="0.2">
      <c r="GI36173" s="422"/>
    </row>
    <row r="36174" spans="191:191" x14ac:dyDescent="0.2">
      <c r="GI36174" s="422"/>
    </row>
    <row r="36175" spans="191:191" x14ac:dyDescent="0.2">
      <c r="GI36175" s="422"/>
    </row>
    <row r="36176" spans="191:191" x14ac:dyDescent="0.2">
      <c r="GI36176" s="422"/>
    </row>
    <row r="36177" spans="191:191" x14ac:dyDescent="0.2">
      <c r="GI36177" s="422"/>
    </row>
    <row r="36178" spans="191:191" x14ac:dyDescent="0.2">
      <c r="GI36178" s="422"/>
    </row>
    <row r="36179" spans="191:191" x14ac:dyDescent="0.2">
      <c r="GI36179" s="422"/>
    </row>
    <row r="36180" spans="191:191" x14ac:dyDescent="0.2">
      <c r="GI36180" s="422"/>
    </row>
    <row r="36181" spans="191:191" x14ac:dyDescent="0.2">
      <c r="GI36181" s="422"/>
    </row>
    <row r="36182" spans="191:191" x14ac:dyDescent="0.2">
      <c r="GI36182" s="422"/>
    </row>
    <row r="36183" spans="191:191" x14ac:dyDescent="0.2">
      <c r="GI36183" s="422"/>
    </row>
    <row r="36184" spans="191:191" x14ac:dyDescent="0.2">
      <c r="GI36184" s="422"/>
    </row>
    <row r="36185" spans="191:191" x14ac:dyDescent="0.2">
      <c r="GI36185" s="422"/>
    </row>
    <row r="36186" spans="191:191" x14ac:dyDescent="0.2">
      <c r="GI36186" s="422"/>
    </row>
    <row r="36187" spans="191:191" x14ac:dyDescent="0.2">
      <c r="GI36187" s="422"/>
    </row>
    <row r="36188" spans="191:191" x14ac:dyDescent="0.2">
      <c r="GI36188" s="422"/>
    </row>
    <row r="36189" spans="191:191" x14ac:dyDescent="0.2">
      <c r="GI36189" s="422"/>
    </row>
    <row r="36190" spans="191:191" x14ac:dyDescent="0.2">
      <c r="GI36190" s="422"/>
    </row>
    <row r="36191" spans="191:191" x14ac:dyDescent="0.2">
      <c r="GI36191" s="422"/>
    </row>
    <row r="36192" spans="191:191" x14ac:dyDescent="0.2">
      <c r="GI36192" s="422"/>
    </row>
    <row r="36193" spans="191:191" x14ac:dyDescent="0.2">
      <c r="GI36193" s="422"/>
    </row>
    <row r="36194" spans="191:191" x14ac:dyDescent="0.2">
      <c r="GI36194" s="422"/>
    </row>
    <row r="36195" spans="191:191" x14ac:dyDescent="0.2">
      <c r="GI36195" s="422"/>
    </row>
    <row r="36196" spans="191:191" x14ac:dyDescent="0.2">
      <c r="GI36196" s="422"/>
    </row>
    <row r="36197" spans="191:191" x14ac:dyDescent="0.2">
      <c r="GI36197" s="422"/>
    </row>
    <row r="36198" spans="191:191" x14ac:dyDescent="0.2">
      <c r="GI36198" s="422"/>
    </row>
    <row r="36199" spans="191:191" x14ac:dyDescent="0.2">
      <c r="GI36199" s="422"/>
    </row>
    <row r="36200" spans="191:191" x14ac:dyDescent="0.2">
      <c r="GI36200" s="422"/>
    </row>
    <row r="36201" spans="191:191" x14ac:dyDescent="0.2">
      <c r="GI36201" s="422"/>
    </row>
    <row r="36202" spans="191:191" x14ac:dyDescent="0.2">
      <c r="GI36202" s="422"/>
    </row>
    <row r="36203" spans="191:191" x14ac:dyDescent="0.2">
      <c r="GI36203" s="422"/>
    </row>
    <row r="36204" spans="191:191" x14ac:dyDescent="0.2">
      <c r="GI36204" s="422"/>
    </row>
    <row r="36205" spans="191:191" x14ac:dyDescent="0.2">
      <c r="GI36205" s="422"/>
    </row>
    <row r="36206" spans="191:191" x14ac:dyDescent="0.2">
      <c r="GI36206" s="422"/>
    </row>
    <row r="36207" spans="191:191" x14ac:dyDescent="0.2">
      <c r="GI36207" s="422"/>
    </row>
    <row r="36208" spans="191:191" x14ac:dyDescent="0.2">
      <c r="GI36208" s="422"/>
    </row>
    <row r="36209" spans="191:191" x14ac:dyDescent="0.2">
      <c r="GI36209" s="422"/>
    </row>
    <row r="36210" spans="191:191" x14ac:dyDescent="0.2">
      <c r="GI36210" s="422"/>
    </row>
    <row r="36211" spans="191:191" x14ac:dyDescent="0.2">
      <c r="GI36211" s="422"/>
    </row>
    <row r="36212" spans="191:191" x14ac:dyDescent="0.2">
      <c r="GI36212" s="422"/>
    </row>
    <row r="36213" spans="191:191" x14ac:dyDescent="0.2">
      <c r="GI36213" s="422"/>
    </row>
    <row r="36214" spans="191:191" x14ac:dyDescent="0.2">
      <c r="GI36214" s="422"/>
    </row>
    <row r="36215" spans="191:191" x14ac:dyDescent="0.2">
      <c r="GI36215" s="422"/>
    </row>
    <row r="36216" spans="191:191" x14ac:dyDescent="0.2">
      <c r="GI36216" s="422"/>
    </row>
    <row r="36217" spans="191:191" x14ac:dyDescent="0.2">
      <c r="GI36217" s="422"/>
    </row>
    <row r="36218" spans="191:191" x14ac:dyDescent="0.2">
      <c r="GI36218" s="422"/>
    </row>
    <row r="36219" spans="191:191" x14ac:dyDescent="0.2">
      <c r="GI36219" s="422"/>
    </row>
    <row r="36220" spans="191:191" x14ac:dyDescent="0.2">
      <c r="GI36220" s="422"/>
    </row>
    <row r="36221" spans="191:191" x14ac:dyDescent="0.2">
      <c r="GI36221" s="422"/>
    </row>
    <row r="36222" spans="191:191" x14ac:dyDescent="0.2">
      <c r="GI36222" s="422"/>
    </row>
    <row r="36223" spans="191:191" x14ac:dyDescent="0.2">
      <c r="GI36223" s="422"/>
    </row>
    <row r="36224" spans="191:191" x14ac:dyDescent="0.2">
      <c r="GI36224" s="422"/>
    </row>
    <row r="36225" spans="191:191" x14ac:dyDescent="0.2">
      <c r="GI36225" s="422"/>
    </row>
    <row r="36226" spans="191:191" x14ac:dyDescent="0.2">
      <c r="GI36226" s="422"/>
    </row>
    <row r="36227" spans="191:191" x14ac:dyDescent="0.2">
      <c r="GI36227" s="422"/>
    </row>
    <row r="36228" spans="191:191" x14ac:dyDescent="0.2">
      <c r="GI36228" s="422"/>
    </row>
    <row r="36229" spans="191:191" x14ac:dyDescent="0.2">
      <c r="GI36229" s="422"/>
    </row>
    <row r="36230" spans="191:191" x14ac:dyDescent="0.2">
      <c r="GI36230" s="422"/>
    </row>
    <row r="36231" spans="191:191" x14ac:dyDescent="0.2">
      <c r="GI36231" s="422"/>
    </row>
    <row r="36232" spans="191:191" x14ac:dyDescent="0.2">
      <c r="GI36232" s="422"/>
    </row>
    <row r="36233" spans="191:191" x14ac:dyDescent="0.2">
      <c r="GI36233" s="422"/>
    </row>
    <row r="36234" spans="191:191" x14ac:dyDescent="0.2">
      <c r="GI36234" s="422"/>
    </row>
    <row r="36235" spans="191:191" x14ac:dyDescent="0.2">
      <c r="GI36235" s="422"/>
    </row>
    <row r="36236" spans="191:191" x14ac:dyDescent="0.2">
      <c r="GI36236" s="422"/>
    </row>
    <row r="36237" spans="191:191" x14ac:dyDescent="0.2">
      <c r="GI36237" s="422"/>
    </row>
    <row r="36238" spans="191:191" x14ac:dyDescent="0.2">
      <c r="GI36238" s="422"/>
    </row>
    <row r="36239" spans="191:191" x14ac:dyDescent="0.2">
      <c r="GI36239" s="422"/>
    </row>
    <row r="36240" spans="191:191" x14ac:dyDescent="0.2">
      <c r="GI36240" s="422"/>
    </row>
    <row r="36241" spans="191:191" x14ac:dyDescent="0.2">
      <c r="GI36241" s="422"/>
    </row>
    <row r="36242" spans="191:191" x14ac:dyDescent="0.2">
      <c r="GI36242" s="422"/>
    </row>
    <row r="36243" spans="191:191" x14ac:dyDescent="0.2">
      <c r="GI36243" s="422"/>
    </row>
    <row r="36244" spans="191:191" x14ac:dyDescent="0.2">
      <c r="GI36244" s="422"/>
    </row>
    <row r="36245" spans="191:191" x14ac:dyDescent="0.2">
      <c r="GI36245" s="422"/>
    </row>
    <row r="36246" spans="191:191" x14ac:dyDescent="0.2">
      <c r="GI36246" s="422"/>
    </row>
    <row r="36247" spans="191:191" x14ac:dyDescent="0.2">
      <c r="GI36247" s="422"/>
    </row>
    <row r="36248" spans="191:191" x14ac:dyDescent="0.2">
      <c r="GI36248" s="422"/>
    </row>
    <row r="36249" spans="191:191" x14ac:dyDescent="0.2">
      <c r="GI36249" s="422"/>
    </row>
    <row r="36250" spans="191:191" x14ac:dyDescent="0.2">
      <c r="GI36250" s="422"/>
    </row>
    <row r="36251" spans="191:191" x14ac:dyDescent="0.2">
      <c r="GI36251" s="422"/>
    </row>
    <row r="36252" spans="191:191" x14ac:dyDescent="0.2">
      <c r="GI36252" s="422"/>
    </row>
    <row r="36253" spans="191:191" x14ac:dyDescent="0.2">
      <c r="GI36253" s="422"/>
    </row>
    <row r="36254" spans="191:191" x14ac:dyDescent="0.2">
      <c r="GI36254" s="422"/>
    </row>
    <row r="36255" spans="191:191" x14ac:dyDescent="0.2">
      <c r="GI36255" s="422"/>
    </row>
    <row r="36256" spans="191:191" x14ac:dyDescent="0.2">
      <c r="GI36256" s="422"/>
    </row>
    <row r="36257" spans="191:191" x14ac:dyDescent="0.2">
      <c r="GI36257" s="422"/>
    </row>
    <row r="36258" spans="191:191" x14ac:dyDescent="0.2">
      <c r="GI36258" s="422"/>
    </row>
    <row r="36259" spans="191:191" x14ac:dyDescent="0.2">
      <c r="GI36259" s="422"/>
    </row>
    <row r="36260" spans="191:191" x14ac:dyDescent="0.2">
      <c r="GI36260" s="422"/>
    </row>
    <row r="36261" spans="191:191" x14ac:dyDescent="0.2">
      <c r="GI36261" s="422"/>
    </row>
    <row r="36262" spans="191:191" x14ac:dyDescent="0.2">
      <c r="GI36262" s="422"/>
    </row>
    <row r="36263" spans="191:191" x14ac:dyDescent="0.2">
      <c r="GI36263" s="422"/>
    </row>
    <row r="36264" spans="191:191" x14ac:dyDescent="0.2">
      <c r="GI36264" s="422"/>
    </row>
    <row r="36265" spans="191:191" x14ac:dyDescent="0.2">
      <c r="GI36265" s="422"/>
    </row>
    <row r="36266" spans="191:191" x14ac:dyDescent="0.2">
      <c r="GI36266" s="422"/>
    </row>
    <row r="36267" spans="191:191" x14ac:dyDescent="0.2">
      <c r="GI36267" s="422"/>
    </row>
    <row r="36268" spans="191:191" x14ac:dyDescent="0.2">
      <c r="GI36268" s="422"/>
    </row>
    <row r="36269" spans="191:191" x14ac:dyDescent="0.2">
      <c r="GI36269" s="422"/>
    </row>
    <row r="36270" spans="191:191" x14ac:dyDescent="0.2">
      <c r="GI36270" s="422"/>
    </row>
    <row r="36271" spans="191:191" x14ac:dyDescent="0.2">
      <c r="GI36271" s="422"/>
    </row>
    <row r="36272" spans="191:191" x14ac:dyDescent="0.2">
      <c r="GI36272" s="422"/>
    </row>
    <row r="36273" spans="191:191" x14ac:dyDescent="0.2">
      <c r="GI36273" s="422"/>
    </row>
    <row r="36274" spans="191:191" x14ac:dyDescent="0.2">
      <c r="GI36274" s="422"/>
    </row>
    <row r="36275" spans="191:191" x14ac:dyDescent="0.2">
      <c r="GI36275" s="422"/>
    </row>
    <row r="36276" spans="191:191" x14ac:dyDescent="0.2">
      <c r="GI36276" s="422"/>
    </row>
    <row r="36277" spans="191:191" x14ac:dyDescent="0.2">
      <c r="GI36277" s="422"/>
    </row>
    <row r="36278" spans="191:191" x14ac:dyDescent="0.2">
      <c r="GI36278" s="422"/>
    </row>
    <row r="36279" spans="191:191" x14ac:dyDescent="0.2">
      <c r="GI36279" s="422"/>
    </row>
    <row r="36280" spans="191:191" x14ac:dyDescent="0.2">
      <c r="GI36280" s="422"/>
    </row>
    <row r="36281" spans="191:191" x14ac:dyDescent="0.2">
      <c r="GI36281" s="422"/>
    </row>
    <row r="36282" spans="191:191" x14ac:dyDescent="0.2">
      <c r="GI36282" s="422"/>
    </row>
    <row r="36283" spans="191:191" x14ac:dyDescent="0.2">
      <c r="GI36283" s="422"/>
    </row>
    <row r="36284" spans="191:191" x14ac:dyDescent="0.2">
      <c r="GI36284" s="422"/>
    </row>
    <row r="36285" spans="191:191" x14ac:dyDescent="0.2">
      <c r="GI36285" s="422"/>
    </row>
    <row r="36286" spans="191:191" x14ac:dyDescent="0.2">
      <c r="GI36286" s="422"/>
    </row>
    <row r="36287" spans="191:191" x14ac:dyDescent="0.2">
      <c r="GI36287" s="422"/>
    </row>
    <row r="36288" spans="191:191" x14ac:dyDescent="0.2">
      <c r="GI36288" s="422"/>
    </row>
    <row r="36289" spans="191:191" x14ac:dyDescent="0.2">
      <c r="GI36289" s="422"/>
    </row>
    <row r="36290" spans="191:191" x14ac:dyDescent="0.2">
      <c r="GI36290" s="422"/>
    </row>
    <row r="36291" spans="191:191" x14ac:dyDescent="0.2">
      <c r="GI36291" s="422"/>
    </row>
    <row r="36292" spans="191:191" x14ac:dyDescent="0.2">
      <c r="GI36292" s="422"/>
    </row>
    <row r="36293" spans="191:191" x14ac:dyDescent="0.2">
      <c r="GI36293" s="422"/>
    </row>
    <row r="36294" spans="191:191" x14ac:dyDescent="0.2">
      <c r="GI36294" s="422"/>
    </row>
    <row r="36295" spans="191:191" x14ac:dyDescent="0.2">
      <c r="GI36295" s="422"/>
    </row>
    <row r="36296" spans="191:191" x14ac:dyDescent="0.2">
      <c r="GI36296" s="422"/>
    </row>
    <row r="36297" spans="191:191" x14ac:dyDescent="0.2">
      <c r="GI36297" s="422"/>
    </row>
    <row r="36298" spans="191:191" x14ac:dyDescent="0.2">
      <c r="GI36298" s="422"/>
    </row>
    <row r="36299" spans="191:191" x14ac:dyDescent="0.2">
      <c r="GI36299" s="422"/>
    </row>
    <row r="36300" spans="191:191" x14ac:dyDescent="0.2">
      <c r="GI36300" s="422"/>
    </row>
    <row r="36301" spans="191:191" x14ac:dyDescent="0.2">
      <c r="GI36301" s="422"/>
    </row>
    <row r="36302" spans="191:191" x14ac:dyDescent="0.2">
      <c r="GI36302" s="422"/>
    </row>
    <row r="36303" spans="191:191" x14ac:dyDescent="0.2">
      <c r="GI36303" s="422"/>
    </row>
    <row r="36304" spans="191:191" x14ac:dyDescent="0.2">
      <c r="GI36304" s="422"/>
    </row>
    <row r="36305" spans="191:191" x14ac:dyDescent="0.2">
      <c r="GI36305" s="422"/>
    </row>
    <row r="36306" spans="191:191" x14ac:dyDescent="0.2">
      <c r="GI36306" s="422"/>
    </row>
    <row r="36307" spans="191:191" x14ac:dyDescent="0.2">
      <c r="GI36307" s="422"/>
    </row>
    <row r="36308" spans="191:191" x14ac:dyDescent="0.2">
      <c r="GI36308" s="422"/>
    </row>
    <row r="36309" spans="191:191" x14ac:dyDescent="0.2">
      <c r="GI36309" s="422"/>
    </row>
    <row r="36310" spans="191:191" x14ac:dyDescent="0.2">
      <c r="GI36310" s="422"/>
    </row>
    <row r="36311" spans="191:191" x14ac:dyDescent="0.2">
      <c r="GI36311" s="422"/>
    </row>
    <row r="36312" spans="191:191" x14ac:dyDescent="0.2">
      <c r="GI36312" s="422"/>
    </row>
    <row r="36313" spans="191:191" x14ac:dyDescent="0.2">
      <c r="GI36313" s="422"/>
    </row>
    <row r="36314" spans="191:191" x14ac:dyDescent="0.2">
      <c r="GI36314" s="422"/>
    </row>
    <row r="36315" spans="191:191" x14ac:dyDescent="0.2">
      <c r="GI36315" s="422"/>
    </row>
    <row r="36316" spans="191:191" x14ac:dyDescent="0.2">
      <c r="GI36316" s="422"/>
    </row>
    <row r="36317" spans="191:191" x14ac:dyDescent="0.2">
      <c r="GI36317" s="422"/>
    </row>
    <row r="36318" spans="191:191" x14ac:dyDescent="0.2">
      <c r="GI36318" s="422"/>
    </row>
    <row r="36319" spans="191:191" x14ac:dyDescent="0.2">
      <c r="GI36319" s="422"/>
    </row>
    <row r="36320" spans="191:191" x14ac:dyDescent="0.2">
      <c r="GI36320" s="422"/>
    </row>
    <row r="36321" spans="191:191" x14ac:dyDescent="0.2">
      <c r="GI36321" s="422"/>
    </row>
    <row r="36322" spans="191:191" x14ac:dyDescent="0.2">
      <c r="GI36322" s="422"/>
    </row>
    <row r="36323" spans="191:191" x14ac:dyDescent="0.2">
      <c r="GI36323" s="422"/>
    </row>
    <row r="36324" spans="191:191" x14ac:dyDescent="0.2">
      <c r="GI36324" s="422"/>
    </row>
    <row r="36325" spans="191:191" x14ac:dyDescent="0.2">
      <c r="GI36325" s="422"/>
    </row>
    <row r="36326" spans="191:191" x14ac:dyDescent="0.2">
      <c r="GI36326" s="422"/>
    </row>
    <row r="36327" spans="191:191" x14ac:dyDescent="0.2">
      <c r="GI36327" s="422"/>
    </row>
    <row r="36328" spans="191:191" x14ac:dyDescent="0.2">
      <c r="GI36328" s="422"/>
    </row>
    <row r="36329" spans="191:191" x14ac:dyDescent="0.2">
      <c r="GI36329" s="422"/>
    </row>
    <row r="36330" spans="191:191" x14ac:dyDescent="0.2">
      <c r="GI36330" s="422"/>
    </row>
    <row r="36331" spans="191:191" x14ac:dyDescent="0.2">
      <c r="GI36331" s="422"/>
    </row>
    <row r="36332" spans="191:191" x14ac:dyDescent="0.2">
      <c r="GI36332" s="422"/>
    </row>
    <row r="36333" spans="191:191" x14ac:dyDescent="0.2">
      <c r="GI36333" s="422"/>
    </row>
    <row r="36334" spans="191:191" x14ac:dyDescent="0.2">
      <c r="GI36334" s="422"/>
    </row>
    <row r="36335" spans="191:191" x14ac:dyDescent="0.2">
      <c r="GI36335" s="422"/>
    </row>
    <row r="36336" spans="191:191" x14ac:dyDescent="0.2">
      <c r="GI36336" s="422"/>
    </row>
    <row r="36337" spans="191:191" x14ac:dyDescent="0.2">
      <c r="GI36337" s="422"/>
    </row>
    <row r="36338" spans="191:191" x14ac:dyDescent="0.2">
      <c r="GI36338" s="422"/>
    </row>
    <row r="36339" spans="191:191" x14ac:dyDescent="0.2">
      <c r="GI36339" s="422"/>
    </row>
    <row r="36340" spans="191:191" x14ac:dyDescent="0.2">
      <c r="GI36340" s="422"/>
    </row>
    <row r="36341" spans="191:191" x14ac:dyDescent="0.2">
      <c r="GI36341" s="422"/>
    </row>
    <row r="36342" spans="191:191" x14ac:dyDescent="0.2">
      <c r="GI36342" s="422"/>
    </row>
    <row r="36343" spans="191:191" x14ac:dyDescent="0.2">
      <c r="GI36343" s="422"/>
    </row>
    <row r="36344" spans="191:191" x14ac:dyDescent="0.2">
      <c r="GI36344" s="422"/>
    </row>
    <row r="36345" spans="191:191" x14ac:dyDescent="0.2">
      <c r="GI36345" s="422"/>
    </row>
    <row r="36346" spans="191:191" x14ac:dyDescent="0.2">
      <c r="GI36346" s="422"/>
    </row>
    <row r="36347" spans="191:191" x14ac:dyDescent="0.2">
      <c r="GI36347" s="422"/>
    </row>
    <row r="36348" spans="191:191" x14ac:dyDescent="0.2">
      <c r="GI36348" s="422"/>
    </row>
    <row r="36349" spans="191:191" x14ac:dyDescent="0.2">
      <c r="GI36349" s="422"/>
    </row>
    <row r="36350" spans="191:191" x14ac:dyDescent="0.2">
      <c r="GI36350" s="422"/>
    </row>
    <row r="36351" spans="191:191" x14ac:dyDescent="0.2">
      <c r="GI36351" s="422"/>
    </row>
    <row r="36352" spans="191:191" x14ac:dyDescent="0.2">
      <c r="GI36352" s="422"/>
    </row>
    <row r="36353" spans="191:191" x14ac:dyDescent="0.2">
      <c r="GI36353" s="422"/>
    </row>
    <row r="36354" spans="191:191" x14ac:dyDescent="0.2">
      <c r="GI36354" s="422"/>
    </row>
    <row r="36355" spans="191:191" x14ac:dyDescent="0.2">
      <c r="GI36355" s="422"/>
    </row>
    <row r="36356" spans="191:191" x14ac:dyDescent="0.2">
      <c r="GI36356" s="422"/>
    </row>
    <row r="36357" spans="191:191" x14ac:dyDescent="0.2">
      <c r="GI36357" s="422"/>
    </row>
    <row r="36358" spans="191:191" x14ac:dyDescent="0.2">
      <c r="GI36358" s="422"/>
    </row>
    <row r="36359" spans="191:191" x14ac:dyDescent="0.2">
      <c r="GI36359" s="422"/>
    </row>
    <row r="36360" spans="191:191" x14ac:dyDescent="0.2">
      <c r="GI36360" s="422"/>
    </row>
    <row r="36361" spans="191:191" x14ac:dyDescent="0.2">
      <c r="GI36361" s="422"/>
    </row>
    <row r="36362" spans="191:191" x14ac:dyDescent="0.2">
      <c r="GI36362" s="422"/>
    </row>
    <row r="36363" spans="191:191" x14ac:dyDescent="0.2">
      <c r="GI36363" s="422"/>
    </row>
    <row r="36364" spans="191:191" x14ac:dyDescent="0.2">
      <c r="GI36364" s="422"/>
    </row>
    <row r="36365" spans="191:191" x14ac:dyDescent="0.2">
      <c r="GI36365" s="422"/>
    </row>
    <row r="36366" spans="191:191" x14ac:dyDescent="0.2">
      <c r="GI36366" s="422"/>
    </row>
    <row r="36367" spans="191:191" x14ac:dyDescent="0.2">
      <c r="GI36367" s="422"/>
    </row>
    <row r="36368" spans="191:191" x14ac:dyDescent="0.2">
      <c r="GI36368" s="422"/>
    </row>
    <row r="36369" spans="191:191" x14ac:dyDescent="0.2">
      <c r="GI36369" s="422"/>
    </row>
    <row r="36370" spans="191:191" x14ac:dyDescent="0.2">
      <c r="GI36370" s="422"/>
    </row>
    <row r="36371" spans="191:191" x14ac:dyDescent="0.2">
      <c r="GI36371" s="422"/>
    </row>
    <row r="36372" spans="191:191" x14ac:dyDescent="0.2">
      <c r="GI36372" s="422"/>
    </row>
    <row r="36373" spans="191:191" x14ac:dyDescent="0.2">
      <c r="GI36373" s="422"/>
    </row>
    <row r="36374" spans="191:191" x14ac:dyDescent="0.2">
      <c r="GI36374" s="422"/>
    </row>
    <row r="36375" spans="191:191" x14ac:dyDescent="0.2">
      <c r="GI36375" s="422"/>
    </row>
    <row r="36376" spans="191:191" x14ac:dyDescent="0.2">
      <c r="GI36376" s="422"/>
    </row>
    <row r="36377" spans="191:191" x14ac:dyDescent="0.2">
      <c r="GI36377" s="422"/>
    </row>
    <row r="36378" spans="191:191" x14ac:dyDescent="0.2">
      <c r="GI36378" s="422"/>
    </row>
    <row r="36379" spans="191:191" x14ac:dyDescent="0.2">
      <c r="GI36379" s="422"/>
    </row>
    <row r="36380" spans="191:191" x14ac:dyDescent="0.2">
      <c r="GI36380" s="422"/>
    </row>
    <row r="36381" spans="191:191" x14ac:dyDescent="0.2">
      <c r="GI36381" s="422"/>
    </row>
    <row r="36382" spans="191:191" x14ac:dyDescent="0.2">
      <c r="GI36382" s="422"/>
    </row>
    <row r="36383" spans="191:191" x14ac:dyDescent="0.2">
      <c r="GI36383" s="422"/>
    </row>
    <row r="36384" spans="191:191" x14ac:dyDescent="0.2">
      <c r="GI36384" s="422"/>
    </row>
    <row r="36385" spans="191:191" x14ac:dyDescent="0.2">
      <c r="GI36385" s="422"/>
    </row>
    <row r="36386" spans="191:191" x14ac:dyDescent="0.2">
      <c r="GI36386" s="422"/>
    </row>
    <row r="36387" spans="191:191" x14ac:dyDescent="0.2">
      <c r="GI36387" s="422"/>
    </row>
    <row r="36388" spans="191:191" x14ac:dyDescent="0.2">
      <c r="GI36388" s="422"/>
    </row>
    <row r="36389" spans="191:191" x14ac:dyDescent="0.2">
      <c r="GI36389" s="422"/>
    </row>
    <row r="36390" spans="191:191" x14ac:dyDescent="0.2">
      <c r="GI36390" s="422"/>
    </row>
    <row r="36391" spans="191:191" x14ac:dyDescent="0.2">
      <c r="GI36391" s="422"/>
    </row>
    <row r="36392" spans="191:191" x14ac:dyDescent="0.2">
      <c r="GI36392" s="422"/>
    </row>
    <row r="36393" spans="191:191" x14ac:dyDescent="0.2">
      <c r="GI36393" s="422"/>
    </row>
    <row r="36394" spans="191:191" x14ac:dyDescent="0.2">
      <c r="GI36394" s="422"/>
    </row>
    <row r="36395" spans="191:191" x14ac:dyDescent="0.2">
      <c r="GI36395" s="422"/>
    </row>
    <row r="36396" spans="191:191" x14ac:dyDescent="0.2">
      <c r="GI36396" s="422"/>
    </row>
    <row r="36397" spans="191:191" x14ac:dyDescent="0.2">
      <c r="GI36397" s="422"/>
    </row>
    <row r="36398" spans="191:191" x14ac:dyDescent="0.2">
      <c r="GI36398" s="422"/>
    </row>
    <row r="36399" spans="191:191" x14ac:dyDescent="0.2">
      <c r="GI36399" s="422"/>
    </row>
    <row r="36400" spans="191:191" x14ac:dyDescent="0.2">
      <c r="GI36400" s="422"/>
    </row>
    <row r="36401" spans="191:191" x14ac:dyDescent="0.2">
      <c r="GI36401" s="422"/>
    </row>
    <row r="36402" spans="191:191" x14ac:dyDescent="0.2">
      <c r="GI36402" s="422"/>
    </row>
    <row r="36403" spans="191:191" x14ac:dyDescent="0.2">
      <c r="GI36403" s="422"/>
    </row>
    <row r="36404" spans="191:191" x14ac:dyDescent="0.2">
      <c r="GI36404" s="422"/>
    </row>
    <row r="36405" spans="191:191" x14ac:dyDescent="0.2">
      <c r="GI36405" s="422"/>
    </row>
    <row r="36406" spans="191:191" x14ac:dyDescent="0.2">
      <c r="GI36406" s="422"/>
    </row>
    <row r="36407" spans="191:191" x14ac:dyDescent="0.2">
      <c r="GI36407" s="422"/>
    </row>
    <row r="36408" spans="191:191" x14ac:dyDescent="0.2">
      <c r="GI36408" s="422"/>
    </row>
    <row r="36409" spans="191:191" x14ac:dyDescent="0.2">
      <c r="GI36409" s="422"/>
    </row>
    <row r="36410" spans="191:191" x14ac:dyDescent="0.2">
      <c r="GI36410" s="422"/>
    </row>
    <row r="36411" spans="191:191" x14ac:dyDescent="0.2">
      <c r="GI36411" s="422"/>
    </row>
    <row r="36412" spans="191:191" x14ac:dyDescent="0.2">
      <c r="GI36412" s="422"/>
    </row>
    <row r="36413" spans="191:191" x14ac:dyDescent="0.2">
      <c r="GI36413" s="422"/>
    </row>
    <row r="36414" spans="191:191" x14ac:dyDescent="0.2">
      <c r="GI36414" s="422"/>
    </row>
    <row r="36415" spans="191:191" x14ac:dyDescent="0.2">
      <c r="GI36415" s="422"/>
    </row>
    <row r="36416" spans="191:191" x14ac:dyDescent="0.2">
      <c r="GI36416" s="422"/>
    </row>
    <row r="36417" spans="191:191" x14ac:dyDescent="0.2">
      <c r="GI36417" s="422"/>
    </row>
    <row r="36418" spans="191:191" x14ac:dyDescent="0.2">
      <c r="GI36418" s="422"/>
    </row>
    <row r="36419" spans="191:191" x14ac:dyDescent="0.2">
      <c r="GI36419" s="422"/>
    </row>
    <row r="36420" spans="191:191" x14ac:dyDescent="0.2">
      <c r="GI36420" s="422"/>
    </row>
    <row r="36421" spans="191:191" x14ac:dyDescent="0.2">
      <c r="GI36421" s="422"/>
    </row>
    <row r="36422" spans="191:191" x14ac:dyDescent="0.2">
      <c r="GI36422" s="422"/>
    </row>
    <row r="36423" spans="191:191" x14ac:dyDescent="0.2">
      <c r="GI36423" s="422"/>
    </row>
    <row r="36424" spans="191:191" x14ac:dyDescent="0.2">
      <c r="GI36424" s="422"/>
    </row>
    <row r="36425" spans="191:191" x14ac:dyDescent="0.2">
      <c r="GI36425" s="422"/>
    </row>
    <row r="36426" spans="191:191" x14ac:dyDescent="0.2">
      <c r="GI36426" s="422"/>
    </row>
    <row r="36427" spans="191:191" x14ac:dyDescent="0.2">
      <c r="GI36427" s="422"/>
    </row>
    <row r="36428" spans="191:191" x14ac:dyDescent="0.2">
      <c r="GI36428" s="422"/>
    </row>
    <row r="36429" spans="191:191" x14ac:dyDescent="0.2">
      <c r="GI36429" s="422"/>
    </row>
    <row r="36430" spans="191:191" x14ac:dyDescent="0.2">
      <c r="GI36430" s="422"/>
    </row>
    <row r="36431" spans="191:191" x14ac:dyDescent="0.2">
      <c r="GI36431" s="422"/>
    </row>
    <row r="36432" spans="191:191" x14ac:dyDescent="0.2">
      <c r="GI36432" s="422"/>
    </row>
    <row r="36433" spans="191:191" x14ac:dyDescent="0.2">
      <c r="GI36433" s="422"/>
    </row>
    <row r="36434" spans="191:191" x14ac:dyDescent="0.2">
      <c r="GI36434" s="422"/>
    </row>
    <row r="36435" spans="191:191" x14ac:dyDescent="0.2">
      <c r="GI36435" s="422"/>
    </row>
    <row r="36436" spans="191:191" x14ac:dyDescent="0.2">
      <c r="GI36436" s="422"/>
    </row>
    <row r="36437" spans="191:191" x14ac:dyDescent="0.2">
      <c r="GI36437" s="422"/>
    </row>
    <row r="36438" spans="191:191" x14ac:dyDescent="0.2">
      <c r="GI36438" s="422"/>
    </row>
    <row r="36439" spans="191:191" x14ac:dyDescent="0.2">
      <c r="GI36439" s="422"/>
    </row>
    <row r="36440" spans="191:191" x14ac:dyDescent="0.2">
      <c r="GI36440" s="422"/>
    </row>
    <row r="36441" spans="191:191" x14ac:dyDescent="0.2">
      <c r="GI36441" s="422"/>
    </row>
    <row r="36442" spans="191:191" x14ac:dyDescent="0.2">
      <c r="GI36442" s="422"/>
    </row>
    <row r="36443" spans="191:191" x14ac:dyDescent="0.2">
      <c r="GI36443" s="422"/>
    </row>
    <row r="36444" spans="191:191" x14ac:dyDescent="0.2">
      <c r="GI36444" s="422"/>
    </row>
    <row r="36445" spans="191:191" x14ac:dyDescent="0.2">
      <c r="GI36445" s="422"/>
    </row>
    <row r="36446" spans="191:191" x14ac:dyDescent="0.2">
      <c r="GI36446" s="422"/>
    </row>
    <row r="36447" spans="191:191" x14ac:dyDescent="0.2">
      <c r="GI36447" s="422"/>
    </row>
    <row r="36448" spans="191:191" x14ac:dyDescent="0.2">
      <c r="GI36448" s="422"/>
    </row>
    <row r="36449" spans="191:191" x14ac:dyDescent="0.2">
      <c r="GI36449" s="422"/>
    </row>
    <row r="36450" spans="191:191" x14ac:dyDescent="0.2">
      <c r="GI36450" s="422"/>
    </row>
    <row r="36451" spans="191:191" x14ac:dyDescent="0.2">
      <c r="GI36451" s="422"/>
    </row>
    <row r="36452" spans="191:191" x14ac:dyDescent="0.2">
      <c r="GI36452" s="422"/>
    </row>
    <row r="36453" spans="191:191" x14ac:dyDescent="0.2">
      <c r="GI36453" s="422"/>
    </row>
    <row r="36454" spans="191:191" x14ac:dyDescent="0.2">
      <c r="GI36454" s="422"/>
    </row>
    <row r="36455" spans="191:191" x14ac:dyDescent="0.2">
      <c r="GI36455" s="422"/>
    </row>
    <row r="36456" spans="191:191" x14ac:dyDescent="0.2">
      <c r="GI36456" s="422"/>
    </row>
    <row r="36457" spans="191:191" x14ac:dyDescent="0.2">
      <c r="GI36457" s="422"/>
    </row>
    <row r="36458" spans="191:191" x14ac:dyDescent="0.2">
      <c r="GI36458" s="422"/>
    </row>
    <row r="36459" spans="191:191" x14ac:dyDescent="0.2">
      <c r="GI36459" s="422"/>
    </row>
    <row r="36460" spans="191:191" x14ac:dyDescent="0.2">
      <c r="GI36460" s="422"/>
    </row>
    <row r="36461" spans="191:191" x14ac:dyDescent="0.2">
      <c r="GI36461" s="422"/>
    </row>
    <row r="36462" spans="191:191" x14ac:dyDescent="0.2">
      <c r="GI36462" s="422"/>
    </row>
    <row r="36463" spans="191:191" x14ac:dyDescent="0.2">
      <c r="GI36463" s="422"/>
    </row>
    <row r="36464" spans="191:191" x14ac:dyDescent="0.2">
      <c r="GI36464" s="422"/>
    </row>
    <row r="36465" spans="191:191" x14ac:dyDescent="0.2">
      <c r="GI36465" s="422"/>
    </row>
    <row r="36466" spans="191:191" x14ac:dyDescent="0.2">
      <c r="GI36466" s="422"/>
    </row>
    <row r="36467" spans="191:191" x14ac:dyDescent="0.2">
      <c r="GI36467" s="422"/>
    </row>
    <row r="36468" spans="191:191" x14ac:dyDescent="0.2">
      <c r="GI36468" s="422"/>
    </row>
    <row r="36469" spans="191:191" x14ac:dyDescent="0.2">
      <c r="GI36469" s="422"/>
    </row>
    <row r="36470" spans="191:191" x14ac:dyDescent="0.2">
      <c r="GI36470" s="422"/>
    </row>
    <row r="36471" spans="191:191" x14ac:dyDescent="0.2">
      <c r="GI36471" s="422"/>
    </row>
    <row r="36472" spans="191:191" x14ac:dyDescent="0.2">
      <c r="GI36472" s="422"/>
    </row>
    <row r="36473" spans="191:191" x14ac:dyDescent="0.2">
      <c r="GI36473" s="422"/>
    </row>
    <row r="36474" spans="191:191" x14ac:dyDescent="0.2">
      <c r="GI36474" s="422"/>
    </row>
    <row r="36475" spans="191:191" x14ac:dyDescent="0.2">
      <c r="GI36475" s="422"/>
    </row>
    <row r="36476" spans="191:191" x14ac:dyDescent="0.2">
      <c r="GI36476" s="422"/>
    </row>
    <row r="36477" spans="191:191" x14ac:dyDescent="0.2">
      <c r="GI36477" s="422"/>
    </row>
    <row r="36478" spans="191:191" x14ac:dyDescent="0.2">
      <c r="GI36478" s="422"/>
    </row>
    <row r="36479" spans="191:191" x14ac:dyDescent="0.2">
      <c r="GI36479" s="422"/>
    </row>
    <row r="36480" spans="191:191" x14ac:dyDescent="0.2">
      <c r="GI36480" s="422"/>
    </row>
    <row r="36481" spans="191:191" x14ac:dyDescent="0.2">
      <c r="GI36481" s="422"/>
    </row>
    <row r="36482" spans="191:191" x14ac:dyDescent="0.2">
      <c r="GI36482" s="422"/>
    </row>
    <row r="36483" spans="191:191" x14ac:dyDescent="0.2">
      <c r="GI36483" s="422"/>
    </row>
    <row r="36484" spans="191:191" x14ac:dyDescent="0.2">
      <c r="GI36484" s="422"/>
    </row>
    <row r="36485" spans="191:191" x14ac:dyDescent="0.2">
      <c r="GI36485" s="422"/>
    </row>
    <row r="36486" spans="191:191" x14ac:dyDescent="0.2">
      <c r="GI36486" s="422"/>
    </row>
    <row r="36487" spans="191:191" x14ac:dyDescent="0.2">
      <c r="GI36487" s="422"/>
    </row>
    <row r="36488" spans="191:191" x14ac:dyDescent="0.2">
      <c r="GI36488" s="422"/>
    </row>
    <row r="36489" spans="191:191" x14ac:dyDescent="0.2">
      <c r="GI36489" s="422"/>
    </row>
    <row r="36490" spans="191:191" x14ac:dyDescent="0.2">
      <c r="GI36490" s="422"/>
    </row>
    <row r="36491" spans="191:191" x14ac:dyDescent="0.2">
      <c r="GI36491" s="422"/>
    </row>
    <row r="36492" spans="191:191" x14ac:dyDescent="0.2">
      <c r="GI36492" s="422"/>
    </row>
    <row r="36493" spans="191:191" x14ac:dyDescent="0.2">
      <c r="GI36493" s="422"/>
    </row>
    <row r="36494" spans="191:191" x14ac:dyDescent="0.2">
      <c r="GI36494" s="422"/>
    </row>
    <row r="36495" spans="191:191" x14ac:dyDescent="0.2">
      <c r="GI36495" s="422"/>
    </row>
    <row r="36496" spans="191:191" x14ac:dyDescent="0.2">
      <c r="GI36496" s="422"/>
    </row>
    <row r="36497" spans="191:191" x14ac:dyDescent="0.2">
      <c r="GI36497" s="422"/>
    </row>
    <row r="36498" spans="191:191" x14ac:dyDescent="0.2">
      <c r="GI36498" s="422"/>
    </row>
    <row r="36499" spans="191:191" x14ac:dyDescent="0.2">
      <c r="GI36499" s="422"/>
    </row>
    <row r="36500" spans="191:191" x14ac:dyDescent="0.2">
      <c r="GI36500" s="422"/>
    </row>
    <row r="36501" spans="191:191" x14ac:dyDescent="0.2">
      <c r="GI36501" s="422"/>
    </row>
    <row r="36502" spans="191:191" x14ac:dyDescent="0.2">
      <c r="GI36502" s="422"/>
    </row>
    <row r="36503" spans="191:191" x14ac:dyDescent="0.2">
      <c r="GI36503" s="422"/>
    </row>
    <row r="36504" spans="191:191" x14ac:dyDescent="0.2">
      <c r="GI36504" s="422"/>
    </row>
    <row r="36505" spans="191:191" x14ac:dyDescent="0.2">
      <c r="GI36505" s="422"/>
    </row>
    <row r="36506" spans="191:191" x14ac:dyDescent="0.2">
      <c r="GI36506" s="422"/>
    </row>
    <row r="36507" spans="191:191" x14ac:dyDescent="0.2">
      <c r="GI36507" s="422"/>
    </row>
    <row r="36508" spans="191:191" x14ac:dyDescent="0.2">
      <c r="GI36508" s="422"/>
    </row>
    <row r="36509" spans="191:191" x14ac:dyDescent="0.2">
      <c r="GI36509" s="422"/>
    </row>
    <row r="36510" spans="191:191" x14ac:dyDescent="0.2">
      <c r="GI36510" s="422"/>
    </row>
    <row r="36511" spans="191:191" x14ac:dyDescent="0.2">
      <c r="GI36511" s="422"/>
    </row>
    <row r="36512" spans="191:191" x14ac:dyDescent="0.2">
      <c r="GI36512" s="422"/>
    </row>
    <row r="36513" spans="191:191" x14ac:dyDescent="0.2">
      <c r="GI36513" s="422"/>
    </row>
    <row r="36514" spans="191:191" x14ac:dyDescent="0.2">
      <c r="GI36514" s="422"/>
    </row>
    <row r="36515" spans="191:191" x14ac:dyDescent="0.2">
      <c r="GI36515" s="422"/>
    </row>
    <row r="36516" spans="191:191" x14ac:dyDescent="0.2">
      <c r="GI36516" s="422"/>
    </row>
    <row r="36517" spans="191:191" x14ac:dyDescent="0.2">
      <c r="GI36517" s="422"/>
    </row>
    <row r="36518" spans="191:191" x14ac:dyDescent="0.2">
      <c r="GI36518" s="422"/>
    </row>
    <row r="36519" spans="191:191" x14ac:dyDescent="0.2">
      <c r="GI36519" s="422"/>
    </row>
    <row r="36520" spans="191:191" x14ac:dyDescent="0.2">
      <c r="GI36520" s="422"/>
    </row>
    <row r="36521" spans="191:191" x14ac:dyDescent="0.2">
      <c r="GI36521" s="422"/>
    </row>
    <row r="36522" spans="191:191" x14ac:dyDescent="0.2">
      <c r="GI36522" s="422"/>
    </row>
    <row r="36523" spans="191:191" x14ac:dyDescent="0.2">
      <c r="GI36523" s="422"/>
    </row>
    <row r="36524" spans="191:191" x14ac:dyDescent="0.2">
      <c r="GI36524" s="422"/>
    </row>
    <row r="36525" spans="191:191" x14ac:dyDescent="0.2">
      <c r="GI36525" s="422"/>
    </row>
    <row r="36526" spans="191:191" x14ac:dyDescent="0.2">
      <c r="GI36526" s="422"/>
    </row>
    <row r="36527" spans="191:191" x14ac:dyDescent="0.2">
      <c r="GI36527" s="422"/>
    </row>
    <row r="36528" spans="191:191" x14ac:dyDescent="0.2">
      <c r="GI36528" s="422"/>
    </row>
    <row r="36529" spans="191:191" x14ac:dyDescent="0.2">
      <c r="GI36529" s="422"/>
    </row>
    <row r="36530" spans="191:191" x14ac:dyDescent="0.2">
      <c r="GI36530" s="422"/>
    </row>
    <row r="36531" spans="191:191" x14ac:dyDescent="0.2">
      <c r="GI36531" s="422"/>
    </row>
    <row r="36532" spans="191:191" x14ac:dyDescent="0.2">
      <c r="GI36532" s="422"/>
    </row>
    <row r="36533" spans="191:191" x14ac:dyDescent="0.2">
      <c r="GI36533" s="422"/>
    </row>
    <row r="36534" spans="191:191" x14ac:dyDescent="0.2">
      <c r="GI36534" s="422"/>
    </row>
    <row r="36535" spans="191:191" x14ac:dyDescent="0.2">
      <c r="GI36535" s="422"/>
    </row>
    <row r="36536" spans="191:191" x14ac:dyDescent="0.2">
      <c r="GI36536" s="422"/>
    </row>
    <row r="36537" spans="191:191" x14ac:dyDescent="0.2">
      <c r="GI36537" s="422"/>
    </row>
    <row r="36538" spans="191:191" x14ac:dyDescent="0.2">
      <c r="GI36538" s="422"/>
    </row>
    <row r="36539" spans="191:191" x14ac:dyDescent="0.2">
      <c r="GI36539" s="422"/>
    </row>
    <row r="36540" spans="191:191" x14ac:dyDescent="0.2">
      <c r="GI36540" s="422"/>
    </row>
    <row r="36541" spans="191:191" x14ac:dyDescent="0.2">
      <c r="GI36541" s="422"/>
    </row>
    <row r="36542" spans="191:191" x14ac:dyDescent="0.2">
      <c r="GI36542" s="422"/>
    </row>
    <row r="36543" spans="191:191" x14ac:dyDescent="0.2">
      <c r="GI36543" s="422"/>
    </row>
    <row r="36544" spans="191:191" x14ac:dyDescent="0.2">
      <c r="GI36544" s="422"/>
    </row>
    <row r="36545" spans="191:191" x14ac:dyDescent="0.2">
      <c r="GI36545" s="422"/>
    </row>
    <row r="36546" spans="191:191" x14ac:dyDescent="0.2">
      <c r="GI36546" s="422"/>
    </row>
    <row r="36547" spans="191:191" x14ac:dyDescent="0.2">
      <c r="GI36547" s="422"/>
    </row>
    <row r="36548" spans="191:191" x14ac:dyDescent="0.2">
      <c r="GI36548" s="422"/>
    </row>
    <row r="36549" spans="191:191" x14ac:dyDescent="0.2">
      <c r="GI36549" s="422"/>
    </row>
    <row r="36550" spans="191:191" x14ac:dyDescent="0.2">
      <c r="GI36550" s="422"/>
    </row>
    <row r="36551" spans="191:191" x14ac:dyDescent="0.2">
      <c r="GI36551" s="422"/>
    </row>
    <row r="36552" spans="191:191" x14ac:dyDescent="0.2">
      <c r="GI36552" s="422"/>
    </row>
    <row r="36553" spans="191:191" x14ac:dyDescent="0.2">
      <c r="GI36553" s="422"/>
    </row>
    <row r="36554" spans="191:191" x14ac:dyDescent="0.2">
      <c r="GI36554" s="422"/>
    </row>
    <row r="36555" spans="191:191" x14ac:dyDescent="0.2">
      <c r="GI36555" s="422"/>
    </row>
    <row r="36556" spans="191:191" x14ac:dyDescent="0.2">
      <c r="GI36556" s="422"/>
    </row>
    <row r="36557" spans="191:191" x14ac:dyDescent="0.2">
      <c r="GI36557" s="422"/>
    </row>
    <row r="36558" spans="191:191" x14ac:dyDescent="0.2">
      <c r="GI36558" s="422"/>
    </row>
    <row r="36559" spans="191:191" x14ac:dyDescent="0.2">
      <c r="GI36559" s="422"/>
    </row>
    <row r="36560" spans="191:191" x14ac:dyDescent="0.2">
      <c r="GI36560" s="422"/>
    </row>
    <row r="36561" spans="191:191" x14ac:dyDescent="0.2">
      <c r="GI36561" s="422"/>
    </row>
    <row r="36562" spans="191:191" x14ac:dyDescent="0.2">
      <c r="GI36562" s="422"/>
    </row>
    <row r="36563" spans="191:191" x14ac:dyDescent="0.2">
      <c r="GI36563" s="422"/>
    </row>
    <row r="36564" spans="191:191" x14ac:dyDescent="0.2">
      <c r="GI36564" s="422"/>
    </row>
    <row r="36565" spans="191:191" x14ac:dyDescent="0.2">
      <c r="GI36565" s="422"/>
    </row>
    <row r="36566" spans="191:191" x14ac:dyDescent="0.2">
      <c r="GI36566" s="422"/>
    </row>
    <row r="36567" spans="191:191" x14ac:dyDescent="0.2">
      <c r="GI36567" s="422"/>
    </row>
    <row r="36568" spans="191:191" x14ac:dyDescent="0.2">
      <c r="GI36568" s="422"/>
    </row>
    <row r="36569" spans="191:191" x14ac:dyDescent="0.2">
      <c r="GI36569" s="422"/>
    </row>
    <row r="36570" spans="191:191" x14ac:dyDescent="0.2">
      <c r="GI36570" s="422"/>
    </row>
    <row r="36571" spans="191:191" x14ac:dyDescent="0.2">
      <c r="GI36571" s="422"/>
    </row>
    <row r="36572" spans="191:191" x14ac:dyDescent="0.2">
      <c r="GI36572" s="422"/>
    </row>
    <row r="36573" spans="191:191" x14ac:dyDescent="0.2">
      <c r="GI36573" s="422"/>
    </row>
    <row r="36574" spans="191:191" x14ac:dyDescent="0.2">
      <c r="GI36574" s="422"/>
    </row>
    <row r="36575" spans="191:191" x14ac:dyDescent="0.2">
      <c r="GI36575" s="422"/>
    </row>
    <row r="36576" spans="191:191" x14ac:dyDescent="0.2">
      <c r="GI36576" s="422"/>
    </row>
    <row r="36577" spans="191:191" x14ac:dyDescent="0.2">
      <c r="GI36577" s="422"/>
    </row>
    <row r="36578" spans="191:191" x14ac:dyDescent="0.2">
      <c r="GI36578" s="422"/>
    </row>
    <row r="36579" spans="191:191" x14ac:dyDescent="0.2">
      <c r="GI36579" s="422"/>
    </row>
    <row r="36580" spans="191:191" x14ac:dyDescent="0.2">
      <c r="GI36580" s="422"/>
    </row>
    <row r="36581" spans="191:191" x14ac:dyDescent="0.2">
      <c r="GI36581" s="422"/>
    </row>
    <row r="36582" spans="191:191" x14ac:dyDescent="0.2">
      <c r="GI36582" s="422"/>
    </row>
    <row r="36583" spans="191:191" x14ac:dyDescent="0.2">
      <c r="GI36583" s="422"/>
    </row>
    <row r="36584" spans="191:191" x14ac:dyDescent="0.2">
      <c r="GI36584" s="422"/>
    </row>
    <row r="36585" spans="191:191" x14ac:dyDescent="0.2">
      <c r="GI36585" s="422"/>
    </row>
    <row r="36586" spans="191:191" x14ac:dyDescent="0.2">
      <c r="GI36586" s="422"/>
    </row>
    <row r="36587" spans="191:191" x14ac:dyDescent="0.2">
      <c r="GI36587" s="422"/>
    </row>
    <row r="36588" spans="191:191" x14ac:dyDescent="0.2">
      <c r="GI36588" s="422"/>
    </row>
    <row r="36589" spans="191:191" x14ac:dyDescent="0.2">
      <c r="GI36589" s="422"/>
    </row>
    <row r="36590" spans="191:191" x14ac:dyDescent="0.2">
      <c r="GI36590" s="422"/>
    </row>
    <row r="36591" spans="191:191" x14ac:dyDescent="0.2">
      <c r="GI36591" s="422"/>
    </row>
    <row r="36592" spans="191:191" x14ac:dyDescent="0.2">
      <c r="GI36592" s="422"/>
    </row>
    <row r="36593" spans="191:191" x14ac:dyDescent="0.2">
      <c r="GI36593" s="422"/>
    </row>
    <row r="36594" spans="191:191" x14ac:dyDescent="0.2">
      <c r="GI36594" s="422"/>
    </row>
    <row r="36595" spans="191:191" x14ac:dyDescent="0.2">
      <c r="GI36595" s="422"/>
    </row>
    <row r="36596" spans="191:191" x14ac:dyDescent="0.2">
      <c r="GI36596" s="422"/>
    </row>
    <row r="36597" spans="191:191" x14ac:dyDescent="0.2">
      <c r="GI36597" s="422"/>
    </row>
    <row r="36598" spans="191:191" x14ac:dyDescent="0.2">
      <c r="GI36598" s="422"/>
    </row>
    <row r="36599" spans="191:191" x14ac:dyDescent="0.2">
      <c r="GI36599" s="422"/>
    </row>
    <row r="36600" spans="191:191" x14ac:dyDescent="0.2">
      <c r="GI36600" s="422"/>
    </row>
    <row r="36601" spans="191:191" x14ac:dyDescent="0.2">
      <c r="GI36601" s="422"/>
    </row>
    <row r="36602" spans="191:191" x14ac:dyDescent="0.2">
      <c r="GI36602" s="422"/>
    </row>
    <row r="36603" spans="191:191" x14ac:dyDescent="0.2">
      <c r="GI36603" s="422"/>
    </row>
    <row r="36604" spans="191:191" x14ac:dyDescent="0.2">
      <c r="GI36604" s="422"/>
    </row>
    <row r="36605" spans="191:191" x14ac:dyDescent="0.2">
      <c r="GI36605" s="422"/>
    </row>
    <row r="36606" spans="191:191" x14ac:dyDescent="0.2">
      <c r="GI36606" s="422"/>
    </row>
    <row r="36607" spans="191:191" x14ac:dyDescent="0.2">
      <c r="GI36607" s="422"/>
    </row>
    <row r="36608" spans="191:191" x14ac:dyDescent="0.2">
      <c r="GI36608" s="422"/>
    </row>
    <row r="36609" spans="191:191" x14ac:dyDescent="0.2">
      <c r="GI36609" s="422"/>
    </row>
    <row r="36610" spans="191:191" x14ac:dyDescent="0.2">
      <c r="GI36610" s="422"/>
    </row>
    <row r="36611" spans="191:191" x14ac:dyDescent="0.2">
      <c r="GI36611" s="422"/>
    </row>
    <row r="36612" spans="191:191" x14ac:dyDescent="0.2">
      <c r="GI36612" s="422"/>
    </row>
    <row r="36613" spans="191:191" x14ac:dyDescent="0.2">
      <c r="GI36613" s="422"/>
    </row>
    <row r="36614" spans="191:191" x14ac:dyDescent="0.2">
      <c r="GI36614" s="422"/>
    </row>
    <row r="36615" spans="191:191" x14ac:dyDescent="0.2">
      <c r="GI36615" s="422"/>
    </row>
    <row r="36616" spans="191:191" x14ac:dyDescent="0.2">
      <c r="GI36616" s="422"/>
    </row>
    <row r="36617" spans="191:191" x14ac:dyDescent="0.2">
      <c r="GI36617" s="422"/>
    </row>
    <row r="36618" spans="191:191" x14ac:dyDescent="0.2">
      <c r="GI36618" s="422"/>
    </row>
    <row r="36619" spans="191:191" x14ac:dyDescent="0.2">
      <c r="GI36619" s="422"/>
    </row>
    <row r="36620" spans="191:191" x14ac:dyDescent="0.2">
      <c r="GI36620" s="422"/>
    </row>
    <row r="36621" spans="191:191" x14ac:dyDescent="0.2">
      <c r="GI36621" s="422"/>
    </row>
    <row r="36622" spans="191:191" x14ac:dyDescent="0.2">
      <c r="GI36622" s="422"/>
    </row>
    <row r="36623" spans="191:191" x14ac:dyDescent="0.2">
      <c r="GI36623" s="422"/>
    </row>
    <row r="36624" spans="191:191" x14ac:dyDescent="0.2">
      <c r="GI36624" s="422"/>
    </row>
    <row r="36625" spans="191:191" x14ac:dyDescent="0.2">
      <c r="GI36625" s="422"/>
    </row>
    <row r="36626" spans="191:191" x14ac:dyDescent="0.2">
      <c r="GI36626" s="422"/>
    </row>
    <row r="36627" spans="191:191" x14ac:dyDescent="0.2">
      <c r="GI36627" s="422"/>
    </row>
    <row r="36628" spans="191:191" x14ac:dyDescent="0.2">
      <c r="GI36628" s="422"/>
    </row>
    <row r="36629" spans="191:191" x14ac:dyDescent="0.2">
      <c r="GI36629" s="422"/>
    </row>
    <row r="36630" spans="191:191" x14ac:dyDescent="0.2">
      <c r="GI36630" s="422"/>
    </row>
    <row r="36631" spans="191:191" x14ac:dyDescent="0.2">
      <c r="GI36631" s="422"/>
    </row>
    <row r="36632" spans="191:191" x14ac:dyDescent="0.2">
      <c r="GI36632" s="422"/>
    </row>
    <row r="36633" spans="191:191" x14ac:dyDescent="0.2">
      <c r="GI36633" s="422"/>
    </row>
    <row r="36634" spans="191:191" x14ac:dyDescent="0.2">
      <c r="GI36634" s="422"/>
    </row>
    <row r="36635" spans="191:191" x14ac:dyDescent="0.2">
      <c r="GI36635" s="422"/>
    </row>
    <row r="36636" spans="191:191" x14ac:dyDescent="0.2">
      <c r="GI36636" s="422"/>
    </row>
    <row r="36637" spans="191:191" x14ac:dyDescent="0.2">
      <c r="GI36637" s="422"/>
    </row>
    <row r="36638" spans="191:191" x14ac:dyDescent="0.2">
      <c r="GI36638" s="422"/>
    </row>
    <row r="36639" spans="191:191" x14ac:dyDescent="0.2">
      <c r="GI36639" s="422"/>
    </row>
    <row r="36640" spans="191:191" x14ac:dyDescent="0.2">
      <c r="GI36640" s="422"/>
    </row>
    <row r="36641" spans="191:191" x14ac:dyDescent="0.2">
      <c r="GI36641" s="422"/>
    </row>
    <row r="36642" spans="191:191" x14ac:dyDescent="0.2">
      <c r="GI36642" s="422"/>
    </row>
    <row r="36643" spans="191:191" x14ac:dyDescent="0.2">
      <c r="GI36643" s="422"/>
    </row>
    <row r="36644" spans="191:191" x14ac:dyDescent="0.2">
      <c r="GI36644" s="422"/>
    </row>
    <row r="36645" spans="191:191" x14ac:dyDescent="0.2">
      <c r="GI36645" s="422"/>
    </row>
    <row r="36646" spans="191:191" x14ac:dyDescent="0.2">
      <c r="GI36646" s="422"/>
    </row>
    <row r="36647" spans="191:191" x14ac:dyDescent="0.2">
      <c r="GI36647" s="422"/>
    </row>
    <row r="36648" spans="191:191" x14ac:dyDescent="0.2">
      <c r="GI36648" s="422"/>
    </row>
    <row r="36649" spans="191:191" x14ac:dyDescent="0.2">
      <c r="GI36649" s="422"/>
    </row>
    <row r="36650" spans="191:191" x14ac:dyDescent="0.2">
      <c r="GI36650" s="422"/>
    </row>
    <row r="36651" spans="191:191" x14ac:dyDescent="0.2">
      <c r="GI36651" s="422"/>
    </row>
    <row r="36652" spans="191:191" x14ac:dyDescent="0.2">
      <c r="GI36652" s="422"/>
    </row>
    <row r="36653" spans="191:191" x14ac:dyDescent="0.2">
      <c r="GI36653" s="422"/>
    </row>
    <row r="36654" spans="191:191" x14ac:dyDescent="0.2">
      <c r="GI36654" s="422"/>
    </row>
    <row r="36655" spans="191:191" x14ac:dyDescent="0.2">
      <c r="GI36655" s="422"/>
    </row>
    <row r="36656" spans="191:191" x14ac:dyDescent="0.2">
      <c r="GI36656" s="422"/>
    </row>
    <row r="36657" spans="191:191" x14ac:dyDescent="0.2">
      <c r="GI36657" s="422"/>
    </row>
    <row r="36658" spans="191:191" x14ac:dyDescent="0.2">
      <c r="GI36658" s="422"/>
    </row>
    <row r="36659" spans="191:191" x14ac:dyDescent="0.2">
      <c r="GI36659" s="422"/>
    </row>
    <row r="36660" spans="191:191" x14ac:dyDescent="0.2">
      <c r="GI36660" s="422"/>
    </row>
    <row r="36661" spans="191:191" x14ac:dyDescent="0.2">
      <c r="GI36661" s="422"/>
    </row>
    <row r="36662" spans="191:191" x14ac:dyDescent="0.2">
      <c r="GI36662" s="422"/>
    </row>
    <row r="36663" spans="191:191" x14ac:dyDescent="0.2">
      <c r="GI36663" s="422"/>
    </row>
    <row r="36664" spans="191:191" x14ac:dyDescent="0.2">
      <c r="GI36664" s="422"/>
    </row>
    <row r="36665" spans="191:191" x14ac:dyDescent="0.2">
      <c r="GI36665" s="422"/>
    </row>
    <row r="36666" spans="191:191" x14ac:dyDescent="0.2">
      <c r="GI36666" s="422"/>
    </row>
    <row r="36667" spans="191:191" x14ac:dyDescent="0.2">
      <c r="GI36667" s="422"/>
    </row>
    <row r="36668" spans="191:191" x14ac:dyDescent="0.2">
      <c r="GI36668" s="422"/>
    </row>
    <row r="36669" spans="191:191" x14ac:dyDescent="0.2">
      <c r="GI36669" s="422"/>
    </row>
    <row r="36670" spans="191:191" x14ac:dyDescent="0.2">
      <c r="GI36670" s="422"/>
    </row>
    <row r="36671" spans="191:191" x14ac:dyDescent="0.2">
      <c r="GI36671" s="422"/>
    </row>
    <row r="36672" spans="191:191" x14ac:dyDescent="0.2">
      <c r="GI36672" s="422"/>
    </row>
    <row r="36673" spans="191:191" x14ac:dyDescent="0.2">
      <c r="GI36673" s="422"/>
    </row>
    <row r="36674" spans="191:191" x14ac:dyDescent="0.2">
      <c r="GI36674" s="422"/>
    </row>
    <row r="36675" spans="191:191" x14ac:dyDescent="0.2">
      <c r="GI36675" s="422"/>
    </row>
    <row r="36676" spans="191:191" x14ac:dyDescent="0.2">
      <c r="GI36676" s="422"/>
    </row>
    <row r="36677" spans="191:191" x14ac:dyDescent="0.2">
      <c r="GI36677" s="422"/>
    </row>
    <row r="36678" spans="191:191" x14ac:dyDescent="0.2">
      <c r="GI36678" s="422"/>
    </row>
    <row r="36679" spans="191:191" x14ac:dyDescent="0.2">
      <c r="GI36679" s="422"/>
    </row>
    <row r="36680" spans="191:191" x14ac:dyDescent="0.2">
      <c r="GI36680" s="422"/>
    </row>
    <row r="36681" spans="191:191" x14ac:dyDescent="0.2">
      <c r="GI36681" s="422"/>
    </row>
    <row r="36682" spans="191:191" x14ac:dyDescent="0.2">
      <c r="GI36682" s="422"/>
    </row>
    <row r="36683" spans="191:191" x14ac:dyDescent="0.2">
      <c r="GI36683" s="422"/>
    </row>
    <row r="36684" spans="191:191" x14ac:dyDescent="0.2">
      <c r="GI36684" s="422"/>
    </row>
    <row r="36685" spans="191:191" x14ac:dyDescent="0.2">
      <c r="GI36685" s="422"/>
    </row>
    <row r="36686" spans="191:191" x14ac:dyDescent="0.2">
      <c r="GI36686" s="422"/>
    </row>
    <row r="36687" spans="191:191" x14ac:dyDescent="0.2">
      <c r="GI36687" s="422"/>
    </row>
    <row r="36688" spans="191:191" x14ac:dyDescent="0.2">
      <c r="GI36688" s="422"/>
    </row>
    <row r="36689" spans="191:191" x14ac:dyDescent="0.2">
      <c r="GI36689" s="422"/>
    </row>
    <row r="36690" spans="191:191" x14ac:dyDescent="0.2">
      <c r="GI36690" s="422"/>
    </row>
    <row r="36691" spans="191:191" x14ac:dyDescent="0.2">
      <c r="GI36691" s="422"/>
    </row>
    <row r="36692" spans="191:191" x14ac:dyDescent="0.2">
      <c r="GI36692" s="422"/>
    </row>
    <row r="36693" spans="191:191" x14ac:dyDescent="0.2">
      <c r="GI36693" s="422"/>
    </row>
    <row r="36694" spans="191:191" x14ac:dyDescent="0.2">
      <c r="GI36694" s="422"/>
    </row>
    <row r="36695" spans="191:191" x14ac:dyDescent="0.2">
      <c r="GI36695" s="422"/>
    </row>
    <row r="36696" spans="191:191" x14ac:dyDescent="0.2">
      <c r="GI36696" s="422"/>
    </row>
    <row r="36697" spans="191:191" x14ac:dyDescent="0.2">
      <c r="GI36697" s="422"/>
    </row>
    <row r="36698" spans="191:191" x14ac:dyDescent="0.2">
      <c r="GI36698" s="422"/>
    </row>
    <row r="36699" spans="191:191" x14ac:dyDescent="0.2">
      <c r="GI36699" s="422"/>
    </row>
    <row r="36700" spans="191:191" x14ac:dyDescent="0.2">
      <c r="GI36700" s="422"/>
    </row>
    <row r="36701" spans="191:191" x14ac:dyDescent="0.2">
      <c r="GI36701" s="422"/>
    </row>
    <row r="36702" spans="191:191" x14ac:dyDescent="0.2">
      <c r="GI36702" s="422"/>
    </row>
    <row r="36703" spans="191:191" x14ac:dyDescent="0.2">
      <c r="GI36703" s="422"/>
    </row>
    <row r="36704" spans="191:191" x14ac:dyDescent="0.2">
      <c r="GI36704" s="422"/>
    </row>
    <row r="36705" spans="191:191" x14ac:dyDescent="0.2">
      <c r="GI36705" s="422"/>
    </row>
    <row r="36706" spans="191:191" x14ac:dyDescent="0.2">
      <c r="GI36706" s="422"/>
    </row>
    <row r="36707" spans="191:191" x14ac:dyDescent="0.2">
      <c r="GI36707" s="422"/>
    </row>
    <row r="36708" spans="191:191" x14ac:dyDescent="0.2">
      <c r="GI36708" s="422"/>
    </row>
    <row r="36709" spans="191:191" x14ac:dyDescent="0.2">
      <c r="GI36709" s="422"/>
    </row>
    <row r="36710" spans="191:191" x14ac:dyDescent="0.2">
      <c r="GI36710" s="422"/>
    </row>
    <row r="36711" spans="191:191" x14ac:dyDescent="0.2">
      <c r="GI36711" s="422"/>
    </row>
    <row r="36712" spans="191:191" x14ac:dyDescent="0.2">
      <c r="GI36712" s="422"/>
    </row>
    <row r="36713" spans="191:191" x14ac:dyDescent="0.2">
      <c r="GI36713" s="422"/>
    </row>
    <row r="36714" spans="191:191" x14ac:dyDescent="0.2">
      <c r="GI36714" s="422"/>
    </row>
    <row r="36715" spans="191:191" x14ac:dyDescent="0.2">
      <c r="GI36715" s="422"/>
    </row>
    <row r="36716" spans="191:191" x14ac:dyDescent="0.2">
      <c r="GI36716" s="422"/>
    </row>
    <row r="36717" spans="191:191" x14ac:dyDescent="0.2">
      <c r="GI36717" s="422"/>
    </row>
    <row r="36718" spans="191:191" x14ac:dyDescent="0.2">
      <c r="GI36718" s="422"/>
    </row>
    <row r="36719" spans="191:191" x14ac:dyDescent="0.2">
      <c r="GI36719" s="422"/>
    </row>
    <row r="36720" spans="191:191" x14ac:dyDescent="0.2">
      <c r="GI36720" s="422"/>
    </row>
    <row r="36721" spans="191:191" x14ac:dyDescent="0.2">
      <c r="GI36721" s="422"/>
    </row>
    <row r="36722" spans="191:191" x14ac:dyDescent="0.2">
      <c r="GI36722" s="422"/>
    </row>
    <row r="36723" spans="191:191" x14ac:dyDescent="0.2">
      <c r="GI36723" s="422"/>
    </row>
    <row r="36724" spans="191:191" x14ac:dyDescent="0.2">
      <c r="GI36724" s="422"/>
    </row>
    <row r="36725" spans="191:191" x14ac:dyDescent="0.2">
      <c r="GI36725" s="422"/>
    </row>
    <row r="36726" spans="191:191" x14ac:dyDescent="0.2">
      <c r="GI36726" s="422"/>
    </row>
    <row r="36727" spans="191:191" x14ac:dyDescent="0.2">
      <c r="GI36727" s="422"/>
    </row>
    <row r="36728" spans="191:191" x14ac:dyDescent="0.2">
      <c r="GI36728" s="422"/>
    </row>
    <row r="36729" spans="191:191" x14ac:dyDescent="0.2">
      <c r="GI36729" s="422"/>
    </row>
    <row r="36730" spans="191:191" x14ac:dyDescent="0.2">
      <c r="GI36730" s="422"/>
    </row>
    <row r="36731" spans="191:191" x14ac:dyDescent="0.2">
      <c r="GI36731" s="422"/>
    </row>
    <row r="36732" spans="191:191" x14ac:dyDescent="0.2">
      <c r="GI36732" s="422"/>
    </row>
    <row r="36733" spans="191:191" x14ac:dyDescent="0.2">
      <c r="GI36733" s="422"/>
    </row>
    <row r="36734" spans="191:191" x14ac:dyDescent="0.2">
      <c r="GI36734" s="422"/>
    </row>
    <row r="36735" spans="191:191" x14ac:dyDescent="0.2">
      <c r="GI36735" s="422"/>
    </row>
    <row r="36736" spans="191:191" x14ac:dyDescent="0.2">
      <c r="GI36736" s="422"/>
    </row>
    <row r="36737" spans="191:191" x14ac:dyDescent="0.2">
      <c r="GI36737" s="422"/>
    </row>
    <row r="36738" spans="191:191" x14ac:dyDescent="0.2">
      <c r="GI36738" s="422"/>
    </row>
    <row r="36739" spans="191:191" x14ac:dyDescent="0.2">
      <c r="GI36739" s="422"/>
    </row>
    <row r="36740" spans="191:191" x14ac:dyDescent="0.2">
      <c r="GI36740" s="422"/>
    </row>
    <row r="36741" spans="191:191" x14ac:dyDescent="0.2">
      <c r="GI36741" s="422"/>
    </row>
    <row r="36742" spans="191:191" x14ac:dyDescent="0.2">
      <c r="GI36742" s="422"/>
    </row>
    <row r="36743" spans="191:191" x14ac:dyDescent="0.2">
      <c r="GI36743" s="422"/>
    </row>
    <row r="36744" spans="191:191" x14ac:dyDescent="0.2">
      <c r="GI36744" s="422"/>
    </row>
    <row r="36745" spans="191:191" x14ac:dyDescent="0.2">
      <c r="GI36745" s="422"/>
    </row>
    <row r="36746" spans="191:191" x14ac:dyDescent="0.2">
      <c r="GI36746" s="422"/>
    </row>
    <row r="36747" spans="191:191" x14ac:dyDescent="0.2">
      <c r="GI36747" s="422"/>
    </row>
    <row r="36748" spans="191:191" x14ac:dyDescent="0.2">
      <c r="GI36748" s="422"/>
    </row>
    <row r="36749" spans="191:191" x14ac:dyDescent="0.2">
      <c r="GI36749" s="422"/>
    </row>
    <row r="36750" spans="191:191" x14ac:dyDescent="0.2">
      <c r="GI36750" s="422"/>
    </row>
    <row r="36751" spans="191:191" x14ac:dyDescent="0.2">
      <c r="GI36751" s="422"/>
    </row>
    <row r="36752" spans="191:191" x14ac:dyDescent="0.2">
      <c r="GI36752" s="422"/>
    </row>
    <row r="36753" spans="191:191" x14ac:dyDescent="0.2">
      <c r="GI36753" s="422"/>
    </row>
    <row r="36754" spans="191:191" x14ac:dyDescent="0.2">
      <c r="GI36754" s="422"/>
    </row>
    <row r="36755" spans="191:191" x14ac:dyDescent="0.2">
      <c r="GI36755" s="422"/>
    </row>
    <row r="36756" spans="191:191" x14ac:dyDescent="0.2">
      <c r="GI36756" s="422"/>
    </row>
    <row r="36757" spans="191:191" x14ac:dyDescent="0.2">
      <c r="GI36757" s="422"/>
    </row>
    <row r="36758" spans="191:191" x14ac:dyDescent="0.2">
      <c r="GI36758" s="422"/>
    </row>
    <row r="36759" spans="191:191" x14ac:dyDescent="0.2">
      <c r="GI36759" s="422"/>
    </row>
    <row r="36760" spans="191:191" x14ac:dyDescent="0.2">
      <c r="GI36760" s="422"/>
    </row>
    <row r="36761" spans="191:191" x14ac:dyDescent="0.2">
      <c r="GI36761" s="422"/>
    </row>
    <row r="36762" spans="191:191" x14ac:dyDescent="0.2">
      <c r="GI36762" s="422"/>
    </row>
    <row r="36763" spans="191:191" x14ac:dyDescent="0.2">
      <c r="GI36763" s="422"/>
    </row>
    <row r="36764" spans="191:191" x14ac:dyDescent="0.2">
      <c r="GI36764" s="422"/>
    </row>
    <row r="36765" spans="191:191" x14ac:dyDescent="0.2">
      <c r="GI36765" s="422"/>
    </row>
    <row r="36766" spans="191:191" x14ac:dyDescent="0.2">
      <c r="GI36766" s="422"/>
    </row>
    <row r="36767" spans="191:191" x14ac:dyDescent="0.2">
      <c r="GI36767" s="422"/>
    </row>
    <row r="36768" spans="191:191" x14ac:dyDescent="0.2">
      <c r="GI36768" s="422"/>
    </row>
    <row r="36769" spans="191:191" x14ac:dyDescent="0.2">
      <c r="GI36769" s="422"/>
    </row>
    <row r="36770" spans="191:191" x14ac:dyDescent="0.2">
      <c r="GI36770" s="422"/>
    </row>
    <row r="36771" spans="191:191" x14ac:dyDescent="0.2">
      <c r="GI36771" s="422"/>
    </row>
    <row r="36772" spans="191:191" x14ac:dyDescent="0.2">
      <c r="GI36772" s="422"/>
    </row>
    <row r="36773" spans="191:191" x14ac:dyDescent="0.2">
      <c r="GI36773" s="422"/>
    </row>
    <row r="36774" spans="191:191" x14ac:dyDescent="0.2">
      <c r="GI36774" s="422"/>
    </row>
    <row r="36775" spans="191:191" x14ac:dyDescent="0.2">
      <c r="GI36775" s="422"/>
    </row>
    <row r="36776" spans="191:191" x14ac:dyDescent="0.2">
      <c r="GI36776" s="422"/>
    </row>
    <row r="36777" spans="191:191" x14ac:dyDescent="0.2">
      <c r="GI36777" s="422"/>
    </row>
    <row r="36778" spans="191:191" x14ac:dyDescent="0.2">
      <c r="GI36778" s="422"/>
    </row>
    <row r="36779" spans="191:191" x14ac:dyDescent="0.2">
      <c r="GI36779" s="422"/>
    </row>
    <row r="36780" spans="191:191" x14ac:dyDescent="0.2">
      <c r="GI36780" s="422"/>
    </row>
    <row r="36781" spans="191:191" x14ac:dyDescent="0.2">
      <c r="GI36781" s="422"/>
    </row>
    <row r="36782" spans="191:191" x14ac:dyDescent="0.2">
      <c r="GI36782" s="422"/>
    </row>
    <row r="36783" spans="191:191" x14ac:dyDescent="0.2">
      <c r="GI36783" s="422"/>
    </row>
    <row r="36784" spans="191:191" x14ac:dyDescent="0.2">
      <c r="GI36784" s="422"/>
    </row>
    <row r="36785" spans="191:191" x14ac:dyDescent="0.2">
      <c r="GI36785" s="422"/>
    </row>
    <row r="36786" spans="191:191" x14ac:dyDescent="0.2">
      <c r="GI36786" s="422"/>
    </row>
    <row r="36787" spans="191:191" x14ac:dyDescent="0.2">
      <c r="GI36787" s="422"/>
    </row>
    <row r="36788" spans="191:191" x14ac:dyDescent="0.2">
      <c r="GI36788" s="422"/>
    </row>
    <row r="36789" spans="191:191" x14ac:dyDescent="0.2">
      <c r="GI36789" s="422"/>
    </row>
    <row r="36790" spans="191:191" x14ac:dyDescent="0.2">
      <c r="GI36790" s="422"/>
    </row>
    <row r="36791" spans="191:191" x14ac:dyDescent="0.2">
      <c r="GI36791" s="422"/>
    </row>
    <row r="36792" spans="191:191" x14ac:dyDescent="0.2">
      <c r="GI36792" s="422"/>
    </row>
    <row r="36793" spans="191:191" x14ac:dyDescent="0.2">
      <c r="GI36793" s="422"/>
    </row>
    <row r="36794" spans="191:191" x14ac:dyDescent="0.2">
      <c r="GI36794" s="422"/>
    </row>
    <row r="36795" spans="191:191" x14ac:dyDescent="0.2">
      <c r="GI36795" s="422"/>
    </row>
    <row r="36796" spans="191:191" x14ac:dyDescent="0.2">
      <c r="GI36796" s="422"/>
    </row>
    <row r="36797" spans="191:191" x14ac:dyDescent="0.2">
      <c r="GI36797" s="422"/>
    </row>
    <row r="36798" spans="191:191" x14ac:dyDescent="0.2">
      <c r="GI36798" s="422"/>
    </row>
    <row r="36799" spans="191:191" x14ac:dyDescent="0.2">
      <c r="GI36799" s="422"/>
    </row>
    <row r="36800" spans="191:191" x14ac:dyDescent="0.2">
      <c r="GI36800" s="422"/>
    </row>
    <row r="36801" spans="191:191" x14ac:dyDescent="0.2">
      <c r="GI36801" s="422"/>
    </row>
    <row r="36802" spans="191:191" x14ac:dyDescent="0.2">
      <c r="GI36802" s="422"/>
    </row>
    <row r="36803" spans="191:191" x14ac:dyDescent="0.2">
      <c r="GI36803" s="422"/>
    </row>
    <row r="36804" spans="191:191" x14ac:dyDescent="0.2">
      <c r="GI36804" s="422"/>
    </row>
    <row r="36805" spans="191:191" x14ac:dyDescent="0.2">
      <c r="GI36805" s="422"/>
    </row>
    <row r="36806" spans="191:191" x14ac:dyDescent="0.2">
      <c r="GI36806" s="422"/>
    </row>
    <row r="36807" spans="191:191" x14ac:dyDescent="0.2">
      <c r="GI36807" s="422"/>
    </row>
    <row r="36808" spans="191:191" x14ac:dyDescent="0.2">
      <c r="GI36808" s="422"/>
    </row>
    <row r="36809" spans="191:191" x14ac:dyDescent="0.2">
      <c r="GI36809" s="422"/>
    </row>
    <row r="36810" spans="191:191" x14ac:dyDescent="0.2">
      <c r="GI36810" s="422"/>
    </row>
    <row r="36811" spans="191:191" x14ac:dyDescent="0.2">
      <c r="GI36811" s="422"/>
    </row>
    <row r="36812" spans="191:191" x14ac:dyDescent="0.2">
      <c r="GI36812" s="422"/>
    </row>
    <row r="36813" spans="191:191" x14ac:dyDescent="0.2">
      <c r="GI36813" s="422"/>
    </row>
    <row r="36814" spans="191:191" x14ac:dyDescent="0.2">
      <c r="GI36814" s="422"/>
    </row>
    <row r="36815" spans="191:191" x14ac:dyDescent="0.2">
      <c r="GI36815" s="422"/>
    </row>
    <row r="36816" spans="191:191" x14ac:dyDescent="0.2">
      <c r="GI36816" s="422"/>
    </row>
    <row r="36817" spans="191:191" x14ac:dyDescent="0.2">
      <c r="GI36817" s="422"/>
    </row>
    <row r="36818" spans="191:191" x14ac:dyDescent="0.2">
      <c r="GI36818" s="422"/>
    </row>
    <row r="36819" spans="191:191" x14ac:dyDescent="0.2">
      <c r="GI36819" s="422"/>
    </row>
    <row r="36820" spans="191:191" x14ac:dyDescent="0.2">
      <c r="GI36820" s="422"/>
    </row>
    <row r="36821" spans="191:191" x14ac:dyDescent="0.2">
      <c r="GI36821" s="422"/>
    </row>
    <row r="36822" spans="191:191" x14ac:dyDescent="0.2">
      <c r="GI36822" s="422"/>
    </row>
    <row r="36823" spans="191:191" x14ac:dyDescent="0.2">
      <c r="GI36823" s="422"/>
    </row>
    <row r="36824" spans="191:191" x14ac:dyDescent="0.2">
      <c r="GI36824" s="422"/>
    </row>
    <row r="36825" spans="191:191" x14ac:dyDescent="0.2">
      <c r="GI36825" s="422"/>
    </row>
    <row r="36826" spans="191:191" x14ac:dyDescent="0.2">
      <c r="GI36826" s="422"/>
    </row>
    <row r="36827" spans="191:191" x14ac:dyDescent="0.2">
      <c r="GI36827" s="422"/>
    </row>
    <row r="36828" spans="191:191" x14ac:dyDescent="0.2">
      <c r="GI36828" s="422"/>
    </row>
    <row r="36829" spans="191:191" x14ac:dyDescent="0.2">
      <c r="GI36829" s="422"/>
    </row>
    <row r="36830" spans="191:191" x14ac:dyDescent="0.2">
      <c r="GI36830" s="422"/>
    </row>
    <row r="36831" spans="191:191" x14ac:dyDescent="0.2">
      <c r="GI36831" s="422"/>
    </row>
    <row r="36832" spans="191:191" x14ac:dyDescent="0.2">
      <c r="GI36832" s="422"/>
    </row>
    <row r="36833" spans="191:191" x14ac:dyDescent="0.2">
      <c r="GI36833" s="422"/>
    </row>
    <row r="36834" spans="191:191" x14ac:dyDescent="0.2">
      <c r="GI36834" s="422"/>
    </row>
    <row r="36835" spans="191:191" x14ac:dyDescent="0.2">
      <c r="GI36835" s="422"/>
    </row>
    <row r="36836" spans="191:191" x14ac:dyDescent="0.2">
      <c r="GI36836" s="422"/>
    </row>
    <row r="36837" spans="191:191" x14ac:dyDescent="0.2">
      <c r="GI36837" s="422"/>
    </row>
    <row r="36838" spans="191:191" x14ac:dyDescent="0.2">
      <c r="GI36838" s="422"/>
    </row>
    <row r="36839" spans="191:191" x14ac:dyDescent="0.2">
      <c r="GI36839" s="422"/>
    </row>
    <row r="36840" spans="191:191" x14ac:dyDescent="0.2">
      <c r="GI36840" s="422"/>
    </row>
    <row r="36841" spans="191:191" x14ac:dyDescent="0.2">
      <c r="GI36841" s="422"/>
    </row>
    <row r="36842" spans="191:191" x14ac:dyDescent="0.2">
      <c r="GI36842" s="422"/>
    </row>
    <row r="36843" spans="191:191" x14ac:dyDescent="0.2">
      <c r="GI36843" s="422"/>
    </row>
    <row r="36844" spans="191:191" x14ac:dyDescent="0.2">
      <c r="GI36844" s="422"/>
    </row>
    <row r="36845" spans="191:191" x14ac:dyDescent="0.2">
      <c r="GI36845" s="422"/>
    </row>
    <row r="36846" spans="191:191" x14ac:dyDescent="0.2">
      <c r="GI36846" s="422"/>
    </row>
    <row r="36847" spans="191:191" x14ac:dyDescent="0.2">
      <c r="GI36847" s="422"/>
    </row>
    <row r="36848" spans="191:191" x14ac:dyDescent="0.2">
      <c r="GI36848" s="422"/>
    </row>
    <row r="36849" spans="191:191" x14ac:dyDescent="0.2">
      <c r="GI36849" s="422"/>
    </row>
    <row r="36850" spans="191:191" x14ac:dyDescent="0.2">
      <c r="GI36850" s="422"/>
    </row>
    <row r="36851" spans="191:191" x14ac:dyDescent="0.2">
      <c r="GI36851" s="422"/>
    </row>
    <row r="36852" spans="191:191" x14ac:dyDescent="0.2">
      <c r="GI36852" s="422"/>
    </row>
    <row r="36853" spans="191:191" x14ac:dyDescent="0.2">
      <c r="GI36853" s="422"/>
    </row>
    <row r="36854" spans="191:191" x14ac:dyDescent="0.2">
      <c r="GI36854" s="422"/>
    </row>
    <row r="36855" spans="191:191" x14ac:dyDescent="0.2">
      <c r="GI36855" s="422"/>
    </row>
    <row r="36856" spans="191:191" x14ac:dyDescent="0.2">
      <c r="GI36856" s="422"/>
    </row>
    <row r="36857" spans="191:191" x14ac:dyDescent="0.2">
      <c r="GI36857" s="422"/>
    </row>
    <row r="36858" spans="191:191" x14ac:dyDescent="0.2">
      <c r="GI36858" s="422"/>
    </row>
    <row r="36859" spans="191:191" x14ac:dyDescent="0.2">
      <c r="GI36859" s="422"/>
    </row>
    <row r="36860" spans="191:191" x14ac:dyDescent="0.2">
      <c r="GI36860" s="422"/>
    </row>
    <row r="36861" spans="191:191" x14ac:dyDescent="0.2">
      <c r="GI36861" s="422"/>
    </row>
    <row r="36862" spans="191:191" x14ac:dyDescent="0.2">
      <c r="GI36862" s="422"/>
    </row>
    <row r="36863" spans="191:191" x14ac:dyDescent="0.2">
      <c r="GI36863" s="422"/>
    </row>
    <row r="36864" spans="191:191" x14ac:dyDescent="0.2">
      <c r="GI36864" s="422"/>
    </row>
    <row r="36865" spans="191:191" x14ac:dyDescent="0.2">
      <c r="GI36865" s="422"/>
    </row>
    <row r="36866" spans="191:191" x14ac:dyDescent="0.2">
      <c r="GI36866" s="422"/>
    </row>
    <row r="36867" spans="191:191" x14ac:dyDescent="0.2">
      <c r="GI36867" s="422"/>
    </row>
    <row r="36868" spans="191:191" x14ac:dyDescent="0.2">
      <c r="GI36868" s="422"/>
    </row>
    <row r="36869" spans="191:191" x14ac:dyDescent="0.2">
      <c r="GI36869" s="422"/>
    </row>
    <row r="36870" spans="191:191" x14ac:dyDescent="0.2">
      <c r="GI36870" s="422"/>
    </row>
    <row r="36871" spans="191:191" x14ac:dyDescent="0.2">
      <c r="GI36871" s="422"/>
    </row>
    <row r="36872" spans="191:191" x14ac:dyDescent="0.2">
      <c r="GI36872" s="422"/>
    </row>
    <row r="36873" spans="191:191" x14ac:dyDescent="0.2">
      <c r="GI36873" s="422"/>
    </row>
    <row r="36874" spans="191:191" x14ac:dyDescent="0.2">
      <c r="GI36874" s="422"/>
    </row>
    <row r="36875" spans="191:191" x14ac:dyDescent="0.2">
      <c r="GI36875" s="422"/>
    </row>
    <row r="36876" spans="191:191" x14ac:dyDescent="0.2">
      <c r="GI36876" s="422"/>
    </row>
    <row r="36877" spans="191:191" x14ac:dyDescent="0.2">
      <c r="GI36877" s="422"/>
    </row>
    <row r="36878" spans="191:191" x14ac:dyDescent="0.2">
      <c r="GI36878" s="422"/>
    </row>
    <row r="36879" spans="191:191" x14ac:dyDescent="0.2">
      <c r="GI36879" s="422"/>
    </row>
    <row r="36880" spans="191:191" x14ac:dyDescent="0.2">
      <c r="GI36880" s="422"/>
    </row>
    <row r="36881" spans="191:191" x14ac:dyDescent="0.2">
      <c r="GI36881" s="422"/>
    </row>
    <row r="36882" spans="191:191" x14ac:dyDescent="0.2">
      <c r="GI36882" s="422"/>
    </row>
    <row r="36883" spans="191:191" x14ac:dyDescent="0.2">
      <c r="GI36883" s="422"/>
    </row>
    <row r="36884" spans="191:191" x14ac:dyDescent="0.2">
      <c r="GI36884" s="422"/>
    </row>
    <row r="36885" spans="191:191" x14ac:dyDescent="0.2">
      <c r="GI36885" s="422"/>
    </row>
    <row r="36886" spans="191:191" x14ac:dyDescent="0.2">
      <c r="GI36886" s="422"/>
    </row>
    <row r="36887" spans="191:191" x14ac:dyDescent="0.2">
      <c r="GI36887" s="422"/>
    </row>
    <row r="36888" spans="191:191" x14ac:dyDescent="0.2">
      <c r="GI36888" s="422"/>
    </row>
    <row r="36889" spans="191:191" x14ac:dyDescent="0.2">
      <c r="GI36889" s="422"/>
    </row>
    <row r="36890" spans="191:191" x14ac:dyDescent="0.2">
      <c r="GI36890" s="422"/>
    </row>
    <row r="36891" spans="191:191" x14ac:dyDescent="0.2">
      <c r="GI36891" s="422"/>
    </row>
    <row r="36892" spans="191:191" x14ac:dyDescent="0.2">
      <c r="GI36892" s="422"/>
    </row>
    <row r="36893" spans="191:191" x14ac:dyDescent="0.2">
      <c r="GI36893" s="422"/>
    </row>
    <row r="36894" spans="191:191" x14ac:dyDescent="0.2">
      <c r="GI36894" s="422"/>
    </row>
    <row r="36895" spans="191:191" x14ac:dyDescent="0.2">
      <c r="GI36895" s="422"/>
    </row>
    <row r="36896" spans="191:191" x14ac:dyDescent="0.2">
      <c r="GI36896" s="422"/>
    </row>
    <row r="36897" spans="191:191" x14ac:dyDescent="0.2">
      <c r="GI36897" s="422"/>
    </row>
    <row r="36898" spans="191:191" x14ac:dyDescent="0.2">
      <c r="GI36898" s="422"/>
    </row>
    <row r="36899" spans="191:191" x14ac:dyDescent="0.2">
      <c r="GI36899" s="422"/>
    </row>
    <row r="36900" spans="191:191" x14ac:dyDescent="0.2">
      <c r="GI36900" s="422"/>
    </row>
    <row r="36901" spans="191:191" x14ac:dyDescent="0.2">
      <c r="GI36901" s="422"/>
    </row>
    <row r="36902" spans="191:191" x14ac:dyDescent="0.2">
      <c r="GI36902" s="422"/>
    </row>
    <row r="36903" spans="191:191" x14ac:dyDescent="0.2">
      <c r="GI36903" s="422"/>
    </row>
    <row r="36904" spans="191:191" x14ac:dyDescent="0.2">
      <c r="GI36904" s="422"/>
    </row>
    <row r="36905" spans="191:191" x14ac:dyDescent="0.2">
      <c r="GI36905" s="422"/>
    </row>
    <row r="36906" spans="191:191" x14ac:dyDescent="0.2">
      <c r="GI36906" s="422"/>
    </row>
    <row r="36907" spans="191:191" x14ac:dyDescent="0.2">
      <c r="GI36907" s="422"/>
    </row>
    <row r="36908" spans="191:191" x14ac:dyDescent="0.2">
      <c r="GI36908" s="422"/>
    </row>
    <row r="36909" spans="191:191" x14ac:dyDescent="0.2">
      <c r="GI36909" s="422"/>
    </row>
    <row r="36910" spans="191:191" x14ac:dyDescent="0.2">
      <c r="GI36910" s="422"/>
    </row>
    <row r="36911" spans="191:191" x14ac:dyDescent="0.2">
      <c r="GI36911" s="422"/>
    </row>
    <row r="36912" spans="191:191" x14ac:dyDescent="0.2">
      <c r="GI36912" s="422"/>
    </row>
    <row r="36913" spans="191:191" x14ac:dyDescent="0.2">
      <c r="GI36913" s="422"/>
    </row>
    <row r="36914" spans="191:191" x14ac:dyDescent="0.2">
      <c r="GI36914" s="422"/>
    </row>
    <row r="36915" spans="191:191" x14ac:dyDescent="0.2">
      <c r="GI36915" s="422"/>
    </row>
    <row r="36916" spans="191:191" x14ac:dyDescent="0.2">
      <c r="GI36916" s="422"/>
    </row>
    <row r="36917" spans="191:191" x14ac:dyDescent="0.2">
      <c r="GI36917" s="422"/>
    </row>
    <row r="36918" spans="191:191" x14ac:dyDescent="0.2">
      <c r="GI36918" s="422"/>
    </row>
    <row r="36919" spans="191:191" x14ac:dyDescent="0.2">
      <c r="GI36919" s="422"/>
    </row>
    <row r="36920" spans="191:191" x14ac:dyDescent="0.2">
      <c r="GI36920" s="422"/>
    </row>
    <row r="36921" spans="191:191" x14ac:dyDescent="0.2">
      <c r="GI36921" s="422"/>
    </row>
    <row r="36922" spans="191:191" x14ac:dyDescent="0.2">
      <c r="GI36922" s="422"/>
    </row>
    <row r="36923" spans="191:191" x14ac:dyDescent="0.2">
      <c r="GI36923" s="422"/>
    </row>
    <row r="36924" spans="191:191" x14ac:dyDescent="0.2">
      <c r="GI36924" s="422"/>
    </row>
    <row r="36925" spans="191:191" x14ac:dyDescent="0.2">
      <c r="GI36925" s="422"/>
    </row>
    <row r="36926" spans="191:191" x14ac:dyDescent="0.2">
      <c r="GI36926" s="422"/>
    </row>
    <row r="36927" spans="191:191" x14ac:dyDescent="0.2">
      <c r="GI36927" s="422"/>
    </row>
    <row r="36928" spans="191:191" x14ac:dyDescent="0.2">
      <c r="GI36928" s="422"/>
    </row>
    <row r="36929" spans="191:191" x14ac:dyDescent="0.2">
      <c r="GI36929" s="422"/>
    </row>
    <row r="36930" spans="191:191" x14ac:dyDescent="0.2">
      <c r="GI36930" s="422"/>
    </row>
    <row r="36931" spans="191:191" x14ac:dyDescent="0.2">
      <c r="GI36931" s="422"/>
    </row>
    <row r="36932" spans="191:191" x14ac:dyDescent="0.2">
      <c r="GI36932" s="422"/>
    </row>
    <row r="36933" spans="191:191" x14ac:dyDescent="0.2">
      <c r="GI36933" s="422"/>
    </row>
    <row r="36934" spans="191:191" x14ac:dyDescent="0.2">
      <c r="GI36934" s="422"/>
    </row>
    <row r="36935" spans="191:191" x14ac:dyDescent="0.2">
      <c r="GI36935" s="422"/>
    </row>
    <row r="36936" spans="191:191" x14ac:dyDescent="0.2">
      <c r="GI36936" s="422"/>
    </row>
    <row r="36937" spans="191:191" x14ac:dyDescent="0.2">
      <c r="GI36937" s="422"/>
    </row>
    <row r="36938" spans="191:191" x14ac:dyDescent="0.2">
      <c r="GI36938" s="422"/>
    </row>
    <row r="36939" spans="191:191" x14ac:dyDescent="0.2">
      <c r="GI36939" s="422"/>
    </row>
    <row r="36940" spans="191:191" x14ac:dyDescent="0.2">
      <c r="GI36940" s="422"/>
    </row>
    <row r="36941" spans="191:191" x14ac:dyDescent="0.2">
      <c r="GI36941" s="422"/>
    </row>
    <row r="36942" spans="191:191" x14ac:dyDescent="0.2">
      <c r="GI36942" s="422"/>
    </row>
    <row r="36943" spans="191:191" x14ac:dyDescent="0.2">
      <c r="GI36943" s="422"/>
    </row>
    <row r="36944" spans="191:191" x14ac:dyDescent="0.2">
      <c r="GI36944" s="422"/>
    </row>
    <row r="36945" spans="191:191" x14ac:dyDescent="0.2">
      <c r="GI36945" s="422"/>
    </row>
    <row r="36946" spans="191:191" x14ac:dyDescent="0.2">
      <c r="GI36946" s="422"/>
    </row>
    <row r="36947" spans="191:191" x14ac:dyDescent="0.2">
      <c r="GI36947" s="422"/>
    </row>
    <row r="36948" spans="191:191" x14ac:dyDescent="0.2">
      <c r="GI36948" s="422"/>
    </row>
    <row r="36949" spans="191:191" x14ac:dyDescent="0.2">
      <c r="GI36949" s="422"/>
    </row>
    <row r="36950" spans="191:191" x14ac:dyDescent="0.2">
      <c r="GI36950" s="422"/>
    </row>
    <row r="36951" spans="191:191" x14ac:dyDescent="0.2">
      <c r="GI36951" s="422"/>
    </row>
    <row r="36952" spans="191:191" x14ac:dyDescent="0.2">
      <c r="GI36952" s="422"/>
    </row>
    <row r="36953" spans="191:191" x14ac:dyDescent="0.2">
      <c r="GI36953" s="422"/>
    </row>
    <row r="36954" spans="191:191" x14ac:dyDescent="0.2">
      <c r="GI36954" s="422"/>
    </row>
    <row r="36955" spans="191:191" x14ac:dyDescent="0.2">
      <c r="GI36955" s="422"/>
    </row>
    <row r="36956" spans="191:191" x14ac:dyDescent="0.2">
      <c r="GI36956" s="422"/>
    </row>
    <row r="36957" spans="191:191" x14ac:dyDescent="0.2">
      <c r="GI36957" s="422"/>
    </row>
    <row r="36958" spans="191:191" x14ac:dyDescent="0.2">
      <c r="GI36958" s="422"/>
    </row>
    <row r="36959" spans="191:191" x14ac:dyDescent="0.2">
      <c r="GI36959" s="422"/>
    </row>
    <row r="36960" spans="191:191" x14ac:dyDescent="0.2">
      <c r="GI36960" s="422"/>
    </row>
    <row r="36961" spans="191:191" x14ac:dyDescent="0.2">
      <c r="GI36961" s="422"/>
    </row>
    <row r="36962" spans="191:191" x14ac:dyDescent="0.2">
      <c r="GI36962" s="422"/>
    </row>
    <row r="36963" spans="191:191" x14ac:dyDescent="0.2">
      <c r="GI36963" s="422"/>
    </row>
    <row r="36964" spans="191:191" x14ac:dyDescent="0.2">
      <c r="GI36964" s="422"/>
    </row>
    <row r="36965" spans="191:191" x14ac:dyDescent="0.2">
      <c r="GI36965" s="422"/>
    </row>
    <row r="36966" spans="191:191" x14ac:dyDescent="0.2">
      <c r="GI36966" s="422"/>
    </row>
    <row r="36967" spans="191:191" x14ac:dyDescent="0.2">
      <c r="GI36967" s="422"/>
    </row>
    <row r="36968" spans="191:191" x14ac:dyDescent="0.2">
      <c r="GI36968" s="422"/>
    </row>
    <row r="36969" spans="191:191" x14ac:dyDescent="0.2">
      <c r="GI36969" s="422"/>
    </row>
    <row r="36970" spans="191:191" x14ac:dyDescent="0.2">
      <c r="GI36970" s="422"/>
    </row>
    <row r="36971" spans="191:191" x14ac:dyDescent="0.2">
      <c r="GI36971" s="422"/>
    </row>
    <row r="36972" spans="191:191" x14ac:dyDescent="0.2">
      <c r="GI36972" s="422"/>
    </row>
    <row r="36973" spans="191:191" x14ac:dyDescent="0.2">
      <c r="GI36973" s="422"/>
    </row>
    <row r="36974" spans="191:191" x14ac:dyDescent="0.2">
      <c r="GI36974" s="422"/>
    </row>
    <row r="36975" spans="191:191" x14ac:dyDescent="0.2">
      <c r="GI36975" s="422"/>
    </row>
    <row r="36976" spans="191:191" x14ac:dyDescent="0.2">
      <c r="GI36976" s="422"/>
    </row>
    <row r="36977" spans="191:191" x14ac:dyDescent="0.2">
      <c r="GI36977" s="422"/>
    </row>
    <row r="36978" spans="191:191" x14ac:dyDescent="0.2">
      <c r="GI36978" s="422"/>
    </row>
    <row r="36979" spans="191:191" x14ac:dyDescent="0.2">
      <c r="GI36979" s="422"/>
    </row>
    <row r="36980" spans="191:191" x14ac:dyDescent="0.2">
      <c r="GI36980" s="422"/>
    </row>
    <row r="36981" spans="191:191" x14ac:dyDescent="0.2">
      <c r="GI36981" s="422"/>
    </row>
    <row r="36982" spans="191:191" x14ac:dyDescent="0.2">
      <c r="GI36982" s="422"/>
    </row>
    <row r="36983" spans="191:191" x14ac:dyDescent="0.2">
      <c r="GI36983" s="422"/>
    </row>
    <row r="36984" spans="191:191" x14ac:dyDescent="0.2">
      <c r="GI36984" s="422"/>
    </row>
    <row r="36985" spans="191:191" x14ac:dyDescent="0.2">
      <c r="GI36985" s="422"/>
    </row>
    <row r="36986" spans="191:191" x14ac:dyDescent="0.2">
      <c r="GI36986" s="422"/>
    </row>
    <row r="36987" spans="191:191" x14ac:dyDescent="0.2">
      <c r="GI36987" s="422"/>
    </row>
    <row r="36988" spans="191:191" x14ac:dyDescent="0.2">
      <c r="GI36988" s="422"/>
    </row>
    <row r="36989" spans="191:191" x14ac:dyDescent="0.2">
      <c r="GI36989" s="422"/>
    </row>
    <row r="36990" spans="191:191" x14ac:dyDescent="0.2">
      <c r="GI36990" s="422"/>
    </row>
    <row r="36991" spans="191:191" x14ac:dyDescent="0.2">
      <c r="GI36991" s="422"/>
    </row>
    <row r="36992" spans="191:191" x14ac:dyDescent="0.2">
      <c r="GI36992" s="422"/>
    </row>
    <row r="36993" spans="191:191" x14ac:dyDescent="0.2">
      <c r="GI36993" s="422"/>
    </row>
    <row r="36994" spans="191:191" x14ac:dyDescent="0.2">
      <c r="GI36994" s="422"/>
    </row>
    <row r="36995" spans="191:191" x14ac:dyDescent="0.2">
      <c r="GI36995" s="422"/>
    </row>
    <row r="36996" spans="191:191" x14ac:dyDescent="0.2">
      <c r="GI36996" s="422"/>
    </row>
    <row r="36997" spans="191:191" x14ac:dyDescent="0.2">
      <c r="GI36997" s="422"/>
    </row>
    <row r="36998" spans="191:191" x14ac:dyDescent="0.2">
      <c r="GI36998" s="422"/>
    </row>
    <row r="36999" spans="191:191" x14ac:dyDescent="0.2">
      <c r="GI36999" s="422"/>
    </row>
    <row r="37000" spans="191:191" x14ac:dyDescent="0.2">
      <c r="GI37000" s="422"/>
    </row>
    <row r="37001" spans="191:191" x14ac:dyDescent="0.2">
      <c r="GI37001" s="422"/>
    </row>
    <row r="37002" spans="191:191" x14ac:dyDescent="0.2">
      <c r="GI37002" s="422"/>
    </row>
    <row r="37003" spans="191:191" x14ac:dyDescent="0.2">
      <c r="GI37003" s="422"/>
    </row>
    <row r="37004" spans="191:191" x14ac:dyDescent="0.2">
      <c r="GI37004" s="422"/>
    </row>
    <row r="37005" spans="191:191" x14ac:dyDescent="0.2">
      <c r="GI37005" s="422"/>
    </row>
    <row r="37006" spans="191:191" x14ac:dyDescent="0.2">
      <c r="GI37006" s="422"/>
    </row>
    <row r="37007" spans="191:191" x14ac:dyDescent="0.2">
      <c r="GI37007" s="422"/>
    </row>
    <row r="37008" spans="191:191" x14ac:dyDescent="0.2">
      <c r="GI37008" s="422"/>
    </row>
    <row r="37009" spans="191:191" x14ac:dyDescent="0.2">
      <c r="GI37009" s="422"/>
    </row>
    <row r="37010" spans="191:191" x14ac:dyDescent="0.2">
      <c r="GI37010" s="422"/>
    </row>
    <row r="37011" spans="191:191" x14ac:dyDescent="0.2">
      <c r="GI37011" s="422"/>
    </row>
    <row r="37012" spans="191:191" x14ac:dyDescent="0.2">
      <c r="GI37012" s="422"/>
    </row>
    <row r="37013" spans="191:191" x14ac:dyDescent="0.2">
      <c r="GI37013" s="422"/>
    </row>
    <row r="37014" spans="191:191" x14ac:dyDescent="0.2">
      <c r="GI37014" s="422"/>
    </row>
    <row r="37015" spans="191:191" x14ac:dyDescent="0.2">
      <c r="GI37015" s="422"/>
    </row>
    <row r="37016" spans="191:191" x14ac:dyDescent="0.2">
      <c r="GI37016" s="422"/>
    </row>
    <row r="37017" spans="191:191" x14ac:dyDescent="0.2">
      <c r="GI37017" s="422"/>
    </row>
    <row r="37018" spans="191:191" x14ac:dyDescent="0.2">
      <c r="GI37018" s="422"/>
    </row>
    <row r="37019" spans="191:191" x14ac:dyDescent="0.2">
      <c r="GI37019" s="422"/>
    </row>
    <row r="37020" spans="191:191" x14ac:dyDescent="0.2">
      <c r="GI37020" s="422"/>
    </row>
    <row r="37021" spans="191:191" x14ac:dyDescent="0.2">
      <c r="GI37021" s="422"/>
    </row>
    <row r="37022" spans="191:191" x14ac:dyDescent="0.2">
      <c r="GI37022" s="422"/>
    </row>
    <row r="37023" spans="191:191" x14ac:dyDescent="0.2">
      <c r="GI37023" s="422"/>
    </row>
    <row r="37024" spans="191:191" x14ac:dyDescent="0.2">
      <c r="GI37024" s="422"/>
    </row>
    <row r="37025" spans="191:191" x14ac:dyDescent="0.2">
      <c r="GI37025" s="422"/>
    </row>
    <row r="37026" spans="191:191" x14ac:dyDescent="0.2">
      <c r="GI37026" s="422"/>
    </row>
    <row r="37027" spans="191:191" x14ac:dyDescent="0.2">
      <c r="GI37027" s="422"/>
    </row>
    <row r="37028" spans="191:191" x14ac:dyDescent="0.2">
      <c r="GI37028" s="422"/>
    </row>
    <row r="37029" spans="191:191" x14ac:dyDescent="0.2">
      <c r="GI37029" s="422"/>
    </row>
    <row r="37030" spans="191:191" x14ac:dyDescent="0.2">
      <c r="GI37030" s="422"/>
    </row>
    <row r="37031" spans="191:191" x14ac:dyDescent="0.2">
      <c r="GI37031" s="422"/>
    </row>
    <row r="37032" spans="191:191" x14ac:dyDescent="0.2">
      <c r="GI37032" s="422"/>
    </row>
    <row r="37033" spans="191:191" x14ac:dyDescent="0.2">
      <c r="GI37033" s="422"/>
    </row>
    <row r="37034" spans="191:191" x14ac:dyDescent="0.2">
      <c r="GI37034" s="422"/>
    </row>
    <row r="37035" spans="191:191" x14ac:dyDescent="0.2">
      <c r="GI37035" s="422"/>
    </row>
    <row r="37036" spans="191:191" x14ac:dyDescent="0.2">
      <c r="GI37036" s="422"/>
    </row>
    <row r="37037" spans="191:191" x14ac:dyDescent="0.2">
      <c r="GI37037" s="422"/>
    </row>
    <row r="37038" spans="191:191" x14ac:dyDescent="0.2">
      <c r="GI37038" s="422"/>
    </row>
    <row r="37039" spans="191:191" x14ac:dyDescent="0.2">
      <c r="GI37039" s="422"/>
    </row>
    <row r="37040" spans="191:191" x14ac:dyDescent="0.2">
      <c r="GI37040" s="422"/>
    </row>
    <row r="37041" spans="191:191" x14ac:dyDescent="0.2">
      <c r="GI37041" s="422"/>
    </row>
    <row r="37042" spans="191:191" x14ac:dyDescent="0.2">
      <c r="GI37042" s="422"/>
    </row>
    <row r="37043" spans="191:191" x14ac:dyDescent="0.2">
      <c r="GI37043" s="422"/>
    </row>
    <row r="37044" spans="191:191" x14ac:dyDescent="0.2">
      <c r="GI37044" s="422"/>
    </row>
    <row r="37045" spans="191:191" x14ac:dyDescent="0.2">
      <c r="GI37045" s="422"/>
    </row>
    <row r="37046" spans="191:191" x14ac:dyDescent="0.2">
      <c r="GI37046" s="422"/>
    </row>
    <row r="37047" spans="191:191" x14ac:dyDescent="0.2">
      <c r="GI37047" s="422"/>
    </row>
    <row r="37048" spans="191:191" x14ac:dyDescent="0.2">
      <c r="GI37048" s="422"/>
    </row>
    <row r="37049" spans="191:191" x14ac:dyDescent="0.2">
      <c r="GI37049" s="422"/>
    </row>
    <row r="37050" spans="191:191" x14ac:dyDescent="0.2">
      <c r="GI37050" s="422"/>
    </row>
    <row r="37051" spans="191:191" x14ac:dyDescent="0.2">
      <c r="GI37051" s="422"/>
    </row>
    <row r="37052" spans="191:191" x14ac:dyDescent="0.2">
      <c r="GI37052" s="422"/>
    </row>
    <row r="37053" spans="191:191" x14ac:dyDescent="0.2">
      <c r="GI37053" s="422"/>
    </row>
    <row r="37054" spans="191:191" x14ac:dyDescent="0.2">
      <c r="GI37054" s="422"/>
    </row>
    <row r="37055" spans="191:191" x14ac:dyDescent="0.2">
      <c r="GI37055" s="422"/>
    </row>
    <row r="37056" spans="191:191" x14ac:dyDescent="0.2">
      <c r="GI37056" s="422"/>
    </row>
    <row r="37057" spans="191:191" x14ac:dyDescent="0.2">
      <c r="GI37057" s="422"/>
    </row>
    <row r="37058" spans="191:191" x14ac:dyDescent="0.2">
      <c r="GI37058" s="422"/>
    </row>
    <row r="37059" spans="191:191" x14ac:dyDescent="0.2">
      <c r="GI37059" s="422"/>
    </row>
    <row r="37060" spans="191:191" x14ac:dyDescent="0.2">
      <c r="GI37060" s="422"/>
    </row>
    <row r="37061" spans="191:191" x14ac:dyDescent="0.2">
      <c r="GI37061" s="422"/>
    </row>
    <row r="37062" spans="191:191" x14ac:dyDescent="0.2">
      <c r="GI37062" s="422"/>
    </row>
    <row r="37063" spans="191:191" x14ac:dyDescent="0.2">
      <c r="GI37063" s="422"/>
    </row>
    <row r="37064" spans="191:191" x14ac:dyDescent="0.2">
      <c r="GI37064" s="422"/>
    </row>
    <row r="37065" spans="191:191" x14ac:dyDescent="0.2">
      <c r="GI37065" s="422"/>
    </row>
    <row r="37066" spans="191:191" x14ac:dyDescent="0.2">
      <c r="GI37066" s="422"/>
    </row>
    <row r="37067" spans="191:191" x14ac:dyDescent="0.2">
      <c r="GI37067" s="422"/>
    </row>
    <row r="37068" spans="191:191" x14ac:dyDescent="0.2">
      <c r="GI37068" s="422"/>
    </row>
    <row r="37069" spans="191:191" x14ac:dyDescent="0.2">
      <c r="GI37069" s="422"/>
    </row>
    <row r="37070" spans="191:191" x14ac:dyDescent="0.2">
      <c r="GI37070" s="422"/>
    </row>
    <row r="37071" spans="191:191" x14ac:dyDescent="0.2">
      <c r="GI37071" s="422"/>
    </row>
    <row r="37072" spans="191:191" x14ac:dyDescent="0.2">
      <c r="GI37072" s="422"/>
    </row>
    <row r="37073" spans="191:191" x14ac:dyDescent="0.2">
      <c r="GI37073" s="422"/>
    </row>
    <row r="37074" spans="191:191" x14ac:dyDescent="0.2">
      <c r="GI37074" s="422"/>
    </row>
    <row r="37075" spans="191:191" x14ac:dyDescent="0.2">
      <c r="GI37075" s="422"/>
    </row>
    <row r="37076" spans="191:191" x14ac:dyDescent="0.2">
      <c r="GI37076" s="422"/>
    </row>
    <row r="37077" spans="191:191" x14ac:dyDescent="0.2">
      <c r="GI37077" s="422"/>
    </row>
    <row r="37078" spans="191:191" x14ac:dyDescent="0.2">
      <c r="GI37078" s="422"/>
    </row>
    <row r="37079" spans="191:191" x14ac:dyDescent="0.2">
      <c r="GI37079" s="422"/>
    </row>
    <row r="37080" spans="191:191" x14ac:dyDescent="0.2">
      <c r="GI37080" s="422"/>
    </row>
    <row r="37081" spans="191:191" x14ac:dyDescent="0.2">
      <c r="GI37081" s="422"/>
    </row>
    <row r="37082" spans="191:191" x14ac:dyDescent="0.2">
      <c r="GI37082" s="422"/>
    </row>
    <row r="37083" spans="191:191" x14ac:dyDescent="0.2">
      <c r="GI37083" s="422"/>
    </row>
    <row r="37084" spans="191:191" x14ac:dyDescent="0.2">
      <c r="GI37084" s="422"/>
    </row>
    <row r="37085" spans="191:191" x14ac:dyDescent="0.2">
      <c r="GI37085" s="422"/>
    </row>
    <row r="37086" spans="191:191" x14ac:dyDescent="0.2">
      <c r="GI37086" s="422"/>
    </row>
    <row r="37087" spans="191:191" x14ac:dyDescent="0.2">
      <c r="GI37087" s="422"/>
    </row>
    <row r="37088" spans="191:191" x14ac:dyDescent="0.2">
      <c r="GI37088" s="422"/>
    </row>
    <row r="37089" spans="191:191" x14ac:dyDescent="0.2">
      <c r="GI37089" s="422"/>
    </row>
    <row r="37090" spans="191:191" x14ac:dyDescent="0.2">
      <c r="GI37090" s="422"/>
    </row>
    <row r="37091" spans="191:191" x14ac:dyDescent="0.2">
      <c r="GI37091" s="422"/>
    </row>
    <row r="37092" spans="191:191" x14ac:dyDescent="0.2">
      <c r="GI37092" s="422"/>
    </row>
    <row r="37093" spans="191:191" x14ac:dyDescent="0.2">
      <c r="GI37093" s="422"/>
    </row>
    <row r="37094" spans="191:191" x14ac:dyDescent="0.2">
      <c r="GI37094" s="422"/>
    </row>
    <row r="37095" spans="191:191" x14ac:dyDescent="0.2">
      <c r="GI37095" s="422"/>
    </row>
    <row r="37096" spans="191:191" x14ac:dyDescent="0.2">
      <c r="GI37096" s="422"/>
    </row>
    <row r="37097" spans="191:191" x14ac:dyDescent="0.2">
      <c r="GI37097" s="422"/>
    </row>
    <row r="37098" spans="191:191" x14ac:dyDescent="0.2">
      <c r="GI37098" s="422"/>
    </row>
    <row r="37099" spans="191:191" x14ac:dyDescent="0.2">
      <c r="GI37099" s="422"/>
    </row>
    <row r="37100" spans="191:191" x14ac:dyDescent="0.2">
      <c r="GI37100" s="422"/>
    </row>
    <row r="37101" spans="191:191" x14ac:dyDescent="0.2">
      <c r="GI37101" s="422"/>
    </row>
    <row r="37102" spans="191:191" x14ac:dyDescent="0.2">
      <c r="GI37102" s="422"/>
    </row>
    <row r="37103" spans="191:191" x14ac:dyDescent="0.2">
      <c r="GI37103" s="422"/>
    </row>
    <row r="37104" spans="191:191" x14ac:dyDescent="0.2">
      <c r="GI37104" s="422"/>
    </row>
    <row r="37105" spans="191:191" x14ac:dyDescent="0.2">
      <c r="GI37105" s="422"/>
    </row>
    <row r="37106" spans="191:191" x14ac:dyDescent="0.2">
      <c r="GI37106" s="422"/>
    </row>
    <row r="37107" spans="191:191" x14ac:dyDescent="0.2">
      <c r="GI37107" s="422"/>
    </row>
    <row r="37108" spans="191:191" x14ac:dyDescent="0.2">
      <c r="GI37108" s="422"/>
    </row>
    <row r="37109" spans="191:191" x14ac:dyDescent="0.2">
      <c r="GI37109" s="422"/>
    </row>
    <row r="37110" spans="191:191" x14ac:dyDescent="0.2">
      <c r="GI37110" s="422"/>
    </row>
    <row r="37111" spans="191:191" x14ac:dyDescent="0.2">
      <c r="GI37111" s="422"/>
    </row>
    <row r="37112" spans="191:191" x14ac:dyDescent="0.2">
      <c r="GI37112" s="422"/>
    </row>
    <row r="37113" spans="191:191" x14ac:dyDescent="0.2">
      <c r="GI37113" s="422"/>
    </row>
    <row r="37114" spans="191:191" x14ac:dyDescent="0.2">
      <c r="GI37114" s="422"/>
    </row>
    <row r="37115" spans="191:191" x14ac:dyDescent="0.2">
      <c r="GI37115" s="422"/>
    </row>
    <row r="37116" spans="191:191" x14ac:dyDescent="0.2">
      <c r="GI37116" s="422"/>
    </row>
    <row r="37117" spans="191:191" x14ac:dyDescent="0.2">
      <c r="GI37117" s="422"/>
    </row>
    <row r="37118" spans="191:191" x14ac:dyDescent="0.2">
      <c r="GI37118" s="422"/>
    </row>
    <row r="37119" spans="191:191" x14ac:dyDescent="0.2">
      <c r="GI37119" s="422"/>
    </row>
    <row r="37120" spans="191:191" x14ac:dyDescent="0.2">
      <c r="GI37120" s="422"/>
    </row>
    <row r="37121" spans="191:191" x14ac:dyDescent="0.2">
      <c r="GI37121" s="422"/>
    </row>
    <row r="37122" spans="191:191" x14ac:dyDescent="0.2">
      <c r="GI37122" s="422"/>
    </row>
    <row r="37123" spans="191:191" x14ac:dyDescent="0.2">
      <c r="GI37123" s="422"/>
    </row>
    <row r="37124" spans="191:191" x14ac:dyDescent="0.2">
      <c r="GI37124" s="422"/>
    </row>
    <row r="37125" spans="191:191" x14ac:dyDescent="0.2">
      <c r="GI37125" s="422"/>
    </row>
    <row r="37126" spans="191:191" x14ac:dyDescent="0.2">
      <c r="GI37126" s="422"/>
    </row>
    <row r="37127" spans="191:191" x14ac:dyDescent="0.2">
      <c r="GI37127" s="422"/>
    </row>
    <row r="37128" spans="191:191" x14ac:dyDescent="0.2">
      <c r="GI37128" s="422"/>
    </row>
    <row r="37129" spans="191:191" x14ac:dyDescent="0.2">
      <c r="GI37129" s="422"/>
    </row>
    <row r="37130" spans="191:191" x14ac:dyDescent="0.2">
      <c r="GI37130" s="422"/>
    </row>
    <row r="37131" spans="191:191" x14ac:dyDescent="0.2">
      <c r="GI37131" s="422"/>
    </row>
    <row r="37132" spans="191:191" x14ac:dyDescent="0.2">
      <c r="GI37132" s="422"/>
    </row>
    <row r="37133" spans="191:191" x14ac:dyDescent="0.2">
      <c r="GI37133" s="422"/>
    </row>
    <row r="37134" spans="191:191" x14ac:dyDescent="0.2">
      <c r="GI37134" s="422"/>
    </row>
    <row r="37135" spans="191:191" x14ac:dyDescent="0.2">
      <c r="GI37135" s="422"/>
    </row>
    <row r="37136" spans="191:191" x14ac:dyDescent="0.2">
      <c r="GI37136" s="422"/>
    </row>
    <row r="37137" spans="191:191" x14ac:dyDescent="0.2">
      <c r="GI37137" s="422"/>
    </row>
    <row r="37138" spans="191:191" x14ac:dyDescent="0.2">
      <c r="GI37138" s="422"/>
    </row>
    <row r="37139" spans="191:191" x14ac:dyDescent="0.2">
      <c r="GI37139" s="422"/>
    </row>
    <row r="37140" spans="191:191" x14ac:dyDescent="0.2">
      <c r="GI37140" s="422"/>
    </row>
    <row r="37141" spans="191:191" x14ac:dyDescent="0.2">
      <c r="GI37141" s="422"/>
    </row>
    <row r="37142" spans="191:191" x14ac:dyDescent="0.2">
      <c r="GI37142" s="422"/>
    </row>
    <row r="37143" spans="191:191" x14ac:dyDescent="0.2">
      <c r="GI37143" s="422"/>
    </row>
    <row r="37144" spans="191:191" x14ac:dyDescent="0.2">
      <c r="GI37144" s="422"/>
    </row>
    <row r="37145" spans="191:191" x14ac:dyDescent="0.2">
      <c r="GI37145" s="422"/>
    </row>
    <row r="37146" spans="191:191" x14ac:dyDescent="0.2">
      <c r="GI37146" s="422"/>
    </row>
    <row r="37147" spans="191:191" x14ac:dyDescent="0.2">
      <c r="GI37147" s="422"/>
    </row>
    <row r="37148" spans="191:191" x14ac:dyDescent="0.2">
      <c r="GI37148" s="422"/>
    </row>
    <row r="37149" spans="191:191" x14ac:dyDescent="0.2">
      <c r="GI37149" s="422"/>
    </row>
    <row r="37150" spans="191:191" x14ac:dyDescent="0.2">
      <c r="GI37150" s="422"/>
    </row>
    <row r="37151" spans="191:191" x14ac:dyDescent="0.2">
      <c r="GI37151" s="422"/>
    </row>
    <row r="37152" spans="191:191" x14ac:dyDescent="0.2">
      <c r="GI37152" s="422"/>
    </row>
    <row r="37153" spans="191:191" x14ac:dyDescent="0.2">
      <c r="GI37153" s="422"/>
    </row>
    <row r="37154" spans="191:191" x14ac:dyDescent="0.2">
      <c r="GI37154" s="422"/>
    </row>
    <row r="37155" spans="191:191" x14ac:dyDescent="0.2">
      <c r="GI37155" s="422"/>
    </row>
    <row r="37156" spans="191:191" x14ac:dyDescent="0.2">
      <c r="GI37156" s="422"/>
    </row>
    <row r="37157" spans="191:191" x14ac:dyDescent="0.2">
      <c r="GI37157" s="422"/>
    </row>
    <row r="37158" spans="191:191" x14ac:dyDescent="0.2">
      <c r="GI37158" s="422"/>
    </row>
    <row r="37159" spans="191:191" x14ac:dyDescent="0.2">
      <c r="GI37159" s="422"/>
    </row>
    <row r="37160" spans="191:191" x14ac:dyDescent="0.2">
      <c r="GI37160" s="422"/>
    </row>
    <row r="37161" spans="191:191" x14ac:dyDescent="0.2">
      <c r="GI37161" s="422"/>
    </row>
    <row r="37162" spans="191:191" x14ac:dyDescent="0.2">
      <c r="GI37162" s="422"/>
    </row>
    <row r="37163" spans="191:191" x14ac:dyDescent="0.2">
      <c r="GI37163" s="422"/>
    </row>
    <row r="37164" spans="191:191" x14ac:dyDescent="0.2">
      <c r="GI37164" s="422"/>
    </row>
    <row r="37165" spans="191:191" x14ac:dyDescent="0.2">
      <c r="GI37165" s="422"/>
    </row>
    <row r="37166" spans="191:191" x14ac:dyDescent="0.2">
      <c r="GI37166" s="422"/>
    </row>
    <row r="37167" spans="191:191" x14ac:dyDescent="0.2">
      <c r="GI37167" s="422"/>
    </row>
    <row r="37168" spans="191:191" x14ac:dyDescent="0.2">
      <c r="GI37168" s="422"/>
    </row>
    <row r="37169" spans="191:191" x14ac:dyDescent="0.2">
      <c r="GI37169" s="422"/>
    </row>
    <row r="37170" spans="191:191" x14ac:dyDescent="0.2">
      <c r="GI37170" s="422"/>
    </row>
    <row r="37171" spans="191:191" x14ac:dyDescent="0.2">
      <c r="GI37171" s="422"/>
    </row>
    <row r="37172" spans="191:191" x14ac:dyDescent="0.2">
      <c r="GI37172" s="422"/>
    </row>
    <row r="37173" spans="191:191" x14ac:dyDescent="0.2">
      <c r="GI37173" s="422"/>
    </row>
    <row r="37174" spans="191:191" x14ac:dyDescent="0.2">
      <c r="GI37174" s="422"/>
    </row>
    <row r="37175" spans="191:191" x14ac:dyDescent="0.2">
      <c r="GI37175" s="422"/>
    </row>
    <row r="37176" spans="191:191" x14ac:dyDescent="0.2">
      <c r="GI37176" s="422"/>
    </row>
    <row r="37177" spans="191:191" x14ac:dyDescent="0.2">
      <c r="GI37177" s="422"/>
    </row>
    <row r="37178" spans="191:191" x14ac:dyDescent="0.2">
      <c r="GI37178" s="422"/>
    </row>
    <row r="37179" spans="191:191" x14ac:dyDescent="0.2">
      <c r="GI37179" s="422"/>
    </row>
    <row r="37180" spans="191:191" x14ac:dyDescent="0.2">
      <c r="GI37180" s="422"/>
    </row>
    <row r="37181" spans="191:191" x14ac:dyDescent="0.2">
      <c r="GI37181" s="422"/>
    </row>
    <row r="37182" spans="191:191" x14ac:dyDescent="0.2">
      <c r="GI37182" s="422"/>
    </row>
    <row r="37183" spans="191:191" x14ac:dyDescent="0.2">
      <c r="GI37183" s="422"/>
    </row>
    <row r="37184" spans="191:191" x14ac:dyDescent="0.2">
      <c r="GI37184" s="422"/>
    </row>
    <row r="37185" spans="191:191" x14ac:dyDescent="0.2">
      <c r="GI37185" s="422"/>
    </row>
    <row r="37186" spans="191:191" x14ac:dyDescent="0.2">
      <c r="GI37186" s="422"/>
    </row>
    <row r="37187" spans="191:191" x14ac:dyDescent="0.2">
      <c r="GI37187" s="422"/>
    </row>
    <row r="37188" spans="191:191" x14ac:dyDescent="0.2">
      <c r="GI37188" s="422"/>
    </row>
    <row r="37189" spans="191:191" x14ac:dyDescent="0.2">
      <c r="GI37189" s="422"/>
    </row>
    <row r="37190" spans="191:191" x14ac:dyDescent="0.2">
      <c r="GI37190" s="422"/>
    </row>
    <row r="37191" spans="191:191" x14ac:dyDescent="0.2">
      <c r="GI37191" s="422"/>
    </row>
    <row r="37192" spans="191:191" x14ac:dyDescent="0.2">
      <c r="GI37192" s="422"/>
    </row>
    <row r="37193" spans="191:191" x14ac:dyDescent="0.2">
      <c r="GI37193" s="422"/>
    </row>
    <row r="37194" spans="191:191" x14ac:dyDescent="0.2">
      <c r="GI37194" s="422"/>
    </row>
    <row r="37195" spans="191:191" x14ac:dyDescent="0.2">
      <c r="GI37195" s="422"/>
    </row>
    <row r="37196" spans="191:191" x14ac:dyDescent="0.2">
      <c r="GI37196" s="422"/>
    </row>
    <row r="37197" spans="191:191" x14ac:dyDescent="0.2">
      <c r="GI37197" s="422"/>
    </row>
    <row r="37198" spans="191:191" x14ac:dyDescent="0.2">
      <c r="GI37198" s="422"/>
    </row>
    <row r="37199" spans="191:191" x14ac:dyDescent="0.2">
      <c r="GI37199" s="422"/>
    </row>
    <row r="37200" spans="191:191" x14ac:dyDescent="0.2">
      <c r="GI37200" s="422"/>
    </row>
    <row r="37201" spans="191:191" x14ac:dyDescent="0.2">
      <c r="GI37201" s="422"/>
    </row>
    <row r="37202" spans="191:191" x14ac:dyDescent="0.2">
      <c r="GI37202" s="422"/>
    </row>
    <row r="37203" spans="191:191" x14ac:dyDescent="0.2">
      <c r="GI37203" s="422"/>
    </row>
    <row r="37204" spans="191:191" x14ac:dyDescent="0.2">
      <c r="GI37204" s="422"/>
    </row>
    <row r="37205" spans="191:191" x14ac:dyDescent="0.2">
      <c r="GI37205" s="422"/>
    </row>
    <row r="37206" spans="191:191" x14ac:dyDescent="0.2">
      <c r="GI37206" s="422"/>
    </row>
    <row r="37207" spans="191:191" x14ac:dyDescent="0.2">
      <c r="GI37207" s="422"/>
    </row>
    <row r="37208" spans="191:191" x14ac:dyDescent="0.2">
      <c r="GI37208" s="422"/>
    </row>
    <row r="37209" spans="191:191" x14ac:dyDescent="0.2">
      <c r="GI37209" s="422"/>
    </row>
    <row r="37210" spans="191:191" x14ac:dyDescent="0.2">
      <c r="GI37210" s="422"/>
    </row>
    <row r="37211" spans="191:191" x14ac:dyDescent="0.2">
      <c r="GI37211" s="422"/>
    </row>
    <row r="37212" spans="191:191" x14ac:dyDescent="0.2">
      <c r="GI37212" s="422"/>
    </row>
    <row r="37213" spans="191:191" x14ac:dyDescent="0.2">
      <c r="GI37213" s="422"/>
    </row>
    <row r="37214" spans="191:191" x14ac:dyDescent="0.2">
      <c r="GI37214" s="422"/>
    </row>
    <row r="37215" spans="191:191" x14ac:dyDescent="0.2">
      <c r="GI37215" s="422"/>
    </row>
    <row r="37216" spans="191:191" x14ac:dyDescent="0.2">
      <c r="GI37216" s="422"/>
    </row>
    <row r="37217" spans="191:191" x14ac:dyDescent="0.2">
      <c r="GI37217" s="422"/>
    </row>
    <row r="37218" spans="191:191" x14ac:dyDescent="0.2">
      <c r="GI37218" s="422"/>
    </row>
    <row r="37219" spans="191:191" x14ac:dyDescent="0.2">
      <c r="GI37219" s="422"/>
    </row>
    <row r="37220" spans="191:191" x14ac:dyDescent="0.2">
      <c r="GI37220" s="422"/>
    </row>
    <row r="37221" spans="191:191" x14ac:dyDescent="0.2">
      <c r="GI37221" s="422"/>
    </row>
    <row r="37222" spans="191:191" x14ac:dyDescent="0.2">
      <c r="GI37222" s="422"/>
    </row>
    <row r="37223" spans="191:191" x14ac:dyDescent="0.2">
      <c r="GI37223" s="422"/>
    </row>
    <row r="37224" spans="191:191" x14ac:dyDescent="0.2">
      <c r="GI37224" s="422"/>
    </row>
    <row r="37225" spans="191:191" x14ac:dyDescent="0.2">
      <c r="GI37225" s="422"/>
    </row>
    <row r="37226" spans="191:191" x14ac:dyDescent="0.2">
      <c r="GI37226" s="422"/>
    </row>
    <row r="37227" spans="191:191" x14ac:dyDescent="0.2">
      <c r="GI37227" s="422"/>
    </row>
    <row r="37228" spans="191:191" x14ac:dyDescent="0.2">
      <c r="GI37228" s="422"/>
    </row>
    <row r="37229" spans="191:191" x14ac:dyDescent="0.2">
      <c r="GI37229" s="422"/>
    </row>
    <row r="37230" spans="191:191" x14ac:dyDescent="0.2">
      <c r="GI37230" s="422"/>
    </row>
    <row r="37231" spans="191:191" x14ac:dyDescent="0.2">
      <c r="GI37231" s="422"/>
    </row>
    <row r="37232" spans="191:191" x14ac:dyDescent="0.2">
      <c r="GI37232" s="422"/>
    </row>
    <row r="37233" spans="191:191" x14ac:dyDescent="0.2">
      <c r="GI37233" s="422"/>
    </row>
    <row r="37234" spans="191:191" x14ac:dyDescent="0.2">
      <c r="GI37234" s="422"/>
    </row>
    <row r="37235" spans="191:191" x14ac:dyDescent="0.2">
      <c r="GI37235" s="422"/>
    </row>
    <row r="37236" spans="191:191" x14ac:dyDescent="0.2">
      <c r="GI37236" s="422"/>
    </row>
    <row r="37237" spans="191:191" x14ac:dyDescent="0.2">
      <c r="GI37237" s="422"/>
    </row>
    <row r="37238" spans="191:191" x14ac:dyDescent="0.2">
      <c r="GI37238" s="422"/>
    </row>
    <row r="37239" spans="191:191" x14ac:dyDescent="0.2">
      <c r="GI37239" s="422"/>
    </row>
    <row r="37240" spans="191:191" x14ac:dyDescent="0.2">
      <c r="GI37240" s="422"/>
    </row>
    <row r="37241" spans="191:191" x14ac:dyDescent="0.2">
      <c r="GI37241" s="422"/>
    </row>
    <row r="37242" spans="191:191" x14ac:dyDescent="0.2">
      <c r="GI37242" s="422"/>
    </row>
    <row r="37243" spans="191:191" x14ac:dyDescent="0.2">
      <c r="GI37243" s="422"/>
    </row>
    <row r="37244" spans="191:191" x14ac:dyDescent="0.2">
      <c r="GI37244" s="422"/>
    </row>
    <row r="37245" spans="191:191" x14ac:dyDescent="0.2">
      <c r="GI37245" s="422"/>
    </row>
    <row r="37246" spans="191:191" x14ac:dyDescent="0.2">
      <c r="GI37246" s="422"/>
    </row>
    <row r="37247" spans="191:191" x14ac:dyDescent="0.2">
      <c r="GI37247" s="422"/>
    </row>
    <row r="37248" spans="191:191" x14ac:dyDescent="0.2">
      <c r="GI37248" s="422"/>
    </row>
    <row r="37249" spans="191:191" x14ac:dyDescent="0.2">
      <c r="GI37249" s="422"/>
    </row>
    <row r="37250" spans="191:191" x14ac:dyDescent="0.2">
      <c r="GI37250" s="422"/>
    </row>
    <row r="37251" spans="191:191" x14ac:dyDescent="0.2">
      <c r="GI37251" s="422"/>
    </row>
    <row r="37252" spans="191:191" x14ac:dyDescent="0.2">
      <c r="GI37252" s="422"/>
    </row>
    <row r="37253" spans="191:191" x14ac:dyDescent="0.2">
      <c r="GI37253" s="422"/>
    </row>
    <row r="37254" spans="191:191" x14ac:dyDescent="0.2">
      <c r="GI37254" s="422"/>
    </row>
    <row r="37255" spans="191:191" x14ac:dyDescent="0.2">
      <c r="GI37255" s="422"/>
    </row>
    <row r="37256" spans="191:191" x14ac:dyDescent="0.2">
      <c r="GI37256" s="422"/>
    </row>
    <row r="37257" spans="191:191" x14ac:dyDescent="0.2">
      <c r="GI37257" s="422"/>
    </row>
    <row r="37258" spans="191:191" x14ac:dyDescent="0.2">
      <c r="GI37258" s="422"/>
    </row>
    <row r="37259" spans="191:191" x14ac:dyDescent="0.2">
      <c r="GI37259" s="422"/>
    </row>
    <row r="37260" spans="191:191" x14ac:dyDescent="0.2">
      <c r="GI37260" s="422"/>
    </row>
    <row r="37261" spans="191:191" x14ac:dyDescent="0.2">
      <c r="GI37261" s="422"/>
    </row>
    <row r="37262" spans="191:191" x14ac:dyDescent="0.2">
      <c r="GI37262" s="422"/>
    </row>
    <row r="37263" spans="191:191" x14ac:dyDescent="0.2">
      <c r="GI37263" s="422"/>
    </row>
    <row r="37264" spans="191:191" x14ac:dyDescent="0.2">
      <c r="GI37264" s="422"/>
    </row>
    <row r="37265" spans="191:191" x14ac:dyDescent="0.2">
      <c r="GI37265" s="422"/>
    </row>
    <row r="37266" spans="191:191" x14ac:dyDescent="0.2">
      <c r="GI37266" s="422"/>
    </row>
    <row r="37267" spans="191:191" x14ac:dyDescent="0.2">
      <c r="GI37267" s="422"/>
    </row>
    <row r="37268" spans="191:191" x14ac:dyDescent="0.2">
      <c r="GI37268" s="422"/>
    </row>
    <row r="37269" spans="191:191" x14ac:dyDescent="0.2">
      <c r="GI37269" s="422"/>
    </row>
    <row r="37270" spans="191:191" x14ac:dyDescent="0.2">
      <c r="GI37270" s="422"/>
    </row>
    <row r="37271" spans="191:191" x14ac:dyDescent="0.2">
      <c r="GI37271" s="422"/>
    </row>
    <row r="37272" spans="191:191" x14ac:dyDescent="0.2">
      <c r="GI37272" s="422"/>
    </row>
    <row r="37273" spans="191:191" x14ac:dyDescent="0.2">
      <c r="GI37273" s="422"/>
    </row>
    <row r="37274" spans="191:191" x14ac:dyDescent="0.2">
      <c r="GI37274" s="422"/>
    </row>
    <row r="37275" spans="191:191" x14ac:dyDescent="0.2">
      <c r="GI37275" s="422"/>
    </row>
    <row r="37276" spans="191:191" x14ac:dyDescent="0.2">
      <c r="GI37276" s="422"/>
    </row>
    <row r="37277" spans="191:191" x14ac:dyDescent="0.2">
      <c r="GI37277" s="422"/>
    </row>
    <row r="37278" spans="191:191" x14ac:dyDescent="0.2">
      <c r="GI37278" s="422"/>
    </row>
    <row r="37279" spans="191:191" x14ac:dyDescent="0.2">
      <c r="GI37279" s="422"/>
    </row>
    <row r="37280" spans="191:191" x14ac:dyDescent="0.2">
      <c r="GI37280" s="422"/>
    </row>
    <row r="37281" spans="191:191" x14ac:dyDescent="0.2">
      <c r="GI37281" s="422"/>
    </row>
    <row r="37282" spans="191:191" x14ac:dyDescent="0.2">
      <c r="GI37282" s="422"/>
    </row>
    <row r="37283" spans="191:191" x14ac:dyDescent="0.2">
      <c r="GI37283" s="422"/>
    </row>
    <row r="37284" spans="191:191" x14ac:dyDescent="0.2">
      <c r="GI37284" s="422"/>
    </row>
    <row r="37285" spans="191:191" x14ac:dyDescent="0.2">
      <c r="GI37285" s="422"/>
    </row>
    <row r="37286" spans="191:191" x14ac:dyDescent="0.2">
      <c r="GI37286" s="422"/>
    </row>
    <row r="37287" spans="191:191" x14ac:dyDescent="0.2">
      <c r="GI37287" s="422"/>
    </row>
    <row r="37288" spans="191:191" x14ac:dyDescent="0.2">
      <c r="GI37288" s="422"/>
    </row>
    <row r="37289" spans="191:191" x14ac:dyDescent="0.2">
      <c r="GI37289" s="422"/>
    </row>
    <row r="37290" spans="191:191" x14ac:dyDescent="0.2">
      <c r="GI37290" s="422"/>
    </row>
    <row r="37291" spans="191:191" x14ac:dyDescent="0.2">
      <c r="GI37291" s="422"/>
    </row>
    <row r="37292" spans="191:191" x14ac:dyDescent="0.2">
      <c r="GI37292" s="422"/>
    </row>
    <row r="37293" spans="191:191" x14ac:dyDescent="0.2">
      <c r="GI37293" s="422"/>
    </row>
    <row r="37294" spans="191:191" x14ac:dyDescent="0.2">
      <c r="GI37294" s="422"/>
    </row>
    <row r="37295" spans="191:191" x14ac:dyDescent="0.2">
      <c r="GI37295" s="422"/>
    </row>
    <row r="37296" spans="191:191" x14ac:dyDescent="0.2">
      <c r="GI37296" s="422"/>
    </row>
    <row r="37297" spans="191:191" x14ac:dyDescent="0.2">
      <c r="GI37297" s="422"/>
    </row>
    <row r="37298" spans="191:191" x14ac:dyDescent="0.2">
      <c r="GI37298" s="422"/>
    </row>
    <row r="37299" spans="191:191" x14ac:dyDescent="0.2">
      <c r="GI37299" s="422"/>
    </row>
    <row r="37300" spans="191:191" x14ac:dyDescent="0.2">
      <c r="GI37300" s="422"/>
    </row>
    <row r="37301" spans="191:191" x14ac:dyDescent="0.2">
      <c r="GI37301" s="422"/>
    </row>
    <row r="37302" spans="191:191" x14ac:dyDescent="0.2">
      <c r="GI37302" s="422"/>
    </row>
    <row r="37303" spans="191:191" x14ac:dyDescent="0.2">
      <c r="GI37303" s="422"/>
    </row>
    <row r="37304" spans="191:191" x14ac:dyDescent="0.2">
      <c r="GI37304" s="422"/>
    </row>
    <row r="37305" spans="191:191" x14ac:dyDescent="0.2">
      <c r="GI37305" s="422"/>
    </row>
    <row r="37306" spans="191:191" x14ac:dyDescent="0.2">
      <c r="GI37306" s="422"/>
    </row>
    <row r="37307" spans="191:191" x14ac:dyDescent="0.2">
      <c r="GI37307" s="422"/>
    </row>
    <row r="37308" spans="191:191" x14ac:dyDescent="0.2">
      <c r="GI37308" s="422"/>
    </row>
    <row r="37309" spans="191:191" x14ac:dyDescent="0.2">
      <c r="GI37309" s="422"/>
    </row>
    <row r="37310" spans="191:191" x14ac:dyDescent="0.2">
      <c r="GI37310" s="422"/>
    </row>
    <row r="37311" spans="191:191" x14ac:dyDescent="0.2">
      <c r="GI37311" s="422"/>
    </row>
    <row r="37312" spans="191:191" x14ac:dyDescent="0.2">
      <c r="GI37312" s="422"/>
    </row>
    <row r="37313" spans="191:191" x14ac:dyDescent="0.2">
      <c r="GI37313" s="422"/>
    </row>
    <row r="37314" spans="191:191" x14ac:dyDescent="0.2">
      <c r="GI37314" s="422"/>
    </row>
    <row r="37315" spans="191:191" x14ac:dyDescent="0.2">
      <c r="GI37315" s="422"/>
    </row>
    <row r="37316" spans="191:191" x14ac:dyDescent="0.2">
      <c r="GI37316" s="422"/>
    </row>
    <row r="37317" spans="191:191" x14ac:dyDescent="0.2">
      <c r="GI37317" s="422"/>
    </row>
    <row r="37318" spans="191:191" x14ac:dyDescent="0.2">
      <c r="GI37318" s="422"/>
    </row>
    <row r="37319" spans="191:191" x14ac:dyDescent="0.2">
      <c r="GI37319" s="422"/>
    </row>
    <row r="37320" spans="191:191" x14ac:dyDescent="0.2">
      <c r="GI37320" s="422"/>
    </row>
    <row r="37321" spans="191:191" x14ac:dyDescent="0.2">
      <c r="GI37321" s="422"/>
    </row>
    <row r="37322" spans="191:191" x14ac:dyDescent="0.2">
      <c r="GI37322" s="422"/>
    </row>
    <row r="37323" spans="191:191" x14ac:dyDescent="0.2">
      <c r="GI37323" s="422"/>
    </row>
    <row r="37324" spans="191:191" x14ac:dyDescent="0.2">
      <c r="GI37324" s="422"/>
    </row>
    <row r="37325" spans="191:191" x14ac:dyDescent="0.2">
      <c r="GI37325" s="422"/>
    </row>
    <row r="37326" spans="191:191" x14ac:dyDescent="0.2">
      <c r="GI37326" s="422"/>
    </row>
    <row r="37327" spans="191:191" x14ac:dyDescent="0.2">
      <c r="GI37327" s="422"/>
    </row>
    <row r="37328" spans="191:191" x14ac:dyDescent="0.2">
      <c r="GI37328" s="422"/>
    </row>
    <row r="37329" spans="191:191" x14ac:dyDescent="0.2">
      <c r="GI37329" s="422"/>
    </row>
    <row r="37330" spans="191:191" x14ac:dyDescent="0.2">
      <c r="GI37330" s="422"/>
    </row>
    <row r="37331" spans="191:191" x14ac:dyDescent="0.2">
      <c r="GI37331" s="422"/>
    </row>
    <row r="37332" spans="191:191" x14ac:dyDescent="0.2">
      <c r="GI37332" s="422"/>
    </row>
    <row r="37333" spans="191:191" x14ac:dyDescent="0.2">
      <c r="GI37333" s="422"/>
    </row>
    <row r="37334" spans="191:191" x14ac:dyDescent="0.2">
      <c r="GI37334" s="422"/>
    </row>
    <row r="37335" spans="191:191" x14ac:dyDescent="0.2">
      <c r="GI37335" s="422"/>
    </row>
    <row r="37336" spans="191:191" x14ac:dyDescent="0.2">
      <c r="GI37336" s="422"/>
    </row>
    <row r="37337" spans="191:191" x14ac:dyDescent="0.2">
      <c r="GI37337" s="422"/>
    </row>
    <row r="37338" spans="191:191" x14ac:dyDescent="0.2">
      <c r="GI37338" s="422"/>
    </row>
    <row r="37339" spans="191:191" x14ac:dyDescent="0.2">
      <c r="GI37339" s="422"/>
    </row>
    <row r="37340" spans="191:191" x14ac:dyDescent="0.2">
      <c r="GI37340" s="422"/>
    </row>
    <row r="37341" spans="191:191" x14ac:dyDescent="0.2">
      <c r="GI37341" s="422"/>
    </row>
    <row r="37342" spans="191:191" x14ac:dyDescent="0.2">
      <c r="GI37342" s="422"/>
    </row>
    <row r="37343" spans="191:191" x14ac:dyDescent="0.2">
      <c r="GI37343" s="422"/>
    </row>
    <row r="37344" spans="191:191" x14ac:dyDescent="0.2">
      <c r="GI37344" s="422"/>
    </row>
    <row r="37345" spans="191:191" x14ac:dyDescent="0.2">
      <c r="GI37345" s="422"/>
    </row>
    <row r="37346" spans="191:191" x14ac:dyDescent="0.2">
      <c r="GI37346" s="422"/>
    </row>
    <row r="37347" spans="191:191" x14ac:dyDescent="0.2">
      <c r="GI37347" s="422"/>
    </row>
    <row r="37348" spans="191:191" x14ac:dyDescent="0.2">
      <c r="GI37348" s="422"/>
    </row>
    <row r="37349" spans="191:191" x14ac:dyDescent="0.2">
      <c r="GI37349" s="422"/>
    </row>
    <row r="37350" spans="191:191" x14ac:dyDescent="0.2">
      <c r="GI37350" s="422"/>
    </row>
    <row r="37351" spans="191:191" x14ac:dyDescent="0.2">
      <c r="GI37351" s="422"/>
    </row>
    <row r="37352" spans="191:191" x14ac:dyDescent="0.2">
      <c r="GI37352" s="422"/>
    </row>
    <row r="37353" spans="191:191" x14ac:dyDescent="0.2">
      <c r="GI37353" s="422"/>
    </row>
    <row r="37354" spans="191:191" x14ac:dyDescent="0.2">
      <c r="GI37354" s="422"/>
    </row>
    <row r="37355" spans="191:191" x14ac:dyDescent="0.2">
      <c r="GI37355" s="422"/>
    </row>
    <row r="37356" spans="191:191" x14ac:dyDescent="0.2">
      <c r="GI37356" s="422"/>
    </row>
    <row r="37357" spans="191:191" x14ac:dyDescent="0.2">
      <c r="GI37357" s="422"/>
    </row>
    <row r="37358" spans="191:191" x14ac:dyDescent="0.2">
      <c r="GI37358" s="422"/>
    </row>
    <row r="37359" spans="191:191" x14ac:dyDescent="0.2">
      <c r="GI37359" s="422"/>
    </row>
    <row r="37360" spans="191:191" x14ac:dyDescent="0.2">
      <c r="GI37360" s="422"/>
    </row>
    <row r="37361" spans="191:191" x14ac:dyDescent="0.2">
      <c r="GI37361" s="422"/>
    </row>
    <row r="37362" spans="191:191" x14ac:dyDescent="0.2">
      <c r="GI37362" s="422"/>
    </row>
    <row r="37363" spans="191:191" x14ac:dyDescent="0.2">
      <c r="GI37363" s="422"/>
    </row>
    <row r="37364" spans="191:191" x14ac:dyDescent="0.2">
      <c r="GI37364" s="422"/>
    </row>
    <row r="37365" spans="191:191" x14ac:dyDescent="0.2">
      <c r="GI37365" s="422"/>
    </row>
    <row r="37366" spans="191:191" x14ac:dyDescent="0.2">
      <c r="GI37366" s="422"/>
    </row>
    <row r="37367" spans="191:191" x14ac:dyDescent="0.2">
      <c r="GI37367" s="422"/>
    </row>
    <row r="37368" spans="191:191" x14ac:dyDescent="0.2">
      <c r="GI37368" s="422"/>
    </row>
    <row r="37369" spans="191:191" x14ac:dyDescent="0.2">
      <c r="GI37369" s="422"/>
    </row>
    <row r="37370" spans="191:191" x14ac:dyDescent="0.2">
      <c r="GI37370" s="422"/>
    </row>
    <row r="37371" spans="191:191" x14ac:dyDescent="0.2">
      <c r="GI37371" s="422"/>
    </row>
    <row r="37372" spans="191:191" x14ac:dyDescent="0.2">
      <c r="GI37372" s="422"/>
    </row>
    <row r="37373" spans="191:191" x14ac:dyDescent="0.2">
      <c r="GI37373" s="422"/>
    </row>
    <row r="37374" spans="191:191" x14ac:dyDescent="0.2">
      <c r="GI37374" s="422"/>
    </row>
    <row r="37375" spans="191:191" x14ac:dyDescent="0.2">
      <c r="GI37375" s="422"/>
    </row>
    <row r="37376" spans="191:191" x14ac:dyDescent="0.2">
      <c r="GI37376" s="422"/>
    </row>
    <row r="37377" spans="191:191" x14ac:dyDescent="0.2">
      <c r="GI37377" s="422"/>
    </row>
    <row r="37378" spans="191:191" x14ac:dyDescent="0.2">
      <c r="GI37378" s="422"/>
    </row>
    <row r="37379" spans="191:191" x14ac:dyDescent="0.2">
      <c r="GI37379" s="422"/>
    </row>
    <row r="37380" spans="191:191" x14ac:dyDescent="0.2">
      <c r="GI37380" s="422"/>
    </row>
    <row r="37381" spans="191:191" x14ac:dyDescent="0.2">
      <c r="GI37381" s="422"/>
    </row>
    <row r="37382" spans="191:191" x14ac:dyDescent="0.2">
      <c r="GI37382" s="422"/>
    </row>
    <row r="37383" spans="191:191" x14ac:dyDescent="0.2">
      <c r="GI37383" s="422"/>
    </row>
    <row r="37384" spans="191:191" x14ac:dyDescent="0.2">
      <c r="GI37384" s="422"/>
    </row>
    <row r="37385" spans="191:191" x14ac:dyDescent="0.2">
      <c r="GI37385" s="422"/>
    </row>
    <row r="37386" spans="191:191" x14ac:dyDescent="0.2">
      <c r="GI37386" s="422"/>
    </row>
    <row r="37387" spans="191:191" x14ac:dyDescent="0.2">
      <c r="GI37387" s="422"/>
    </row>
    <row r="37388" spans="191:191" x14ac:dyDescent="0.2">
      <c r="GI37388" s="422"/>
    </row>
    <row r="37389" spans="191:191" x14ac:dyDescent="0.2">
      <c r="GI37389" s="422"/>
    </row>
    <row r="37390" spans="191:191" x14ac:dyDescent="0.2">
      <c r="GI37390" s="422"/>
    </row>
    <row r="37391" spans="191:191" x14ac:dyDescent="0.2">
      <c r="GI37391" s="422"/>
    </row>
    <row r="37392" spans="191:191" x14ac:dyDescent="0.2">
      <c r="GI37392" s="422"/>
    </row>
    <row r="37393" spans="191:191" x14ac:dyDescent="0.2">
      <c r="GI37393" s="422"/>
    </row>
    <row r="37394" spans="191:191" x14ac:dyDescent="0.2">
      <c r="GI37394" s="422"/>
    </row>
    <row r="37395" spans="191:191" x14ac:dyDescent="0.2">
      <c r="GI37395" s="422"/>
    </row>
    <row r="37396" spans="191:191" x14ac:dyDescent="0.2">
      <c r="GI37396" s="422"/>
    </row>
    <row r="37397" spans="191:191" x14ac:dyDescent="0.2">
      <c r="GI37397" s="422"/>
    </row>
    <row r="37398" spans="191:191" x14ac:dyDescent="0.2">
      <c r="GI37398" s="422"/>
    </row>
    <row r="37399" spans="191:191" x14ac:dyDescent="0.2">
      <c r="GI37399" s="422"/>
    </row>
    <row r="37400" spans="191:191" x14ac:dyDescent="0.2">
      <c r="GI37400" s="422"/>
    </row>
    <row r="37401" spans="191:191" x14ac:dyDescent="0.2">
      <c r="GI37401" s="422"/>
    </row>
    <row r="37402" spans="191:191" x14ac:dyDescent="0.2">
      <c r="GI37402" s="422"/>
    </row>
    <row r="37403" spans="191:191" x14ac:dyDescent="0.2">
      <c r="GI37403" s="422"/>
    </row>
    <row r="37404" spans="191:191" x14ac:dyDescent="0.2">
      <c r="GI37404" s="422"/>
    </row>
    <row r="37405" spans="191:191" x14ac:dyDescent="0.2">
      <c r="GI37405" s="422"/>
    </row>
    <row r="37406" spans="191:191" x14ac:dyDescent="0.2">
      <c r="GI37406" s="422"/>
    </row>
    <row r="37407" spans="191:191" x14ac:dyDescent="0.2">
      <c r="GI37407" s="422"/>
    </row>
    <row r="37408" spans="191:191" x14ac:dyDescent="0.2">
      <c r="GI37408" s="422"/>
    </row>
    <row r="37409" spans="191:191" x14ac:dyDescent="0.2">
      <c r="GI37409" s="422"/>
    </row>
    <row r="37410" spans="191:191" x14ac:dyDescent="0.2">
      <c r="GI37410" s="422"/>
    </row>
    <row r="37411" spans="191:191" x14ac:dyDescent="0.2">
      <c r="GI37411" s="422"/>
    </row>
    <row r="37412" spans="191:191" x14ac:dyDescent="0.2">
      <c r="GI37412" s="422"/>
    </row>
    <row r="37413" spans="191:191" x14ac:dyDescent="0.2">
      <c r="GI37413" s="422"/>
    </row>
    <row r="37414" spans="191:191" x14ac:dyDescent="0.2">
      <c r="GI37414" s="422"/>
    </row>
    <row r="37415" spans="191:191" x14ac:dyDescent="0.2">
      <c r="GI37415" s="422"/>
    </row>
    <row r="37416" spans="191:191" x14ac:dyDescent="0.2">
      <c r="GI37416" s="422"/>
    </row>
    <row r="37417" spans="191:191" x14ac:dyDescent="0.2">
      <c r="GI37417" s="422"/>
    </row>
    <row r="37418" spans="191:191" x14ac:dyDescent="0.2">
      <c r="GI37418" s="422"/>
    </row>
    <row r="37419" spans="191:191" x14ac:dyDescent="0.2">
      <c r="GI37419" s="422"/>
    </row>
    <row r="37420" spans="191:191" x14ac:dyDescent="0.2">
      <c r="GI37420" s="422"/>
    </row>
    <row r="37421" spans="191:191" x14ac:dyDescent="0.2">
      <c r="GI37421" s="422"/>
    </row>
    <row r="37422" spans="191:191" x14ac:dyDescent="0.2">
      <c r="GI37422" s="422"/>
    </row>
    <row r="37423" spans="191:191" x14ac:dyDescent="0.2">
      <c r="GI37423" s="422"/>
    </row>
    <row r="37424" spans="191:191" x14ac:dyDescent="0.2">
      <c r="GI37424" s="422"/>
    </row>
    <row r="37425" spans="191:191" x14ac:dyDescent="0.2">
      <c r="GI37425" s="422"/>
    </row>
    <row r="37426" spans="191:191" x14ac:dyDescent="0.2">
      <c r="GI37426" s="422"/>
    </row>
    <row r="37427" spans="191:191" x14ac:dyDescent="0.2">
      <c r="GI37427" s="422"/>
    </row>
    <row r="37428" spans="191:191" x14ac:dyDescent="0.2">
      <c r="GI37428" s="422"/>
    </row>
    <row r="37429" spans="191:191" x14ac:dyDescent="0.2">
      <c r="GI37429" s="422"/>
    </row>
    <row r="37430" spans="191:191" x14ac:dyDescent="0.2">
      <c r="GI37430" s="422"/>
    </row>
    <row r="37431" spans="191:191" x14ac:dyDescent="0.2">
      <c r="GI37431" s="422"/>
    </row>
    <row r="37432" spans="191:191" x14ac:dyDescent="0.2">
      <c r="GI37432" s="422"/>
    </row>
    <row r="37433" spans="191:191" x14ac:dyDescent="0.2">
      <c r="GI37433" s="422"/>
    </row>
    <row r="37434" spans="191:191" x14ac:dyDescent="0.2">
      <c r="GI37434" s="422"/>
    </row>
    <row r="37435" spans="191:191" x14ac:dyDescent="0.2">
      <c r="GI37435" s="422"/>
    </row>
    <row r="37436" spans="191:191" x14ac:dyDescent="0.2">
      <c r="GI37436" s="422"/>
    </row>
    <row r="37437" spans="191:191" x14ac:dyDescent="0.2">
      <c r="GI37437" s="422"/>
    </row>
    <row r="37438" spans="191:191" x14ac:dyDescent="0.2">
      <c r="GI37438" s="422"/>
    </row>
    <row r="37439" spans="191:191" x14ac:dyDescent="0.2">
      <c r="GI37439" s="422"/>
    </row>
    <row r="37440" spans="191:191" x14ac:dyDescent="0.2">
      <c r="GI37440" s="422"/>
    </row>
    <row r="37441" spans="191:191" x14ac:dyDescent="0.2">
      <c r="GI37441" s="422"/>
    </row>
    <row r="37442" spans="191:191" x14ac:dyDescent="0.2">
      <c r="GI37442" s="422"/>
    </row>
    <row r="37443" spans="191:191" x14ac:dyDescent="0.2">
      <c r="GI37443" s="422"/>
    </row>
    <row r="37444" spans="191:191" x14ac:dyDescent="0.2">
      <c r="GI37444" s="422"/>
    </row>
    <row r="37445" spans="191:191" x14ac:dyDescent="0.2">
      <c r="GI37445" s="422"/>
    </row>
    <row r="37446" spans="191:191" x14ac:dyDescent="0.2">
      <c r="GI37446" s="422"/>
    </row>
    <row r="37447" spans="191:191" x14ac:dyDescent="0.2">
      <c r="GI37447" s="422"/>
    </row>
    <row r="37448" spans="191:191" x14ac:dyDescent="0.2">
      <c r="GI37448" s="422"/>
    </row>
    <row r="37449" spans="191:191" x14ac:dyDescent="0.2">
      <c r="GI37449" s="422"/>
    </row>
    <row r="37450" spans="191:191" x14ac:dyDescent="0.2">
      <c r="GI37450" s="422"/>
    </row>
    <row r="37451" spans="191:191" x14ac:dyDescent="0.2">
      <c r="GI37451" s="422"/>
    </row>
    <row r="37452" spans="191:191" x14ac:dyDescent="0.2">
      <c r="GI37452" s="422"/>
    </row>
    <row r="37453" spans="191:191" x14ac:dyDescent="0.2">
      <c r="GI37453" s="422"/>
    </row>
    <row r="37454" spans="191:191" x14ac:dyDescent="0.2">
      <c r="GI37454" s="422"/>
    </row>
    <row r="37455" spans="191:191" x14ac:dyDescent="0.2">
      <c r="GI37455" s="422"/>
    </row>
    <row r="37456" spans="191:191" x14ac:dyDescent="0.2">
      <c r="GI37456" s="422"/>
    </row>
    <row r="37457" spans="191:191" x14ac:dyDescent="0.2">
      <c r="GI37457" s="422"/>
    </row>
    <row r="37458" spans="191:191" x14ac:dyDescent="0.2">
      <c r="GI37458" s="422"/>
    </row>
    <row r="37459" spans="191:191" x14ac:dyDescent="0.2">
      <c r="GI37459" s="422"/>
    </row>
    <row r="37460" spans="191:191" x14ac:dyDescent="0.2">
      <c r="GI37460" s="422"/>
    </row>
    <row r="37461" spans="191:191" x14ac:dyDescent="0.2">
      <c r="GI37461" s="422"/>
    </row>
    <row r="37462" spans="191:191" x14ac:dyDescent="0.2">
      <c r="GI37462" s="422"/>
    </row>
    <row r="37463" spans="191:191" x14ac:dyDescent="0.2">
      <c r="GI37463" s="422"/>
    </row>
    <row r="37464" spans="191:191" x14ac:dyDescent="0.2">
      <c r="GI37464" s="422"/>
    </row>
    <row r="37465" spans="191:191" x14ac:dyDescent="0.2">
      <c r="GI37465" s="422"/>
    </row>
    <row r="37466" spans="191:191" x14ac:dyDescent="0.2">
      <c r="GI37466" s="422"/>
    </row>
    <row r="37467" spans="191:191" x14ac:dyDescent="0.2">
      <c r="GI37467" s="422"/>
    </row>
    <row r="37468" spans="191:191" x14ac:dyDescent="0.2">
      <c r="GI37468" s="422"/>
    </row>
    <row r="37469" spans="191:191" x14ac:dyDescent="0.2">
      <c r="GI37469" s="422"/>
    </row>
    <row r="37470" spans="191:191" x14ac:dyDescent="0.2">
      <c r="GI37470" s="422"/>
    </row>
    <row r="37471" spans="191:191" x14ac:dyDescent="0.2">
      <c r="GI37471" s="422"/>
    </row>
    <row r="37472" spans="191:191" x14ac:dyDescent="0.2">
      <c r="GI37472" s="422"/>
    </row>
    <row r="37473" spans="191:191" x14ac:dyDescent="0.2">
      <c r="GI37473" s="422"/>
    </row>
    <row r="37474" spans="191:191" x14ac:dyDescent="0.2">
      <c r="GI37474" s="422"/>
    </row>
    <row r="37475" spans="191:191" x14ac:dyDescent="0.2">
      <c r="GI37475" s="422"/>
    </row>
    <row r="37476" spans="191:191" x14ac:dyDescent="0.2">
      <c r="GI37476" s="422"/>
    </row>
    <row r="37477" spans="191:191" x14ac:dyDescent="0.2">
      <c r="GI37477" s="422"/>
    </row>
    <row r="37478" spans="191:191" x14ac:dyDescent="0.2">
      <c r="GI37478" s="422"/>
    </row>
    <row r="37479" spans="191:191" x14ac:dyDescent="0.2">
      <c r="GI37479" s="422"/>
    </row>
    <row r="37480" spans="191:191" x14ac:dyDescent="0.2">
      <c r="GI37480" s="422"/>
    </row>
    <row r="37481" spans="191:191" x14ac:dyDescent="0.2">
      <c r="GI37481" s="422"/>
    </row>
    <row r="37482" spans="191:191" x14ac:dyDescent="0.2">
      <c r="GI37482" s="422"/>
    </row>
    <row r="37483" spans="191:191" x14ac:dyDescent="0.2">
      <c r="GI37483" s="422"/>
    </row>
    <row r="37484" spans="191:191" x14ac:dyDescent="0.2">
      <c r="GI37484" s="422"/>
    </row>
    <row r="37485" spans="191:191" x14ac:dyDescent="0.2">
      <c r="GI37485" s="422"/>
    </row>
    <row r="37486" spans="191:191" x14ac:dyDescent="0.2">
      <c r="GI37486" s="422"/>
    </row>
    <row r="37487" spans="191:191" x14ac:dyDescent="0.2">
      <c r="GI37487" s="422"/>
    </row>
    <row r="37488" spans="191:191" x14ac:dyDescent="0.2">
      <c r="GI37488" s="422"/>
    </row>
    <row r="37489" spans="191:191" x14ac:dyDescent="0.2">
      <c r="GI37489" s="422"/>
    </row>
    <row r="37490" spans="191:191" x14ac:dyDescent="0.2">
      <c r="GI37490" s="422"/>
    </row>
    <row r="37491" spans="191:191" x14ac:dyDescent="0.2">
      <c r="GI37491" s="422"/>
    </row>
    <row r="37492" spans="191:191" x14ac:dyDescent="0.2">
      <c r="GI37492" s="422"/>
    </row>
    <row r="37493" spans="191:191" x14ac:dyDescent="0.2">
      <c r="GI37493" s="422"/>
    </row>
    <row r="37494" spans="191:191" x14ac:dyDescent="0.2">
      <c r="GI37494" s="422"/>
    </row>
    <row r="37495" spans="191:191" x14ac:dyDescent="0.2">
      <c r="GI37495" s="422"/>
    </row>
    <row r="37496" spans="191:191" x14ac:dyDescent="0.2">
      <c r="GI37496" s="422"/>
    </row>
    <row r="37497" spans="191:191" x14ac:dyDescent="0.2">
      <c r="GI37497" s="422"/>
    </row>
    <row r="37498" spans="191:191" x14ac:dyDescent="0.2">
      <c r="GI37498" s="422"/>
    </row>
    <row r="37499" spans="191:191" x14ac:dyDescent="0.2">
      <c r="GI37499" s="422"/>
    </row>
    <row r="37500" spans="191:191" x14ac:dyDescent="0.2">
      <c r="GI37500" s="422"/>
    </row>
    <row r="37501" spans="191:191" x14ac:dyDescent="0.2">
      <c r="GI37501" s="422"/>
    </row>
    <row r="37502" spans="191:191" x14ac:dyDescent="0.2">
      <c r="GI37502" s="422"/>
    </row>
    <row r="37503" spans="191:191" x14ac:dyDescent="0.2">
      <c r="GI37503" s="422"/>
    </row>
    <row r="37504" spans="191:191" x14ac:dyDescent="0.2">
      <c r="GI37504" s="422"/>
    </row>
    <row r="37505" spans="191:191" x14ac:dyDescent="0.2">
      <c r="GI37505" s="422"/>
    </row>
    <row r="37506" spans="191:191" x14ac:dyDescent="0.2">
      <c r="GI37506" s="422"/>
    </row>
    <row r="37507" spans="191:191" x14ac:dyDescent="0.2">
      <c r="GI37507" s="422"/>
    </row>
    <row r="37508" spans="191:191" x14ac:dyDescent="0.2">
      <c r="GI37508" s="422"/>
    </row>
    <row r="37509" spans="191:191" x14ac:dyDescent="0.2">
      <c r="GI37509" s="422"/>
    </row>
    <row r="37510" spans="191:191" x14ac:dyDescent="0.2">
      <c r="GI37510" s="422"/>
    </row>
    <row r="37511" spans="191:191" x14ac:dyDescent="0.2">
      <c r="GI37511" s="422"/>
    </row>
    <row r="37512" spans="191:191" x14ac:dyDescent="0.2">
      <c r="GI37512" s="422"/>
    </row>
    <row r="37513" spans="191:191" x14ac:dyDescent="0.2">
      <c r="GI37513" s="422"/>
    </row>
    <row r="37514" spans="191:191" x14ac:dyDescent="0.2">
      <c r="GI37514" s="422"/>
    </row>
    <row r="37515" spans="191:191" x14ac:dyDescent="0.2">
      <c r="GI37515" s="422"/>
    </row>
    <row r="37516" spans="191:191" x14ac:dyDescent="0.2">
      <c r="GI37516" s="422"/>
    </row>
    <row r="37517" spans="191:191" x14ac:dyDescent="0.2">
      <c r="GI37517" s="422"/>
    </row>
    <row r="37518" spans="191:191" x14ac:dyDescent="0.2">
      <c r="GI37518" s="422"/>
    </row>
    <row r="37519" spans="191:191" x14ac:dyDescent="0.2">
      <c r="GI37519" s="422"/>
    </row>
    <row r="37520" spans="191:191" x14ac:dyDescent="0.2">
      <c r="GI37520" s="422"/>
    </row>
    <row r="37521" spans="191:191" x14ac:dyDescent="0.2">
      <c r="GI37521" s="422"/>
    </row>
    <row r="37522" spans="191:191" x14ac:dyDescent="0.2">
      <c r="GI37522" s="422"/>
    </row>
    <row r="37523" spans="191:191" x14ac:dyDescent="0.2">
      <c r="GI37523" s="422"/>
    </row>
    <row r="37524" spans="191:191" x14ac:dyDescent="0.2">
      <c r="GI37524" s="422"/>
    </row>
    <row r="37525" spans="191:191" x14ac:dyDescent="0.2">
      <c r="GI37525" s="422"/>
    </row>
    <row r="37526" spans="191:191" x14ac:dyDescent="0.2">
      <c r="GI37526" s="422"/>
    </row>
    <row r="37527" spans="191:191" x14ac:dyDescent="0.2">
      <c r="GI37527" s="422"/>
    </row>
    <row r="37528" spans="191:191" x14ac:dyDescent="0.2">
      <c r="GI37528" s="422"/>
    </row>
    <row r="37529" spans="191:191" x14ac:dyDescent="0.2">
      <c r="GI37529" s="422"/>
    </row>
    <row r="37530" spans="191:191" x14ac:dyDescent="0.2">
      <c r="GI37530" s="422"/>
    </row>
    <row r="37531" spans="191:191" x14ac:dyDescent="0.2">
      <c r="GI37531" s="422"/>
    </row>
    <row r="37532" spans="191:191" x14ac:dyDescent="0.2">
      <c r="GI37532" s="422"/>
    </row>
    <row r="37533" spans="191:191" x14ac:dyDescent="0.2">
      <c r="GI37533" s="422"/>
    </row>
    <row r="37534" spans="191:191" x14ac:dyDescent="0.2">
      <c r="GI37534" s="422"/>
    </row>
    <row r="37535" spans="191:191" x14ac:dyDescent="0.2">
      <c r="GI37535" s="422"/>
    </row>
    <row r="37536" spans="191:191" x14ac:dyDescent="0.2">
      <c r="GI37536" s="422"/>
    </row>
    <row r="37537" spans="191:191" x14ac:dyDescent="0.2">
      <c r="GI37537" s="422"/>
    </row>
    <row r="37538" spans="191:191" x14ac:dyDescent="0.2">
      <c r="GI37538" s="422"/>
    </row>
    <row r="37539" spans="191:191" x14ac:dyDescent="0.2">
      <c r="GI37539" s="422"/>
    </row>
    <row r="37540" spans="191:191" x14ac:dyDescent="0.2">
      <c r="GI37540" s="422"/>
    </row>
    <row r="37541" spans="191:191" x14ac:dyDescent="0.2">
      <c r="GI37541" s="422"/>
    </row>
    <row r="37542" spans="191:191" x14ac:dyDescent="0.2">
      <c r="GI37542" s="422"/>
    </row>
    <row r="37543" spans="191:191" x14ac:dyDescent="0.2">
      <c r="GI37543" s="422"/>
    </row>
    <row r="37544" spans="191:191" x14ac:dyDescent="0.2">
      <c r="GI37544" s="422"/>
    </row>
    <row r="37545" spans="191:191" x14ac:dyDescent="0.2">
      <c r="GI37545" s="422"/>
    </row>
    <row r="37546" spans="191:191" x14ac:dyDescent="0.2">
      <c r="GI37546" s="422"/>
    </row>
    <row r="37547" spans="191:191" x14ac:dyDescent="0.2">
      <c r="GI37547" s="422"/>
    </row>
    <row r="37548" spans="191:191" x14ac:dyDescent="0.2">
      <c r="GI37548" s="422"/>
    </row>
    <row r="37549" spans="191:191" x14ac:dyDescent="0.2">
      <c r="GI37549" s="422"/>
    </row>
    <row r="37550" spans="191:191" x14ac:dyDescent="0.2">
      <c r="GI37550" s="422"/>
    </row>
    <row r="37551" spans="191:191" x14ac:dyDescent="0.2">
      <c r="GI37551" s="422"/>
    </row>
    <row r="37552" spans="191:191" x14ac:dyDescent="0.2">
      <c r="GI37552" s="422"/>
    </row>
    <row r="37553" spans="191:191" x14ac:dyDescent="0.2">
      <c r="GI37553" s="422"/>
    </row>
    <row r="37554" spans="191:191" x14ac:dyDescent="0.2">
      <c r="GI37554" s="422"/>
    </row>
    <row r="37555" spans="191:191" x14ac:dyDescent="0.2">
      <c r="GI37555" s="422"/>
    </row>
    <row r="37556" spans="191:191" x14ac:dyDescent="0.2">
      <c r="GI37556" s="422"/>
    </row>
    <row r="37557" spans="191:191" x14ac:dyDescent="0.2">
      <c r="GI37557" s="422"/>
    </row>
    <row r="37558" spans="191:191" x14ac:dyDescent="0.2">
      <c r="GI37558" s="422"/>
    </row>
    <row r="37559" spans="191:191" x14ac:dyDescent="0.2">
      <c r="GI37559" s="422"/>
    </row>
    <row r="37560" spans="191:191" x14ac:dyDescent="0.2">
      <c r="GI37560" s="422"/>
    </row>
    <row r="37561" spans="191:191" x14ac:dyDescent="0.2">
      <c r="GI37561" s="422"/>
    </row>
    <row r="37562" spans="191:191" x14ac:dyDescent="0.2">
      <c r="GI37562" s="422"/>
    </row>
    <row r="37563" spans="191:191" x14ac:dyDescent="0.2">
      <c r="GI37563" s="422"/>
    </row>
    <row r="37564" spans="191:191" x14ac:dyDescent="0.2">
      <c r="GI37564" s="422"/>
    </row>
    <row r="37565" spans="191:191" x14ac:dyDescent="0.2">
      <c r="GI37565" s="422"/>
    </row>
    <row r="37566" spans="191:191" x14ac:dyDescent="0.2">
      <c r="GI37566" s="422"/>
    </row>
    <row r="37567" spans="191:191" x14ac:dyDescent="0.2">
      <c r="GI37567" s="422"/>
    </row>
    <row r="37568" spans="191:191" x14ac:dyDescent="0.2">
      <c r="GI37568" s="422"/>
    </row>
    <row r="37569" spans="191:191" x14ac:dyDescent="0.2">
      <c r="GI37569" s="422"/>
    </row>
    <row r="37570" spans="191:191" x14ac:dyDescent="0.2">
      <c r="GI37570" s="422"/>
    </row>
    <row r="37571" spans="191:191" x14ac:dyDescent="0.2">
      <c r="GI37571" s="422"/>
    </row>
    <row r="37572" spans="191:191" x14ac:dyDescent="0.2">
      <c r="GI37572" s="422"/>
    </row>
    <row r="37573" spans="191:191" x14ac:dyDescent="0.2">
      <c r="GI37573" s="422"/>
    </row>
    <row r="37574" spans="191:191" x14ac:dyDescent="0.2">
      <c r="GI37574" s="422"/>
    </row>
    <row r="37575" spans="191:191" x14ac:dyDescent="0.2">
      <c r="GI37575" s="422"/>
    </row>
    <row r="37576" spans="191:191" x14ac:dyDescent="0.2">
      <c r="GI37576" s="422"/>
    </row>
    <row r="37577" spans="191:191" x14ac:dyDescent="0.2">
      <c r="GI37577" s="422"/>
    </row>
    <row r="37578" spans="191:191" x14ac:dyDescent="0.2">
      <c r="GI37578" s="422"/>
    </row>
    <row r="37579" spans="191:191" x14ac:dyDescent="0.2">
      <c r="GI37579" s="422"/>
    </row>
    <row r="37580" spans="191:191" x14ac:dyDescent="0.2">
      <c r="GI37580" s="422"/>
    </row>
    <row r="37581" spans="191:191" x14ac:dyDescent="0.2">
      <c r="GI37581" s="422"/>
    </row>
    <row r="37582" spans="191:191" x14ac:dyDescent="0.2">
      <c r="GI37582" s="422"/>
    </row>
    <row r="37583" spans="191:191" x14ac:dyDescent="0.2">
      <c r="GI37583" s="422"/>
    </row>
    <row r="37584" spans="191:191" x14ac:dyDescent="0.2">
      <c r="GI37584" s="422"/>
    </row>
    <row r="37585" spans="191:191" x14ac:dyDescent="0.2">
      <c r="GI37585" s="422"/>
    </row>
    <row r="37586" spans="191:191" x14ac:dyDescent="0.2">
      <c r="GI37586" s="422"/>
    </row>
    <row r="37587" spans="191:191" x14ac:dyDescent="0.2">
      <c r="GI37587" s="422"/>
    </row>
    <row r="37588" spans="191:191" x14ac:dyDescent="0.2">
      <c r="GI37588" s="422"/>
    </row>
    <row r="37589" spans="191:191" x14ac:dyDescent="0.2">
      <c r="GI37589" s="422"/>
    </row>
    <row r="37590" spans="191:191" x14ac:dyDescent="0.2">
      <c r="GI37590" s="422"/>
    </row>
    <row r="37591" spans="191:191" x14ac:dyDescent="0.2">
      <c r="GI37591" s="422"/>
    </row>
    <row r="37592" spans="191:191" x14ac:dyDescent="0.2">
      <c r="GI37592" s="422"/>
    </row>
    <row r="37593" spans="191:191" x14ac:dyDescent="0.2">
      <c r="GI37593" s="422"/>
    </row>
    <row r="37594" spans="191:191" x14ac:dyDescent="0.2">
      <c r="GI37594" s="422"/>
    </row>
    <row r="37595" spans="191:191" x14ac:dyDescent="0.2">
      <c r="GI37595" s="422"/>
    </row>
    <row r="37596" spans="191:191" x14ac:dyDescent="0.2">
      <c r="GI37596" s="422"/>
    </row>
    <row r="37597" spans="191:191" x14ac:dyDescent="0.2">
      <c r="GI37597" s="422"/>
    </row>
    <row r="37598" spans="191:191" x14ac:dyDescent="0.2">
      <c r="GI37598" s="422"/>
    </row>
    <row r="37599" spans="191:191" x14ac:dyDescent="0.2">
      <c r="GI37599" s="422"/>
    </row>
    <row r="37600" spans="191:191" x14ac:dyDescent="0.2">
      <c r="GI37600" s="422"/>
    </row>
    <row r="37601" spans="191:191" x14ac:dyDescent="0.2">
      <c r="GI37601" s="422"/>
    </row>
    <row r="37602" spans="191:191" x14ac:dyDescent="0.2">
      <c r="GI37602" s="422"/>
    </row>
    <row r="37603" spans="191:191" x14ac:dyDescent="0.2">
      <c r="GI37603" s="422"/>
    </row>
    <row r="37604" spans="191:191" x14ac:dyDescent="0.2">
      <c r="GI37604" s="422"/>
    </row>
    <row r="37605" spans="191:191" x14ac:dyDescent="0.2">
      <c r="GI37605" s="422"/>
    </row>
    <row r="37606" spans="191:191" x14ac:dyDescent="0.2">
      <c r="GI37606" s="422"/>
    </row>
    <row r="37607" spans="191:191" x14ac:dyDescent="0.2">
      <c r="GI37607" s="422"/>
    </row>
    <row r="37608" spans="191:191" x14ac:dyDescent="0.2">
      <c r="GI37608" s="422"/>
    </row>
    <row r="37609" spans="191:191" x14ac:dyDescent="0.2">
      <c r="GI37609" s="422"/>
    </row>
    <row r="37610" spans="191:191" x14ac:dyDescent="0.2">
      <c r="GI37610" s="422"/>
    </row>
    <row r="37611" spans="191:191" x14ac:dyDescent="0.2">
      <c r="GI37611" s="422"/>
    </row>
    <row r="37612" spans="191:191" x14ac:dyDescent="0.2">
      <c r="GI37612" s="422"/>
    </row>
    <row r="37613" spans="191:191" x14ac:dyDescent="0.2">
      <c r="GI37613" s="422"/>
    </row>
    <row r="37614" spans="191:191" x14ac:dyDescent="0.2">
      <c r="GI37614" s="422"/>
    </row>
    <row r="37615" spans="191:191" x14ac:dyDescent="0.2">
      <c r="GI37615" s="422"/>
    </row>
    <row r="37616" spans="191:191" x14ac:dyDescent="0.2">
      <c r="GI37616" s="422"/>
    </row>
    <row r="37617" spans="191:191" x14ac:dyDescent="0.2">
      <c r="GI37617" s="422"/>
    </row>
    <row r="37618" spans="191:191" x14ac:dyDescent="0.2">
      <c r="GI37618" s="422"/>
    </row>
    <row r="37619" spans="191:191" x14ac:dyDescent="0.2">
      <c r="GI37619" s="422"/>
    </row>
    <row r="37620" spans="191:191" x14ac:dyDescent="0.2">
      <c r="GI37620" s="422"/>
    </row>
    <row r="37621" spans="191:191" x14ac:dyDescent="0.2">
      <c r="GI37621" s="422"/>
    </row>
    <row r="37622" spans="191:191" x14ac:dyDescent="0.2">
      <c r="GI37622" s="422"/>
    </row>
    <row r="37623" spans="191:191" x14ac:dyDescent="0.2">
      <c r="GI37623" s="422"/>
    </row>
    <row r="37624" spans="191:191" x14ac:dyDescent="0.2">
      <c r="GI37624" s="422"/>
    </row>
    <row r="37625" spans="191:191" x14ac:dyDescent="0.2">
      <c r="GI37625" s="422"/>
    </row>
    <row r="37626" spans="191:191" x14ac:dyDescent="0.2">
      <c r="GI37626" s="422"/>
    </row>
    <row r="37627" spans="191:191" x14ac:dyDescent="0.2">
      <c r="GI37627" s="422"/>
    </row>
    <row r="37628" spans="191:191" x14ac:dyDescent="0.2">
      <c r="GI37628" s="422"/>
    </row>
    <row r="37629" spans="191:191" x14ac:dyDescent="0.2">
      <c r="GI37629" s="422"/>
    </row>
    <row r="37630" spans="191:191" x14ac:dyDescent="0.2">
      <c r="GI37630" s="422"/>
    </row>
    <row r="37631" spans="191:191" x14ac:dyDescent="0.2">
      <c r="GI37631" s="422"/>
    </row>
    <row r="37632" spans="191:191" x14ac:dyDescent="0.2">
      <c r="GI37632" s="422"/>
    </row>
    <row r="37633" spans="191:191" x14ac:dyDescent="0.2">
      <c r="GI37633" s="422"/>
    </row>
    <row r="37634" spans="191:191" x14ac:dyDescent="0.2">
      <c r="GI37634" s="422"/>
    </row>
    <row r="37635" spans="191:191" x14ac:dyDescent="0.2">
      <c r="GI37635" s="422"/>
    </row>
    <row r="37636" spans="191:191" x14ac:dyDescent="0.2">
      <c r="GI37636" s="422"/>
    </row>
    <row r="37637" spans="191:191" x14ac:dyDescent="0.2">
      <c r="GI37637" s="422"/>
    </row>
    <row r="37638" spans="191:191" x14ac:dyDescent="0.2">
      <c r="GI37638" s="422"/>
    </row>
    <row r="37639" spans="191:191" x14ac:dyDescent="0.2">
      <c r="GI37639" s="422"/>
    </row>
    <row r="37640" spans="191:191" x14ac:dyDescent="0.2">
      <c r="GI37640" s="422"/>
    </row>
    <row r="37641" spans="191:191" x14ac:dyDescent="0.2">
      <c r="GI37641" s="422"/>
    </row>
    <row r="37642" spans="191:191" x14ac:dyDescent="0.2">
      <c r="GI37642" s="422"/>
    </row>
    <row r="37643" spans="191:191" x14ac:dyDescent="0.2">
      <c r="GI37643" s="422"/>
    </row>
    <row r="37644" spans="191:191" x14ac:dyDescent="0.2">
      <c r="GI37644" s="422"/>
    </row>
    <row r="37645" spans="191:191" x14ac:dyDescent="0.2">
      <c r="GI37645" s="422"/>
    </row>
    <row r="37646" spans="191:191" x14ac:dyDescent="0.2">
      <c r="GI37646" s="422"/>
    </row>
    <row r="37647" spans="191:191" x14ac:dyDescent="0.2">
      <c r="GI37647" s="422"/>
    </row>
    <row r="37648" spans="191:191" x14ac:dyDescent="0.2">
      <c r="GI37648" s="422"/>
    </row>
    <row r="37649" spans="191:191" x14ac:dyDescent="0.2">
      <c r="GI37649" s="422"/>
    </row>
    <row r="37650" spans="191:191" x14ac:dyDescent="0.2">
      <c r="GI37650" s="422"/>
    </row>
    <row r="37651" spans="191:191" x14ac:dyDescent="0.2">
      <c r="GI37651" s="422"/>
    </row>
    <row r="37652" spans="191:191" x14ac:dyDescent="0.2">
      <c r="GI37652" s="422"/>
    </row>
    <row r="37653" spans="191:191" x14ac:dyDescent="0.2">
      <c r="GI37653" s="422"/>
    </row>
    <row r="37654" spans="191:191" x14ac:dyDescent="0.2">
      <c r="GI37654" s="422"/>
    </row>
    <row r="37655" spans="191:191" x14ac:dyDescent="0.2">
      <c r="GI37655" s="422"/>
    </row>
    <row r="37656" spans="191:191" x14ac:dyDescent="0.2">
      <c r="GI37656" s="422"/>
    </row>
    <row r="37657" spans="191:191" x14ac:dyDescent="0.2">
      <c r="GI37657" s="422"/>
    </row>
    <row r="37658" spans="191:191" x14ac:dyDescent="0.2">
      <c r="GI37658" s="422"/>
    </row>
    <row r="37659" spans="191:191" x14ac:dyDescent="0.2">
      <c r="GI37659" s="422"/>
    </row>
    <row r="37660" spans="191:191" x14ac:dyDescent="0.2">
      <c r="GI37660" s="422"/>
    </row>
    <row r="37661" spans="191:191" x14ac:dyDescent="0.2">
      <c r="GI37661" s="422"/>
    </row>
    <row r="37662" spans="191:191" x14ac:dyDescent="0.2">
      <c r="GI37662" s="422"/>
    </row>
    <row r="37663" spans="191:191" x14ac:dyDescent="0.2">
      <c r="GI37663" s="422"/>
    </row>
    <row r="37664" spans="191:191" x14ac:dyDescent="0.2">
      <c r="GI37664" s="422"/>
    </row>
    <row r="37665" spans="191:191" x14ac:dyDescent="0.2">
      <c r="GI37665" s="422"/>
    </row>
    <row r="37666" spans="191:191" x14ac:dyDescent="0.2">
      <c r="GI37666" s="422"/>
    </row>
    <row r="37667" spans="191:191" x14ac:dyDescent="0.2">
      <c r="GI37667" s="422"/>
    </row>
    <row r="37668" spans="191:191" x14ac:dyDescent="0.2">
      <c r="GI37668" s="422"/>
    </row>
    <row r="37669" spans="191:191" x14ac:dyDescent="0.2">
      <c r="GI37669" s="422"/>
    </row>
    <row r="37670" spans="191:191" x14ac:dyDescent="0.2">
      <c r="GI37670" s="422"/>
    </row>
    <row r="37671" spans="191:191" x14ac:dyDescent="0.2">
      <c r="GI37671" s="422"/>
    </row>
    <row r="37672" spans="191:191" x14ac:dyDescent="0.2">
      <c r="GI37672" s="422"/>
    </row>
    <row r="37673" spans="191:191" x14ac:dyDescent="0.2">
      <c r="GI37673" s="422"/>
    </row>
    <row r="37674" spans="191:191" x14ac:dyDescent="0.2">
      <c r="GI37674" s="422"/>
    </row>
    <row r="37675" spans="191:191" x14ac:dyDescent="0.2">
      <c r="GI37675" s="422"/>
    </row>
    <row r="37676" spans="191:191" x14ac:dyDescent="0.2">
      <c r="GI37676" s="422"/>
    </row>
    <row r="37677" spans="191:191" x14ac:dyDescent="0.2">
      <c r="GI37677" s="422"/>
    </row>
    <row r="37678" spans="191:191" x14ac:dyDescent="0.2">
      <c r="GI37678" s="422"/>
    </row>
    <row r="37679" spans="191:191" x14ac:dyDescent="0.2">
      <c r="GI37679" s="422"/>
    </row>
    <row r="37680" spans="191:191" x14ac:dyDescent="0.2">
      <c r="GI37680" s="422"/>
    </row>
    <row r="37681" spans="191:191" x14ac:dyDescent="0.2">
      <c r="GI37681" s="422"/>
    </row>
    <row r="37682" spans="191:191" x14ac:dyDescent="0.2">
      <c r="GI37682" s="422"/>
    </row>
    <row r="37683" spans="191:191" x14ac:dyDescent="0.2">
      <c r="GI37683" s="422"/>
    </row>
    <row r="37684" spans="191:191" x14ac:dyDescent="0.2">
      <c r="GI37684" s="422"/>
    </row>
    <row r="37685" spans="191:191" x14ac:dyDescent="0.2">
      <c r="GI37685" s="422"/>
    </row>
    <row r="37686" spans="191:191" x14ac:dyDescent="0.2">
      <c r="GI37686" s="422"/>
    </row>
    <row r="37687" spans="191:191" x14ac:dyDescent="0.2">
      <c r="GI37687" s="422"/>
    </row>
    <row r="37688" spans="191:191" x14ac:dyDescent="0.2">
      <c r="GI37688" s="422"/>
    </row>
    <row r="37689" spans="191:191" x14ac:dyDescent="0.2">
      <c r="GI37689" s="422"/>
    </row>
    <row r="37690" spans="191:191" x14ac:dyDescent="0.2">
      <c r="GI37690" s="422"/>
    </row>
    <row r="37691" spans="191:191" x14ac:dyDescent="0.2">
      <c r="GI37691" s="422"/>
    </row>
    <row r="37692" spans="191:191" x14ac:dyDescent="0.2">
      <c r="GI37692" s="422"/>
    </row>
    <row r="37693" spans="191:191" x14ac:dyDescent="0.2">
      <c r="GI37693" s="422"/>
    </row>
    <row r="37694" spans="191:191" x14ac:dyDescent="0.2">
      <c r="GI37694" s="422"/>
    </row>
    <row r="37695" spans="191:191" x14ac:dyDescent="0.2">
      <c r="GI37695" s="422"/>
    </row>
    <row r="37696" spans="191:191" x14ac:dyDescent="0.2">
      <c r="GI37696" s="422"/>
    </row>
    <row r="37697" spans="191:191" x14ac:dyDescent="0.2">
      <c r="GI37697" s="422"/>
    </row>
    <row r="37698" spans="191:191" x14ac:dyDescent="0.2">
      <c r="GI37698" s="422"/>
    </row>
    <row r="37699" spans="191:191" x14ac:dyDescent="0.2">
      <c r="GI37699" s="422"/>
    </row>
    <row r="37700" spans="191:191" x14ac:dyDescent="0.2">
      <c r="GI37700" s="422"/>
    </row>
    <row r="37701" spans="191:191" x14ac:dyDescent="0.2">
      <c r="GI37701" s="422"/>
    </row>
    <row r="37702" spans="191:191" x14ac:dyDescent="0.2">
      <c r="GI37702" s="422"/>
    </row>
    <row r="37703" spans="191:191" x14ac:dyDescent="0.2">
      <c r="GI37703" s="422"/>
    </row>
    <row r="37704" spans="191:191" x14ac:dyDescent="0.2">
      <c r="GI37704" s="422"/>
    </row>
    <row r="37705" spans="191:191" x14ac:dyDescent="0.2">
      <c r="GI37705" s="422"/>
    </row>
    <row r="37706" spans="191:191" x14ac:dyDescent="0.2">
      <c r="GI37706" s="422"/>
    </row>
    <row r="37707" spans="191:191" x14ac:dyDescent="0.2">
      <c r="GI37707" s="422"/>
    </row>
    <row r="37708" spans="191:191" x14ac:dyDescent="0.2">
      <c r="GI37708" s="422"/>
    </row>
    <row r="37709" spans="191:191" x14ac:dyDescent="0.2">
      <c r="GI37709" s="422"/>
    </row>
    <row r="37710" spans="191:191" x14ac:dyDescent="0.2">
      <c r="GI37710" s="422"/>
    </row>
    <row r="37711" spans="191:191" x14ac:dyDescent="0.2">
      <c r="GI37711" s="422"/>
    </row>
    <row r="37712" spans="191:191" x14ac:dyDescent="0.2">
      <c r="GI37712" s="422"/>
    </row>
    <row r="37713" spans="191:191" x14ac:dyDescent="0.2">
      <c r="GI37713" s="422"/>
    </row>
    <row r="37714" spans="191:191" x14ac:dyDescent="0.2">
      <c r="GI37714" s="422"/>
    </row>
    <row r="37715" spans="191:191" x14ac:dyDescent="0.2">
      <c r="GI37715" s="422"/>
    </row>
    <row r="37716" spans="191:191" x14ac:dyDescent="0.2">
      <c r="GI37716" s="422"/>
    </row>
    <row r="37717" spans="191:191" x14ac:dyDescent="0.2">
      <c r="GI37717" s="422"/>
    </row>
    <row r="37718" spans="191:191" x14ac:dyDescent="0.2">
      <c r="GI37718" s="422"/>
    </row>
    <row r="37719" spans="191:191" x14ac:dyDescent="0.2">
      <c r="GI37719" s="422"/>
    </row>
    <row r="37720" spans="191:191" x14ac:dyDescent="0.2">
      <c r="GI37720" s="422"/>
    </row>
    <row r="37721" spans="191:191" x14ac:dyDescent="0.2">
      <c r="GI37721" s="422"/>
    </row>
    <row r="37722" spans="191:191" x14ac:dyDescent="0.2">
      <c r="GI37722" s="422"/>
    </row>
    <row r="37723" spans="191:191" x14ac:dyDescent="0.2">
      <c r="GI37723" s="422"/>
    </row>
    <row r="37724" spans="191:191" x14ac:dyDescent="0.2">
      <c r="GI37724" s="422"/>
    </row>
    <row r="37725" spans="191:191" x14ac:dyDescent="0.2">
      <c r="GI37725" s="422"/>
    </row>
    <row r="37726" spans="191:191" x14ac:dyDescent="0.2">
      <c r="GI37726" s="422"/>
    </row>
    <row r="37727" spans="191:191" x14ac:dyDescent="0.2">
      <c r="GI37727" s="422"/>
    </row>
    <row r="37728" spans="191:191" x14ac:dyDescent="0.2">
      <c r="GI37728" s="422"/>
    </row>
    <row r="37729" spans="191:191" x14ac:dyDescent="0.2">
      <c r="GI37729" s="422"/>
    </row>
    <row r="37730" spans="191:191" x14ac:dyDescent="0.2">
      <c r="GI37730" s="422"/>
    </row>
    <row r="37731" spans="191:191" x14ac:dyDescent="0.2">
      <c r="GI37731" s="422"/>
    </row>
    <row r="37732" spans="191:191" x14ac:dyDescent="0.2">
      <c r="GI37732" s="422"/>
    </row>
    <row r="37733" spans="191:191" x14ac:dyDescent="0.2">
      <c r="GI37733" s="422"/>
    </row>
    <row r="37734" spans="191:191" x14ac:dyDescent="0.2">
      <c r="GI37734" s="422"/>
    </row>
    <row r="37735" spans="191:191" x14ac:dyDescent="0.2">
      <c r="GI37735" s="422"/>
    </row>
    <row r="37736" spans="191:191" x14ac:dyDescent="0.2">
      <c r="GI37736" s="422"/>
    </row>
    <row r="37737" spans="191:191" x14ac:dyDescent="0.2">
      <c r="GI37737" s="422"/>
    </row>
    <row r="37738" spans="191:191" x14ac:dyDescent="0.2">
      <c r="GI37738" s="422"/>
    </row>
    <row r="37739" spans="191:191" x14ac:dyDescent="0.2">
      <c r="GI37739" s="422"/>
    </row>
    <row r="37740" spans="191:191" x14ac:dyDescent="0.2">
      <c r="GI37740" s="422"/>
    </row>
    <row r="37741" spans="191:191" x14ac:dyDescent="0.2">
      <c r="GI37741" s="422"/>
    </row>
    <row r="37742" spans="191:191" x14ac:dyDescent="0.2">
      <c r="GI37742" s="422"/>
    </row>
    <row r="37743" spans="191:191" x14ac:dyDescent="0.2">
      <c r="GI37743" s="422"/>
    </row>
    <row r="37744" spans="191:191" x14ac:dyDescent="0.2">
      <c r="GI37744" s="422"/>
    </row>
    <row r="37745" spans="191:191" x14ac:dyDescent="0.2">
      <c r="GI37745" s="422"/>
    </row>
    <row r="37746" spans="191:191" x14ac:dyDescent="0.2">
      <c r="GI37746" s="422"/>
    </row>
    <row r="37747" spans="191:191" x14ac:dyDescent="0.2">
      <c r="GI37747" s="422"/>
    </row>
    <row r="37748" spans="191:191" x14ac:dyDescent="0.2">
      <c r="GI37748" s="422"/>
    </row>
    <row r="37749" spans="191:191" x14ac:dyDescent="0.2">
      <c r="GI37749" s="422"/>
    </row>
    <row r="37750" spans="191:191" x14ac:dyDescent="0.2">
      <c r="GI37750" s="422"/>
    </row>
    <row r="37751" spans="191:191" x14ac:dyDescent="0.2">
      <c r="GI37751" s="422"/>
    </row>
    <row r="37752" spans="191:191" x14ac:dyDescent="0.2">
      <c r="GI37752" s="422"/>
    </row>
    <row r="37753" spans="191:191" x14ac:dyDescent="0.2">
      <c r="GI37753" s="422"/>
    </row>
    <row r="37754" spans="191:191" x14ac:dyDescent="0.2">
      <c r="GI37754" s="422"/>
    </row>
    <row r="37755" spans="191:191" x14ac:dyDescent="0.2">
      <c r="GI37755" s="422"/>
    </row>
    <row r="37756" spans="191:191" x14ac:dyDescent="0.2">
      <c r="GI37756" s="422"/>
    </row>
    <row r="37757" spans="191:191" x14ac:dyDescent="0.2">
      <c r="GI37757" s="422"/>
    </row>
    <row r="37758" spans="191:191" x14ac:dyDescent="0.2">
      <c r="GI37758" s="422"/>
    </row>
    <row r="37759" spans="191:191" x14ac:dyDescent="0.2">
      <c r="GI37759" s="422"/>
    </row>
    <row r="37760" spans="191:191" x14ac:dyDescent="0.2">
      <c r="GI37760" s="422"/>
    </row>
    <row r="37761" spans="191:191" x14ac:dyDescent="0.2">
      <c r="GI37761" s="422"/>
    </row>
    <row r="37762" spans="191:191" x14ac:dyDescent="0.2">
      <c r="GI37762" s="422"/>
    </row>
    <row r="37763" spans="191:191" x14ac:dyDescent="0.2">
      <c r="GI37763" s="422"/>
    </row>
    <row r="37764" spans="191:191" x14ac:dyDescent="0.2">
      <c r="GI37764" s="422"/>
    </row>
    <row r="37765" spans="191:191" x14ac:dyDescent="0.2">
      <c r="GI37765" s="422"/>
    </row>
    <row r="37766" spans="191:191" x14ac:dyDescent="0.2">
      <c r="GI37766" s="422"/>
    </row>
    <row r="37767" spans="191:191" x14ac:dyDescent="0.2">
      <c r="GI37767" s="422"/>
    </row>
    <row r="37768" spans="191:191" x14ac:dyDescent="0.2">
      <c r="GI37768" s="422"/>
    </row>
    <row r="37769" spans="191:191" x14ac:dyDescent="0.2">
      <c r="GI37769" s="422"/>
    </row>
    <row r="37770" spans="191:191" x14ac:dyDescent="0.2">
      <c r="GI37770" s="422"/>
    </row>
    <row r="37771" spans="191:191" x14ac:dyDescent="0.2">
      <c r="GI37771" s="422"/>
    </row>
    <row r="37772" spans="191:191" x14ac:dyDescent="0.2">
      <c r="GI37772" s="422"/>
    </row>
    <row r="37773" spans="191:191" x14ac:dyDescent="0.2">
      <c r="GI37773" s="422"/>
    </row>
    <row r="37774" spans="191:191" x14ac:dyDescent="0.2">
      <c r="GI37774" s="422"/>
    </row>
    <row r="37775" spans="191:191" x14ac:dyDescent="0.2">
      <c r="GI37775" s="422"/>
    </row>
    <row r="37776" spans="191:191" x14ac:dyDescent="0.2">
      <c r="GI37776" s="422"/>
    </row>
    <row r="37777" spans="191:191" x14ac:dyDescent="0.2">
      <c r="GI37777" s="422"/>
    </row>
    <row r="37778" spans="191:191" x14ac:dyDescent="0.2">
      <c r="GI37778" s="422"/>
    </row>
    <row r="37779" spans="191:191" x14ac:dyDescent="0.2">
      <c r="GI37779" s="422"/>
    </row>
    <row r="37780" spans="191:191" x14ac:dyDescent="0.2">
      <c r="GI37780" s="422"/>
    </row>
    <row r="37781" spans="191:191" x14ac:dyDescent="0.2">
      <c r="GI37781" s="422"/>
    </row>
    <row r="37782" spans="191:191" x14ac:dyDescent="0.2">
      <c r="GI37782" s="422"/>
    </row>
    <row r="37783" spans="191:191" x14ac:dyDescent="0.2">
      <c r="GI37783" s="422"/>
    </row>
    <row r="37784" spans="191:191" x14ac:dyDescent="0.2">
      <c r="GI37784" s="422"/>
    </row>
    <row r="37785" spans="191:191" x14ac:dyDescent="0.2">
      <c r="GI37785" s="422"/>
    </row>
    <row r="37786" spans="191:191" x14ac:dyDescent="0.2">
      <c r="GI37786" s="422"/>
    </row>
    <row r="37787" spans="191:191" x14ac:dyDescent="0.2">
      <c r="GI37787" s="422"/>
    </row>
    <row r="37788" spans="191:191" x14ac:dyDescent="0.2">
      <c r="GI37788" s="422"/>
    </row>
    <row r="37789" spans="191:191" x14ac:dyDescent="0.2">
      <c r="GI37789" s="422"/>
    </row>
    <row r="37790" spans="191:191" x14ac:dyDescent="0.2">
      <c r="GI37790" s="422"/>
    </row>
    <row r="37791" spans="191:191" x14ac:dyDescent="0.2">
      <c r="GI37791" s="422"/>
    </row>
    <row r="37792" spans="191:191" x14ac:dyDescent="0.2">
      <c r="GI37792" s="422"/>
    </row>
    <row r="37793" spans="191:191" x14ac:dyDescent="0.2">
      <c r="GI37793" s="422"/>
    </row>
    <row r="37794" spans="191:191" x14ac:dyDescent="0.2">
      <c r="GI37794" s="422"/>
    </row>
    <row r="37795" spans="191:191" x14ac:dyDescent="0.2">
      <c r="GI37795" s="422"/>
    </row>
    <row r="37796" spans="191:191" x14ac:dyDescent="0.2">
      <c r="GI37796" s="422"/>
    </row>
    <row r="37797" spans="191:191" x14ac:dyDescent="0.2">
      <c r="GI37797" s="422"/>
    </row>
    <row r="37798" spans="191:191" x14ac:dyDescent="0.2">
      <c r="GI37798" s="422"/>
    </row>
    <row r="37799" spans="191:191" x14ac:dyDescent="0.2">
      <c r="GI37799" s="422"/>
    </row>
    <row r="37800" spans="191:191" x14ac:dyDescent="0.2">
      <c r="GI37800" s="422"/>
    </row>
    <row r="37801" spans="191:191" x14ac:dyDescent="0.2">
      <c r="GI37801" s="422"/>
    </row>
    <row r="37802" spans="191:191" x14ac:dyDescent="0.2">
      <c r="GI37802" s="422"/>
    </row>
    <row r="37803" spans="191:191" x14ac:dyDescent="0.2">
      <c r="GI37803" s="422"/>
    </row>
    <row r="37804" spans="191:191" x14ac:dyDescent="0.2">
      <c r="GI37804" s="422"/>
    </row>
    <row r="37805" spans="191:191" x14ac:dyDescent="0.2">
      <c r="GI37805" s="422"/>
    </row>
    <row r="37806" spans="191:191" x14ac:dyDescent="0.2">
      <c r="GI37806" s="422"/>
    </row>
    <row r="37807" spans="191:191" x14ac:dyDescent="0.2">
      <c r="GI37807" s="422"/>
    </row>
    <row r="37808" spans="191:191" x14ac:dyDescent="0.2">
      <c r="GI37808" s="422"/>
    </row>
    <row r="37809" spans="191:191" x14ac:dyDescent="0.2">
      <c r="GI37809" s="422"/>
    </row>
    <row r="37810" spans="191:191" x14ac:dyDescent="0.2">
      <c r="GI37810" s="422"/>
    </row>
    <row r="37811" spans="191:191" x14ac:dyDescent="0.2">
      <c r="GI37811" s="422"/>
    </row>
    <row r="37812" spans="191:191" x14ac:dyDescent="0.2">
      <c r="GI37812" s="422"/>
    </row>
    <row r="37813" spans="191:191" x14ac:dyDescent="0.2">
      <c r="GI37813" s="422"/>
    </row>
    <row r="37814" spans="191:191" x14ac:dyDescent="0.2">
      <c r="GI37814" s="422"/>
    </row>
    <row r="37815" spans="191:191" x14ac:dyDescent="0.2">
      <c r="GI37815" s="422"/>
    </row>
    <row r="37816" spans="191:191" x14ac:dyDescent="0.2">
      <c r="GI37816" s="422"/>
    </row>
    <row r="37817" spans="191:191" x14ac:dyDescent="0.2">
      <c r="GI37817" s="422"/>
    </row>
    <row r="37818" spans="191:191" x14ac:dyDescent="0.2">
      <c r="GI37818" s="422"/>
    </row>
    <row r="37819" spans="191:191" x14ac:dyDescent="0.2">
      <c r="GI37819" s="422"/>
    </row>
    <row r="37820" spans="191:191" x14ac:dyDescent="0.2">
      <c r="GI37820" s="422"/>
    </row>
    <row r="37821" spans="191:191" x14ac:dyDescent="0.2">
      <c r="GI37821" s="422"/>
    </row>
    <row r="37822" spans="191:191" x14ac:dyDescent="0.2">
      <c r="GI37822" s="422"/>
    </row>
    <row r="37823" spans="191:191" x14ac:dyDescent="0.2">
      <c r="GI37823" s="422"/>
    </row>
    <row r="37824" spans="191:191" x14ac:dyDescent="0.2">
      <c r="GI37824" s="422"/>
    </row>
    <row r="37825" spans="191:191" x14ac:dyDescent="0.2">
      <c r="GI37825" s="422"/>
    </row>
    <row r="37826" spans="191:191" x14ac:dyDescent="0.2">
      <c r="GI37826" s="422"/>
    </row>
    <row r="37827" spans="191:191" x14ac:dyDescent="0.2">
      <c r="GI37827" s="422"/>
    </row>
    <row r="37828" spans="191:191" x14ac:dyDescent="0.2">
      <c r="GI37828" s="422"/>
    </row>
    <row r="37829" spans="191:191" x14ac:dyDescent="0.2">
      <c r="GI37829" s="422"/>
    </row>
    <row r="37830" spans="191:191" x14ac:dyDescent="0.2">
      <c r="GI37830" s="422"/>
    </row>
    <row r="37831" spans="191:191" x14ac:dyDescent="0.2">
      <c r="GI37831" s="422"/>
    </row>
    <row r="37832" spans="191:191" x14ac:dyDescent="0.2">
      <c r="GI37832" s="422"/>
    </row>
    <row r="37833" spans="191:191" x14ac:dyDescent="0.2">
      <c r="GI37833" s="422"/>
    </row>
    <row r="37834" spans="191:191" x14ac:dyDescent="0.2">
      <c r="GI37834" s="422"/>
    </row>
    <row r="37835" spans="191:191" x14ac:dyDescent="0.2">
      <c r="GI37835" s="422"/>
    </row>
    <row r="37836" spans="191:191" x14ac:dyDescent="0.2">
      <c r="GI37836" s="422"/>
    </row>
    <row r="37837" spans="191:191" x14ac:dyDescent="0.2">
      <c r="GI37837" s="422"/>
    </row>
    <row r="37838" spans="191:191" x14ac:dyDescent="0.2">
      <c r="GI37838" s="422"/>
    </row>
    <row r="37839" spans="191:191" x14ac:dyDescent="0.2">
      <c r="GI37839" s="422"/>
    </row>
    <row r="37840" spans="191:191" x14ac:dyDescent="0.2">
      <c r="GI37840" s="422"/>
    </row>
    <row r="37841" spans="191:191" x14ac:dyDescent="0.2">
      <c r="GI37841" s="422"/>
    </row>
    <row r="37842" spans="191:191" x14ac:dyDescent="0.2">
      <c r="GI37842" s="422"/>
    </row>
    <row r="37843" spans="191:191" x14ac:dyDescent="0.2">
      <c r="GI37843" s="422"/>
    </row>
    <row r="37844" spans="191:191" x14ac:dyDescent="0.2">
      <c r="GI37844" s="422"/>
    </row>
    <row r="37845" spans="191:191" x14ac:dyDescent="0.2">
      <c r="GI37845" s="422"/>
    </row>
    <row r="37846" spans="191:191" x14ac:dyDescent="0.2">
      <c r="GI37846" s="422"/>
    </row>
    <row r="37847" spans="191:191" x14ac:dyDescent="0.2">
      <c r="GI37847" s="422"/>
    </row>
    <row r="37848" spans="191:191" x14ac:dyDescent="0.2">
      <c r="GI37848" s="422"/>
    </row>
    <row r="37849" spans="191:191" x14ac:dyDescent="0.2">
      <c r="GI37849" s="422"/>
    </row>
    <row r="37850" spans="191:191" x14ac:dyDescent="0.2">
      <c r="GI37850" s="422"/>
    </row>
    <row r="37851" spans="191:191" x14ac:dyDescent="0.2">
      <c r="GI37851" s="422"/>
    </row>
    <row r="37852" spans="191:191" x14ac:dyDescent="0.2">
      <c r="GI37852" s="422"/>
    </row>
    <row r="37853" spans="191:191" x14ac:dyDescent="0.2">
      <c r="GI37853" s="422"/>
    </row>
    <row r="37854" spans="191:191" x14ac:dyDescent="0.2">
      <c r="GI37854" s="422"/>
    </row>
    <row r="37855" spans="191:191" x14ac:dyDescent="0.2">
      <c r="GI37855" s="422"/>
    </row>
    <row r="37856" spans="191:191" x14ac:dyDescent="0.2">
      <c r="GI37856" s="422"/>
    </row>
    <row r="37857" spans="191:191" x14ac:dyDescent="0.2">
      <c r="GI37857" s="422"/>
    </row>
    <row r="37858" spans="191:191" x14ac:dyDescent="0.2">
      <c r="GI37858" s="422"/>
    </row>
    <row r="37859" spans="191:191" x14ac:dyDescent="0.2">
      <c r="GI37859" s="422"/>
    </row>
    <row r="37860" spans="191:191" x14ac:dyDescent="0.2">
      <c r="GI37860" s="422"/>
    </row>
    <row r="37861" spans="191:191" x14ac:dyDescent="0.2">
      <c r="GI37861" s="422"/>
    </row>
    <row r="37862" spans="191:191" x14ac:dyDescent="0.2">
      <c r="GI37862" s="422"/>
    </row>
    <row r="37863" spans="191:191" x14ac:dyDescent="0.2">
      <c r="GI37863" s="422"/>
    </row>
    <row r="37864" spans="191:191" x14ac:dyDescent="0.2">
      <c r="GI37864" s="422"/>
    </row>
    <row r="37865" spans="191:191" x14ac:dyDescent="0.2">
      <c r="GI37865" s="422"/>
    </row>
    <row r="37866" spans="191:191" x14ac:dyDescent="0.2">
      <c r="GI37866" s="422"/>
    </row>
    <row r="37867" spans="191:191" x14ac:dyDescent="0.2">
      <c r="GI37867" s="422"/>
    </row>
    <row r="37868" spans="191:191" x14ac:dyDescent="0.2">
      <c r="GI37868" s="422"/>
    </row>
    <row r="37869" spans="191:191" x14ac:dyDescent="0.2">
      <c r="GI37869" s="422"/>
    </row>
    <row r="37870" spans="191:191" x14ac:dyDescent="0.2">
      <c r="GI37870" s="422"/>
    </row>
    <row r="37871" spans="191:191" x14ac:dyDescent="0.2">
      <c r="GI37871" s="422"/>
    </row>
    <row r="37872" spans="191:191" x14ac:dyDescent="0.2">
      <c r="GI37872" s="422"/>
    </row>
    <row r="37873" spans="191:191" x14ac:dyDescent="0.2">
      <c r="GI37873" s="422"/>
    </row>
    <row r="37874" spans="191:191" x14ac:dyDescent="0.2">
      <c r="GI37874" s="422"/>
    </row>
    <row r="37875" spans="191:191" x14ac:dyDescent="0.2">
      <c r="GI37875" s="422"/>
    </row>
    <row r="37876" spans="191:191" x14ac:dyDescent="0.2">
      <c r="GI37876" s="422"/>
    </row>
    <row r="37877" spans="191:191" x14ac:dyDescent="0.2">
      <c r="GI37877" s="422"/>
    </row>
    <row r="37878" spans="191:191" x14ac:dyDescent="0.2">
      <c r="GI37878" s="422"/>
    </row>
    <row r="37879" spans="191:191" x14ac:dyDescent="0.2">
      <c r="GI37879" s="422"/>
    </row>
    <row r="37880" spans="191:191" x14ac:dyDescent="0.2">
      <c r="GI37880" s="422"/>
    </row>
    <row r="37881" spans="191:191" x14ac:dyDescent="0.2">
      <c r="GI37881" s="422"/>
    </row>
    <row r="37882" spans="191:191" x14ac:dyDescent="0.2">
      <c r="GI37882" s="422"/>
    </row>
    <row r="37883" spans="191:191" x14ac:dyDescent="0.2">
      <c r="GI37883" s="422"/>
    </row>
    <row r="37884" spans="191:191" x14ac:dyDescent="0.2">
      <c r="GI37884" s="422"/>
    </row>
    <row r="37885" spans="191:191" x14ac:dyDescent="0.2">
      <c r="GI37885" s="422"/>
    </row>
    <row r="37886" spans="191:191" x14ac:dyDescent="0.2">
      <c r="GI37886" s="422"/>
    </row>
    <row r="37887" spans="191:191" x14ac:dyDescent="0.2">
      <c r="GI37887" s="422"/>
    </row>
    <row r="37888" spans="191:191" x14ac:dyDescent="0.2">
      <c r="GI37888" s="422"/>
    </row>
    <row r="37889" spans="191:191" x14ac:dyDescent="0.2">
      <c r="GI37889" s="422"/>
    </row>
    <row r="37890" spans="191:191" x14ac:dyDescent="0.2">
      <c r="GI37890" s="422"/>
    </row>
    <row r="37891" spans="191:191" x14ac:dyDescent="0.2">
      <c r="GI37891" s="422"/>
    </row>
    <row r="37892" spans="191:191" x14ac:dyDescent="0.2">
      <c r="GI37892" s="422"/>
    </row>
    <row r="37893" spans="191:191" x14ac:dyDescent="0.2">
      <c r="GI37893" s="422"/>
    </row>
    <row r="37894" spans="191:191" x14ac:dyDescent="0.2">
      <c r="GI37894" s="422"/>
    </row>
    <row r="37895" spans="191:191" x14ac:dyDescent="0.2">
      <c r="GI37895" s="422"/>
    </row>
    <row r="37896" spans="191:191" x14ac:dyDescent="0.2">
      <c r="GI37896" s="422"/>
    </row>
    <row r="37897" spans="191:191" x14ac:dyDescent="0.2">
      <c r="GI37897" s="422"/>
    </row>
    <row r="37898" spans="191:191" x14ac:dyDescent="0.2">
      <c r="GI37898" s="422"/>
    </row>
    <row r="37899" spans="191:191" x14ac:dyDescent="0.2">
      <c r="GI37899" s="422"/>
    </row>
    <row r="37900" spans="191:191" x14ac:dyDescent="0.2">
      <c r="GI37900" s="422"/>
    </row>
    <row r="37901" spans="191:191" x14ac:dyDescent="0.2">
      <c r="GI37901" s="422"/>
    </row>
    <row r="37902" spans="191:191" x14ac:dyDescent="0.2">
      <c r="GI37902" s="422"/>
    </row>
    <row r="37903" spans="191:191" x14ac:dyDescent="0.2">
      <c r="GI37903" s="422"/>
    </row>
    <row r="37904" spans="191:191" x14ac:dyDescent="0.2">
      <c r="GI37904" s="422"/>
    </row>
    <row r="37905" spans="191:191" x14ac:dyDescent="0.2">
      <c r="GI37905" s="422"/>
    </row>
    <row r="37906" spans="191:191" x14ac:dyDescent="0.2">
      <c r="GI37906" s="422"/>
    </row>
    <row r="37907" spans="191:191" x14ac:dyDescent="0.2">
      <c r="GI37907" s="422"/>
    </row>
    <row r="37908" spans="191:191" x14ac:dyDescent="0.2">
      <c r="GI37908" s="422"/>
    </row>
    <row r="37909" spans="191:191" x14ac:dyDescent="0.2">
      <c r="GI37909" s="422"/>
    </row>
    <row r="37910" spans="191:191" x14ac:dyDescent="0.2">
      <c r="GI37910" s="422"/>
    </row>
    <row r="37911" spans="191:191" x14ac:dyDescent="0.2">
      <c r="GI37911" s="422"/>
    </row>
    <row r="37912" spans="191:191" x14ac:dyDescent="0.2">
      <c r="GI37912" s="422"/>
    </row>
    <row r="37913" spans="191:191" x14ac:dyDescent="0.2">
      <c r="GI37913" s="422"/>
    </row>
    <row r="37914" spans="191:191" x14ac:dyDescent="0.2">
      <c r="GI37914" s="422"/>
    </row>
    <row r="37915" spans="191:191" x14ac:dyDescent="0.2">
      <c r="GI37915" s="422"/>
    </row>
    <row r="37916" spans="191:191" x14ac:dyDescent="0.2">
      <c r="GI37916" s="422"/>
    </row>
    <row r="37917" spans="191:191" x14ac:dyDescent="0.2">
      <c r="GI37917" s="422"/>
    </row>
    <row r="37918" spans="191:191" x14ac:dyDescent="0.2">
      <c r="GI37918" s="422"/>
    </row>
    <row r="37919" spans="191:191" x14ac:dyDescent="0.2">
      <c r="GI37919" s="422"/>
    </row>
    <row r="37920" spans="191:191" x14ac:dyDescent="0.2">
      <c r="GI37920" s="422"/>
    </row>
    <row r="37921" spans="191:191" x14ac:dyDescent="0.2">
      <c r="GI37921" s="422"/>
    </row>
    <row r="37922" spans="191:191" x14ac:dyDescent="0.2">
      <c r="GI37922" s="422"/>
    </row>
    <row r="37923" spans="191:191" x14ac:dyDescent="0.2">
      <c r="GI37923" s="422"/>
    </row>
    <row r="37924" spans="191:191" x14ac:dyDescent="0.2">
      <c r="GI37924" s="422"/>
    </row>
    <row r="37925" spans="191:191" x14ac:dyDescent="0.2">
      <c r="GI37925" s="422"/>
    </row>
    <row r="37926" spans="191:191" x14ac:dyDescent="0.2">
      <c r="GI37926" s="422"/>
    </row>
    <row r="37927" spans="191:191" x14ac:dyDescent="0.2">
      <c r="GI37927" s="422"/>
    </row>
    <row r="37928" spans="191:191" x14ac:dyDescent="0.2">
      <c r="GI37928" s="422"/>
    </row>
    <row r="37929" spans="191:191" x14ac:dyDescent="0.2">
      <c r="GI37929" s="422"/>
    </row>
    <row r="37930" spans="191:191" x14ac:dyDescent="0.2">
      <c r="GI37930" s="422"/>
    </row>
    <row r="37931" spans="191:191" x14ac:dyDescent="0.2">
      <c r="GI37931" s="422"/>
    </row>
    <row r="37932" spans="191:191" x14ac:dyDescent="0.2">
      <c r="GI37932" s="422"/>
    </row>
    <row r="37933" spans="191:191" x14ac:dyDescent="0.2">
      <c r="GI37933" s="422"/>
    </row>
    <row r="37934" spans="191:191" x14ac:dyDescent="0.2">
      <c r="GI37934" s="422"/>
    </row>
    <row r="37935" spans="191:191" x14ac:dyDescent="0.2">
      <c r="GI37935" s="422"/>
    </row>
    <row r="37936" spans="191:191" x14ac:dyDescent="0.2">
      <c r="GI37936" s="422"/>
    </row>
    <row r="37937" spans="191:191" x14ac:dyDescent="0.2">
      <c r="GI37937" s="422"/>
    </row>
    <row r="37938" spans="191:191" x14ac:dyDescent="0.2">
      <c r="GI37938" s="422"/>
    </row>
    <row r="37939" spans="191:191" x14ac:dyDescent="0.2">
      <c r="GI37939" s="422"/>
    </row>
    <row r="37940" spans="191:191" x14ac:dyDescent="0.2">
      <c r="GI37940" s="422"/>
    </row>
    <row r="37941" spans="191:191" x14ac:dyDescent="0.2">
      <c r="GI37941" s="422"/>
    </row>
    <row r="37942" spans="191:191" x14ac:dyDescent="0.2">
      <c r="GI37942" s="422"/>
    </row>
    <row r="37943" spans="191:191" x14ac:dyDescent="0.2">
      <c r="GI37943" s="422"/>
    </row>
    <row r="37944" spans="191:191" x14ac:dyDescent="0.2">
      <c r="GI37944" s="422"/>
    </row>
    <row r="37945" spans="191:191" x14ac:dyDescent="0.2">
      <c r="GI37945" s="422"/>
    </row>
    <row r="37946" spans="191:191" x14ac:dyDescent="0.2">
      <c r="GI37946" s="422"/>
    </row>
    <row r="37947" spans="191:191" x14ac:dyDescent="0.2">
      <c r="GI37947" s="422"/>
    </row>
    <row r="37948" spans="191:191" x14ac:dyDescent="0.2">
      <c r="GI37948" s="422"/>
    </row>
    <row r="37949" spans="191:191" x14ac:dyDescent="0.2">
      <c r="GI37949" s="422"/>
    </row>
    <row r="37950" spans="191:191" x14ac:dyDescent="0.2">
      <c r="GI37950" s="422"/>
    </row>
    <row r="37951" spans="191:191" x14ac:dyDescent="0.2">
      <c r="GI37951" s="422"/>
    </row>
    <row r="37952" spans="191:191" x14ac:dyDescent="0.2">
      <c r="GI37952" s="422"/>
    </row>
    <row r="37953" spans="191:191" x14ac:dyDescent="0.2">
      <c r="GI37953" s="422"/>
    </row>
    <row r="37954" spans="191:191" x14ac:dyDescent="0.2">
      <c r="GI37954" s="422"/>
    </row>
    <row r="37955" spans="191:191" x14ac:dyDescent="0.2">
      <c r="GI37955" s="422"/>
    </row>
    <row r="37956" spans="191:191" x14ac:dyDescent="0.2">
      <c r="GI37956" s="422"/>
    </row>
    <row r="37957" spans="191:191" x14ac:dyDescent="0.2">
      <c r="GI37957" s="422"/>
    </row>
    <row r="37958" spans="191:191" x14ac:dyDescent="0.2">
      <c r="GI37958" s="422"/>
    </row>
    <row r="37959" spans="191:191" x14ac:dyDescent="0.2">
      <c r="GI37959" s="422"/>
    </row>
    <row r="37960" spans="191:191" x14ac:dyDescent="0.2">
      <c r="GI37960" s="422"/>
    </row>
    <row r="37961" spans="191:191" x14ac:dyDescent="0.2">
      <c r="GI37961" s="422"/>
    </row>
    <row r="37962" spans="191:191" x14ac:dyDescent="0.2">
      <c r="GI37962" s="422"/>
    </row>
    <row r="37963" spans="191:191" x14ac:dyDescent="0.2">
      <c r="GI37963" s="422"/>
    </row>
    <row r="37964" spans="191:191" x14ac:dyDescent="0.2">
      <c r="GI37964" s="422"/>
    </row>
    <row r="37965" spans="191:191" x14ac:dyDescent="0.2">
      <c r="GI37965" s="422"/>
    </row>
    <row r="37966" spans="191:191" x14ac:dyDescent="0.2">
      <c r="GI37966" s="422"/>
    </row>
    <row r="37967" spans="191:191" x14ac:dyDescent="0.2">
      <c r="GI37967" s="422"/>
    </row>
    <row r="37968" spans="191:191" x14ac:dyDescent="0.2">
      <c r="GI37968" s="422"/>
    </row>
    <row r="37969" spans="191:191" x14ac:dyDescent="0.2">
      <c r="GI37969" s="422"/>
    </row>
    <row r="37970" spans="191:191" x14ac:dyDescent="0.2">
      <c r="GI37970" s="422"/>
    </row>
    <row r="37971" spans="191:191" x14ac:dyDescent="0.2">
      <c r="GI37971" s="422"/>
    </row>
    <row r="37972" spans="191:191" x14ac:dyDescent="0.2">
      <c r="GI37972" s="422"/>
    </row>
    <row r="37973" spans="191:191" x14ac:dyDescent="0.2">
      <c r="GI37973" s="422"/>
    </row>
    <row r="37974" spans="191:191" x14ac:dyDescent="0.2">
      <c r="GI37974" s="422"/>
    </row>
    <row r="37975" spans="191:191" x14ac:dyDescent="0.2">
      <c r="GI37975" s="422"/>
    </row>
    <row r="37976" spans="191:191" x14ac:dyDescent="0.2">
      <c r="GI37976" s="422"/>
    </row>
    <row r="37977" spans="191:191" x14ac:dyDescent="0.2">
      <c r="GI37977" s="422"/>
    </row>
    <row r="37978" spans="191:191" x14ac:dyDescent="0.2">
      <c r="GI37978" s="422"/>
    </row>
    <row r="37979" spans="191:191" x14ac:dyDescent="0.2">
      <c r="GI37979" s="422"/>
    </row>
    <row r="37980" spans="191:191" x14ac:dyDescent="0.2">
      <c r="GI37980" s="422"/>
    </row>
    <row r="37981" spans="191:191" x14ac:dyDescent="0.2">
      <c r="GI37981" s="422"/>
    </row>
    <row r="37982" spans="191:191" x14ac:dyDescent="0.2">
      <c r="GI37982" s="422"/>
    </row>
    <row r="37983" spans="191:191" x14ac:dyDescent="0.2">
      <c r="GI37983" s="422"/>
    </row>
    <row r="37984" spans="191:191" x14ac:dyDescent="0.2">
      <c r="GI37984" s="422"/>
    </row>
    <row r="37985" spans="191:191" x14ac:dyDescent="0.2">
      <c r="GI37985" s="422"/>
    </row>
    <row r="37986" spans="191:191" x14ac:dyDescent="0.2">
      <c r="GI37986" s="422"/>
    </row>
    <row r="37987" spans="191:191" x14ac:dyDescent="0.2">
      <c r="GI37987" s="422"/>
    </row>
    <row r="37988" spans="191:191" x14ac:dyDescent="0.2">
      <c r="GI37988" s="422"/>
    </row>
    <row r="37989" spans="191:191" x14ac:dyDescent="0.2">
      <c r="GI37989" s="422"/>
    </row>
    <row r="37990" spans="191:191" x14ac:dyDescent="0.2">
      <c r="GI37990" s="422"/>
    </row>
    <row r="37991" spans="191:191" x14ac:dyDescent="0.2">
      <c r="GI37991" s="422"/>
    </row>
    <row r="37992" spans="191:191" x14ac:dyDescent="0.2">
      <c r="GI37992" s="422"/>
    </row>
    <row r="37993" spans="191:191" x14ac:dyDescent="0.2">
      <c r="GI37993" s="422"/>
    </row>
    <row r="37994" spans="191:191" x14ac:dyDescent="0.2">
      <c r="GI37994" s="422"/>
    </row>
    <row r="37995" spans="191:191" x14ac:dyDescent="0.2">
      <c r="GI37995" s="422"/>
    </row>
    <row r="37996" spans="191:191" x14ac:dyDescent="0.2">
      <c r="GI37996" s="422"/>
    </row>
    <row r="37997" spans="191:191" x14ac:dyDescent="0.2">
      <c r="GI37997" s="422"/>
    </row>
    <row r="37998" spans="191:191" x14ac:dyDescent="0.2">
      <c r="GI37998" s="422"/>
    </row>
    <row r="37999" spans="191:191" x14ac:dyDescent="0.2">
      <c r="GI37999" s="422"/>
    </row>
    <row r="38000" spans="191:191" x14ac:dyDescent="0.2">
      <c r="GI38000" s="422"/>
    </row>
    <row r="38001" spans="191:191" x14ac:dyDescent="0.2">
      <c r="GI38001" s="422"/>
    </row>
    <row r="38002" spans="191:191" x14ac:dyDescent="0.2">
      <c r="GI38002" s="422"/>
    </row>
    <row r="38003" spans="191:191" x14ac:dyDescent="0.2">
      <c r="GI38003" s="422"/>
    </row>
    <row r="38004" spans="191:191" x14ac:dyDescent="0.2">
      <c r="GI38004" s="422"/>
    </row>
    <row r="38005" spans="191:191" x14ac:dyDescent="0.2">
      <c r="GI38005" s="422"/>
    </row>
    <row r="38006" spans="191:191" x14ac:dyDescent="0.2">
      <c r="GI38006" s="422"/>
    </row>
    <row r="38007" spans="191:191" x14ac:dyDescent="0.2">
      <c r="GI38007" s="422"/>
    </row>
    <row r="38008" spans="191:191" x14ac:dyDescent="0.2">
      <c r="GI38008" s="422"/>
    </row>
    <row r="38009" spans="191:191" x14ac:dyDescent="0.2">
      <c r="GI38009" s="422"/>
    </row>
    <row r="38010" spans="191:191" x14ac:dyDescent="0.2">
      <c r="GI38010" s="422"/>
    </row>
    <row r="38011" spans="191:191" x14ac:dyDescent="0.2">
      <c r="GI38011" s="422"/>
    </row>
    <row r="38012" spans="191:191" x14ac:dyDescent="0.2">
      <c r="GI38012" s="422"/>
    </row>
    <row r="38013" spans="191:191" x14ac:dyDescent="0.2">
      <c r="GI38013" s="422"/>
    </row>
    <row r="38014" spans="191:191" x14ac:dyDescent="0.2">
      <c r="GI38014" s="422"/>
    </row>
    <row r="38015" spans="191:191" x14ac:dyDescent="0.2">
      <c r="GI38015" s="422"/>
    </row>
    <row r="38016" spans="191:191" x14ac:dyDescent="0.2">
      <c r="GI38016" s="422"/>
    </row>
    <row r="38017" spans="191:191" x14ac:dyDescent="0.2">
      <c r="GI38017" s="422"/>
    </row>
    <row r="38018" spans="191:191" x14ac:dyDescent="0.2">
      <c r="GI38018" s="422"/>
    </row>
    <row r="38019" spans="191:191" x14ac:dyDescent="0.2">
      <c r="GI38019" s="422"/>
    </row>
    <row r="38020" spans="191:191" x14ac:dyDescent="0.2">
      <c r="GI38020" s="422"/>
    </row>
    <row r="38021" spans="191:191" x14ac:dyDescent="0.2">
      <c r="GI38021" s="422"/>
    </row>
    <row r="38022" spans="191:191" x14ac:dyDescent="0.2">
      <c r="GI38022" s="422"/>
    </row>
    <row r="38023" spans="191:191" x14ac:dyDescent="0.2">
      <c r="GI38023" s="422"/>
    </row>
    <row r="38024" spans="191:191" x14ac:dyDescent="0.2">
      <c r="GI38024" s="422"/>
    </row>
    <row r="38025" spans="191:191" x14ac:dyDescent="0.2">
      <c r="GI38025" s="422"/>
    </row>
    <row r="38026" spans="191:191" x14ac:dyDescent="0.2">
      <c r="GI38026" s="422"/>
    </row>
    <row r="38027" spans="191:191" x14ac:dyDescent="0.2">
      <c r="GI38027" s="422"/>
    </row>
    <row r="38028" spans="191:191" x14ac:dyDescent="0.2">
      <c r="GI38028" s="422"/>
    </row>
    <row r="38029" spans="191:191" x14ac:dyDescent="0.2">
      <c r="GI38029" s="422"/>
    </row>
    <row r="38030" spans="191:191" x14ac:dyDescent="0.2">
      <c r="GI38030" s="422"/>
    </row>
    <row r="38031" spans="191:191" x14ac:dyDescent="0.2">
      <c r="GI38031" s="422"/>
    </row>
    <row r="38032" spans="191:191" x14ac:dyDescent="0.2">
      <c r="GI38032" s="422"/>
    </row>
    <row r="38033" spans="191:191" x14ac:dyDescent="0.2">
      <c r="GI38033" s="422"/>
    </row>
    <row r="38034" spans="191:191" x14ac:dyDescent="0.2">
      <c r="GI38034" s="422"/>
    </row>
    <row r="38035" spans="191:191" x14ac:dyDescent="0.2">
      <c r="GI38035" s="422"/>
    </row>
    <row r="38036" spans="191:191" x14ac:dyDescent="0.2">
      <c r="GI38036" s="422"/>
    </row>
    <row r="38037" spans="191:191" x14ac:dyDescent="0.2">
      <c r="GI38037" s="422"/>
    </row>
    <row r="38038" spans="191:191" x14ac:dyDescent="0.2">
      <c r="GI38038" s="422"/>
    </row>
    <row r="38039" spans="191:191" x14ac:dyDescent="0.2">
      <c r="GI38039" s="422"/>
    </row>
    <row r="38040" spans="191:191" x14ac:dyDescent="0.2">
      <c r="GI38040" s="422"/>
    </row>
    <row r="38041" spans="191:191" x14ac:dyDescent="0.2">
      <c r="GI38041" s="422"/>
    </row>
    <row r="38042" spans="191:191" x14ac:dyDescent="0.2">
      <c r="GI38042" s="422"/>
    </row>
    <row r="38043" spans="191:191" x14ac:dyDescent="0.2">
      <c r="GI38043" s="422"/>
    </row>
    <row r="38044" spans="191:191" x14ac:dyDescent="0.2">
      <c r="GI38044" s="422"/>
    </row>
    <row r="38045" spans="191:191" x14ac:dyDescent="0.2">
      <c r="GI38045" s="422"/>
    </row>
    <row r="38046" spans="191:191" x14ac:dyDescent="0.2">
      <c r="GI38046" s="422"/>
    </row>
    <row r="38047" spans="191:191" x14ac:dyDescent="0.2">
      <c r="GI38047" s="422"/>
    </row>
    <row r="38048" spans="191:191" x14ac:dyDescent="0.2">
      <c r="GI38048" s="422"/>
    </row>
    <row r="38049" spans="191:191" x14ac:dyDescent="0.2">
      <c r="GI38049" s="422"/>
    </row>
    <row r="38050" spans="191:191" x14ac:dyDescent="0.2">
      <c r="GI38050" s="422"/>
    </row>
    <row r="38051" spans="191:191" x14ac:dyDescent="0.2">
      <c r="GI38051" s="422"/>
    </row>
    <row r="38052" spans="191:191" x14ac:dyDescent="0.2">
      <c r="GI38052" s="422"/>
    </row>
    <row r="38053" spans="191:191" x14ac:dyDescent="0.2">
      <c r="GI38053" s="422"/>
    </row>
    <row r="38054" spans="191:191" x14ac:dyDescent="0.2">
      <c r="GI38054" s="422"/>
    </row>
    <row r="38055" spans="191:191" x14ac:dyDescent="0.2">
      <c r="GI38055" s="422"/>
    </row>
    <row r="38056" spans="191:191" x14ac:dyDescent="0.2">
      <c r="GI38056" s="422"/>
    </row>
    <row r="38057" spans="191:191" x14ac:dyDescent="0.2">
      <c r="GI38057" s="422"/>
    </row>
    <row r="38058" spans="191:191" x14ac:dyDescent="0.2">
      <c r="GI38058" s="422"/>
    </row>
    <row r="38059" spans="191:191" x14ac:dyDescent="0.2">
      <c r="GI38059" s="422"/>
    </row>
    <row r="38060" spans="191:191" x14ac:dyDescent="0.2">
      <c r="GI38060" s="422"/>
    </row>
    <row r="38061" spans="191:191" x14ac:dyDescent="0.2">
      <c r="GI38061" s="422"/>
    </row>
    <row r="38062" spans="191:191" x14ac:dyDescent="0.2">
      <c r="GI38062" s="422"/>
    </row>
    <row r="38063" spans="191:191" x14ac:dyDescent="0.2">
      <c r="GI38063" s="422"/>
    </row>
    <row r="38064" spans="191:191" x14ac:dyDescent="0.2">
      <c r="GI38064" s="422"/>
    </row>
    <row r="38065" spans="191:191" x14ac:dyDescent="0.2">
      <c r="GI38065" s="422"/>
    </row>
    <row r="38066" spans="191:191" x14ac:dyDescent="0.2">
      <c r="GI38066" s="422"/>
    </row>
    <row r="38067" spans="191:191" x14ac:dyDescent="0.2">
      <c r="GI38067" s="422"/>
    </row>
    <row r="38068" spans="191:191" x14ac:dyDescent="0.2">
      <c r="GI38068" s="422"/>
    </row>
    <row r="38069" spans="191:191" x14ac:dyDescent="0.2">
      <c r="GI38069" s="422"/>
    </row>
    <row r="38070" spans="191:191" x14ac:dyDescent="0.2">
      <c r="GI38070" s="422"/>
    </row>
    <row r="38071" spans="191:191" x14ac:dyDescent="0.2">
      <c r="GI38071" s="422"/>
    </row>
    <row r="38072" spans="191:191" x14ac:dyDescent="0.2">
      <c r="GI38072" s="422"/>
    </row>
    <row r="38073" spans="191:191" x14ac:dyDescent="0.2">
      <c r="GI38073" s="422"/>
    </row>
    <row r="38074" spans="191:191" x14ac:dyDescent="0.2">
      <c r="GI38074" s="422"/>
    </row>
    <row r="38075" spans="191:191" x14ac:dyDescent="0.2">
      <c r="GI38075" s="422"/>
    </row>
    <row r="38076" spans="191:191" x14ac:dyDescent="0.2">
      <c r="GI38076" s="422"/>
    </row>
    <row r="38077" spans="191:191" x14ac:dyDescent="0.2">
      <c r="GI38077" s="422"/>
    </row>
    <row r="38078" spans="191:191" x14ac:dyDescent="0.2">
      <c r="GI38078" s="422"/>
    </row>
    <row r="38079" spans="191:191" x14ac:dyDescent="0.2">
      <c r="GI38079" s="422"/>
    </row>
    <row r="38080" spans="191:191" x14ac:dyDescent="0.2">
      <c r="GI38080" s="422"/>
    </row>
    <row r="38081" spans="191:191" x14ac:dyDescent="0.2">
      <c r="GI38081" s="422"/>
    </row>
    <row r="38082" spans="191:191" x14ac:dyDescent="0.2">
      <c r="GI38082" s="422"/>
    </row>
    <row r="38083" spans="191:191" x14ac:dyDescent="0.2">
      <c r="GI38083" s="422"/>
    </row>
    <row r="38084" spans="191:191" x14ac:dyDescent="0.2">
      <c r="GI38084" s="422"/>
    </row>
    <row r="38085" spans="191:191" x14ac:dyDescent="0.2">
      <c r="GI38085" s="422"/>
    </row>
    <row r="38086" spans="191:191" x14ac:dyDescent="0.2">
      <c r="GI38086" s="422"/>
    </row>
    <row r="38087" spans="191:191" x14ac:dyDescent="0.2">
      <c r="GI38087" s="422"/>
    </row>
    <row r="38088" spans="191:191" x14ac:dyDescent="0.2">
      <c r="GI38088" s="422"/>
    </row>
    <row r="38089" spans="191:191" x14ac:dyDescent="0.2">
      <c r="GI38089" s="422"/>
    </row>
    <row r="38090" spans="191:191" x14ac:dyDescent="0.2">
      <c r="GI38090" s="422"/>
    </row>
    <row r="38091" spans="191:191" x14ac:dyDescent="0.2">
      <c r="GI38091" s="422"/>
    </row>
    <row r="38092" spans="191:191" x14ac:dyDescent="0.2">
      <c r="GI38092" s="422"/>
    </row>
    <row r="38093" spans="191:191" x14ac:dyDescent="0.2">
      <c r="GI38093" s="422"/>
    </row>
    <row r="38094" spans="191:191" x14ac:dyDescent="0.2">
      <c r="GI38094" s="422"/>
    </row>
    <row r="38095" spans="191:191" x14ac:dyDescent="0.2">
      <c r="GI38095" s="422"/>
    </row>
    <row r="38096" spans="191:191" x14ac:dyDescent="0.2">
      <c r="GI38096" s="422"/>
    </row>
    <row r="38097" spans="191:191" x14ac:dyDescent="0.2">
      <c r="GI38097" s="422"/>
    </row>
    <row r="38098" spans="191:191" x14ac:dyDescent="0.2">
      <c r="GI38098" s="422"/>
    </row>
    <row r="38099" spans="191:191" x14ac:dyDescent="0.2">
      <c r="GI38099" s="422"/>
    </row>
    <row r="38100" spans="191:191" x14ac:dyDescent="0.2">
      <c r="GI38100" s="422"/>
    </row>
    <row r="38101" spans="191:191" x14ac:dyDescent="0.2">
      <c r="GI38101" s="422"/>
    </row>
    <row r="38102" spans="191:191" x14ac:dyDescent="0.2">
      <c r="GI38102" s="422"/>
    </row>
    <row r="38103" spans="191:191" x14ac:dyDescent="0.2">
      <c r="GI38103" s="422"/>
    </row>
    <row r="38104" spans="191:191" x14ac:dyDescent="0.2">
      <c r="GI38104" s="422"/>
    </row>
    <row r="38105" spans="191:191" x14ac:dyDescent="0.2">
      <c r="GI38105" s="422"/>
    </row>
    <row r="38106" spans="191:191" x14ac:dyDescent="0.2">
      <c r="GI38106" s="422"/>
    </row>
    <row r="38107" spans="191:191" x14ac:dyDescent="0.2">
      <c r="GI38107" s="422"/>
    </row>
    <row r="38108" spans="191:191" x14ac:dyDescent="0.2">
      <c r="GI38108" s="422"/>
    </row>
    <row r="38109" spans="191:191" x14ac:dyDescent="0.2">
      <c r="GI38109" s="422"/>
    </row>
    <row r="38110" spans="191:191" x14ac:dyDescent="0.2">
      <c r="GI38110" s="422"/>
    </row>
    <row r="38111" spans="191:191" x14ac:dyDescent="0.2">
      <c r="GI38111" s="422"/>
    </row>
    <row r="38112" spans="191:191" x14ac:dyDescent="0.2">
      <c r="GI38112" s="422"/>
    </row>
    <row r="38113" spans="191:191" x14ac:dyDescent="0.2">
      <c r="GI38113" s="422"/>
    </row>
    <row r="38114" spans="191:191" x14ac:dyDescent="0.2">
      <c r="GI38114" s="422"/>
    </row>
    <row r="38115" spans="191:191" x14ac:dyDescent="0.2">
      <c r="GI38115" s="422"/>
    </row>
    <row r="38116" spans="191:191" x14ac:dyDescent="0.2">
      <c r="GI38116" s="422"/>
    </row>
    <row r="38117" spans="191:191" x14ac:dyDescent="0.2">
      <c r="GI38117" s="422"/>
    </row>
    <row r="38118" spans="191:191" x14ac:dyDescent="0.2">
      <c r="GI38118" s="422"/>
    </row>
    <row r="38119" spans="191:191" x14ac:dyDescent="0.2">
      <c r="GI38119" s="422"/>
    </row>
    <row r="38120" spans="191:191" x14ac:dyDescent="0.2">
      <c r="GI38120" s="422"/>
    </row>
    <row r="38121" spans="191:191" x14ac:dyDescent="0.2">
      <c r="GI38121" s="422"/>
    </row>
    <row r="38122" spans="191:191" x14ac:dyDescent="0.2">
      <c r="GI38122" s="422"/>
    </row>
    <row r="38123" spans="191:191" x14ac:dyDescent="0.2">
      <c r="GI38123" s="422"/>
    </row>
    <row r="38124" spans="191:191" x14ac:dyDescent="0.2">
      <c r="GI38124" s="422"/>
    </row>
    <row r="38125" spans="191:191" x14ac:dyDescent="0.2">
      <c r="GI38125" s="422"/>
    </row>
    <row r="38126" spans="191:191" x14ac:dyDescent="0.2">
      <c r="GI38126" s="422"/>
    </row>
    <row r="38127" spans="191:191" x14ac:dyDescent="0.2">
      <c r="GI38127" s="422"/>
    </row>
    <row r="38128" spans="191:191" x14ac:dyDescent="0.2">
      <c r="GI38128" s="422"/>
    </row>
    <row r="38129" spans="191:191" x14ac:dyDescent="0.2">
      <c r="GI38129" s="422"/>
    </row>
    <row r="38130" spans="191:191" x14ac:dyDescent="0.2">
      <c r="GI38130" s="422"/>
    </row>
    <row r="38131" spans="191:191" x14ac:dyDescent="0.2">
      <c r="GI38131" s="422"/>
    </row>
    <row r="38132" spans="191:191" x14ac:dyDescent="0.2">
      <c r="GI38132" s="422"/>
    </row>
    <row r="38133" spans="191:191" x14ac:dyDescent="0.2">
      <c r="GI38133" s="422"/>
    </row>
    <row r="38134" spans="191:191" x14ac:dyDescent="0.2">
      <c r="GI38134" s="422"/>
    </row>
    <row r="38135" spans="191:191" x14ac:dyDescent="0.2">
      <c r="GI38135" s="422"/>
    </row>
    <row r="38136" spans="191:191" x14ac:dyDescent="0.2">
      <c r="GI38136" s="422"/>
    </row>
    <row r="38137" spans="191:191" x14ac:dyDescent="0.2">
      <c r="GI38137" s="422"/>
    </row>
    <row r="38138" spans="191:191" x14ac:dyDescent="0.2">
      <c r="GI38138" s="422"/>
    </row>
    <row r="38139" spans="191:191" x14ac:dyDescent="0.2">
      <c r="GI38139" s="422"/>
    </row>
    <row r="38140" spans="191:191" x14ac:dyDescent="0.2">
      <c r="GI38140" s="422"/>
    </row>
    <row r="38141" spans="191:191" x14ac:dyDescent="0.2">
      <c r="GI38141" s="422"/>
    </row>
    <row r="38142" spans="191:191" x14ac:dyDescent="0.2">
      <c r="GI38142" s="422"/>
    </row>
    <row r="38143" spans="191:191" x14ac:dyDescent="0.2">
      <c r="GI38143" s="422"/>
    </row>
    <row r="38144" spans="191:191" x14ac:dyDescent="0.2">
      <c r="GI38144" s="422"/>
    </row>
    <row r="38145" spans="191:191" x14ac:dyDescent="0.2">
      <c r="GI38145" s="422"/>
    </row>
    <row r="38146" spans="191:191" x14ac:dyDescent="0.2">
      <c r="GI38146" s="422"/>
    </row>
    <row r="38147" spans="191:191" x14ac:dyDescent="0.2">
      <c r="GI38147" s="422"/>
    </row>
    <row r="38148" spans="191:191" x14ac:dyDescent="0.2">
      <c r="GI38148" s="422"/>
    </row>
    <row r="38149" spans="191:191" x14ac:dyDescent="0.2">
      <c r="GI38149" s="422"/>
    </row>
    <row r="38150" spans="191:191" x14ac:dyDescent="0.2">
      <c r="GI38150" s="422"/>
    </row>
    <row r="38151" spans="191:191" x14ac:dyDescent="0.2">
      <c r="GI38151" s="422"/>
    </row>
    <row r="38152" spans="191:191" x14ac:dyDescent="0.2">
      <c r="GI38152" s="422"/>
    </row>
    <row r="38153" spans="191:191" x14ac:dyDescent="0.2">
      <c r="GI38153" s="422"/>
    </row>
    <row r="38154" spans="191:191" x14ac:dyDescent="0.2">
      <c r="GI38154" s="422"/>
    </row>
    <row r="38155" spans="191:191" x14ac:dyDescent="0.2">
      <c r="GI38155" s="422"/>
    </row>
    <row r="38156" spans="191:191" x14ac:dyDescent="0.2">
      <c r="GI38156" s="422"/>
    </row>
    <row r="38157" spans="191:191" x14ac:dyDescent="0.2">
      <c r="GI38157" s="422"/>
    </row>
    <row r="38158" spans="191:191" x14ac:dyDescent="0.2">
      <c r="GI38158" s="422"/>
    </row>
    <row r="38159" spans="191:191" x14ac:dyDescent="0.2">
      <c r="GI38159" s="422"/>
    </row>
    <row r="38160" spans="191:191" x14ac:dyDescent="0.2">
      <c r="GI38160" s="422"/>
    </row>
    <row r="38161" spans="191:191" x14ac:dyDescent="0.2">
      <c r="GI38161" s="422"/>
    </row>
    <row r="38162" spans="191:191" x14ac:dyDescent="0.2">
      <c r="GI38162" s="422"/>
    </row>
    <row r="38163" spans="191:191" x14ac:dyDescent="0.2">
      <c r="GI38163" s="422"/>
    </row>
    <row r="38164" spans="191:191" x14ac:dyDescent="0.2">
      <c r="GI38164" s="422"/>
    </row>
    <row r="38165" spans="191:191" x14ac:dyDescent="0.2">
      <c r="GI38165" s="422"/>
    </row>
    <row r="38166" spans="191:191" x14ac:dyDescent="0.2">
      <c r="GI38166" s="422"/>
    </row>
    <row r="38167" spans="191:191" x14ac:dyDescent="0.2">
      <c r="GI38167" s="422"/>
    </row>
    <row r="38168" spans="191:191" x14ac:dyDescent="0.2">
      <c r="GI38168" s="422"/>
    </row>
    <row r="38169" spans="191:191" x14ac:dyDescent="0.2">
      <c r="GI38169" s="422"/>
    </row>
    <row r="38170" spans="191:191" x14ac:dyDescent="0.2">
      <c r="GI38170" s="422"/>
    </row>
    <row r="38171" spans="191:191" x14ac:dyDescent="0.2">
      <c r="GI38171" s="422"/>
    </row>
    <row r="38172" spans="191:191" x14ac:dyDescent="0.2">
      <c r="GI38172" s="422"/>
    </row>
    <row r="38173" spans="191:191" x14ac:dyDescent="0.2">
      <c r="GI38173" s="422"/>
    </row>
    <row r="38174" spans="191:191" x14ac:dyDescent="0.2">
      <c r="GI38174" s="422"/>
    </row>
    <row r="38175" spans="191:191" x14ac:dyDescent="0.2">
      <c r="GI38175" s="422"/>
    </row>
    <row r="38176" spans="191:191" x14ac:dyDescent="0.2">
      <c r="GI38176" s="422"/>
    </row>
    <row r="38177" spans="191:191" x14ac:dyDescent="0.2">
      <c r="GI38177" s="422"/>
    </row>
    <row r="38178" spans="191:191" x14ac:dyDescent="0.2">
      <c r="GI38178" s="422"/>
    </row>
    <row r="38179" spans="191:191" x14ac:dyDescent="0.2">
      <c r="GI38179" s="422"/>
    </row>
    <row r="38180" spans="191:191" x14ac:dyDescent="0.2">
      <c r="GI38180" s="422"/>
    </row>
    <row r="38181" spans="191:191" x14ac:dyDescent="0.2">
      <c r="GI38181" s="422"/>
    </row>
    <row r="38182" spans="191:191" x14ac:dyDescent="0.2">
      <c r="GI38182" s="422"/>
    </row>
    <row r="38183" spans="191:191" x14ac:dyDescent="0.2">
      <c r="GI38183" s="422"/>
    </row>
    <row r="38184" spans="191:191" x14ac:dyDescent="0.2">
      <c r="GI38184" s="422"/>
    </row>
    <row r="38185" spans="191:191" x14ac:dyDescent="0.2">
      <c r="GI38185" s="422"/>
    </row>
    <row r="38186" spans="191:191" x14ac:dyDescent="0.2">
      <c r="GI38186" s="422"/>
    </row>
    <row r="38187" spans="191:191" x14ac:dyDescent="0.2">
      <c r="GI38187" s="422"/>
    </row>
    <row r="38188" spans="191:191" x14ac:dyDescent="0.2">
      <c r="GI38188" s="422"/>
    </row>
    <row r="38189" spans="191:191" x14ac:dyDescent="0.2">
      <c r="GI38189" s="422"/>
    </row>
    <row r="38190" spans="191:191" x14ac:dyDescent="0.2">
      <c r="GI38190" s="422"/>
    </row>
    <row r="38191" spans="191:191" x14ac:dyDescent="0.2">
      <c r="GI38191" s="422"/>
    </row>
    <row r="38192" spans="191:191" x14ac:dyDescent="0.2">
      <c r="GI38192" s="422"/>
    </row>
    <row r="38193" spans="191:191" x14ac:dyDescent="0.2">
      <c r="GI38193" s="422"/>
    </row>
    <row r="38194" spans="191:191" x14ac:dyDescent="0.2">
      <c r="GI38194" s="422"/>
    </row>
    <row r="38195" spans="191:191" x14ac:dyDescent="0.2">
      <c r="GI38195" s="422"/>
    </row>
    <row r="38196" spans="191:191" x14ac:dyDescent="0.2">
      <c r="GI38196" s="422"/>
    </row>
    <row r="38197" spans="191:191" x14ac:dyDescent="0.2">
      <c r="GI38197" s="422"/>
    </row>
    <row r="38198" spans="191:191" x14ac:dyDescent="0.2">
      <c r="GI38198" s="422"/>
    </row>
    <row r="38199" spans="191:191" x14ac:dyDescent="0.2">
      <c r="GI38199" s="422"/>
    </row>
    <row r="38200" spans="191:191" x14ac:dyDescent="0.2">
      <c r="GI38200" s="422"/>
    </row>
    <row r="38201" spans="191:191" x14ac:dyDescent="0.2">
      <c r="GI38201" s="422"/>
    </row>
    <row r="38202" spans="191:191" x14ac:dyDescent="0.2">
      <c r="GI38202" s="422"/>
    </row>
    <row r="38203" spans="191:191" x14ac:dyDescent="0.2">
      <c r="GI38203" s="422"/>
    </row>
    <row r="38204" spans="191:191" x14ac:dyDescent="0.2">
      <c r="GI38204" s="422"/>
    </row>
    <row r="38205" spans="191:191" x14ac:dyDescent="0.2">
      <c r="GI38205" s="422"/>
    </row>
    <row r="38206" spans="191:191" x14ac:dyDescent="0.2">
      <c r="GI38206" s="422"/>
    </row>
    <row r="38207" spans="191:191" x14ac:dyDescent="0.2">
      <c r="GI38207" s="422"/>
    </row>
    <row r="38208" spans="191:191" x14ac:dyDescent="0.2">
      <c r="GI38208" s="422"/>
    </row>
    <row r="38209" spans="191:191" x14ac:dyDescent="0.2">
      <c r="GI38209" s="422"/>
    </row>
    <row r="38210" spans="191:191" x14ac:dyDescent="0.2">
      <c r="GI38210" s="422"/>
    </row>
    <row r="38211" spans="191:191" x14ac:dyDescent="0.2">
      <c r="GI38211" s="422"/>
    </row>
    <row r="38212" spans="191:191" x14ac:dyDescent="0.2">
      <c r="GI38212" s="422"/>
    </row>
    <row r="38213" spans="191:191" x14ac:dyDescent="0.2">
      <c r="GI38213" s="422"/>
    </row>
    <row r="38214" spans="191:191" x14ac:dyDescent="0.2">
      <c r="GI38214" s="422"/>
    </row>
    <row r="38215" spans="191:191" x14ac:dyDescent="0.2">
      <c r="GI38215" s="422"/>
    </row>
    <row r="38216" spans="191:191" x14ac:dyDescent="0.2">
      <c r="GI38216" s="422"/>
    </row>
    <row r="38217" spans="191:191" x14ac:dyDescent="0.2">
      <c r="GI38217" s="422"/>
    </row>
    <row r="38218" spans="191:191" x14ac:dyDescent="0.2">
      <c r="GI38218" s="422"/>
    </row>
    <row r="38219" spans="191:191" x14ac:dyDescent="0.2">
      <c r="GI38219" s="422"/>
    </row>
    <row r="38220" spans="191:191" x14ac:dyDescent="0.2">
      <c r="GI38220" s="422"/>
    </row>
    <row r="38221" spans="191:191" x14ac:dyDescent="0.2">
      <c r="GI38221" s="422"/>
    </row>
    <row r="38222" spans="191:191" x14ac:dyDescent="0.2">
      <c r="GI38222" s="422"/>
    </row>
    <row r="38223" spans="191:191" x14ac:dyDescent="0.2">
      <c r="GI38223" s="422"/>
    </row>
    <row r="38224" spans="191:191" x14ac:dyDescent="0.2">
      <c r="GI38224" s="422"/>
    </row>
    <row r="38225" spans="191:191" x14ac:dyDescent="0.2">
      <c r="GI38225" s="422"/>
    </row>
    <row r="38226" spans="191:191" x14ac:dyDescent="0.2">
      <c r="GI38226" s="422"/>
    </row>
    <row r="38227" spans="191:191" x14ac:dyDescent="0.2">
      <c r="GI38227" s="422"/>
    </row>
    <row r="38228" spans="191:191" x14ac:dyDescent="0.2">
      <c r="GI38228" s="422"/>
    </row>
    <row r="38229" spans="191:191" x14ac:dyDescent="0.2">
      <c r="GI38229" s="422"/>
    </row>
    <row r="38230" spans="191:191" x14ac:dyDescent="0.2">
      <c r="GI38230" s="422"/>
    </row>
    <row r="38231" spans="191:191" x14ac:dyDescent="0.2">
      <c r="GI38231" s="422"/>
    </row>
    <row r="38232" spans="191:191" x14ac:dyDescent="0.2">
      <c r="GI38232" s="422"/>
    </row>
    <row r="38233" spans="191:191" x14ac:dyDescent="0.2">
      <c r="GI38233" s="422"/>
    </row>
    <row r="38234" spans="191:191" x14ac:dyDescent="0.2">
      <c r="GI38234" s="422"/>
    </row>
    <row r="38235" spans="191:191" x14ac:dyDescent="0.2">
      <c r="GI38235" s="422"/>
    </row>
    <row r="38236" spans="191:191" x14ac:dyDescent="0.2">
      <c r="GI38236" s="422"/>
    </row>
    <row r="38237" spans="191:191" x14ac:dyDescent="0.2">
      <c r="GI38237" s="422"/>
    </row>
    <row r="38238" spans="191:191" x14ac:dyDescent="0.2">
      <c r="GI38238" s="422"/>
    </row>
    <row r="38239" spans="191:191" x14ac:dyDescent="0.2">
      <c r="GI38239" s="422"/>
    </row>
    <row r="38240" spans="191:191" x14ac:dyDescent="0.2">
      <c r="GI38240" s="422"/>
    </row>
    <row r="38241" spans="191:191" x14ac:dyDescent="0.2">
      <c r="GI38241" s="422"/>
    </row>
    <row r="38242" spans="191:191" x14ac:dyDescent="0.2">
      <c r="GI38242" s="422"/>
    </row>
    <row r="38243" spans="191:191" x14ac:dyDescent="0.2">
      <c r="GI38243" s="422"/>
    </row>
    <row r="38244" spans="191:191" x14ac:dyDescent="0.2">
      <c r="GI38244" s="422"/>
    </row>
    <row r="38245" spans="191:191" x14ac:dyDescent="0.2">
      <c r="GI38245" s="422"/>
    </row>
    <row r="38246" spans="191:191" x14ac:dyDescent="0.2">
      <c r="GI38246" s="422"/>
    </row>
    <row r="38247" spans="191:191" x14ac:dyDescent="0.2">
      <c r="GI38247" s="422"/>
    </row>
    <row r="38248" spans="191:191" x14ac:dyDescent="0.2">
      <c r="GI38248" s="422"/>
    </row>
    <row r="38249" spans="191:191" x14ac:dyDescent="0.2">
      <c r="GI38249" s="422"/>
    </row>
    <row r="38250" spans="191:191" x14ac:dyDescent="0.2">
      <c r="GI38250" s="422"/>
    </row>
    <row r="38251" spans="191:191" x14ac:dyDescent="0.2">
      <c r="GI38251" s="422"/>
    </row>
    <row r="38252" spans="191:191" x14ac:dyDescent="0.2">
      <c r="GI38252" s="422"/>
    </row>
    <row r="38253" spans="191:191" x14ac:dyDescent="0.2">
      <c r="GI38253" s="422"/>
    </row>
    <row r="38254" spans="191:191" x14ac:dyDescent="0.2">
      <c r="GI38254" s="422"/>
    </row>
    <row r="38255" spans="191:191" x14ac:dyDescent="0.2">
      <c r="GI38255" s="422"/>
    </row>
    <row r="38256" spans="191:191" x14ac:dyDescent="0.2">
      <c r="GI38256" s="422"/>
    </row>
    <row r="38257" spans="191:191" x14ac:dyDescent="0.2">
      <c r="GI38257" s="422"/>
    </row>
    <row r="38258" spans="191:191" x14ac:dyDescent="0.2">
      <c r="GI38258" s="422"/>
    </row>
    <row r="38259" spans="191:191" x14ac:dyDescent="0.2">
      <c r="GI38259" s="422"/>
    </row>
    <row r="38260" spans="191:191" x14ac:dyDescent="0.2">
      <c r="GI38260" s="422"/>
    </row>
    <row r="38261" spans="191:191" x14ac:dyDescent="0.2">
      <c r="GI38261" s="422"/>
    </row>
    <row r="38262" spans="191:191" x14ac:dyDescent="0.2">
      <c r="GI38262" s="422"/>
    </row>
    <row r="38263" spans="191:191" x14ac:dyDescent="0.2">
      <c r="GI38263" s="422"/>
    </row>
    <row r="38264" spans="191:191" x14ac:dyDescent="0.2">
      <c r="GI38264" s="422"/>
    </row>
    <row r="38265" spans="191:191" x14ac:dyDescent="0.2">
      <c r="GI38265" s="422"/>
    </row>
    <row r="38266" spans="191:191" x14ac:dyDescent="0.2">
      <c r="GI38266" s="422"/>
    </row>
    <row r="38267" spans="191:191" x14ac:dyDescent="0.2">
      <c r="GI38267" s="422"/>
    </row>
    <row r="38268" spans="191:191" x14ac:dyDescent="0.2">
      <c r="GI38268" s="422"/>
    </row>
    <row r="38269" spans="191:191" x14ac:dyDescent="0.2">
      <c r="GI38269" s="422"/>
    </row>
    <row r="38270" spans="191:191" x14ac:dyDescent="0.2">
      <c r="GI38270" s="422"/>
    </row>
    <row r="38271" spans="191:191" x14ac:dyDescent="0.2">
      <c r="GI38271" s="422"/>
    </row>
    <row r="38272" spans="191:191" x14ac:dyDescent="0.2">
      <c r="GI38272" s="422"/>
    </row>
    <row r="38273" spans="191:191" x14ac:dyDescent="0.2">
      <c r="GI38273" s="422"/>
    </row>
    <row r="38274" spans="191:191" x14ac:dyDescent="0.2">
      <c r="GI38274" s="422"/>
    </row>
    <row r="38275" spans="191:191" x14ac:dyDescent="0.2">
      <c r="GI38275" s="422"/>
    </row>
    <row r="38276" spans="191:191" x14ac:dyDescent="0.2">
      <c r="GI38276" s="422"/>
    </row>
    <row r="38277" spans="191:191" x14ac:dyDescent="0.2">
      <c r="GI38277" s="422"/>
    </row>
    <row r="38278" spans="191:191" x14ac:dyDescent="0.2">
      <c r="GI38278" s="422"/>
    </row>
    <row r="38279" spans="191:191" x14ac:dyDescent="0.2">
      <c r="GI38279" s="422"/>
    </row>
    <row r="38280" spans="191:191" x14ac:dyDescent="0.2">
      <c r="GI38280" s="422"/>
    </row>
    <row r="38281" spans="191:191" x14ac:dyDescent="0.2">
      <c r="GI38281" s="422"/>
    </row>
    <row r="38282" spans="191:191" x14ac:dyDescent="0.2">
      <c r="GI38282" s="422"/>
    </row>
    <row r="38283" spans="191:191" x14ac:dyDescent="0.2">
      <c r="GI38283" s="422"/>
    </row>
    <row r="38284" spans="191:191" x14ac:dyDescent="0.2">
      <c r="GI38284" s="422"/>
    </row>
    <row r="38285" spans="191:191" x14ac:dyDescent="0.2">
      <c r="GI38285" s="422"/>
    </row>
    <row r="38286" spans="191:191" x14ac:dyDescent="0.2">
      <c r="GI38286" s="422"/>
    </row>
    <row r="38287" spans="191:191" x14ac:dyDescent="0.2">
      <c r="GI38287" s="422"/>
    </row>
    <row r="38288" spans="191:191" x14ac:dyDescent="0.2">
      <c r="GI38288" s="422"/>
    </row>
    <row r="38289" spans="191:191" x14ac:dyDescent="0.2">
      <c r="GI38289" s="422"/>
    </row>
    <row r="38290" spans="191:191" x14ac:dyDescent="0.2">
      <c r="GI38290" s="422"/>
    </row>
    <row r="38291" spans="191:191" x14ac:dyDescent="0.2">
      <c r="GI38291" s="422"/>
    </row>
    <row r="38292" spans="191:191" x14ac:dyDescent="0.2">
      <c r="GI38292" s="422"/>
    </row>
    <row r="38293" spans="191:191" x14ac:dyDescent="0.2">
      <c r="GI38293" s="422"/>
    </row>
    <row r="38294" spans="191:191" x14ac:dyDescent="0.2">
      <c r="GI38294" s="422"/>
    </row>
    <row r="38295" spans="191:191" x14ac:dyDescent="0.2">
      <c r="GI38295" s="422"/>
    </row>
    <row r="38296" spans="191:191" x14ac:dyDescent="0.2">
      <c r="GI38296" s="422"/>
    </row>
    <row r="38297" spans="191:191" x14ac:dyDescent="0.2">
      <c r="GI38297" s="422"/>
    </row>
    <row r="38298" spans="191:191" x14ac:dyDescent="0.2">
      <c r="GI38298" s="422"/>
    </row>
    <row r="38299" spans="191:191" x14ac:dyDescent="0.2">
      <c r="GI38299" s="422"/>
    </row>
    <row r="38300" spans="191:191" x14ac:dyDescent="0.2">
      <c r="GI38300" s="422"/>
    </row>
    <row r="38301" spans="191:191" x14ac:dyDescent="0.2">
      <c r="GI38301" s="422"/>
    </row>
    <row r="38302" spans="191:191" x14ac:dyDescent="0.2">
      <c r="GI38302" s="422"/>
    </row>
    <row r="38303" spans="191:191" x14ac:dyDescent="0.2">
      <c r="GI38303" s="422"/>
    </row>
    <row r="38304" spans="191:191" x14ac:dyDescent="0.2">
      <c r="GI38304" s="422"/>
    </row>
    <row r="38305" spans="191:191" x14ac:dyDescent="0.2">
      <c r="GI38305" s="422"/>
    </row>
    <row r="38306" spans="191:191" x14ac:dyDescent="0.2">
      <c r="GI38306" s="422"/>
    </row>
    <row r="38307" spans="191:191" x14ac:dyDescent="0.2">
      <c r="GI38307" s="422"/>
    </row>
    <row r="38308" spans="191:191" x14ac:dyDescent="0.2">
      <c r="GI38308" s="422"/>
    </row>
    <row r="38309" spans="191:191" x14ac:dyDescent="0.2">
      <c r="GI38309" s="422"/>
    </row>
    <row r="38310" spans="191:191" x14ac:dyDescent="0.2">
      <c r="GI38310" s="422"/>
    </row>
    <row r="38311" spans="191:191" x14ac:dyDescent="0.2">
      <c r="GI38311" s="422"/>
    </row>
    <row r="38312" spans="191:191" x14ac:dyDescent="0.2">
      <c r="GI38312" s="422"/>
    </row>
    <row r="38313" spans="191:191" x14ac:dyDescent="0.2">
      <c r="GI38313" s="422"/>
    </row>
    <row r="38314" spans="191:191" x14ac:dyDescent="0.2">
      <c r="GI38314" s="422"/>
    </row>
    <row r="38315" spans="191:191" x14ac:dyDescent="0.2">
      <c r="GI38315" s="422"/>
    </row>
    <row r="38316" spans="191:191" x14ac:dyDescent="0.2">
      <c r="GI38316" s="422"/>
    </row>
    <row r="38317" spans="191:191" x14ac:dyDescent="0.2">
      <c r="GI38317" s="422"/>
    </row>
    <row r="38318" spans="191:191" x14ac:dyDescent="0.2">
      <c r="GI38318" s="422"/>
    </row>
    <row r="38319" spans="191:191" x14ac:dyDescent="0.2">
      <c r="GI38319" s="422"/>
    </row>
    <row r="38320" spans="191:191" x14ac:dyDescent="0.2">
      <c r="GI38320" s="422"/>
    </row>
    <row r="38321" spans="191:191" x14ac:dyDescent="0.2">
      <c r="GI38321" s="422"/>
    </row>
    <row r="38322" spans="191:191" x14ac:dyDescent="0.2">
      <c r="GI38322" s="422"/>
    </row>
    <row r="38323" spans="191:191" x14ac:dyDescent="0.2">
      <c r="GI38323" s="422"/>
    </row>
    <row r="38324" spans="191:191" x14ac:dyDescent="0.2">
      <c r="GI38324" s="422"/>
    </row>
    <row r="38325" spans="191:191" x14ac:dyDescent="0.2">
      <c r="GI38325" s="422"/>
    </row>
    <row r="38326" spans="191:191" x14ac:dyDescent="0.2">
      <c r="GI38326" s="422"/>
    </row>
    <row r="38327" spans="191:191" x14ac:dyDescent="0.2">
      <c r="GI38327" s="422"/>
    </row>
    <row r="38328" spans="191:191" x14ac:dyDescent="0.2">
      <c r="GI38328" s="422"/>
    </row>
    <row r="38329" spans="191:191" x14ac:dyDescent="0.2">
      <c r="GI38329" s="422"/>
    </row>
    <row r="38330" spans="191:191" x14ac:dyDescent="0.2">
      <c r="GI38330" s="422"/>
    </row>
    <row r="38331" spans="191:191" x14ac:dyDescent="0.2">
      <c r="GI38331" s="422"/>
    </row>
    <row r="38332" spans="191:191" x14ac:dyDescent="0.2">
      <c r="GI38332" s="422"/>
    </row>
    <row r="38333" spans="191:191" x14ac:dyDescent="0.2">
      <c r="GI38333" s="422"/>
    </row>
    <row r="38334" spans="191:191" x14ac:dyDescent="0.2">
      <c r="GI38334" s="422"/>
    </row>
    <row r="38335" spans="191:191" x14ac:dyDescent="0.2">
      <c r="GI38335" s="422"/>
    </row>
    <row r="38336" spans="191:191" x14ac:dyDescent="0.2">
      <c r="GI38336" s="422"/>
    </row>
    <row r="38337" spans="191:191" x14ac:dyDescent="0.2">
      <c r="GI38337" s="422"/>
    </row>
    <row r="38338" spans="191:191" x14ac:dyDescent="0.2">
      <c r="GI38338" s="422"/>
    </row>
    <row r="38339" spans="191:191" x14ac:dyDescent="0.2">
      <c r="GI38339" s="422"/>
    </row>
    <row r="38340" spans="191:191" x14ac:dyDescent="0.2">
      <c r="GI38340" s="422"/>
    </row>
    <row r="38341" spans="191:191" x14ac:dyDescent="0.2">
      <c r="GI38341" s="422"/>
    </row>
    <row r="38342" spans="191:191" x14ac:dyDescent="0.2">
      <c r="GI38342" s="422"/>
    </row>
    <row r="38343" spans="191:191" x14ac:dyDescent="0.2">
      <c r="GI38343" s="422"/>
    </row>
    <row r="38344" spans="191:191" x14ac:dyDescent="0.2">
      <c r="GI38344" s="422"/>
    </row>
    <row r="38345" spans="191:191" x14ac:dyDescent="0.2">
      <c r="GI38345" s="422"/>
    </row>
    <row r="38346" spans="191:191" x14ac:dyDescent="0.2">
      <c r="GI38346" s="422"/>
    </row>
    <row r="38347" spans="191:191" x14ac:dyDescent="0.2">
      <c r="GI38347" s="422"/>
    </row>
    <row r="38348" spans="191:191" x14ac:dyDescent="0.2">
      <c r="GI38348" s="422"/>
    </row>
    <row r="38349" spans="191:191" x14ac:dyDescent="0.2">
      <c r="GI38349" s="422"/>
    </row>
    <row r="38350" spans="191:191" x14ac:dyDescent="0.2">
      <c r="GI38350" s="422"/>
    </row>
    <row r="38351" spans="191:191" x14ac:dyDescent="0.2">
      <c r="GI38351" s="422"/>
    </row>
    <row r="38352" spans="191:191" x14ac:dyDescent="0.2">
      <c r="GI38352" s="422"/>
    </row>
    <row r="38353" spans="191:191" x14ac:dyDescent="0.2">
      <c r="GI38353" s="422"/>
    </row>
    <row r="38354" spans="191:191" x14ac:dyDescent="0.2">
      <c r="GI38354" s="422"/>
    </row>
    <row r="38355" spans="191:191" x14ac:dyDescent="0.2">
      <c r="GI38355" s="422"/>
    </row>
    <row r="38356" spans="191:191" x14ac:dyDescent="0.2">
      <c r="GI38356" s="422"/>
    </row>
    <row r="38357" spans="191:191" x14ac:dyDescent="0.2">
      <c r="GI38357" s="422"/>
    </row>
    <row r="38358" spans="191:191" x14ac:dyDescent="0.2">
      <c r="GI38358" s="422"/>
    </row>
    <row r="38359" spans="191:191" x14ac:dyDescent="0.2">
      <c r="GI38359" s="422"/>
    </row>
    <row r="38360" spans="191:191" x14ac:dyDescent="0.2">
      <c r="GI38360" s="422"/>
    </row>
    <row r="38361" spans="191:191" x14ac:dyDescent="0.2">
      <c r="GI38361" s="422"/>
    </row>
    <row r="38362" spans="191:191" x14ac:dyDescent="0.2">
      <c r="GI38362" s="422"/>
    </row>
    <row r="38363" spans="191:191" x14ac:dyDescent="0.2">
      <c r="GI38363" s="422"/>
    </row>
    <row r="38364" spans="191:191" x14ac:dyDescent="0.2">
      <c r="GI38364" s="422"/>
    </row>
    <row r="38365" spans="191:191" x14ac:dyDescent="0.2">
      <c r="GI38365" s="422"/>
    </row>
    <row r="38366" spans="191:191" x14ac:dyDescent="0.2">
      <c r="GI38366" s="422"/>
    </row>
    <row r="38367" spans="191:191" x14ac:dyDescent="0.2">
      <c r="GI38367" s="422"/>
    </row>
    <row r="38368" spans="191:191" x14ac:dyDescent="0.2">
      <c r="GI38368" s="422"/>
    </row>
    <row r="38369" spans="191:191" x14ac:dyDescent="0.2">
      <c r="GI38369" s="422"/>
    </row>
    <row r="38370" spans="191:191" x14ac:dyDescent="0.2">
      <c r="GI38370" s="422"/>
    </row>
    <row r="38371" spans="191:191" x14ac:dyDescent="0.2">
      <c r="GI38371" s="422"/>
    </row>
    <row r="38372" spans="191:191" x14ac:dyDescent="0.2">
      <c r="GI38372" s="422"/>
    </row>
    <row r="38373" spans="191:191" x14ac:dyDescent="0.2">
      <c r="GI38373" s="422"/>
    </row>
    <row r="38374" spans="191:191" x14ac:dyDescent="0.2">
      <c r="GI38374" s="422"/>
    </row>
    <row r="38375" spans="191:191" x14ac:dyDescent="0.2">
      <c r="GI38375" s="422"/>
    </row>
    <row r="38376" spans="191:191" x14ac:dyDescent="0.2">
      <c r="GI38376" s="422"/>
    </row>
    <row r="38377" spans="191:191" x14ac:dyDescent="0.2">
      <c r="GI38377" s="422"/>
    </row>
    <row r="38378" spans="191:191" x14ac:dyDescent="0.2">
      <c r="GI38378" s="422"/>
    </row>
    <row r="38379" spans="191:191" x14ac:dyDescent="0.2">
      <c r="GI38379" s="422"/>
    </row>
    <row r="38380" spans="191:191" x14ac:dyDescent="0.2">
      <c r="GI38380" s="422"/>
    </row>
    <row r="38381" spans="191:191" x14ac:dyDescent="0.2">
      <c r="GI38381" s="422"/>
    </row>
    <row r="38382" spans="191:191" x14ac:dyDescent="0.2">
      <c r="GI38382" s="422"/>
    </row>
    <row r="38383" spans="191:191" x14ac:dyDescent="0.2">
      <c r="GI38383" s="422"/>
    </row>
    <row r="38384" spans="191:191" x14ac:dyDescent="0.2">
      <c r="GI38384" s="422"/>
    </row>
    <row r="38385" spans="191:191" x14ac:dyDescent="0.2">
      <c r="GI38385" s="422"/>
    </row>
    <row r="38386" spans="191:191" x14ac:dyDescent="0.2">
      <c r="GI38386" s="422"/>
    </row>
    <row r="38387" spans="191:191" x14ac:dyDescent="0.2">
      <c r="GI38387" s="422"/>
    </row>
    <row r="38388" spans="191:191" x14ac:dyDescent="0.2">
      <c r="GI38388" s="422"/>
    </row>
    <row r="38389" spans="191:191" x14ac:dyDescent="0.2">
      <c r="GI38389" s="422"/>
    </row>
    <row r="38390" spans="191:191" x14ac:dyDescent="0.2">
      <c r="GI38390" s="422"/>
    </row>
    <row r="38391" spans="191:191" x14ac:dyDescent="0.2">
      <c r="GI38391" s="422"/>
    </row>
    <row r="38392" spans="191:191" x14ac:dyDescent="0.2">
      <c r="GI38392" s="422"/>
    </row>
    <row r="38393" spans="191:191" x14ac:dyDescent="0.2">
      <c r="GI38393" s="422"/>
    </row>
    <row r="38394" spans="191:191" x14ac:dyDescent="0.2">
      <c r="GI38394" s="422"/>
    </row>
    <row r="38395" spans="191:191" x14ac:dyDescent="0.2">
      <c r="GI38395" s="422"/>
    </row>
    <row r="38396" spans="191:191" x14ac:dyDescent="0.2">
      <c r="GI38396" s="422"/>
    </row>
    <row r="38397" spans="191:191" x14ac:dyDescent="0.2">
      <c r="GI38397" s="422"/>
    </row>
    <row r="38398" spans="191:191" x14ac:dyDescent="0.2">
      <c r="GI38398" s="422"/>
    </row>
    <row r="38399" spans="191:191" x14ac:dyDescent="0.2">
      <c r="GI38399" s="422"/>
    </row>
    <row r="38400" spans="191:191" x14ac:dyDescent="0.2">
      <c r="GI38400" s="422"/>
    </row>
    <row r="38401" spans="191:191" x14ac:dyDescent="0.2">
      <c r="GI38401" s="422"/>
    </row>
    <row r="38402" spans="191:191" x14ac:dyDescent="0.2">
      <c r="GI38402" s="422"/>
    </row>
    <row r="38403" spans="191:191" x14ac:dyDescent="0.2">
      <c r="GI38403" s="422"/>
    </row>
    <row r="38404" spans="191:191" x14ac:dyDescent="0.2">
      <c r="GI38404" s="422"/>
    </row>
    <row r="38405" spans="191:191" x14ac:dyDescent="0.2">
      <c r="GI38405" s="422"/>
    </row>
    <row r="38406" spans="191:191" x14ac:dyDescent="0.2">
      <c r="GI38406" s="422"/>
    </row>
    <row r="38407" spans="191:191" x14ac:dyDescent="0.2">
      <c r="GI38407" s="422"/>
    </row>
    <row r="38408" spans="191:191" x14ac:dyDescent="0.2">
      <c r="GI38408" s="422"/>
    </row>
    <row r="38409" spans="191:191" x14ac:dyDescent="0.2">
      <c r="GI38409" s="422"/>
    </row>
    <row r="38410" spans="191:191" x14ac:dyDescent="0.2">
      <c r="GI38410" s="422"/>
    </row>
    <row r="38411" spans="191:191" x14ac:dyDescent="0.2">
      <c r="GI38411" s="422"/>
    </row>
    <row r="38412" spans="191:191" x14ac:dyDescent="0.2">
      <c r="GI38412" s="422"/>
    </row>
    <row r="38413" spans="191:191" x14ac:dyDescent="0.2">
      <c r="GI38413" s="422"/>
    </row>
    <row r="38414" spans="191:191" x14ac:dyDescent="0.2">
      <c r="GI38414" s="422"/>
    </row>
    <row r="38415" spans="191:191" x14ac:dyDescent="0.2">
      <c r="GI38415" s="422"/>
    </row>
    <row r="38416" spans="191:191" x14ac:dyDescent="0.2">
      <c r="GI38416" s="422"/>
    </row>
    <row r="38417" spans="191:191" x14ac:dyDescent="0.2">
      <c r="GI38417" s="422"/>
    </row>
    <row r="38418" spans="191:191" x14ac:dyDescent="0.2">
      <c r="GI38418" s="422"/>
    </row>
    <row r="38419" spans="191:191" x14ac:dyDescent="0.2">
      <c r="GI38419" s="422"/>
    </row>
    <row r="38420" spans="191:191" x14ac:dyDescent="0.2">
      <c r="GI38420" s="422"/>
    </row>
    <row r="38421" spans="191:191" x14ac:dyDescent="0.2">
      <c r="GI38421" s="422"/>
    </row>
    <row r="38422" spans="191:191" x14ac:dyDescent="0.2">
      <c r="GI38422" s="422"/>
    </row>
    <row r="38423" spans="191:191" x14ac:dyDescent="0.2">
      <c r="GI38423" s="422"/>
    </row>
    <row r="38424" spans="191:191" x14ac:dyDescent="0.2">
      <c r="GI38424" s="422"/>
    </row>
    <row r="38425" spans="191:191" x14ac:dyDescent="0.2">
      <c r="GI38425" s="422"/>
    </row>
    <row r="38426" spans="191:191" x14ac:dyDescent="0.2">
      <c r="GI38426" s="422"/>
    </row>
    <row r="38427" spans="191:191" x14ac:dyDescent="0.2">
      <c r="GI38427" s="422"/>
    </row>
    <row r="38428" spans="191:191" x14ac:dyDescent="0.2">
      <c r="GI38428" s="422"/>
    </row>
    <row r="38429" spans="191:191" x14ac:dyDescent="0.2">
      <c r="GI38429" s="422"/>
    </row>
    <row r="38430" spans="191:191" x14ac:dyDescent="0.2">
      <c r="GI38430" s="422"/>
    </row>
    <row r="38431" spans="191:191" x14ac:dyDescent="0.2">
      <c r="GI38431" s="422"/>
    </row>
    <row r="38432" spans="191:191" x14ac:dyDescent="0.2">
      <c r="GI38432" s="422"/>
    </row>
    <row r="38433" spans="191:191" x14ac:dyDescent="0.2">
      <c r="GI38433" s="422"/>
    </row>
    <row r="38434" spans="191:191" x14ac:dyDescent="0.2">
      <c r="GI38434" s="422"/>
    </row>
    <row r="38435" spans="191:191" x14ac:dyDescent="0.2">
      <c r="GI38435" s="422"/>
    </row>
    <row r="38436" spans="191:191" x14ac:dyDescent="0.2">
      <c r="GI38436" s="422"/>
    </row>
    <row r="38437" spans="191:191" x14ac:dyDescent="0.2">
      <c r="GI38437" s="422"/>
    </row>
    <row r="38438" spans="191:191" x14ac:dyDescent="0.2">
      <c r="GI38438" s="422"/>
    </row>
    <row r="38439" spans="191:191" x14ac:dyDescent="0.2">
      <c r="GI38439" s="422"/>
    </row>
    <row r="38440" spans="191:191" x14ac:dyDescent="0.2">
      <c r="GI38440" s="422"/>
    </row>
    <row r="38441" spans="191:191" x14ac:dyDescent="0.2">
      <c r="GI38441" s="422"/>
    </row>
    <row r="38442" spans="191:191" x14ac:dyDescent="0.2">
      <c r="GI38442" s="422"/>
    </row>
    <row r="38443" spans="191:191" x14ac:dyDescent="0.2">
      <c r="GI38443" s="422"/>
    </row>
    <row r="38444" spans="191:191" x14ac:dyDescent="0.2">
      <c r="GI38444" s="422"/>
    </row>
    <row r="38445" spans="191:191" x14ac:dyDescent="0.2">
      <c r="GI38445" s="422"/>
    </row>
    <row r="38446" spans="191:191" x14ac:dyDescent="0.2">
      <c r="GI38446" s="422"/>
    </row>
    <row r="38447" spans="191:191" x14ac:dyDescent="0.2">
      <c r="GI38447" s="422"/>
    </row>
    <row r="38448" spans="191:191" x14ac:dyDescent="0.2">
      <c r="GI38448" s="422"/>
    </row>
    <row r="38449" spans="191:191" x14ac:dyDescent="0.2">
      <c r="GI38449" s="422"/>
    </row>
    <row r="38450" spans="191:191" x14ac:dyDescent="0.2">
      <c r="GI38450" s="422"/>
    </row>
    <row r="38451" spans="191:191" x14ac:dyDescent="0.2">
      <c r="GI38451" s="422"/>
    </row>
    <row r="38452" spans="191:191" x14ac:dyDescent="0.2">
      <c r="GI38452" s="422"/>
    </row>
    <row r="38453" spans="191:191" x14ac:dyDescent="0.2">
      <c r="GI38453" s="422"/>
    </row>
    <row r="38454" spans="191:191" x14ac:dyDescent="0.2">
      <c r="GI38454" s="422"/>
    </row>
    <row r="38455" spans="191:191" x14ac:dyDescent="0.2">
      <c r="GI38455" s="422"/>
    </row>
    <row r="38456" spans="191:191" x14ac:dyDescent="0.2">
      <c r="GI38456" s="422"/>
    </row>
    <row r="38457" spans="191:191" x14ac:dyDescent="0.2">
      <c r="GI38457" s="422"/>
    </row>
    <row r="38458" spans="191:191" x14ac:dyDescent="0.2">
      <c r="GI38458" s="422"/>
    </row>
    <row r="38459" spans="191:191" x14ac:dyDescent="0.2">
      <c r="GI38459" s="422"/>
    </row>
    <row r="38460" spans="191:191" x14ac:dyDescent="0.2">
      <c r="GI38460" s="422"/>
    </row>
    <row r="38461" spans="191:191" x14ac:dyDescent="0.2">
      <c r="GI38461" s="422"/>
    </row>
    <row r="38462" spans="191:191" x14ac:dyDescent="0.2">
      <c r="GI38462" s="422"/>
    </row>
    <row r="38463" spans="191:191" x14ac:dyDescent="0.2">
      <c r="GI38463" s="422"/>
    </row>
    <row r="38464" spans="191:191" x14ac:dyDescent="0.2">
      <c r="GI38464" s="422"/>
    </row>
    <row r="38465" spans="191:191" x14ac:dyDescent="0.2">
      <c r="GI38465" s="422"/>
    </row>
    <row r="38466" spans="191:191" x14ac:dyDescent="0.2">
      <c r="GI38466" s="422"/>
    </row>
    <row r="38467" spans="191:191" x14ac:dyDescent="0.2">
      <c r="GI38467" s="422"/>
    </row>
    <row r="38468" spans="191:191" x14ac:dyDescent="0.2">
      <c r="GI38468" s="422"/>
    </row>
    <row r="38469" spans="191:191" x14ac:dyDescent="0.2">
      <c r="GI38469" s="422"/>
    </row>
    <row r="38470" spans="191:191" x14ac:dyDescent="0.2">
      <c r="GI38470" s="422"/>
    </row>
    <row r="38471" spans="191:191" x14ac:dyDescent="0.2">
      <c r="GI38471" s="422"/>
    </row>
    <row r="38472" spans="191:191" x14ac:dyDescent="0.2">
      <c r="GI38472" s="422"/>
    </row>
    <row r="38473" spans="191:191" x14ac:dyDescent="0.2">
      <c r="GI38473" s="422"/>
    </row>
    <row r="38474" spans="191:191" x14ac:dyDescent="0.2">
      <c r="GI38474" s="422"/>
    </row>
    <row r="38475" spans="191:191" x14ac:dyDescent="0.2">
      <c r="GI38475" s="422"/>
    </row>
    <row r="38476" spans="191:191" x14ac:dyDescent="0.2">
      <c r="GI38476" s="422"/>
    </row>
    <row r="38477" spans="191:191" x14ac:dyDescent="0.2">
      <c r="GI38477" s="422"/>
    </row>
    <row r="38478" spans="191:191" x14ac:dyDescent="0.2">
      <c r="GI38478" s="422"/>
    </row>
    <row r="38479" spans="191:191" x14ac:dyDescent="0.2">
      <c r="GI38479" s="422"/>
    </row>
    <row r="38480" spans="191:191" x14ac:dyDescent="0.2">
      <c r="GI38480" s="422"/>
    </row>
    <row r="38481" spans="191:191" x14ac:dyDescent="0.2">
      <c r="GI38481" s="422"/>
    </row>
    <row r="38482" spans="191:191" x14ac:dyDescent="0.2">
      <c r="GI38482" s="422"/>
    </row>
    <row r="38483" spans="191:191" x14ac:dyDescent="0.2">
      <c r="GI38483" s="422"/>
    </row>
    <row r="38484" spans="191:191" x14ac:dyDescent="0.2">
      <c r="GI38484" s="422"/>
    </row>
    <row r="38485" spans="191:191" x14ac:dyDescent="0.2">
      <c r="GI38485" s="422"/>
    </row>
    <row r="38486" spans="191:191" x14ac:dyDescent="0.2">
      <c r="GI38486" s="422"/>
    </row>
    <row r="38487" spans="191:191" x14ac:dyDescent="0.2">
      <c r="GI38487" s="422"/>
    </row>
    <row r="38488" spans="191:191" x14ac:dyDescent="0.2">
      <c r="GI38488" s="422"/>
    </row>
    <row r="38489" spans="191:191" x14ac:dyDescent="0.2">
      <c r="GI38489" s="422"/>
    </row>
    <row r="38490" spans="191:191" x14ac:dyDescent="0.2">
      <c r="GI38490" s="422"/>
    </row>
    <row r="38491" spans="191:191" x14ac:dyDescent="0.2">
      <c r="GI38491" s="422"/>
    </row>
    <row r="38492" spans="191:191" x14ac:dyDescent="0.2">
      <c r="GI38492" s="422"/>
    </row>
    <row r="38493" spans="191:191" x14ac:dyDescent="0.2">
      <c r="GI38493" s="422"/>
    </row>
    <row r="38494" spans="191:191" x14ac:dyDescent="0.2">
      <c r="GI38494" s="422"/>
    </row>
    <row r="38495" spans="191:191" x14ac:dyDescent="0.2">
      <c r="GI38495" s="422"/>
    </row>
    <row r="38496" spans="191:191" x14ac:dyDescent="0.2">
      <c r="GI38496" s="422"/>
    </row>
    <row r="38497" spans="191:191" x14ac:dyDescent="0.2">
      <c r="GI38497" s="422"/>
    </row>
    <row r="38498" spans="191:191" x14ac:dyDescent="0.2">
      <c r="GI38498" s="422"/>
    </row>
    <row r="38499" spans="191:191" x14ac:dyDescent="0.2">
      <c r="GI38499" s="422"/>
    </row>
    <row r="38500" spans="191:191" x14ac:dyDescent="0.2">
      <c r="GI38500" s="422"/>
    </row>
    <row r="38501" spans="191:191" x14ac:dyDescent="0.2">
      <c r="GI38501" s="422"/>
    </row>
    <row r="38502" spans="191:191" x14ac:dyDescent="0.2">
      <c r="GI38502" s="422"/>
    </row>
    <row r="38503" spans="191:191" x14ac:dyDescent="0.2">
      <c r="GI38503" s="422"/>
    </row>
    <row r="38504" spans="191:191" x14ac:dyDescent="0.2">
      <c r="GI38504" s="422"/>
    </row>
    <row r="38505" spans="191:191" x14ac:dyDescent="0.2">
      <c r="GI38505" s="422"/>
    </row>
    <row r="38506" spans="191:191" x14ac:dyDescent="0.2">
      <c r="GI38506" s="422"/>
    </row>
    <row r="38507" spans="191:191" x14ac:dyDescent="0.2">
      <c r="GI38507" s="422"/>
    </row>
    <row r="38508" spans="191:191" x14ac:dyDescent="0.2">
      <c r="GI38508" s="422"/>
    </row>
    <row r="38509" spans="191:191" x14ac:dyDescent="0.2">
      <c r="GI38509" s="422"/>
    </row>
    <row r="38510" spans="191:191" x14ac:dyDescent="0.2">
      <c r="GI38510" s="422"/>
    </row>
    <row r="38511" spans="191:191" x14ac:dyDescent="0.2">
      <c r="GI38511" s="422"/>
    </row>
    <row r="38512" spans="191:191" x14ac:dyDescent="0.2">
      <c r="GI38512" s="422"/>
    </row>
    <row r="38513" spans="191:191" x14ac:dyDescent="0.2">
      <c r="GI38513" s="422"/>
    </row>
    <row r="38514" spans="191:191" x14ac:dyDescent="0.2">
      <c r="GI38514" s="422"/>
    </row>
    <row r="38515" spans="191:191" x14ac:dyDescent="0.2">
      <c r="GI38515" s="422"/>
    </row>
    <row r="38516" spans="191:191" x14ac:dyDescent="0.2">
      <c r="GI38516" s="422"/>
    </row>
    <row r="38517" spans="191:191" x14ac:dyDescent="0.2">
      <c r="GI38517" s="422"/>
    </row>
    <row r="38518" spans="191:191" x14ac:dyDescent="0.2">
      <c r="GI38518" s="422"/>
    </row>
    <row r="38519" spans="191:191" x14ac:dyDescent="0.2">
      <c r="GI38519" s="422"/>
    </row>
    <row r="38520" spans="191:191" x14ac:dyDescent="0.2">
      <c r="GI38520" s="422"/>
    </row>
    <row r="38521" spans="191:191" x14ac:dyDescent="0.2">
      <c r="GI38521" s="422"/>
    </row>
    <row r="38522" spans="191:191" x14ac:dyDescent="0.2">
      <c r="GI38522" s="422"/>
    </row>
    <row r="38523" spans="191:191" x14ac:dyDescent="0.2">
      <c r="GI38523" s="422"/>
    </row>
    <row r="38524" spans="191:191" x14ac:dyDescent="0.2">
      <c r="GI38524" s="422"/>
    </row>
    <row r="38525" spans="191:191" x14ac:dyDescent="0.2">
      <c r="GI38525" s="422"/>
    </row>
    <row r="38526" spans="191:191" x14ac:dyDescent="0.2">
      <c r="GI38526" s="422"/>
    </row>
    <row r="38527" spans="191:191" x14ac:dyDescent="0.2">
      <c r="GI38527" s="422"/>
    </row>
    <row r="38528" spans="191:191" x14ac:dyDescent="0.2">
      <c r="GI38528" s="422"/>
    </row>
    <row r="38529" spans="191:191" x14ac:dyDescent="0.2">
      <c r="GI38529" s="422"/>
    </row>
    <row r="38530" spans="191:191" x14ac:dyDescent="0.2">
      <c r="GI38530" s="422"/>
    </row>
    <row r="38531" spans="191:191" x14ac:dyDescent="0.2">
      <c r="GI38531" s="422"/>
    </row>
    <row r="38532" spans="191:191" x14ac:dyDescent="0.2">
      <c r="GI38532" s="422"/>
    </row>
    <row r="38533" spans="191:191" x14ac:dyDescent="0.2">
      <c r="GI38533" s="422"/>
    </row>
    <row r="38534" spans="191:191" x14ac:dyDescent="0.2">
      <c r="GI38534" s="422"/>
    </row>
    <row r="38535" spans="191:191" x14ac:dyDescent="0.2">
      <c r="GI38535" s="422"/>
    </row>
    <row r="38536" spans="191:191" x14ac:dyDescent="0.2">
      <c r="GI38536" s="422"/>
    </row>
    <row r="38537" spans="191:191" x14ac:dyDescent="0.2">
      <c r="GI38537" s="422"/>
    </row>
    <row r="38538" spans="191:191" x14ac:dyDescent="0.2">
      <c r="GI38538" s="422"/>
    </row>
    <row r="38539" spans="191:191" x14ac:dyDescent="0.2">
      <c r="GI38539" s="422"/>
    </row>
    <row r="38540" spans="191:191" x14ac:dyDescent="0.2">
      <c r="GI38540" s="422"/>
    </row>
    <row r="38541" spans="191:191" x14ac:dyDescent="0.2">
      <c r="GI38541" s="422"/>
    </row>
    <row r="38542" spans="191:191" x14ac:dyDescent="0.2">
      <c r="GI38542" s="422"/>
    </row>
    <row r="38543" spans="191:191" x14ac:dyDescent="0.2">
      <c r="GI38543" s="422"/>
    </row>
    <row r="38544" spans="191:191" x14ac:dyDescent="0.2">
      <c r="GI38544" s="422"/>
    </row>
    <row r="38545" spans="191:191" x14ac:dyDescent="0.2">
      <c r="GI38545" s="422"/>
    </row>
    <row r="38546" spans="191:191" x14ac:dyDescent="0.2">
      <c r="GI38546" s="422"/>
    </row>
    <row r="38547" spans="191:191" x14ac:dyDescent="0.2">
      <c r="GI38547" s="422"/>
    </row>
    <row r="38548" spans="191:191" x14ac:dyDescent="0.2">
      <c r="GI38548" s="422"/>
    </row>
    <row r="38549" spans="191:191" x14ac:dyDescent="0.2">
      <c r="GI38549" s="422"/>
    </row>
    <row r="38550" spans="191:191" x14ac:dyDescent="0.2">
      <c r="GI38550" s="422"/>
    </row>
    <row r="38551" spans="191:191" x14ac:dyDescent="0.2">
      <c r="GI38551" s="422"/>
    </row>
    <row r="38552" spans="191:191" x14ac:dyDescent="0.2">
      <c r="GI38552" s="422"/>
    </row>
    <row r="38553" spans="191:191" x14ac:dyDescent="0.2">
      <c r="GI38553" s="422"/>
    </row>
    <row r="38554" spans="191:191" x14ac:dyDescent="0.2">
      <c r="GI38554" s="422"/>
    </row>
    <row r="38555" spans="191:191" x14ac:dyDescent="0.2">
      <c r="GI38555" s="422"/>
    </row>
    <row r="38556" spans="191:191" x14ac:dyDescent="0.2">
      <c r="GI38556" s="422"/>
    </row>
    <row r="38557" spans="191:191" x14ac:dyDescent="0.2">
      <c r="GI38557" s="422"/>
    </row>
    <row r="38558" spans="191:191" x14ac:dyDescent="0.2">
      <c r="GI38558" s="422"/>
    </row>
    <row r="38559" spans="191:191" x14ac:dyDescent="0.2">
      <c r="GI38559" s="422"/>
    </row>
    <row r="38560" spans="191:191" x14ac:dyDescent="0.2">
      <c r="GI38560" s="422"/>
    </row>
    <row r="38561" spans="191:191" x14ac:dyDescent="0.2">
      <c r="GI38561" s="422"/>
    </row>
    <row r="38562" spans="191:191" x14ac:dyDescent="0.2">
      <c r="GI38562" s="422"/>
    </row>
    <row r="38563" spans="191:191" x14ac:dyDescent="0.2">
      <c r="GI38563" s="422"/>
    </row>
    <row r="38564" spans="191:191" x14ac:dyDescent="0.2">
      <c r="GI38564" s="422"/>
    </row>
    <row r="38565" spans="191:191" x14ac:dyDescent="0.2">
      <c r="GI38565" s="422"/>
    </row>
    <row r="38566" spans="191:191" x14ac:dyDescent="0.2">
      <c r="GI38566" s="422"/>
    </row>
    <row r="38567" spans="191:191" x14ac:dyDescent="0.2">
      <c r="GI38567" s="422"/>
    </row>
    <row r="38568" spans="191:191" x14ac:dyDescent="0.2">
      <c r="GI38568" s="422"/>
    </row>
    <row r="38569" spans="191:191" x14ac:dyDescent="0.2">
      <c r="GI38569" s="422"/>
    </row>
    <row r="38570" spans="191:191" x14ac:dyDescent="0.2">
      <c r="GI38570" s="422"/>
    </row>
    <row r="38571" spans="191:191" x14ac:dyDescent="0.2">
      <c r="GI38571" s="422"/>
    </row>
    <row r="38572" spans="191:191" x14ac:dyDescent="0.2">
      <c r="GI38572" s="422"/>
    </row>
    <row r="38573" spans="191:191" x14ac:dyDescent="0.2">
      <c r="GI38573" s="422"/>
    </row>
    <row r="38574" spans="191:191" x14ac:dyDescent="0.2">
      <c r="GI38574" s="422"/>
    </row>
    <row r="38575" spans="191:191" x14ac:dyDescent="0.2">
      <c r="GI38575" s="422"/>
    </row>
    <row r="38576" spans="191:191" x14ac:dyDescent="0.2">
      <c r="GI38576" s="422"/>
    </row>
    <row r="38577" spans="191:191" x14ac:dyDescent="0.2">
      <c r="GI38577" s="422"/>
    </row>
    <row r="38578" spans="191:191" x14ac:dyDescent="0.2">
      <c r="GI38578" s="422"/>
    </row>
    <row r="38579" spans="191:191" x14ac:dyDescent="0.2">
      <c r="GI38579" s="422"/>
    </row>
    <row r="38580" spans="191:191" x14ac:dyDescent="0.2">
      <c r="GI38580" s="422"/>
    </row>
    <row r="38581" spans="191:191" x14ac:dyDescent="0.2">
      <c r="GI38581" s="422"/>
    </row>
    <row r="38582" spans="191:191" x14ac:dyDescent="0.2">
      <c r="GI38582" s="422"/>
    </row>
    <row r="38583" spans="191:191" x14ac:dyDescent="0.2">
      <c r="GI38583" s="422"/>
    </row>
    <row r="38584" spans="191:191" x14ac:dyDescent="0.2">
      <c r="GI38584" s="422"/>
    </row>
    <row r="38585" spans="191:191" x14ac:dyDescent="0.2">
      <c r="GI38585" s="422"/>
    </row>
    <row r="38586" spans="191:191" x14ac:dyDescent="0.2">
      <c r="GI38586" s="422"/>
    </row>
    <row r="38587" spans="191:191" x14ac:dyDescent="0.2">
      <c r="GI38587" s="422"/>
    </row>
    <row r="38588" spans="191:191" x14ac:dyDescent="0.2">
      <c r="GI38588" s="422"/>
    </row>
    <row r="38589" spans="191:191" x14ac:dyDescent="0.2">
      <c r="GI38589" s="422"/>
    </row>
    <row r="38590" spans="191:191" x14ac:dyDescent="0.2">
      <c r="GI38590" s="422"/>
    </row>
    <row r="38591" spans="191:191" x14ac:dyDescent="0.2">
      <c r="GI38591" s="422"/>
    </row>
    <row r="38592" spans="191:191" x14ac:dyDescent="0.2">
      <c r="GI38592" s="422"/>
    </row>
    <row r="38593" spans="191:191" x14ac:dyDescent="0.2">
      <c r="GI38593" s="422"/>
    </row>
    <row r="38594" spans="191:191" x14ac:dyDescent="0.2">
      <c r="GI38594" s="422"/>
    </row>
    <row r="38595" spans="191:191" x14ac:dyDescent="0.2">
      <c r="GI38595" s="422"/>
    </row>
    <row r="38596" spans="191:191" x14ac:dyDescent="0.2">
      <c r="GI38596" s="422"/>
    </row>
    <row r="38597" spans="191:191" x14ac:dyDescent="0.2">
      <c r="GI38597" s="422"/>
    </row>
    <row r="38598" spans="191:191" x14ac:dyDescent="0.2">
      <c r="GI38598" s="422"/>
    </row>
    <row r="38599" spans="191:191" x14ac:dyDescent="0.2">
      <c r="GI38599" s="422"/>
    </row>
    <row r="38600" spans="191:191" x14ac:dyDescent="0.2">
      <c r="GI38600" s="422"/>
    </row>
    <row r="38601" spans="191:191" x14ac:dyDescent="0.2">
      <c r="GI38601" s="422"/>
    </row>
    <row r="38602" spans="191:191" x14ac:dyDescent="0.2">
      <c r="GI38602" s="422"/>
    </row>
    <row r="38603" spans="191:191" x14ac:dyDescent="0.2">
      <c r="GI38603" s="422"/>
    </row>
    <row r="38604" spans="191:191" x14ac:dyDescent="0.2">
      <c r="GI38604" s="422"/>
    </row>
    <row r="38605" spans="191:191" x14ac:dyDescent="0.2">
      <c r="GI38605" s="422"/>
    </row>
    <row r="38606" spans="191:191" x14ac:dyDescent="0.2">
      <c r="GI38606" s="422"/>
    </row>
    <row r="38607" spans="191:191" x14ac:dyDescent="0.2">
      <c r="GI38607" s="422"/>
    </row>
    <row r="38608" spans="191:191" x14ac:dyDescent="0.2">
      <c r="GI38608" s="422"/>
    </row>
    <row r="38609" spans="191:191" x14ac:dyDescent="0.2">
      <c r="GI38609" s="422"/>
    </row>
    <row r="38610" spans="191:191" x14ac:dyDescent="0.2">
      <c r="GI38610" s="422"/>
    </row>
    <row r="38611" spans="191:191" x14ac:dyDescent="0.2">
      <c r="GI38611" s="422"/>
    </row>
    <row r="38612" spans="191:191" x14ac:dyDescent="0.2">
      <c r="GI38612" s="422"/>
    </row>
    <row r="38613" spans="191:191" x14ac:dyDescent="0.2">
      <c r="GI38613" s="422"/>
    </row>
    <row r="38614" spans="191:191" x14ac:dyDescent="0.2">
      <c r="GI38614" s="422"/>
    </row>
    <row r="38615" spans="191:191" x14ac:dyDescent="0.2">
      <c r="GI38615" s="422"/>
    </row>
    <row r="38616" spans="191:191" x14ac:dyDescent="0.2">
      <c r="GI38616" s="422"/>
    </row>
    <row r="38617" spans="191:191" x14ac:dyDescent="0.2">
      <c r="GI38617" s="422"/>
    </row>
    <row r="38618" spans="191:191" x14ac:dyDescent="0.2">
      <c r="GI38618" s="422"/>
    </row>
    <row r="38619" spans="191:191" x14ac:dyDescent="0.2">
      <c r="GI38619" s="422"/>
    </row>
    <row r="38620" spans="191:191" x14ac:dyDescent="0.2">
      <c r="GI38620" s="422"/>
    </row>
    <row r="38621" spans="191:191" x14ac:dyDescent="0.2">
      <c r="GI38621" s="422"/>
    </row>
    <row r="38622" spans="191:191" x14ac:dyDescent="0.2">
      <c r="GI38622" s="422"/>
    </row>
    <row r="38623" spans="191:191" x14ac:dyDescent="0.2">
      <c r="GI38623" s="422"/>
    </row>
    <row r="38624" spans="191:191" x14ac:dyDescent="0.2">
      <c r="GI38624" s="422"/>
    </row>
    <row r="38625" spans="191:191" x14ac:dyDescent="0.2">
      <c r="GI38625" s="422"/>
    </row>
    <row r="38626" spans="191:191" x14ac:dyDescent="0.2">
      <c r="GI38626" s="422"/>
    </row>
    <row r="38627" spans="191:191" x14ac:dyDescent="0.2">
      <c r="GI38627" s="422"/>
    </row>
    <row r="38628" spans="191:191" x14ac:dyDescent="0.2">
      <c r="GI38628" s="422"/>
    </row>
    <row r="38629" spans="191:191" x14ac:dyDescent="0.2">
      <c r="GI38629" s="422"/>
    </row>
    <row r="38630" spans="191:191" x14ac:dyDescent="0.2">
      <c r="GI38630" s="422"/>
    </row>
    <row r="38631" spans="191:191" x14ac:dyDescent="0.2">
      <c r="GI38631" s="422"/>
    </row>
    <row r="38632" spans="191:191" x14ac:dyDescent="0.2">
      <c r="GI38632" s="422"/>
    </row>
    <row r="38633" spans="191:191" x14ac:dyDescent="0.2">
      <c r="GI38633" s="422"/>
    </row>
    <row r="38634" spans="191:191" x14ac:dyDescent="0.2">
      <c r="GI38634" s="422"/>
    </row>
    <row r="38635" spans="191:191" x14ac:dyDescent="0.2">
      <c r="GI38635" s="422"/>
    </row>
    <row r="38636" spans="191:191" x14ac:dyDescent="0.2">
      <c r="GI38636" s="422"/>
    </row>
    <row r="38637" spans="191:191" x14ac:dyDescent="0.2">
      <c r="GI38637" s="422"/>
    </row>
    <row r="38638" spans="191:191" x14ac:dyDescent="0.2">
      <c r="GI38638" s="422"/>
    </row>
    <row r="38639" spans="191:191" x14ac:dyDescent="0.2">
      <c r="GI38639" s="422"/>
    </row>
    <row r="38640" spans="191:191" x14ac:dyDescent="0.2">
      <c r="GI38640" s="422"/>
    </row>
    <row r="38641" spans="191:191" x14ac:dyDescent="0.2">
      <c r="GI38641" s="422"/>
    </row>
    <row r="38642" spans="191:191" x14ac:dyDescent="0.2">
      <c r="GI38642" s="422"/>
    </row>
    <row r="38643" spans="191:191" x14ac:dyDescent="0.2">
      <c r="GI38643" s="422"/>
    </row>
    <row r="38644" spans="191:191" x14ac:dyDescent="0.2">
      <c r="GI38644" s="422"/>
    </row>
    <row r="38645" spans="191:191" x14ac:dyDescent="0.2">
      <c r="GI38645" s="422"/>
    </row>
    <row r="38646" spans="191:191" x14ac:dyDescent="0.2">
      <c r="GI38646" s="422"/>
    </row>
    <row r="38647" spans="191:191" x14ac:dyDescent="0.2">
      <c r="GI38647" s="422"/>
    </row>
    <row r="38648" spans="191:191" x14ac:dyDescent="0.2">
      <c r="GI38648" s="422"/>
    </row>
    <row r="38649" spans="191:191" x14ac:dyDescent="0.2">
      <c r="GI38649" s="422"/>
    </row>
    <row r="38650" spans="191:191" x14ac:dyDescent="0.2">
      <c r="GI38650" s="422"/>
    </row>
    <row r="38651" spans="191:191" x14ac:dyDescent="0.2">
      <c r="GI38651" s="422"/>
    </row>
    <row r="38652" spans="191:191" x14ac:dyDescent="0.2">
      <c r="GI38652" s="422"/>
    </row>
    <row r="38653" spans="191:191" x14ac:dyDescent="0.2">
      <c r="GI38653" s="422"/>
    </row>
    <row r="38654" spans="191:191" x14ac:dyDescent="0.2">
      <c r="GI38654" s="422"/>
    </row>
    <row r="38655" spans="191:191" x14ac:dyDescent="0.2">
      <c r="GI38655" s="422"/>
    </row>
    <row r="38656" spans="191:191" x14ac:dyDescent="0.2">
      <c r="GI38656" s="422"/>
    </row>
    <row r="38657" spans="191:191" x14ac:dyDescent="0.2">
      <c r="GI38657" s="422"/>
    </row>
    <row r="38658" spans="191:191" x14ac:dyDescent="0.2">
      <c r="GI38658" s="422"/>
    </row>
    <row r="38659" spans="191:191" x14ac:dyDescent="0.2">
      <c r="GI38659" s="422"/>
    </row>
    <row r="38660" spans="191:191" x14ac:dyDescent="0.2">
      <c r="GI38660" s="422"/>
    </row>
    <row r="38661" spans="191:191" x14ac:dyDescent="0.2">
      <c r="GI38661" s="422"/>
    </row>
    <row r="38662" spans="191:191" x14ac:dyDescent="0.2">
      <c r="GI38662" s="422"/>
    </row>
    <row r="38663" spans="191:191" x14ac:dyDescent="0.2">
      <c r="GI38663" s="422"/>
    </row>
    <row r="38664" spans="191:191" x14ac:dyDescent="0.2">
      <c r="GI38664" s="422"/>
    </row>
    <row r="38665" spans="191:191" x14ac:dyDescent="0.2">
      <c r="GI38665" s="422"/>
    </row>
    <row r="38666" spans="191:191" x14ac:dyDescent="0.2">
      <c r="GI38666" s="422"/>
    </row>
    <row r="38667" spans="191:191" x14ac:dyDescent="0.2">
      <c r="GI38667" s="422"/>
    </row>
    <row r="38668" spans="191:191" x14ac:dyDescent="0.2">
      <c r="GI38668" s="422"/>
    </row>
    <row r="38669" spans="191:191" x14ac:dyDescent="0.2">
      <c r="GI38669" s="422"/>
    </row>
    <row r="38670" spans="191:191" x14ac:dyDescent="0.2">
      <c r="GI38670" s="422"/>
    </row>
    <row r="38671" spans="191:191" x14ac:dyDescent="0.2">
      <c r="GI38671" s="422"/>
    </row>
    <row r="38672" spans="191:191" x14ac:dyDescent="0.2">
      <c r="GI38672" s="422"/>
    </row>
    <row r="38673" spans="191:191" x14ac:dyDescent="0.2">
      <c r="GI38673" s="422"/>
    </row>
    <row r="38674" spans="191:191" x14ac:dyDescent="0.2">
      <c r="GI38674" s="422"/>
    </row>
    <row r="38675" spans="191:191" x14ac:dyDescent="0.2">
      <c r="GI38675" s="422"/>
    </row>
    <row r="38676" spans="191:191" x14ac:dyDescent="0.2">
      <c r="GI38676" s="422"/>
    </row>
    <row r="38677" spans="191:191" x14ac:dyDescent="0.2">
      <c r="GI38677" s="422"/>
    </row>
    <row r="38678" spans="191:191" x14ac:dyDescent="0.2">
      <c r="GI38678" s="422"/>
    </row>
    <row r="38679" spans="191:191" x14ac:dyDescent="0.2">
      <c r="GI38679" s="422"/>
    </row>
    <row r="38680" spans="191:191" x14ac:dyDescent="0.2">
      <c r="GI38680" s="422"/>
    </row>
    <row r="38681" spans="191:191" x14ac:dyDescent="0.2">
      <c r="GI38681" s="422"/>
    </row>
    <row r="38682" spans="191:191" x14ac:dyDescent="0.2">
      <c r="GI38682" s="422"/>
    </row>
    <row r="38683" spans="191:191" x14ac:dyDescent="0.2">
      <c r="GI38683" s="422"/>
    </row>
    <row r="38684" spans="191:191" x14ac:dyDescent="0.2">
      <c r="GI38684" s="422"/>
    </row>
    <row r="38685" spans="191:191" x14ac:dyDescent="0.2">
      <c r="GI38685" s="422"/>
    </row>
    <row r="38686" spans="191:191" x14ac:dyDescent="0.2">
      <c r="GI38686" s="422"/>
    </row>
    <row r="38687" spans="191:191" x14ac:dyDescent="0.2">
      <c r="GI38687" s="422"/>
    </row>
    <row r="38688" spans="191:191" x14ac:dyDescent="0.2">
      <c r="GI38688" s="422"/>
    </row>
    <row r="38689" spans="191:191" x14ac:dyDescent="0.2">
      <c r="GI38689" s="422"/>
    </row>
    <row r="38690" spans="191:191" x14ac:dyDescent="0.2">
      <c r="GI38690" s="422"/>
    </row>
    <row r="38691" spans="191:191" x14ac:dyDescent="0.2">
      <c r="GI38691" s="422"/>
    </row>
    <row r="38692" spans="191:191" x14ac:dyDescent="0.2">
      <c r="GI38692" s="422"/>
    </row>
    <row r="38693" spans="191:191" x14ac:dyDescent="0.2">
      <c r="GI38693" s="422"/>
    </row>
    <row r="38694" spans="191:191" x14ac:dyDescent="0.2">
      <c r="GI38694" s="422"/>
    </row>
    <row r="38695" spans="191:191" x14ac:dyDescent="0.2">
      <c r="GI38695" s="422"/>
    </row>
    <row r="38696" spans="191:191" x14ac:dyDescent="0.2">
      <c r="GI38696" s="422"/>
    </row>
    <row r="38697" spans="191:191" x14ac:dyDescent="0.2">
      <c r="GI38697" s="422"/>
    </row>
    <row r="38698" spans="191:191" x14ac:dyDescent="0.2">
      <c r="GI38698" s="422"/>
    </row>
    <row r="38699" spans="191:191" x14ac:dyDescent="0.2">
      <c r="GI38699" s="422"/>
    </row>
    <row r="38700" spans="191:191" x14ac:dyDescent="0.2">
      <c r="GI38700" s="422"/>
    </row>
    <row r="38701" spans="191:191" x14ac:dyDescent="0.2">
      <c r="GI38701" s="422"/>
    </row>
    <row r="38702" spans="191:191" x14ac:dyDescent="0.2">
      <c r="GI38702" s="422"/>
    </row>
    <row r="38703" spans="191:191" x14ac:dyDescent="0.2">
      <c r="GI38703" s="422"/>
    </row>
    <row r="38704" spans="191:191" x14ac:dyDescent="0.2">
      <c r="GI38704" s="422"/>
    </row>
    <row r="38705" spans="191:191" x14ac:dyDescent="0.2">
      <c r="GI38705" s="422"/>
    </row>
    <row r="38706" spans="191:191" x14ac:dyDescent="0.2">
      <c r="GI38706" s="422"/>
    </row>
    <row r="38707" spans="191:191" x14ac:dyDescent="0.2">
      <c r="GI38707" s="422"/>
    </row>
    <row r="38708" spans="191:191" x14ac:dyDescent="0.2">
      <c r="GI38708" s="422"/>
    </row>
    <row r="38709" spans="191:191" x14ac:dyDescent="0.2">
      <c r="GI38709" s="422"/>
    </row>
    <row r="38710" spans="191:191" x14ac:dyDescent="0.2">
      <c r="GI38710" s="422"/>
    </row>
    <row r="38711" spans="191:191" x14ac:dyDescent="0.2">
      <c r="GI38711" s="422"/>
    </row>
    <row r="38712" spans="191:191" x14ac:dyDescent="0.2">
      <c r="GI38712" s="422"/>
    </row>
    <row r="38713" spans="191:191" x14ac:dyDescent="0.2">
      <c r="GI38713" s="422"/>
    </row>
    <row r="38714" spans="191:191" x14ac:dyDescent="0.2">
      <c r="GI38714" s="422"/>
    </row>
    <row r="38715" spans="191:191" x14ac:dyDescent="0.2">
      <c r="GI38715" s="422"/>
    </row>
    <row r="38716" spans="191:191" x14ac:dyDescent="0.2">
      <c r="GI38716" s="422"/>
    </row>
    <row r="38717" spans="191:191" x14ac:dyDescent="0.2">
      <c r="GI38717" s="422"/>
    </row>
    <row r="38718" spans="191:191" x14ac:dyDescent="0.2">
      <c r="GI38718" s="422"/>
    </row>
    <row r="38719" spans="191:191" x14ac:dyDescent="0.2">
      <c r="GI38719" s="422"/>
    </row>
    <row r="38720" spans="191:191" x14ac:dyDescent="0.2">
      <c r="GI38720" s="422"/>
    </row>
    <row r="38721" spans="191:191" x14ac:dyDescent="0.2">
      <c r="GI38721" s="422"/>
    </row>
    <row r="38722" spans="191:191" x14ac:dyDescent="0.2">
      <c r="GI38722" s="422"/>
    </row>
    <row r="38723" spans="191:191" x14ac:dyDescent="0.2">
      <c r="GI38723" s="422"/>
    </row>
    <row r="38724" spans="191:191" x14ac:dyDescent="0.2">
      <c r="GI38724" s="422"/>
    </row>
    <row r="38725" spans="191:191" x14ac:dyDescent="0.2">
      <c r="GI38725" s="422"/>
    </row>
    <row r="38726" spans="191:191" x14ac:dyDescent="0.2">
      <c r="GI38726" s="422"/>
    </row>
    <row r="38727" spans="191:191" x14ac:dyDescent="0.2">
      <c r="GI38727" s="422"/>
    </row>
    <row r="38728" spans="191:191" x14ac:dyDescent="0.2">
      <c r="GI38728" s="422"/>
    </row>
    <row r="38729" spans="191:191" x14ac:dyDescent="0.2">
      <c r="GI38729" s="422"/>
    </row>
    <row r="38730" spans="191:191" x14ac:dyDescent="0.2">
      <c r="GI38730" s="422"/>
    </row>
    <row r="38731" spans="191:191" x14ac:dyDescent="0.2">
      <c r="GI38731" s="422"/>
    </row>
    <row r="38732" spans="191:191" x14ac:dyDescent="0.2">
      <c r="GI38732" s="422"/>
    </row>
    <row r="38733" spans="191:191" x14ac:dyDescent="0.2">
      <c r="GI38733" s="422"/>
    </row>
    <row r="38734" spans="191:191" x14ac:dyDescent="0.2">
      <c r="GI38734" s="422"/>
    </row>
    <row r="38735" spans="191:191" x14ac:dyDescent="0.2">
      <c r="GI38735" s="422"/>
    </row>
    <row r="38736" spans="191:191" x14ac:dyDescent="0.2">
      <c r="GI38736" s="422"/>
    </row>
    <row r="38737" spans="191:191" x14ac:dyDescent="0.2">
      <c r="GI38737" s="422"/>
    </row>
    <row r="38738" spans="191:191" x14ac:dyDescent="0.2">
      <c r="GI38738" s="422"/>
    </row>
    <row r="38739" spans="191:191" x14ac:dyDescent="0.2">
      <c r="GI38739" s="422"/>
    </row>
    <row r="38740" spans="191:191" x14ac:dyDescent="0.2">
      <c r="GI38740" s="422"/>
    </row>
    <row r="38741" spans="191:191" x14ac:dyDescent="0.2">
      <c r="GI38741" s="422"/>
    </row>
    <row r="38742" spans="191:191" x14ac:dyDescent="0.2">
      <c r="GI38742" s="422"/>
    </row>
    <row r="38743" spans="191:191" x14ac:dyDescent="0.2">
      <c r="GI38743" s="422"/>
    </row>
    <row r="38744" spans="191:191" x14ac:dyDescent="0.2">
      <c r="GI38744" s="422"/>
    </row>
    <row r="38745" spans="191:191" x14ac:dyDescent="0.2">
      <c r="GI38745" s="422"/>
    </row>
    <row r="38746" spans="191:191" x14ac:dyDescent="0.2">
      <c r="GI38746" s="422"/>
    </row>
    <row r="38747" spans="191:191" x14ac:dyDescent="0.2">
      <c r="GI38747" s="422"/>
    </row>
    <row r="38748" spans="191:191" x14ac:dyDescent="0.2">
      <c r="GI38748" s="422"/>
    </row>
    <row r="38749" spans="191:191" x14ac:dyDescent="0.2">
      <c r="GI38749" s="422"/>
    </row>
    <row r="38750" spans="191:191" x14ac:dyDescent="0.2">
      <c r="GI38750" s="422"/>
    </row>
    <row r="38751" spans="191:191" x14ac:dyDescent="0.2">
      <c r="GI38751" s="422"/>
    </row>
    <row r="38752" spans="191:191" x14ac:dyDescent="0.2">
      <c r="GI38752" s="422"/>
    </row>
    <row r="38753" spans="191:191" x14ac:dyDescent="0.2">
      <c r="GI38753" s="422"/>
    </row>
    <row r="38754" spans="191:191" x14ac:dyDescent="0.2">
      <c r="GI38754" s="422"/>
    </row>
    <row r="38755" spans="191:191" x14ac:dyDescent="0.2">
      <c r="GI38755" s="422"/>
    </row>
    <row r="38756" spans="191:191" x14ac:dyDescent="0.2">
      <c r="GI38756" s="422"/>
    </row>
    <row r="38757" spans="191:191" x14ac:dyDescent="0.2">
      <c r="GI38757" s="422"/>
    </row>
    <row r="38758" spans="191:191" x14ac:dyDescent="0.2">
      <c r="GI38758" s="422"/>
    </row>
    <row r="38759" spans="191:191" x14ac:dyDescent="0.2">
      <c r="GI38759" s="422"/>
    </row>
    <row r="38760" spans="191:191" x14ac:dyDescent="0.2">
      <c r="GI38760" s="422"/>
    </row>
    <row r="38761" spans="191:191" x14ac:dyDescent="0.2">
      <c r="GI38761" s="422"/>
    </row>
    <row r="38762" spans="191:191" x14ac:dyDescent="0.2">
      <c r="GI38762" s="422"/>
    </row>
    <row r="38763" spans="191:191" x14ac:dyDescent="0.2">
      <c r="GI38763" s="422"/>
    </row>
    <row r="38764" spans="191:191" x14ac:dyDescent="0.2">
      <c r="GI38764" s="422"/>
    </row>
    <row r="38765" spans="191:191" x14ac:dyDescent="0.2">
      <c r="GI38765" s="422"/>
    </row>
    <row r="38766" spans="191:191" x14ac:dyDescent="0.2">
      <c r="GI38766" s="422"/>
    </row>
    <row r="38767" spans="191:191" x14ac:dyDescent="0.2">
      <c r="GI38767" s="422"/>
    </row>
    <row r="38768" spans="191:191" x14ac:dyDescent="0.2">
      <c r="GI38768" s="422"/>
    </row>
    <row r="38769" spans="191:191" x14ac:dyDescent="0.2">
      <c r="GI38769" s="422"/>
    </row>
    <row r="38770" spans="191:191" x14ac:dyDescent="0.2">
      <c r="GI38770" s="422"/>
    </row>
    <row r="38771" spans="191:191" x14ac:dyDescent="0.2">
      <c r="GI38771" s="422"/>
    </row>
    <row r="38772" spans="191:191" x14ac:dyDescent="0.2">
      <c r="GI38772" s="422"/>
    </row>
    <row r="38773" spans="191:191" x14ac:dyDescent="0.2">
      <c r="GI38773" s="422"/>
    </row>
    <row r="38774" spans="191:191" x14ac:dyDescent="0.2">
      <c r="GI38774" s="422"/>
    </row>
    <row r="38775" spans="191:191" x14ac:dyDescent="0.2">
      <c r="GI38775" s="422"/>
    </row>
    <row r="38776" spans="191:191" x14ac:dyDescent="0.2">
      <c r="GI38776" s="422"/>
    </row>
    <row r="38777" spans="191:191" x14ac:dyDescent="0.2">
      <c r="GI38777" s="422"/>
    </row>
    <row r="38778" spans="191:191" x14ac:dyDescent="0.2">
      <c r="GI38778" s="422"/>
    </row>
    <row r="38779" spans="191:191" x14ac:dyDescent="0.2">
      <c r="GI38779" s="422"/>
    </row>
    <row r="38780" spans="191:191" x14ac:dyDescent="0.2">
      <c r="GI38780" s="422"/>
    </row>
    <row r="38781" spans="191:191" x14ac:dyDescent="0.2">
      <c r="GI38781" s="422"/>
    </row>
    <row r="38782" spans="191:191" x14ac:dyDescent="0.2">
      <c r="GI38782" s="422"/>
    </row>
    <row r="38783" spans="191:191" x14ac:dyDescent="0.2">
      <c r="GI38783" s="422"/>
    </row>
    <row r="38784" spans="191:191" x14ac:dyDescent="0.2">
      <c r="GI38784" s="422"/>
    </row>
    <row r="38785" spans="191:191" x14ac:dyDescent="0.2">
      <c r="GI38785" s="422"/>
    </row>
    <row r="38786" spans="191:191" x14ac:dyDescent="0.2">
      <c r="GI38786" s="422"/>
    </row>
    <row r="38787" spans="191:191" x14ac:dyDescent="0.2">
      <c r="GI38787" s="422"/>
    </row>
    <row r="38788" spans="191:191" x14ac:dyDescent="0.2">
      <c r="GI38788" s="422"/>
    </row>
    <row r="38789" spans="191:191" x14ac:dyDescent="0.2">
      <c r="GI38789" s="422"/>
    </row>
    <row r="38790" spans="191:191" x14ac:dyDescent="0.2">
      <c r="GI38790" s="422"/>
    </row>
    <row r="38791" spans="191:191" x14ac:dyDescent="0.2">
      <c r="GI38791" s="422"/>
    </row>
    <row r="38792" spans="191:191" x14ac:dyDescent="0.2">
      <c r="GI38792" s="422"/>
    </row>
    <row r="38793" spans="191:191" x14ac:dyDescent="0.2">
      <c r="GI38793" s="422"/>
    </row>
    <row r="38794" spans="191:191" x14ac:dyDescent="0.2">
      <c r="GI38794" s="422"/>
    </row>
    <row r="38795" spans="191:191" x14ac:dyDescent="0.2">
      <c r="GI38795" s="422"/>
    </row>
    <row r="38796" spans="191:191" x14ac:dyDescent="0.2">
      <c r="GI38796" s="422"/>
    </row>
    <row r="38797" spans="191:191" x14ac:dyDescent="0.2">
      <c r="GI38797" s="422"/>
    </row>
    <row r="38798" spans="191:191" x14ac:dyDescent="0.2">
      <c r="GI38798" s="422"/>
    </row>
    <row r="38799" spans="191:191" x14ac:dyDescent="0.2">
      <c r="GI38799" s="422"/>
    </row>
    <row r="38800" spans="191:191" x14ac:dyDescent="0.2">
      <c r="GI38800" s="422"/>
    </row>
    <row r="38801" spans="191:191" x14ac:dyDescent="0.2">
      <c r="GI38801" s="422"/>
    </row>
    <row r="38802" spans="191:191" x14ac:dyDescent="0.2">
      <c r="GI38802" s="422"/>
    </row>
    <row r="38803" spans="191:191" x14ac:dyDescent="0.2">
      <c r="GI38803" s="422"/>
    </row>
    <row r="38804" spans="191:191" x14ac:dyDescent="0.2">
      <c r="GI38804" s="422"/>
    </row>
    <row r="38805" spans="191:191" x14ac:dyDescent="0.2">
      <c r="GI38805" s="422"/>
    </row>
    <row r="38806" spans="191:191" x14ac:dyDescent="0.2">
      <c r="GI38806" s="422"/>
    </row>
    <row r="38807" spans="191:191" x14ac:dyDescent="0.2">
      <c r="GI38807" s="422"/>
    </row>
    <row r="38808" spans="191:191" x14ac:dyDescent="0.2">
      <c r="GI38808" s="422"/>
    </row>
    <row r="38809" spans="191:191" x14ac:dyDescent="0.2">
      <c r="GI38809" s="422"/>
    </row>
    <row r="38810" spans="191:191" x14ac:dyDescent="0.2">
      <c r="GI38810" s="422"/>
    </row>
    <row r="38811" spans="191:191" x14ac:dyDescent="0.2">
      <c r="GI38811" s="422"/>
    </row>
    <row r="38812" spans="191:191" x14ac:dyDescent="0.2">
      <c r="GI38812" s="422"/>
    </row>
    <row r="38813" spans="191:191" x14ac:dyDescent="0.2">
      <c r="GI38813" s="422"/>
    </row>
    <row r="38814" spans="191:191" x14ac:dyDescent="0.2">
      <c r="GI38814" s="422"/>
    </row>
    <row r="38815" spans="191:191" x14ac:dyDescent="0.2">
      <c r="GI38815" s="422"/>
    </row>
    <row r="38816" spans="191:191" x14ac:dyDescent="0.2">
      <c r="GI38816" s="422"/>
    </row>
    <row r="38817" spans="191:191" x14ac:dyDescent="0.2">
      <c r="GI38817" s="422"/>
    </row>
    <row r="38818" spans="191:191" x14ac:dyDescent="0.2">
      <c r="GI38818" s="422"/>
    </row>
    <row r="38819" spans="191:191" x14ac:dyDescent="0.2">
      <c r="GI38819" s="422"/>
    </row>
    <row r="38820" spans="191:191" x14ac:dyDescent="0.2">
      <c r="GI38820" s="422"/>
    </row>
    <row r="38821" spans="191:191" x14ac:dyDescent="0.2">
      <c r="GI38821" s="422"/>
    </row>
    <row r="38822" spans="191:191" x14ac:dyDescent="0.2">
      <c r="GI38822" s="422"/>
    </row>
    <row r="38823" spans="191:191" x14ac:dyDescent="0.2">
      <c r="GI38823" s="422"/>
    </row>
    <row r="38824" spans="191:191" x14ac:dyDescent="0.2">
      <c r="GI38824" s="422"/>
    </row>
    <row r="38825" spans="191:191" x14ac:dyDescent="0.2">
      <c r="GI38825" s="422"/>
    </row>
    <row r="38826" spans="191:191" x14ac:dyDescent="0.2">
      <c r="GI38826" s="422"/>
    </row>
    <row r="38827" spans="191:191" x14ac:dyDescent="0.2">
      <c r="GI38827" s="422"/>
    </row>
    <row r="38828" spans="191:191" x14ac:dyDescent="0.2">
      <c r="GI38828" s="422"/>
    </row>
    <row r="38829" spans="191:191" x14ac:dyDescent="0.2">
      <c r="GI38829" s="422"/>
    </row>
    <row r="38830" spans="191:191" x14ac:dyDescent="0.2">
      <c r="GI38830" s="422"/>
    </row>
    <row r="38831" spans="191:191" x14ac:dyDescent="0.2">
      <c r="GI38831" s="422"/>
    </row>
    <row r="38832" spans="191:191" x14ac:dyDescent="0.2">
      <c r="GI38832" s="422"/>
    </row>
    <row r="38833" spans="191:191" x14ac:dyDescent="0.2">
      <c r="GI38833" s="422"/>
    </row>
    <row r="38834" spans="191:191" x14ac:dyDescent="0.2">
      <c r="GI38834" s="422"/>
    </row>
    <row r="38835" spans="191:191" x14ac:dyDescent="0.2">
      <c r="GI38835" s="422"/>
    </row>
    <row r="38836" spans="191:191" x14ac:dyDescent="0.2">
      <c r="GI38836" s="422"/>
    </row>
    <row r="38837" spans="191:191" x14ac:dyDescent="0.2">
      <c r="GI38837" s="422"/>
    </row>
    <row r="38838" spans="191:191" x14ac:dyDescent="0.2">
      <c r="GI38838" s="422"/>
    </row>
    <row r="38839" spans="191:191" x14ac:dyDescent="0.2">
      <c r="GI38839" s="422"/>
    </row>
    <row r="38840" spans="191:191" x14ac:dyDescent="0.2">
      <c r="GI38840" s="422"/>
    </row>
    <row r="38841" spans="191:191" x14ac:dyDescent="0.2">
      <c r="GI38841" s="422"/>
    </row>
    <row r="38842" spans="191:191" x14ac:dyDescent="0.2">
      <c r="GI38842" s="422"/>
    </row>
    <row r="38843" spans="191:191" x14ac:dyDescent="0.2">
      <c r="GI38843" s="422"/>
    </row>
    <row r="38844" spans="191:191" x14ac:dyDescent="0.2">
      <c r="GI38844" s="422"/>
    </row>
    <row r="38845" spans="191:191" x14ac:dyDescent="0.2">
      <c r="GI38845" s="422"/>
    </row>
    <row r="38846" spans="191:191" x14ac:dyDescent="0.2">
      <c r="GI38846" s="422"/>
    </row>
    <row r="38847" spans="191:191" x14ac:dyDescent="0.2">
      <c r="GI38847" s="422"/>
    </row>
    <row r="38848" spans="191:191" x14ac:dyDescent="0.2">
      <c r="GI38848" s="422"/>
    </row>
    <row r="38849" spans="191:191" x14ac:dyDescent="0.2">
      <c r="GI38849" s="422"/>
    </row>
    <row r="38850" spans="191:191" x14ac:dyDescent="0.2">
      <c r="GI38850" s="422"/>
    </row>
    <row r="38851" spans="191:191" x14ac:dyDescent="0.2">
      <c r="GI38851" s="422"/>
    </row>
    <row r="38852" spans="191:191" x14ac:dyDescent="0.2">
      <c r="GI38852" s="422"/>
    </row>
    <row r="38853" spans="191:191" x14ac:dyDescent="0.2">
      <c r="GI38853" s="422"/>
    </row>
    <row r="38854" spans="191:191" x14ac:dyDescent="0.2">
      <c r="GI38854" s="422"/>
    </row>
    <row r="38855" spans="191:191" x14ac:dyDescent="0.2">
      <c r="GI38855" s="422"/>
    </row>
    <row r="38856" spans="191:191" x14ac:dyDescent="0.2">
      <c r="GI38856" s="422"/>
    </row>
    <row r="38857" spans="191:191" x14ac:dyDescent="0.2">
      <c r="GI38857" s="422"/>
    </row>
    <row r="38858" spans="191:191" x14ac:dyDescent="0.2">
      <c r="GI38858" s="422"/>
    </row>
    <row r="38859" spans="191:191" x14ac:dyDescent="0.2">
      <c r="GI38859" s="422"/>
    </row>
    <row r="38860" spans="191:191" x14ac:dyDescent="0.2">
      <c r="GI38860" s="422"/>
    </row>
    <row r="38861" spans="191:191" x14ac:dyDescent="0.2">
      <c r="GI38861" s="422"/>
    </row>
    <row r="38862" spans="191:191" x14ac:dyDescent="0.2">
      <c r="GI38862" s="422"/>
    </row>
    <row r="38863" spans="191:191" x14ac:dyDescent="0.2">
      <c r="GI38863" s="422"/>
    </row>
    <row r="38864" spans="191:191" x14ac:dyDescent="0.2">
      <c r="GI38864" s="422"/>
    </row>
    <row r="38865" spans="191:191" x14ac:dyDescent="0.2">
      <c r="GI38865" s="422"/>
    </row>
    <row r="38866" spans="191:191" x14ac:dyDescent="0.2">
      <c r="GI38866" s="422"/>
    </row>
    <row r="38867" spans="191:191" x14ac:dyDescent="0.2">
      <c r="GI38867" s="422"/>
    </row>
    <row r="38868" spans="191:191" x14ac:dyDescent="0.2">
      <c r="GI38868" s="422"/>
    </row>
    <row r="38869" spans="191:191" x14ac:dyDescent="0.2">
      <c r="GI38869" s="422"/>
    </row>
    <row r="38870" spans="191:191" x14ac:dyDescent="0.2">
      <c r="GI38870" s="422"/>
    </row>
    <row r="38871" spans="191:191" x14ac:dyDescent="0.2">
      <c r="GI38871" s="422"/>
    </row>
    <row r="38872" spans="191:191" x14ac:dyDescent="0.2">
      <c r="GI38872" s="422"/>
    </row>
    <row r="38873" spans="191:191" x14ac:dyDescent="0.2">
      <c r="GI38873" s="422"/>
    </row>
    <row r="38874" spans="191:191" x14ac:dyDescent="0.2">
      <c r="GI38874" s="422"/>
    </row>
    <row r="38875" spans="191:191" x14ac:dyDescent="0.2">
      <c r="GI38875" s="422"/>
    </row>
    <row r="38876" spans="191:191" x14ac:dyDescent="0.2">
      <c r="GI38876" s="422"/>
    </row>
    <row r="38877" spans="191:191" x14ac:dyDescent="0.2">
      <c r="GI38877" s="422"/>
    </row>
    <row r="38878" spans="191:191" x14ac:dyDescent="0.2">
      <c r="GI38878" s="422"/>
    </row>
    <row r="38879" spans="191:191" x14ac:dyDescent="0.2">
      <c r="GI38879" s="422"/>
    </row>
    <row r="38880" spans="191:191" x14ac:dyDescent="0.2">
      <c r="GI38880" s="422"/>
    </row>
    <row r="38881" spans="191:191" x14ac:dyDescent="0.2">
      <c r="GI38881" s="422"/>
    </row>
    <row r="38882" spans="191:191" x14ac:dyDescent="0.2">
      <c r="GI38882" s="422"/>
    </row>
    <row r="38883" spans="191:191" x14ac:dyDescent="0.2">
      <c r="GI38883" s="422"/>
    </row>
    <row r="38884" spans="191:191" x14ac:dyDescent="0.2">
      <c r="GI38884" s="422"/>
    </row>
    <row r="38885" spans="191:191" x14ac:dyDescent="0.2">
      <c r="GI38885" s="422"/>
    </row>
    <row r="38886" spans="191:191" x14ac:dyDescent="0.2">
      <c r="GI38886" s="422"/>
    </row>
    <row r="38887" spans="191:191" x14ac:dyDescent="0.2">
      <c r="GI38887" s="422"/>
    </row>
    <row r="38888" spans="191:191" x14ac:dyDescent="0.2">
      <c r="GI38888" s="422"/>
    </row>
    <row r="38889" spans="191:191" x14ac:dyDescent="0.2">
      <c r="GI38889" s="422"/>
    </row>
    <row r="38890" spans="191:191" x14ac:dyDescent="0.2">
      <c r="GI38890" s="422"/>
    </row>
    <row r="38891" spans="191:191" x14ac:dyDescent="0.2">
      <c r="GI38891" s="422"/>
    </row>
    <row r="38892" spans="191:191" x14ac:dyDescent="0.2">
      <c r="GI38892" s="422"/>
    </row>
    <row r="38893" spans="191:191" x14ac:dyDescent="0.2">
      <c r="GI38893" s="422"/>
    </row>
    <row r="38894" spans="191:191" x14ac:dyDescent="0.2">
      <c r="GI38894" s="422"/>
    </row>
    <row r="38895" spans="191:191" x14ac:dyDescent="0.2">
      <c r="GI38895" s="422"/>
    </row>
    <row r="38896" spans="191:191" x14ac:dyDescent="0.2">
      <c r="GI38896" s="422"/>
    </row>
    <row r="38897" spans="191:191" x14ac:dyDescent="0.2">
      <c r="GI38897" s="422"/>
    </row>
    <row r="38898" spans="191:191" x14ac:dyDescent="0.2">
      <c r="GI38898" s="422"/>
    </row>
    <row r="38899" spans="191:191" x14ac:dyDescent="0.2">
      <c r="GI38899" s="422"/>
    </row>
    <row r="38900" spans="191:191" x14ac:dyDescent="0.2">
      <c r="GI38900" s="422"/>
    </row>
    <row r="38901" spans="191:191" x14ac:dyDescent="0.2">
      <c r="GI38901" s="422"/>
    </row>
    <row r="38902" spans="191:191" x14ac:dyDescent="0.2">
      <c r="GI38902" s="422"/>
    </row>
    <row r="38903" spans="191:191" x14ac:dyDescent="0.2">
      <c r="GI38903" s="422"/>
    </row>
    <row r="38904" spans="191:191" x14ac:dyDescent="0.2">
      <c r="GI38904" s="422"/>
    </row>
    <row r="38905" spans="191:191" x14ac:dyDescent="0.2">
      <c r="GI38905" s="422"/>
    </row>
    <row r="38906" spans="191:191" x14ac:dyDescent="0.2">
      <c r="GI38906" s="422"/>
    </row>
    <row r="38907" spans="191:191" x14ac:dyDescent="0.2">
      <c r="GI38907" s="422"/>
    </row>
    <row r="38908" spans="191:191" x14ac:dyDescent="0.2">
      <c r="GI38908" s="422"/>
    </row>
    <row r="38909" spans="191:191" x14ac:dyDescent="0.2">
      <c r="GI38909" s="422"/>
    </row>
    <row r="38910" spans="191:191" x14ac:dyDescent="0.2">
      <c r="GI38910" s="422"/>
    </row>
    <row r="38911" spans="191:191" x14ac:dyDescent="0.2">
      <c r="GI38911" s="422"/>
    </row>
    <row r="38912" spans="191:191" x14ac:dyDescent="0.2">
      <c r="GI38912" s="422"/>
    </row>
    <row r="38913" spans="191:191" x14ac:dyDescent="0.2">
      <c r="GI38913" s="422"/>
    </row>
    <row r="38914" spans="191:191" x14ac:dyDescent="0.2">
      <c r="GI38914" s="422"/>
    </row>
    <row r="38915" spans="191:191" x14ac:dyDescent="0.2">
      <c r="GI38915" s="422"/>
    </row>
    <row r="38916" spans="191:191" x14ac:dyDescent="0.2">
      <c r="GI38916" s="422"/>
    </row>
    <row r="38917" spans="191:191" x14ac:dyDescent="0.2">
      <c r="GI38917" s="422"/>
    </row>
    <row r="38918" spans="191:191" x14ac:dyDescent="0.2">
      <c r="GI38918" s="422"/>
    </row>
    <row r="38919" spans="191:191" x14ac:dyDescent="0.2">
      <c r="GI38919" s="422"/>
    </row>
    <row r="38920" spans="191:191" x14ac:dyDescent="0.2">
      <c r="GI38920" s="422"/>
    </row>
    <row r="38921" spans="191:191" x14ac:dyDescent="0.2">
      <c r="GI38921" s="422"/>
    </row>
    <row r="38922" spans="191:191" x14ac:dyDescent="0.2">
      <c r="GI38922" s="422"/>
    </row>
    <row r="38923" spans="191:191" x14ac:dyDescent="0.2">
      <c r="GI38923" s="422"/>
    </row>
    <row r="38924" spans="191:191" x14ac:dyDescent="0.2">
      <c r="GI38924" s="422"/>
    </row>
    <row r="38925" spans="191:191" x14ac:dyDescent="0.2">
      <c r="GI38925" s="422"/>
    </row>
    <row r="38926" spans="191:191" x14ac:dyDescent="0.2">
      <c r="GI38926" s="422"/>
    </row>
    <row r="38927" spans="191:191" x14ac:dyDescent="0.2">
      <c r="GI38927" s="422"/>
    </row>
    <row r="38928" spans="191:191" x14ac:dyDescent="0.2">
      <c r="GI38928" s="422"/>
    </row>
    <row r="38929" spans="191:191" x14ac:dyDescent="0.2">
      <c r="GI38929" s="422"/>
    </row>
    <row r="38930" spans="191:191" x14ac:dyDescent="0.2">
      <c r="GI38930" s="422"/>
    </row>
    <row r="38931" spans="191:191" x14ac:dyDescent="0.2">
      <c r="GI38931" s="422"/>
    </row>
    <row r="38932" spans="191:191" x14ac:dyDescent="0.2">
      <c r="GI38932" s="422"/>
    </row>
    <row r="38933" spans="191:191" x14ac:dyDescent="0.2">
      <c r="GI38933" s="422"/>
    </row>
    <row r="38934" spans="191:191" x14ac:dyDescent="0.2">
      <c r="GI38934" s="422"/>
    </row>
    <row r="38935" spans="191:191" x14ac:dyDescent="0.2">
      <c r="GI38935" s="422"/>
    </row>
    <row r="38936" spans="191:191" x14ac:dyDescent="0.2">
      <c r="GI38936" s="422"/>
    </row>
    <row r="38937" spans="191:191" x14ac:dyDescent="0.2">
      <c r="GI38937" s="422"/>
    </row>
    <row r="38938" spans="191:191" x14ac:dyDescent="0.2">
      <c r="GI38938" s="422"/>
    </row>
    <row r="38939" spans="191:191" x14ac:dyDescent="0.2">
      <c r="GI38939" s="422"/>
    </row>
    <row r="38940" spans="191:191" x14ac:dyDescent="0.2">
      <c r="GI38940" s="422"/>
    </row>
    <row r="38941" spans="191:191" x14ac:dyDescent="0.2">
      <c r="GI38941" s="422"/>
    </row>
    <row r="38942" spans="191:191" x14ac:dyDescent="0.2">
      <c r="GI38942" s="422"/>
    </row>
    <row r="38943" spans="191:191" x14ac:dyDescent="0.2">
      <c r="GI38943" s="422"/>
    </row>
    <row r="38944" spans="191:191" x14ac:dyDescent="0.2">
      <c r="GI38944" s="422"/>
    </row>
    <row r="38945" spans="191:191" x14ac:dyDescent="0.2">
      <c r="GI38945" s="422"/>
    </row>
    <row r="38946" spans="191:191" x14ac:dyDescent="0.2">
      <c r="GI38946" s="422"/>
    </row>
    <row r="38947" spans="191:191" x14ac:dyDescent="0.2">
      <c r="GI38947" s="422"/>
    </row>
    <row r="38948" spans="191:191" x14ac:dyDescent="0.2">
      <c r="GI38948" s="422"/>
    </row>
    <row r="38949" spans="191:191" x14ac:dyDescent="0.2">
      <c r="GI38949" s="422"/>
    </row>
    <row r="38950" spans="191:191" x14ac:dyDescent="0.2">
      <c r="GI38950" s="422"/>
    </row>
    <row r="38951" spans="191:191" x14ac:dyDescent="0.2">
      <c r="GI38951" s="422"/>
    </row>
    <row r="38952" spans="191:191" x14ac:dyDescent="0.2">
      <c r="GI38952" s="422"/>
    </row>
    <row r="38953" spans="191:191" x14ac:dyDescent="0.2">
      <c r="GI38953" s="422"/>
    </row>
    <row r="38954" spans="191:191" x14ac:dyDescent="0.2">
      <c r="GI38954" s="422"/>
    </row>
    <row r="38955" spans="191:191" x14ac:dyDescent="0.2">
      <c r="GI38955" s="422"/>
    </row>
    <row r="38956" spans="191:191" x14ac:dyDescent="0.2">
      <c r="GI38956" s="422"/>
    </row>
    <row r="38957" spans="191:191" x14ac:dyDescent="0.2">
      <c r="GI38957" s="422"/>
    </row>
    <row r="38958" spans="191:191" x14ac:dyDescent="0.2">
      <c r="GI38958" s="422"/>
    </row>
    <row r="38959" spans="191:191" x14ac:dyDescent="0.2">
      <c r="GI38959" s="422"/>
    </row>
    <row r="38960" spans="191:191" x14ac:dyDescent="0.2">
      <c r="GI38960" s="422"/>
    </row>
    <row r="38961" spans="191:191" x14ac:dyDescent="0.2">
      <c r="GI38961" s="422"/>
    </row>
    <row r="38962" spans="191:191" x14ac:dyDescent="0.2">
      <c r="GI38962" s="422"/>
    </row>
    <row r="38963" spans="191:191" x14ac:dyDescent="0.2">
      <c r="GI38963" s="422"/>
    </row>
    <row r="38964" spans="191:191" x14ac:dyDescent="0.2">
      <c r="GI38964" s="422"/>
    </row>
    <row r="38965" spans="191:191" x14ac:dyDescent="0.2">
      <c r="GI38965" s="422"/>
    </row>
    <row r="38966" spans="191:191" x14ac:dyDescent="0.2">
      <c r="GI38966" s="422"/>
    </row>
    <row r="38967" spans="191:191" x14ac:dyDescent="0.2">
      <c r="GI38967" s="422"/>
    </row>
    <row r="38968" spans="191:191" x14ac:dyDescent="0.2">
      <c r="GI38968" s="422"/>
    </row>
    <row r="38969" spans="191:191" x14ac:dyDescent="0.2">
      <c r="GI38969" s="422"/>
    </row>
    <row r="38970" spans="191:191" x14ac:dyDescent="0.2">
      <c r="GI38970" s="422"/>
    </row>
    <row r="38971" spans="191:191" x14ac:dyDescent="0.2">
      <c r="GI38971" s="422"/>
    </row>
    <row r="38972" spans="191:191" x14ac:dyDescent="0.2">
      <c r="GI38972" s="422"/>
    </row>
    <row r="38973" spans="191:191" x14ac:dyDescent="0.2">
      <c r="GI38973" s="422"/>
    </row>
    <row r="38974" spans="191:191" x14ac:dyDescent="0.2">
      <c r="GI38974" s="422"/>
    </row>
    <row r="38975" spans="191:191" x14ac:dyDescent="0.2">
      <c r="GI38975" s="422"/>
    </row>
    <row r="38976" spans="191:191" x14ac:dyDescent="0.2">
      <c r="GI38976" s="422"/>
    </row>
    <row r="38977" spans="191:191" x14ac:dyDescent="0.2">
      <c r="GI38977" s="422"/>
    </row>
    <row r="38978" spans="191:191" x14ac:dyDescent="0.2">
      <c r="GI38978" s="422"/>
    </row>
    <row r="38979" spans="191:191" x14ac:dyDescent="0.2">
      <c r="GI38979" s="422"/>
    </row>
    <row r="38980" spans="191:191" x14ac:dyDescent="0.2">
      <c r="GI38980" s="422"/>
    </row>
    <row r="38981" spans="191:191" x14ac:dyDescent="0.2">
      <c r="GI38981" s="422"/>
    </row>
    <row r="38982" spans="191:191" x14ac:dyDescent="0.2">
      <c r="GI38982" s="422"/>
    </row>
    <row r="38983" spans="191:191" x14ac:dyDescent="0.2">
      <c r="GI38983" s="422"/>
    </row>
    <row r="38984" spans="191:191" x14ac:dyDescent="0.2">
      <c r="GI38984" s="422"/>
    </row>
    <row r="38985" spans="191:191" x14ac:dyDescent="0.2">
      <c r="GI38985" s="422"/>
    </row>
    <row r="38986" spans="191:191" x14ac:dyDescent="0.2">
      <c r="GI38986" s="422"/>
    </row>
    <row r="38987" spans="191:191" x14ac:dyDescent="0.2">
      <c r="GI38987" s="422"/>
    </row>
    <row r="38988" spans="191:191" x14ac:dyDescent="0.2">
      <c r="GI38988" s="422"/>
    </row>
    <row r="38989" spans="191:191" x14ac:dyDescent="0.2">
      <c r="GI38989" s="422"/>
    </row>
    <row r="38990" spans="191:191" x14ac:dyDescent="0.2">
      <c r="GI38990" s="422"/>
    </row>
    <row r="38991" spans="191:191" x14ac:dyDescent="0.2">
      <c r="GI38991" s="422"/>
    </row>
    <row r="38992" spans="191:191" x14ac:dyDescent="0.2">
      <c r="GI38992" s="422"/>
    </row>
    <row r="38993" spans="191:191" x14ac:dyDescent="0.2">
      <c r="GI38993" s="422"/>
    </row>
    <row r="38994" spans="191:191" x14ac:dyDescent="0.2">
      <c r="GI38994" s="422"/>
    </row>
    <row r="38995" spans="191:191" x14ac:dyDescent="0.2">
      <c r="GI38995" s="422"/>
    </row>
    <row r="38996" spans="191:191" x14ac:dyDescent="0.2">
      <c r="GI38996" s="422"/>
    </row>
    <row r="38997" spans="191:191" x14ac:dyDescent="0.2">
      <c r="GI38997" s="422"/>
    </row>
    <row r="38998" spans="191:191" x14ac:dyDescent="0.2">
      <c r="GI38998" s="422"/>
    </row>
    <row r="38999" spans="191:191" x14ac:dyDescent="0.2">
      <c r="GI38999" s="422"/>
    </row>
    <row r="39000" spans="191:191" x14ac:dyDescent="0.2">
      <c r="GI39000" s="422"/>
    </row>
    <row r="39001" spans="191:191" x14ac:dyDescent="0.2">
      <c r="GI39001" s="422"/>
    </row>
    <row r="39002" spans="191:191" x14ac:dyDescent="0.2">
      <c r="GI39002" s="422"/>
    </row>
    <row r="39003" spans="191:191" x14ac:dyDescent="0.2">
      <c r="GI39003" s="422"/>
    </row>
    <row r="39004" spans="191:191" x14ac:dyDescent="0.2">
      <c r="GI39004" s="422"/>
    </row>
    <row r="39005" spans="191:191" x14ac:dyDescent="0.2">
      <c r="GI39005" s="422"/>
    </row>
    <row r="39006" spans="191:191" x14ac:dyDescent="0.2">
      <c r="GI39006" s="422"/>
    </row>
    <row r="39007" spans="191:191" x14ac:dyDescent="0.2">
      <c r="GI39007" s="422"/>
    </row>
    <row r="39008" spans="191:191" x14ac:dyDescent="0.2">
      <c r="GI39008" s="422"/>
    </row>
    <row r="39009" spans="191:191" x14ac:dyDescent="0.2">
      <c r="GI39009" s="422"/>
    </row>
    <row r="39010" spans="191:191" x14ac:dyDescent="0.2">
      <c r="GI39010" s="422"/>
    </row>
    <row r="39011" spans="191:191" x14ac:dyDescent="0.2">
      <c r="GI39011" s="422"/>
    </row>
    <row r="39012" spans="191:191" x14ac:dyDescent="0.2">
      <c r="GI39012" s="422"/>
    </row>
    <row r="39013" spans="191:191" x14ac:dyDescent="0.2">
      <c r="GI39013" s="422"/>
    </row>
    <row r="39014" spans="191:191" x14ac:dyDescent="0.2">
      <c r="GI39014" s="422"/>
    </row>
    <row r="39015" spans="191:191" x14ac:dyDescent="0.2">
      <c r="GI39015" s="422"/>
    </row>
    <row r="39016" spans="191:191" x14ac:dyDescent="0.2">
      <c r="GI39016" s="422"/>
    </row>
    <row r="39017" spans="191:191" x14ac:dyDescent="0.2">
      <c r="GI39017" s="422"/>
    </row>
    <row r="39018" spans="191:191" x14ac:dyDescent="0.2">
      <c r="GI39018" s="422"/>
    </row>
    <row r="39019" spans="191:191" x14ac:dyDescent="0.2">
      <c r="GI39019" s="422"/>
    </row>
    <row r="39020" spans="191:191" x14ac:dyDescent="0.2">
      <c r="GI39020" s="422"/>
    </row>
    <row r="39021" spans="191:191" x14ac:dyDescent="0.2">
      <c r="GI39021" s="422"/>
    </row>
    <row r="39022" spans="191:191" x14ac:dyDescent="0.2">
      <c r="GI39022" s="422"/>
    </row>
    <row r="39023" spans="191:191" x14ac:dyDescent="0.2">
      <c r="GI39023" s="422"/>
    </row>
    <row r="39024" spans="191:191" x14ac:dyDescent="0.2">
      <c r="GI39024" s="422"/>
    </row>
    <row r="39025" spans="191:191" x14ac:dyDescent="0.2">
      <c r="GI39025" s="422"/>
    </row>
    <row r="39026" spans="191:191" x14ac:dyDescent="0.2">
      <c r="GI39026" s="422"/>
    </row>
    <row r="39027" spans="191:191" x14ac:dyDescent="0.2">
      <c r="GI39027" s="422"/>
    </row>
    <row r="39028" spans="191:191" x14ac:dyDescent="0.2">
      <c r="GI39028" s="422"/>
    </row>
    <row r="39029" spans="191:191" x14ac:dyDescent="0.2">
      <c r="GI39029" s="422"/>
    </row>
    <row r="39030" spans="191:191" x14ac:dyDescent="0.2">
      <c r="GI39030" s="422"/>
    </row>
    <row r="39031" spans="191:191" x14ac:dyDescent="0.2">
      <c r="GI39031" s="422"/>
    </row>
    <row r="39032" spans="191:191" x14ac:dyDescent="0.2">
      <c r="GI39032" s="422"/>
    </row>
    <row r="39033" spans="191:191" x14ac:dyDescent="0.2">
      <c r="GI39033" s="422"/>
    </row>
    <row r="39034" spans="191:191" x14ac:dyDescent="0.2">
      <c r="GI39034" s="422"/>
    </row>
    <row r="39035" spans="191:191" x14ac:dyDescent="0.2">
      <c r="GI39035" s="422"/>
    </row>
    <row r="39036" spans="191:191" x14ac:dyDescent="0.2">
      <c r="GI39036" s="422"/>
    </row>
    <row r="39037" spans="191:191" x14ac:dyDescent="0.2">
      <c r="GI39037" s="422"/>
    </row>
    <row r="39038" spans="191:191" x14ac:dyDescent="0.2">
      <c r="GI39038" s="422"/>
    </row>
    <row r="39039" spans="191:191" x14ac:dyDescent="0.2">
      <c r="GI39039" s="422"/>
    </row>
    <row r="39040" spans="191:191" x14ac:dyDescent="0.2">
      <c r="GI39040" s="422"/>
    </row>
    <row r="39041" spans="191:191" x14ac:dyDescent="0.2">
      <c r="GI39041" s="422"/>
    </row>
    <row r="39042" spans="191:191" x14ac:dyDescent="0.2">
      <c r="GI39042" s="422"/>
    </row>
    <row r="39043" spans="191:191" x14ac:dyDescent="0.2">
      <c r="GI39043" s="422"/>
    </row>
    <row r="39044" spans="191:191" x14ac:dyDescent="0.2">
      <c r="GI39044" s="422"/>
    </row>
    <row r="39045" spans="191:191" x14ac:dyDescent="0.2">
      <c r="GI39045" s="422"/>
    </row>
    <row r="39046" spans="191:191" x14ac:dyDescent="0.2">
      <c r="GI39046" s="422"/>
    </row>
    <row r="39047" spans="191:191" x14ac:dyDescent="0.2">
      <c r="GI39047" s="422"/>
    </row>
    <row r="39048" spans="191:191" x14ac:dyDescent="0.2">
      <c r="GI39048" s="422"/>
    </row>
    <row r="39049" spans="191:191" x14ac:dyDescent="0.2">
      <c r="GI39049" s="422"/>
    </row>
    <row r="39050" spans="191:191" x14ac:dyDescent="0.2">
      <c r="GI39050" s="422"/>
    </row>
    <row r="39051" spans="191:191" x14ac:dyDescent="0.2">
      <c r="GI39051" s="422"/>
    </row>
    <row r="39052" spans="191:191" x14ac:dyDescent="0.2">
      <c r="GI39052" s="422"/>
    </row>
    <row r="39053" spans="191:191" x14ac:dyDescent="0.2">
      <c r="GI39053" s="422"/>
    </row>
    <row r="39054" spans="191:191" x14ac:dyDescent="0.2">
      <c r="GI39054" s="422"/>
    </row>
    <row r="39055" spans="191:191" x14ac:dyDescent="0.2">
      <c r="GI39055" s="422"/>
    </row>
    <row r="39056" spans="191:191" x14ac:dyDescent="0.2">
      <c r="GI39056" s="422"/>
    </row>
    <row r="39057" spans="191:191" x14ac:dyDescent="0.2">
      <c r="GI39057" s="422"/>
    </row>
    <row r="39058" spans="191:191" x14ac:dyDescent="0.2">
      <c r="GI39058" s="422"/>
    </row>
    <row r="39059" spans="191:191" x14ac:dyDescent="0.2">
      <c r="GI39059" s="422"/>
    </row>
    <row r="39060" spans="191:191" x14ac:dyDescent="0.2">
      <c r="GI39060" s="422"/>
    </row>
    <row r="39061" spans="191:191" x14ac:dyDescent="0.2">
      <c r="GI39061" s="422"/>
    </row>
    <row r="39062" spans="191:191" x14ac:dyDescent="0.2">
      <c r="GI39062" s="422"/>
    </row>
    <row r="39063" spans="191:191" x14ac:dyDescent="0.2">
      <c r="GI39063" s="422"/>
    </row>
    <row r="39064" spans="191:191" x14ac:dyDescent="0.2">
      <c r="GI39064" s="422"/>
    </row>
    <row r="39065" spans="191:191" x14ac:dyDescent="0.2">
      <c r="GI39065" s="422"/>
    </row>
    <row r="39066" spans="191:191" x14ac:dyDescent="0.2">
      <c r="GI39066" s="422"/>
    </row>
    <row r="39067" spans="191:191" x14ac:dyDescent="0.2">
      <c r="GI39067" s="422"/>
    </row>
    <row r="39068" spans="191:191" x14ac:dyDescent="0.2">
      <c r="GI39068" s="422"/>
    </row>
    <row r="39069" spans="191:191" x14ac:dyDescent="0.2">
      <c r="GI39069" s="422"/>
    </row>
    <row r="39070" spans="191:191" x14ac:dyDescent="0.2">
      <c r="GI39070" s="422"/>
    </row>
    <row r="39071" spans="191:191" x14ac:dyDescent="0.2">
      <c r="GI39071" s="422"/>
    </row>
    <row r="39072" spans="191:191" x14ac:dyDescent="0.2">
      <c r="GI39072" s="422"/>
    </row>
    <row r="39073" spans="191:191" x14ac:dyDescent="0.2">
      <c r="GI39073" s="422"/>
    </row>
    <row r="39074" spans="191:191" x14ac:dyDescent="0.2">
      <c r="GI39074" s="422"/>
    </row>
    <row r="39075" spans="191:191" x14ac:dyDescent="0.2">
      <c r="GI39075" s="422"/>
    </row>
    <row r="39076" spans="191:191" x14ac:dyDescent="0.2">
      <c r="GI39076" s="422"/>
    </row>
    <row r="39077" spans="191:191" x14ac:dyDescent="0.2">
      <c r="GI39077" s="422"/>
    </row>
    <row r="39078" spans="191:191" x14ac:dyDescent="0.2">
      <c r="GI39078" s="422"/>
    </row>
    <row r="39079" spans="191:191" x14ac:dyDescent="0.2">
      <c r="GI39079" s="422"/>
    </row>
    <row r="39080" spans="191:191" x14ac:dyDescent="0.2">
      <c r="GI39080" s="422"/>
    </row>
    <row r="39081" spans="191:191" x14ac:dyDescent="0.2">
      <c r="GI39081" s="422"/>
    </row>
    <row r="39082" spans="191:191" x14ac:dyDescent="0.2">
      <c r="GI39082" s="422"/>
    </row>
    <row r="39083" spans="191:191" x14ac:dyDescent="0.2">
      <c r="GI39083" s="422"/>
    </row>
    <row r="39084" spans="191:191" x14ac:dyDescent="0.2">
      <c r="GI39084" s="422"/>
    </row>
    <row r="39085" spans="191:191" x14ac:dyDescent="0.2">
      <c r="GI39085" s="422"/>
    </row>
    <row r="39086" spans="191:191" x14ac:dyDescent="0.2">
      <c r="GI39086" s="422"/>
    </row>
    <row r="39087" spans="191:191" x14ac:dyDescent="0.2">
      <c r="GI39087" s="422"/>
    </row>
    <row r="39088" spans="191:191" x14ac:dyDescent="0.2">
      <c r="GI39088" s="422"/>
    </row>
    <row r="39089" spans="191:191" x14ac:dyDescent="0.2">
      <c r="GI39089" s="422"/>
    </row>
    <row r="39090" spans="191:191" x14ac:dyDescent="0.2">
      <c r="GI39090" s="422"/>
    </row>
    <row r="39091" spans="191:191" x14ac:dyDescent="0.2">
      <c r="GI39091" s="422"/>
    </row>
    <row r="39092" spans="191:191" x14ac:dyDescent="0.2">
      <c r="GI39092" s="422"/>
    </row>
    <row r="39093" spans="191:191" x14ac:dyDescent="0.2">
      <c r="GI39093" s="422"/>
    </row>
    <row r="39094" spans="191:191" x14ac:dyDescent="0.2">
      <c r="GI39094" s="422"/>
    </row>
    <row r="39095" spans="191:191" x14ac:dyDescent="0.2">
      <c r="GI39095" s="422"/>
    </row>
    <row r="39096" spans="191:191" x14ac:dyDescent="0.2">
      <c r="GI39096" s="422"/>
    </row>
    <row r="39097" spans="191:191" x14ac:dyDescent="0.2">
      <c r="GI39097" s="422"/>
    </row>
    <row r="39098" spans="191:191" x14ac:dyDescent="0.2">
      <c r="GI39098" s="422"/>
    </row>
    <row r="39099" spans="191:191" x14ac:dyDescent="0.2">
      <c r="GI39099" s="422"/>
    </row>
    <row r="39100" spans="191:191" x14ac:dyDescent="0.2">
      <c r="GI39100" s="422"/>
    </row>
    <row r="39101" spans="191:191" x14ac:dyDescent="0.2">
      <c r="GI39101" s="422"/>
    </row>
    <row r="39102" spans="191:191" x14ac:dyDescent="0.2">
      <c r="GI39102" s="422"/>
    </row>
    <row r="39103" spans="191:191" x14ac:dyDescent="0.2">
      <c r="GI39103" s="422"/>
    </row>
    <row r="39104" spans="191:191" x14ac:dyDescent="0.2">
      <c r="GI39104" s="422"/>
    </row>
    <row r="39105" spans="191:191" x14ac:dyDescent="0.2">
      <c r="GI39105" s="422"/>
    </row>
    <row r="39106" spans="191:191" x14ac:dyDescent="0.2">
      <c r="GI39106" s="422"/>
    </row>
    <row r="39107" spans="191:191" x14ac:dyDescent="0.2">
      <c r="GI39107" s="422"/>
    </row>
    <row r="39108" spans="191:191" x14ac:dyDescent="0.2">
      <c r="GI39108" s="422"/>
    </row>
    <row r="39109" spans="191:191" x14ac:dyDescent="0.2">
      <c r="GI39109" s="422"/>
    </row>
    <row r="39110" spans="191:191" x14ac:dyDescent="0.2">
      <c r="GI39110" s="422"/>
    </row>
    <row r="39111" spans="191:191" x14ac:dyDescent="0.2">
      <c r="GI39111" s="422"/>
    </row>
    <row r="39112" spans="191:191" x14ac:dyDescent="0.2">
      <c r="GI39112" s="422"/>
    </row>
    <row r="39113" spans="191:191" x14ac:dyDescent="0.2">
      <c r="GI39113" s="422"/>
    </row>
    <row r="39114" spans="191:191" x14ac:dyDescent="0.2">
      <c r="GI39114" s="422"/>
    </row>
    <row r="39115" spans="191:191" x14ac:dyDescent="0.2">
      <c r="GI39115" s="422"/>
    </row>
    <row r="39116" spans="191:191" x14ac:dyDescent="0.2">
      <c r="GI39116" s="422"/>
    </row>
    <row r="39117" spans="191:191" x14ac:dyDescent="0.2">
      <c r="GI39117" s="422"/>
    </row>
    <row r="39118" spans="191:191" x14ac:dyDescent="0.2">
      <c r="GI39118" s="422"/>
    </row>
    <row r="39119" spans="191:191" x14ac:dyDescent="0.2">
      <c r="GI39119" s="422"/>
    </row>
    <row r="39120" spans="191:191" x14ac:dyDescent="0.2">
      <c r="GI39120" s="422"/>
    </row>
    <row r="39121" spans="191:191" x14ac:dyDescent="0.2">
      <c r="GI39121" s="422"/>
    </row>
    <row r="39122" spans="191:191" x14ac:dyDescent="0.2">
      <c r="GI39122" s="422"/>
    </row>
    <row r="39123" spans="191:191" x14ac:dyDescent="0.2">
      <c r="GI39123" s="422"/>
    </row>
    <row r="39124" spans="191:191" x14ac:dyDescent="0.2">
      <c r="GI39124" s="422"/>
    </row>
    <row r="39125" spans="191:191" x14ac:dyDescent="0.2">
      <c r="GI39125" s="422"/>
    </row>
    <row r="39126" spans="191:191" x14ac:dyDescent="0.2">
      <c r="GI39126" s="422"/>
    </row>
    <row r="39127" spans="191:191" x14ac:dyDescent="0.2">
      <c r="GI39127" s="422"/>
    </row>
    <row r="39128" spans="191:191" x14ac:dyDescent="0.2">
      <c r="GI39128" s="422"/>
    </row>
    <row r="39129" spans="191:191" x14ac:dyDescent="0.2">
      <c r="GI39129" s="422"/>
    </row>
    <row r="39130" spans="191:191" x14ac:dyDescent="0.2">
      <c r="GI39130" s="422"/>
    </row>
    <row r="39131" spans="191:191" x14ac:dyDescent="0.2">
      <c r="GI39131" s="422"/>
    </row>
    <row r="39132" spans="191:191" x14ac:dyDescent="0.2">
      <c r="GI39132" s="422"/>
    </row>
    <row r="39133" spans="191:191" x14ac:dyDescent="0.2">
      <c r="GI39133" s="422"/>
    </row>
    <row r="39134" spans="191:191" x14ac:dyDescent="0.2">
      <c r="GI39134" s="422"/>
    </row>
    <row r="39135" spans="191:191" x14ac:dyDescent="0.2">
      <c r="GI39135" s="422"/>
    </row>
    <row r="39136" spans="191:191" x14ac:dyDescent="0.2">
      <c r="GI39136" s="422"/>
    </row>
    <row r="39137" spans="191:191" x14ac:dyDescent="0.2">
      <c r="GI39137" s="422"/>
    </row>
    <row r="39138" spans="191:191" x14ac:dyDescent="0.2">
      <c r="GI39138" s="422"/>
    </row>
    <row r="39139" spans="191:191" x14ac:dyDescent="0.2">
      <c r="GI39139" s="422"/>
    </row>
    <row r="39140" spans="191:191" x14ac:dyDescent="0.2">
      <c r="GI39140" s="422"/>
    </row>
    <row r="39141" spans="191:191" x14ac:dyDescent="0.2">
      <c r="GI39141" s="422"/>
    </row>
    <row r="39142" spans="191:191" x14ac:dyDescent="0.2">
      <c r="GI39142" s="422"/>
    </row>
    <row r="39143" spans="191:191" x14ac:dyDescent="0.2">
      <c r="GI39143" s="422"/>
    </row>
    <row r="39144" spans="191:191" x14ac:dyDescent="0.2">
      <c r="GI39144" s="422"/>
    </row>
    <row r="39145" spans="191:191" x14ac:dyDescent="0.2">
      <c r="GI39145" s="422"/>
    </row>
    <row r="39146" spans="191:191" x14ac:dyDescent="0.2">
      <c r="GI39146" s="422"/>
    </row>
    <row r="39147" spans="191:191" x14ac:dyDescent="0.2">
      <c r="GI39147" s="422"/>
    </row>
    <row r="39148" spans="191:191" x14ac:dyDescent="0.2">
      <c r="GI39148" s="422"/>
    </row>
    <row r="39149" spans="191:191" x14ac:dyDescent="0.2">
      <c r="GI39149" s="422"/>
    </row>
    <row r="39150" spans="191:191" x14ac:dyDescent="0.2">
      <c r="GI39150" s="422"/>
    </row>
    <row r="39151" spans="191:191" x14ac:dyDescent="0.2">
      <c r="GI39151" s="422"/>
    </row>
    <row r="39152" spans="191:191" x14ac:dyDescent="0.2">
      <c r="GI39152" s="422"/>
    </row>
    <row r="39153" spans="191:191" x14ac:dyDescent="0.2">
      <c r="GI39153" s="422"/>
    </row>
    <row r="39154" spans="191:191" x14ac:dyDescent="0.2">
      <c r="GI39154" s="422"/>
    </row>
    <row r="39155" spans="191:191" x14ac:dyDescent="0.2">
      <c r="GI39155" s="422"/>
    </row>
    <row r="39156" spans="191:191" x14ac:dyDescent="0.2">
      <c r="GI39156" s="422"/>
    </row>
    <row r="39157" spans="191:191" x14ac:dyDescent="0.2">
      <c r="GI39157" s="422"/>
    </row>
    <row r="39158" spans="191:191" x14ac:dyDescent="0.2">
      <c r="GI39158" s="422"/>
    </row>
    <row r="39159" spans="191:191" x14ac:dyDescent="0.2">
      <c r="GI39159" s="422"/>
    </row>
    <row r="39160" spans="191:191" x14ac:dyDescent="0.2">
      <c r="GI39160" s="422"/>
    </row>
    <row r="39161" spans="191:191" x14ac:dyDescent="0.2">
      <c r="GI39161" s="422"/>
    </row>
    <row r="39162" spans="191:191" x14ac:dyDescent="0.2">
      <c r="GI39162" s="422"/>
    </row>
    <row r="39163" spans="191:191" x14ac:dyDescent="0.2">
      <c r="GI39163" s="422"/>
    </row>
    <row r="39164" spans="191:191" x14ac:dyDescent="0.2">
      <c r="GI39164" s="422"/>
    </row>
    <row r="39165" spans="191:191" x14ac:dyDescent="0.2">
      <c r="GI39165" s="422"/>
    </row>
    <row r="39166" spans="191:191" x14ac:dyDescent="0.2">
      <c r="GI39166" s="422"/>
    </row>
    <row r="39167" spans="191:191" x14ac:dyDescent="0.2">
      <c r="GI39167" s="422"/>
    </row>
    <row r="39168" spans="191:191" x14ac:dyDescent="0.2">
      <c r="GI39168" s="422"/>
    </row>
    <row r="39169" spans="191:191" x14ac:dyDescent="0.2">
      <c r="GI39169" s="422"/>
    </row>
    <row r="39170" spans="191:191" x14ac:dyDescent="0.2">
      <c r="GI39170" s="422"/>
    </row>
    <row r="39171" spans="191:191" x14ac:dyDescent="0.2">
      <c r="GI39171" s="422"/>
    </row>
    <row r="39172" spans="191:191" x14ac:dyDescent="0.2">
      <c r="GI39172" s="422"/>
    </row>
    <row r="39173" spans="191:191" x14ac:dyDescent="0.2">
      <c r="GI39173" s="422"/>
    </row>
    <row r="39174" spans="191:191" x14ac:dyDescent="0.2">
      <c r="GI39174" s="422"/>
    </row>
    <row r="39175" spans="191:191" x14ac:dyDescent="0.2">
      <c r="GI39175" s="422"/>
    </row>
    <row r="39176" spans="191:191" x14ac:dyDescent="0.2">
      <c r="GI39176" s="422"/>
    </row>
    <row r="39177" spans="191:191" x14ac:dyDescent="0.2">
      <c r="GI39177" s="422"/>
    </row>
    <row r="39178" spans="191:191" x14ac:dyDescent="0.2">
      <c r="GI39178" s="422"/>
    </row>
    <row r="39179" spans="191:191" x14ac:dyDescent="0.2">
      <c r="GI39179" s="422"/>
    </row>
    <row r="39180" spans="191:191" x14ac:dyDescent="0.2">
      <c r="GI39180" s="422"/>
    </row>
    <row r="39181" spans="191:191" x14ac:dyDescent="0.2">
      <c r="GI39181" s="422"/>
    </row>
    <row r="39182" spans="191:191" x14ac:dyDescent="0.2">
      <c r="GI39182" s="422"/>
    </row>
    <row r="39183" spans="191:191" x14ac:dyDescent="0.2">
      <c r="GI39183" s="422"/>
    </row>
    <row r="39184" spans="191:191" x14ac:dyDescent="0.2">
      <c r="GI39184" s="422"/>
    </row>
    <row r="39185" spans="191:191" x14ac:dyDescent="0.2">
      <c r="GI39185" s="422"/>
    </row>
    <row r="39186" spans="191:191" x14ac:dyDescent="0.2">
      <c r="GI39186" s="422"/>
    </row>
    <row r="39187" spans="191:191" x14ac:dyDescent="0.2">
      <c r="GI39187" s="422"/>
    </row>
    <row r="39188" spans="191:191" x14ac:dyDescent="0.2">
      <c r="GI39188" s="422"/>
    </row>
    <row r="39189" spans="191:191" x14ac:dyDescent="0.2">
      <c r="GI39189" s="422"/>
    </row>
    <row r="39190" spans="191:191" x14ac:dyDescent="0.2">
      <c r="GI39190" s="422"/>
    </row>
    <row r="39191" spans="191:191" x14ac:dyDescent="0.2">
      <c r="GI39191" s="422"/>
    </row>
    <row r="39192" spans="191:191" x14ac:dyDescent="0.2">
      <c r="GI39192" s="422"/>
    </row>
    <row r="39193" spans="191:191" x14ac:dyDescent="0.2">
      <c r="GI39193" s="422"/>
    </row>
    <row r="39194" spans="191:191" x14ac:dyDescent="0.2">
      <c r="GI39194" s="422"/>
    </row>
    <row r="39195" spans="191:191" x14ac:dyDescent="0.2">
      <c r="GI39195" s="422"/>
    </row>
    <row r="39196" spans="191:191" x14ac:dyDescent="0.2">
      <c r="GI39196" s="422"/>
    </row>
    <row r="39197" spans="191:191" x14ac:dyDescent="0.2">
      <c r="GI39197" s="422"/>
    </row>
    <row r="39198" spans="191:191" x14ac:dyDescent="0.2">
      <c r="GI39198" s="422"/>
    </row>
    <row r="39199" spans="191:191" x14ac:dyDescent="0.2">
      <c r="GI39199" s="422"/>
    </row>
    <row r="39200" spans="191:191" x14ac:dyDescent="0.2">
      <c r="GI39200" s="422"/>
    </row>
    <row r="39201" spans="191:191" x14ac:dyDescent="0.2">
      <c r="GI39201" s="422"/>
    </row>
    <row r="39202" spans="191:191" x14ac:dyDescent="0.2">
      <c r="GI39202" s="422"/>
    </row>
    <row r="39203" spans="191:191" x14ac:dyDescent="0.2">
      <c r="GI39203" s="422"/>
    </row>
    <row r="39204" spans="191:191" x14ac:dyDescent="0.2">
      <c r="GI39204" s="422"/>
    </row>
    <row r="39205" spans="191:191" x14ac:dyDescent="0.2">
      <c r="GI39205" s="422"/>
    </row>
    <row r="39206" spans="191:191" x14ac:dyDescent="0.2">
      <c r="GI39206" s="422"/>
    </row>
    <row r="39207" spans="191:191" x14ac:dyDescent="0.2">
      <c r="GI39207" s="422"/>
    </row>
    <row r="39208" spans="191:191" x14ac:dyDescent="0.2">
      <c r="GI39208" s="422"/>
    </row>
    <row r="39209" spans="191:191" x14ac:dyDescent="0.2">
      <c r="GI39209" s="422"/>
    </row>
    <row r="39210" spans="191:191" x14ac:dyDescent="0.2">
      <c r="GI39210" s="422"/>
    </row>
    <row r="39211" spans="191:191" x14ac:dyDescent="0.2">
      <c r="GI39211" s="422"/>
    </row>
    <row r="39212" spans="191:191" x14ac:dyDescent="0.2">
      <c r="GI39212" s="422"/>
    </row>
    <row r="39213" spans="191:191" x14ac:dyDescent="0.2">
      <c r="GI39213" s="422"/>
    </row>
    <row r="39214" spans="191:191" x14ac:dyDescent="0.2">
      <c r="GI39214" s="422"/>
    </row>
    <row r="39215" spans="191:191" x14ac:dyDescent="0.2">
      <c r="GI39215" s="422"/>
    </row>
    <row r="39216" spans="191:191" x14ac:dyDescent="0.2">
      <c r="GI39216" s="422"/>
    </row>
    <row r="39217" spans="191:191" x14ac:dyDescent="0.2">
      <c r="GI39217" s="422"/>
    </row>
    <row r="39218" spans="191:191" x14ac:dyDescent="0.2">
      <c r="GI39218" s="422"/>
    </row>
    <row r="39219" spans="191:191" x14ac:dyDescent="0.2">
      <c r="GI39219" s="422"/>
    </row>
    <row r="39220" spans="191:191" x14ac:dyDescent="0.2">
      <c r="GI39220" s="422"/>
    </row>
    <row r="39221" spans="191:191" x14ac:dyDescent="0.2">
      <c r="GI39221" s="422"/>
    </row>
    <row r="39222" spans="191:191" x14ac:dyDescent="0.2">
      <c r="GI39222" s="422"/>
    </row>
    <row r="39223" spans="191:191" x14ac:dyDescent="0.2">
      <c r="GI39223" s="422"/>
    </row>
    <row r="39224" spans="191:191" x14ac:dyDescent="0.2">
      <c r="GI39224" s="422"/>
    </row>
    <row r="39225" spans="191:191" x14ac:dyDescent="0.2">
      <c r="GI39225" s="422"/>
    </row>
    <row r="39226" spans="191:191" x14ac:dyDescent="0.2">
      <c r="GI39226" s="422"/>
    </row>
    <row r="39227" spans="191:191" x14ac:dyDescent="0.2">
      <c r="GI39227" s="422"/>
    </row>
    <row r="39228" spans="191:191" x14ac:dyDescent="0.2">
      <c r="GI39228" s="422"/>
    </row>
    <row r="39229" spans="191:191" x14ac:dyDescent="0.2">
      <c r="GI39229" s="422"/>
    </row>
    <row r="39230" spans="191:191" x14ac:dyDescent="0.2">
      <c r="GI39230" s="422"/>
    </row>
    <row r="39231" spans="191:191" x14ac:dyDescent="0.2">
      <c r="GI39231" s="422"/>
    </row>
    <row r="39232" spans="191:191" x14ac:dyDescent="0.2">
      <c r="GI39232" s="422"/>
    </row>
    <row r="39233" spans="191:191" x14ac:dyDescent="0.2">
      <c r="GI39233" s="422"/>
    </row>
    <row r="39234" spans="191:191" x14ac:dyDescent="0.2">
      <c r="GI39234" s="422"/>
    </row>
    <row r="39235" spans="191:191" x14ac:dyDescent="0.2">
      <c r="GI39235" s="422"/>
    </row>
    <row r="39236" spans="191:191" x14ac:dyDescent="0.2">
      <c r="GI39236" s="422"/>
    </row>
    <row r="39237" spans="191:191" x14ac:dyDescent="0.2">
      <c r="GI39237" s="422"/>
    </row>
    <row r="39238" spans="191:191" x14ac:dyDescent="0.2">
      <c r="GI39238" s="422"/>
    </row>
    <row r="39239" spans="191:191" x14ac:dyDescent="0.2">
      <c r="GI39239" s="422"/>
    </row>
    <row r="39240" spans="191:191" x14ac:dyDescent="0.2">
      <c r="GI39240" s="422"/>
    </row>
    <row r="39241" spans="191:191" x14ac:dyDescent="0.2">
      <c r="GI39241" s="422"/>
    </row>
    <row r="39242" spans="191:191" x14ac:dyDescent="0.2">
      <c r="GI39242" s="422"/>
    </row>
    <row r="39243" spans="191:191" x14ac:dyDescent="0.2">
      <c r="GI39243" s="422"/>
    </row>
    <row r="39244" spans="191:191" x14ac:dyDescent="0.2">
      <c r="GI39244" s="422"/>
    </row>
    <row r="39245" spans="191:191" x14ac:dyDescent="0.2">
      <c r="GI39245" s="422"/>
    </row>
    <row r="39246" spans="191:191" x14ac:dyDescent="0.2">
      <c r="GI39246" s="422"/>
    </row>
    <row r="39247" spans="191:191" x14ac:dyDescent="0.2">
      <c r="GI39247" s="422"/>
    </row>
    <row r="39248" spans="191:191" x14ac:dyDescent="0.2">
      <c r="GI39248" s="422"/>
    </row>
    <row r="39249" spans="191:191" x14ac:dyDescent="0.2">
      <c r="GI39249" s="422"/>
    </row>
    <row r="39250" spans="191:191" x14ac:dyDescent="0.2">
      <c r="GI39250" s="422"/>
    </row>
    <row r="39251" spans="191:191" x14ac:dyDescent="0.2">
      <c r="GI39251" s="422"/>
    </row>
    <row r="39252" spans="191:191" x14ac:dyDescent="0.2">
      <c r="GI39252" s="422"/>
    </row>
    <row r="39253" spans="191:191" x14ac:dyDescent="0.2">
      <c r="GI39253" s="422"/>
    </row>
    <row r="39254" spans="191:191" x14ac:dyDescent="0.2">
      <c r="GI39254" s="422"/>
    </row>
    <row r="39255" spans="191:191" x14ac:dyDescent="0.2">
      <c r="GI39255" s="422"/>
    </row>
    <row r="39256" spans="191:191" x14ac:dyDescent="0.2">
      <c r="GI39256" s="422"/>
    </row>
    <row r="39257" spans="191:191" x14ac:dyDescent="0.2">
      <c r="GI39257" s="422"/>
    </row>
    <row r="39258" spans="191:191" x14ac:dyDescent="0.2">
      <c r="GI39258" s="422"/>
    </row>
    <row r="39259" spans="191:191" x14ac:dyDescent="0.2">
      <c r="GI39259" s="422"/>
    </row>
    <row r="39260" spans="191:191" x14ac:dyDescent="0.2">
      <c r="GI39260" s="422"/>
    </row>
    <row r="39261" spans="191:191" x14ac:dyDescent="0.2">
      <c r="GI39261" s="422"/>
    </row>
    <row r="39262" spans="191:191" x14ac:dyDescent="0.2">
      <c r="GI39262" s="422"/>
    </row>
    <row r="39263" spans="191:191" x14ac:dyDescent="0.2">
      <c r="GI39263" s="422"/>
    </row>
    <row r="39264" spans="191:191" x14ac:dyDescent="0.2">
      <c r="GI39264" s="422"/>
    </row>
    <row r="39265" spans="191:191" x14ac:dyDescent="0.2">
      <c r="GI39265" s="422"/>
    </row>
    <row r="39266" spans="191:191" x14ac:dyDescent="0.2">
      <c r="GI39266" s="422"/>
    </row>
    <row r="39267" spans="191:191" x14ac:dyDescent="0.2">
      <c r="GI39267" s="422"/>
    </row>
    <row r="39268" spans="191:191" x14ac:dyDescent="0.2">
      <c r="GI39268" s="422"/>
    </row>
    <row r="39269" spans="191:191" x14ac:dyDescent="0.2">
      <c r="GI39269" s="422"/>
    </row>
    <row r="39270" spans="191:191" x14ac:dyDescent="0.2">
      <c r="GI39270" s="422"/>
    </row>
    <row r="39271" spans="191:191" x14ac:dyDescent="0.2">
      <c r="GI39271" s="422"/>
    </row>
    <row r="39272" spans="191:191" x14ac:dyDescent="0.2">
      <c r="GI39272" s="422"/>
    </row>
    <row r="39273" spans="191:191" x14ac:dyDescent="0.2">
      <c r="GI39273" s="422"/>
    </row>
    <row r="39274" spans="191:191" x14ac:dyDescent="0.2">
      <c r="GI39274" s="422"/>
    </row>
    <row r="39275" spans="191:191" x14ac:dyDescent="0.2">
      <c r="GI39275" s="422"/>
    </row>
    <row r="39276" spans="191:191" x14ac:dyDescent="0.2">
      <c r="GI39276" s="422"/>
    </row>
    <row r="39277" spans="191:191" x14ac:dyDescent="0.2">
      <c r="GI39277" s="422"/>
    </row>
    <row r="39278" spans="191:191" x14ac:dyDescent="0.2">
      <c r="GI39278" s="422"/>
    </row>
    <row r="39279" spans="191:191" x14ac:dyDescent="0.2">
      <c r="GI39279" s="422"/>
    </row>
    <row r="39280" spans="191:191" x14ac:dyDescent="0.2">
      <c r="GI39280" s="422"/>
    </row>
    <row r="39281" spans="191:191" x14ac:dyDescent="0.2">
      <c r="GI39281" s="422"/>
    </row>
    <row r="39282" spans="191:191" x14ac:dyDescent="0.2">
      <c r="GI39282" s="422"/>
    </row>
    <row r="39283" spans="191:191" x14ac:dyDescent="0.2">
      <c r="GI39283" s="422"/>
    </row>
    <row r="39284" spans="191:191" x14ac:dyDescent="0.2">
      <c r="GI39284" s="422"/>
    </row>
    <row r="39285" spans="191:191" x14ac:dyDescent="0.2">
      <c r="GI39285" s="422"/>
    </row>
    <row r="39286" spans="191:191" x14ac:dyDescent="0.2">
      <c r="GI39286" s="422"/>
    </row>
    <row r="39287" spans="191:191" x14ac:dyDescent="0.2">
      <c r="GI39287" s="422"/>
    </row>
    <row r="39288" spans="191:191" x14ac:dyDescent="0.2">
      <c r="GI39288" s="422"/>
    </row>
    <row r="39289" spans="191:191" x14ac:dyDescent="0.2">
      <c r="GI39289" s="422"/>
    </row>
    <row r="39290" spans="191:191" x14ac:dyDescent="0.2">
      <c r="GI39290" s="422"/>
    </row>
    <row r="39291" spans="191:191" x14ac:dyDescent="0.2">
      <c r="GI39291" s="422"/>
    </row>
    <row r="39292" spans="191:191" x14ac:dyDescent="0.2">
      <c r="GI39292" s="422"/>
    </row>
    <row r="39293" spans="191:191" x14ac:dyDescent="0.2">
      <c r="GI39293" s="422"/>
    </row>
    <row r="39294" spans="191:191" x14ac:dyDescent="0.2">
      <c r="GI39294" s="422"/>
    </row>
    <row r="39295" spans="191:191" x14ac:dyDescent="0.2">
      <c r="GI39295" s="422"/>
    </row>
    <row r="39296" spans="191:191" x14ac:dyDescent="0.2">
      <c r="GI39296" s="422"/>
    </row>
    <row r="39297" spans="191:191" x14ac:dyDescent="0.2">
      <c r="GI39297" s="422"/>
    </row>
    <row r="39298" spans="191:191" x14ac:dyDescent="0.2">
      <c r="GI39298" s="422"/>
    </row>
    <row r="39299" spans="191:191" x14ac:dyDescent="0.2">
      <c r="GI39299" s="422"/>
    </row>
    <row r="39300" spans="191:191" x14ac:dyDescent="0.2">
      <c r="GI39300" s="422"/>
    </row>
    <row r="39301" spans="191:191" x14ac:dyDescent="0.2">
      <c r="GI39301" s="422"/>
    </row>
    <row r="39302" spans="191:191" x14ac:dyDescent="0.2">
      <c r="GI39302" s="422"/>
    </row>
    <row r="39303" spans="191:191" x14ac:dyDescent="0.2">
      <c r="GI39303" s="422"/>
    </row>
    <row r="39304" spans="191:191" x14ac:dyDescent="0.2">
      <c r="GI39304" s="422"/>
    </row>
    <row r="39305" spans="191:191" x14ac:dyDescent="0.2">
      <c r="GI39305" s="422"/>
    </row>
    <row r="39306" spans="191:191" x14ac:dyDescent="0.2">
      <c r="GI39306" s="422"/>
    </row>
    <row r="39307" spans="191:191" x14ac:dyDescent="0.2">
      <c r="GI39307" s="422"/>
    </row>
    <row r="39308" spans="191:191" x14ac:dyDescent="0.2">
      <c r="GI39308" s="422"/>
    </row>
    <row r="39309" spans="191:191" x14ac:dyDescent="0.2">
      <c r="GI39309" s="422"/>
    </row>
    <row r="39310" spans="191:191" x14ac:dyDescent="0.2">
      <c r="GI39310" s="422"/>
    </row>
    <row r="39311" spans="191:191" x14ac:dyDescent="0.2">
      <c r="GI39311" s="422"/>
    </row>
    <row r="39312" spans="191:191" x14ac:dyDescent="0.2">
      <c r="GI39312" s="422"/>
    </row>
    <row r="39313" spans="191:191" x14ac:dyDescent="0.2">
      <c r="GI39313" s="422"/>
    </row>
    <row r="39314" spans="191:191" x14ac:dyDescent="0.2">
      <c r="GI39314" s="422"/>
    </row>
    <row r="39315" spans="191:191" x14ac:dyDescent="0.2">
      <c r="GI39315" s="422"/>
    </row>
    <row r="39316" spans="191:191" x14ac:dyDescent="0.2">
      <c r="GI39316" s="422"/>
    </row>
    <row r="39317" spans="191:191" x14ac:dyDescent="0.2">
      <c r="GI39317" s="422"/>
    </row>
    <row r="39318" spans="191:191" x14ac:dyDescent="0.2">
      <c r="GI39318" s="422"/>
    </row>
    <row r="39319" spans="191:191" x14ac:dyDescent="0.2">
      <c r="GI39319" s="422"/>
    </row>
    <row r="39320" spans="191:191" x14ac:dyDescent="0.2">
      <c r="GI39320" s="422"/>
    </row>
    <row r="39321" spans="191:191" x14ac:dyDescent="0.2">
      <c r="GI39321" s="422"/>
    </row>
    <row r="39322" spans="191:191" x14ac:dyDescent="0.2">
      <c r="GI39322" s="422"/>
    </row>
    <row r="39323" spans="191:191" x14ac:dyDescent="0.2">
      <c r="GI39323" s="422"/>
    </row>
    <row r="39324" spans="191:191" x14ac:dyDescent="0.2">
      <c r="GI39324" s="422"/>
    </row>
    <row r="39325" spans="191:191" x14ac:dyDescent="0.2">
      <c r="GI39325" s="422"/>
    </row>
    <row r="39326" spans="191:191" x14ac:dyDescent="0.2">
      <c r="GI39326" s="422"/>
    </row>
    <row r="39327" spans="191:191" x14ac:dyDescent="0.2">
      <c r="GI39327" s="422"/>
    </row>
    <row r="39328" spans="191:191" x14ac:dyDescent="0.2">
      <c r="GI39328" s="422"/>
    </row>
    <row r="39329" spans="191:191" x14ac:dyDescent="0.2">
      <c r="GI39329" s="422"/>
    </row>
    <row r="39330" spans="191:191" x14ac:dyDescent="0.2">
      <c r="GI39330" s="422"/>
    </row>
    <row r="39331" spans="191:191" x14ac:dyDescent="0.2">
      <c r="GI39331" s="422"/>
    </row>
    <row r="39332" spans="191:191" x14ac:dyDescent="0.2">
      <c r="GI39332" s="422"/>
    </row>
    <row r="39333" spans="191:191" x14ac:dyDescent="0.2">
      <c r="GI39333" s="422"/>
    </row>
    <row r="39334" spans="191:191" x14ac:dyDescent="0.2">
      <c r="GI39334" s="422"/>
    </row>
    <row r="39335" spans="191:191" x14ac:dyDescent="0.2">
      <c r="GI39335" s="422"/>
    </row>
    <row r="39336" spans="191:191" x14ac:dyDescent="0.2">
      <c r="GI39336" s="422"/>
    </row>
    <row r="39337" spans="191:191" x14ac:dyDescent="0.2">
      <c r="GI39337" s="422"/>
    </row>
    <row r="39338" spans="191:191" x14ac:dyDescent="0.2">
      <c r="GI39338" s="422"/>
    </row>
    <row r="39339" spans="191:191" x14ac:dyDescent="0.2">
      <c r="GI39339" s="422"/>
    </row>
    <row r="39340" spans="191:191" x14ac:dyDescent="0.2">
      <c r="GI39340" s="422"/>
    </row>
    <row r="39341" spans="191:191" x14ac:dyDescent="0.2">
      <c r="GI39341" s="422"/>
    </row>
    <row r="39342" spans="191:191" x14ac:dyDescent="0.2">
      <c r="GI39342" s="422"/>
    </row>
    <row r="39343" spans="191:191" x14ac:dyDescent="0.2">
      <c r="GI39343" s="422"/>
    </row>
    <row r="39344" spans="191:191" x14ac:dyDescent="0.2">
      <c r="GI39344" s="422"/>
    </row>
    <row r="39345" spans="191:191" x14ac:dyDescent="0.2">
      <c r="GI39345" s="422"/>
    </row>
    <row r="39346" spans="191:191" x14ac:dyDescent="0.2">
      <c r="GI39346" s="422"/>
    </row>
    <row r="39347" spans="191:191" x14ac:dyDescent="0.2">
      <c r="GI39347" s="422"/>
    </row>
    <row r="39348" spans="191:191" x14ac:dyDescent="0.2">
      <c r="GI39348" s="422"/>
    </row>
    <row r="39349" spans="191:191" x14ac:dyDescent="0.2">
      <c r="GI39349" s="422"/>
    </row>
    <row r="39350" spans="191:191" x14ac:dyDescent="0.2">
      <c r="GI39350" s="422"/>
    </row>
    <row r="39351" spans="191:191" x14ac:dyDescent="0.2">
      <c r="GI39351" s="422"/>
    </row>
    <row r="39352" spans="191:191" x14ac:dyDescent="0.2">
      <c r="GI39352" s="422"/>
    </row>
    <row r="39353" spans="191:191" x14ac:dyDescent="0.2">
      <c r="GI39353" s="422"/>
    </row>
    <row r="39354" spans="191:191" x14ac:dyDescent="0.2">
      <c r="GI39354" s="422"/>
    </row>
    <row r="39355" spans="191:191" x14ac:dyDescent="0.2">
      <c r="GI39355" s="422"/>
    </row>
    <row r="39356" spans="191:191" x14ac:dyDescent="0.2">
      <c r="GI39356" s="422"/>
    </row>
    <row r="39357" spans="191:191" x14ac:dyDescent="0.2">
      <c r="GI39357" s="422"/>
    </row>
    <row r="39358" spans="191:191" x14ac:dyDescent="0.2">
      <c r="GI39358" s="422"/>
    </row>
    <row r="39359" spans="191:191" x14ac:dyDescent="0.2">
      <c r="GI39359" s="422"/>
    </row>
    <row r="39360" spans="191:191" x14ac:dyDescent="0.2">
      <c r="GI39360" s="422"/>
    </row>
    <row r="39361" spans="191:191" x14ac:dyDescent="0.2">
      <c r="GI39361" s="422"/>
    </row>
    <row r="39362" spans="191:191" x14ac:dyDescent="0.2">
      <c r="GI39362" s="422"/>
    </row>
    <row r="39363" spans="191:191" x14ac:dyDescent="0.2">
      <c r="GI39363" s="422"/>
    </row>
    <row r="39364" spans="191:191" x14ac:dyDescent="0.2">
      <c r="GI39364" s="422"/>
    </row>
    <row r="39365" spans="191:191" x14ac:dyDescent="0.2">
      <c r="GI39365" s="422"/>
    </row>
    <row r="39366" spans="191:191" x14ac:dyDescent="0.2">
      <c r="GI39366" s="422"/>
    </row>
    <row r="39367" spans="191:191" x14ac:dyDescent="0.2">
      <c r="GI39367" s="422"/>
    </row>
    <row r="39368" spans="191:191" x14ac:dyDescent="0.2">
      <c r="GI39368" s="422"/>
    </row>
    <row r="39369" spans="191:191" x14ac:dyDescent="0.2">
      <c r="GI39369" s="422"/>
    </row>
    <row r="39370" spans="191:191" x14ac:dyDescent="0.2">
      <c r="GI39370" s="422"/>
    </row>
    <row r="39371" spans="191:191" x14ac:dyDescent="0.2">
      <c r="GI39371" s="422"/>
    </row>
    <row r="39372" spans="191:191" x14ac:dyDescent="0.2">
      <c r="GI39372" s="422"/>
    </row>
    <row r="39373" spans="191:191" x14ac:dyDescent="0.2">
      <c r="GI39373" s="422"/>
    </row>
    <row r="39374" spans="191:191" x14ac:dyDescent="0.2">
      <c r="GI39374" s="422"/>
    </row>
    <row r="39375" spans="191:191" x14ac:dyDescent="0.2">
      <c r="GI39375" s="422"/>
    </row>
    <row r="39376" spans="191:191" x14ac:dyDescent="0.2">
      <c r="GI39376" s="422"/>
    </row>
    <row r="39377" spans="191:191" x14ac:dyDescent="0.2">
      <c r="GI39377" s="422"/>
    </row>
    <row r="39378" spans="191:191" x14ac:dyDescent="0.2">
      <c r="GI39378" s="422"/>
    </row>
    <row r="39379" spans="191:191" x14ac:dyDescent="0.2">
      <c r="GI39379" s="422"/>
    </row>
    <row r="39380" spans="191:191" x14ac:dyDescent="0.2">
      <c r="GI39380" s="422"/>
    </row>
    <row r="39381" spans="191:191" x14ac:dyDescent="0.2">
      <c r="GI39381" s="422"/>
    </row>
    <row r="39382" spans="191:191" x14ac:dyDescent="0.2">
      <c r="GI39382" s="422"/>
    </row>
    <row r="39383" spans="191:191" x14ac:dyDescent="0.2">
      <c r="GI39383" s="422"/>
    </row>
    <row r="39384" spans="191:191" x14ac:dyDescent="0.2">
      <c r="GI39384" s="422"/>
    </row>
    <row r="39385" spans="191:191" x14ac:dyDescent="0.2">
      <c r="GI39385" s="422"/>
    </row>
    <row r="39386" spans="191:191" x14ac:dyDescent="0.2">
      <c r="GI39386" s="422"/>
    </row>
    <row r="39387" spans="191:191" x14ac:dyDescent="0.2">
      <c r="GI39387" s="422"/>
    </row>
    <row r="39388" spans="191:191" x14ac:dyDescent="0.2">
      <c r="GI39388" s="422"/>
    </row>
    <row r="39389" spans="191:191" x14ac:dyDescent="0.2">
      <c r="GI39389" s="422"/>
    </row>
    <row r="39390" spans="191:191" x14ac:dyDescent="0.2">
      <c r="GI39390" s="422"/>
    </row>
    <row r="39391" spans="191:191" x14ac:dyDescent="0.2">
      <c r="GI39391" s="422"/>
    </row>
    <row r="39392" spans="191:191" x14ac:dyDescent="0.2">
      <c r="GI39392" s="422"/>
    </row>
    <row r="39393" spans="191:191" x14ac:dyDescent="0.2">
      <c r="GI39393" s="422"/>
    </row>
    <row r="39394" spans="191:191" x14ac:dyDescent="0.2">
      <c r="GI39394" s="422"/>
    </row>
    <row r="39395" spans="191:191" x14ac:dyDescent="0.2">
      <c r="GI39395" s="422"/>
    </row>
    <row r="39396" spans="191:191" x14ac:dyDescent="0.2">
      <c r="GI39396" s="422"/>
    </row>
    <row r="39397" spans="191:191" x14ac:dyDescent="0.2">
      <c r="GI39397" s="422"/>
    </row>
    <row r="39398" spans="191:191" x14ac:dyDescent="0.2">
      <c r="GI39398" s="422"/>
    </row>
    <row r="39399" spans="191:191" x14ac:dyDescent="0.2">
      <c r="GI39399" s="422"/>
    </row>
    <row r="39400" spans="191:191" x14ac:dyDescent="0.2">
      <c r="GI39400" s="422"/>
    </row>
    <row r="39401" spans="191:191" x14ac:dyDescent="0.2">
      <c r="GI39401" s="422"/>
    </row>
    <row r="39402" spans="191:191" x14ac:dyDescent="0.2">
      <c r="GI39402" s="422"/>
    </row>
    <row r="39403" spans="191:191" x14ac:dyDescent="0.2">
      <c r="GI39403" s="422"/>
    </row>
    <row r="39404" spans="191:191" x14ac:dyDescent="0.2">
      <c r="GI39404" s="422"/>
    </row>
    <row r="39405" spans="191:191" x14ac:dyDescent="0.2">
      <c r="GI39405" s="422"/>
    </row>
    <row r="39406" spans="191:191" x14ac:dyDescent="0.2">
      <c r="GI39406" s="422"/>
    </row>
    <row r="39407" spans="191:191" x14ac:dyDescent="0.2">
      <c r="GI39407" s="422"/>
    </row>
    <row r="39408" spans="191:191" x14ac:dyDescent="0.2">
      <c r="GI39408" s="422"/>
    </row>
    <row r="39409" spans="191:191" x14ac:dyDescent="0.2">
      <c r="GI39409" s="422"/>
    </row>
    <row r="39410" spans="191:191" x14ac:dyDescent="0.2">
      <c r="GI39410" s="422"/>
    </row>
    <row r="39411" spans="191:191" x14ac:dyDescent="0.2">
      <c r="GI39411" s="422"/>
    </row>
    <row r="39412" spans="191:191" x14ac:dyDescent="0.2">
      <c r="GI39412" s="422"/>
    </row>
    <row r="39413" spans="191:191" x14ac:dyDescent="0.2">
      <c r="GI39413" s="422"/>
    </row>
    <row r="39414" spans="191:191" x14ac:dyDescent="0.2">
      <c r="GI39414" s="422"/>
    </row>
    <row r="39415" spans="191:191" x14ac:dyDescent="0.2">
      <c r="GI39415" s="422"/>
    </row>
    <row r="39416" spans="191:191" x14ac:dyDescent="0.2">
      <c r="GI39416" s="422"/>
    </row>
    <row r="39417" spans="191:191" x14ac:dyDescent="0.2">
      <c r="GI39417" s="422"/>
    </row>
    <row r="39418" spans="191:191" x14ac:dyDescent="0.2">
      <c r="GI39418" s="422"/>
    </row>
    <row r="39419" spans="191:191" x14ac:dyDescent="0.2">
      <c r="GI39419" s="422"/>
    </row>
    <row r="39420" spans="191:191" x14ac:dyDescent="0.2">
      <c r="GI39420" s="422"/>
    </row>
    <row r="39421" spans="191:191" x14ac:dyDescent="0.2">
      <c r="GI39421" s="422"/>
    </row>
    <row r="39422" spans="191:191" x14ac:dyDescent="0.2">
      <c r="GI39422" s="422"/>
    </row>
    <row r="39423" spans="191:191" x14ac:dyDescent="0.2">
      <c r="GI39423" s="422"/>
    </row>
    <row r="39424" spans="191:191" x14ac:dyDescent="0.2">
      <c r="GI39424" s="422"/>
    </row>
    <row r="39425" spans="191:191" x14ac:dyDescent="0.2">
      <c r="GI39425" s="422"/>
    </row>
    <row r="39426" spans="191:191" x14ac:dyDescent="0.2">
      <c r="GI39426" s="422"/>
    </row>
    <row r="39427" spans="191:191" x14ac:dyDescent="0.2">
      <c r="GI39427" s="422"/>
    </row>
    <row r="39428" spans="191:191" x14ac:dyDescent="0.2">
      <c r="GI39428" s="422"/>
    </row>
    <row r="39429" spans="191:191" x14ac:dyDescent="0.2">
      <c r="GI39429" s="422"/>
    </row>
    <row r="39430" spans="191:191" x14ac:dyDescent="0.2">
      <c r="GI39430" s="422"/>
    </row>
    <row r="39431" spans="191:191" x14ac:dyDescent="0.2">
      <c r="GI39431" s="422"/>
    </row>
    <row r="39432" spans="191:191" x14ac:dyDescent="0.2">
      <c r="GI39432" s="422"/>
    </row>
    <row r="39433" spans="191:191" x14ac:dyDescent="0.2">
      <c r="GI39433" s="422"/>
    </row>
    <row r="39434" spans="191:191" x14ac:dyDescent="0.2">
      <c r="GI39434" s="422"/>
    </row>
    <row r="39435" spans="191:191" x14ac:dyDescent="0.2">
      <c r="GI39435" s="422"/>
    </row>
    <row r="39436" spans="191:191" x14ac:dyDescent="0.2">
      <c r="GI39436" s="422"/>
    </row>
    <row r="39437" spans="191:191" x14ac:dyDescent="0.2">
      <c r="GI39437" s="422"/>
    </row>
    <row r="39438" spans="191:191" x14ac:dyDescent="0.2">
      <c r="GI39438" s="422"/>
    </row>
    <row r="39439" spans="191:191" x14ac:dyDescent="0.2">
      <c r="GI39439" s="422"/>
    </row>
    <row r="39440" spans="191:191" x14ac:dyDescent="0.2">
      <c r="GI39440" s="422"/>
    </row>
    <row r="39441" spans="191:191" x14ac:dyDescent="0.2">
      <c r="GI39441" s="422"/>
    </row>
    <row r="39442" spans="191:191" x14ac:dyDescent="0.2">
      <c r="GI39442" s="422"/>
    </row>
    <row r="39443" spans="191:191" x14ac:dyDescent="0.2">
      <c r="GI39443" s="422"/>
    </row>
    <row r="39444" spans="191:191" x14ac:dyDescent="0.2">
      <c r="GI39444" s="422"/>
    </row>
    <row r="39445" spans="191:191" x14ac:dyDescent="0.2">
      <c r="GI39445" s="422"/>
    </row>
    <row r="39446" spans="191:191" x14ac:dyDescent="0.2">
      <c r="GI39446" s="422"/>
    </row>
    <row r="39447" spans="191:191" x14ac:dyDescent="0.2">
      <c r="GI39447" s="422"/>
    </row>
    <row r="39448" spans="191:191" x14ac:dyDescent="0.2">
      <c r="GI39448" s="422"/>
    </row>
    <row r="39449" spans="191:191" x14ac:dyDescent="0.2">
      <c r="GI39449" s="422"/>
    </row>
    <row r="39450" spans="191:191" x14ac:dyDescent="0.2">
      <c r="GI39450" s="422"/>
    </row>
    <row r="39451" spans="191:191" x14ac:dyDescent="0.2">
      <c r="GI39451" s="422"/>
    </row>
    <row r="39452" spans="191:191" x14ac:dyDescent="0.2">
      <c r="GI39452" s="422"/>
    </row>
    <row r="39453" spans="191:191" x14ac:dyDescent="0.2">
      <c r="GI39453" s="422"/>
    </row>
    <row r="39454" spans="191:191" x14ac:dyDescent="0.2">
      <c r="GI39454" s="422"/>
    </row>
    <row r="39455" spans="191:191" x14ac:dyDescent="0.2">
      <c r="GI39455" s="422"/>
    </row>
    <row r="39456" spans="191:191" x14ac:dyDescent="0.2">
      <c r="GI39456" s="422"/>
    </row>
    <row r="39457" spans="191:191" x14ac:dyDescent="0.2">
      <c r="GI39457" s="422"/>
    </row>
    <row r="39458" spans="191:191" x14ac:dyDescent="0.2">
      <c r="GI39458" s="422"/>
    </row>
    <row r="39459" spans="191:191" x14ac:dyDescent="0.2">
      <c r="GI39459" s="422"/>
    </row>
    <row r="39460" spans="191:191" x14ac:dyDescent="0.2">
      <c r="GI39460" s="422"/>
    </row>
    <row r="39461" spans="191:191" x14ac:dyDescent="0.2">
      <c r="GI39461" s="422"/>
    </row>
    <row r="39462" spans="191:191" x14ac:dyDescent="0.2">
      <c r="GI39462" s="422"/>
    </row>
    <row r="39463" spans="191:191" x14ac:dyDescent="0.2">
      <c r="GI39463" s="422"/>
    </row>
    <row r="39464" spans="191:191" x14ac:dyDescent="0.2">
      <c r="GI39464" s="422"/>
    </row>
    <row r="39465" spans="191:191" x14ac:dyDescent="0.2">
      <c r="GI39465" s="422"/>
    </row>
    <row r="39466" spans="191:191" x14ac:dyDescent="0.2">
      <c r="GI39466" s="422"/>
    </row>
    <row r="39467" spans="191:191" x14ac:dyDescent="0.2">
      <c r="GI39467" s="422"/>
    </row>
    <row r="39468" spans="191:191" x14ac:dyDescent="0.2">
      <c r="GI39468" s="422"/>
    </row>
    <row r="39469" spans="191:191" x14ac:dyDescent="0.2">
      <c r="GI39469" s="422"/>
    </row>
    <row r="39470" spans="191:191" x14ac:dyDescent="0.2">
      <c r="GI39470" s="422"/>
    </row>
    <row r="39471" spans="191:191" x14ac:dyDescent="0.2">
      <c r="GI39471" s="422"/>
    </row>
    <row r="39472" spans="191:191" x14ac:dyDescent="0.2">
      <c r="GI39472" s="422"/>
    </row>
    <row r="39473" spans="191:191" x14ac:dyDescent="0.2">
      <c r="GI39473" s="422"/>
    </row>
    <row r="39474" spans="191:191" x14ac:dyDescent="0.2">
      <c r="GI39474" s="422"/>
    </row>
    <row r="39475" spans="191:191" x14ac:dyDescent="0.2">
      <c r="GI39475" s="422"/>
    </row>
    <row r="39476" spans="191:191" x14ac:dyDescent="0.2">
      <c r="GI39476" s="422"/>
    </row>
    <row r="39477" spans="191:191" x14ac:dyDescent="0.2">
      <c r="GI39477" s="422"/>
    </row>
    <row r="39478" spans="191:191" x14ac:dyDescent="0.2">
      <c r="GI39478" s="422"/>
    </row>
    <row r="39479" spans="191:191" x14ac:dyDescent="0.2">
      <c r="GI39479" s="422"/>
    </row>
    <row r="39480" spans="191:191" x14ac:dyDescent="0.2">
      <c r="GI39480" s="422"/>
    </row>
    <row r="39481" spans="191:191" x14ac:dyDescent="0.2">
      <c r="GI39481" s="422"/>
    </row>
    <row r="39482" spans="191:191" x14ac:dyDescent="0.2">
      <c r="GI39482" s="422"/>
    </row>
    <row r="39483" spans="191:191" x14ac:dyDescent="0.2">
      <c r="GI39483" s="422"/>
    </row>
    <row r="39484" spans="191:191" x14ac:dyDescent="0.2">
      <c r="GI39484" s="422"/>
    </row>
    <row r="39485" spans="191:191" x14ac:dyDescent="0.2">
      <c r="GI39485" s="422"/>
    </row>
    <row r="39486" spans="191:191" x14ac:dyDescent="0.2">
      <c r="GI39486" s="422"/>
    </row>
    <row r="39487" spans="191:191" x14ac:dyDescent="0.2">
      <c r="GI39487" s="422"/>
    </row>
    <row r="39488" spans="191:191" x14ac:dyDescent="0.2">
      <c r="GI39488" s="422"/>
    </row>
    <row r="39489" spans="191:191" x14ac:dyDescent="0.2">
      <c r="GI39489" s="422"/>
    </row>
    <row r="39490" spans="191:191" x14ac:dyDescent="0.2">
      <c r="GI39490" s="422"/>
    </row>
    <row r="39491" spans="191:191" x14ac:dyDescent="0.2">
      <c r="GI39491" s="422"/>
    </row>
    <row r="39492" spans="191:191" x14ac:dyDescent="0.2">
      <c r="GI39492" s="422"/>
    </row>
    <row r="39493" spans="191:191" x14ac:dyDescent="0.2">
      <c r="GI39493" s="422"/>
    </row>
    <row r="39494" spans="191:191" x14ac:dyDescent="0.2">
      <c r="GI39494" s="422"/>
    </row>
    <row r="39495" spans="191:191" x14ac:dyDescent="0.2">
      <c r="GI39495" s="422"/>
    </row>
    <row r="39496" spans="191:191" x14ac:dyDescent="0.2">
      <c r="GI39496" s="422"/>
    </row>
    <row r="39497" spans="191:191" x14ac:dyDescent="0.2">
      <c r="GI39497" s="422"/>
    </row>
    <row r="39498" spans="191:191" x14ac:dyDescent="0.2">
      <c r="GI39498" s="422"/>
    </row>
    <row r="39499" spans="191:191" x14ac:dyDescent="0.2">
      <c r="GI39499" s="422"/>
    </row>
    <row r="39500" spans="191:191" x14ac:dyDescent="0.2">
      <c r="GI39500" s="422"/>
    </row>
    <row r="39501" spans="191:191" x14ac:dyDescent="0.2">
      <c r="GI39501" s="422"/>
    </row>
    <row r="39502" spans="191:191" x14ac:dyDescent="0.2">
      <c r="GI39502" s="422"/>
    </row>
    <row r="39503" spans="191:191" x14ac:dyDescent="0.2">
      <c r="GI39503" s="422"/>
    </row>
    <row r="39504" spans="191:191" x14ac:dyDescent="0.2">
      <c r="GI39504" s="422"/>
    </row>
    <row r="39505" spans="191:191" x14ac:dyDescent="0.2">
      <c r="GI39505" s="422"/>
    </row>
    <row r="39506" spans="191:191" x14ac:dyDescent="0.2">
      <c r="GI39506" s="422"/>
    </row>
    <row r="39507" spans="191:191" x14ac:dyDescent="0.2">
      <c r="GI39507" s="422"/>
    </row>
    <row r="39508" spans="191:191" x14ac:dyDescent="0.2">
      <c r="GI39508" s="422"/>
    </row>
    <row r="39509" spans="191:191" x14ac:dyDescent="0.2">
      <c r="GI39509" s="422"/>
    </row>
    <row r="39510" spans="191:191" x14ac:dyDescent="0.2">
      <c r="GI39510" s="422"/>
    </row>
    <row r="39511" spans="191:191" x14ac:dyDescent="0.2">
      <c r="GI39511" s="422"/>
    </row>
    <row r="39512" spans="191:191" x14ac:dyDescent="0.2">
      <c r="GI39512" s="422"/>
    </row>
    <row r="39513" spans="191:191" x14ac:dyDescent="0.2">
      <c r="GI39513" s="422"/>
    </row>
    <row r="39514" spans="191:191" x14ac:dyDescent="0.2">
      <c r="GI39514" s="422"/>
    </row>
    <row r="39515" spans="191:191" x14ac:dyDescent="0.2">
      <c r="GI39515" s="422"/>
    </row>
    <row r="39516" spans="191:191" x14ac:dyDescent="0.2">
      <c r="GI39516" s="422"/>
    </row>
    <row r="39517" spans="191:191" x14ac:dyDescent="0.2">
      <c r="GI39517" s="422"/>
    </row>
    <row r="39518" spans="191:191" x14ac:dyDescent="0.2">
      <c r="GI39518" s="422"/>
    </row>
    <row r="39519" spans="191:191" x14ac:dyDescent="0.2">
      <c r="GI39519" s="422"/>
    </row>
    <row r="39520" spans="191:191" x14ac:dyDescent="0.2">
      <c r="GI39520" s="422"/>
    </row>
    <row r="39521" spans="191:191" x14ac:dyDescent="0.2">
      <c r="GI39521" s="422"/>
    </row>
    <row r="39522" spans="191:191" x14ac:dyDescent="0.2">
      <c r="GI39522" s="422"/>
    </row>
    <row r="39523" spans="191:191" x14ac:dyDescent="0.2">
      <c r="GI39523" s="422"/>
    </row>
    <row r="39524" spans="191:191" x14ac:dyDescent="0.2">
      <c r="GI39524" s="422"/>
    </row>
    <row r="39525" spans="191:191" x14ac:dyDescent="0.2">
      <c r="GI39525" s="422"/>
    </row>
    <row r="39526" spans="191:191" x14ac:dyDescent="0.2">
      <c r="GI39526" s="422"/>
    </row>
    <row r="39527" spans="191:191" x14ac:dyDescent="0.2">
      <c r="GI39527" s="422"/>
    </row>
    <row r="39528" spans="191:191" x14ac:dyDescent="0.2">
      <c r="GI39528" s="422"/>
    </row>
    <row r="39529" spans="191:191" x14ac:dyDescent="0.2">
      <c r="GI39529" s="422"/>
    </row>
    <row r="39530" spans="191:191" x14ac:dyDescent="0.2">
      <c r="GI39530" s="422"/>
    </row>
    <row r="39531" spans="191:191" x14ac:dyDescent="0.2">
      <c r="GI39531" s="422"/>
    </row>
    <row r="39532" spans="191:191" x14ac:dyDescent="0.2">
      <c r="GI39532" s="422"/>
    </row>
    <row r="39533" spans="191:191" x14ac:dyDescent="0.2">
      <c r="GI39533" s="422"/>
    </row>
    <row r="39534" spans="191:191" x14ac:dyDescent="0.2">
      <c r="GI39534" s="422"/>
    </row>
    <row r="39535" spans="191:191" x14ac:dyDescent="0.2">
      <c r="GI39535" s="422"/>
    </row>
    <row r="39536" spans="191:191" x14ac:dyDescent="0.2">
      <c r="GI39536" s="422"/>
    </row>
    <row r="39537" spans="191:191" x14ac:dyDescent="0.2">
      <c r="GI39537" s="422"/>
    </row>
    <row r="39538" spans="191:191" x14ac:dyDescent="0.2">
      <c r="GI39538" s="422"/>
    </row>
    <row r="39539" spans="191:191" x14ac:dyDescent="0.2">
      <c r="GI39539" s="422"/>
    </row>
    <row r="39540" spans="191:191" x14ac:dyDescent="0.2">
      <c r="GI39540" s="422"/>
    </row>
    <row r="39541" spans="191:191" x14ac:dyDescent="0.2">
      <c r="GI39541" s="422"/>
    </row>
    <row r="39542" spans="191:191" x14ac:dyDescent="0.2">
      <c r="GI39542" s="422"/>
    </row>
    <row r="39543" spans="191:191" x14ac:dyDescent="0.2">
      <c r="GI39543" s="422"/>
    </row>
    <row r="39544" spans="191:191" x14ac:dyDescent="0.2">
      <c r="GI39544" s="422"/>
    </row>
    <row r="39545" spans="191:191" x14ac:dyDescent="0.2">
      <c r="GI39545" s="422"/>
    </row>
    <row r="39546" spans="191:191" x14ac:dyDescent="0.2">
      <c r="GI39546" s="422"/>
    </row>
    <row r="39547" spans="191:191" x14ac:dyDescent="0.2">
      <c r="GI39547" s="422"/>
    </row>
    <row r="39548" spans="191:191" x14ac:dyDescent="0.2">
      <c r="GI39548" s="422"/>
    </row>
    <row r="39549" spans="191:191" x14ac:dyDescent="0.2">
      <c r="GI39549" s="422"/>
    </row>
    <row r="39550" spans="191:191" x14ac:dyDescent="0.2">
      <c r="GI39550" s="422"/>
    </row>
    <row r="39551" spans="191:191" x14ac:dyDescent="0.2">
      <c r="GI39551" s="422"/>
    </row>
    <row r="39552" spans="191:191" x14ac:dyDescent="0.2">
      <c r="GI39552" s="422"/>
    </row>
    <row r="39553" spans="191:191" x14ac:dyDescent="0.2">
      <c r="GI39553" s="422"/>
    </row>
    <row r="39554" spans="191:191" x14ac:dyDescent="0.2">
      <c r="GI39554" s="422"/>
    </row>
    <row r="39555" spans="191:191" x14ac:dyDescent="0.2">
      <c r="GI39555" s="422"/>
    </row>
    <row r="39556" spans="191:191" x14ac:dyDescent="0.2">
      <c r="GI39556" s="422"/>
    </row>
    <row r="39557" spans="191:191" x14ac:dyDescent="0.2">
      <c r="GI39557" s="422"/>
    </row>
    <row r="39558" spans="191:191" x14ac:dyDescent="0.2">
      <c r="GI39558" s="422"/>
    </row>
    <row r="39559" spans="191:191" x14ac:dyDescent="0.2">
      <c r="GI39559" s="422"/>
    </row>
    <row r="39560" spans="191:191" x14ac:dyDescent="0.2">
      <c r="GI39560" s="422"/>
    </row>
    <row r="39561" spans="191:191" x14ac:dyDescent="0.2">
      <c r="GI39561" s="422"/>
    </row>
    <row r="39562" spans="191:191" x14ac:dyDescent="0.2">
      <c r="GI39562" s="422"/>
    </row>
    <row r="39563" spans="191:191" x14ac:dyDescent="0.2">
      <c r="GI39563" s="422"/>
    </row>
    <row r="39564" spans="191:191" x14ac:dyDescent="0.2">
      <c r="GI39564" s="422"/>
    </row>
    <row r="39565" spans="191:191" x14ac:dyDescent="0.2">
      <c r="GI39565" s="422"/>
    </row>
    <row r="39566" spans="191:191" x14ac:dyDescent="0.2">
      <c r="GI39566" s="422"/>
    </row>
    <row r="39567" spans="191:191" x14ac:dyDescent="0.2">
      <c r="GI39567" s="422"/>
    </row>
    <row r="39568" spans="191:191" x14ac:dyDescent="0.2">
      <c r="GI39568" s="422"/>
    </row>
    <row r="39569" spans="191:191" x14ac:dyDescent="0.2">
      <c r="GI39569" s="422"/>
    </row>
    <row r="39570" spans="191:191" x14ac:dyDescent="0.2">
      <c r="GI39570" s="422"/>
    </row>
    <row r="39571" spans="191:191" x14ac:dyDescent="0.2">
      <c r="GI39571" s="422"/>
    </row>
    <row r="39572" spans="191:191" x14ac:dyDescent="0.2">
      <c r="GI39572" s="422"/>
    </row>
    <row r="39573" spans="191:191" x14ac:dyDescent="0.2">
      <c r="GI39573" s="422"/>
    </row>
    <row r="39574" spans="191:191" x14ac:dyDescent="0.2">
      <c r="GI39574" s="422"/>
    </row>
    <row r="39575" spans="191:191" x14ac:dyDescent="0.2">
      <c r="GI39575" s="422"/>
    </row>
    <row r="39576" spans="191:191" x14ac:dyDescent="0.2">
      <c r="GI39576" s="422"/>
    </row>
    <row r="39577" spans="191:191" x14ac:dyDescent="0.2">
      <c r="GI39577" s="422"/>
    </row>
    <row r="39578" spans="191:191" x14ac:dyDescent="0.2">
      <c r="GI39578" s="422"/>
    </row>
    <row r="39579" spans="191:191" x14ac:dyDescent="0.2">
      <c r="GI39579" s="422"/>
    </row>
    <row r="39580" spans="191:191" x14ac:dyDescent="0.2">
      <c r="GI39580" s="422"/>
    </row>
    <row r="39581" spans="191:191" x14ac:dyDescent="0.2">
      <c r="GI39581" s="422"/>
    </row>
    <row r="39582" spans="191:191" x14ac:dyDescent="0.2">
      <c r="GI39582" s="422"/>
    </row>
    <row r="39583" spans="191:191" x14ac:dyDescent="0.2">
      <c r="GI39583" s="422"/>
    </row>
    <row r="39584" spans="191:191" x14ac:dyDescent="0.2">
      <c r="GI39584" s="422"/>
    </row>
    <row r="39585" spans="191:191" x14ac:dyDescent="0.2">
      <c r="GI39585" s="422"/>
    </row>
    <row r="39586" spans="191:191" x14ac:dyDescent="0.2">
      <c r="GI39586" s="422"/>
    </row>
    <row r="39587" spans="191:191" x14ac:dyDescent="0.2">
      <c r="GI39587" s="422"/>
    </row>
    <row r="39588" spans="191:191" x14ac:dyDescent="0.2">
      <c r="GI39588" s="422"/>
    </row>
    <row r="39589" spans="191:191" x14ac:dyDescent="0.2">
      <c r="GI39589" s="422"/>
    </row>
    <row r="39590" spans="191:191" x14ac:dyDescent="0.2">
      <c r="GI39590" s="422"/>
    </row>
    <row r="39591" spans="191:191" x14ac:dyDescent="0.2">
      <c r="GI39591" s="422"/>
    </row>
    <row r="39592" spans="191:191" x14ac:dyDescent="0.2">
      <c r="GI39592" s="422"/>
    </row>
    <row r="39593" spans="191:191" x14ac:dyDescent="0.2">
      <c r="GI39593" s="422"/>
    </row>
    <row r="39594" spans="191:191" x14ac:dyDescent="0.2">
      <c r="GI39594" s="422"/>
    </row>
    <row r="39595" spans="191:191" x14ac:dyDescent="0.2">
      <c r="GI39595" s="422"/>
    </row>
    <row r="39596" spans="191:191" x14ac:dyDescent="0.2">
      <c r="GI39596" s="422"/>
    </row>
    <row r="39597" spans="191:191" x14ac:dyDescent="0.2">
      <c r="GI39597" s="422"/>
    </row>
    <row r="39598" spans="191:191" x14ac:dyDescent="0.2">
      <c r="GI39598" s="422"/>
    </row>
    <row r="39599" spans="191:191" x14ac:dyDescent="0.2">
      <c r="GI39599" s="422"/>
    </row>
    <row r="39600" spans="191:191" x14ac:dyDescent="0.2">
      <c r="GI39600" s="422"/>
    </row>
    <row r="39601" spans="191:191" x14ac:dyDescent="0.2">
      <c r="GI39601" s="422"/>
    </row>
    <row r="39602" spans="191:191" x14ac:dyDescent="0.2">
      <c r="GI39602" s="422"/>
    </row>
    <row r="39603" spans="191:191" x14ac:dyDescent="0.2">
      <c r="GI39603" s="422"/>
    </row>
    <row r="39604" spans="191:191" x14ac:dyDescent="0.2">
      <c r="GI39604" s="422"/>
    </row>
    <row r="39605" spans="191:191" x14ac:dyDescent="0.2">
      <c r="GI39605" s="422"/>
    </row>
    <row r="39606" spans="191:191" x14ac:dyDescent="0.2">
      <c r="GI39606" s="422"/>
    </row>
    <row r="39607" spans="191:191" x14ac:dyDescent="0.2">
      <c r="GI39607" s="422"/>
    </row>
    <row r="39608" spans="191:191" x14ac:dyDescent="0.2">
      <c r="GI39608" s="422"/>
    </row>
    <row r="39609" spans="191:191" x14ac:dyDescent="0.2">
      <c r="GI39609" s="422"/>
    </row>
    <row r="39610" spans="191:191" x14ac:dyDescent="0.2">
      <c r="GI39610" s="422"/>
    </row>
    <row r="39611" spans="191:191" x14ac:dyDescent="0.2">
      <c r="GI39611" s="422"/>
    </row>
    <row r="39612" spans="191:191" x14ac:dyDescent="0.2">
      <c r="GI39612" s="422"/>
    </row>
    <row r="39613" spans="191:191" x14ac:dyDescent="0.2">
      <c r="GI39613" s="422"/>
    </row>
    <row r="39614" spans="191:191" x14ac:dyDescent="0.2">
      <c r="GI39614" s="422"/>
    </row>
    <row r="39615" spans="191:191" x14ac:dyDescent="0.2">
      <c r="GI39615" s="422"/>
    </row>
    <row r="39616" spans="191:191" x14ac:dyDescent="0.2">
      <c r="GI39616" s="422"/>
    </row>
    <row r="39617" spans="191:191" x14ac:dyDescent="0.2">
      <c r="GI39617" s="422"/>
    </row>
    <row r="39618" spans="191:191" x14ac:dyDescent="0.2">
      <c r="GI39618" s="422"/>
    </row>
    <row r="39619" spans="191:191" x14ac:dyDescent="0.2">
      <c r="GI39619" s="422"/>
    </row>
    <row r="39620" spans="191:191" x14ac:dyDescent="0.2">
      <c r="GI39620" s="422"/>
    </row>
    <row r="39621" spans="191:191" x14ac:dyDescent="0.2">
      <c r="GI39621" s="422"/>
    </row>
    <row r="39622" spans="191:191" x14ac:dyDescent="0.2">
      <c r="GI39622" s="422"/>
    </row>
    <row r="39623" spans="191:191" x14ac:dyDescent="0.2">
      <c r="GI39623" s="422"/>
    </row>
    <row r="39624" spans="191:191" x14ac:dyDescent="0.2">
      <c r="GI39624" s="422"/>
    </row>
    <row r="39625" spans="191:191" x14ac:dyDescent="0.2">
      <c r="GI39625" s="422"/>
    </row>
    <row r="39626" spans="191:191" x14ac:dyDescent="0.2">
      <c r="GI39626" s="422"/>
    </row>
    <row r="39627" spans="191:191" x14ac:dyDescent="0.2">
      <c r="GI39627" s="422"/>
    </row>
    <row r="39628" spans="191:191" x14ac:dyDescent="0.2">
      <c r="GI39628" s="422"/>
    </row>
    <row r="39629" spans="191:191" x14ac:dyDescent="0.2">
      <c r="GI39629" s="422"/>
    </row>
    <row r="39630" spans="191:191" x14ac:dyDescent="0.2">
      <c r="GI39630" s="422"/>
    </row>
    <row r="39631" spans="191:191" x14ac:dyDescent="0.2">
      <c r="GI39631" s="422"/>
    </row>
    <row r="39632" spans="191:191" x14ac:dyDescent="0.2">
      <c r="GI39632" s="422"/>
    </row>
    <row r="39633" spans="191:191" x14ac:dyDescent="0.2">
      <c r="GI39633" s="422"/>
    </row>
    <row r="39634" spans="191:191" x14ac:dyDescent="0.2">
      <c r="GI39634" s="422"/>
    </row>
    <row r="39635" spans="191:191" x14ac:dyDescent="0.2">
      <c r="GI39635" s="422"/>
    </row>
    <row r="39636" spans="191:191" x14ac:dyDescent="0.2">
      <c r="GI39636" s="422"/>
    </row>
    <row r="39637" spans="191:191" x14ac:dyDescent="0.2">
      <c r="GI39637" s="422"/>
    </row>
    <row r="39638" spans="191:191" x14ac:dyDescent="0.2">
      <c r="GI39638" s="422"/>
    </row>
    <row r="39639" spans="191:191" x14ac:dyDescent="0.2">
      <c r="GI39639" s="422"/>
    </row>
    <row r="39640" spans="191:191" x14ac:dyDescent="0.2">
      <c r="GI39640" s="422"/>
    </row>
    <row r="39641" spans="191:191" x14ac:dyDescent="0.2">
      <c r="GI39641" s="422"/>
    </row>
    <row r="39642" spans="191:191" x14ac:dyDescent="0.2">
      <c r="GI39642" s="422"/>
    </row>
    <row r="39643" spans="191:191" x14ac:dyDescent="0.2">
      <c r="GI39643" s="422"/>
    </row>
    <row r="39644" spans="191:191" x14ac:dyDescent="0.2">
      <c r="GI39644" s="422"/>
    </row>
    <row r="39645" spans="191:191" x14ac:dyDescent="0.2">
      <c r="GI39645" s="422"/>
    </row>
    <row r="39646" spans="191:191" x14ac:dyDescent="0.2">
      <c r="GI39646" s="422"/>
    </row>
    <row r="39647" spans="191:191" x14ac:dyDescent="0.2">
      <c r="GI39647" s="422"/>
    </row>
    <row r="39648" spans="191:191" x14ac:dyDescent="0.2">
      <c r="GI39648" s="422"/>
    </row>
    <row r="39649" spans="191:191" x14ac:dyDescent="0.2">
      <c r="GI39649" s="422"/>
    </row>
    <row r="39650" spans="191:191" x14ac:dyDescent="0.2">
      <c r="GI39650" s="422"/>
    </row>
    <row r="39651" spans="191:191" x14ac:dyDescent="0.2">
      <c r="GI39651" s="422"/>
    </row>
    <row r="39652" spans="191:191" x14ac:dyDescent="0.2">
      <c r="GI39652" s="422"/>
    </row>
    <row r="39653" spans="191:191" x14ac:dyDescent="0.2">
      <c r="GI39653" s="422"/>
    </row>
    <row r="39654" spans="191:191" x14ac:dyDescent="0.2">
      <c r="GI39654" s="422"/>
    </row>
    <row r="39655" spans="191:191" x14ac:dyDescent="0.2">
      <c r="GI39655" s="422"/>
    </row>
    <row r="39656" spans="191:191" x14ac:dyDescent="0.2">
      <c r="GI39656" s="422"/>
    </row>
    <row r="39657" spans="191:191" x14ac:dyDescent="0.2">
      <c r="GI39657" s="422"/>
    </row>
    <row r="39658" spans="191:191" x14ac:dyDescent="0.2">
      <c r="GI39658" s="422"/>
    </row>
    <row r="39659" spans="191:191" x14ac:dyDescent="0.2">
      <c r="GI39659" s="422"/>
    </row>
    <row r="39660" spans="191:191" x14ac:dyDescent="0.2">
      <c r="GI39660" s="422"/>
    </row>
    <row r="39661" spans="191:191" x14ac:dyDescent="0.2">
      <c r="GI39661" s="422"/>
    </row>
    <row r="39662" spans="191:191" x14ac:dyDescent="0.2">
      <c r="GI39662" s="422"/>
    </row>
    <row r="39663" spans="191:191" x14ac:dyDescent="0.2">
      <c r="GI39663" s="422"/>
    </row>
    <row r="39664" spans="191:191" x14ac:dyDescent="0.2">
      <c r="GI39664" s="422"/>
    </row>
    <row r="39665" spans="191:191" x14ac:dyDescent="0.2">
      <c r="GI39665" s="422"/>
    </row>
    <row r="39666" spans="191:191" x14ac:dyDescent="0.2">
      <c r="GI39666" s="422"/>
    </row>
    <row r="39667" spans="191:191" x14ac:dyDescent="0.2">
      <c r="GI39667" s="422"/>
    </row>
    <row r="39668" spans="191:191" x14ac:dyDescent="0.2">
      <c r="GI39668" s="422"/>
    </row>
    <row r="39669" spans="191:191" x14ac:dyDescent="0.2">
      <c r="GI39669" s="422"/>
    </row>
    <row r="39670" spans="191:191" x14ac:dyDescent="0.2">
      <c r="GI39670" s="422"/>
    </row>
    <row r="39671" spans="191:191" x14ac:dyDescent="0.2">
      <c r="GI39671" s="422"/>
    </row>
    <row r="39672" spans="191:191" x14ac:dyDescent="0.2">
      <c r="GI39672" s="422"/>
    </row>
    <row r="39673" spans="191:191" x14ac:dyDescent="0.2">
      <c r="GI39673" s="422"/>
    </row>
    <row r="39674" spans="191:191" x14ac:dyDescent="0.2">
      <c r="GI39674" s="422"/>
    </row>
    <row r="39675" spans="191:191" x14ac:dyDescent="0.2">
      <c r="GI39675" s="422"/>
    </row>
    <row r="39676" spans="191:191" x14ac:dyDescent="0.2">
      <c r="GI39676" s="422"/>
    </row>
    <row r="39677" spans="191:191" x14ac:dyDescent="0.2">
      <c r="GI39677" s="422"/>
    </row>
    <row r="39678" spans="191:191" x14ac:dyDescent="0.2">
      <c r="GI39678" s="422"/>
    </row>
    <row r="39679" spans="191:191" x14ac:dyDescent="0.2">
      <c r="GI39679" s="422"/>
    </row>
    <row r="39680" spans="191:191" x14ac:dyDescent="0.2">
      <c r="GI39680" s="422"/>
    </row>
    <row r="39681" spans="191:191" x14ac:dyDescent="0.2">
      <c r="GI39681" s="422"/>
    </row>
    <row r="39682" spans="191:191" x14ac:dyDescent="0.2">
      <c r="GI39682" s="422"/>
    </row>
    <row r="39683" spans="191:191" x14ac:dyDescent="0.2">
      <c r="GI39683" s="422"/>
    </row>
    <row r="39684" spans="191:191" x14ac:dyDescent="0.2">
      <c r="GI39684" s="422"/>
    </row>
    <row r="39685" spans="191:191" x14ac:dyDescent="0.2">
      <c r="GI39685" s="422"/>
    </row>
    <row r="39686" spans="191:191" x14ac:dyDescent="0.2">
      <c r="GI39686" s="422"/>
    </row>
    <row r="39687" spans="191:191" x14ac:dyDescent="0.2">
      <c r="GI39687" s="422"/>
    </row>
    <row r="39688" spans="191:191" x14ac:dyDescent="0.2">
      <c r="GI39688" s="422"/>
    </row>
    <row r="39689" spans="191:191" x14ac:dyDescent="0.2">
      <c r="GI39689" s="422"/>
    </row>
    <row r="39690" spans="191:191" x14ac:dyDescent="0.2">
      <c r="GI39690" s="422"/>
    </row>
    <row r="39691" spans="191:191" x14ac:dyDescent="0.2">
      <c r="GI39691" s="422"/>
    </row>
    <row r="39692" spans="191:191" x14ac:dyDescent="0.2">
      <c r="GI39692" s="422"/>
    </row>
    <row r="39693" spans="191:191" x14ac:dyDescent="0.2">
      <c r="GI39693" s="422"/>
    </row>
    <row r="39694" spans="191:191" x14ac:dyDescent="0.2">
      <c r="GI39694" s="422"/>
    </row>
    <row r="39695" spans="191:191" x14ac:dyDescent="0.2">
      <c r="GI39695" s="422"/>
    </row>
    <row r="39696" spans="191:191" x14ac:dyDescent="0.2">
      <c r="GI39696" s="422"/>
    </row>
    <row r="39697" spans="191:191" x14ac:dyDescent="0.2">
      <c r="GI39697" s="422"/>
    </row>
    <row r="39698" spans="191:191" x14ac:dyDescent="0.2">
      <c r="GI39698" s="422"/>
    </row>
    <row r="39699" spans="191:191" x14ac:dyDescent="0.2">
      <c r="GI39699" s="422"/>
    </row>
    <row r="39700" spans="191:191" x14ac:dyDescent="0.2">
      <c r="GI39700" s="422"/>
    </row>
    <row r="39701" spans="191:191" x14ac:dyDescent="0.2">
      <c r="GI39701" s="422"/>
    </row>
    <row r="39702" spans="191:191" x14ac:dyDescent="0.2">
      <c r="GI39702" s="422"/>
    </row>
    <row r="39703" spans="191:191" x14ac:dyDescent="0.2">
      <c r="GI39703" s="422"/>
    </row>
    <row r="39704" spans="191:191" x14ac:dyDescent="0.2">
      <c r="GI39704" s="422"/>
    </row>
    <row r="39705" spans="191:191" x14ac:dyDescent="0.2">
      <c r="GI39705" s="422"/>
    </row>
    <row r="39706" spans="191:191" x14ac:dyDescent="0.2">
      <c r="GI39706" s="422"/>
    </row>
    <row r="39707" spans="191:191" x14ac:dyDescent="0.2">
      <c r="GI39707" s="422"/>
    </row>
    <row r="39708" spans="191:191" x14ac:dyDescent="0.2">
      <c r="GI39708" s="422"/>
    </row>
    <row r="39709" spans="191:191" x14ac:dyDescent="0.2">
      <c r="GI39709" s="422"/>
    </row>
    <row r="39710" spans="191:191" x14ac:dyDescent="0.2">
      <c r="GI39710" s="422"/>
    </row>
    <row r="39711" spans="191:191" x14ac:dyDescent="0.2">
      <c r="GI39711" s="422"/>
    </row>
    <row r="39712" spans="191:191" x14ac:dyDescent="0.2">
      <c r="GI39712" s="422"/>
    </row>
    <row r="39713" spans="191:191" x14ac:dyDescent="0.2">
      <c r="GI39713" s="422"/>
    </row>
    <row r="39714" spans="191:191" x14ac:dyDescent="0.2">
      <c r="GI39714" s="422"/>
    </row>
    <row r="39715" spans="191:191" x14ac:dyDescent="0.2">
      <c r="GI39715" s="422"/>
    </row>
    <row r="39716" spans="191:191" x14ac:dyDescent="0.2">
      <c r="GI39716" s="422"/>
    </row>
    <row r="39717" spans="191:191" x14ac:dyDescent="0.2">
      <c r="GI39717" s="422"/>
    </row>
    <row r="39718" spans="191:191" x14ac:dyDescent="0.2">
      <c r="GI39718" s="422"/>
    </row>
    <row r="39719" spans="191:191" x14ac:dyDescent="0.2">
      <c r="GI39719" s="422"/>
    </row>
    <row r="39720" spans="191:191" x14ac:dyDescent="0.2">
      <c r="GI39720" s="422"/>
    </row>
    <row r="39721" spans="191:191" x14ac:dyDescent="0.2">
      <c r="GI39721" s="422"/>
    </row>
    <row r="39722" spans="191:191" x14ac:dyDescent="0.2">
      <c r="GI39722" s="422"/>
    </row>
    <row r="39723" spans="191:191" x14ac:dyDescent="0.2">
      <c r="GI39723" s="422"/>
    </row>
    <row r="39724" spans="191:191" x14ac:dyDescent="0.2">
      <c r="GI39724" s="422"/>
    </row>
    <row r="39725" spans="191:191" x14ac:dyDescent="0.2">
      <c r="GI39725" s="422"/>
    </row>
    <row r="39726" spans="191:191" x14ac:dyDescent="0.2">
      <c r="GI39726" s="422"/>
    </row>
    <row r="39727" spans="191:191" x14ac:dyDescent="0.2">
      <c r="GI39727" s="422"/>
    </row>
    <row r="39728" spans="191:191" x14ac:dyDescent="0.2">
      <c r="GI39728" s="422"/>
    </row>
    <row r="39729" spans="191:191" x14ac:dyDescent="0.2">
      <c r="GI39729" s="422"/>
    </row>
    <row r="39730" spans="191:191" x14ac:dyDescent="0.2">
      <c r="GI39730" s="422"/>
    </row>
    <row r="39731" spans="191:191" x14ac:dyDescent="0.2">
      <c r="GI39731" s="422"/>
    </row>
    <row r="39732" spans="191:191" x14ac:dyDescent="0.2">
      <c r="GI39732" s="422"/>
    </row>
    <row r="39733" spans="191:191" x14ac:dyDescent="0.2">
      <c r="GI39733" s="422"/>
    </row>
    <row r="39734" spans="191:191" x14ac:dyDescent="0.2">
      <c r="GI39734" s="422"/>
    </row>
    <row r="39735" spans="191:191" x14ac:dyDescent="0.2">
      <c r="GI39735" s="422"/>
    </row>
    <row r="39736" spans="191:191" x14ac:dyDescent="0.2">
      <c r="GI39736" s="422"/>
    </row>
    <row r="39737" spans="191:191" x14ac:dyDescent="0.2">
      <c r="GI39737" s="422"/>
    </row>
    <row r="39738" spans="191:191" x14ac:dyDescent="0.2">
      <c r="GI39738" s="422"/>
    </row>
    <row r="39739" spans="191:191" x14ac:dyDescent="0.2">
      <c r="GI39739" s="422"/>
    </row>
    <row r="39740" spans="191:191" x14ac:dyDescent="0.2">
      <c r="GI39740" s="422"/>
    </row>
    <row r="39741" spans="191:191" x14ac:dyDescent="0.2">
      <c r="GI39741" s="422"/>
    </row>
    <row r="39742" spans="191:191" x14ac:dyDescent="0.2">
      <c r="GI39742" s="422"/>
    </row>
    <row r="39743" spans="191:191" x14ac:dyDescent="0.2">
      <c r="GI39743" s="422"/>
    </row>
    <row r="39744" spans="191:191" x14ac:dyDescent="0.2">
      <c r="GI39744" s="422"/>
    </row>
    <row r="39745" spans="191:191" x14ac:dyDescent="0.2">
      <c r="GI39745" s="422"/>
    </row>
    <row r="39746" spans="191:191" x14ac:dyDescent="0.2">
      <c r="GI39746" s="422"/>
    </row>
    <row r="39747" spans="191:191" x14ac:dyDescent="0.2">
      <c r="GI39747" s="422"/>
    </row>
    <row r="39748" spans="191:191" x14ac:dyDescent="0.2">
      <c r="GI39748" s="422"/>
    </row>
    <row r="39749" spans="191:191" x14ac:dyDescent="0.2">
      <c r="GI39749" s="422"/>
    </row>
    <row r="39750" spans="191:191" x14ac:dyDescent="0.2">
      <c r="GI39750" s="422"/>
    </row>
    <row r="39751" spans="191:191" x14ac:dyDescent="0.2">
      <c r="GI39751" s="422"/>
    </row>
    <row r="39752" spans="191:191" x14ac:dyDescent="0.2">
      <c r="GI39752" s="422"/>
    </row>
    <row r="39753" spans="191:191" x14ac:dyDescent="0.2">
      <c r="GI39753" s="422"/>
    </row>
    <row r="39754" spans="191:191" x14ac:dyDescent="0.2">
      <c r="GI39754" s="422"/>
    </row>
    <row r="39755" spans="191:191" x14ac:dyDescent="0.2">
      <c r="GI39755" s="422"/>
    </row>
    <row r="39756" spans="191:191" x14ac:dyDescent="0.2">
      <c r="GI39756" s="422"/>
    </row>
    <row r="39757" spans="191:191" x14ac:dyDescent="0.2">
      <c r="GI39757" s="422"/>
    </row>
    <row r="39758" spans="191:191" x14ac:dyDescent="0.2">
      <c r="GI39758" s="422"/>
    </row>
    <row r="39759" spans="191:191" x14ac:dyDescent="0.2">
      <c r="GI39759" s="422"/>
    </row>
    <row r="39760" spans="191:191" x14ac:dyDescent="0.2">
      <c r="GI39760" s="422"/>
    </row>
    <row r="39761" spans="191:191" x14ac:dyDescent="0.2">
      <c r="GI39761" s="422"/>
    </row>
    <row r="39762" spans="191:191" x14ac:dyDescent="0.2">
      <c r="GI39762" s="422"/>
    </row>
    <row r="39763" spans="191:191" x14ac:dyDescent="0.2">
      <c r="GI39763" s="422"/>
    </row>
    <row r="39764" spans="191:191" x14ac:dyDescent="0.2">
      <c r="GI39764" s="422"/>
    </row>
    <row r="39765" spans="191:191" x14ac:dyDescent="0.2">
      <c r="GI39765" s="422"/>
    </row>
    <row r="39766" spans="191:191" x14ac:dyDescent="0.2">
      <c r="GI39766" s="422"/>
    </row>
    <row r="39767" spans="191:191" x14ac:dyDescent="0.2">
      <c r="GI39767" s="422"/>
    </row>
    <row r="39768" spans="191:191" x14ac:dyDescent="0.2">
      <c r="GI39768" s="422"/>
    </row>
    <row r="39769" spans="191:191" x14ac:dyDescent="0.2">
      <c r="GI39769" s="422"/>
    </row>
    <row r="39770" spans="191:191" x14ac:dyDescent="0.2">
      <c r="GI39770" s="422"/>
    </row>
    <row r="39771" spans="191:191" x14ac:dyDescent="0.2">
      <c r="GI39771" s="422"/>
    </row>
    <row r="39772" spans="191:191" x14ac:dyDescent="0.2">
      <c r="GI39772" s="422"/>
    </row>
    <row r="39773" spans="191:191" x14ac:dyDescent="0.2">
      <c r="GI39773" s="422"/>
    </row>
    <row r="39774" spans="191:191" x14ac:dyDescent="0.2">
      <c r="GI39774" s="422"/>
    </row>
    <row r="39775" spans="191:191" x14ac:dyDescent="0.2">
      <c r="GI39775" s="422"/>
    </row>
    <row r="39776" spans="191:191" x14ac:dyDescent="0.2">
      <c r="GI39776" s="422"/>
    </row>
    <row r="39777" spans="191:191" x14ac:dyDescent="0.2">
      <c r="GI39777" s="422"/>
    </row>
    <row r="39778" spans="191:191" x14ac:dyDescent="0.2">
      <c r="GI39778" s="422"/>
    </row>
    <row r="39779" spans="191:191" x14ac:dyDescent="0.2">
      <c r="GI39779" s="422"/>
    </row>
    <row r="39780" spans="191:191" x14ac:dyDescent="0.2">
      <c r="GI39780" s="422"/>
    </row>
    <row r="39781" spans="191:191" x14ac:dyDescent="0.2">
      <c r="GI39781" s="422"/>
    </row>
    <row r="39782" spans="191:191" x14ac:dyDescent="0.2">
      <c r="GI39782" s="422"/>
    </row>
    <row r="39783" spans="191:191" x14ac:dyDescent="0.2">
      <c r="GI39783" s="422"/>
    </row>
    <row r="39784" spans="191:191" x14ac:dyDescent="0.2">
      <c r="GI39784" s="422"/>
    </row>
    <row r="39785" spans="191:191" x14ac:dyDescent="0.2">
      <c r="GI39785" s="422"/>
    </row>
    <row r="39786" spans="191:191" x14ac:dyDescent="0.2">
      <c r="GI39786" s="422"/>
    </row>
    <row r="39787" spans="191:191" x14ac:dyDescent="0.2">
      <c r="GI39787" s="422"/>
    </row>
    <row r="39788" spans="191:191" x14ac:dyDescent="0.2">
      <c r="GI39788" s="422"/>
    </row>
    <row r="39789" spans="191:191" x14ac:dyDescent="0.2">
      <c r="GI39789" s="422"/>
    </row>
    <row r="39790" spans="191:191" x14ac:dyDescent="0.2">
      <c r="GI39790" s="422"/>
    </row>
    <row r="39791" spans="191:191" x14ac:dyDescent="0.2">
      <c r="GI39791" s="422"/>
    </row>
    <row r="39792" spans="191:191" x14ac:dyDescent="0.2">
      <c r="GI39792" s="422"/>
    </row>
    <row r="39793" spans="191:191" x14ac:dyDescent="0.2">
      <c r="GI39793" s="422"/>
    </row>
    <row r="39794" spans="191:191" x14ac:dyDescent="0.2">
      <c r="GI39794" s="422"/>
    </row>
    <row r="39795" spans="191:191" x14ac:dyDescent="0.2">
      <c r="GI39795" s="422"/>
    </row>
    <row r="39796" spans="191:191" x14ac:dyDescent="0.2">
      <c r="GI39796" s="422"/>
    </row>
    <row r="39797" spans="191:191" x14ac:dyDescent="0.2">
      <c r="GI39797" s="422"/>
    </row>
    <row r="39798" spans="191:191" x14ac:dyDescent="0.2">
      <c r="GI39798" s="422"/>
    </row>
    <row r="39799" spans="191:191" x14ac:dyDescent="0.2">
      <c r="GI39799" s="422"/>
    </row>
    <row r="39800" spans="191:191" x14ac:dyDescent="0.2">
      <c r="GI39800" s="422"/>
    </row>
    <row r="39801" spans="191:191" x14ac:dyDescent="0.2">
      <c r="GI39801" s="422"/>
    </row>
    <row r="39802" spans="191:191" x14ac:dyDescent="0.2">
      <c r="GI39802" s="422"/>
    </row>
    <row r="39803" spans="191:191" x14ac:dyDescent="0.2">
      <c r="GI39803" s="422"/>
    </row>
    <row r="39804" spans="191:191" x14ac:dyDescent="0.2">
      <c r="GI39804" s="422"/>
    </row>
    <row r="39805" spans="191:191" x14ac:dyDescent="0.2">
      <c r="GI39805" s="422"/>
    </row>
    <row r="39806" spans="191:191" x14ac:dyDescent="0.2">
      <c r="GI39806" s="422"/>
    </row>
    <row r="39807" spans="191:191" x14ac:dyDescent="0.2">
      <c r="GI39807" s="422"/>
    </row>
    <row r="39808" spans="191:191" x14ac:dyDescent="0.2">
      <c r="GI39808" s="422"/>
    </row>
    <row r="39809" spans="191:191" x14ac:dyDescent="0.2">
      <c r="GI39809" s="422"/>
    </row>
    <row r="39810" spans="191:191" x14ac:dyDescent="0.2">
      <c r="GI39810" s="422"/>
    </row>
    <row r="39811" spans="191:191" x14ac:dyDescent="0.2">
      <c r="GI39811" s="422"/>
    </row>
    <row r="39812" spans="191:191" x14ac:dyDescent="0.2">
      <c r="GI39812" s="422"/>
    </row>
    <row r="39813" spans="191:191" x14ac:dyDescent="0.2">
      <c r="GI39813" s="422"/>
    </row>
    <row r="39814" spans="191:191" x14ac:dyDescent="0.2">
      <c r="GI39814" s="422"/>
    </row>
    <row r="39815" spans="191:191" x14ac:dyDescent="0.2">
      <c r="GI39815" s="422"/>
    </row>
    <row r="39816" spans="191:191" x14ac:dyDescent="0.2">
      <c r="GI39816" s="422"/>
    </row>
    <row r="39817" spans="191:191" x14ac:dyDescent="0.2">
      <c r="GI39817" s="422"/>
    </row>
    <row r="39818" spans="191:191" x14ac:dyDescent="0.2">
      <c r="GI39818" s="422"/>
    </row>
    <row r="39819" spans="191:191" x14ac:dyDescent="0.2">
      <c r="GI39819" s="422"/>
    </row>
    <row r="39820" spans="191:191" x14ac:dyDescent="0.2">
      <c r="GI39820" s="422"/>
    </row>
    <row r="39821" spans="191:191" x14ac:dyDescent="0.2">
      <c r="GI39821" s="422"/>
    </row>
    <row r="39822" spans="191:191" x14ac:dyDescent="0.2">
      <c r="GI39822" s="422"/>
    </row>
    <row r="39823" spans="191:191" x14ac:dyDescent="0.2">
      <c r="GI39823" s="422"/>
    </row>
    <row r="39824" spans="191:191" x14ac:dyDescent="0.2">
      <c r="GI39824" s="422"/>
    </row>
    <row r="39825" spans="191:191" x14ac:dyDescent="0.2">
      <c r="GI39825" s="422"/>
    </row>
    <row r="39826" spans="191:191" x14ac:dyDescent="0.2">
      <c r="GI39826" s="422"/>
    </row>
    <row r="39827" spans="191:191" x14ac:dyDescent="0.2">
      <c r="GI39827" s="422"/>
    </row>
    <row r="39828" spans="191:191" x14ac:dyDescent="0.2">
      <c r="GI39828" s="422"/>
    </row>
    <row r="39829" spans="191:191" x14ac:dyDescent="0.2">
      <c r="GI39829" s="422"/>
    </row>
    <row r="39830" spans="191:191" x14ac:dyDescent="0.2">
      <c r="GI39830" s="422"/>
    </row>
    <row r="39831" spans="191:191" x14ac:dyDescent="0.2">
      <c r="GI39831" s="422"/>
    </row>
    <row r="39832" spans="191:191" x14ac:dyDescent="0.2">
      <c r="GI39832" s="422"/>
    </row>
    <row r="39833" spans="191:191" x14ac:dyDescent="0.2">
      <c r="GI39833" s="422"/>
    </row>
    <row r="39834" spans="191:191" x14ac:dyDescent="0.2">
      <c r="GI39834" s="422"/>
    </row>
    <row r="39835" spans="191:191" x14ac:dyDescent="0.2">
      <c r="GI39835" s="422"/>
    </row>
    <row r="39836" spans="191:191" x14ac:dyDescent="0.2">
      <c r="GI39836" s="422"/>
    </row>
    <row r="39837" spans="191:191" x14ac:dyDescent="0.2">
      <c r="GI39837" s="422"/>
    </row>
    <row r="39838" spans="191:191" x14ac:dyDescent="0.2">
      <c r="GI39838" s="422"/>
    </row>
    <row r="39839" spans="191:191" x14ac:dyDescent="0.2">
      <c r="GI39839" s="422"/>
    </row>
    <row r="39840" spans="191:191" x14ac:dyDescent="0.2">
      <c r="GI39840" s="422"/>
    </row>
    <row r="39841" spans="191:191" x14ac:dyDescent="0.2">
      <c r="GI39841" s="422"/>
    </row>
    <row r="39842" spans="191:191" x14ac:dyDescent="0.2">
      <c r="GI39842" s="422"/>
    </row>
    <row r="39843" spans="191:191" x14ac:dyDescent="0.2">
      <c r="GI39843" s="422"/>
    </row>
    <row r="39844" spans="191:191" x14ac:dyDescent="0.2">
      <c r="GI39844" s="422"/>
    </row>
    <row r="39845" spans="191:191" x14ac:dyDescent="0.2">
      <c r="GI39845" s="422"/>
    </row>
    <row r="39846" spans="191:191" x14ac:dyDescent="0.2">
      <c r="GI39846" s="422"/>
    </row>
    <row r="39847" spans="191:191" x14ac:dyDescent="0.2">
      <c r="GI39847" s="422"/>
    </row>
    <row r="39848" spans="191:191" x14ac:dyDescent="0.2">
      <c r="GI39848" s="422"/>
    </row>
    <row r="39849" spans="191:191" x14ac:dyDescent="0.2">
      <c r="GI39849" s="422"/>
    </row>
    <row r="39850" spans="191:191" x14ac:dyDescent="0.2">
      <c r="GI39850" s="422"/>
    </row>
    <row r="39851" spans="191:191" x14ac:dyDescent="0.2">
      <c r="GI39851" s="422"/>
    </row>
    <row r="39852" spans="191:191" x14ac:dyDescent="0.2">
      <c r="GI39852" s="422"/>
    </row>
    <row r="39853" spans="191:191" x14ac:dyDescent="0.2">
      <c r="GI39853" s="422"/>
    </row>
    <row r="39854" spans="191:191" x14ac:dyDescent="0.2">
      <c r="GI39854" s="422"/>
    </row>
    <row r="39855" spans="191:191" x14ac:dyDescent="0.2">
      <c r="GI39855" s="422"/>
    </row>
    <row r="39856" spans="191:191" x14ac:dyDescent="0.2">
      <c r="GI39856" s="422"/>
    </row>
    <row r="39857" spans="191:191" x14ac:dyDescent="0.2">
      <c r="GI39857" s="422"/>
    </row>
    <row r="39858" spans="191:191" x14ac:dyDescent="0.2">
      <c r="GI39858" s="422"/>
    </row>
    <row r="39859" spans="191:191" x14ac:dyDescent="0.2">
      <c r="GI39859" s="422"/>
    </row>
    <row r="39860" spans="191:191" x14ac:dyDescent="0.2">
      <c r="GI39860" s="422"/>
    </row>
    <row r="39861" spans="191:191" x14ac:dyDescent="0.2">
      <c r="GI39861" s="422"/>
    </row>
    <row r="39862" spans="191:191" x14ac:dyDescent="0.2">
      <c r="GI39862" s="422"/>
    </row>
    <row r="39863" spans="191:191" x14ac:dyDescent="0.2">
      <c r="GI39863" s="422"/>
    </row>
    <row r="39864" spans="191:191" x14ac:dyDescent="0.2">
      <c r="GI39864" s="422"/>
    </row>
    <row r="39865" spans="191:191" x14ac:dyDescent="0.2">
      <c r="GI39865" s="422"/>
    </row>
    <row r="39866" spans="191:191" x14ac:dyDescent="0.2">
      <c r="GI39866" s="422"/>
    </row>
    <row r="39867" spans="191:191" x14ac:dyDescent="0.2">
      <c r="GI39867" s="422"/>
    </row>
    <row r="39868" spans="191:191" x14ac:dyDescent="0.2">
      <c r="GI39868" s="422"/>
    </row>
    <row r="39869" spans="191:191" x14ac:dyDescent="0.2">
      <c r="GI39869" s="422"/>
    </row>
    <row r="39870" spans="191:191" x14ac:dyDescent="0.2">
      <c r="GI39870" s="422"/>
    </row>
    <row r="39871" spans="191:191" x14ac:dyDescent="0.2">
      <c r="GI39871" s="422"/>
    </row>
    <row r="39872" spans="191:191" x14ac:dyDescent="0.2">
      <c r="GI39872" s="422"/>
    </row>
    <row r="39873" spans="191:191" x14ac:dyDescent="0.2">
      <c r="GI39873" s="422"/>
    </row>
    <row r="39874" spans="191:191" x14ac:dyDescent="0.2">
      <c r="GI39874" s="422"/>
    </row>
    <row r="39875" spans="191:191" x14ac:dyDescent="0.2">
      <c r="GI39875" s="422"/>
    </row>
    <row r="39876" spans="191:191" x14ac:dyDescent="0.2">
      <c r="GI39876" s="422"/>
    </row>
    <row r="39877" spans="191:191" x14ac:dyDescent="0.2">
      <c r="GI39877" s="422"/>
    </row>
    <row r="39878" spans="191:191" x14ac:dyDescent="0.2">
      <c r="GI39878" s="422"/>
    </row>
    <row r="39879" spans="191:191" x14ac:dyDescent="0.2">
      <c r="GI39879" s="422"/>
    </row>
    <row r="39880" spans="191:191" x14ac:dyDescent="0.2">
      <c r="GI39880" s="422"/>
    </row>
    <row r="39881" spans="191:191" x14ac:dyDescent="0.2">
      <c r="GI39881" s="422"/>
    </row>
    <row r="39882" spans="191:191" x14ac:dyDescent="0.2">
      <c r="GI39882" s="422"/>
    </row>
    <row r="39883" spans="191:191" x14ac:dyDescent="0.2">
      <c r="GI39883" s="422"/>
    </row>
    <row r="39884" spans="191:191" x14ac:dyDescent="0.2">
      <c r="GI39884" s="422"/>
    </row>
    <row r="39885" spans="191:191" x14ac:dyDescent="0.2">
      <c r="GI39885" s="422"/>
    </row>
    <row r="39886" spans="191:191" x14ac:dyDescent="0.2">
      <c r="GI39886" s="422"/>
    </row>
    <row r="39887" spans="191:191" x14ac:dyDescent="0.2">
      <c r="GI39887" s="422"/>
    </row>
    <row r="39888" spans="191:191" x14ac:dyDescent="0.2">
      <c r="GI39888" s="422"/>
    </row>
    <row r="39889" spans="191:191" x14ac:dyDescent="0.2">
      <c r="GI39889" s="422"/>
    </row>
    <row r="39890" spans="191:191" x14ac:dyDescent="0.2">
      <c r="GI39890" s="422"/>
    </row>
    <row r="39891" spans="191:191" x14ac:dyDescent="0.2">
      <c r="GI39891" s="422"/>
    </row>
    <row r="39892" spans="191:191" x14ac:dyDescent="0.2">
      <c r="GI39892" s="422"/>
    </row>
    <row r="39893" spans="191:191" x14ac:dyDescent="0.2">
      <c r="GI39893" s="422"/>
    </row>
    <row r="39894" spans="191:191" x14ac:dyDescent="0.2">
      <c r="GI39894" s="422"/>
    </row>
    <row r="39895" spans="191:191" x14ac:dyDescent="0.2">
      <c r="GI39895" s="422"/>
    </row>
    <row r="39896" spans="191:191" x14ac:dyDescent="0.2">
      <c r="GI39896" s="422"/>
    </row>
    <row r="39897" spans="191:191" x14ac:dyDescent="0.2">
      <c r="GI39897" s="422"/>
    </row>
    <row r="39898" spans="191:191" x14ac:dyDescent="0.2">
      <c r="GI39898" s="422"/>
    </row>
    <row r="39899" spans="191:191" x14ac:dyDescent="0.2">
      <c r="GI39899" s="422"/>
    </row>
    <row r="39900" spans="191:191" x14ac:dyDescent="0.2">
      <c r="GI39900" s="422"/>
    </row>
    <row r="39901" spans="191:191" x14ac:dyDescent="0.2">
      <c r="GI39901" s="422"/>
    </row>
    <row r="39902" spans="191:191" x14ac:dyDescent="0.2">
      <c r="GI39902" s="422"/>
    </row>
    <row r="39903" spans="191:191" x14ac:dyDescent="0.2">
      <c r="GI39903" s="422"/>
    </row>
    <row r="39904" spans="191:191" x14ac:dyDescent="0.2">
      <c r="GI39904" s="422"/>
    </row>
    <row r="39905" spans="191:191" x14ac:dyDescent="0.2">
      <c r="GI39905" s="422"/>
    </row>
    <row r="39906" spans="191:191" x14ac:dyDescent="0.2">
      <c r="GI39906" s="422"/>
    </row>
    <row r="39907" spans="191:191" x14ac:dyDescent="0.2">
      <c r="GI39907" s="422"/>
    </row>
    <row r="39908" spans="191:191" x14ac:dyDescent="0.2">
      <c r="GI39908" s="422"/>
    </row>
    <row r="39909" spans="191:191" x14ac:dyDescent="0.2">
      <c r="GI39909" s="422"/>
    </row>
    <row r="39910" spans="191:191" x14ac:dyDescent="0.2">
      <c r="GI39910" s="422"/>
    </row>
    <row r="39911" spans="191:191" x14ac:dyDescent="0.2">
      <c r="GI39911" s="422"/>
    </row>
    <row r="39912" spans="191:191" x14ac:dyDescent="0.2">
      <c r="GI39912" s="422"/>
    </row>
    <row r="39913" spans="191:191" x14ac:dyDescent="0.2">
      <c r="GI39913" s="422"/>
    </row>
    <row r="39914" spans="191:191" x14ac:dyDescent="0.2">
      <c r="GI39914" s="422"/>
    </row>
    <row r="39915" spans="191:191" x14ac:dyDescent="0.2">
      <c r="GI39915" s="422"/>
    </row>
    <row r="39916" spans="191:191" x14ac:dyDescent="0.2">
      <c r="GI39916" s="422"/>
    </row>
    <row r="39917" spans="191:191" x14ac:dyDescent="0.2">
      <c r="GI39917" s="422"/>
    </row>
    <row r="39918" spans="191:191" x14ac:dyDescent="0.2">
      <c r="GI39918" s="422"/>
    </row>
    <row r="39919" spans="191:191" x14ac:dyDescent="0.2">
      <c r="GI39919" s="422"/>
    </row>
    <row r="39920" spans="191:191" x14ac:dyDescent="0.2">
      <c r="GI39920" s="422"/>
    </row>
    <row r="39921" spans="191:191" x14ac:dyDescent="0.2">
      <c r="GI39921" s="422"/>
    </row>
    <row r="39922" spans="191:191" x14ac:dyDescent="0.2">
      <c r="GI39922" s="422"/>
    </row>
    <row r="39923" spans="191:191" x14ac:dyDescent="0.2">
      <c r="GI39923" s="422"/>
    </row>
    <row r="39924" spans="191:191" x14ac:dyDescent="0.2">
      <c r="GI39924" s="422"/>
    </row>
    <row r="39925" spans="191:191" x14ac:dyDescent="0.2">
      <c r="GI39925" s="422"/>
    </row>
    <row r="39926" spans="191:191" x14ac:dyDescent="0.2">
      <c r="GI39926" s="422"/>
    </row>
    <row r="39927" spans="191:191" x14ac:dyDescent="0.2">
      <c r="GI39927" s="422"/>
    </row>
    <row r="39928" spans="191:191" x14ac:dyDescent="0.2">
      <c r="GI39928" s="422"/>
    </row>
    <row r="39929" spans="191:191" x14ac:dyDescent="0.2">
      <c r="GI39929" s="422"/>
    </row>
    <row r="39930" spans="191:191" x14ac:dyDescent="0.2">
      <c r="GI39930" s="422"/>
    </row>
    <row r="39931" spans="191:191" x14ac:dyDescent="0.2">
      <c r="GI39931" s="422"/>
    </row>
    <row r="39932" spans="191:191" x14ac:dyDescent="0.2">
      <c r="GI39932" s="422"/>
    </row>
    <row r="39933" spans="191:191" x14ac:dyDescent="0.2">
      <c r="GI39933" s="422"/>
    </row>
    <row r="39934" spans="191:191" x14ac:dyDescent="0.2">
      <c r="GI39934" s="422"/>
    </row>
    <row r="39935" spans="191:191" x14ac:dyDescent="0.2">
      <c r="GI39935" s="422"/>
    </row>
    <row r="39936" spans="191:191" x14ac:dyDescent="0.2">
      <c r="GI39936" s="422"/>
    </row>
    <row r="39937" spans="191:191" x14ac:dyDescent="0.2">
      <c r="GI39937" s="422"/>
    </row>
    <row r="39938" spans="191:191" x14ac:dyDescent="0.2">
      <c r="GI39938" s="422"/>
    </row>
    <row r="39939" spans="191:191" x14ac:dyDescent="0.2">
      <c r="GI39939" s="422"/>
    </row>
    <row r="39940" spans="191:191" x14ac:dyDescent="0.2">
      <c r="GI39940" s="422"/>
    </row>
    <row r="39941" spans="191:191" x14ac:dyDescent="0.2">
      <c r="GI39941" s="422"/>
    </row>
    <row r="39942" spans="191:191" x14ac:dyDescent="0.2">
      <c r="GI39942" s="422"/>
    </row>
    <row r="39943" spans="191:191" x14ac:dyDescent="0.2">
      <c r="GI39943" s="422"/>
    </row>
    <row r="39944" spans="191:191" x14ac:dyDescent="0.2">
      <c r="GI39944" s="422"/>
    </row>
    <row r="39945" spans="191:191" x14ac:dyDescent="0.2">
      <c r="GI39945" s="422"/>
    </row>
    <row r="39946" spans="191:191" x14ac:dyDescent="0.2">
      <c r="GI39946" s="422"/>
    </row>
    <row r="39947" spans="191:191" x14ac:dyDescent="0.2">
      <c r="GI39947" s="422"/>
    </row>
    <row r="39948" spans="191:191" x14ac:dyDescent="0.2">
      <c r="GI39948" s="422"/>
    </row>
    <row r="39949" spans="191:191" x14ac:dyDescent="0.2">
      <c r="GI39949" s="422"/>
    </row>
    <row r="39950" spans="191:191" x14ac:dyDescent="0.2">
      <c r="GI39950" s="422"/>
    </row>
    <row r="39951" spans="191:191" x14ac:dyDescent="0.2">
      <c r="GI39951" s="422"/>
    </row>
    <row r="39952" spans="191:191" x14ac:dyDescent="0.2">
      <c r="GI39952" s="422"/>
    </row>
    <row r="39953" spans="191:191" x14ac:dyDescent="0.2">
      <c r="GI39953" s="422"/>
    </row>
    <row r="39954" spans="191:191" x14ac:dyDescent="0.2">
      <c r="GI39954" s="422"/>
    </row>
    <row r="39955" spans="191:191" x14ac:dyDescent="0.2">
      <c r="GI39955" s="422"/>
    </row>
    <row r="39956" spans="191:191" x14ac:dyDescent="0.2">
      <c r="GI39956" s="422"/>
    </row>
    <row r="39957" spans="191:191" x14ac:dyDescent="0.2">
      <c r="GI39957" s="422"/>
    </row>
    <row r="39958" spans="191:191" x14ac:dyDescent="0.2">
      <c r="GI39958" s="422"/>
    </row>
    <row r="39959" spans="191:191" x14ac:dyDescent="0.2">
      <c r="GI39959" s="422"/>
    </row>
    <row r="39960" spans="191:191" x14ac:dyDescent="0.2">
      <c r="GI39960" s="422"/>
    </row>
    <row r="39961" spans="191:191" x14ac:dyDescent="0.2">
      <c r="GI39961" s="422"/>
    </row>
    <row r="39962" spans="191:191" x14ac:dyDescent="0.2">
      <c r="GI39962" s="422"/>
    </row>
    <row r="39963" spans="191:191" x14ac:dyDescent="0.2">
      <c r="GI39963" s="422"/>
    </row>
    <row r="39964" spans="191:191" x14ac:dyDescent="0.2">
      <c r="GI39964" s="422"/>
    </row>
    <row r="39965" spans="191:191" x14ac:dyDescent="0.2">
      <c r="GI39965" s="422"/>
    </row>
    <row r="39966" spans="191:191" x14ac:dyDescent="0.2">
      <c r="GI39966" s="422"/>
    </row>
    <row r="39967" spans="191:191" x14ac:dyDescent="0.2">
      <c r="GI39967" s="422"/>
    </row>
    <row r="39968" spans="191:191" x14ac:dyDescent="0.2">
      <c r="GI39968" s="422"/>
    </row>
    <row r="39969" spans="191:191" x14ac:dyDescent="0.2">
      <c r="GI39969" s="422"/>
    </row>
    <row r="39970" spans="191:191" x14ac:dyDescent="0.2">
      <c r="GI39970" s="422"/>
    </row>
    <row r="39971" spans="191:191" x14ac:dyDescent="0.2">
      <c r="GI39971" s="422"/>
    </row>
    <row r="39972" spans="191:191" x14ac:dyDescent="0.2">
      <c r="GI39972" s="422"/>
    </row>
    <row r="39973" spans="191:191" x14ac:dyDescent="0.2">
      <c r="GI39973" s="422"/>
    </row>
    <row r="39974" spans="191:191" x14ac:dyDescent="0.2">
      <c r="GI39974" s="422"/>
    </row>
    <row r="39975" spans="191:191" x14ac:dyDescent="0.2">
      <c r="GI39975" s="422"/>
    </row>
    <row r="39976" spans="191:191" x14ac:dyDescent="0.2">
      <c r="GI39976" s="422"/>
    </row>
    <row r="39977" spans="191:191" x14ac:dyDescent="0.2">
      <c r="GI39977" s="422"/>
    </row>
    <row r="39978" spans="191:191" x14ac:dyDescent="0.2">
      <c r="GI39978" s="422"/>
    </row>
    <row r="39979" spans="191:191" x14ac:dyDescent="0.2">
      <c r="GI39979" s="422"/>
    </row>
    <row r="39980" spans="191:191" x14ac:dyDescent="0.2">
      <c r="GI39980" s="422"/>
    </row>
    <row r="39981" spans="191:191" x14ac:dyDescent="0.2">
      <c r="GI39981" s="422"/>
    </row>
    <row r="39982" spans="191:191" x14ac:dyDescent="0.2">
      <c r="GI39982" s="422"/>
    </row>
    <row r="39983" spans="191:191" x14ac:dyDescent="0.2">
      <c r="GI39983" s="422"/>
    </row>
    <row r="39984" spans="191:191" x14ac:dyDescent="0.2">
      <c r="GI39984" s="422"/>
    </row>
    <row r="39985" spans="191:191" x14ac:dyDescent="0.2">
      <c r="GI39985" s="422"/>
    </row>
    <row r="39986" spans="191:191" x14ac:dyDescent="0.2">
      <c r="GI39986" s="422"/>
    </row>
    <row r="39987" spans="191:191" x14ac:dyDescent="0.2">
      <c r="GI39987" s="422"/>
    </row>
    <row r="39988" spans="191:191" x14ac:dyDescent="0.2">
      <c r="GI39988" s="422"/>
    </row>
    <row r="39989" spans="191:191" x14ac:dyDescent="0.2">
      <c r="GI39989" s="422"/>
    </row>
    <row r="39990" spans="191:191" x14ac:dyDescent="0.2">
      <c r="GI39990" s="422"/>
    </row>
    <row r="39991" spans="191:191" x14ac:dyDescent="0.2">
      <c r="GI39991" s="422"/>
    </row>
    <row r="39992" spans="191:191" x14ac:dyDescent="0.2">
      <c r="GI39992" s="422"/>
    </row>
    <row r="39993" spans="191:191" x14ac:dyDescent="0.2">
      <c r="GI39993" s="422"/>
    </row>
    <row r="39994" spans="191:191" x14ac:dyDescent="0.2">
      <c r="GI39994" s="422"/>
    </row>
    <row r="39995" spans="191:191" x14ac:dyDescent="0.2">
      <c r="GI39995" s="422"/>
    </row>
    <row r="39996" spans="191:191" x14ac:dyDescent="0.2">
      <c r="GI39996" s="422"/>
    </row>
    <row r="39997" spans="191:191" x14ac:dyDescent="0.2">
      <c r="GI39997" s="422"/>
    </row>
    <row r="39998" spans="191:191" x14ac:dyDescent="0.2">
      <c r="GI39998" s="422"/>
    </row>
    <row r="39999" spans="191:191" x14ac:dyDescent="0.2">
      <c r="GI39999" s="422"/>
    </row>
    <row r="40000" spans="191:191" x14ac:dyDescent="0.2">
      <c r="GI40000" s="422"/>
    </row>
    <row r="40001" spans="191:191" x14ac:dyDescent="0.2">
      <c r="GI40001" s="422"/>
    </row>
    <row r="40002" spans="191:191" x14ac:dyDescent="0.2">
      <c r="GI40002" s="422"/>
    </row>
    <row r="40003" spans="191:191" x14ac:dyDescent="0.2">
      <c r="GI40003" s="422"/>
    </row>
    <row r="40004" spans="191:191" x14ac:dyDescent="0.2">
      <c r="GI40004" s="422"/>
    </row>
    <row r="40005" spans="191:191" x14ac:dyDescent="0.2">
      <c r="GI40005" s="422"/>
    </row>
    <row r="40006" spans="191:191" x14ac:dyDescent="0.2">
      <c r="GI40006" s="422"/>
    </row>
    <row r="40007" spans="191:191" x14ac:dyDescent="0.2">
      <c r="GI40007" s="422"/>
    </row>
    <row r="40008" spans="191:191" x14ac:dyDescent="0.2">
      <c r="GI40008" s="422"/>
    </row>
    <row r="40009" spans="191:191" x14ac:dyDescent="0.2">
      <c r="GI40009" s="422"/>
    </row>
    <row r="40010" spans="191:191" x14ac:dyDescent="0.2">
      <c r="GI40010" s="422"/>
    </row>
    <row r="40011" spans="191:191" x14ac:dyDescent="0.2">
      <c r="GI40011" s="422"/>
    </row>
    <row r="40012" spans="191:191" x14ac:dyDescent="0.2">
      <c r="GI40012" s="422"/>
    </row>
    <row r="40013" spans="191:191" x14ac:dyDescent="0.2">
      <c r="GI40013" s="422"/>
    </row>
    <row r="40014" spans="191:191" x14ac:dyDescent="0.2">
      <c r="GI40014" s="422"/>
    </row>
    <row r="40015" spans="191:191" x14ac:dyDescent="0.2">
      <c r="GI40015" s="422"/>
    </row>
    <row r="40016" spans="191:191" x14ac:dyDescent="0.2">
      <c r="GI40016" s="422"/>
    </row>
    <row r="40017" spans="191:191" x14ac:dyDescent="0.2">
      <c r="GI40017" s="422"/>
    </row>
    <row r="40018" spans="191:191" x14ac:dyDescent="0.2">
      <c r="GI40018" s="422"/>
    </row>
    <row r="40019" spans="191:191" x14ac:dyDescent="0.2">
      <c r="GI40019" s="422"/>
    </row>
    <row r="40020" spans="191:191" x14ac:dyDescent="0.2">
      <c r="GI40020" s="422"/>
    </row>
    <row r="40021" spans="191:191" x14ac:dyDescent="0.2">
      <c r="GI40021" s="422"/>
    </row>
    <row r="40022" spans="191:191" x14ac:dyDescent="0.2">
      <c r="GI40022" s="422"/>
    </row>
    <row r="40023" spans="191:191" x14ac:dyDescent="0.2">
      <c r="GI40023" s="422"/>
    </row>
    <row r="40024" spans="191:191" x14ac:dyDescent="0.2">
      <c r="GI40024" s="422"/>
    </row>
    <row r="40025" spans="191:191" x14ac:dyDescent="0.2">
      <c r="GI40025" s="422"/>
    </row>
    <row r="40026" spans="191:191" x14ac:dyDescent="0.2">
      <c r="GI40026" s="422"/>
    </row>
    <row r="40027" spans="191:191" x14ac:dyDescent="0.2">
      <c r="GI40027" s="422"/>
    </row>
    <row r="40028" spans="191:191" x14ac:dyDescent="0.2">
      <c r="GI40028" s="422"/>
    </row>
    <row r="40029" spans="191:191" x14ac:dyDescent="0.2">
      <c r="GI40029" s="422"/>
    </row>
    <row r="40030" spans="191:191" x14ac:dyDescent="0.2">
      <c r="GI40030" s="422"/>
    </row>
    <row r="40031" spans="191:191" x14ac:dyDescent="0.2">
      <c r="GI40031" s="422"/>
    </row>
    <row r="40032" spans="191:191" x14ac:dyDescent="0.2">
      <c r="GI40032" s="422"/>
    </row>
    <row r="40033" spans="191:191" x14ac:dyDescent="0.2">
      <c r="GI40033" s="422"/>
    </row>
    <row r="40034" spans="191:191" x14ac:dyDescent="0.2">
      <c r="GI40034" s="422"/>
    </row>
    <row r="40035" spans="191:191" x14ac:dyDescent="0.2">
      <c r="GI40035" s="422"/>
    </row>
    <row r="40036" spans="191:191" x14ac:dyDescent="0.2">
      <c r="GI40036" s="422"/>
    </row>
    <row r="40037" spans="191:191" x14ac:dyDescent="0.2">
      <c r="GI40037" s="422"/>
    </row>
    <row r="40038" spans="191:191" x14ac:dyDescent="0.2">
      <c r="GI40038" s="422"/>
    </row>
    <row r="40039" spans="191:191" x14ac:dyDescent="0.2">
      <c r="GI40039" s="422"/>
    </row>
    <row r="40040" spans="191:191" x14ac:dyDescent="0.2">
      <c r="GI40040" s="422"/>
    </row>
    <row r="40041" spans="191:191" x14ac:dyDescent="0.2">
      <c r="GI40041" s="422"/>
    </row>
    <row r="40042" spans="191:191" x14ac:dyDescent="0.2">
      <c r="GI40042" s="422"/>
    </row>
    <row r="40043" spans="191:191" x14ac:dyDescent="0.2">
      <c r="GI40043" s="422"/>
    </row>
    <row r="40044" spans="191:191" x14ac:dyDescent="0.2">
      <c r="GI40044" s="422"/>
    </row>
    <row r="40045" spans="191:191" x14ac:dyDescent="0.2">
      <c r="GI40045" s="422"/>
    </row>
    <row r="40046" spans="191:191" x14ac:dyDescent="0.2">
      <c r="GI40046" s="422"/>
    </row>
    <row r="40047" spans="191:191" x14ac:dyDescent="0.2">
      <c r="GI40047" s="422"/>
    </row>
    <row r="40048" spans="191:191" x14ac:dyDescent="0.2">
      <c r="GI40048" s="422"/>
    </row>
    <row r="40049" spans="191:191" x14ac:dyDescent="0.2">
      <c r="GI40049" s="422"/>
    </row>
    <row r="40050" spans="191:191" x14ac:dyDescent="0.2">
      <c r="GI40050" s="422"/>
    </row>
    <row r="40051" spans="191:191" x14ac:dyDescent="0.2">
      <c r="GI40051" s="422"/>
    </row>
    <row r="40052" spans="191:191" x14ac:dyDescent="0.2">
      <c r="GI40052" s="422"/>
    </row>
    <row r="40053" spans="191:191" x14ac:dyDescent="0.2">
      <c r="GI40053" s="422"/>
    </row>
    <row r="40054" spans="191:191" x14ac:dyDescent="0.2">
      <c r="GI40054" s="422"/>
    </row>
    <row r="40055" spans="191:191" x14ac:dyDescent="0.2">
      <c r="GI40055" s="422"/>
    </row>
    <row r="40056" spans="191:191" x14ac:dyDescent="0.2">
      <c r="GI40056" s="422"/>
    </row>
    <row r="40057" spans="191:191" x14ac:dyDescent="0.2">
      <c r="GI40057" s="422"/>
    </row>
    <row r="40058" spans="191:191" x14ac:dyDescent="0.2">
      <c r="GI40058" s="422"/>
    </row>
    <row r="40059" spans="191:191" x14ac:dyDescent="0.2">
      <c r="GI40059" s="422"/>
    </row>
    <row r="40060" spans="191:191" x14ac:dyDescent="0.2">
      <c r="GI40060" s="422"/>
    </row>
    <row r="40061" spans="191:191" x14ac:dyDescent="0.2">
      <c r="GI40061" s="422"/>
    </row>
    <row r="40062" spans="191:191" x14ac:dyDescent="0.2">
      <c r="GI40062" s="422"/>
    </row>
    <row r="40063" spans="191:191" x14ac:dyDescent="0.2">
      <c r="GI40063" s="422"/>
    </row>
    <row r="40064" spans="191:191" x14ac:dyDescent="0.2">
      <c r="GI40064" s="422"/>
    </row>
    <row r="40065" spans="191:191" x14ac:dyDescent="0.2">
      <c r="GI40065" s="422"/>
    </row>
    <row r="40066" spans="191:191" x14ac:dyDescent="0.2">
      <c r="GI40066" s="422"/>
    </row>
    <row r="40067" spans="191:191" x14ac:dyDescent="0.2">
      <c r="GI40067" s="422"/>
    </row>
    <row r="40068" spans="191:191" x14ac:dyDescent="0.2">
      <c r="GI40068" s="422"/>
    </row>
    <row r="40069" spans="191:191" x14ac:dyDescent="0.2">
      <c r="GI40069" s="422"/>
    </row>
    <row r="40070" spans="191:191" x14ac:dyDescent="0.2">
      <c r="GI40070" s="422"/>
    </row>
    <row r="40071" spans="191:191" x14ac:dyDescent="0.2">
      <c r="GI40071" s="422"/>
    </row>
    <row r="40072" spans="191:191" x14ac:dyDescent="0.2">
      <c r="GI40072" s="422"/>
    </row>
    <row r="40073" spans="191:191" x14ac:dyDescent="0.2">
      <c r="GI40073" s="422"/>
    </row>
    <row r="40074" spans="191:191" x14ac:dyDescent="0.2">
      <c r="GI40074" s="422"/>
    </row>
    <row r="40075" spans="191:191" x14ac:dyDescent="0.2">
      <c r="GI40075" s="422"/>
    </row>
    <row r="40076" spans="191:191" x14ac:dyDescent="0.2">
      <c r="GI40076" s="422"/>
    </row>
    <row r="40077" spans="191:191" x14ac:dyDescent="0.2">
      <c r="GI40077" s="422"/>
    </row>
    <row r="40078" spans="191:191" x14ac:dyDescent="0.2">
      <c r="GI40078" s="422"/>
    </row>
    <row r="40079" spans="191:191" x14ac:dyDescent="0.2">
      <c r="GI40079" s="422"/>
    </row>
    <row r="40080" spans="191:191" x14ac:dyDescent="0.2">
      <c r="GI40080" s="422"/>
    </row>
    <row r="40081" spans="191:191" x14ac:dyDescent="0.2">
      <c r="GI40081" s="422"/>
    </row>
    <row r="40082" spans="191:191" x14ac:dyDescent="0.2">
      <c r="GI40082" s="422"/>
    </row>
    <row r="40083" spans="191:191" x14ac:dyDescent="0.2">
      <c r="GI40083" s="422"/>
    </row>
    <row r="40084" spans="191:191" x14ac:dyDescent="0.2">
      <c r="GI40084" s="422"/>
    </row>
    <row r="40085" spans="191:191" x14ac:dyDescent="0.2">
      <c r="GI40085" s="422"/>
    </row>
    <row r="40086" spans="191:191" x14ac:dyDescent="0.2">
      <c r="GI40086" s="422"/>
    </row>
    <row r="40087" spans="191:191" x14ac:dyDescent="0.2">
      <c r="GI40087" s="422"/>
    </row>
    <row r="40088" spans="191:191" x14ac:dyDescent="0.2">
      <c r="GI40088" s="422"/>
    </row>
    <row r="40089" spans="191:191" x14ac:dyDescent="0.2">
      <c r="GI40089" s="422"/>
    </row>
    <row r="40090" spans="191:191" x14ac:dyDescent="0.2">
      <c r="GI40090" s="422"/>
    </row>
    <row r="40091" spans="191:191" x14ac:dyDescent="0.2">
      <c r="GI40091" s="422"/>
    </row>
    <row r="40092" spans="191:191" x14ac:dyDescent="0.2">
      <c r="GI40092" s="422"/>
    </row>
    <row r="40093" spans="191:191" x14ac:dyDescent="0.2">
      <c r="GI40093" s="422"/>
    </row>
    <row r="40094" spans="191:191" x14ac:dyDescent="0.2">
      <c r="GI40094" s="422"/>
    </row>
    <row r="40095" spans="191:191" x14ac:dyDescent="0.2">
      <c r="GI40095" s="422"/>
    </row>
    <row r="40096" spans="191:191" x14ac:dyDescent="0.2">
      <c r="GI40096" s="422"/>
    </row>
    <row r="40097" spans="191:191" x14ac:dyDescent="0.2">
      <c r="GI40097" s="422"/>
    </row>
    <row r="40098" spans="191:191" x14ac:dyDescent="0.2">
      <c r="GI40098" s="422"/>
    </row>
    <row r="40099" spans="191:191" x14ac:dyDescent="0.2">
      <c r="GI40099" s="422"/>
    </row>
    <row r="40100" spans="191:191" x14ac:dyDescent="0.2">
      <c r="GI40100" s="422"/>
    </row>
    <row r="40101" spans="191:191" x14ac:dyDescent="0.2">
      <c r="GI40101" s="422"/>
    </row>
    <row r="40102" spans="191:191" x14ac:dyDescent="0.2">
      <c r="GI40102" s="422"/>
    </row>
    <row r="40103" spans="191:191" x14ac:dyDescent="0.2">
      <c r="GI40103" s="422"/>
    </row>
    <row r="40104" spans="191:191" x14ac:dyDescent="0.2">
      <c r="GI40104" s="422"/>
    </row>
    <row r="40105" spans="191:191" x14ac:dyDescent="0.2">
      <c r="GI40105" s="422"/>
    </row>
    <row r="40106" spans="191:191" x14ac:dyDescent="0.2">
      <c r="GI40106" s="422"/>
    </row>
    <row r="40107" spans="191:191" x14ac:dyDescent="0.2">
      <c r="GI40107" s="422"/>
    </row>
    <row r="40108" spans="191:191" x14ac:dyDescent="0.2">
      <c r="GI40108" s="422"/>
    </row>
    <row r="40109" spans="191:191" x14ac:dyDescent="0.2">
      <c r="GI40109" s="422"/>
    </row>
    <row r="40110" spans="191:191" x14ac:dyDescent="0.2">
      <c r="GI40110" s="422"/>
    </row>
    <row r="40111" spans="191:191" x14ac:dyDescent="0.2">
      <c r="GI40111" s="422"/>
    </row>
    <row r="40112" spans="191:191" x14ac:dyDescent="0.2">
      <c r="GI40112" s="422"/>
    </row>
    <row r="40113" spans="191:191" x14ac:dyDescent="0.2">
      <c r="GI40113" s="422"/>
    </row>
    <row r="40114" spans="191:191" x14ac:dyDescent="0.2">
      <c r="GI40114" s="422"/>
    </row>
    <row r="40115" spans="191:191" x14ac:dyDescent="0.2">
      <c r="GI40115" s="422"/>
    </row>
    <row r="40116" spans="191:191" x14ac:dyDescent="0.2">
      <c r="GI40116" s="422"/>
    </row>
    <row r="40117" spans="191:191" x14ac:dyDescent="0.2">
      <c r="GI40117" s="422"/>
    </row>
    <row r="40118" spans="191:191" x14ac:dyDescent="0.2">
      <c r="GI40118" s="422"/>
    </row>
    <row r="40119" spans="191:191" x14ac:dyDescent="0.2">
      <c r="GI40119" s="422"/>
    </row>
    <row r="40120" spans="191:191" x14ac:dyDescent="0.2">
      <c r="GI40120" s="422"/>
    </row>
    <row r="40121" spans="191:191" x14ac:dyDescent="0.2">
      <c r="GI40121" s="422"/>
    </row>
    <row r="40122" spans="191:191" x14ac:dyDescent="0.2">
      <c r="GI40122" s="422"/>
    </row>
    <row r="40123" spans="191:191" x14ac:dyDescent="0.2">
      <c r="GI40123" s="422"/>
    </row>
    <row r="40124" spans="191:191" x14ac:dyDescent="0.2">
      <c r="GI40124" s="422"/>
    </row>
    <row r="40125" spans="191:191" x14ac:dyDescent="0.2">
      <c r="GI40125" s="422"/>
    </row>
    <row r="40126" spans="191:191" x14ac:dyDescent="0.2">
      <c r="GI40126" s="422"/>
    </row>
    <row r="40127" spans="191:191" x14ac:dyDescent="0.2">
      <c r="GI40127" s="422"/>
    </row>
    <row r="40128" spans="191:191" x14ac:dyDescent="0.2">
      <c r="GI40128" s="422"/>
    </row>
    <row r="40129" spans="191:191" x14ac:dyDescent="0.2">
      <c r="GI40129" s="422"/>
    </row>
    <row r="40130" spans="191:191" x14ac:dyDescent="0.2">
      <c r="GI40130" s="422"/>
    </row>
    <row r="40131" spans="191:191" x14ac:dyDescent="0.2">
      <c r="GI40131" s="422"/>
    </row>
    <row r="40132" spans="191:191" x14ac:dyDescent="0.2">
      <c r="GI40132" s="422"/>
    </row>
    <row r="40133" spans="191:191" x14ac:dyDescent="0.2">
      <c r="GI40133" s="422"/>
    </row>
    <row r="40134" spans="191:191" x14ac:dyDescent="0.2">
      <c r="GI40134" s="422"/>
    </row>
    <row r="40135" spans="191:191" x14ac:dyDescent="0.2">
      <c r="GI40135" s="422"/>
    </row>
    <row r="40136" spans="191:191" x14ac:dyDescent="0.2">
      <c r="GI40136" s="422"/>
    </row>
    <row r="40137" spans="191:191" x14ac:dyDescent="0.2">
      <c r="GI40137" s="422"/>
    </row>
    <row r="40138" spans="191:191" x14ac:dyDescent="0.2">
      <c r="GI40138" s="422"/>
    </row>
    <row r="40139" spans="191:191" x14ac:dyDescent="0.2">
      <c r="GI40139" s="422"/>
    </row>
    <row r="40140" spans="191:191" x14ac:dyDescent="0.2">
      <c r="GI40140" s="422"/>
    </row>
    <row r="40141" spans="191:191" x14ac:dyDescent="0.2">
      <c r="GI40141" s="422"/>
    </row>
    <row r="40142" spans="191:191" x14ac:dyDescent="0.2">
      <c r="GI40142" s="422"/>
    </row>
    <row r="40143" spans="191:191" x14ac:dyDescent="0.2">
      <c r="GI40143" s="422"/>
    </row>
    <row r="40144" spans="191:191" x14ac:dyDescent="0.2">
      <c r="GI40144" s="422"/>
    </row>
    <row r="40145" spans="191:191" x14ac:dyDescent="0.2">
      <c r="GI40145" s="422"/>
    </row>
    <row r="40146" spans="191:191" x14ac:dyDescent="0.2">
      <c r="GI40146" s="422"/>
    </row>
    <row r="40147" spans="191:191" x14ac:dyDescent="0.2">
      <c r="GI40147" s="422"/>
    </row>
    <row r="40148" spans="191:191" x14ac:dyDescent="0.2">
      <c r="GI40148" s="422"/>
    </row>
    <row r="40149" spans="191:191" x14ac:dyDescent="0.2">
      <c r="GI40149" s="422"/>
    </row>
    <row r="40150" spans="191:191" x14ac:dyDescent="0.2">
      <c r="GI40150" s="422"/>
    </row>
    <row r="40151" spans="191:191" x14ac:dyDescent="0.2">
      <c r="GI40151" s="422"/>
    </row>
    <row r="40152" spans="191:191" x14ac:dyDescent="0.2">
      <c r="GI40152" s="422"/>
    </row>
    <row r="40153" spans="191:191" x14ac:dyDescent="0.2">
      <c r="GI40153" s="422"/>
    </row>
    <row r="40154" spans="191:191" x14ac:dyDescent="0.2">
      <c r="GI40154" s="422"/>
    </row>
    <row r="40155" spans="191:191" x14ac:dyDescent="0.2">
      <c r="GI40155" s="422"/>
    </row>
    <row r="40156" spans="191:191" x14ac:dyDescent="0.2">
      <c r="GI40156" s="422"/>
    </row>
    <row r="40157" spans="191:191" x14ac:dyDescent="0.2">
      <c r="GI40157" s="422"/>
    </row>
    <row r="40158" spans="191:191" x14ac:dyDescent="0.2">
      <c r="GI40158" s="422"/>
    </row>
    <row r="40159" spans="191:191" x14ac:dyDescent="0.2">
      <c r="GI40159" s="422"/>
    </row>
    <row r="40160" spans="191:191" x14ac:dyDescent="0.2">
      <c r="GI40160" s="422"/>
    </row>
    <row r="40161" spans="191:191" x14ac:dyDescent="0.2">
      <c r="GI40161" s="422"/>
    </row>
    <row r="40162" spans="191:191" x14ac:dyDescent="0.2">
      <c r="GI40162" s="422"/>
    </row>
    <row r="40163" spans="191:191" x14ac:dyDescent="0.2">
      <c r="GI40163" s="422"/>
    </row>
    <row r="40164" spans="191:191" x14ac:dyDescent="0.2">
      <c r="GI40164" s="422"/>
    </row>
    <row r="40165" spans="191:191" x14ac:dyDescent="0.2">
      <c r="GI40165" s="422"/>
    </row>
    <row r="40166" spans="191:191" x14ac:dyDescent="0.2">
      <c r="GI40166" s="422"/>
    </row>
    <row r="40167" spans="191:191" x14ac:dyDescent="0.2">
      <c r="GI40167" s="422"/>
    </row>
    <row r="40168" spans="191:191" x14ac:dyDescent="0.2">
      <c r="GI40168" s="422"/>
    </row>
    <row r="40169" spans="191:191" x14ac:dyDescent="0.2">
      <c r="GI40169" s="422"/>
    </row>
    <row r="40170" spans="191:191" x14ac:dyDescent="0.2">
      <c r="GI40170" s="422"/>
    </row>
    <row r="40171" spans="191:191" x14ac:dyDescent="0.2">
      <c r="GI40171" s="422"/>
    </row>
    <row r="40172" spans="191:191" x14ac:dyDescent="0.2">
      <c r="GI40172" s="422"/>
    </row>
    <row r="40173" spans="191:191" x14ac:dyDescent="0.2">
      <c r="GI40173" s="422"/>
    </row>
    <row r="40174" spans="191:191" x14ac:dyDescent="0.2">
      <c r="GI40174" s="422"/>
    </row>
    <row r="40175" spans="191:191" x14ac:dyDescent="0.2">
      <c r="GI40175" s="422"/>
    </row>
    <row r="40176" spans="191:191" x14ac:dyDescent="0.2">
      <c r="GI40176" s="422"/>
    </row>
    <row r="40177" spans="191:191" x14ac:dyDescent="0.2">
      <c r="GI40177" s="422"/>
    </row>
    <row r="40178" spans="191:191" x14ac:dyDescent="0.2">
      <c r="GI40178" s="422"/>
    </row>
    <row r="40179" spans="191:191" x14ac:dyDescent="0.2">
      <c r="GI40179" s="422"/>
    </row>
    <row r="40180" spans="191:191" x14ac:dyDescent="0.2">
      <c r="GI40180" s="422"/>
    </row>
    <row r="40181" spans="191:191" x14ac:dyDescent="0.2">
      <c r="GI40181" s="422"/>
    </row>
    <row r="40182" spans="191:191" x14ac:dyDescent="0.2">
      <c r="GI40182" s="422"/>
    </row>
    <row r="40183" spans="191:191" x14ac:dyDescent="0.2">
      <c r="GI40183" s="422"/>
    </row>
    <row r="40184" spans="191:191" x14ac:dyDescent="0.2">
      <c r="GI40184" s="422"/>
    </row>
    <row r="40185" spans="191:191" x14ac:dyDescent="0.2">
      <c r="GI40185" s="422"/>
    </row>
    <row r="40186" spans="191:191" x14ac:dyDescent="0.2">
      <c r="GI40186" s="422"/>
    </row>
    <row r="40187" spans="191:191" x14ac:dyDescent="0.2">
      <c r="GI40187" s="422"/>
    </row>
    <row r="40188" spans="191:191" x14ac:dyDescent="0.2">
      <c r="GI40188" s="422"/>
    </row>
    <row r="40189" spans="191:191" x14ac:dyDescent="0.2">
      <c r="GI40189" s="422"/>
    </row>
    <row r="40190" spans="191:191" x14ac:dyDescent="0.2">
      <c r="GI40190" s="422"/>
    </row>
    <row r="40191" spans="191:191" x14ac:dyDescent="0.2">
      <c r="GI40191" s="422"/>
    </row>
    <row r="40192" spans="191:191" x14ac:dyDescent="0.2">
      <c r="GI40192" s="422"/>
    </row>
    <row r="40193" spans="191:191" x14ac:dyDescent="0.2">
      <c r="GI40193" s="422"/>
    </row>
    <row r="40194" spans="191:191" x14ac:dyDescent="0.2">
      <c r="GI40194" s="422"/>
    </row>
    <row r="40195" spans="191:191" x14ac:dyDescent="0.2">
      <c r="GI40195" s="422"/>
    </row>
    <row r="40196" spans="191:191" x14ac:dyDescent="0.2">
      <c r="GI40196" s="422"/>
    </row>
    <row r="40197" spans="191:191" x14ac:dyDescent="0.2">
      <c r="GI40197" s="422"/>
    </row>
    <row r="40198" spans="191:191" x14ac:dyDescent="0.2">
      <c r="GI40198" s="422"/>
    </row>
    <row r="40199" spans="191:191" x14ac:dyDescent="0.2">
      <c r="GI40199" s="422"/>
    </row>
    <row r="40200" spans="191:191" x14ac:dyDescent="0.2">
      <c r="GI40200" s="422"/>
    </row>
    <row r="40201" spans="191:191" x14ac:dyDescent="0.2">
      <c r="GI40201" s="422"/>
    </row>
    <row r="40202" spans="191:191" x14ac:dyDescent="0.2">
      <c r="GI40202" s="422"/>
    </row>
    <row r="40203" spans="191:191" x14ac:dyDescent="0.2">
      <c r="GI40203" s="422"/>
    </row>
    <row r="40204" spans="191:191" x14ac:dyDescent="0.2">
      <c r="GI40204" s="422"/>
    </row>
    <row r="40205" spans="191:191" x14ac:dyDescent="0.2">
      <c r="GI40205" s="422"/>
    </row>
    <row r="40206" spans="191:191" x14ac:dyDescent="0.2">
      <c r="GI40206" s="422"/>
    </row>
    <row r="40207" spans="191:191" x14ac:dyDescent="0.2">
      <c r="GI40207" s="422"/>
    </row>
    <row r="40208" spans="191:191" x14ac:dyDescent="0.2">
      <c r="GI40208" s="422"/>
    </row>
    <row r="40209" spans="191:191" x14ac:dyDescent="0.2">
      <c r="GI40209" s="422"/>
    </row>
    <row r="40210" spans="191:191" x14ac:dyDescent="0.2">
      <c r="GI40210" s="422"/>
    </row>
    <row r="40211" spans="191:191" x14ac:dyDescent="0.2">
      <c r="GI40211" s="422"/>
    </row>
    <row r="40212" spans="191:191" x14ac:dyDescent="0.2">
      <c r="GI40212" s="422"/>
    </row>
    <row r="40213" spans="191:191" x14ac:dyDescent="0.2">
      <c r="GI40213" s="422"/>
    </row>
    <row r="40214" spans="191:191" x14ac:dyDescent="0.2">
      <c r="GI40214" s="422"/>
    </row>
    <row r="40215" spans="191:191" x14ac:dyDescent="0.2">
      <c r="GI40215" s="422"/>
    </row>
    <row r="40216" spans="191:191" x14ac:dyDescent="0.2">
      <c r="GI40216" s="422"/>
    </row>
    <row r="40217" spans="191:191" x14ac:dyDescent="0.2">
      <c r="GI40217" s="422"/>
    </row>
    <row r="40218" spans="191:191" x14ac:dyDescent="0.2">
      <c r="GI40218" s="422"/>
    </row>
    <row r="40219" spans="191:191" x14ac:dyDescent="0.2">
      <c r="GI40219" s="422"/>
    </row>
    <row r="40220" spans="191:191" x14ac:dyDescent="0.2">
      <c r="GI40220" s="422"/>
    </row>
    <row r="40221" spans="191:191" x14ac:dyDescent="0.2">
      <c r="GI40221" s="422"/>
    </row>
    <row r="40222" spans="191:191" x14ac:dyDescent="0.2">
      <c r="GI40222" s="422"/>
    </row>
    <row r="40223" spans="191:191" x14ac:dyDescent="0.2">
      <c r="GI40223" s="422"/>
    </row>
    <row r="40224" spans="191:191" x14ac:dyDescent="0.2">
      <c r="GI40224" s="422"/>
    </row>
    <row r="40225" spans="191:191" x14ac:dyDescent="0.2">
      <c r="GI40225" s="422"/>
    </row>
    <row r="40226" spans="191:191" x14ac:dyDescent="0.2">
      <c r="GI40226" s="422"/>
    </row>
    <row r="40227" spans="191:191" x14ac:dyDescent="0.2">
      <c r="GI40227" s="422"/>
    </row>
    <row r="40228" spans="191:191" x14ac:dyDescent="0.2">
      <c r="GI40228" s="422"/>
    </row>
    <row r="40229" spans="191:191" x14ac:dyDescent="0.2">
      <c r="GI40229" s="422"/>
    </row>
    <row r="40230" spans="191:191" x14ac:dyDescent="0.2">
      <c r="GI40230" s="422"/>
    </row>
    <row r="40231" spans="191:191" x14ac:dyDescent="0.2">
      <c r="GI40231" s="422"/>
    </row>
    <row r="40232" spans="191:191" x14ac:dyDescent="0.2">
      <c r="GI40232" s="422"/>
    </row>
    <row r="40233" spans="191:191" x14ac:dyDescent="0.2">
      <c r="GI40233" s="422"/>
    </row>
    <row r="40234" spans="191:191" x14ac:dyDescent="0.2">
      <c r="GI40234" s="422"/>
    </row>
    <row r="40235" spans="191:191" x14ac:dyDescent="0.2">
      <c r="GI40235" s="422"/>
    </row>
    <row r="40236" spans="191:191" x14ac:dyDescent="0.2">
      <c r="GI40236" s="422"/>
    </row>
    <row r="40237" spans="191:191" x14ac:dyDescent="0.2">
      <c r="GI40237" s="422"/>
    </row>
    <row r="40238" spans="191:191" x14ac:dyDescent="0.2">
      <c r="GI40238" s="422"/>
    </row>
    <row r="40239" spans="191:191" x14ac:dyDescent="0.2">
      <c r="GI40239" s="422"/>
    </row>
    <row r="40240" spans="191:191" x14ac:dyDescent="0.2">
      <c r="GI40240" s="422"/>
    </row>
    <row r="40241" spans="191:191" x14ac:dyDescent="0.2">
      <c r="GI40241" s="422"/>
    </row>
    <row r="40242" spans="191:191" x14ac:dyDescent="0.2">
      <c r="GI40242" s="422"/>
    </row>
    <row r="40243" spans="191:191" x14ac:dyDescent="0.2">
      <c r="GI40243" s="422"/>
    </row>
    <row r="40244" spans="191:191" x14ac:dyDescent="0.2">
      <c r="GI40244" s="422"/>
    </row>
    <row r="40245" spans="191:191" x14ac:dyDescent="0.2">
      <c r="GI40245" s="422"/>
    </row>
    <row r="40246" spans="191:191" x14ac:dyDescent="0.2">
      <c r="GI40246" s="422"/>
    </row>
    <row r="40247" spans="191:191" x14ac:dyDescent="0.2">
      <c r="GI40247" s="422"/>
    </row>
    <row r="40248" spans="191:191" x14ac:dyDescent="0.2">
      <c r="GI40248" s="422"/>
    </row>
    <row r="40249" spans="191:191" x14ac:dyDescent="0.2">
      <c r="GI40249" s="422"/>
    </row>
    <row r="40250" spans="191:191" x14ac:dyDescent="0.2">
      <c r="GI40250" s="422"/>
    </row>
    <row r="40251" spans="191:191" x14ac:dyDescent="0.2">
      <c r="GI40251" s="422"/>
    </row>
    <row r="40252" spans="191:191" x14ac:dyDescent="0.2">
      <c r="GI40252" s="422"/>
    </row>
    <row r="40253" spans="191:191" x14ac:dyDescent="0.2">
      <c r="GI40253" s="422"/>
    </row>
    <row r="40254" spans="191:191" x14ac:dyDescent="0.2">
      <c r="GI40254" s="422"/>
    </row>
    <row r="40255" spans="191:191" x14ac:dyDescent="0.2">
      <c r="GI40255" s="422"/>
    </row>
    <row r="40256" spans="191:191" x14ac:dyDescent="0.2">
      <c r="GI40256" s="422"/>
    </row>
    <row r="40257" spans="191:191" x14ac:dyDescent="0.2">
      <c r="GI40257" s="422"/>
    </row>
    <row r="40258" spans="191:191" x14ac:dyDescent="0.2">
      <c r="GI40258" s="422"/>
    </row>
    <row r="40259" spans="191:191" x14ac:dyDescent="0.2">
      <c r="GI40259" s="422"/>
    </row>
    <row r="40260" spans="191:191" x14ac:dyDescent="0.2">
      <c r="GI40260" s="422"/>
    </row>
    <row r="40261" spans="191:191" x14ac:dyDescent="0.2">
      <c r="GI40261" s="422"/>
    </row>
    <row r="40262" spans="191:191" x14ac:dyDescent="0.2">
      <c r="GI40262" s="422"/>
    </row>
    <row r="40263" spans="191:191" x14ac:dyDescent="0.2">
      <c r="GI40263" s="422"/>
    </row>
    <row r="40264" spans="191:191" x14ac:dyDescent="0.2">
      <c r="GI40264" s="422"/>
    </row>
    <row r="40265" spans="191:191" x14ac:dyDescent="0.2">
      <c r="GI40265" s="422"/>
    </row>
    <row r="40266" spans="191:191" x14ac:dyDescent="0.2">
      <c r="GI40266" s="422"/>
    </row>
    <row r="40267" spans="191:191" x14ac:dyDescent="0.2">
      <c r="GI40267" s="422"/>
    </row>
    <row r="40268" spans="191:191" x14ac:dyDescent="0.2">
      <c r="GI40268" s="422"/>
    </row>
    <row r="40269" spans="191:191" x14ac:dyDescent="0.2">
      <c r="GI40269" s="422"/>
    </row>
    <row r="40270" spans="191:191" x14ac:dyDescent="0.2">
      <c r="GI40270" s="422"/>
    </row>
    <row r="40271" spans="191:191" x14ac:dyDescent="0.2">
      <c r="GI40271" s="422"/>
    </row>
    <row r="40272" spans="191:191" x14ac:dyDescent="0.2">
      <c r="GI40272" s="422"/>
    </row>
    <row r="40273" spans="191:191" x14ac:dyDescent="0.2">
      <c r="GI40273" s="422"/>
    </row>
    <row r="40274" spans="191:191" x14ac:dyDescent="0.2">
      <c r="GI40274" s="422"/>
    </row>
    <row r="40275" spans="191:191" x14ac:dyDescent="0.2">
      <c r="GI40275" s="422"/>
    </row>
    <row r="40276" spans="191:191" x14ac:dyDescent="0.2">
      <c r="GI40276" s="422"/>
    </row>
    <row r="40277" spans="191:191" x14ac:dyDescent="0.2">
      <c r="GI40277" s="422"/>
    </row>
    <row r="40278" spans="191:191" x14ac:dyDescent="0.2">
      <c r="GI40278" s="422"/>
    </row>
    <row r="40279" spans="191:191" x14ac:dyDescent="0.2">
      <c r="GI40279" s="422"/>
    </row>
    <row r="40280" spans="191:191" x14ac:dyDescent="0.2">
      <c r="GI40280" s="422"/>
    </row>
    <row r="40281" spans="191:191" x14ac:dyDescent="0.2">
      <c r="GI40281" s="422"/>
    </row>
    <row r="40282" spans="191:191" x14ac:dyDescent="0.2">
      <c r="GI40282" s="422"/>
    </row>
    <row r="40283" spans="191:191" x14ac:dyDescent="0.2">
      <c r="GI40283" s="422"/>
    </row>
    <row r="40284" spans="191:191" x14ac:dyDescent="0.2">
      <c r="GI40284" s="422"/>
    </row>
    <row r="40285" spans="191:191" x14ac:dyDescent="0.2">
      <c r="GI40285" s="422"/>
    </row>
    <row r="40286" spans="191:191" x14ac:dyDescent="0.2">
      <c r="GI40286" s="422"/>
    </row>
    <row r="40287" spans="191:191" x14ac:dyDescent="0.2">
      <c r="GI40287" s="422"/>
    </row>
    <row r="40288" spans="191:191" x14ac:dyDescent="0.2">
      <c r="GI40288" s="422"/>
    </row>
    <row r="40289" spans="191:191" x14ac:dyDescent="0.2">
      <c r="GI40289" s="422"/>
    </row>
    <row r="40290" spans="191:191" x14ac:dyDescent="0.2">
      <c r="GI40290" s="422"/>
    </row>
    <row r="40291" spans="191:191" x14ac:dyDescent="0.2">
      <c r="GI40291" s="422"/>
    </row>
    <row r="40292" spans="191:191" x14ac:dyDescent="0.2">
      <c r="GI40292" s="422"/>
    </row>
    <row r="40293" spans="191:191" x14ac:dyDescent="0.2">
      <c r="GI40293" s="422"/>
    </row>
    <row r="40294" spans="191:191" x14ac:dyDescent="0.2">
      <c r="GI40294" s="422"/>
    </row>
    <row r="40295" spans="191:191" x14ac:dyDescent="0.2">
      <c r="GI40295" s="422"/>
    </row>
    <row r="40296" spans="191:191" x14ac:dyDescent="0.2">
      <c r="GI40296" s="422"/>
    </row>
    <row r="40297" spans="191:191" x14ac:dyDescent="0.2">
      <c r="GI40297" s="422"/>
    </row>
    <row r="40298" spans="191:191" x14ac:dyDescent="0.2">
      <c r="GI40298" s="422"/>
    </row>
    <row r="40299" spans="191:191" x14ac:dyDescent="0.2">
      <c r="GI40299" s="422"/>
    </row>
    <row r="40300" spans="191:191" x14ac:dyDescent="0.2">
      <c r="GI40300" s="422"/>
    </row>
    <row r="40301" spans="191:191" x14ac:dyDescent="0.2">
      <c r="GI40301" s="422"/>
    </row>
    <row r="40302" spans="191:191" x14ac:dyDescent="0.2">
      <c r="GI40302" s="422"/>
    </row>
    <row r="40303" spans="191:191" x14ac:dyDescent="0.2">
      <c r="GI40303" s="422"/>
    </row>
    <row r="40304" spans="191:191" x14ac:dyDescent="0.2">
      <c r="GI40304" s="422"/>
    </row>
    <row r="40305" spans="191:191" x14ac:dyDescent="0.2">
      <c r="GI40305" s="422"/>
    </row>
    <row r="40306" spans="191:191" x14ac:dyDescent="0.2">
      <c r="GI40306" s="422"/>
    </row>
    <row r="40307" spans="191:191" x14ac:dyDescent="0.2">
      <c r="GI40307" s="422"/>
    </row>
    <row r="40308" spans="191:191" x14ac:dyDescent="0.2">
      <c r="GI40308" s="422"/>
    </row>
    <row r="40309" spans="191:191" x14ac:dyDescent="0.2">
      <c r="GI40309" s="422"/>
    </row>
    <row r="40310" spans="191:191" x14ac:dyDescent="0.2">
      <c r="GI40310" s="422"/>
    </row>
    <row r="40311" spans="191:191" x14ac:dyDescent="0.2">
      <c r="GI40311" s="422"/>
    </row>
    <row r="40312" spans="191:191" x14ac:dyDescent="0.2">
      <c r="GI40312" s="422"/>
    </row>
    <row r="40313" spans="191:191" x14ac:dyDescent="0.2">
      <c r="GI40313" s="422"/>
    </row>
    <row r="40314" spans="191:191" x14ac:dyDescent="0.2">
      <c r="GI40314" s="422"/>
    </row>
    <row r="40315" spans="191:191" x14ac:dyDescent="0.2">
      <c r="GI40315" s="422"/>
    </row>
    <row r="40316" spans="191:191" x14ac:dyDescent="0.2">
      <c r="GI40316" s="422"/>
    </row>
    <row r="40317" spans="191:191" x14ac:dyDescent="0.2">
      <c r="GI40317" s="422"/>
    </row>
    <row r="40318" spans="191:191" x14ac:dyDescent="0.2">
      <c r="GI40318" s="422"/>
    </row>
    <row r="40319" spans="191:191" x14ac:dyDescent="0.2">
      <c r="GI40319" s="422"/>
    </row>
    <row r="40320" spans="191:191" x14ac:dyDescent="0.2">
      <c r="GI40320" s="422"/>
    </row>
    <row r="40321" spans="191:191" x14ac:dyDescent="0.2">
      <c r="GI40321" s="422"/>
    </row>
    <row r="40322" spans="191:191" x14ac:dyDescent="0.2">
      <c r="GI40322" s="422"/>
    </row>
    <row r="40323" spans="191:191" x14ac:dyDescent="0.2">
      <c r="GI40323" s="422"/>
    </row>
    <row r="40324" spans="191:191" x14ac:dyDescent="0.2">
      <c r="GI40324" s="422"/>
    </row>
    <row r="40325" spans="191:191" x14ac:dyDescent="0.2">
      <c r="GI40325" s="422"/>
    </row>
    <row r="40326" spans="191:191" x14ac:dyDescent="0.2">
      <c r="GI40326" s="422"/>
    </row>
    <row r="40327" spans="191:191" x14ac:dyDescent="0.2">
      <c r="GI40327" s="422"/>
    </row>
    <row r="40328" spans="191:191" x14ac:dyDescent="0.2">
      <c r="GI40328" s="422"/>
    </row>
    <row r="40329" spans="191:191" x14ac:dyDescent="0.2">
      <c r="GI40329" s="422"/>
    </row>
    <row r="40330" spans="191:191" x14ac:dyDescent="0.2">
      <c r="GI40330" s="422"/>
    </row>
    <row r="40331" spans="191:191" x14ac:dyDescent="0.2">
      <c r="GI40331" s="422"/>
    </row>
    <row r="40332" spans="191:191" x14ac:dyDescent="0.2">
      <c r="GI40332" s="422"/>
    </row>
    <row r="40333" spans="191:191" x14ac:dyDescent="0.2">
      <c r="GI40333" s="422"/>
    </row>
    <row r="40334" spans="191:191" x14ac:dyDescent="0.2">
      <c r="GI40334" s="422"/>
    </row>
    <row r="40335" spans="191:191" x14ac:dyDescent="0.2">
      <c r="GI40335" s="422"/>
    </row>
    <row r="40336" spans="191:191" x14ac:dyDescent="0.2">
      <c r="GI40336" s="422"/>
    </row>
    <row r="40337" spans="191:191" x14ac:dyDescent="0.2">
      <c r="GI40337" s="422"/>
    </row>
    <row r="40338" spans="191:191" x14ac:dyDescent="0.2">
      <c r="GI40338" s="422"/>
    </row>
    <row r="40339" spans="191:191" x14ac:dyDescent="0.2">
      <c r="GI40339" s="422"/>
    </row>
    <row r="40340" spans="191:191" x14ac:dyDescent="0.2">
      <c r="GI40340" s="422"/>
    </row>
    <row r="40341" spans="191:191" x14ac:dyDescent="0.2">
      <c r="GI40341" s="422"/>
    </row>
    <row r="40342" spans="191:191" x14ac:dyDescent="0.2">
      <c r="GI40342" s="422"/>
    </row>
    <row r="40343" spans="191:191" x14ac:dyDescent="0.2">
      <c r="GI40343" s="422"/>
    </row>
    <row r="40344" spans="191:191" x14ac:dyDescent="0.2">
      <c r="GI40344" s="422"/>
    </row>
    <row r="40345" spans="191:191" x14ac:dyDescent="0.2">
      <c r="GI40345" s="422"/>
    </row>
    <row r="40346" spans="191:191" x14ac:dyDescent="0.2">
      <c r="GI40346" s="422"/>
    </row>
    <row r="40347" spans="191:191" x14ac:dyDescent="0.2">
      <c r="GI40347" s="422"/>
    </row>
    <row r="40348" spans="191:191" x14ac:dyDescent="0.2">
      <c r="GI40348" s="422"/>
    </row>
    <row r="40349" spans="191:191" x14ac:dyDescent="0.2">
      <c r="GI40349" s="422"/>
    </row>
    <row r="40350" spans="191:191" x14ac:dyDescent="0.2">
      <c r="GI40350" s="422"/>
    </row>
    <row r="40351" spans="191:191" x14ac:dyDescent="0.2">
      <c r="GI40351" s="422"/>
    </row>
    <row r="40352" spans="191:191" x14ac:dyDescent="0.2">
      <c r="GI40352" s="422"/>
    </row>
    <row r="40353" spans="191:191" x14ac:dyDescent="0.2">
      <c r="GI40353" s="422"/>
    </row>
    <row r="40354" spans="191:191" x14ac:dyDescent="0.2">
      <c r="GI40354" s="422"/>
    </row>
    <row r="40355" spans="191:191" x14ac:dyDescent="0.2">
      <c r="GI40355" s="422"/>
    </row>
    <row r="40356" spans="191:191" x14ac:dyDescent="0.2">
      <c r="GI40356" s="422"/>
    </row>
    <row r="40357" spans="191:191" x14ac:dyDescent="0.2">
      <c r="GI40357" s="422"/>
    </row>
    <row r="40358" spans="191:191" x14ac:dyDescent="0.2">
      <c r="GI40358" s="422"/>
    </row>
    <row r="40359" spans="191:191" x14ac:dyDescent="0.2">
      <c r="GI40359" s="422"/>
    </row>
    <row r="40360" spans="191:191" x14ac:dyDescent="0.2">
      <c r="GI40360" s="422"/>
    </row>
    <row r="40361" spans="191:191" x14ac:dyDescent="0.2">
      <c r="GI40361" s="422"/>
    </row>
    <row r="40362" spans="191:191" x14ac:dyDescent="0.2">
      <c r="GI40362" s="422"/>
    </row>
    <row r="40363" spans="191:191" x14ac:dyDescent="0.2">
      <c r="GI40363" s="422"/>
    </row>
    <row r="40364" spans="191:191" x14ac:dyDescent="0.2">
      <c r="GI40364" s="422"/>
    </row>
    <row r="40365" spans="191:191" x14ac:dyDescent="0.2">
      <c r="GI40365" s="422"/>
    </row>
    <row r="40366" spans="191:191" x14ac:dyDescent="0.2">
      <c r="GI40366" s="422"/>
    </row>
    <row r="40367" spans="191:191" x14ac:dyDescent="0.2">
      <c r="GI40367" s="422"/>
    </row>
    <row r="40368" spans="191:191" x14ac:dyDescent="0.2">
      <c r="GI40368" s="422"/>
    </row>
    <row r="40369" spans="191:191" x14ac:dyDescent="0.2">
      <c r="GI40369" s="422"/>
    </row>
    <row r="40370" spans="191:191" x14ac:dyDescent="0.2">
      <c r="GI40370" s="422"/>
    </row>
    <row r="40371" spans="191:191" x14ac:dyDescent="0.2">
      <c r="GI40371" s="422"/>
    </row>
    <row r="40372" spans="191:191" x14ac:dyDescent="0.2">
      <c r="GI40372" s="422"/>
    </row>
    <row r="40373" spans="191:191" x14ac:dyDescent="0.2">
      <c r="GI40373" s="422"/>
    </row>
    <row r="40374" spans="191:191" x14ac:dyDescent="0.2">
      <c r="GI40374" s="422"/>
    </row>
    <row r="40375" spans="191:191" x14ac:dyDescent="0.2">
      <c r="GI40375" s="422"/>
    </row>
    <row r="40376" spans="191:191" x14ac:dyDescent="0.2">
      <c r="GI40376" s="422"/>
    </row>
    <row r="40377" spans="191:191" x14ac:dyDescent="0.2">
      <c r="GI40377" s="422"/>
    </row>
    <row r="40378" spans="191:191" x14ac:dyDescent="0.2">
      <c r="GI40378" s="422"/>
    </row>
    <row r="40379" spans="191:191" x14ac:dyDescent="0.2">
      <c r="GI40379" s="422"/>
    </row>
    <row r="40380" spans="191:191" x14ac:dyDescent="0.2">
      <c r="GI40380" s="422"/>
    </row>
    <row r="40381" spans="191:191" x14ac:dyDescent="0.2">
      <c r="GI40381" s="422"/>
    </row>
    <row r="40382" spans="191:191" x14ac:dyDescent="0.2">
      <c r="GI40382" s="422"/>
    </row>
    <row r="40383" spans="191:191" x14ac:dyDescent="0.2">
      <c r="GI40383" s="422"/>
    </row>
    <row r="40384" spans="191:191" x14ac:dyDescent="0.2">
      <c r="GI40384" s="422"/>
    </row>
    <row r="40385" spans="191:191" x14ac:dyDescent="0.2">
      <c r="GI40385" s="422"/>
    </row>
    <row r="40386" spans="191:191" x14ac:dyDescent="0.2">
      <c r="GI40386" s="422"/>
    </row>
    <row r="40387" spans="191:191" x14ac:dyDescent="0.2">
      <c r="GI40387" s="422"/>
    </row>
    <row r="40388" spans="191:191" x14ac:dyDescent="0.2">
      <c r="GI40388" s="422"/>
    </row>
    <row r="40389" spans="191:191" x14ac:dyDescent="0.2">
      <c r="GI40389" s="422"/>
    </row>
    <row r="40390" spans="191:191" x14ac:dyDescent="0.2">
      <c r="GI40390" s="422"/>
    </row>
    <row r="40391" spans="191:191" x14ac:dyDescent="0.2">
      <c r="GI40391" s="422"/>
    </row>
    <row r="40392" spans="191:191" x14ac:dyDescent="0.2">
      <c r="GI40392" s="422"/>
    </row>
    <row r="40393" spans="191:191" x14ac:dyDescent="0.2">
      <c r="GI40393" s="422"/>
    </row>
    <row r="40394" spans="191:191" x14ac:dyDescent="0.2">
      <c r="GI40394" s="422"/>
    </row>
    <row r="40395" spans="191:191" x14ac:dyDescent="0.2">
      <c r="GI40395" s="422"/>
    </row>
    <row r="40396" spans="191:191" x14ac:dyDescent="0.2">
      <c r="GI40396" s="422"/>
    </row>
    <row r="40397" spans="191:191" x14ac:dyDescent="0.2">
      <c r="GI40397" s="422"/>
    </row>
    <row r="40398" spans="191:191" x14ac:dyDescent="0.2">
      <c r="GI40398" s="422"/>
    </row>
    <row r="40399" spans="191:191" x14ac:dyDescent="0.2">
      <c r="GI40399" s="422"/>
    </row>
    <row r="40400" spans="191:191" x14ac:dyDescent="0.2">
      <c r="GI40400" s="422"/>
    </row>
    <row r="40401" spans="191:191" x14ac:dyDescent="0.2">
      <c r="GI40401" s="422"/>
    </row>
    <row r="40402" spans="191:191" x14ac:dyDescent="0.2">
      <c r="GI40402" s="422"/>
    </row>
    <row r="40403" spans="191:191" x14ac:dyDescent="0.2">
      <c r="GI40403" s="422"/>
    </row>
    <row r="40404" spans="191:191" x14ac:dyDescent="0.2">
      <c r="GI40404" s="422"/>
    </row>
    <row r="40405" spans="191:191" x14ac:dyDescent="0.2">
      <c r="GI40405" s="422"/>
    </row>
    <row r="40406" spans="191:191" x14ac:dyDescent="0.2">
      <c r="GI40406" s="422"/>
    </row>
    <row r="40407" spans="191:191" x14ac:dyDescent="0.2">
      <c r="GI40407" s="422"/>
    </row>
    <row r="40408" spans="191:191" x14ac:dyDescent="0.2">
      <c r="GI40408" s="422"/>
    </row>
    <row r="40409" spans="191:191" x14ac:dyDescent="0.2">
      <c r="GI40409" s="422"/>
    </row>
    <row r="40410" spans="191:191" x14ac:dyDescent="0.2">
      <c r="GI40410" s="422"/>
    </row>
    <row r="40411" spans="191:191" x14ac:dyDescent="0.2">
      <c r="GI40411" s="422"/>
    </row>
    <row r="40412" spans="191:191" x14ac:dyDescent="0.2">
      <c r="GI40412" s="422"/>
    </row>
    <row r="40413" spans="191:191" x14ac:dyDescent="0.2">
      <c r="GI40413" s="422"/>
    </row>
    <row r="40414" spans="191:191" x14ac:dyDescent="0.2">
      <c r="GI40414" s="422"/>
    </row>
    <row r="40415" spans="191:191" x14ac:dyDescent="0.2">
      <c r="GI40415" s="422"/>
    </row>
    <row r="40416" spans="191:191" x14ac:dyDescent="0.2">
      <c r="GI40416" s="422"/>
    </row>
    <row r="40417" spans="191:191" x14ac:dyDescent="0.2">
      <c r="GI40417" s="422"/>
    </row>
    <row r="40418" spans="191:191" x14ac:dyDescent="0.2">
      <c r="GI40418" s="422"/>
    </row>
    <row r="40419" spans="191:191" x14ac:dyDescent="0.2">
      <c r="GI40419" s="422"/>
    </row>
    <row r="40420" spans="191:191" x14ac:dyDescent="0.2">
      <c r="GI40420" s="422"/>
    </row>
    <row r="40421" spans="191:191" x14ac:dyDescent="0.2">
      <c r="GI40421" s="422"/>
    </row>
    <row r="40422" spans="191:191" x14ac:dyDescent="0.2">
      <c r="GI40422" s="422"/>
    </row>
    <row r="40423" spans="191:191" x14ac:dyDescent="0.2">
      <c r="GI40423" s="422"/>
    </row>
    <row r="40424" spans="191:191" x14ac:dyDescent="0.2">
      <c r="GI40424" s="422"/>
    </row>
    <row r="40425" spans="191:191" x14ac:dyDescent="0.2">
      <c r="GI40425" s="422"/>
    </row>
    <row r="40426" spans="191:191" x14ac:dyDescent="0.2">
      <c r="GI40426" s="422"/>
    </row>
    <row r="40427" spans="191:191" x14ac:dyDescent="0.2">
      <c r="GI40427" s="422"/>
    </row>
    <row r="40428" spans="191:191" x14ac:dyDescent="0.2">
      <c r="GI40428" s="422"/>
    </row>
    <row r="40429" spans="191:191" x14ac:dyDescent="0.2">
      <c r="GI40429" s="422"/>
    </row>
    <row r="40430" spans="191:191" x14ac:dyDescent="0.2">
      <c r="GI40430" s="422"/>
    </row>
    <row r="40431" spans="191:191" x14ac:dyDescent="0.2">
      <c r="GI40431" s="422"/>
    </row>
    <row r="40432" spans="191:191" x14ac:dyDescent="0.2">
      <c r="GI40432" s="422"/>
    </row>
    <row r="40433" spans="191:191" x14ac:dyDescent="0.2">
      <c r="GI40433" s="422"/>
    </row>
    <row r="40434" spans="191:191" x14ac:dyDescent="0.2">
      <c r="GI40434" s="422"/>
    </row>
    <row r="40435" spans="191:191" x14ac:dyDescent="0.2">
      <c r="GI40435" s="422"/>
    </row>
    <row r="40436" spans="191:191" x14ac:dyDescent="0.2">
      <c r="GI40436" s="422"/>
    </row>
    <row r="40437" spans="191:191" x14ac:dyDescent="0.2">
      <c r="GI40437" s="422"/>
    </row>
    <row r="40438" spans="191:191" x14ac:dyDescent="0.2">
      <c r="GI40438" s="422"/>
    </row>
    <row r="40439" spans="191:191" x14ac:dyDescent="0.2">
      <c r="GI40439" s="422"/>
    </row>
    <row r="40440" spans="191:191" x14ac:dyDescent="0.2">
      <c r="GI40440" s="422"/>
    </row>
    <row r="40441" spans="191:191" x14ac:dyDescent="0.2">
      <c r="GI40441" s="422"/>
    </row>
    <row r="40442" spans="191:191" x14ac:dyDescent="0.2">
      <c r="GI40442" s="422"/>
    </row>
    <row r="40443" spans="191:191" x14ac:dyDescent="0.2">
      <c r="GI40443" s="422"/>
    </row>
    <row r="40444" spans="191:191" x14ac:dyDescent="0.2">
      <c r="GI40444" s="422"/>
    </row>
    <row r="40445" spans="191:191" x14ac:dyDescent="0.2">
      <c r="GI40445" s="422"/>
    </row>
    <row r="40446" spans="191:191" x14ac:dyDescent="0.2">
      <c r="GI40446" s="422"/>
    </row>
    <row r="40447" spans="191:191" x14ac:dyDescent="0.2">
      <c r="GI40447" s="422"/>
    </row>
    <row r="40448" spans="191:191" x14ac:dyDescent="0.2">
      <c r="GI40448" s="422"/>
    </row>
    <row r="40449" spans="191:191" x14ac:dyDescent="0.2">
      <c r="GI40449" s="422"/>
    </row>
    <row r="40450" spans="191:191" x14ac:dyDescent="0.2">
      <c r="GI40450" s="422"/>
    </row>
    <row r="40451" spans="191:191" x14ac:dyDescent="0.2">
      <c r="GI40451" s="422"/>
    </row>
    <row r="40452" spans="191:191" x14ac:dyDescent="0.2">
      <c r="GI40452" s="422"/>
    </row>
    <row r="40453" spans="191:191" x14ac:dyDescent="0.2">
      <c r="GI40453" s="422"/>
    </row>
    <row r="40454" spans="191:191" x14ac:dyDescent="0.2">
      <c r="GI40454" s="422"/>
    </row>
    <row r="40455" spans="191:191" x14ac:dyDescent="0.2">
      <c r="GI40455" s="422"/>
    </row>
    <row r="40456" spans="191:191" x14ac:dyDescent="0.2">
      <c r="GI40456" s="422"/>
    </row>
    <row r="40457" spans="191:191" x14ac:dyDescent="0.2">
      <c r="GI40457" s="422"/>
    </row>
    <row r="40458" spans="191:191" x14ac:dyDescent="0.2">
      <c r="GI40458" s="422"/>
    </row>
    <row r="40459" spans="191:191" x14ac:dyDescent="0.2">
      <c r="GI40459" s="422"/>
    </row>
    <row r="40460" spans="191:191" x14ac:dyDescent="0.2">
      <c r="GI40460" s="422"/>
    </row>
    <row r="40461" spans="191:191" x14ac:dyDescent="0.2">
      <c r="GI40461" s="422"/>
    </row>
    <row r="40462" spans="191:191" x14ac:dyDescent="0.2">
      <c r="GI40462" s="422"/>
    </row>
    <row r="40463" spans="191:191" x14ac:dyDescent="0.2">
      <c r="GI40463" s="422"/>
    </row>
    <row r="40464" spans="191:191" x14ac:dyDescent="0.2">
      <c r="GI40464" s="422"/>
    </row>
    <row r="40465" spans="191:191" x14ac:dyDescent="0.2">
      <c r="GI40465" s="422"/>
    </row>
    <row r="40466" spans="191:191" x14ac:dyDescent="0.2">
      <c r="GI40466" s="422"/>
    </row>
    <row r="40467" spans="191:191" x14ac:dyDescent="0.2">
      <c r="GI40467" s="422"/>
    </row>
    <row r="40468" spans="191:191" x14ac:dyDescent="0.2">
      <c r="GI40468" s="422"/>
    </row>
    <row r="40469" spans="191:191" x14ac:dyDescent="0.2">
      <c r="GI40469" s="422"/>
    </row>
    <row r="40470" spans="191:191" x14ac:dyDescent="0.2">
      <c r="GI40470" s="422"/>
    </row>
    <row r="40471" spans="191:191" x14ac:dyDescent="0.2">
      <c r="GI40471" s="422"/>
    </row>
    <row r="40472" spans="191:191" x14ac:dyDescent="0.2">
      <c r="GI40472" s="422"/>
    </row>
    <row r="40473" spans="191:191" x14ac:dyDescent="0.2">
      <c r="GI40473" s="422"/>
    </row>
    <row r="40474" spans="191:191" x14ac:dyDescent="0.2">
      <c r="GI40474" s="422"/>
    </row>
    <row r="40475" spans="191:191" x14ac:dyDescent="0.2">
      <c r="GI40475" s="422"/>
    </row>
    <row r="40476" spans="191:191" x14ac:dyDescent="0.2">
      <c r="GI40476" s="422"/>
    </row>
    <row r="40477" spans="191:191" x14ac:dyDescent="0.2">
      <c r="GI40477" s="422"/>
    </row>
    <row r="40478" spans="191:191" x14ac:dyDescent="0.2">
      <c r="GI40478" s="422"/>
    </row>
    <row r="40479" spans="191:191" x14ac:dyDescent="0.2">
      <c r="GI40479" s="422"/>
    </row>
    <row r="40480" spans="191:191" x14ac:dyDescent="0.2">
      <c r="GI40480" s="422"/>
    </row>
    <row r="40481" spans="191:191" x14ac:dyDescent="0.2">
      <c r="GI40481" s="422"/>
    </row>
    <row r="40482" spans="191:191" x14ac:dyDescent="0.2">
      <c r="GI40482" s="422"/>
    </row>
    <row r="40483" spans="191:191" x14ac:dyDescent="0.2">
      <c r="GI40483" s="422"/>
    </row>
    <row r="40484" spans="191:191" x14ac:dyDescent="0.2">
      <c r="GI40484" s="422"/>
    </row>
    <row r="40485" spans="191:191" x14ac:dyDescent="0.2">
      <c r="GI40485" s="422"/>
    </row>
    <row r="40486" spans="191:191" x14ac:dyDescent="0.2">
      <c r="GI40486" s="422"/>
    </row>
    <row r="40487" spans="191:191" x14ac:dyDescent="0.2">
      <c r="GI40487" s="422"/>
    </row>
    <row r="40488" spans="191:191" x14ac:dyDescent="0.2">
      <c r="GI40488" s="422"/>
    </row>
    <row r="40489" spans="191:191" x14ac:dyDescent="0.2">
      <c r="GI40489" s="422"/>
    </row>
    <row r="40490" spans="191:191" x14ac:dyDescent="0.2">
      <c r="GI40490" s="422"/>
    </row>
    <row r="40491" spans="191:191" x14ac:dyDescent="0.2">
      <c r="GI40491" s="422"/>
    </row>
    <row r="40492" spans="191:191" x14ac:dyDescent="0.2">
      <c r="GI40492" s="422"/>
    </row>
    <row r="40493" spans="191:191" x14ac:dyDescent="0.2">
      <c r="GI40493" s="422"/>
    </row>
    <row r="40494" spans="191:191" x14ac:dyDescent="0.2">
      <c r="GI40494" s="422"/>
    </row>
    <row r="40495" spans="191:191" x14ac:dyDescent="0.2">
      <c r="GI40495" s="422"/>
    </row>
    <row r="40496" spans="191:191" x14ac:dyDescent="0.2">
      <c r="GI40496" s="422"/>
    </row>
    <row r="40497" spans="191:191" x14ac:dyDescent="0.2">
      <c r="GI40497" s="422"/>
    </row>
    <row r="40498" spans="191:191" x14ac:dyDescent="0.2">
      <c r="GI40498" s="422"/>
    </row>
    <row r="40499" spans="191:191" x14ac:dyDescent="0.2">
      <c r="GI40499" s="422"/>
    </row>
    <row r="40500" spans="191:191" x14ac:dyDescent="0.2">
      <c r="GI40500" s="422"/>
    </row>
    <row r="40501" spans="191:191" x14ac:dyDescent="0.2">
      <c r="GI40501" s="422"/>
    </row>
    <row r="40502" spans="191:191" x14ac:dyDescent="0.2">
      <c r="GI40502" s="422"/>
    </row>
    <row r="40503" spans="191:191" x14ac:dyDescent="0.2">
      <c r="GI40503" s="422"/>
    </row>
    <row r="40504" spans="191:191" x14ac:dyDescent="0.2">
      <c r="GI40504" s="422"/>
    </row>
    <row r="40505" spans="191:191" x14ac:dyDescent="0.2">
      <c r="GI40505" s="422"/>
    </row>
    <row r="40506" spans="191:191" x14ac:dyDescent="0.2">
      <c r="GI40506" s="422"/>
    </row>
    <row r="40507" spans="191:191" x14ac:dyDescent="0.2">
      <c r="GI40507" s="422"/>
    </row>
    <row r="40508" spans="191:191" x14ac:dyDescent="0.2">
      <c r="GI40508" s="422"/>
    </row>
    <row r="40509" spans="191:191" x14ac:dyDescent="0.2">
      <c r="GI40509" s="422"/>
    </row>
    <row r="40510" spans="191:191" x14ac:dyDescent="0.2">
      <c r="GI40510" s="422"/>
    </row>
    <row r="40511" spans="191:191" x14ac:dyDescent="0.2">
      <c r="GI40511" s="422"/>
    </row>
    <row r="40512" spans="191:191" x14ac:dyDescent="0.2">
      <c r="GI40512" s="422"/>
    </row>
    <row r="40513" spans="191:191" x14ac:dyDescent="0.2">
      <c r="GI40513" s="422"/>
    </row>
    <row r="40514" spans="191:191" x14ac:dyDescent="0.2">
      <c r="GI40514" s="422"/>
    </row>
    <row r="40515" spans="191:191" x14ac:dyDescent="0.2">
      <c r="GI40515" s="422"/>
    </row>
    <row r="40516" spans="191:191" x14ac:dyDescent="0.2">
      <c r="GI40516" s="422"/>
    </row>
    <row r="40517" spans="191:191" x14ac:dyDescent="0.2">
      <c r="GI40517" s="422"/>
    </row>
    <row r="40518" spans="191:191" x14ac:dyDescent="0.2">
      <c r="GI40518" s="422"/>
    </row>
    <row r="40519" spans="191:191" x14ac:dyDescent="0.2">
      <c r="GI40519" s="422"/>
    </row>
    <row r="40520" spans="191:191" x14ac:dyDescent="0.2">
      <c r="GI40520" s="422"/>
    </row>
    <row r="40521" spans="191:191" x14ac:dyDescent="0.2">
      <c r="GI40521" s="422"/>
    </row>
    <row r="40522" spans="191:191" x14ac:dyDescent="0.2">
      <c r="GI40522" s="422"/>
    </row>
    <row r="40523" spans="191:191" x14ac:dyDescent="0.2">
      <c r="GI40523" s="422"/>
    </row>
    <row r="40524" spans="191:191" x14ac:dyDescent="0.2">
      <c r="GI40524" s="422"/>
    </row>
    <row r="40525" spans="191:191" x14ac:dyDescent="0.2">
      <c r="GI40525" s="422"/>
    </row>
    <row r="40526" spans="191:191" x14ac:dyDescent="0.2">
      <c r="GI40526" s="422"/>
    </row>
    <row r="40527" spans="191:191" x14ac:dyDescent="0.2">
      <c r="GI40527" s="422"/>
    </row>
    <row r="40528" spans="191:191" x14ac:dyDescent="0.2">
      <c r="GI40528" s="422"/>
    </row>
    <row r="40529" spans="191:191" x14ac:dyDescent="0.2">
      <c r="GI40529" s="422"/>
    </row>
    <row r="40530" spans="191:191" x14ac:dyDescent="0.2">
      <c r="GI40530" s="422"/>
    </row>
    <row r="40531" spans="191:191" x14ac:dyDescent="0.2">
      <c r="GI40531" s="422"/>
    </row>
    <row r="40532" spans="191:191" x14ac:dyDescent="0.2">
      <c r="GI40532" s="422"/>
    </row>
    <row r="40533" spans="191:191" x14ac:dyDescent="0.2">
      <c r="GI40533" s="422"/>
    </row>
    <row r="40534" spans="191:191" x14ac:dyDescent="0.2">
      <c r="GI40534" s="422"/>
    </row>
    <row r="40535" spans="191:191" x14ac:dyDescent="0.2">
      <c r="GI40535" s="422"/>
    </row>
    <row r="40536" spans="191:191" x14ac:dyDescent="0.2">
      <c r="GI40536" s="422"/>
    </row>
    <row r="40537" spans="191:191" x14ac:dyDescent="0.2">
      <c r="GI40537" s="422"/>
    </row>
    <row r="40538" spans="191:191" x14ac:dyDescent="0.2">
      <c r="GI40538" s="422"/>
    </row>
    <row r="40539" spans="191:191" x14ac:dyDescent="0.2">
      <c r="GI40539" s="422"/>
    </row>
    <row r="40540" spans="191:191" x14ac:dyDescent="0.2">
      <c r="GI40540" s="422"/>
    </row>
    <row r="40541" spans="191:191" x14ac:dyDescent="0.2">
      <c r="GI40541" s="422"/>
    </row>
    <row r="40542" spans="191:191" x14ac:dyDescent="0.2">
      <c r="GI40542" s="422"/>
    </row>
    <row r="40543" spans="191:191" x14ac:dyDescent="0.2">
      <c r="GI40543" s="422"/>
    </row>
    <row r="40544" spans="191:191" x14ac:dyDescent="0.2">
      <c r="GI40544" s="422"/>
    </row>
    <row r="40545" spans="191:191" x14ac:dyDescent="0.2">
      <c r="GI40545" s="422"/>
    </row>
    <row r="40546" spans="191:191" x14ac:dyDescent="0.2">
      <c r="GI40546" s="422"/>
    </row>
    <row r="40547" spans="191:191" x14ac:dyDescent="0.2">
      <c r="GI40547" s="422"/>
    </row>
    <row r="40548" spans="191:191" x14ac:dyDescent="0.2">
      <c r="GI40548" s="422"/>
    </row>
    <row r="40549" spans="191:191" x14ac:dyDescent="0.2">
      <c r="GI40549" s="422"/>
    </row>
    <row r="40550" spans="191:191" x14ac:dyDescent="0.2">
      <c r="GI40550" s="422"/>
    </row>
    <row r="40551" spans="191:191" x14ac:dyDescent="0.2">
      <c r="GI40551" s="422"/>
    </row>
    <row r="40552" spans="191:191" x14ac:dyDescent="0.2">
      <c r="GI40552" s="422"/>
    </row>
    <row r="40553" spans="191:191" x14ac:dyDescent="0.2">
      <c r="GI40553" s="422"/>
    </row>
    <row r="40554" spans="191:191" x14ac:dyDescent="0.2">
      <c r="GI40554" s="422"/>
    </row>
    <row r="40555" spans="191:191" x14ac:dyDescent="0.2">
      <c r="GI40555" s="422"/>
    </row>
    <row r="40556" spans="191:191" x14ac:dyDescent="0.2">
      <c r="GI40556" s="422"/>
    </row>
    <row r="40557" spans="191:191" x14ac:dyDescent="0.2">
      <c r="GI40557" s="422"/>
    </row>
    <row r="40558" spans="191:191" x14ac:dyDescent="0.2">
      <c r="GI40558" s="422"/>
    </row>
    <row r="40559" spans="191:191" x14ac:dyDescent="0.2">
      <c r="GI40559" s="422"/>
    </row>
    <row r="40560" spans="191:191" x14ac:dyDescent="0.2">
      <c r="GI40560" s="422"/>
    </row>
    <row r="40561" spans="191:191" x14ac:dyDescent="0.2">
      <c r="GI40561" s="422"/>
    </row>
    <row r="40562" spans="191:191" x14ac:dyDescent="0.2">
      <c r="GI40562" s="422"/>
    </row>
    <row r="40563" spans="191:191" x14ac:dyDescent="0.2">
      <c r="GI40563" s="422"/>
    </row>
    <row r="40564" spans="191:191" x14ac:dyDescent="0.2">
      <c r="GI40564" s="422"/>
    </row>
    <row r="40565" spans="191:191" x14ac:dyDescent="0.2">
      <c r="GI40565" s="422"/>
    </row>
    <row r="40566" spans="191:191" x14ac:dyDescent="0.2">
      <c r="GI40566" s="422"/>
    </row>
    <row r="40567" spans="191:191" x14ac:dyDescent="0.2">
      <c r="GI40567" s="422"/>
    </row>
    <row r="40568" spans="191:191" x14ac:dyDescent="0.2">
      <c r="GI40568" s="422"/>
    </row>
    <row r="40569" spans="191:191" x14ac:dyDescent="0.2">
      <c r="GI40569" s="422"/>
    </row>
    <row r="40570" spans="191:191" x14ac:dyDescent="0.2">
      <c r="GI40570" s="422"/>
    </row>
    <row r="40571" spans="191:191" x14ac:dyDescent="0.2">
      <c r="GI40571" s="422"/>
    </row>
    <row r="40572" spans="191:191" x14ac:dyDescent="0.2">
      <c r="GI40572" s="422"/>
    </row>
    <row r="40573" spans="191:191" x14ac:dyDescent="0.2">
      <c r="GI40573" s="422"/>
    </row>
    <row r="40574" spans="191:191" x14ac:dyDescent="0.2">
      <c r="GI40574" s="422"/>
    </row>
    <row r="40575" spans="191:191" x14ac:dyDescent="0.2">
      <c r="GI40575" s="422"/>
    </row>
    <row r="40576" spans="191:191" x14ac:dyDescent="0.2">
      <c r="GI40576" s="422"/>
    </row>
    <row r="40577" spans="191:191" x14ac:dyDescent="0.2">
      <c r="GI40577" s="422"/>
    </row>
    <row r="40578" spans="191:191" x14ac:dyDescent="0.2">
      <c r="GI40578" s="422"/>
    </row>
    <row r="40579" spans="191:191" x14ac:dyDescent="0.2">
      <c r="GI40579" s="422"/>
    </row>
    <row r="40580" spans="191:191" x14ac:dyDescent="0.2">
      <c r="GI40580" s="422"/>
    </row>
    <row r="40581" spans="191:191" x14ac:dyDescent="0.2">
      <c r="GI40581" s="422"/>
    </row>
    <row r="40582" spans="191:191" x14ac:dyDescent="0.2">
      <c r="GI40582" s="422"/>
    </row>
    <row r="40583" spans="191:191" x14ac:dyDescent="0.2">
      <c r="GI40583" s="422"/>
    </row>
    <row r="40584" spans="191:191" x14ac:dyDescent="0.2">
      <c r="GI40584" s="422"/>
    </row>
    <row r="40585" spans="191:191" x14ac:dyDescent="0.2">
      <c r="GI40585" s="422"/>
    </row>
    <row r="40586" spans="191:191" x14ac:dyDescent="0.2">
      <c r="GI40586" s="422"/>
    </row>
    <row r="40587" spans="191:191" x14ac:dyDescent="0.2">
      <c r="GI40587" s="422"/>
    </row>
    <row r="40588" spans="191:191" x14ac:dyDescent="0.2">
      <c r="GI40588" s="422"/>
    </row>
    <row r="40589" spans="191:191" x14ac:dyDescent="0.2">
      <c r="GI40589" s="422"/>
    </row>
    <row r="40590" spans="191:191" x14ac:dyDescent="0.2">
      <c r="GI40590" s="422"/>
    </row>
    <row r="40591" spans="191:191" x14ac:dyDescent="0.2">
      <c r="GI40591" s="422"/>
    </row>
    <row r="40592" spans="191:191" x14ac:dyDescent="0.2">
      <c r="GI40592" s="422"/>
    </row>
    <row r="40593" spans="191:191" x14ac:dyDescent="0.2">
      <c r="GI40593" s="422"/>
    </row>
    <row r="40594" spans="191:191" x14ac:dyDescent="0.2">
      <c r="GI40594" s="422"/>
    </row>
    <row r="40595" spans="191:191" x14ac:dyDescent="0.2">
      <c r="GI40595" s="422"/>
    </row>
    <row r="40596" spans="191:191" x14ac:dyDescent="0.2">
      <c r="GI40596" s="422"/>
    </row>
    <row r="40597" spans="191:191" x14ac:dyDescent="0.2">
      <c r="GI40597" s="422"/>
    </row>
    <row r="40598" spans="191:191" x14ac:dyDescent="0.2">
      <c r="GI40598" s="422"/>
    </row>
    <row r="40599" spans="191:191" x14ac:dyDescent="0.2">
      <c r="GI40599" s="422"/>
    </row>
    <row r="40600" spans="191:191" x14ac:dyDescent="0.2">
      <c r="GI40600" s="422"/>
    </row>
    <row r="40601" spans="191:191" x14ac:dyDescent="0.2">
      <c r="GI40601" s="422"/>
    </row>
    <row r="40602" spans="191:191" x14ac:dyDescent="0.2">
      <c r="GI40602" s="422"/>
    </row>
    <row r="40603" spans="191:191" x14ac:dyDescent="0.2">
      <c r="GI40603" s="422"/>
    </row>
    <row r="40604" spans="191:191" x14ac:dyDescent="0.2">
      <c r="GI40604" s="422"/>
    </row>
    <row r="40605" spans="191:191" x14ac:dyDescent="0.2">
      <c r="GI40605" s="422"/>
    </row>
    <row r="40606" spans="191:191" x14ac:dyDescent="0.2">
      <c r="GI40606" s="422"/>
    </row>
    <row r="40607" spans="191:191" x14ac:dyDescent="0.2">
      <c r="GI40607" s="422"/>
    </row>
    <row r="40608" spans="191:191" x14ac:dyDescent="0.2">
      <c r="GI40608" s="422"/>
    </row>
    <row r="40609" spans="191:191" x14ac:dyDescent="0.2">
      <c r="GI40609" s="422"/>
    </row>
    <row r="40610" spans="191:191" x14ac:dyDescent="0.2">
      <c r="GI40610" s="422"/>
    </row>
    <row r="40611" spans="191:191" x14ac:dyDescent="0.2">
      <c r="GI40611" s="422"/>
    </row>
    <row r="40612" spans="191:191" x14ac:dyDescent="0.2">
      <c r="GI40612" s="422"/>
    </row>
    <row r="40613" spans="191:191" x14ac:dyDescent="0.2">
      <c r="GI40613" s="422"/>
    </row>
    <row r="40614" spans="191:191" x14ac:dyDescent="0.2">
      <c r="GI40614" s="422"/>
    </row>
    <row r="40615" spans="191:191" x14ac:dyDescent="0.2">
      <c r="GI40615" s="422"/>
    </row>
    <row r="40616" spans="191:191" x14ac:dyDescent="0.2">
      <c r="GI40616" s="422"/>
    </row>
    <row r="40617" spans="191:191" x14ac:dyDescent="0.2">
      <c r="GI40617" s="422"/>
    </row>
    <row r="40618" spans="191:191" x14ac:dyDescent="0.2">
      <c r="GI40618" s="422"/>
    </row>
    <row r="40619" spans="191:191" x14ac:dyDescent="0.2">
      <c r="GI40619" s="422"/>
    </row>
    <row r="40620" spans="191:191" x14ac:dyDescent="0.2">
      <c r="GI40620" s="422"/>
    </row>
    <row r="40621" spans="191:191" x14ac:dyDescent="0.2">
      <c r="GI40621" s="422"/>
    </row>
    <row r="40622" spans="191:191" x14ac:dyDescent="0.2">
      <c r="GI40622" s="422"/>
    </row>
    <row r="40623" spans="191:191" x14ac:dyDescent="0.2">
      <c r="GI40623" s="422"/>
    </row>
    <row r="40624" spans="191:191" x14ac:dyDescent="0.2">
      <c r="GI40624" s="422"/>
    </row>
    <row r="40625" spans="191:191" x14ac:dyDescent="0.2">
      <c r="GI40625" s="422"/>
    </row>
    <row r="40626" spans="191:191" x14ac:dyDescent="0.2">
      <c r="GI40626" s="422"/>
    </row>
    <row r="40627" spans="191:191" x14ac:dyDescent="0.2">
      <c r="GI40627" s="422"/>
    </row>
    <row r="40628" spans="191:191" x14ac:dyDescent="0.2">
      <c r="GI40628" s="422"/>
    </row>
    <row r="40629" spans="191:191" x14ac:dyDescent="0.2">
      <c r="GI40629" s="422"/>
    </row>
    <row r="40630" spans="191:191" x14ac:dyDescent="0.2">
      <c r="GI40630" s="422"/>
    </row>
    <row r="40631" spans="191:191" x14ac:dyDescent="0.2">
      <c r="GI40631" s="422"/>
    </row>
    <row r="40632" spans="191:191" x14ac:dyDescent="0.2">
      <c r="GI40632" s="422"/>
    </row>
    <row r="40633" spans="191:191" x14ac:dyDescent="0.2">
      <c r="GI40633" s="422"/>
    </row>
    <row r="40634" spans="191:191" x14ac:dyDescent="0.2">
      <c r="GI40634" s="422"/>
    </row>
    <row r="40635" spans="191:191" x14ac:dyDescent="0.2">
      <c r="GI40635" s="422"/>
    </row>
    <row r="40636" spans="191:191" x14ac:dyDescent="0.2">
      <c r="GI40636" s="422"/>
    </row>
    <row r="40637" spans="191:191" x14ac:dyDescent="0.2">
      <c r="GI40637" s="422"/>
    </row>
    <row r="40638" spans="191:191" x14ac:dyDescent="0.2">
      <c r="GI40638" s="422"/>
    </row>
    <row r="40639" spans="191:191" x14ac:dyDescent="0.2">
      <c r="GI40639" s="422"/>
    </row>
    <row r="40640" spans="191:191" x14ac:dyDescent="0.2">
      <c r="GI40640" s="422"/>
    </row>
    <row r="40641" spans="191:191" x14ac:dyDescent="0.2">
      <c r="GI40641" s="422"/>
    </row>
    <row r="40642" spans="191:191" x14ac:dyDescent="0.2">
      <c r="GI40642" s="422"/>
    </row>
    <row r="40643" spans="191:191" x14ac:dyDescent="0.2">
      <c r="GI40643" s="422"/>
    </row>
    <row r="40644" spans="191:191" x14ac:dyDescent="0.2">
      <c r="GI40644" s="422"/>
    </row>
    <row r="40645" spans="191:191" x14ac:dyDescent="0.2">
      <c r="GI40645" s="422"/>
    </row>
    <row r="40646" spans="191:191" x14ac:dyDescent="0.2">
      <c r="GI40646" s="422"/>
    </row>
    <row r="40647" spans="191:191" x14ac:dyDescent="0.2">
      <c r="GI40647" s="422"/>
    </row>
    <row r="40648" spans="191:191" x14ac:dyDescent="0.2">
      <c r="GI40648" s="422"/>
    </row>
    <row r="40649" spans="191:191" x14ac:dyDescent="0.2">
      <c r="GI40649" s="422"/>
    </row>
    <row r="40650" spans="191:191" x14ac:dyDescent="0.2">
      <c r="GI40650" s="422"/>
    </row>
    <row r="40651" spans="191:191" x14ac:dyDescent="0.2">
      <c r="GI40651" s="422"/>
    </row>
    <row r="40652" spans="191:191" x14ac:dyDescent="0.2">
      <c r="GI40652" s="422"/>
    </row>
    <row r="40653" spans="191:191" x14ac:dyDescent="0.2">
      <c r="GI40653" s="422"/>
    </row>
    <row r="40654" spans="191:191" x14ac:dyDescent="0.2">
      <c r="GI40654" s="422"/>
    </row>
    <row r="40655" spans="191:191" x14ac:dyDescent="0.2">
      <c r="GI40655" s="422"/>
    </row>
    <row r="40656" spans="191:191" x14ac:dyDescent="0.2">
      <c r="GI40656" s="422"/>
    </row>
    <row r="40657" spans="191:191" x14ac:dyDescent="0.2">
      <c r="GI40657" s="422"/>
    </row>
    <row r="40658" spans="191:191" x14ac:dyDescent="0.2">
      <c r="GI40658" s="422"/>
    </row>
    <row r="40659" spans="191:191" x14ac:dyDescent="0.2">
      <c r="GI40659" s="422"/>
    </row>
    <row r="40660" spans="191:191" x14ac:dyDescent="0.2">
      <c r="GI40660" s="422"/>
    </row>
    <row r="40661" spans="191:191" x14ac:dyDescent="0.2">
      <c r="GI40661" s="422"/>
    </row>
    <row r="40662" spans="191:191" x14ac:dyDescent="0.2">
      <c r="GI40662" s="422"/>
    </row>
    <row r="40663" spans="191:191" x14ac:dyDescent="0.2">
      <c r="GI40663" s="422"/>
    </row>
    <row r="40664" spans="191:191" x14ac:dyDescent="0.2">
      <c r="GI40664" s="422"/>
    </row>
    <row r="40665" spans="191:191" x14ac:dyDescent="0.2">
      <c r="GI40665" s="422"/>
    </row>
    <row r="40666" spans="191:191" x14ac:dyDescent="0.2">
      <c r="GI40666" s="422"/>
    </row>
    <row r="40667" spans="191:191" x14ac:dyDescent="0.2">
      <c r="GI40667" s="422"/>
    </row>
    <row r="40668" spans="191:191" x14ac:dyDescent="0.2">
      <c r="GI40668" s="422"/>
    </row>
    <row r="40669" spans="191:191" x14ac:dyDescent="0.2">
      <c r="GI40669" s="422"/>
    </row>
    <row r="40670" spans="191:191" x14ac:dyDescent="0.2">
      <c r="GI40670" s="422"/>
    </row>
    <row r="40671" spans="191:191" x14ac:dyDescent="0.2">
      <c r="GI40671" s="422"/>
    </row>
    <row r="40672" spans="191:191" x14ac:dyDescent="0.2">
      <c r="GI40672" s="422"/>
    </row>
    <row r="40673" spans="191:191" x14ac:dyDescent="0.2">
      <c r="GI40673" s="422"/>
    </row>
    <row r="40674" spans="191:191" x14ac:dyDescent="0.2">
      <c r="GI40674" s="422"/>
    </row>
    <row r="40675" spans="191:191" x14ac:dyDescent="0.2">
      <c r="GI40675" s="422"/>
    </row>
    <row r="40676" spans="191:191" x14ac:dyDescent="0.2">
      <c r="GI40676" s="422"/>
    </row>
    <row r="40677" spans="191:191" x14ac:dyDescent="0.2">
      <c r="GI40677" s="422"/>
    </row>
    <row r="40678" spans="191:191" x14ac:dyDescent="0.2">
      <c r="GI40678" s="422"/>
    </row>
    <row r="40679" spans="191:191" x14ac:dyDescent="0.2">
      <c r="GI40679" s="422"/>
    </row>
    <row r="40680" spans="191:191" x14ac:dyDescent="0.2">
      <c r="GI40680" s="422"/>
    </row>
    <row r="40681" spans="191:191" x14ac:dyDescent="0.2">
      <c r="GI40681" s="422"/>
    </row>
    <row r="40682" spans="191:191" x14ac:dyDescent="0.2">
      <c r="GI40682" s="422"/>
    </row>
    <row r="40683" spans="191:191" x14ac:dyDescent="0.2">
      <c r="GI40683" s="422"/>
    </row>
    <row r="40684" spans="191:191" x14ac:dyDescent="0.2">
      <c r="GI40684" s="422"/>
    </row>
    <row r="40685" spans="191:191" x14ac:dyDescent="0.2">
      <c r="GI40685" s="422"/>
    </row>
    <row r="40686" spans="191:191" x14ac:dyDescent="0.2">
      <c r="GI40686" s="422"/>
    </row>
    <row r="40687" spans="191:191" x14ac:dyDescent="0.2">
      <c r="GI40687" s="422"/>
    </row>
    <row r="40688" spans="191:191" x14ac:dyDescent="0.2">
      <c r="GI40688" s="422"/>
    </row>
    <row r="40689" spans="191:191" x14ac:dyDescent="0.2">
      <c r="GI40689" s="422"/>
    </row>
    <row r="40690" spans="191:191" x14ac:dyDescent="0.2">
      <c r="GI40690" s="422"/>
    </row>
    <row r="40691" spans="191:191" x14ac:dyDescent="0.2">
      <c r="GI40691" s="422"/>
    </row>
    <row r="40692" spans="191:191" x14ac:dyDescent="0.2">
      <c r="GI40692" s="422"/>
    </row>
    <row r="40693" spans="191:191" x14ac:dyDescent="0.2">
      <c r="GI40693" s="422"/>
    </row>
    <row r="40694" spans="191:191" x14ac:dyDescent="0.2">
      <c r="GI40694" s="422"/>
    </row>
    <row r="40695" spans="191:191" x14ac:dyDescent="0.2">
      <c r="GI40695" s="422"/>
    </row>
    <row r="40696" spans="191:191" x14ac:dyDescent="0.2">
      <c r="GI40696" s="422"/>
    </row>
    <row r="40697" spans="191:191" x14ac:dyDescent="0.2">
      <c r="GI40697" s="422"/>
    </row>
    <row r="40698" spans="191:191" x14ac:dyDescent="0.2">
      <c r="GI40698" s="422"/>
    </row>
    <row r="40699" spans="191:191" x14ac:dyDescent="0.2">
      <c r="GI40699" s="422"/>
    </row>
    <row r="40700" spans="191:191" x14ac:dyDescent="0.2">
      <c r="GI40700" s="422"/>
    </row>
    <row r="40701" spans="191:191" x14ac:dyDescent="0.2">
      <c r="GI40701" s="422"/>
    </row>
    <row r="40702" spans="191:191" x14ac:dyDescent="0.2">
      <c r="GI40702" s="422"/>
    </row>
    <row r="40703" spans="191:191" x14ac:dyDescent="0.2">
      <c r="GI40703" s="422"/>
    </row>
    <row r="40704" spans="191:191" x14ac:dyDescent="0.2">
      <c r="GI40704" s="422"/>
    </row>
    <row r="40705" spans="191:191" x14ac:dyDescent="0.2">
      <c r="GI40705" s="422"/>
    </row>
    <row r="40706" spans="191:191" x14ac:dyDescent="0.2">
      <c r="GI40706" s="422"/>
    </row>
    <row r="40707" spans="191:191" x14ac:dyDescent="0.2">
      <c r="GI40707" s="422"/>
    </row>
    <row r="40708" spans="191:191" x14ac:dyDescent="0.2">
      <c r="GI40708" s="422"/>
    </row>
    <row r="40709" spans="191:191" x14ac:dyDescent="0.2">
      <c r="GI40709" s="422"/>
    </row>
    <row r="40710" spans="191:191" x14ac:dyDescent="0.2">
      <c r="GI40710" s="422"/>
    </row>
    <row r="40711" spans="191:191" x14ac:dyDescent="0.2">
      <c r="GI40711" s="422"/>
    </row>
    <row r="40712" spans="191:191" x14ac:dyDescent="0.2">
      <c r="GI40712" s="422"/>
    </row>
    <row r="40713" spans="191:191" x14ac:dyDescent="0.2">
      <c r="GI40713" s="422"/>
    </row>
    <row r="40714" spans="191:191" x14ac:dyDescent="0.2">
      <c r="GI40714" s="422"/>
    </row>
    <row r="40715" spans="191:191" x14ac:dyDescent="0.2">
      <c r="GI40715" s="422"/>
    </row>
    <row r="40716" spans="191:191" x14ac:dyDescent="0.2">
      <c r="GI40716" s="422"/>
    </row>
    <row r="40717" spans="191:191" x14ac:dyDescent="0.2">
      <c r="GI40717" s="422"/>
    </row>
    <row r="40718" spans="191:191" x14ac:dyDescent="0.2">
      <c r="GI40718" s="422"/>
    </row>
    <row r="40719" spans="191:191" x14ac:dyDescent="0.2">
      <c r="GI40719" s="422"/>
    </row>
    <row r="40720" spans="191:191" x14ac:dyDescent="0.2">
      <c r="GI40720" s="422"/>
    </row>
    <row r="40721" spans="191:191" x14ac:dyDescent="0.2">
      <c r="GI40721" s="422"/>
    </row>
    <row r="40722" spans="191:191" x14ac:dyDescent="0.2">
      <c r="GI40722" s="422"/>
    </row>
    <row r="40723" spans="191:191" x14ac:dyDescent="0.2">
      <c r="GI40723" s="422"/>
    </row>
    <row r="40724" spans="191:191" x14ac:dyDescent="0.2">
      <c r="GI40724" s="422"/>
    </row>
    <row r="40725" spans="191:191" x14ac:dyDescent="0.2">
      <c r="GI40725" s="422"/>
    </row>
    <row r="40726" spans="191:191" x14ac:dyDescent="0.2">
      <c r="GI40726" s="422"/>
    </row>
    <row r="40727" spans="191:191" x14ac:dyDescent="0.2">
      <c r="GI40727" s="422"/>
    </row>
    <row r="40728" spans="191:191" x14ac:dyDescent="0.2">
      <c r="GI40728" s="422"/>
    </row>
    <row r="40729" spans="191:191" x14ac:dyDescent="0.2">
      <c r="GI40729" s="422"/>
    </row>
    <row r="40730" spans="191:191" x14ac:dyDescent="0.2">
      <c r="GI40730" s="422"/>
    </row>
    <row r="40731" spans="191:191" x14ac:dyDescent="0.2">
      <c r="GI40731" s="422"/>
    </row>
    <row r="40732" spans="191:191" x14ac:dyDescent="0.2">
      <c r="GI40732" s="422"/>
    </row>
    <row r="40733" spans="191:191" x14ac:dyDescent="0.2">
      <c r="GI40733" s="422"/>
    </row>
    <row r="40734" spans="191:191" x14ac:dyDescent="0.2">
      <c r="GI40734" s="422"/>
    </row>
    <row r="40735" spans="191:191" x14ac:dyDescent="0.2">
      <c r="GI40735" s="422"/>
    </row>
    <row r="40736" spans="191:191" x14ac:dyDescent="0.2">
      <c r="GI40736" s="422"/>
    </row>
    <row r="40737" spans="191:191" x14ac:dyDescent="0.2">
      <c r="GI40737" s="422"/>
    </row>
    <row r="40738" spans="191:191" x14ac:dyDescent="0.2">
      <c r="GI40738" s="422"/>
    </row>
    <row r="40739" spans="191:191" x14ac:dyDescent="0.2">
      <c r="GI40739" s="422"/>
    </row>
    <row r="40740" spans="191:191" x14ac:dyDescent="0.2">
      <c r="GI40740" s="422"/>
    </row>
    <row r="40741" spans="191:191" x14ac:dyDescent="0.2">
      <c r="GI40741" s="422"/>
    </row>
    <row r="40742" spans="191:191" x14ac:dyDescent="0.2">
      <c r="GI40742" s="422"/>
    </row>
    <row r="40743" spans="191:191" x14ac:dyDescent="0.2">
      <c r="GI40743" s="422"/>
    </row>
    <row r="40744" spans="191:191" x14ac:dyDescent="0.2">
      <c r="GI40744" s="422"/>
    </row>
    <row r="40745" spans="191:191" x14ac:dyDescent="0.2">
      <c r="GI40745" s="422"/>
    </row>
    <row r="40746" spans="191:191" x14ac:dyDescent="0.2">
      <c r="GI40746" s="422"/>
    </row>
    <row r="40747" spans="191:191" x14ac:dyDescent="0.2">
      <c r="GI40747" s="422"/>
    </row>
    <row r="40748" spans="191:191" x14ac:dyDescent="0.2">
      <c r="GI40748" s="422"/>
    </row>
    <row r="40749" spans="191:191" x14ac:dyDescent="0.2">
      <c r="GI40749" s="422"/>
    </row>
    <row r="40750" spans="191:191" x14ac:dyDescent="0.2">
      <c r="GI40750" s="422"/>
    </row>
    <row r="40751" spans="191:191" x14ac:dyDescent="0.2">
      <c r="GI40751" s="422"/>
    </row>
    <row r="40752" spans="191:191" x14ac:dyDescent="0.2">
      <c r="GI40752" s="422"/>
    </row>
    <row r="40753" spans="191:191" x14ac:dyDescent="0.2">
      <c r="GI40753" s="422"/>
    </row>
    <row r="40754" spans="191:191" x14ac:dyDescent="0.2">
      <c r="GI40754" s="422"/>
    </row>
    <row r="40755" spans="191:191" x14ac:dyDescent="0.2">
      <c r="GI40755" s="422"/>
    </row>
    <row r="40756" spans="191:191" x14ac:dyDescent="0.2">
      <c r="GI40756" s="422"/>
    </row>
    <row r="40757" spans="191:191" x14ac:dyDescent="0.2">
      <c r="GI40757" s="422"/>
    </row>
    <row r="40758" spans="191:191" x14ac:dyDescent="0.2">
      <c r="GI40758" s="422"/>
    </row>
    <row r="40759" spans="191:191" x14ac:dyDescent="0.2">
      <c r="GI40759" s="422"/>
    </row>
    <row r="40760" spans="191:191" x14ac:dyDescent="0.2">
      <c r="GI40760" s="422"/>
    </row>
    <row r="40761" spans="191:191" x14ac:dyDescent="0.2">
      <c r="GI40761" s="422"/>
    </row>
    <row r="40762" spans="191:191" x14ac:dyDescent="0.2">
      <c r="GI40762" s="422"/>
    </row>
    <row r="40763" spans="191:191" x14ac:dyDescent="0.2">
      <c r="GI40763" s="422"/>
    </row>
    <row r="40764" spans="191:191" x14ac:dyDescent="0.2">
      <c r="GI40764" s="422"/>
    </row>
    <row r="40765" spans="191:191" x14ac:dyDescent="0.2">
      <c r="GI40765" s="422"/>
    </row>
    <row r="40766" spans="191:191" x14ac:dyDescent="0.2">
      <c r="GI40766" s="422"/>
    </row>
    <row r="40767" spans="191:191" x14ac:dyDescent="0.2">
      <c r="GI40767" s="422"/>
    </row>
    <row r="40768" spans="191:191" x14ac:dyDescent="0.2">
      <c r="GI40768" s="422"/>
    </row>
    <row r="40769" spans="191:191" x14ac:dyDescent="0.2">
      <c r="GI40769" s="422"/>
    </row>
    <row r="40770" spans="191:191" x14ac:dyDescent="0.2">
      <c r="GI40770" s="422"/>
    </row>
    <row r="40771" spans="191:191" x14ac:dyDescent="0.2">
      <c r="GI40771" s="422"/>
    </row>
    <row r="40772" spans="191:191" x14ac:dyDescent="0.2">
      <c r="GI40772" s="422"/>
    </row>
    <row r="40773" spans="191:191" x14ac:dyDescent="0.2">
      <c r="GI40773" s="422"/>
    </row>
    <row r="40774" spans="191:191" x14ac:dyDescent="0.2">
      <c r="GI40774" s="422"/>
    </row>
    <row r="40775" spans="191:191" x14ac:dyDescent="0.2">
      <c r="GI40775" s="422"/>
    </row>
    <row r="40776" spans="191:191" x14ac:dyDescent="0.2">
      <c r="GI40776" s="422"/>
    </row>
    <row r="40777" spans="191:191" x14ac:dyDescent="0.2">
      <c r="GI40777" s="422"/>
    </row>
    <row r="40778" spans="191:191" x14ac:dyDescent="0.2">
      <c r="GI40778" s="422"/>
    </row>
    <row r="40779" spans="191:191" x14ac:dyDescent="0.2">
      <c r="GI40779" s="422"/>
    </row>
    <row r="40780" spans="191:191" x14ac:dyDescent="0.2">
      <c r="GI40780" s="422"/>
    </row>
    <row r="40781" spans="191:191" x14ac:dyDescent="0.2">
      <c r="GI40781" s="422"/>
    </row>
    <row r="40782" spans="191:191" x14ac:dyDescent="0.2">
      <c r="GI40782" s="422"/>
    </row>
    <row r="40783" spans="191:191" x14ac:dyDescent="0.2">
      <c r="GI40783" s="422"/>
    </row>
    <row r="40784" spans="191:191" x14ac:dyDescent="0.2">
      <c r="GI40784" s="422"/>
    </row>
    <row r="40785" spans="191:191" x14ac:dyDescent="0.2">
      <c r="GI40785" s="422"/>
    </row>
    <row r="40786" spans="191:191" x14ac:dyDescent="0.2">
      <c r="GI40786" s="422"/>
    </row>
    <row r="40787" spans="191:191" x14ac:dyDescent="0.2">
      <c r="GI40787" s="422"/>
    </row>
    <row r="40788" spans="191:191" x14ac:dyDescent="0.2">
      <c r="GI40788" s="422"/>
    </row>
    <row r="40789" spans="191:191" x14ac:dyDescent="0.2">
      <c r="GI40789" s="422"/>
    </row>
    <row r="40790" spans="191:191" x14ac:dyDescent="0.2">
      <c r="GI40790" s="422"/>
    </row>
    <row r="40791" spans="191:191" x14ac:dyDescent="0.2">
      <c r="GI40791" s="422"/>
    </row>
    <row r="40792" spans="191:191" x14ac:dyDescent="0.2">
      <c r="GI40792" s="422"/>
    </row>
    <row r="40793" spans="191:191" x14ac:dyDescent="0.2">
      <c r="GI40793" s="422"/>
    </row>
    <row r="40794" spans="191:191" x14ac:dyDescent="0.2">
      <c r="GI40794" s="422"/>
    </row>
    <row r="40795" spans="191:191" x14ac:dyDescent="0.2">
      <c r="GI40795" s="422"/>
    </row>
    <row r="40796" spans="191:191" x14ac:dyDescent="0.2">
      <c r="GI40796" s="422"/>
    </row>
    <row r="40797" spans="191:191" x14ac:dyDescent="0.2">
      <c r="GI40797" s="422"/>
    </row>
    <row r="40798" spans="191:191" x14ac:dyDescent="0.2">
      <c r="GI40798" s="422"/>
    </row>
    <row r="40799" spans="191:191" x14ac:dyDescent="0.2">
      <c r="GI40799" s="422"/>
    </row>
    <row r="40800" spans="191:191" x14ac:dyDescent="0.2">
      <c r="GI40800" s="422"/>
    </row>
    <row r="40801" spans="191:191" x14ac:dyDescent="0.2">
      <c r="GI40801" s="422"/>
    </row>
    <row r="40802" spans="191:191" x14ac:dyDescent="0.2">
      <c r="GI40802" s="422"/>
    </row>
    <row r="40803" spans="191:191" x14ac:dyDescent="0.2">
      <c r="GI40803" s="422"/>
    </row>
    <row r="40804" spans="191:191" x14ac:dyDescent="0.2">
      <c r="GI40804" s="422"/>
    </row>
    <row r="40805" spans="191:191" x14ac:dyDescent="0.2">
      <c r="GI40805" s="422"/>
    </row>
    <row r="40806" spans="191:191" x14ac:dyDescent="0.2">
      <c r="GI40806" s="422"/>
    </row>
    <row r="40807" spans="191:191" x14ac:dyDescent="0.2">
      <c r="GI40807" s="422"/>
    </row>
    <row r="40808" spans="191:191" x14ac:dyDescent="0.2">
      <c r="GI40808" s="422"/>
    </row>
    <row r="40809" spans="191:191" x14ac:dyDescent="0.2">
      <c r="GI40809" s="422"/>
    </row>
    <row r="40810" spans="191:191" x14ac:dyDescent="0.2">
      <c r="GI40810" s="422"/>
    </row>
    <row r="40811" spans="191:191" x14ac:dyDescent="0.2">
      <c r="GI40811" s="422"/>
    </row>
    <row r="40812" spans="191:191" x14ac:dyDescent="0.2">
      <c r="GI40812" s="422"/>
    </row>
    <row r="40813" spans="191:191" x14ac:dyDescent="0.2">
      <c r="GI40813" s="422"/>
    </row>
    <row r="40814" spans="191:191" x14ac:dyDescent="0.2">
      <c r="GI40814" s="422"/>
    </row>
    <row r="40815" spans="191:191" x14ac:dyDescent="0.2">
      <c r="GI40815" s="422"/>
    </row>
    <row r="40816" spans="191:191" x14ac:dyDescent="0.2">
      <c r="GI40816" s="422"/>
    </row>
    <row r="40817" spans="191:191" x14ac:dyDescent="0.2">
      <c r="GI40817" s="422"/>
    </row>
    <row r="40818" spans="191:191" x14ac:dyDescent="0.2">
      <c r="GI40818" s="422"/>
    </row>
    <row r="40819" spans="191:191" x14ac:dyDescent="0.2">
      <c r="GI40819" s="422"/>
    </row>
    <row r="40820" spans="191:191" x14ac:dyDescent="0.2">
      <c r="GI40820" s="422"/>
    </row>
    <row r="40821" spans="191:191" x14ac:dyDescent="0.2">
      <c r="GI40821" s="422"/>
    </row>
    <row r="40822" spans="191:191" x14ac:dyDescent="0.2">
      <c r="GI40822" s="422"/>
    </row>
    <row r="40823" spans="191:191" x14ac:dyDescent="0.2">
      <c r="GI40823" s="422"/>
    </row>
    <row r="40824" spans="191:191" x14ac:dyDescent="0.2">
      <c r="GI40824" s="422"/>
    </row>
    <row r="40825" spans="191:191" x14ac:dyDescent="0.2">
      <c r="GI40825" s="422"/>
    </row>
    <row r="40826" spans="191:191" x14ac:dyDescent="0.2">
      <c r="GI40826" s="422"/>
    </row>
    <row r="40827" spans="191:191" x14ac:dyDescent="0.2">
      <c r="GI40827" s="422"/>
    </row>
    <row r="40828" spans="191:191" x14ac:dyDescent="0.2">
      <c r="GI40828" s="422"/>
    </row>
    <row r="40829" spans="191:191" x14ac:dyDescent="0.2">
      <c r="GI40829" s="422"/>
    </row>
    <row r="40830" spans="191:191" x14ac:dyDescent="0.2">
      <c r="GI40830" s="422"/>
    </row>
    <row r="40831" spans="191:191" x14ac:dyDescent="0.2">
      <c r="GI40831" s="422"/>
    </row>
    <row r="40832" spans="191:191" x14ac:dyDescent="0.2">
      <c r="GI40832" s="422"/>
    </row>
    <row r="40833" spans="191:191" x14ac:dyDescent="0.2">
      <c r="GI40833" s="422"/>
    </row>
    <row r="40834" spans="191:191" x14ac:dyDescent="0.2">
      <c r="GI40834" s="422"/>
    </row>
    <row r="40835" spans="191:191" x14ac:dyDescent="0.2">
      <c r="GI40835" s="422"/>
    </row>
    <row r="40836" spans="191:191" x14ac:dyDescent="0.2">
      <c r="GI40836" s="422"/>
    </row>
    <row r="40837" spans="191:191" x14ac:dyDescent="0.2">
      <c r="GI40837" s="422"/>
    </row>
    <row r="40838" spans="191:191" x14ac:dyDescent="0.2">
      <c r="GI40838" s="422"/>
    </row>
    <row r="40839" spans="191:191" x14ac:dyDescent="0.2">
      <c r="GI40839" s="422"/>
    </row>
    <row r="40840" spans="191:191" x14ac:dyDescent="0.2">
      <c r="GI40840" s="422"/>
    </row>
    <row r="40841" spans="191:191" x14ac:dyDescent="0.2">
      <c r="GI40841" s="422"/>
    </row>
    <row r="40842" spans="191:191" x14ac:dyDescent="0.2">
      <c r="GI40842" s="422"/>
    </row>
    <row r="40843" spans="191:191" x14ac:dyDescent="0.2">
      <c r="GI40843" s="422"/>
    </row>
    <row r="40844" spans="191:191" x14ac:dyDescent="0.2">
      <c r="GI40844" s="422"/>
    </row>
    <row r="40845" spans="191:191" x14ac:dyDescent="0.2">
      <c r="GI40845" s="422"/>
    </row>
    <row r="40846" spans="191:191" x14ac:dyDescent="0.2">
      <c r="GI40846" s="422"/>
    </row>
    <row r="40847" spans="191:191" x14ac:dyDescent="0.2">
      <c r="GI40847" s="422"/>
    </row>
    <row r="40848" spans="191:191" x14ac:dyDescent="0.2">
      <c r="GI40848" s="422"/>
    </row>
    <row r="40849" spans="191:191" x14ac:dyDescent="0.2">
      <c r="GI40849" s="422"/>
    </row>
    <row r="40850" spans="191:191" x14ac:dyDescent="0.2">
      <c r="GI40850" s="422"/>
    </row>
    <row r="40851" spans="191:191" x14ac:dyDescent="0.2">
      <c r="GI40851" s="422"/>
    </row>
    <row r="40852" spans="191:191" x14ac:dyDescent="0.2">
      <c r="GI40852" s="422"/>
    </row>
    <row r="40853" spans="191:191" x14ac:dyDescent="0.2">
      <c r="GI40853" s="422"/>
    </row>
    <row r="40854" spans="191:191" x14ac:dyDescent="0.2">
      <c r="GI40854" s="422"/>
    </row>
    <row r="40855" spans="191:191" x14ac:dyDescent="0.2">
      <c r="GI40855" s="422"/>
    </row>
    <row r="40856" spans="191:191" x14ac:dyDescent="0.2">
      <c r="GI40856" s="422"/>
    </row>
    <row r="40857" spans="191:191" x14ac:dyDescent="0.2">
      <c r="GI40857" s="422"/>
    </row>
    <row r="40858" spans="191:191" x14ac:dyDescent="0.2">
      <c r="GI40858" s="422"/>
    </row>
    <row r="40859" spans="191:191" x14ac:dyDescent="0.2">
      <c r="GI40859" s="422"/>
    </row>
    <row r="40860" spans="191:191" x14ac:dyDescent="0.2">
      <c r="GI40860" s="422"/>
    </row>
    <row r="40861" spans="191:191" x14ac:dyDescent="0.2">
      <c r="GI40861" s="422"/>
    </row>
    <row r="40862" spans="191:191" x14ac:dyDescent="0.2">
      <c r="GI40862" s="422"/>
    </row>
    <row r="40863" spans="191:191" x14ac:dyDescent="0.2">
      <c r="GI40863" s="422"/>
    </row>
    <row r="40864" spans="191:191" x14ac:dyDescent="0.2">
      <c r="GI40864" s="422"/>
    </row>
    <row r="40865" spans="191:191" x14ac:dyDescent="0.2">
      <c r="GI40865" s="422"/>
    </row>
    <row r="40866" spans="191:191" x14ac:dyDescent="0.2">
      <c r="GI40866" s="422"/>
    </row>
    <row r="40867" spans="191:191" x14ac:dyDescent="0.2">
      <c r="GI40867" s="422"/>
    </row>
    <row r="40868" spans="191:191" x14ac:dyDescent="0.2">
      <c r="GI40868" s="422"/>
    </row>
    <row r="40869" spans="191:191" x14ac:dyDescent="0.2">
      <c r="GI40869" s="422"/>
    </row>
    <row r="40870" spans="191:191" x14ac:dyDescent="0.2">
      <c r="GI40870" s="422"/>
    </row>
    <row r="40871" spans="191:191" x14ac:dyDescent="0.2">
      <c r="GI40871" s="422"/>
    </row>
    <row r="40872" spans="191:191" x14ac:dyDescent="0.2">
      <c r="GI40872" s="422"/>
    </row>
    <row r="40873" spans="191:191" x14ac:dyDescent="0.2">
      <c r="GI40873" s="422"/>
    </row>
    <row r="40874" spans="191:191" x14ac:dyDescent="0.2">
      <c r="GI40874" s="422"/>
    </row>
    <row r="40875" spans="191:191" x14ac:dyDescent="0.2">
      <c r="GI40875" s="422"/>
    </row>
    <row r="40876" spans="191:191" x14ac:dyDescent="0.2">
      <c r="GI40876" s="422"/>
    </row>
    <row r="40877" spans="191:191" x14ac:dyDescent="0.2">
      <c r="GI40877" s="422"/>
    </row>
    <row r="40878" spans="191:191" x14ac:dyDescent="0.2">
      <c r="GI40878" s="422"/>
    </row>
    <row r="40879" spans="191:191" x14ac:dyDescent="0.2">
      <c r="GI40879" s="422"/>
    </row>
    <row r="40880" spans="191:191" x14ac:dyDescent="0.2">
      <c r="GI40880" s="422"/>
    </row>
    <row r="40881" spans="191:191" x14ac:dyDescent="0.2">
      <c r="GI40881" s="422"/>
    </row>
    <row r="40882" spans="191:191" x14ac:dyDescent="0.2">
      <c r="GI40882" s="422"/>
    </row>
    <row r="40883" spans="191:191" x14ac:dyDescent="0.2">
      <c r="GI40883" s="422"/>
    </row>
    <row r="40884" spans="191:191" x14ac:dyDescent="0.2">
      <c r="GI40884" s="422"/>
    </row>
    <row r="40885" spans="191:191" x14ac:dyDescent="0.2">
      <c r="GI40885" s="422"/>
    </row>
    <row r="40886" spans="191:191" x14ac:dyDescent="0.2">
      <c r="GI40886" s="422"/>
    </row>
    <row r="40887" spans="191:191" x14ac:dyDescent="0.2">
      <c r="GI40887" s="422"/>
    </row>
    <row r="40888" spans="191:191" x14ac:dyDescent="0.2">
      <c r="GI40888" s="422"/>
    </row>
    <row r="40889" spans="191:191" x14ac:dyDescent="0.2">
      <c r="GI40889" s="422"/>
    </row>
    <row r="40890" spans="191:191" x14ac:dyDescent="0.2">
      <c r="GI40890" s="422"/>
    </row>
    <row r="40891" spans="191:191" x14ac:dyDescent="0.2">
      <c r="GI40891" s="422"/>
    </row>
    <row r="40892" spans="191:191" x14ac:dyDescent="0.2">
      <c r="GI40892" s="422"/>
    </row>
    <row r="40893" spans="191:191" x14ac:dyDescent="0.2">
      <c r="GI40893" s="422"/>
    </row>
    <row r="40894" spans="191:191" x14ac:dyDescent="0.2">
      <c r="GI40894" s="422"/>
    </row>
    <row r="40895" spans="191:191" x14ac:dyDescent="0.2">
      <c r="GI40895" s="422"/>
    </row>
    <row r="40896" spans="191:191" x14ac:dyDescent="0.2">
      <c r="GI40896" s="422"/>
    </row>
    <row r="40897" spans="191:191" x14ac:dyDescent="0.2">
      <c r="GI40897" s="422"/>
    </row>
    <row r="40898" spans="191:191" x14ac:dyDescent="0.2">
      <c r="GI40898" s="422"/>
    </row>
    <row r="40899" spans="191:191" x14ac:dyDescent="0.2">
      <c r="GI40899" s="422"/>
    </row>
    <row r="40900" spans="191:191" x14ac:dyDescent="0.2">
      <c r="GI40900" s="422"/>
    </row>
    <row r="40901" spans="191:191" x14ac:dyDescent="0.2">
      <c r="GI40901" s="422"/>
    </row>
    <row r="40902" spans="191:191" x14ac:dyDescent="0.2">
      <c r="GI40902" s="422"/>
    </row>
    <row r="40903" spans="191:191" x14ac:dyDescent="0.2">
      <c r="GI40903" s="422"/>
    </row>
    <row r="40904" spans="191:191" x14ac:dyDescent="0.2">
      <c r="GI40904" s="422"/>
    </row>
    <row r="40905" spans="191:191" x14ac:dyDescent="0.2">
      <c r="GI40905" s="422"/>
    </row>
    <row r="40906" spans="191:191" x14ac:dyDescent="0.2">
      <c r="GI40906" s="422"/>
    </row>
    <row r="40907" spans="191:191" x14ac:dyDescent="0.2">
      <c r="GI40907" s="422"/>
    </row>
    <row r="40908" spans="191:191" x14ac:dyDescent="0.2">
      <c r="GI40908" s="422"/>
    </row>
    <row r="40909" spans="191:191" x14ac:dyDescent="0.2">
      <c r="GI40909" s="422"/>
    </row>
    <row r="40910" spans="191:191" x14ac:dyDescent="0.2">
      <c r="GI40910" s="422"/>
    </row>
    <row r="40911" spans="191:191" x14ac:dyDescent="0.2">
      <c r="GI40911" s="422"/>
    </row>
    <row r="40912" spans="191:191" x14ac:dyDescent="0.2">
      <c r="GI40912" s="422"/>
    </row>
    <row r="40913" spans="191:191" x14ac:dyDescent="0.2">
      <c r="GI40913" s="422"/>
    </row>
    <row r="40914" spans="191:191" x14ac:dyDescent="0.2">
      <c r="GI40914" s="422"/>
    </row>
    <row r="40915" spans="191:191" x14ac:dyDescent="0.2">
      <c r="GI40915" s="422"/>
    </row>
    <row r="40916" spans="191:191" x14ac:dyDescent="0.2">
      <c r="GI40916" s="422"/>
    </row>
    <row r="40917" spans="191:191" x14ac:dyDescent="0.2">
      <c r="GI40917" s="422"/>
    </row>
    <row r="40918" spans="191:191" x14ac:dyDescent="0.2">
      <c r="GI40918" s="422"/>
    </row>
    <row r="40919" spans="191:191" x14ac:dyDescent="0.2">
      <c r="GI40919" s="422"/>
    </row>
    <row r="40920" spans="191:191" x14ac:dyDescent="0.2">
      <c r="GI40920" s="422"/>
    </row>
    <row r="40921" spans="191:191" x14ac:dyDescent="0.2">
      <c r="GI40921" s="422"/>
    </row>
    <row r="40922" spans="191:191" x14ac:dyDescent="0.2">
      <c r="GI40922" s="422"/>
    </row>
    <row r="40923" spans="191:191" x14ac:dyDescent="0.2">
      <c r="GI40923" s="422"/>
    </row>
    <row r="40924" spans="191:191" x14ac:dyDescent="0.2">
      <c r="GI40924" s="422"/>
    </row>
    <row r="40925" spans="191:191" x14ac:dyDescent="0.2">
      <c r="GI40925" s="422"/>
    </row>
    <row r="40926" spans="191:191" x14ac:dyDescent="0.2">
      <c r="GI40926" s="422"/>
    </row>
    <row r="40927" spans="191:191" x14ac:dyDescent="0.2">
      <c r="GI40927" s="422"/>
    </row>
    <row r="40928" spans="191:191" x14ac:dyDescent="0.2">
      <c r="GI40928" s="422"/>
    </row>
    <row r="40929" spans="191:191" x14ac:dyDescent="0.2">
      <c r="GI40929" s="422"/>
    </row>
    <row r="40930" spans="191:191" x14ac:dyDescent="0.2">
      <c r="GI40930" s="422"/>
    </row>
    <row r="40931" spans="191:191" x14ac:dyDescent="0.2">
      <c r="GI40931" s="422"/>
    </row>
    <row r="40932" spans="191:191" x14ac:dyDescent="0.2">
      <c r="GI40932" s="422"/>
    </row>
    <row r="40933" spans="191:191" x14ac:dyDescent="0.2">
      <c r="GI40933" s="422"/>
    </row>
    <row r="40934" spans="191:191" x14ac:dyDescent="0.2">
      <c r="GI40934" s="422"/>
    </row>
    <row r="40935" spans="191:191" x14ac:dyDescent="0.2">
      <c r="GI40935" s="422"/>
    </row>
    <row r="40936" spans="191:191" x14ac:dyDescent="0.2">
      <c r="GI40936" s="422"/>
    </row>
    <row r="40937" spans="191:191" x14ac:dyDescent="0.2">
      <c r="GI40937" s="422"/>
    </row>
    <row r="40938" spans="191:191" x14ac:dyDescent="0.2">
      <c r="GI40938" s="422"/>
    </row>
    <row r="40939" spans="191:191" x14ac:dyDescent="0.2">
      <c r="GI40939" s="422"/>
    </row>
    <row r="40940" spans="191:191" x14ac:dyDescent="0.2">
      <c r="GI40940" s="422"/>
    </row>
    <row r="40941" spans="191:191" x14ac:dyDescent="0.2">
      <c r="GI40941" s="422"/>
    </row>
    <row r="40942" spans="191:191" x14ac:dyDescent="0.2">
      <c r="GI40942" s="422"/>
    </row>
    <row r="40943" spans="191:191" x14ac:dyDescent="0.2">
      <c r="GI40943" s="422"/>
    </row>
    <row r="40944" spans="191:191" x14ac:dyDescent="0.2">
      <c r="GI40944" s="422"/>
    </row>
    <row r="40945" spans="191:191" x14ac:dyDescent="0.2">
      <c r="GI40945" s="422"/>
    </row>
    <row r="40946" spans="191:191" x14ac:dyDescent="0.2">
      <c r="GI40946" s="422"/>
    </row>
    <row r="40947" spans="191:191" x14ac:dyDescent="0.2">
      <c r="GI40947" s="422"/>
    </row>
    <row r="40948" spans="191:191" x14ac:dyDescent="0.2">
      <c r="GI40948" s="422"/>
    </row>
    <row r="40949" spans="191:191" x14ac:dyDescent="0.2">
      <c r="GI40949" s="422"/>
    </row>
    <row r="40950" spans="191:191" x14ac:dyDescent="0.2">
      <c r="GI40950" s="422"/>
    </row>
    <row r="40951" spans="191:191" x14ac:dyDescent="0.2">
      <c r="GI40951" s="422"/>
    </row>
    <row r="40952" spans="191:191" x14ac:dyDescent="0.2">
      <c r="GI40952" s="422"/>
    </row>
    <row r="40953" spans="191:191" x14ac:dyDescent="0.2">
      <c r="GI40953" s="422"/>
    </row>
    <row r="40954" spans="191:191" x14ac:dyDescent="0.2">
      <c r="GI40954" s="422"/>
    </row>
    <row r="40955" spans="191:191" x14ac:dyDescent="0.2">
      <c r="GI40955" s="422"/>
    </row>
    <row r="40956" spans="191:191" x14ac:dyDescent="0.2">
      <c r="GI40956" s="422"/>
    </row>
    <row r="40957" spans="191:191" x14ac:dyDescent="0.2">
      <c r="GI40957" s="422"/>
    </row>
    <row r="40958" spans="191:191" x14ac:dyDescent="0.2">
      <c r="GI40958" s="422"/>
    </row>
    <row r="40959" spans="191:191" x14ac:dyDescent="0.2">
      <c r="GI40959" s="422"/>
    </row>
    <row r="40960" spans="191:191" x14ac:dyDescent="0.2">
      <c r="GI40960" s="422"/>
    </row>
    <row r="40961" spans="191:191" x14ac:dyDescent="0.2">
      <c r="GI40961" s="422"/>
    </row>
    <row r="40962" spans="191:191" x14ac:dyDescent="0.2">
      <c r="GI40962" s="422"/>
    </row>
    <row r="40963" spans="191:191" x14ac:dyDescent="0.2">
      <c r="GI40963" s="422"/>
    </row>
    <row r="40964" spans="191:191" x14ac:dyDescent="0.2">
      <c r="GI40964" s="422"/>
    </row>
    <row r="40965" spans="191:191" x14ac:dyDescent="0.2">
      <c r="GI40965" s="422"/>
    </row>
    <row r="40966" spans="191:191" x14ac:dyDescent="0.2">
      <c r="GI40966" s="422"/>
    </row>
    <row r="40967" spans="191:191" x14ac:dyDescent="0.2">
      <c r="GI40967" s="422"/>
    </row>
    <row r="40968" spans="191:191" x14ac:dyDescent="0.2">
      <c r="GI40968" s="422"/>
    </row>
    <row r="40969" spans="191:191" x14ac:dyDescent="0.2">
      <c r="GI40969" s="422"/>
    </row>
    <row r="40970" spans="191:191" x14ac:dyDescent="0.2">
      <c r="GI40970" s="422"/>
    </row>
    <row r="40971" spans="191:191" x14ac:dyDescent="0.2">
      <c r="GI40971" s="422"/>
    </row>
    <row r="40972" spans="191:191" x14ac:dyDescent="0.2">
      <c r="GI40972" s="422"/>
    </row>
    <row r="40973" spans="191:191" x14ac:dyDescent="0.2">
      <c r="GI40973" s="422"/>
    </row>
    <row r="40974" spans="191:191" x14ac:dyDescent="0.2">
      <c r="GI40974" s="422"/>
    </row>
    <row r="40975" spans="191:191" x14ac:dyDescent="0.2">
      <c r="GI40975" s="422"/>
    </row>
    <row r="40976" spans="191:191" x14ac:dyDescent="0.2">
      <c r="GI40976" s="422"/>
    </row>
    <row r="40977" spans="191:191" x14ac:dyDescent="0.2">
      <c r="GI40977" s="422"/>
    </row>
    <row r="40978" spans="191:191" x14ac:dyDescent="0.2">
      <c r="GI40978" s="422"/>
    </row>
    <row r="40979" spans="191:191" x14ac:dyDescent="0.2">
      <c r="GI40979" s="422"/>
    </row>
    <row r="40980" spans="191:191" x14ac:dyDescent="0.2">
      <c r="GI40980" s="422"/>
    </row>
    <row r="40981" spans="191:191" x14ac:dyDescent="0.2">
      <c r="GI40981" s="422"/>
    </row>
    <row r="40982" spans="191:191" x14ac:dyDescent="0.2">
      <c r="GI40982" s="422"/>
    </row>
    <row r="40983" spans="191:191" x14ac:dyDescent="0.2">
      <c r="GI40983" s="422"/>
    </row>
    <row r="40984" spans="191:191" x14ac:dyDescent="0.2">
      <c r="GI40984" s="422"/>
    </row>
    <row r="40985" spans="191:191" x14ac:dyDescent="0.2">
      <c r="GI40985" s="422"/>
    </row>
    <row r="40986" spans="191:191" x14ac:dyDescent="0.2">
      <c r="GI40986" s="422"/>
    </row>
    <row r="40987" spans="191:191" x14ac:dyDescent="0.2">
      <c r="GI40987" s="422"/>
    </row>
    <row r="40988" spans="191:191" x14ac:dyDescent="0.2">
      <c r="GI40988" s="422"/>
    </row>
    <row r="40989" spans="191:191" x14ac:dyDescent="0.2">
      <c r="GI40989" s="422"/>
    </row>
    <row r="40990" spans="191:191" x14ac:dyDescent="0.2">
      <c r="GI40990" s="422"/>
    </row>
    <row r="40991" spans="191:191" x14ac:dyDescent="0.2">
      <c r="GI40991" s="422"/>
    </row>
    <row r="40992" spans="191:191" x14ac:dyDescent="0.2">
      <c r="GI40992" s="422"/>
    </row>
    <row r="40993" spans="191:191" x14ac:dyDescent="0.2">
      <c r="GI40993" s="422"/>
    </row>
    <row r="40994" spans="191:191" x14ac:dyDescent="0.2">
      <c r="GI40994" s="422"/>
    </row>
    <row r="40995" spans="191:191" x14ac:dyDescent="0.2">
      <c r="GI40995" s="422"/>
    </row>
    <row r="40996" spans="191:191" x14ac:dyDescent="0.2">
      <c r="GI40996" s="422"/>
    </row>
    <row r="40997" spans="191:191" x14ac:dyDescent="0.2">
      <c r="GI40997" s="422"/>
    </row>
    <row r="40998" spans="191:191" x14ac:dyDescent="0.2">
      <c r="GI40998" s="422"/>
    </row>
    <row r="40999" spans="191:191" x14ac:dyDescent="0.2">
      <c r="GI40999" s="422"/>
    </row>
    <row r="41000" spans="191:191" x14ac:dyDescent="0.2">
      <c r="GI41000" s="422"/>
    </row>
    <row r="41001" spans="191:191" x14ac:dyDescent="0.2">
      <c r="GI41001" s="422"/>
    </row>
    <row r="41002" spans="191:191" x14ac:dyDescent="0.2">
      <c r="GI41002" s="422"/>
    </row>
    <row r="41003" spans="191:191" x14ac:dyDescent="0.2">
      <c r="GI41003" s="422"/>
    </row>
    <row r="41004" spans="191:191" x14ac:dyDescent="0.2">
      <c r="GI41004" s="422"/>
    </row>
    <row r="41005" spans="191:191" x14ac:dyDescent="0.2">
      <c r="GI41005" s="422"/>
    </row>
    <row r="41006" spans="191:191" x14ac:dyDescent="0.2">
      <c r="GI41006" s="422"/>
    </row>
    <row r="41007" spans="191:191" x14ac:dyDescent="0.2">
      <c r="GI41007" s="422"/>
    </row>
    <row r="41008" spans="191:191" x14ac:dyDescent="0.2">
      <c r="GI41008" s="422"/>
    </row>
    <row r="41009" spans="191:191" x14ac:dyDescent="0.2">
      <c r="GI41009" s="422"/>
    </row>
    <row r="41010" spans="191:191" x14ac:dyDescent="0.2">
      <c r="GI41010" s="422"/>
    </row>
    <row r="41011" spans="191:191" x14ac:dyDescent="0.2">
      <c r="GI41011" s="422"/>
    </row>
    <row r="41012" spans="191:191" x14ac:dyDescent="0.2">
      <c r="GI41012" s="422"/>
    </row>
    <row r="41013" spans="191:191" x14ac:dyDescent="0.2">
      <c r="GI41013" s="422"/>
    </row>
    <row r="41014" spans="191:191" x14ac:dyDescent="0.2">
      <c r="GI41014" s="422"/>
    </row>
    <row r="41015" spans="191:191" x14ac:dyDescent="0.2">
      <c r="GI41015" s="422"/>
    </row>
    <row r="41016" spans="191:191" x14ac:dyDescent="0.2">
      <c r="GI41016" s="422"/>
    </row>
    <row r="41017" spans="191:191" x14ac:dyDescent="0.2">
      <c r="GI41017" s="422"/>
    </row>
    <row r="41018" spans="191:191" x14ac:dyDescent="0.2">
      <c r="GI41018" s="422"/>
    </row>
    <row r="41019" spans="191:191" x14ac:dyDescent="0.2">
      <c r="GI41019" s="422"/>
    </row>
    <row r="41020" spans="191:191" x14ac:dyDescent="0.2">
      <c r="GI41020" s="422"/>
    </row>
    <row r="41021" spans="191:191" x14ac:dyDescent="0.2">
      <c r="GI41021" s="422"/>
    </row>
    <row r="41022" spans="191:191" x14ac:dyDescent="0.2">
      <c r="GI41022" s="422"/>
    </row>
    <row r="41023" spans="191:191" x14ac:dyDescent="0.2">
      <c r="GI41023" s="422"/>
    </row>
    <row r="41024" spans="191:191" x14ac:dyDescent="0.2">
      <c r="GI41024" s="422"/>
    </row>
    <row r="41025" spans="191:191" x14ac:dyDescent="0.2">
      <c r="GI41025" s="422"/>
    </row>
    <row r="41026" spans="191:191" x14ac:dyDescent="0.2">
      <c r="GI41026" s="422"/>
    </row>
    <row r="41027" spans="191:191" x14ac:dyDescent="0.2">
      <c r="GI41027" s="422"/>
    </row>
    <row r="41028" spans="191:191" x14ac:dyDescent="0.2">
      <c r="GI41028" s="422"/>
    </row>
    <row r="41029" spans="191:191" x14ac:dyDescent="0.2">
      <c r="GI41029" s="422"/>
    </row>
    <row r="41030" spans="191:191" x14ac:dyDescent="0.2">
      <c r="GI41030" s="422"/>
    </row>
    <row r="41031" spans="191:191" x14ac:dyDescent="0.2">
      <c r="GI41031" s="422"/>
    </row>
    <row r="41032" spans="191:191" x14ac:dyDescent="0.2">
      <c r="GI41032" s="422"/>
    </row>
    <row r="41033" spans="191:191" x14ac:dyDescent="0.2">
      <c r="GI41033" s="422"/>
    </row>
    <row r="41034" spans="191:191" x14ac:dyDescent="0.2">
      <c r="GI41034" s="422"/>
    </row>
    <row r="41035" spans="191:191" x14ac:dyDescent="0.2">
      <c r="GI41035" s="422"/>
    </row>
    <row r="41036" spans="191:191" x14ac:dyDescent="0.2">
      <c r="GI41036" s="422"/>
    </row>
    <row r="41037" spans="191:191" x14ac:dyDescent="0.2">
      <c r="GI41037" s="422"/>
    </row>
    <row r="41038" spans="191:191" x14ac:dyDescent="0.2">
      <c r="GI41038" s="422"/>
    </row>
    <row r="41039" spans="191:191" x14ac:dyDescent="0.2">
      <c r="GI41039" s="422"/>
    </row>
    <row r="41040" spans="191:191" x14ac:dyDescent="0.2">
      <c r="GI41040" s="422"/>
    </row>
    <row r="41041" spans="191:191" x14ac:dyDescent="0.2">
      <c r="GI41041" s="422"/>
    </row>
    <row r="41042" spans="191:191" x14ac:dyDescent="0.2">
      <c r="GI41042" s="422"/>
    </row>
    <row r="41043" spans="191:191" x14ac:dyDescent="0.2">
      <c r="GI41043" s="422"/>
    </row>
    <row r="41044" spans="191:191" x14ac:dyDescent="0.2">
      <c r="GI41044" s="422"/>
    </row>
    <row r="41045" spans="191:191" x14ac:dyDescent="0.2">
      <c r="GI41045" s="422"/>
    </row>
    <row r="41046" spans="191:191" x14ac:dyDescent="0.2">
      <c r="GI41046" s="422"/>
    </row>
    <row r="41047" spans="191:191" x14ac:dyDescent="0.2">
      <c r="GI41047" s="422"/>
    </row>
    <row r="41048" spans="191:191" x14ac:dyDescent="0.2">
      <c r="GI41048" s="422"/>
    </row>
    <row r="41049" spans="191:191" x14ac:dyDescent="0.2">
      <c r="GI41049" s="422"/>
    </row>
    <row r="41050" spans="191:191" x14ac:dyDescent="0.2">
      <c r="GI41050" s="422"/>
    </row>
    <row r="41051" spans="191:191" x14ac:dyDescent="0.2">
      <c r="GI41051" s="422"/>
    </row>
    <row r="41052" spans="191:191" x14ac:dyDescent="0.2">
      <c r="GI41052" s="422"/>
    </row>
    <row r="41053" spans="191:191" x14ac:dyDescent="0.2">
      <c r="GI41053" s="422"/>
    </row>
    <row r="41054" spans="191:191" x14ac:dyDescent="0.2">
      <c r="GI41054" s="422"/>
    </row>
    <row r="41055" spans="191:191" x14ac:dyDescent="0.2">
      <c r="GI41055" s="422"/>
    </row>
    <row r="41056" spans="191:191" x14ac:dyDescent="0.2">
      <c r="GI41056" s="422"/>
    </row>
    <row r="41057" spans="191:191" x14ac:dyDescent="0.2">
      <c r="GI41057" s="422"/>
    </row>
    <row r="41058" spans="191:191" x14ac:dyDescent="0.2">
      <c r="GI41058" s="422"/>
    </row>
    <row r="41059" spans="191:191" x14ac:dyDescent="0.2">
      <c r="GI41059" s="422"/>
    </row>
    <row r="41060" spans="191:191" x14ac:dyDescent="0.2">
      <c r="GI41060" s="422"/>
    </row>
    <row r="41061" spans="191:191" x14ac:dyDescent="0.2">
      <c r="GI41061" s="422"/>
    </row>
    <row r="41062" spans="191:191" x14ac:dyDescent="0.2">
      <c r="GI41062" s="422"/>
    </row>
    <row r="41063" spans="191:191" x14ac:dyDescent="0.2">
      <c r="GI41063" s="422"/>
    </row>
    <row r="41064" spans="191:191" x14ac:dyDescent="0.2">
      <c r="GI41064" s="422"/>
    </row>
    <row r="41065" spans="191:191" x14ac:dyDescent="0.2">
      <c r="GI41065" s="422"/>
    </row>
    <row r="41066" spans="191:191" x14ac:dyDescent="0.2">
      <c r="GI41066" s="422"/>
    </row>
    <row r="41067" spans="191:191" x14ac:dyDescent="0.2">
      <c r="GI41067" s="422"/>
    </row>
    <row r="41068" spans="191:191" x14ac:dyDescent="0.2">
      <c r="GI41068" s="422"/>
    </row>
    <row r="41069" spans="191:191" x14ac:dyDescent="0.2">
      <c r="GI41069" s="422"/>
    </row>
    <row r="41070" spans="191:191" x14ac:dyDescent="0.2">
      <c r="GI41070" s="422"/>
    </row>
    <row r="41071" spans="191:191" x14ac:dyDescent="0.2">
      <c r="GI41071" s="422"/>
    </row>
    <row r="41072" spans="191:191" x14ac:dyDescent="0.2">
      <c r="GI41072" s="422"/>
    </row>
    <row r="41073" spans="191:191" x14ac:dyDescent="0.2">
      <c r="GI41073" s="422"/>
    </row>
    <row r="41074" spans="191:191" x14ac:dyDescent="0.2">
      <c r="GI41074" s="422"/>
    </row>
    <row r="41075" spans="191:191" x14ac:dyDescent="0.2">
      <c r="GI41075" s="422"/>
    </row>
    <row r="41076" spans="191:191" x14ac:dyDescent="0.2">
      <c r="GI41076" s="422"/>
    </row>
    <row r="41077" spans="191:191" x14ac:dyDescent="0.2">
      <c r="GI41077" s="422"/>
    </row>
    <row r="41078" spans="191:191" x14ac:dyDescent="0.2">
      <c r="GI41078" s="422"/>
    </row>
    <row r="41079" spans="191:191" x14ac:dyDescent="0.2">
      <c r="GI41079" s="422"/>
    </row>
    <row r="41080" spans="191:191" x14ac:dyDescent="0.2">
      <c r="GI41080" s="422"/>
    </row>
    <row r="41081" spans="191:191" x14ac:dyDescent="0.2">
      <c r="GI41081" s="422"/>
    </row>
    <row r="41082" spans="191:191" x14ac:dyDescent="0.2">
      <c r="GI41082" s="422"/>
    </row>
    <row r="41083" spans="191:191" x14ac:dyDescent="0.2">
      <c r="GI41083" s="422"/>
    </row>
    <row r="41084" spans="191:191" x14ac:dyDescent="0.2">
      <c r="GI41084" s="422"/>
    </row>
    <row r="41085" spans="191:191" x14ac:dyDescent="0.2">
      <c r="GI41085" s="422"/>
    </row>
    <row r="41086" spans="191:191" x14ac:dyDescent="0.2">
      <c r="GI41086" s="422"/>
    </row>
    <row r="41087" spans="191:191" x14ac:dyDescent="0.2">
      <c r="GI41087" s="422"/>
    </row>
    <row r="41088" spans="191:191" x14ac:dyDescent="0.2">
      <c r="GI41088" s="422"/>
    </row>
    <row r="41089" spans="191:191" x14ac:dyDescent="0.2">
      <c r="GI41089" s="422"/>
    </row>
    <row r="41090" spans="191:191" x14ac:dyDescent="0.2">
      <c r="GI41090" s="422"/>
    </row>
    <row r="41091" spans="191:191" x14ac:dyDescent="0.2">
      <c r="GI41091" s="422"/>
    </row>
    <row r="41092" spans="191:191" x14ac:dyDescent="0.2">
      <c r="GI41092" s="422"/>
    </row>
    <row r="41093" spans="191:191" x14ac:dyDescent="0.2">
      <c r="GI41093" s="422"/>
    </row>
    <row r="41094" spans="191:191" x14ac:dyDescent="0.2">
      <c r="GI41094" s="422"/>
    </row>
    <row r="41095" spans="191:191" x14ac:dyDescent="0.2">
      <c r="GI41095" s="422"/>
    </row>
    <row r="41096" spans="191:191" x14ac:dyDescent="0.2">
      <c r="GI41096" s="422"/>
    </row>
    <row r="41097" spans="191:191" x14ac:dyDescent="0.2">
      <c r="GI41097" s="422"/>
    </row>
    <row r="41098" spans="191:191" x14ac:dyDescent="0.2">
      <c r="GI41098" s="422"/>
    </row>
    <row r="41099" spans="191:191" x14ac:dyDescent="0.2">
      <c r="GI41099" s="422"/>
    </row>
    <row r="41100" spans="191:191" x14ac:dyDescent="0.2">
      <c r="GI41100" s="422"/>
    </row>
    <row r="41101" spans="191:191" x14ac:dyDescent="0.2">
      <c r="GI41101" s="422"/>
    </row>
    <row r="41102" spans="191:191" x14ac:dyDescent="0.2">
      <c r="GI41102" s="422"/>
    </row>
    <row r="41103" spans="191:191" x14ac:dyDescent="0.2">
      <c r="GI41103" s="422"/>
    </row>
    <row r="41104" spans="191:191" x14ac:dyDescent="0.2">
      <c r="GI41104" s="422"/>
    </row>
    <row r="41105" spans="191:191" x14ac:dyDescent="0.2">
      <c r="GI41105" s="422"/>
    </row>
    <row r="41106" spans="191:191" x14ac:dyDescent="0.2">
      <c r="GI41106" s="422"/>
    </row>
    <row r="41107" spans="191:191" x14ac:dyDescent="0.2">
      <c r="GI41107" s="422"/>
    </row>
    <row r="41108" spans="191:191" x14ac:dyDescent="0.2">
      <c r="GI41108" s="422"/>
    </row>
    <row r="41109" spans="191:191" x14ac:dyDescent="0.2">
      <c r="GI41109" s="422"/>
    </row>
    <row r="41110" spans="191:191" x14ac:dyDescent="0.2">
      <c r="GI41110" s="422"/>
    </row>
    <row r="41111" spans="191:191" x14ac:dyDescent="0.2">
      <c r="GI41111" s="422"/>
    </row>
    <row r="41112" spans="191:191" x14ac:dyDescent="0.2">
      <c r="GI41112" s="422"/>
    </row>
    <row r="41113" spans="191:191" x14ac:dyDescent="0.2">
      <c r="GI41113" s="422"/>
    </row>
    <row r="41114" spans="191:191" x14ac:dyDescent="0.2">
      <c r="GI41114" s="422"/>
    </row>
    <row r="41115" spans="191:191" x14ac:dyDescent="0.2">
      <c r="GI41115" s="422"/>
    </row>
    <row r="41116" spans="191:191" x14ac:dyDescent="0.2">
      <c r="GI41116" s="422"/>
    </row>
    <row r="41117" spans="191:191" x14ac:dyDescent="0.2">
      <c r="GI41117" s="422"/>
    </row>
    <row r="41118" spans="191:191" x14ac:dyDescent="0.2">
      <c r="GI41118" s="422"/>
    </row>
    <row r="41119" spans="191:191" x14ac:dyDescent="0.2">
      <c r="GI41119" s="422"/>
    </row>
    <row r="41120" spans="191:191" x14ac:dyDescent="0.2">
      <c r="GI41120" s="422"/>
    </row>
    <row r="41121" spans="191:191" x14ac:dyDescent="0.2">
      <c r="GI41121" s="422"/>
    </row>
    <row r="41122" spans="191:191" x14ac:dyDescent="0.2">
      <c r="GI41122" s="422"/>
    </row>
    <row r="41123" spans="191:191" x14ac:dyDescent="0.2">
      <c r="GI41123" s="422"/>
    </row>
    <row r="41124" spans="191:191" x14ac:dyDescent="0.2">
      <c r="GI41124" s="422"/>
    </row>
    <row r="41125" spans="191:191" x14ac:dyDescent="0.2">
      <c r="GI41125" s="422"/>
    </row>
    <row r="41126" spans="191:191" x14ac:dyDescent="0.2">
      <c r="GI41126" s="422"/>
    </row>
    <row r="41127" spans="191:191" x14ac:dyDescent="0.2">
      <c r="GI41127" s="422"/>
    </row>
    <row r="41128" spans="191:191" x14ac:dyDescent="0.2">
      <c r="GI41128" s="422"/>
    </row>
    <row r="41129" spans="191:191" x14ac:dyDescent="0.2">
      <c r="GI41129" s="422"/>
    </row>
    <row r="41130" spans="191:191" x14ac:dyDescent="0.2">
      <c r="GI41130" s="422"/>
    </row>
    <row r="41131" spans="191:191" x14ac:dyDescent="0.2">
      <c r="GI41131" s="422"/>
    </row>
    <row r="41132" spans="191:191" x14ac:dyDescent="0.2">
      <c r="GI41132" s="422"/>
    </row>
    <row r="41133" spans="191:191" x14ac:dyDescent="0.2">
      <c r="GI41133" s="422"/>
    </row>
    <row r="41134" spans="191:191" x14ac:dyDescent="0.2">
      <c r="GI41134" s="422"/>
    </row>
    <row r="41135" spans="191:191" x14ac:dyDescent="0.2">
      <c r="GI41135" s="422"/>
    </row>
    <row r="41136" spans="191:191" x14ac:dyDescent="0.2">
      <c r="GI41136" s="422"/>
    </row>
    <row r="41137" spans="191:191" x14ac:dyDescent="0.2">
      <c r="GI41137" s="422"/>
    </row>
    <row r="41138" spans="191:191" x14ac:dyDescent="0.2">
      <c r="GI41138" s="422"/>
    </row>
    <row r="41139" spans="191:191" x14ac:dyDescent="0.2">
      <c r="GI41139" s="422"/>
    </row>
    <row r="41140" spans="191:191" x14ac:dyDescent="0.2">
      <c r="GI41140" s="422"/>
    </row>
    <row r="41141" spans="191:191" x14ac:dyDescent="0.2">
      <c r="GI41141" s="422"/>
    </row>
    <row r="41142" spans="191:191" x14ac:dyDescent="0.2">
      <c r="GI41142" s="422"/>
    </row>
    <row r="41143" spans="191:191" x14ac:dyDescent="0.2">
      <c r="GI41143" s="422"/>
    </row>
    <row r="41144" spans="191:191" x14ac:dyDescent="0.2">
      <c r="GI41144" s="422"/>
    </row>
    <row r="41145" spans="191:191" x14ac:dyDescent="0.2">
      <c r="GI41145" s="422"/>
    </row>
    <row r="41146" spans="191:191" x14ac:dyDescent="0.2">
      <c r="GI41146" s="422"/>
    </row>
    <row r="41147" spans="191:191" x14ac:dyDescent="0.2">
      <c r="GI41147" s="422"/>
    </row>
    <row r="41148" spans="191:191" x14ac:dyDescent="0.2">
      <c r="GI41148" s="422"/>
    </row>
    <row r="41149" spans="191:191" x14ac:dyDescent="0.2">
      <c r="GI41149" s="422"/>
    </row>
    <row r="41150" spans="191:191" x14ac:dyDescent="0.2">
      <c r="GI41150" s="422"/>
    </row>
    <row r="41151" spans="191:191" x14ac:dyDescent="0.2">
      <c r="GI41151" s="422"/>
    </row>
    <row r="41152" spans="191:191" x14ac:dyDescent="0.2">
      <c r="GI41152" s="422"/>
    </row>
    <row r="41153" spans="191:191" x14ac:dyDescent="0.2">
      <c r="GI41153" s="422"/>
    </row>
    <row r="41154" spans="191:191" x14ac:dyDescent="0.2">
      <c r="GI41154" s="422"/>
    </row>
    <row r="41155" spans="191:191" x14ac:dyDescent="0.2">
      <c r="GI41155" s="422"/>
    </row>
    <row r="41156" spans="191:191" x14ac:dyDescent="0.2">
      <c r="GI41156" s="422"/>
    </row>
    <row r="41157" spans="191:191" x14ac:dyDescent="0.2">
      <c r="GI41157" s="422"/>
    </row>
    <row r="41158" spans="191:191" x14ac:dyDescent="0.2">
      <c r="GI41158" s="422"/>
    </row>
    <row r="41159" spans="191:191" x14ac:dyDescent="0.2">
      <c r="GI41159" s="422"/>
    </row>
    <row r="41160" spans="191:191" x14ac:dyDescent="0.2">
      <c r="GI41160" s="422"/>
    </row>
    <row r="41161" spans="191:191" x14ac:dyDescent="0.2">
      <c r="GI41161" s="422"/>
    </row>
    <row r="41162" spans="191:191" x14ac:dyDescent="0.2">
      <c r="GI41162" s="422"/>
    </row>
    <row r="41163" spans="191:191" x14ac:dyDescent="0.2">
      <c r="GI41163" s="422"/>
    </row>
    <row r="41164" spans="191:191" x14ac:dyDescent="0.2">
      <c r="GI41164" s="422"/>
    </row>
    <row r="41165" spans="191:191" x14ac:dyDescent="0.2">
      <c r="GI41165" s="422"/>
    </row>
    <row r="41166" spans="191:191" x14ac:dyDescent="0.2">
      <c r="GI41166" s="422"/>
    </row>
    <row r="41167" spans="191:191" x14ac:dyDescent="0.2">
      <c r="GI41167" s="422"/>
    </row>
    <row r="41168" spans="191:191" x14ac:dyDescent="0.2">
      <c r="GI41168" s="422"/>
    </row>
    <row r="41169" spans="191:191" x14ac:dyDescent="0.2">
      <c r="GI41169" s="422"/>
    </row>
    <row r="41170" spans="191:191" x14ac:dyDescent="0.2">
      <c r="GI41170" s="422"/>
    </row>
    <row r="41171" spans="191:191" x14ac:dyDescent="0.2">
      <c r="GI41171" s="422"/>
    </row>
    <row r="41172" spans="191:191" x14ac:dyDescent="0.2">
      <c r="GI41172" s="422"/>
    </row>
    <row r="41173" spans="191:191" x14ac:dyDescent="0.2">
      <c r="GI41173" s="422"/>
    </row>
    <row r="41174" spans="191:191" x14ac:dyDescent="0.2">
      <c r="GI41174" s="422"/>
    </row>
    <row r="41175" spans="191:191" x14ac:dyDescent="0.2">
      <c r="GI41175" s="422"/>
    </row>
    <row r="41176" spans="191:191" x14ac:dyDescent="0.2">
      <c r="GI41176" s="422"/>
    </row>
    <row r="41177" spans="191:191" x14ac:dyDescent="0.2">
      <c r="GI41177" s="422"/>
    </row>
    <row r="41178" spans="191:191" x14ac:dyDescent="0.2">
      <c r="GI41178" s="422"/>
    </row>
    <row r="41179" spans="191:191" x14ac:dyDescent="0.2">
      <c r="GI41179" s="422"/>
    </row>
    <row r="41180" spans="191:191" x14ac:dyDescent="0.2">
      <c r="GI41180" s="422"/>
    </row>
    <row r="41181" spans="191:191" x14ac:dyDescent="0.2">
      <c r="GI41181" s="422"/>
    </row>
    <row r="41182" spans="191:191" x14ac:dyDescent="0.2">
      <c r="GI41182" s="422"/>
    </row>
    <row r="41183" spans="191:191" x14ac:dyDescent="0.2">
      <c r="GI41183" s="422"/>
    </row>
    <row r="41184" spans="191:191" x14ac:dyDescent="0.2">
      <c r="GI41184" s="422"/>
    </row>
    <row r="41185" spans="191:191" x14ac:dyDescent="0.2">
      <c r="GI41185" s="422"/>
    </row>
    <row r="41186" spans="191:191" x14ac:dyDescent="0.2">
      <c r="GI41186" s="422"/>
    </row>
    <row r="41187" spans="191:191" x14ac:dyDescent="0.2">
      <c r="GI41187" s="422"/>
    </row>
    <row r="41188" spans="191:191" x14ac:dyDescent="0.2">
      <c r="GI41188" s="422"/>
    </row>
    <row r="41189" spans="191:191" x14ac:dyDescent="0.2">
      <c r="GI41189" s="422"/>
    </row>
    <row r="41190" spans="191:191" x14ac:dyDescent="0.2">
      <c r="GI41190" s="422"/>
    </row>
    <row r="41191" spans="191:191" x14ac:dyDescent="0.2">
      <c r="GI41191" s="422"/>
    </row>
    <row r="41192" spans="191:191" x14ac:dyDescent="0.2">
      <c r="GI41192" s="422"/>
    </row>
    <row r="41193" spans="191:191" x14ac:dyDescent="0.2">
      <c r="GI41193" s="422"/>
    </row>
    <row r="41194" spans="191:191" x14ac:dyDescent="0.2">
      <c r="GI41194" s="422"/>
    </row>
    <row r="41195" spans="191:191" x14ac:dyDescent="0.2">
      <c r="GI41195" s="422"/>
    </row>
    <row r="41196" spans="191:191" x14ac:dyDescent="0.2">
      <c r="GI41196" s="422"/>
    </row>
    <row r="41197" spans="191:191" x14ac:dyDescent="0.2">
      <c r="GI41197" s="422"/>
    </row>
    <row r="41198" spans="191:191" x14ac:dyDescent="0.2">
      <c r="GI41198" s="422"/>
    </row>
    <row r="41199" spans="191:191" x14ac:dyDescent="0.2">
      <c r="GI41199" s="422"/>
    </row>
    <row r="41200" spans="191:191" x14ac:dyDescent="0.2">
      <c r="GI41200" s="422"/>
    </row>
    <row r="41201" spans="191:191" x14ac:dyDescent="0.2">
      <c r="GI41201" s="422"/>
    </row>
    <row r="41202" spans="191:191" x14ac:dyDescent="0.2">
      <c r="GI41202" s="422"/>
    </row>
    <row r="41203" spans="191:191" x14ac:dyDescent="0.2">
      <c r="GI41203" s="422"/>
    </row>
    <row r="41204" spans="191:191" x14ac:dyDescent="0.2">
      <c r="GI41204" s="422"/>
    </row>
    <row r="41205" spans="191:191" x14ac:dyDescent="0.2">
      <c r="GI41205" s="422"/>
    </row>
    <row r="41206" spans="191:191" x14ac:dyDescent="0.2">
      <c r="GI41206" s="422"/>
    </row>
    <row r="41207" spans="191:191" x14ac:dyDescent="0.2">
      <c r="GI41207" s="422"/>
    </row>
    <row r="41208" spans="191:191" x14ac:dyDescent="0.2">
      <c r="GI41208" s="422"/>
    </row>
    <row r="41209" spans="191:191" x14ac:dyDescent="0.2">
      <c r="GI41209" s="422"/>
    </row>
    <row r="41210" spans="191:191" x14ac:dyDescent="0.2">
      <c r="GI41210" s="422"/>
    </row>
    <row r="41211" spans="191:191" x14ac:dyDescent="0.2">
      <c r="GI41211" s="422"/>
    </row>
    <row r="41212" spans="191:191" x14ac:dyDescent="0.2">
      <c r="GI41212" s="422"/>
    </row>
    <row r="41213" spans="191:191" x14ac:dyDescent="0.2">
      <c r="GI41213" s="422"/>
    </row>
    <row r="41214" spans="191:191" x14ac:dyDescent="0.2">
      <c r="GI41214" s="422"/>
    </row>
    <row r="41215" spans="191:191" x14ac:dyDescent="0.2">
      <c r="GI41215" s="422"/>
    </row>
    <row r="41216" spans="191:191" x14ac:dyDescent="0.2">
      <c r="GI41216" s="422"/>
    </row>
    <row r="41217" spans="191:191" x14ac:dyDescent="0.2">
      <c r="GI41217" s="422"/>
    </row>
    <row r="41218" spans="191:191" x14ac:dyDescent="0.2">
      <c r="GI41218" s="422"/>
    </row>
    <row r="41219" spans="191:191" x14ac:dyDescent="0.2">
      <c r="GI41219" s="422"/>
    </row>
    <row r="41220" spans="191:191" x14ac:dyDescent="0.2">
      <c r="GI41220" s="422"/>
    </row>
    <row r="41221" spans="191:191" x14ac:dyDescent="0.2">
      <c r="GI41221" s="422"/>
    </row>
    <row r="41222" spans="191:191" x14ac:dyDescent="0.2">
      <c r="GI41222" s="422"/>
    </row>
    <row r="41223" spans="191:191" x14ac:dyDescent="0.2">
      <c r="GI41223" s="422"/>
    </row>
    <row r="41224" spans="191:191" x14ac:dyDescent="0.2">
      <c r="GI41224" s="422"/>
    </row>
    <row r="41225" spans="191:191" x14ac:dyDescent="0.2">
      <c r="GI41225" s="422"/>
    </row>
    <row r="41226" spans="191:191" x14ac:dyDescent="0.2">
      <c r="GI41226" s="422"/>
    </row>
    <row r="41227" spans="191:191" x14ac:dyDescent="0.2">
      <c r="GI41227" s="422"/>
    </row>
    <row r="41228" spans="191:191" x14ac:dyDescent="0.2">
      <c r="GI41228" s="422"/>
    </row>
    <row r="41229" spans="191:191" x14ac:dyDescent="0.2">
      <c r="GI41229" s="422"/>
    </row>
    <row r="41230" spans="191:191" x14ac:dyDescent="0.2">
      <c r="GI41230" s="422"/>
    </row>
    <row r="41231" spans="191:191" x14ac:dyDescent="0.2">
      <c r="GI41231" s="422"/>
    </row>
    <row r="41232" spans="191:191" x14ac:dyDescent="0.2">
      <c r="GI41232" s="422"/>
    </row>
    <row r="41233" spans="191:191" x14ac:dyDescent="0.2">
      <c r="GI41233" s="422"/>
    </row>
    <row r="41234" spans="191:191" x14ac:dyDescent="0.2">
      <c r="GI41234" s="422"/>
    </row>
    <row r="41235" spans="191:191" x14ac:dyDescent="0.2">
      <c r="GI41235" s="422"/>
    </row>
    <row r="41236" spans="191:191" x14ac:dyDescent="0.2">
      <c r="GI41236" s="422"/>
    </row>
    <row r="41237" spans="191:191" x14ac:dyDescent="0.2">
      <c r="GI41237" s="422"/>
    </row>
    <row r="41238" spans="191:191" x14ac:dyDescent="0.2">
      <c r="GI41238" s="422"/>
    </row>
    <row r="41239" spans="191:191" x14ac:dyDescent="0.2">
      <c r="GI41239" s="422"/>
    </row>
    <row r="41240" spans="191:191" x14ac:dyDescent="0.2">
      <c r="GI41240" s="422"/>
    </row>
    <row r="41241" spans="191:191" x14ac:dyDescent="0.2">
      <c r="GI41241" s="422"/>
    </row>
    <row r="41242" spans="191:191" x14ac:dyDescent="0.2">
      <c r="GI41242" s="422"/>
    </row>
    <row r="41243" spans="191:191" x14ac:dyDescent="0.2">
      <c r="GI41243" s="422"/>
    </row>
    <row r="41244" spans="191:191" x14ac:dyDescent="0.2">
      <c r="GI41244" s="422"/>
    </row>
    <row r="41245" spans="191:191" x14ac:dyDescent="0.2">
      <c r="GI41245" s="422"/>
    </row>
    <row r="41246" spans="191:191" x14ac:dyDescent="0.2">
      <c r="GI41246" s="422"/>
    </row>
    <row r="41247" spans="191:191" x14ac:dyDescent="0.2">
      <c r="GI41247" s="422"/>
    </row>
    <row r="41248" spans="191:191" x14ac:dyDescent="0.2">
      <c r="GI41248" s="422"/>
    </row>
    <row r="41249" spans="191:191" x14ac:dyDescent="0.2">
      <c r="GI41249" s="422"/>
    </row>
    <row r="41250" spans="191:191" x14ac:dyDescent="0.2">
      <c r="GI41250" s="422"/>
    </row>
    <row r="41251" spans="191:191" x14ac:dyDescent="0.2">
      <c r="GI41251" s="422"/>
    </row>
    <row r="41252" spans="191:191" x14ac:dyDescent="0.2">
      <c r="GI41252" s="422"/>
    </row>
    <row r="41253" spans="191:191" x14ac:dyDescent="0.2">
      <c r="GI41253" s="422"/>
    </row>
    <row r="41254" spans="191:191" x14ac:dyDescent="0.2">
      <c r="GI41254" s="422"/>
    </row>
    <row r="41255" spans="191:191" x14ac:dyDescent="0.2">
      <c r="GI41255" s="422"/>
    </row>
    <row r="41256" spans="191:191" x14ac:dyDescent="0.2">
      <c r="GI41256" s="422"/>
    </row>
    <row r="41257" spans="191:191" x14ac:dyDescent="0.2">
      <c r="GI41257" s="422"/>
    </row>
    <row r="41258" spans="191:191" x14ac:dyDescent="0.2">
      <c r="GI41258" s="422"/>
    </row>
    <row r="41259" spans="191:191" x14ac:dyDescent="0.2">
      <c r="GI41259" s="422"/>
    </row>
    <row r="41260" spans="191:191" x14ac:dyDescent="0.2">
      <c r="GI41260" s="422"/>
    </row>
    <row r="41261" spans="191:191" x14ac:dyDescent="0.2">
      <c r="GI41261" s="422"/>
    </row>
    <row r="41262" spans="191:191" x14ac:dyDescent="0.2">
      <c r="GI41262" s="422"/>
    </row>
    <row r="41263" spans="191:191" x14ac:dyDescent="0.2">
      <c r="GI41263" s="422"/>
    </row>
    <row r="41264" spans="191:191" x14ac:dyDescent="0.2">
      <c r="GI41264" s="422"/>
    </row>
    <row r="41265" spans="191:191" x14ac:dyDescent="0.2">
      <c r="GI41265" s="422"/>
    </row>
    <row r="41266" spans="191:191" x14ac:dyDescent="0.2">
      <c r="GI41266" s="422"/>
    </row>
    <row r="41267" spans="191:191" x14ac:dyDescent="0.2">
      <c r="GI41267" s="422"/>
    </row>
    <row r="41268" spans="191:191" x14ac:dyDescent="0.2">
      <c r="GI41268" s="422"/>
    </row>
    <row r="41269" spans="191:191" x14ac:dyDescent="0.2">
      <c r="GI41269" s="422"/>
    </row>
    <row r="41270" spans="191:191" x14ac:dyDescent="0.2">
      <c r="GI41270" s="422"/>
    </row>
    <row r="41271" spans="191:191" x14ac:dyDescent="0.2">
      <c r="GI41271" s="422"/>
    </row>
    <row r="41272" spans="191:191" x14ac:dyDescent="0.2">
      <c r="GI41272" s="422"/>
    </row>
    <row r="41273" spans="191:191" x14ac:dyDescent="0.2">
      <c r="GI41273" s="422"/>
    </row>
    <row r="41274" spans="191:191" x14ac:dyDescent="0.2">
      <c r="GI41274" s="422"/>
    </row>
    <row r="41275" spans="191:191" x14ac:dyDescent="0.2">
      <c r="GI41275" s="422"/>
    </row>
    <row r="41276" spans="191:191" x14ac:dyDescent="0.2">
      <c r="GI41276" s="422"/>
    </row>
    <row r="41277" spans="191:191" x14ac:dyDescent="0.2">
      <c r="GI41277" s="422"/>
    </row>
    <row r="41278" spans="191:191" x14ac:dyDescent="0.2">
      <c r="GI41278" s="422"/>
    </row>
    <row r="41279" spans="191:191" x14ac:dyDescent="0.2">
      <c r="GI41279" s="422"/>
    </row>
    <row r="41280" spans="191:191" x14ac:dyDescent="0.2">
      <c r="GI41280" s="422"/>
    </row>
    <row r="41281" spans="191:191" x14ac:dyDescent="0.2">
      <c r="GI41281" s="422"/>
    </row>
    <row r="41282" spans="191:191" x14ac:dyDescent="0.2">
      <c r="GI41282" s="422"/>
    </row>
    <row r="41283" spans="191:191" x14ac:dyDescent="0.2">
      <c r="GI41283" s="422"/>
    </row>
    <row r="41284" spans="191:191" x14ac:dyDescent="0.2">
      <c r="GI41284" s="422"/>
    </row>
    <row r="41285" spans="191:191" x14ac:dyDescent="0.2">
      <c r="GI41285" s="422"/>
    </row>
    <row r="41286" spans="191:191" x14ac:dyDescent="0.2">
      <c r="GI41286" s="422"/>
    </row>
    <row r="41287" spans="191:191" x14ac:dyDescent="0.2">
      <c r="GI41287" s="422"/>
    </row>
    <row r="41288" spans="191:191" x14ac:dyDescent="0.2">
      <c r="GI41288" s="422"/>
    </row>
    <row r="41289" spans="191:191" x14ac:dyDescent="0.2">
      <c r="GI41289" s="422"/>
    </row>
    <row r="41290" spans="191:191" x14ac:dyDescent="0.2">
      <c r="GI41290" s="422"/>
    </row>
    <row r="41291" spans="191:191" x14ac:dyDescent="0.2">
      <c r="GI41291" s="422"/>
    </row>
    <row r="41292" spans="191:191" x14ac:dyDescent="0.2">
      <c r="GI41292" s="422"/>
    </row>
    <row r="41293" spans="191:191" x14ac:dyDescent="0.2">
      <c r="GI41293" s="422"/>
    </row>
    <row r="41294" spans="191:191" x14ac:dyDescent="0.2">
      <c r="GI41294" s="422"/>
    </row>
    <row r="41295" spans="191:191" x14ac:dyDescent="0.2">
      <c r="GI41295" s="422"/>
    </row>
    <row r="41296" spans="191:191" x14ac:dyDescent="0.2">
      <c r="GI41296" s="422"/>
    </row>
    <row r="41297" spans="191:191" x14ac:dyDescent="0.2">
      <c r="GI41297" s="422"/>
    </row>
    <row r="41298" spans="191:191" x14ac:dyDescent="0.2">
      <c r="GI41298" s="422"/>
    </row>
    <row r="41299" spans="191:191" x14ac:dyDescent="0.2">
      <c r="GI41299" s="422"/>
    </row>
    <row r="41300" spans="191:191" x14ac:dyDescent="0.2">
      <c r="GI41300" s="422"/>
    </row>
    <row r="41301" spans="191:191" x14ac:dyDescent="0.2">
      <c r="GI41301" s="422"/>
    </row>
    <row r="41302" spans="191:191" x14ac:dyDescent="0.2">
      <c r="GI41302" s="422"/>
    </row>
    <row r="41303" spans="191:191" x14ac:dyDescent="0.2">
      <c r="GI41303" s="422"/>
    </row>
    <row r="41304" spans="191:191" x14ac:dyDescent="0.2">
      <c r="GI41304" s="422"/>
    </row>
    <row r="41305" spans="191:191" x14ac:dyDescent="0.2">
      <c r="GI41305" s="422"/>
    </row>
    <row r="41306" spans="191:191" x14ac:dyDescent="0.2">
      <c r="GI41306" s="422"/>
    </row>
    <row r="41307" spans="191:191" x14ac:dyDescent="0.2">
      <c r="GI41307" s="422"/>
    </row>
    <row r="41308" spans="191:191" x14ac:dyDescent="0.2">
      <c r="GI41308" s="422"/>
    </row>
    <row r="41309" spans="191:191" x14ac:dyDescent="0.2">
      <c r="GI41309" s="422"/>
    </row>
    <row r="41310" spans="191:191" x14ac:dyDescent="0.2">
      <c r="GI41310" s="422"/>
    </row>
    <row r="41311" spans="191:191" x14ac:dyDescent="0.2">
      <c r="GI41311" s="422"/>
    </row>
    <row r="41312" spans="191:191" x14ac:dyDescent="0.2">
      <c r="GI41312" s="422"/>
    </row>
    <row r="41313" spans="191:191" x14ac:dyDescent="0.2">
      <c r="GI41313" s="422"/>
    </row>
    <row r="41314" spans="191:191" x14ac:dyDescent="0.2">
      <c r="GI41314" s="422"/>
    </row>
    <row r="41315" spans="191:191" x14ac:dyDescent="0.2">
      <c r="GI41315" s="422"/>
    </row>
    <row r="41316" spans="191:191" x14ac:dyDescent="0.2">
      <c r="GI41316" s="422"/>
    </row>
    <row r="41317" spans="191:191" x14ac:dyDescent="0.2">
      <c r="GI41317" s="422"/>
    </row>
    <row r="41318" spans="191:191" x14ac:dyDescent="0.2">
      <c r="GI41318" s="422"/>
    </row>
    <row r="41319" spans="191:191" x14ac:dyDescent="0.2">
      <c r="GI41319" s="422"/>
    </row>
    <row r="41320" spans="191:191" x14ac:dyDescent="0.2">
      <c r="GI41320" s="422"/>
    </row>
    <row r="41321" spans="191:191" x14ac:dyDescent="0.2">
      <c r="GI41321" s="422"/>
    </row>
    <row r="41322" spans="191:191" x14ac:dyDescent="0.2">
      <c r="GI41322" s="422"/>
    </row>
    <row r="41323" spans="191:191" x14ac:dyDescent="0.2">
      <c r="GI41323" s="422"/>
    </row>
    <row r="41324" spans="191:191" x14ac:dyDescent="0.2">
      <c r="GI41324" s="422"/>
    </row>
    <row r="41325" spans="191:191" x14ac:dyDescent="0.2">
      <c r="GI41325" s="422"/>
    </row>
    <row r="41326" spans="191:191" x14ac:dyDescent="0.2">
      <c r="GI41326" s="422"/>
    </row>
    <row r="41327" spans="191:191" x14ac:dyDescent="0.2">
      <c r="GI41327" s="422"/>
    </row>
    <row r="41328" spans="191:191" x14ac:dyDescent="0.2">
      <c r="GI41328" s="422"/>
    </row>
    <row r="41329" spans="191:191" x14ac:dyDescent="0.2">
      <c r="GI41329" s="422"/>
    </row>
    <row r="41330" spans="191:191" x14ac:dyDescent="0.2">
      <c r="GI41330" s="422"/>
    </row>
    <row r="41331" spans="191:191" x14ac:dyDescent="0.2">
      <c r="GI41331" s="422"/>
    </row>
    <row r="41332" spans="191:191" x14ac:dyDescent="0.2">
      <c r="GI41332" s="422"/>
    </row>
    <row r="41333" spans="191:191" x14ac:dyDescent="0.2">
      <c r="GI41333" s="422"/>
    </row>
    <row r="41334" spans="191:191" x14ac:dyDescent="0.2">
      <c r="GI41334" s="422"/>
    </row>
    <row r="41335" spans="191:191" x14ac:dyDescent="0.2">
      <c r="GI41335" s="422"/>
    </row>
    <row r="41336" spans="191:191" x14ac:dyDescent="0.2">
      <c r="GI41336" s="422"/>
    </row>
    <row r="41337" spans="191:191" x14ac:dyDescent="0.2">
      <c r="GI41337" s="422"/>
    </row>
    <row r="41338" spans="191:191" x14ac:dyDescent="0.2">
      <c r="GI41338" s="422"/>
    </row>
    <row r="41339" spans="191:191" x14ac:dyDescent="0.2">
      <c r="GI41339" s="422"/>
    </row>
    <row r="41340" spans="191:191" x14ac:dyDescent="0.2">
      <c r="GI41340" s="422"/>
    </row>
    <row r="41341" spans="191:191" x14ac:dyDescent="0.2">
      <c r="GI41341" s="422"/>
    </row>
    <row r="41342" spans="191:191" x14ac:dyDescent="0.2">
      <c r="GI41342" s="422"/>
    </row>
    <row r="41343" spans="191:191" x14ac:dyDescent="0.2">
      <c r="GI41343" s="422"/>
    </row>
    <row r="41344" spans="191:191" x14ac:dyDescent="0.2">
      <c r="GI41344" s="422"/>
    </row>
    <row r="41345" spans="191:191" x14ac:dyDescent="0.2">
      <c r="GI41345" s="422"/>
    </row>
    <row r="41346" spans="191:191" x14ac:dyDescent="0.2">
      <c r="GI41346" s="422"/>
    </row>
    <row r="41347" spans="191:191" x14ac:dyDescent="0.2">
      <c r="GI41347" s="422"/>
    </row>
    <row r="41348" spans="191:191" x14ac:dyDescent="0.2">
      <c r="GI41348" s="422"/>
    </row>
    <row r="41349" spans="191:191" x14ac:dyDescent="0.2">
      <c r="GI41349" s="422"/>
    </row>
    <row r="41350" spans="191:191" x14ac:dyDescent="0.2">
      <c r="GI41350" s="422"/>
    </row>
    <row r="41351" spans="191:191" x14ac:dyDescent="0.2">
      <c r="GI41351" s="422"/>
    </row>
    <row r="41352" spans="191:191" x14ac:dyDescent="0.2">
      <c r="GI41352" s="422"/>
    </row>
    <row r="41353" spans="191:191" x14ac:dyDescent="0.2">
      <c r="GI41353" s="422"/>
    </row>
    <row r="41354" spans="191:191" x14ac:dyDescent="0.2">
      <c r="GI41354" s="422"/>
    </row>
    <row r="41355" spans="191:191" x14ac:dyDescent="0.2">
      <c r="GI41355" s="422"/>
    </row>
    <row r="41356" spans="191:191" x14ac:dyDescent="0.2">
      <c r="GI41356" s="422"/>
    </row>
    <row r="41357" spans="191:191" x14ac:dyDescent="0.2">
      <c r="GI41357" s="422"/>
    </row>
    <row r="41358" spans="191:191" x14ac:dyDescent="0.2">
      <c r="GI41358" s="422"/>
    </row>
    <row r="41359" spans="191:191" x14ac:dyDescent="0.2">
      <c r="GI41359" s="422"/>
    </row>
    <row r="41360" spans="191:191" x14ac:dyDescent="0.2">
      <c r="GI41360" s="422"/>
    </row>
    <row r="41361" spans="191:191" x14ac:dyDescent="0.2">
      <c r="GI41361" s="422"/>
    </row>
    <row r="41362" spans="191:191" x14ac:dyDescent="0.2">
      <c r="GI41362" s="422"/>
    </row>
    <row r="41363" spans="191:191" x14ac:dyDescent="0.2">
      <c r="GI41363" s="422"/>
    </row>
    <row r="41364" spans="191:191" x14ac:dyDescent="0.2">
      <c r="GI41364" s="422"/>
    </row>
    <row r="41365" spans="191:191" x14ac:dyDescent="0.2">
      <c r="GI41365" s="422"/>
    </row>
    <row r="41366" spans="191:191" x14ac:dyDescent="0.2">
      <c r="GI41366" s="422"/>
    </row>
    <row r="41367" spans="191:191" x14ac:dyDescent="0.2">
      <c r="GI41367" s="422"/>
    </row>
    <row r="41368" spans="191:191" x14ac:dyDescent="0.2">
      <c r="GI41368" s="422"/>
    </row>
    <row r="41369" spans="191:191" x14ac:dyDescent="0.2">
      <c r="GI41369" s="422"/>
    </row>
    <row r="41370" spans="191:191" x14ac:dyDescent="0.2">
      <c r="GI41370" s="422"/>
    </row>
    <row r="41371" spans="191:191" x14ac:dyDescent="0.2">
      <c r="GI41371" s="422"/>
    </row>
    <row r="41372" spans="191:191" x14ac:dyDescent="0.2">
      <c r="GI41372" s="422"/>
    </row>
    <row r="41373" spans="191:191" x14ac:dyDescent="0.2">
      <c r="GI41373" s="422"/>
    </row>
    <row r="41374" spans="191:191" x14ac:dyDescent="0.2">
      <c r="GI41374" s="422"/>
    </row>
    <row r="41375" spans="191:191" x14ac:dyDescent="0.2">
      <c r="GI41375" s="422"/>
    </row>
    <row r="41376" spans="191:191" x14ac:dyDescent="0.2">
      <c r="GI41376" s="422"/>
    </row>
    <row r="41377" spans="191:191" x14ac:dyDescent="0.2">
      <c r="GI41377" s="422"/>
    </row>
    <row r="41378" spans="191:191" x14ac:dyDescent="0.2">
      <c r="GI41378" s="422"/>
    </row>
    <row r="41379" spans="191:191" x14ac:dyDescent="0.2">
      <c r="GI41379" s="422"/>
    </row>
    <row r="41380" spans="191:191" x14ac:dyDescent="0.2">
      <c r="GI41380" s="422"/>
    </row>
    <row r="41381" spans="191:191" x14ac:dyDescent="0.2">
      <c r="GI41381" s="422"/>
    </row>
    <row r="41382" spans="191:191" x14ac:dyDescent="0.2">
      <c r="GI41382" s="422"/>
    </row>
    <row r="41383" spans="191:191" x14ac:dyDescent="0.2">
      <c r="GI41383" s="422"/>
    </row>
    <row r="41384" spans="191:191" x14ac:dyDescent="0.2">
      <c r="GI41384" s="422"/>
    </row>
    <row r="41385" spans="191:191" x14ac:dyDescent="0.2">
      <c r="GI41385" s="422"/>
    </row>
    <row r="41386" spans="191:191" x14ac:dyDescent="0.2">
      <c r="GI41386" s="422"/>
    </row>
    <row r="41387" spans="191:191" x14ac:dyDescent="0.2">
      <c r="GI41387" s="422"/>
    </row>
    <row r="41388" spans="191:191" x14ac:dyDescent="0.2">
      <c r="GI41388" s="422"/>
    </row>
    <row r="41389" spans="191:191" x14ac:dyDescent="0.2">
      <c r="GI41389" s="422"/>
    </row>
    <row r="41390" spans="191:191" x14ac:dyDescent="0.2">
      <c r="GI41390" s="422"/>
    </row>
    <row r="41391" spans="191:191" x14ac:dyDescent="0.2">
      <c r="GI41391" s="422"/>
    </row>
    <row r="41392" spans="191:191" x14ac:dyDescent="0.2">
      <c r="GI41392" s="422"/>
    </row>
    <row r="41393" spans="191:191" x14ac:dyDescent="0.2">
      <c r="GI41393" s="422"/>
    </row>
    <row r="41394" spans="191:191" x14ac:dyDescent="0.2">
      <c r="GI41394" s="422"/>
    </row>
    <row r="41395" spans="191:191" x14ac:dyDescent="0.2">
      <c r="GI41395" s="422"/>
    </row>
    <row r="41396" spans="191:191" x14ac:dyDescent="0.2">
      <c r="GI41396" s="422"/>
    </row>
    <row r="41397" spans="191:191" x14ac:dyDescent="0.2">
      <c r="GI41397" s="422"/>
    </row>
    <row r="41398" spans="191:191" x14ac:dyDescent="0.2">
      <c r="GI41398" s="422"/>
    </row>
    <row r="41399" spans="191:191" x14ac:dyDescent="0.2">
      <c r="GI41399" s="422"/>
    </row>
    <row r="41400" spans="191:191" x14ac:dyDescent="0.2">
      <c r="GI41400" s="422"/>
    </row>
    <row r="41401" spans="191:191" x14ac:dyDescent="0.2">
      <c r="GI41401" s="422"/>
    </row>
    <row r="41402" spans="191:191" x14ac:dyDescent="0.2">
      <c r="GI41402" s="422"/>
    </row>
    <row r="41403" spans="191:191" x14ac:dyDescent="0.2">
      <c r="GI41403" s="422"/>
    </row>
    <row r="41404" spans="191:191" x14ac:dyDescent="0.2">
      <c r="GI41404" s="422"/>
    </row>
    <row r="41405" spans="191:191" x14ac:dyDescent="0.2">
      <c r="GI41405" s="422"/>
    </row>
    <row r="41406" spans="191:191" x14ac:dyDescent="0.2">
      <c r="GI41406" s="422"/>
    </row>
    <row r="41407" spans="191:191" x14ac:dyDescent="0.2">
      <c r="GI41407" s="422"/>
    </row>
    <row r="41408" spans="191:191" x14ac:dyDescent="0.2">
      <c r="GI41408" s="422"/>
    </row>
    <row r="41409" spans="191:191" x14ac:dyDescent="0.2">
      <c r="GI41409" s="422"/>
    </row>
    <row r="41410" spans="191:191" x14ac:dyDescent="0.2">
      <c r="GI41410" s="422"/>
    </row>
    <row r="41411" spans="191:191" x14ac:dyDescent="0.2">
      <c r="GI41411" s="422"/>
    </row>
    <row r="41412" spans="191:191" x14ac:dyDescent="0.2">
      <c r="GI41412" s="422"/>
    </row>
    <row r="41413" spans="191:191" x14ac:dyDescent="0.2">
      <c r="GI41413" s="422"/>
    </row>
    <row r="41414" spans="191:191" x14ac:dyDescent="0.2">
      <c r="GI41414" s="422"/>
    </row>
    <row r="41415" spans="191:191" x14ac:dyDescent="0.2">
      <c r="GI41415" s="422"/>
    </row>
    <row r="41416" spans="191:191" x14ac:dyDescent="0.2">
      <c r="GI41416" s="422"/>
    </row>
    <row r="41417" spans="191:191" x14ac:dyDescent="0.2">
      <c r="GI41417" s="422"/>
    </row>
    <row r="41418" spans="191:191" x14ac:dyDescent="0.2">
      <c r="GI41418" s="422"/>
    </row>
    <row r="41419" spans="191:191" x14ac:dyDescent="0.2">
      <c r="GI41419" s="422"/>
    </row>
    <row r="41420" spans="191:191" x14ac:dyDescent="0.2">
      <c r="GI41420" s="422"/>
    </row>
    <row r="41421" spans="191:191" x14ac:dyDescent="0.2">
      <c r="GI41421" s="422"/>
    </row>
    <row r="41422" spans="191:191" x14ac:dyDescent="0.2">
      <c r="GI41422" s="422"/>
    </row>
    <row r="41423" spans="191:191" x14ac:dyDescent="0.2">
      <c r="GI41423" s="422"/>
    </row>
    <row r="41424" spans="191:191" x14ac:dyDescent="0.2">
      <c r="GI41424" s="422"/>
    </row>
    <row r="41425" spans="191:191" x14ac:dyDescent="0.2">
      <c r="GI41425" s="422"/>
    </row>
    <row r="41426" spans="191:191" x14ac:dyDescent="0.2">
      <c r="GI41426" s="422"/>
    </row>
    <row r="41427" spans="191:191" x14ac:dyDescent="0.2">
      <c r="GI41427" s="422"/>
    </row>
    <row r="41428" spans="191:191" x14ac:dyDescent="0.2">
      <c r="GI41428" s="422"/>
    </row>
    <row r="41429" spans="191:191" x14ac:dyDescent="0.2">
      <c r="GI41429" s="422"/>
    </row>
    <row r="41430" spans="191:191" x14ac:dyDescent="0.2">
      <c r="GI41430" s="422"/>
    </row>
    <row r="41431" spans="191:191" x14ac:dyDescent="0.2">
      <c r="GI41431" s="422"/>
    </row>
    <row r="41432" spans="191:191" x14ac:dyDescent="0.2">
      <c r="GI41432" s="422"/>
    </row>
    <row r="41433" spans="191:191" x14ac:dyDescent="0.2">
      <c r="GI41433" s="422"/>
    </row>
    <row r="41434" spans="191:191" x14ac:dyDescent="0.2">
      <c r="GI41434" s="422"/>
    </row>
    <row r="41435" spans="191:191" x14ac:dyDescent="0.2">
      <c r="GI41435" s="422"/>
    </row>
    <row r="41436" spans="191:191" x14ac:dyDescent="0.2">
      <c r="GI41436" s="422"/>
    </row>
    <row r="41437" spans="191:191" x14ac:dyDescent="0.2">
      <c r="GI41437" s="422"/>
    </row>
    <row r="41438" spans="191:191" x14ac:dyDescent="0.2">
      <c r="GI41438" s="422"/>
    </row>
    <row r="41439" spans="191:191" x14ac:dyDescent="0.2">
      <c r="GI41439" s="422"/>
    </row>
    <row r="41440" spans="191:191" x14ac:dyDescent="0.2">
      <c r="GI41440" s="422"/>
    </row>
    <row r="41441" spans="191:191" x14ac:dyDescent="0.2">
      <c r="GI41441" s="422"/>
    </row>
    <row r="41442" spans="191:191" x14ac:dyDescent="0.2">
      <c r="GI41442" s="422"/>
    </row>
    <row r="41443" spans="191:191" x14ac:dyDescent="0.2">
      <c r="GI41443" s="422"/>
    </row>
    <row r="41444" spans="191:191" x14ac:dyDescent="0.2">
      <c r="GI41444" s="422"/>
    </row>
    <row r="41445" spans="191:191" x14ac:dyDescent="0.2">
      <c r="GI41445" s="422"/>
    </row>
    <row r="41446" spans="191:191" x14ac:dyDescent="0.2">
      <c r="GI41446" s="422"/>
    </row>
    <row r="41447" spans="191:191" x14ac:dyDescent="0.2">
      <c r="GI41447" s="422"/>
    </row>
    <row r="41448" spans="191:191" x14ac:dyDescent="0.2">
      <c r="GI41448" s="422"/>
    </row>
    <row r="41449" spans="191:191" x14ac:dyDescent="0.2">
      <c r="GI41449" s="422"/>
    </row>
    <row r="41450" spans="191:191" x14ac:dyDescent="0.2">
      <c r="GI41450" s="422"/>
    </row>
    <row r="41451" spans="191:191" x14ac:dyDescent="0.2">
      <c r="GI41451" s="422"/>
    </row>
    <row r="41452" spans="191:191" x14ac:dyDescent="0.2">
      <c r="GI41452" s="422"/>
    </row>
    <row r="41453" spans="191:191" x14ac:dyDescent="0.2">
      <c r="GI41453" s="422"/>
    </row>
    <row r="41454" spans="191:191" x14ac:dyDescent="0.2">
      <c r="GI41454" s="422"/>
    </row>
    <row r="41455" spans="191:191" x14ac:dyDescent="0.2">
      <c r="GI41455" s="422"/>
    </row>
    <row r="41456" spans="191:191" x14ac:dyDescent="0.2">
      <c r="GI41456" s="422"/>
    </row>
    <row r="41457" spans="191:191" x14ac:dyDescent="0.2">
      <c r="GI41457" s="422"/>
    </row>
    <row r="41458" spans="191:191" x14ac:dyDescent="0.2">
      <c r="GI41458" s="422"/>
    </row>
    <row r="41459" spans="191:191" x14ac:dyDescent="0.2">
      <c r="GI41459" s="422"/>
    </row>
    <row r="41460" spans="191:191" x14ac:dyDescent="0.2">
      <c r="GI41460" s="422"/>
    </row>
    <row r="41461" spans="191:191" x14ac:dyDescent="0.2">
      <c r="GI41461" s="422"/>
    </row>
    <row r="41462" spans="191:191" x14ac:dyDescent="0.2">
      <c r="GI41462" s="422"/>
    </row>
    <row r="41463" spans="191:191" x14ac:dyDescent="0.2">
      <c r="GI41463" s="422"/>
    </row>
    <row r="41464" spans="191:191" x14ac:dyDescent="0.2">
      <c r="GI41464" s="422"/>
    </row>
    <row r="41465" spans="191:191" x14ac:dyDescent="0.2">
      <c r="GI41465" s="422"/>
    </row>
    <row r="41466" spans="191:191" x14ac:dyDescent="0.2">
      <c r="GI41466" s="422"/>
    </row>
    <row r="41467" spans="191:191" x14ac:dyDescent="0.2">
      <c r="GI41467" s="422"/>
    </row>
    <row r="41468" spans="191:191" x14ac:dyDescent="0.2">
      <c r="GI41468" s="422"/>
    </row>
    <row r="41469" spans="191:191" x14ac:dyDescent="0.2">
      <c r="GI41469" s="422"/>
    </row>
    <row r="41470" spans="191:191" x14ac:dyDescent="0.2">
      <c r="GI41470" s="422"/>
    </row>
    <row r="41471" spans="191:191" x14ac:dyDescent="0.2">
      <c r="GI41471" s="422"/>
    </row>
    <row r="41472" spans="191:191" x14ac:dyDescent="0.2">
      <c r="GI41472" s="422"/>
    </row>
    <row r="41473" spans="191:191" x14ac:dyDescent="0.2">
      <c r="GI41473" s="422"/>
    </row>
    <row r="41474" spans="191:191" x14ac:dyDescent="0.2">
      <c r="GI41474" s="422"/>
    </row>
    <row r="41475" spans="191:191" x14ac:dyDescent="0.2">
      <c r="GI41475" s="422"/>
    </row>
    <row r="41476" spans="191:191" x14ac:dyDescent="0.2">
      <c r="GI41476" s="422"/>
    </row>
    <row r="41477" spans="191:191" x14ac:dyDescent="0.2">
      <c r="GI41477" s="422"/>
    </row>
    <row r="41478" spans="191:191" x14ac:dyDescent="0.2">
      <c r="GI41478" s="422"/>
    </row>
    <row r="41479" spans="191:191" x14ac:dyDescent="0.2">
      <c r="GI41479" s="422"/>
    </row>
    <row r="41480" spans="191:191" x14ac:dyDescent="0.2">
      <c r="GI41480" s="422"/>
    </row>
    <row r="41481" spans="191:191" x14ac:dyDescent="0.2">
      <c r="GI41481" s="422"/>
    </row>
    <row r="41482" spans="191:191" x14ac:dyDescent="0.2">
      <c r="GI41482" s="422"/>
    </row>
    <row r="41483" spans="191:191" x14ac:dyDescent="0.2">
      <c r="GI41483" s="422"/>
    </row>
    <row r="41484" spans="191:191" x14ac:dyDescent="0.2">
      <c r="GI41484" s="422"/>
    </row>
    <row r="41485" spans="191:191" x14ac:dyDescent="0.2">
      <c r="GI41485" s="422"/>
    </row>
    <row r="41486" spans="191:191" x14ac:dyDescent="0.2">
      <c r="GI41486" s="422"/>
    </row>
    <row r="41487" spans="191:191" x14ac:dyDescent="0.2">
      <c r="GI41487" s="422"/>
    </row>
    <row r="41488" spans="191:191" x14ac:dyDescent="0.2">
      <c r="GI41488" s="422"/>
    </row>
    <row r="41489" spans="191:191" x14ac:dyDescent="0.2">
      <c r="GI41489" s="422"/>
    </row>
    <row r="41490" spans="191:191" x14ac:dyDescent="0.2">
      <c r="GI41490" s="422"/>
    </row>
    <row r="41491" spans="191:191" x14ac:dyDescent="0.2">
      <c r="GI41491" s="422"/>
    </row>
    <row r="41492" spans="191:191" x14ac:dyDescent="0.2">
      <c r="GI41492" s="422"/>
    </row>
    <row r="41493" spans="191:191" x14ac:dyDescent="0.2">
      <c r="GI41493" s="422"/>
    </row>
    <row r="41494" spans="191:191" x14ac:dyDescent="0.2">
      <c r="GI41494" s="422"/>
    </row>
    <row r="41495" spans="191:191" x14ac:dyDescent="0.2">
      <c r="GI41495" s="422"/>
    </row>
    <row r="41496" spans="191:191" x14ac:dyDescent="0.2">
      <c r="GI41496" s="422"/>
    </row>
    <row r="41497" spans="191:191" x14ac:dyDescent="0.2">
      <c r="GI41497" s="422"/>
    </row>
    <row r="41498" spans="191:191" x14ac:dyDescent="0.2">
      <c r="GI41498" s="422"/>
    </row>
    <row r="41499" spans="191:191" x14ac:dyDescent="0.2">
      <c r="GI41499" s="422"/>
    </row>
    <row r="41500" spans="191:191" x14ac:dyDescent="0.2">
      <c r="GI41500" s="422"/>
    </row>
    <row r="41501" spans="191:191" x14ac:dyDescent="0.2">
      <c r="GI41501" s="422"/>
    </row>
    <row r="41502" spans="191:191" x14ac:dyDescent="0.2">
      <c r="GI41502" s="422"/>
    </row>
    <row r="41503" spans="191:191" x14ac:dyDescent="0.2">
      <c r="GI41503" s="422"/>
    </row>
    <row r="41504" spans="191:191" x14ac:dyDescent="0.2">
      <c r="GI41504" s="422"/>
    </row>
    <row r="41505" spans="191:191" x14ac:dyDescent="0.2">
      <c r="GI41505" s="422"/>
    </row>
    <row r="41506" spans="191:191" x14ac:dyDescent="0.2">
      <c r="GI41506" s="422"/>
    </row>
    <row r="41507" spans="191:191" x14ac:dyDescent="0.2">
      <c r="GI41507" s="422"/>
    </row>
    <row r="41508" spans="191:191" x14ac:dyDescent="0.2">
      <c r="GI41508" s="422"/>
    </row>
    <row r="41509" spans="191:191" x14ac:dyDescent="0.2">
      <c r="GI41509" s="422"/>
    </row>
    <row r="41510" spans="191:191" x14ac:dyDescent="0.2">
      <c r="GI41510" s="422"/>
    </row>
    <row r="41511" spans="191:191" x14ac:dyDescent="0.2">
      <c r="GI41511" s="422"/>
    </row>
    <row r="41512" spans="191:191" x14ac:dyDescent="0.2">
      <c r="GI41512" s="422"/>
    </row>
    <row r="41513" spans="191:191" x14ac:dyDescent="0.2">
      <c r="GI41513" s="422"/>
    </row>
    <row r="41514" spans="191:191" x14ac:dyDescent="0.2">
      <c r="GI41514" s="422"/>
    </row>
    <row r="41515" spans="191:191" x14ac:dyDescent="0.2">
      <c r="GI41515" s="422"/>
    </row>
    <row r="41516" spans="191:191" x14ac:dyDescent="0.2">
      <c r="GI41516" s="422"/>
    </row>
    <row r="41517" spans="191:191" x14ac:dyDescent="0.2">
      <c r="GI41517" s="422"/>
    </row>
    <row r="41518" spans="191:191" x14ac:dyDescent="0.2">
      <c r="GI41518" s="422"/>
    </row>
    <row r="41519" spans="191:191" x14ac:dyDescent="0.2">
      <c r="GI41519" s="422"/>
    </row>
    <row r="41520" spans="191:191" x14ac:dyDescent="0.2">
      <c r="GI41520" s="422"/>
    </row>
    <row r="41521" spans="191:191" x14ac:dyDescent="0.2">
      <c r="GI41521" s="422"/>
    </row>
    <row r="41522" spans="191:191" x14ac:dyDescent="0.2">
      <c r="GI41522" s="422"/>
    </row>
    <row r="41523" spans="191:191" x14ac:dyDescent="0.2">
      <c r="GI41523" s="422"/>
    </row>
    <row r="41524" spans="191:191" x14ac:dyDescent="0.2">
      <c r="GI41524" s="422"/>
    </row>
    <row r="41525" spans="191:191" x14ac:dyDescent="0.2">
      <c r="GI41525" s="422"/>
    </row>
    <row r="41526" spans="191:191" x14ac:dyDescent="0.2">
      <c r="GI41526" s="422"/>
    </row>
    <row r="41527" spans="191:191" x14ac:dyDescent="0.2">
      <c r="GI41527" s="422"/>
    </row>
    <row r="41528" spans="191:191" x14ac:dyDescent="0.2">
      <c r="GI41528" s="422"/>
    </row>
    <row r="41529" spans="191:191" x14ac:dyDescent="0.2">
      <c r="GI41529" s="422"/>
    </row>
    <row r="41530" spans="191:191" x14ac:dyDescent="0.2">
      <c r="GI41530" s="422"/>
    </row>
    <row r="41531" spans="191:191" x14ac:dyDescent="0.2">
      <c r="GI41531" s="422"/>
    </row>
    <row r="41532" spans="191:191" x14ac:dyDescent="0.2">
      <c r="GI41532" s="422"/>
    </row>
    <row r="41533" spans="191:191" x14ac:dyDescent="0.2">
      <c r="GI41533" s="422"/>
    </row>
    <row r="41534" spans="191:191" x14ac:dyDescent="0.2">
      <c r="GI41534" s="422"/>
    </row>
    <row r="41535" spans="191:191" x14ac:dyDescent="0.2">
      <c r="GI41535" s="422"/>
    </row>
    <row r="41536" spans="191:191" x14ac:dyDescent="0.2">
      <c r="GI41536" s="422"/>
    </row>
    <row r="41537" spans="191:191" x14ac:dyDescent="0.2">
      <c r="GI41537" s="422"/>
    </row>
    <row r="41538" spans="191:191" x14ac:dyDescent="0.2">
      <c r="GI41538" s="422"/>
    </row>
    <row r="41539" spans="191:191" x14ac:dyDescent="0.2">
      <c r="GI41539" s="422"/>
    </row>
    <row r="41540" spans="191:191" x14ac:dyDescent="0.2">
      <c r="GI41540" s="422"/>
    </row>
    <row r="41541" spans="191:191" x14ac:dyDescent="0.2">
      <c r="GI41541" s="422"/>
    </row>
    <row r="41542" spans="191:191" x14ac:dyDescent="0.2">
      <c r="GI41542" s="422"/>
    </row>
    <row r="41543" spans="191:191" x14ac:dyDescent="0.2">
      <c r="GI41543" s="422"/>
    </row>
    <row r="41544" spans="191:191" x14ac:dyDescent="0.2">
      <c r="GI41544" s="422"/>
    </row>
    <row r="41545" spans="191:191" x14ac:dyDescent="0.2">
      <c r="GI41545" s="422"/>
    </row>
    <row r="41546" spans="191:191" x14ac:dyDescent="0.2">
      <c r="GI41546" s="422"/>
    </row>
    <row r="41547" spans="191:191" x14ac:dyDescent="0.2">
      <c r="GI41547" s="422"/>
    </row>
    <row r="41548" spans="191:191" x14ac:dyDescent="0.2">
      <c r="GI41548" s="422"/>
    </row>
    <row r="41549" spans="191:191" x14ac:dyDescent="0.2">
      <c r="GI41549" s="422"/>
    </row>
    <row r="41550" spans="191:191" x14ac:dyDescent="0.2">
      <c r="GI41550" s="422"/>
    </row>
    <row r="41551" spans="191:191" x14ac:dyDescent="0.2">
      <c r="GI41551" s="422"/>
    </row>
    <row r="41552" spans="191:191" x14ac:dyDescent="0.2">
      <c r="GI41552" s="422"/>
    </row>
    <row r="41553" spans="191:191" x14ac:dyDescent="0.2">
      <c r="GI41553" s="422"/>
    </row>
    <row r="41554" spans="191:191" x14ac:dyDescent="0.2">
      <c r="GI41554" s="422"/>
    </row>
    <row r="41555" spans="191:191" x14ac:dyDescent="0.2">
      <c r="GI41555" s="422"/>
    </row>
    <row r="41556" spans="191:191" x14ac:dyDescent="0.2">
      <c r="GI41556" s="422"/>
    </row>
    <row r="41557" spans="191:191" x14ac:dyDescent="0.2">
      <c r="GI41557" s="422"/>
    </row>
    <row r="41558" spans="191:191" x14ac:dyDescent="0.2">
      <c r="GI41558" s="422"/>
    </row>
    <row r="41559" spans="191:191" x14ac:dyDescent="0.2">
      <c r="GI41559" s="422"/>
    </row>
    <row r="41560" spans="191:191" x14ac:dyDescent="0.2">
      <c r="GI41560" s="422"/>
    </row>
    <row r="41561" spans="191:191" x14ac:dyDescent="0.2">
      <c r="GI41561" s="422"/>
    </row>
    <row r="41562" spans="191:191" x14ac:dyDescent="0.2">
      <c r="GI41562" s="422"/>
    </row>
    <row r="41563" spans="191:191" x14ac:dyDescent="0.2">
      <c r="GI41563" s="422"/>
    </row>
    <row r="41564" spans="191:191" x14ac:dyDescent="0.2">
      <c r="GI41564" s="422"/>
    </row>
    <row r="41565" spans="191:191" x14ac:dyDescent="0.2">
      <c r="GI41565" s="422"/>
    </row>
    <row r="41566" spans="191:191" x14ac:dyDescent="0.2">
      <c r="GI41566" s="422"/>
    </row>
    <row r="41567" spans="191:191" x14ac:dyDescent="0.2">
      <c r="GI41567" s="422"/>
    </row>
    <row r="41568" spans="191:191" x14ac:dyDescent="0.2">
      <c r="GI41568" s="422"/>
    </row>
    <row r="41569" spans="191:191" x14ac:dyDescent="0.2">
      <c r="GI41569" s="422"/>
    </row>
    <row r="41570" spans="191:191" x14ac:dyDescent="0.2">
      <c r="GI41570" s="422"/>
    </row>
    <row r="41571" spans="191:191" x14ac:dyDescent="0.2">
      <c r="GI41571" s="422"/>
    </row>
    <row r="41572" spans="191:191" x14ac:dyDescent="0.2">
      <c r="GI41572" s="422"/>
    </row>
    <row r="41573" spans="191:191" x14ac:dyDescent="0.2">
      <c r="GI41573" s="422"/>
    </row>
    <row r="41574" spans="191:191" x14ac:dyDescent="0.2">
      <c r="GI41574" s="422"/>
    </row>
    <row r="41575" spans="191:191" x14ac:dyDescent="0.2">
      <c r="GI41575" s="422"/>
    </row>
    <row r="41576" spans="191:191" x14ac:dyDescent="0.2">
      <c r="GI41576" s="422"/>
    </row>
    <row r="41577" spans="191:191" x14ac:dyDescent="0.2">
      <c r="GI41577" s="422"/>
    </row>
    <row r="41578" spans="191:191" x14ac:dyDescent="0.2">
      <c r="GI41578" s="422"/>
    </row>
    <row r="41579" spans="191:191" x14ac:dyDescent="0.2">
      <c r="GI41579" s="422"/>
    </row>
    <row r="41580" spans="191:191" x14ac:dyDescent="0.2">
      <c r="GI41580" s="422"/>
    </row>
    <row r="41581" spans="191:191" x14ac:dyDescent="0.2">
      <c r="GI41581" s="422"/>
    </row>
    <row r="41582" spans="191:191" x14ac:dyDescent="0.2">
      <c r="GI41582" s="422"/>
    </row>
    <row r="41583" spans="191:191" x14ac:dyDescent="0.2">
      <c r="GI41583" s="422"/>
    </row>
    <row r="41584" spans="191:191" x14ac:dyDescent="0.2">
      <c r="GI41584" s="422"/>
    </row>
    <row r="41585" spans="191:191" x14ac:dyDescent="0.2">
      <c r="GI41585" s="422"/>
    </row>
    <row r="41586" spans="191:191" x14ac:dyDescent="0.2">
      <c r="GI41586" s="422"/>
    </row>
    <row r="41587" spans="191:191" x14ac:dyDescent="0.2">
      <c r="GI41587" s="422"/>
    </row>
    <row r="41588" spans="191:191" x14ac:dyDescent="0.2">
      <c r="GI41588" s="422"/>
    </row>
    <row r="41589" spans="191:191" x14ac:dyDescent="0.2">
      <c r="GI41589" s="422"/>
    </row>
    <row r="41590" spans="191:191" x14ac:dyDescent="0.2">
      <c r="GI41590" s="422"/>
    </row>
    <row r="41591" spans="191:191" x14ac:dyDescent="0.2">
      <c r="GI41591" s="422"/>
    </row>
    <row r="41592" spans="191:191" x14ac:dyDescent="0.2">
      <c r="GI41592" s="422"/>
    </row>
    <row r="41593" spans="191:191" x14ac:dyDescent="0.2">
      <c r="GI41593" s="422"/>
    </row>
    <row r="41594" spans="191:191" x14ac:dyDescent="0.2">
      <c r="GI41594" s="422"/>
    </row>
    <row r="41595" spans="191:191" x14ac:dyDescent="0.2">
      <c r="GI41595" s="422"/>
    </row>
    <row r="41596" spans="191:191" x14ac:dyDescent="0.2">
      <c r="GI41596" s="422"/>
    </row>
    <row r="41597" spans="191:191" x14ac:dyDescent="0.2">
      <c r="GI41597" s="422"/>
    </row>
    <row r="41598" spans="191:191" x14ac:dyDescent="0.2">
      <c r="GI41598" s="422"/>
    </row>
    <row r="41599" spans="191:191" x14ac:dyDescent="0.2">
      <c r="GI41599" s="422"/>
    </row>
    <row r="41600" spans="191:191" x14ac:dyDescent="0.2">
      <c r="GI41600" s="422"/>
    </row>
    <row r="41601" spans="191:191" x14ac:dyDescent="0.2">
      <c r="GI41601" s="422"/>
    </row>
    <row r="41602" spans="191:191" x14ac:dyDescent="0.2">
      <c r="GI41602" s="422"/>
    </row>
    <row r="41603" spans="191:191" x14ac:dyDescent="0.2">
      <c r="GI41603" s="422"/>
    </row>
    <row r="41604" spans="191:191" x14ac:dyDescent="0.2">
      <c r="GI41604" s="422"/>
    </row>
    <row r="41605" spans="191:191" x14ac:dyDescent="0.2">
      <c r="GI41605" s="422"/>
    </row>
    <row r="41606" spans="191:191" x14ac:dyDescent="0.2">
      <c r="GI41606" s="422"/>
    </row>
    <row r="41607" spans="191:191" x14ac:dyDescent="0.2">
      <c r="GI41607" s="422"/>
    </row>
    <row r="41608" spans="191:191" x14ac:dyDescent="0.2">
      <c r="GI41608" s="422"/>
    </row>
    <row r="41609" spans="191:191" x14ac:dyDescent="0.2">
      <c r="GI41609" s="422"/>
    </row>
    <row r="41610" spans="191:191" x14ac:dyDescent="0.2">
      <c r="GI41610" s="422"/>
    </row>
    <row r="41611" spans="191:191" x14ac:dyDescent="0.2">
      <c r="GI41611" s="422"/>
    </row>
    <row r="41612" spans="191:191" x14ac:dyDescent="0.2">
      <c r="GI41612" s="422"/>
    </row>
    <row r="41613" spans="191:191" x14ac:dyDescent="0.2">
      <c r="GI41613" s="422"/>
    </row>
    <row r="41614" spans="191:191" x14ac:dyDescent="0.2">
      <c r="GI41614" s="422"/>
    </row>
    <row r="41615" spans="191:191" x14ac:dyDescent="0.2">
      <c r="GI41615" s="422"/>
    </row>
    <row r="41616" spans="191:191" x14ac:dyDescent="0.2">
      <c r="GI41616" s="422"/>
    </row>
    <row r="41617" spans="191:191" x14ac:dyDescent="0.2">
      <c r="GI41617" s="422"/>
    </row>
    <row r="41618" spans="191:191" x14ac:dyDescent="0.2">
      <c r="GI41618" s="422"/>
    </row>
    <row r="41619" spans="191:191" x14ac:dyDescent="0.2">
      <c r="GI41619" s="422"/>
    </row>
    <row r="41620" spans="191:191" x14ac:dyDescent="0.2">
      <c r="GI41620" s="422"/>
    </row>
    <row r="41621" spans="191:191" x14ac:dyDescent="0.2">
      <c r="GI41621" s="422"/>
    </row>
    <row r="41622" spans="191:191" x14ac:dyDescent="0.2">
      <c r="GI41622" s="422"/>
    </row>
    <row r="41623" spans="191:191" x14ac:dyDescent="0.2">
      <c r="GI41623" s="422"/>
    </row>
    <row r="41624" spans="191:191" x14ac:dyDescent="0.2">
      <c r="GI41624" s="422"/>
    </row>
    <row r="41625" spans="191:191" x14ac:dyDescent="0.2">
      <c r="GI41625" s="422"/>
    </row>
    <row r="41626" spans="191:191" x14ac:dyDescent="0.2">
      <c r="GI41626" s="422"/>
    </row>
    <row r="41627" spans="191:191" x14ac:dyDescent="0.2">
      <c r="GI41627" s="422"/>
    </row>
    <row r="41628" spans="191:191" x14ac:dyDescent="0.2">
      <c r="GI41628" s="422"/>
    </row>
    <row r="41629" spans="191:191" x14ac:dyDescent="0.2">
      <c r="GI41629" s="422"/>
    </row>
    <row r="41630" spans="191:191" x14ac:dyDescent="0.2">
      <c r="GI41630" s="422"/>
    </row>
    <row r="41631" spans="191:191" x14ac:dyDescent="0.2">
      <c r="GI41631" s="422"/>
    </row>
    <row r="41632" spans="191:191" x14ac:dyDescent="0.2">
      <c r="GI41632" s="422"/>
    </row>
    <row r="41633" spans="191:191" x14ac:dyDescent="0.2">
      <c r="GI41633" s="422"/>
    </row>
    <row r="41634" spans="191:191" x14ac:dyDescent="0.2">
      <c r="GI41634" s="422"/>
    </row>
    <row r="41635" spans="191:191" x14ac:dyDescent="0.2">
      <c r="GI41635" s="422"/>
    </row>
    <row r="41636" spans="191:191" x14ac:dyDescent="0.2">
      <c r="GI41636" s="422"/>
    </row>
    <row r="41637" spans="191:191" x14ac:dyDescent="0.2">
      <c r="GI41637" s="422"/>
    </row>
    <row r="41638" spans="191:191" x14ac:dyDescent="0.2">
      <c r="GI41638" s="422"/>
    </row>
    <row r="41639" spans="191:191" x14ac:dyDescent="0.2">
      <c r="GI41639" s="422"/>
    </row>
    <row r="41640" spans="191:191" x14ac:dyDescent="0.2">
      <c r="GI41640" s="422"/>
    </row>
    <row r="41641" spans="191:191" x14ac:dyDescent="0.2">
      <c r="GI41641" s="422"/>
    </row>
    <row r="41642" spans="191:191" x14ac:dyDescent="0.2">
      <c r="GI41642" s="422"/>
    </row>
    <row r="41643" spans="191:191" x14ac:dyDescent="0.2">
      <c r="GI41643" s="422"/>
    </row>
    <row r="41644" spans="191:191" x14ac:dyDescent="0.2">
      <c r="GI41644" s="422"/>
    </row>
    <row r="41645" spans="191:191" x14ac:dyDescent="0.2">
      <c r="GI41645" s="422"/>
    </row>
    <row r="41646" spans="191:191" x14ac:dyDescent="0.2">
      <c r="GI41646" s="422"/>
    </row>
    <row r="41647" spans="191:191" x14ac:dyDescent="0.2">
      <c r="GI41647" s="422"/>
    </row>
    <row r="41648" spans="191:191" x14ac:dyDescent="0.2">
      <c r="GI41648" s="422"/>
    </row>
    <row r="41649" spans="191:191" x14ac:dyDescent="0.2">
      <c r="GI41649" s="422"/>
    </row>
    <row r="41650" spans="191:191" x14ac:dyDescent="0.2">
      <c r="GI41650" s="422"/>
    </row>
    <row r="41651" spans="191:191" x14ac:dyDescent="0.2">
      <c r="GI41651" s="422"/>
    </row>
    <row r="41652" spans="191:191" x14ac:dyDescent="0.2">
      <c r="GI41652" s="422"/>
    </row>
    <row r="41653" spans="191:191" x14ac:dyDescent="0.2">
      <c r="GI41653" s="422"/>
    </row>
    <row r="41654" spans="191:191" x14ac:dyDescent="0.2">
      <c r="GI41654" s="422"/>
    </row>
    <row r="41655" spans="191:191" x14ac:dyDescent="0.2">
      <c r="GI41655" s="422"/>
    </row>
    <row r="41656" spans="191:191" x14ac:dyDescent="0.2">
      <c r="GI41656" s="422"/>
    </row>
    <row r="41657" spans="191:191" x14ac:dyDescent="0.2">
      <c r="GI41657" s="422"/>
    </row>
    <row r="41658" spans="191:191" x14ac:dyDescent="0.2">
      <c r="GI41658" s="422"/>
    </row>
    <row r="41659" spans="191:191" x14ac:dyDescent="0.2">
      <c r="GI41659" s="422"/>
    </row>
    <row r="41660" spans="191:191" x14ac:dyDescent="0.2">
      <c r="GI41660" s="422"/>
    </row>
    <row r="41661" spans="191:191" x14ac:dyDescent="0.2">
      <c r="GI41661" s="422"/>
    </row>
    <row r="41662" spans="191:191" x14ac:dyDescent="0.2">
      <c r="GI41662" s="422"/>
    </row>
    <row r="41663" spans="191:191" x14ac:dyDescent="0.2">
      <c r="GI41663" s="422"/>
    </row>
    <row r="41664" spans="191:191" x14ac:dyDescent="0.2">
      <c r="GI41664" s="422"/>
    </row>
    <row r="41665" spans="191:191" x14ac:dyDescent="0.2">
      <c r="GI41665" s="422"/>
    </row>
    <row r="41666" spans="191:191" x14ac:dyDescent="0.2">
      <c r="GI41666" s="422"/>
    </row>
    <row r="41667" spans="191:191" x14ac:dyDescent="0.2">
      <c r="GI41667" s="422"/>
    </row>
    <row r="41668" spans="191:191" x14ac:dyDescent="0.2">
      <c r="GI41668" s="422"/>
    </row>
    <row r="41669" spans="191:191" x14ac:dyDescent="0.2">
      <c r="GI41669" s="422"/>
    </row>
    <row r="41670" spans="191:191" x14ac:dyDescent="0.2">
      <c r="GI41670" s="422"/>
    </row>
    <row r="41671" spans="191:191" x14ac:dyDescent="0.2">
      <c r="GI41671" s="422"/>
    </row>
    <row r="41672" spans="191:191" x14ac:dyDescent="0.2">
      <c r="GI41672" s="422"/>
    </row>
    <row r="41673" spans="191:191" x14ac:dyDescent="0.2">
      <c r="GI41673" s="422"/>
    </row>
    <row r="41674" spans="191:191" x14ac:dyDescent="0.2">
      <c r="GI41674" s="422"/>
    </row>
    <row r="41675" spans="191:191" x14ac:dyDescent="0.2">
      <c r="GI41675" s="422"/>
    </row>
    <row r="41676" spans="191:191" x14ac:dyDescent="0.2">
      <c r="GI41676" s="422"/>
    </row>
    <row r="41677" spans="191:191" x14ac:dyDescent="0.2">
      <c r="GI41677" s="422"/>
    </row>
    <row r="41678" spans="191:191" x14ac:dyDescent="0.2">
      <c r="GI41678" s="422"/>
    </row>
    <row r="41679" spans="191:191" x14ac:dyDescent="0.2">
      <c r="GI41679" s="422"/>
    </row>
    <row r="41680" spans="191:191" x14ac:dyDescent="0.2">
      <c r="GI41680" s="422"/>
    </row>
    <row r="41681" spans="191:191" x14ac:dyDescent="0.2">
      <c r="GI41681" s="422"/>
    </row>
    <row r="41682" spans="191:191" x14ac:dyDescent="0.2">
      <c r="GI41682" s="422"/>
    </row>
    <row r="41683" spans="191:191" x14ac:dyDescent="0.2">
      <c r="GI41683" s="422"/>
    </row>
    <row r="41684" spans="191:191" x14ac:dyDescent="0.2">
      <c r="GI41684" s="422"/>
    </row>
    <row r="41685" spans="191:191" x14ac:dyDescent="0.2">
      <c r="GI41685" s="422"/>
    </row>
    <row r="41686" spans="191:191" x14ac:dyDescent="0.2">
      <c r="GI41686" s="422"/>
    </row>
    <row r="41687" spans="191:191" x14ac:dyDescent="0.2">
      <c r="GI41687" s="422"/>
    </row>
    <row r="41688" spans="191:191" x14ac:dyDescent="0.2">
      <c r="GI41688" s="422"/>
    </row>
    <row r="41689" spans="191:191" x14ac:dyDescent="0.2">
      <c r="GI41689" s="422"/>
    </row>
    <row r="41690" spans="191:191" x14ac:dyDescent="0.2">
      <c r="GI41690" s="422"/>
    </row>
    <row r="41691" spans="191:191" x14ac:dyDescent="0.2">
      <c r="GI41691" s="422"/>
    </row>
    <row r="41692" spans="191:191" x14ac:dyDescent="0.2">
      <c r="GI41692" s="422"/>
    </row>
    <row r="41693" spans="191:191" x14ac:dyDescent="0.2">
      <c r="GI41693" s="422"/>
    </row>
    <row r="41694" spans="191:191" x14ac:dyDescent="0.2">
      <c r="GI41694" s="422"/>
    </row>
    <row r="41695" spans="191:191" x14ac:dyDescent="0.2">
      <c r="GI41695" s="422"/>
    </row>
    <row r="41696" spans="191:191" x14ac:dyDescent="0.2">
      <c r="GI41696" s="422"/>
    </row>
    <row r="41697" spans="191:191" x14ac:dyDescent="0.2">
      <c r="GI41697" s="422"/>
    </row>
    <row r="41698" spans="191:191" x14ac:dyDescent="0.2">
      <c r="GI41698" s="422"/>
    </row>
    <row r="41699" spans="191:191" x14ac:dyDescent="0.2">
      <c r="GI41699" s="422"/>
    </row>
    <row r="41700" spans="191:191" x14ac:dyDescent="0.2">
      <c r="GI41700" s="422"/>
    </row>
    <row r="41701" spans="191:191" x14ac:dyDescent="0.2">
      <c r="GI41701" s="422"/>
    </row>
    <row r="41702" spans="191:191" x14ac:dyDescent="0.2">
      <c r="GI41702" s="422"/>
    </row>
    <row r="41703" spans="191:191" x14ac:dyDescent="0.2">
      <c r="GI41703" s="422"/>
    </row>
    <row r="41704" spans="191:191" x14ac:dyDescent="0.2">
      <c r="GI41704" s="422"/>
    </row>
    <row r="41705" spans="191:191" x14ac:dyDescent="0.2">
      <c r="GI41705" s="422"/>
    </row>
    <row r="41706" spans="191:191" x14ac:dyDescent="0.2">
      <c r="GI41706" s="422"/>
    </row>
    <row r="41707" spans="191:191" x14ac:dyDescent="0.2">
      <c r="GI41707" s="422"/>
    </row>
    <row r="41708" spans="191:191" x14ac:dyDescent="0.2">
      <c r="GI41708" s="422"/>
    </row>
    <row r="41709" spans="191:191" x14ac:dyDescent="0.2">
      <c r="GI41709" s="422"/>
    </row>
    <row r="41710" spans="191:191" x14ac:dyDescent="0.2">
      <c r="GI41710" s="422"/>
    </row>
    <row r="41711" spans="191:191" x14ac:dyDescent="0.2">
      <c r="GI41711" s="422"/>
    </row>
    <row r="41712" spans="191:191" x14ac:dyDescent="0.2">
      <c r="GI41712" s="422"/>
    </row>
    <row r="41713" spans="191:191" x14ac:dyDescent="0.2">
      <c r="GI41713" s="422"/>
    </row>
    <row r="41714" spans="191:191" x14ac:dyDescent="0.2">
      <c r="GI41714" s="422"/>
    </row>
    <row r="41715" spans="191:191" x14ac:dyDescent="0.2">
      <c r="GI41715" s="422"/>
    </row>
    <row r="41716" spans="191:191" x14ac:dyDescent="0.2">
      <c r="GI41716" s="422"/>
    </row>
    <row r="41717" spans="191:191" x14ac:dyDescent="0.2">
      <c r="GI41717" s="422"/>
    </row>
    <row r="41718" spans="191:191" x14ac:dyDescent="0.2">
      <c r="GI41718" s="422"/>
    </row>
    <row r="41719" spans="191:191" x14ac:dyDescent="0.2">
      <c r="GI41719" s="422"/>
    </row>
    <row r="41720" spans="191:191" x14ac:dyDescent="0.2">
      <c r="GI41720" s="422"/>
    </row>
    <row r="41721" spans="191:191" x14ac:dyDescent="0.2">
      <c r="GI41721" s="422"/>
    </row>
    <row r="41722" spans="191:191" x14ac:dyDescent="0.2">
      <c r="GI41722" s="422"/>
    </row>
    <row r="41723" spans="191:191" x14ac:dyDescent="0.2">
      <c r="GI41723" s="422"/>
    </row>
    <row r="41724" spans="191:191" x14ac:dyDescent="0.2">
      <c r="GI41724" s="422"/>
    </row>
    <row r="41725" spans="191:191" x14ac:dyDescent="0.2">
      <c r="GI41725" s="422"/>
    </row>
    <row r="41726" spans="191:191" x14ac:dyDescent="0.2">
      <c r="GI41726" s="422"/>
    </row>
    <row r="41727" spans="191:191" x14ac:dyDescent="0.2">
      <c r="GI41727" s="422"/>
    </row>
    <row r="41728" spans="191:191" x14ac:dyDescent="0.2">
      <c r="GI41728" s="422"/>
    </row>
    <row r="41729" spans="191:191" x14ac:dyDescent="0.2">
      <c r="GI41729" s="422"/>
    </row>
    <row r="41730" spans="191:191" x14ac:dyDescent="0.2">
      <c r="GI41730" s="422"/>
    </row>
    <row r="41731" spans="191:191" x14ac:dyDescent="0.2">
      <c r="GI41731" s="422"/>
    </row>
    <row r="41732" spans="191:191" x14ac:dyDescent="0.2">
      <c r="GI41732" s="422"/>
    </row>
    <row r="41733" spans="191:191" x14ac:dyDescent="0.2">
      <c r="GI41733" s="422"/>
    </row>
    <row r="41734" spans="191:191" x14ac:dyDescent="0.2">
      <c r="GI41734" s="422"/>
    </row>
    <row r="41735" spans="191:191" x14ac:dyDescent="0.2">
      <c r="GI41735" s="422"/>
    </row>
    <row r="41736" spans="191:191" x14ac:dyDescent="0.2">
      <c r="GI41736" s="422"/>
    </row>
    <row r="41737" spans="191:191" x14ac:dyDescent="0.2">
      <c r="GI41737" s="422"/>
    </row>
    <row r="41738" spans="191:191" x14ac:dyDescent="0.2">
      <c r="GI41738" s="422"/>
    </row>
    <row r="41739" spans="191:191" x14ac:dyDescent="0.2">
      <c r="GI41739" s="422"/>
    </row>
    <row r="41740" spans="191:191" x14ac:dyDescent="0.2">
      <c r="GI41740" s="422"/>
    </row>
    <row r="41741" spans="191:191" x14ac:dyDescent="0.2">
      <c r="GI41741" s="422"/>
    </row>
    <row r="41742" spans="191:191" x14ac:dyDescent="0.2">
      <c r="GI41742" s="422"/>
    </row>
    <row r="41743" spans="191:191" x14ac:dyDescent="0.2">
      <c r="GI41743" s="422"/>
    </row>
    <row r="41744" spans="191:191" x14ac:dyDescent="0.2">
      <c r="GI41744" s="422"/>
    </row>
    <row r="41745" spans="191:191" x14ac:dyDescent="0.2">
      <c r="GI41745" s="422"/>
    </row>
    <row r="41746" spans="191:191" x14ac:dyDescent="0.2">
      <c r="GI41746" s="422"/>
    </row>
    <row r="41747" spans="191:191" x14ac:dyDescent="0.2">
      <c r="GI41747" s="422"/>
    </row>
    <row r="41748" spans="191:191" x14ac:dyDescent="0.2">
      <c r="GI41748" s="422"/>
    </row>
    <row r="41749" spans="191:191" x14ac:dyDescent="0.2">
      <c r="GI41749" s="422"/>
    </row>
    <row r="41750" spans="191:191" x14ac:dyDescent="0.2">
      <c r="GI41750" s="422"/>
    </row>
    <row r="41751" spans="191:191" x14ac:dyDescent="0.2">
      <c r="GI41751" s="422"/>
    </row>
    <row r="41752" spans="191:191" x14ac:dyDescent="0.2">
      <c r="GI41752" s="422"/>
    </row>
    <row r="41753" spans="191:191" x14ac:dyDescent="0.2">
      <c r="GI41753" s="422"/>
    </row>
    <row r="41754" spans="191:191" x14ac:dyDescent="0.2">
      <c r="GI41754" s="422"/>
    </row>
    <row r="41755" spans="191:191" x14ac:dyDescent="0.2">
      <c r="GI41755" s="422"/>
    </row>
    <row r="41756" spans="191:191" x14ac:dyDescent="0.2">
      <c r="GI41756" s="422"/>
    </row>
    <row r="41757" spans="191:191" x14ac:dyDescent="0.2">
      <c r="GI41757" s="422"/>
    </row>
    <row r="41758" spans="191:191" x14ac:dyDescent="0.2">
      <c r="GI41758" s="422"/>
    </row>
    <row r="41759" spans="191:191" x14ac:dyDescent="0.2">
      <c r="GI41759" s="422"/>
    </row>
    <row r="41760" spans="191:191" x14ac:dyDescent="0.2">
      <c r="GI41760" s="422"/>
    </row>
    <row r="41761" spans="191:191" x14ac:dyDescent="0.2">
      <c r="GI41761" s="422"/>
    </row>
    <row r="41762" spans="191:191" x14ac:dyDescent="0.2">
      <c r="GI41762" s="422"/>
    </row>
    <row r="41763" spans="191:191" x14ac:dyDescent="0.2">
      <c r="GI41763" s="422"/>
    </row>
    <row r="41764" spans="191:191" x14ac:dyDescent="0.2">
      <c r="GI41764" s="422"/>
    </row>
    <row r="41765" spans="191:191" x14ac:dyDescent="0.2">
      <c r="GI41765" s="422"/>
    </row>
    <row r="41766" spans="191:191" x14ac:dyDescent="0.2">
      <c r="GI41766" s="422"/>
    </row>
    <row r="41767" spans="191:191" x14ac:dyDescent="0.2">
      <c r="GI41767" s="422"/>
    </row>
    <row r="41768" spans="191:191" x14ac:dyDescent="0.2">
      <c r="GI41768" s="422"/>
    </row>
    <row r="41769" spans="191:191" x14ac:dyDescent="0.2">
      <c r="GI41769" s="422"/>
    </row>
    <row r="41770" spans="191:191" x14ac:dyDescent="0.2">
      <c r="GI41770" s="422"/>
    </row>
    <row r="41771" spans="191:191" x14ac:dyDescent="0.2">
      <c r="GI41771" s="422"/>
    </row>
    <row r="41772" spans="191:191" x14ac:dyDescent="0.2">
      <c r="GI41772" s="422"/>
    </row>
    <row r="41773" spans="191:191" x14ac:dyDescent="0.2">
      <c r="GI41773" s="422"/>
    </row>
    <row r="41774" spans="191:191" x14ac:dyDescent="0.2">
      <c r="GI41774" s="422"/>
    </row>
    <row r="41775" spans="191:191" x14ac:dyDescent="0.2">
      <c r="GI41775" s="422"/>
    </row>
    <row r="41776" spans="191:191" x14ac:dyDescent="0.2">
      <c r="GI41776" s="422"/>
    </row>
    <row r="41777" spans="191:191" x14ac:dyDescent="0.2">
      <c r="GI41777" s="422"/>
    </row>
    <row r="41778" spans="191:191" x14ac:dyDescent="0.2">
      <c r="GI41778" s="422"/>
    </row>
    <row r="41779" spans="191:191" x14ac:dyDescent="0.2">
      <c r="GI41779" s="422"/>
    </row>
    <row r="41780" spans="191:191" x14ac:dyDescent="0.2">
      <c r="GI41780" s="422"/>
    </row>
    <row r="41781" spans="191:191" x14ac:dyDescent="0.2">
      <c r="GI41781" s="422"/>
    </row>
    <row r="41782" spans="191:191" x14ac:dyDescent="0.2">
      <c r="GI41782" s="422"/>
    </row>
    <row r="41783" spans="191:191" x14ac:dyDescent="0.2">
      <c r="GI41783" s="422"/>
    </row>
    <row r="41784" spans="191:191" x14ac:dyDescent="0.2">
      <c r="GI41784" s="422"/>
    </row>
    <row r="41785" spans="191:191" x14ac:dyDescent="0.2">
      <c r="GI41785" s="422"/>
    </row>
    <row r="41786" spans="191:191" x14ac:dyDescent="0.2">
      <c r="GI41786" s="422"/>
    </row>
    <row r="41787" spans="191:191" x14ac:dyDescent="0.2">
      <c r="GI41787" s="422"/>
    </row>
    <row r="41788" spans="191:191" x14ac:dyDescent="0.2">
      <c r="GI41788" s="422"/>
    </row>
    <row r="41789" spans="191:191" x14ac:dyDescent="0.2">
      <c r="GI41789" s="422"/>
    </row>
    <row r="41790" spans="191:191" x14ac:dyDescent="0.2">
      <c r="GI41790" s="422"/>
    </row>
    <row r="41791" spans="191:191" x14ac:dyDescent="0.2">
      <c r="GI41791" s="422"/>
    </row>
    <row r="41792" spans="191:191" x14ac:dyDescent="0.2">
      <c r="GI41792" s="422"/>
    </row>
    <row r="41793" spans="191:191" x14ac:dyDescent="0.2">
      <c r="GI41793" s="422"/>
    </row>
    <row r="41794" spans="191:191" x14ac:dyDescent="0.2">
      <c r="GI41794" s="422"/>
    </row>
    <row r="41795" spans="191:191" x14ac:dyDescent="0.2">
      <c r="GI41795" s="422"/>
    </row>
    <row r="41796" spans="191:191" x14ac:dyDescent="0.2">
      <c r="GI41796" s="422"/>
    </row>
    <row r="41797" spans="191:191" x14ac:dyDescent="0.2">
      <c r="GI41797" s="422"/>
    </row>
    <row r="41798" spans="191:191" x14ac:dyDescent="0.2">
      <c r="GI41798" s="422"/>
    </row>
    <row r="41799" spans="191:191" x14ac:dyDescent="0.2">
      <c r="GI41799" s="422"/>
    </row>
    <row r="41800" spans="191:191" x14ac:dyDescent="0.2">
      <c r="GI41800" s="422"/>
    </row>
    <row r="41801" spans="191:191" x14ac:dyDescent="0.2">
      <c r="GI41801" s="422"/>
    </row>
    <row r="41802" spans="191:191" x14ac:dyDescent="0.2">
      <c r="GI41802" s="422"/>
    </row>
    <row r="41803" spans="191:191" x14ac:dyDescent="0.2">
      <c r="GI41803" s="422"/>
    </row>
    <row r="41804" spans="191:191" x14ac:dyDescent="0.2">
      <c r="GI41804" s="422"/>
    </row>
    <row r="41805" spans="191:191" x14ac:dyDescent="0.2">
      <c r="GI41805" s="422"/>
    </row>
    <row r="41806" spans="191:191" x14ac:dyDescent="0.2">
      <c r="GI41806" s="422"/>
    </row>
    <row r="41807" spans="191:191" x14ac:dyDescent="0.2">
      <c r="GI41807" s="422"/>
    </row>
    <row r="41808" spans="191:191" x14ac:dyDescent="0.2">
      <c r="GI41808" s="422"/>
    </row>
    <row r="41809" spans="191:191" x14ac:dyDescent="0.2">
      <c r="GI41809" s="422"/>
    </row>
    <row r="41810" spans="191:191" x14ac:dyDescent="0.2">
      <c r="GI41810" s="422"/>
    </row>
    <row r="41811" spans="191:191" x14ac:dyDescent="0.2">
      <c r="GI41811" s="422"/>
    </row>
    <row r="41812" spans="191:191" x14ac:dyDescent="0.2">
      <c r="GI41812" s="422"/>
    </row>
    <row r="41813" spans="191:191" x14ac:dyDescent="0.2">
      <c r="GI41813" s="422"/>
    </row>
    <row r="41814" spans="191:191" x14ac:dyDescent="0.2">
      <c r="GI41814" s="422"/>
    </row>
    <row r="41815" spans="191:191" x14ac:dyDescent="0.2">
      <c r="GI41815" s="422"/>
    </row>
    <row r="41816" spans="191:191" x14ac:dyDescent="0.2">
      <c r="GI41816" s="422"/>
    </row>
    <row r="41817" spans="191:191" x14ac:dyDescent="0.2">
      <c r="GI41817" s="422"/>
    </row>
    <row r="41818" spans="191:191" x14ac:dyDescent="0.2">
      <c r="GI41818" s="422"/>
    </row>
    <row r="41819" spans="191:191" x14ac:dyDescent="0.2">
      <c r="GI41819" s="422"/>
    </row>
    <row r="41820" spans="191:191" x14ac:dyDescent="0.2">
      <c r="GI41820" s="422"/>
    </row>
    <row r="41821" spans="191:191" x14ac:dyDescent="0.2">
      <c r="GI41821" s="422"/>
    </row>
    <row r="41822" spans="191:191" x14ac:dyDescent="0.2">
      <c r="GI41822" s="422"/>
    </row>
    <row r="41823" spans="191:191" x14ac:dyDescent="0.2">
      <c r="GI41823" s="422"/>
    </row>
    <row r="41824" spans="191:191" x14ac:dyDescent="0.2">
      <c r="GI41824" s="422"/>
    </row>
    <row r="41825" spans="191:191" x14ac:dyDescent="0.2">
      <c r="GI41825" s="422"/>
    </row>
    <row r="41826" spans="191:191" x14ac:dyDescent="0.2">
      <c r="GI41826" s="422"/>
    </row>
    <row r="41827" spans="191:191" x14ac:dyDescent="0.2">
      <c r="GI41827" s="422"/>
    </row>
    <row r="41828" spans="191:191" x14ac:dyDescent="0.2">
      <c r="GI41828" s="422"/>
    </row>
    <row r="41829" spans="191:191" x14ac:dyDescent="0.2">
      <c r="GI41829" s="422"/>
    </row>
    <row r="41830" spans="191:191" x14ac:dyDescent="0.2">
      <c r="GI41830" s="422"/>
    </row>
    <row r="41831" spans="191:191" x14ac:dyDescent="0.2">
      <c r="GI41831" s="422"/>
    </row>
    <row r="41832" spans="191:191" x14ac:dyDescent="0.2">
      <c r="GI41832" s="422"/>
    </row>
    <row r="41833" spans="191:191" x14ac:dyDescent="0.2">
      <c r="GI41833" s="422"/>
    </row>
    <row r="41834" spans="191:191" x14ac:dyDescent="0.2">
      <c r="GI41834" s="422"/>
    </row>
    <row r="41835" spans="191:191" x14ac:dyDescent="0.2">
      <c r="GI41835" s="422"/>
    </row>
    <row r="41836" spans="191:191" x14ac:dyDescent="0.2">
      <c r="GI41836" s="422"/>
    </row>
    <row r="41837" spans="191:191" x14ac:dyDescent="0.2">
      <c r="GI41837" s="422"/>
    </row>
    <row r="41838" spans="191:191" x14ac:dyDescent="0.2">
      <c r="GI41838" s="422"/>
    </row>
    <row r="41839" spans="191:191" x14ac:dyDescent="0.2">
      <c r="GI41839" s="422"/>
    </row>
    <row r="41840" spans="191:191" x14ac:dyDescent="0.2">
      <c r="GI41840" s="422"/>
    </row>
    <row r="41841" spans="191:191" x14ac:dyDescent="0.2">
      <c r="GI41841" s="422"/>
    </row>
    <row r="41842" spans="191:191" x14ac:dyDescent="0.2">
      <c r="GI41842" s="422"/>
    </row>
    <row r="41843" spans="191:191" x14ac:dyDescent="0.2">
      <c r="GI41843" s="422"/>
    </row>
    <row r="41844" spans="191:191" x14ac:dyDescent="0.2">
      <c r="GI41844" s="422"/>
    </row>
    <row r="41845" spans="191:191" x14ac:dyDescent="0.2">
      <c r="GI41845" s="422"/>
    </row>
    <row r="41846" spans="191:191" x14ac:dyDescent="0.2">
      <c r="GI41846" s="422"/>
    </row>
    <row r="41847" spans="191:191" x14ac:dyDescent="0.2">
      <c r="GI41847" s="422"/>
    </row>
    <row r="41848" spans="191:191" x14ac:dyDescent="0.2">
      <c r="GI41848" s="422"/>
    </row>
    <row r="41849" spans="191:191" x14ac:dyDescent="0.2">
      <c r="GI41849" s="422"/>
    </row>
    <row r="41850" spans="191:191" x14ac:dyDescent="0.2">
      <c r="GI41850" s="422"/>
    </row>
    <row r="41851" spans="191:191" x14ac:dyDescent="0.2">
      <c r="GI41851" s="422"/>
    </row>
    <row r="41852" spans="191:191" x14ac:dyDescent="0.2">
      <c r="GI41852" s="422"/>
    </row>
    <row r="41853" spans="191:191" x14ac:dyDescent="0.2">
      <c r="GI41853" s="422"/>
    </row>
    <row r="41854" spans="191:191" x14ac:dyDescent="0.2">
      <c r="GI41854" s="422"/>
    </row>
    <row r="41855" spans="191:191" x14ac:dyDescent="0.2">
      <c r="GI41855" s="422"/>
    </row>
    <row r="41856" spans="191:191" x14ac:dyDescent="0.2">
      <c r="GI41856" s="422"/>
    </row>
    <row r="41857" spans="191:191" x14ac:dyDescent="0.2">
      <c r="GI41857" s="422"/>
    </row>
    <row r="41858" spans="191:191" x14ac:dyDescent="0.2">
      <c r="GI41858" s="422"/>
    </row>
    <row r="41859" spans="191:191" x14ac:dyDescent="0.2">
      <c r="GI41859" s="422"/>
    </row>
    <row r="41860" spans="191:191" x14ac:dyDescent="0.2">
      <c r="GI41860" s="422"/>
    </row>
    <row r="41861" spans="191:191" x14ac:dyDescent="0.2">
      <c r="GI41861" s="422"/>
    </row>
    <row r="41862" spans="191:191" x14ac:dyDescent="0.2">
      <c r="GI41862" s="422"/>
    </row>
    <row r="41863" spans="191:191" x14ac:dyDescent="0.2">
      <c r="GI41863" s="422"/>
    </row>
    <row r="41864" spans="191:191" x14ac:dyDescent="0.2">
      <c r="GI41864" s="422"/>
    </row>
    <row r="41865" spans="191:191" x14ac:dyDescent="0.2">
      <c r="GI41865" s="422"/>
    </row>
    <row r="41866" spans="191:191" x14ac:dyDescent="0.2">
      <c r="GI41866" s="422"/>
    </row>
    <row r="41867" spans="191:191" x14ac:dyDescent="0.2">
      <c r="GI41867" s="422"/>
    </row>
    <row r="41868" spans="191:191" x14ac:dyDescent="0.2">
      <c r="GI41868" s="422"/>
    </row>
    <row r="41869" spans="191:191" x14ac:dyDescent="0.2">
      <c r="GI41869" s="422"/>
    </row>
    <row r="41870" spans="191:191" x14ac:dyDescent="0.2">
      <c r="GI41870" s="422"/>
    </row>
    <row r="41871" spans="191:191" x14ac:dyDescent="0.2">
      <c r="GI41871" s="422"/>
    </row>
    <row r="41872" spans="191:191" x14ac:dyDescent="0.2">
      <c r="GI41872" s="422"/>
    </row>
    <row r="41873" spans="191:191" x14ac:dyDescent="0.2">
      <c r="GI41873" s="422"/>
    </row>
    <row r="41874" spans="191:191" x14ac:dyDescent="0.2">
      <c r="GI41874" s="422"/>
    </row>
    <row r="41875" spans="191:191" x14ac:dyDescent="0.2">
      <c r="GI41875" s="422"/>
    </row>
    <row r="41876" spans="191:191" x14ac:dyDescent="0.2">
      <c r="GI41876" s="422"/>
    </row>
    <row r="41877" spans="191:191" x14ac:dyDescent="0.2">
      <c r="GI41877" s="422"/>
    </row>
    <row r="41878" spans="191:191" x14ac:dyDescent="0.2">
      <c r="GI41878" s="422"/>
    </row>
    <row r="41879" spans="191:191" x14ac:dyDescent="0.2">
      <c r="GI41879" s="422"/>
    </row>
    <row r="41880" spans="191:191" x14ac:dyDescent="0.2">
      <c r="GI41880" s="422"/>
    </row>
    <row r="41881" spans="191:191" x14ac:dyDescent="0.2">
      <c r="GI41881" s="422"/>
    </row>
    <row r="41882" spans="191:191" x14ac:dyDescent="0.2">
      <c r="GI41882" s="422"/>
    </row>
    <row r="41883" spans="191:191" x14ac:dyDescent="0.2">
      <c r="GI41883" s="422"/>
    </row>
    <row r="41884" spans="191:191" x14ac:dyDescent="0.2">
      <c r="GI41884" s="422"/>
    </row>
    <row r="41885" spans="191:191" x14ac:dyDescent="0.2">
      <c r="GI41885" s="422"/>
    </row>
    <row r="41886" spans="191:191" x14ac:dyDescent="0.2">
      <c r="GI41886" s="422"/>
    </row>
    <row r="41887" spans="191:191" x14ac:dyDescent="0.2">
      <c r="GI41887" s="422"/>
    </row>
    <row r="41888" spans="191:191" x14ac:dyDescent="0.2">
      <c r="GI41888" s="422"/>
    </row>
    <row r="41889" spans="191:191" x14ac:dyDescent="0.2">
      <c r="GI41889" s="422"/>
    </row>
    <row r="41890" spans="191:191" x14ac:dyDescent="0.2">
      <c r="GI41890" s="422"/>
    </row>
    <row r="41891" spans="191:191" x14ac:dyDescent="0.2">
      <c r="GI41891" s="422"/>
    </row>
    <row r="41892" spans="191:191" x14ac:dyDescent="0.2">
      <c r="GI41892" s="422"/>
    </row>
    <row r="41893" spans="191:191" x14ac:dyDescent="0.2">
      <c r="GI41893" s="422"/>
    </row>
    <row r="41894" spans="191:191" x14ac:dyDescent="0.2">
      <c r="GI41894" s="422"/>
    </row>
    <row r="41895" spans="191:191" x14ac:dyDescent="0.2">
      <c r="GI41895" s="422"/>
    </row>
    <row r="41896" spans="191:191" x14ac:dyDescent="0.2">
      <c r="GI41896" s="422"/>
    </row>
    <row r="41897" spans="191:191" x14ac:dyDescent="0.2">
      <c r="GI41897" s="422"/>
    </row>
    <row r="41898" spans="191:191" x14ac:dyDescent="0.2">
      <c r="GI41898" s="422"/>
    </row>
    <row r="41899" spans="191:191" x14ac:dyDescent="0.2">
      <c r="GI41899" s="422"/>
    </row>
    <row r="41900" spans="191:191" x14ac:dyDescent="0.2">
      <c r="GI41900" s="422"/>
    </row>
    <row r="41901" spans="191:191" x14ac:dyDescent="0.2">
      <c r="GI41901" s="422"/>
    </row>
    <row r="41902" spans="191:191" x14ac:dyDescent="0.2">
      <c r="GI41902" s="422"/>
    </row>
    <row r="41903" spans="191:191" x14ac:dyDescent="0.2">
      <c r="GI41903" s="422"/>
    </row>
    <row r="41904" spans="191:191" x14ac:dyDescent="0.2">
      <c r="GI41904" s="422"/>
    </row>
    <row r="41905" spans="191:191" x14ac:dyDescent="0.2">
      <c r="GI41905" s="422"/>
    </row>
    <row r="41906" spans="191:191" x14ac:dyDescent="0.2">
      <c r="GI41906" s="422"/>
    </row>
    <row r="41907" spans="191:191" x14ac:dyDescent="0.2">
      <c r="GI41907" s="422"/>
    </row>
    <row r="41908" spans="191:191" x14ac:dyDescent="0.2">
      <c r="GI41908" s="422"/>
    </row>
    <row r="41909" spans="191:191" x14ac:dyDescent="0.2">
      <c r="GI41909" s="422"/>
    </row>
    <row r="41910" spans="191:191" x14ac:dyDescent="0.2">
      <c r="GI41910" s="422"/>
    </row>
    <row r="41911" spans="191:191" x14ac:dyDescent="0.2">
      <c r="GI41911" s="422"/>
    </row>
    <row r="41912" spans="191:191" x14ac:dyDescent="0.2">
      <c r="GI41912" s="422"/>
    </row>
    <row r="41913" spans="191:191" x14ac:dyDescent="0.2">
      <c r="GI41913" s="422"/>
    </row>
    <row r="41914" spans="191:191" x14ac:dyDescent="0.2">
      <c r="GI41914" s="422"/>
    </row>
    <row r="41915" spans="191:191" x14ac:dyDescent="0.2">
      <c r="GI41915" s="422"/>
    </row>
    <row r="41916" spans="191:191" x14ac:dyDescent="0.2">
      <c r="GI41916" s="422"/>
    </row>
    <row r="41917" spans="191:191" x14ac:dyDescent="0.2">
      <c r="GI41917" s="422"/>
    </row>
    <row r="41918" spans="191:191" x14ac:dyDescent="0.2">
      <c r="GI41918" s="422"/>
    </row>
    <row r="41919" spans="191:191" x14ac:dyDescent="0.2">
      <c r="GI41919" s="422"/>
    </row>
    <row r="41920" spans="191:191" x14ac:dyDescent="0.2">
      <c r="GI41920" s="422"/>
    </row>
    <row r="41921" spans="191:191" x14ac:dyDescent="0.2">
      <c r="GI41921" s="422"/>
    </row>
    <row r="41922" spans="191:191" x14ac:dyDescent="0.2">
      <c r="GI41922" s="422"/>
    </row>
    <row r="41923" spans="191:191" x14ac:dyDescent="0.2">
      <c r="GI41923" s="422"/>
    </row>
    <row r="41924" spans="191:191" x14ac:dyDescent="0.2">
      <c r="GI41924" s="422"/>
    </row>
    <row r="41925" spans="191:191" x14ac:dyDescent="0.2">
      <c r="GI41925" s="422"/>
    </row>
    <row r="41926" spans="191:191" x14ac:dyDescent="0.2">
      <c r="GI41926" s="422"/>
    </row>
    <row r="41927" spans="191:191" x14ac:dyDescent="0.2">
      <c r="GI41927" s="422"/>
    </row>
    <row r="41928" spans="191:191" x14ac:dyDescent="0.2">
      <c r="GI41928" s="422"/>
    </row>
    <row r="41929" spans="191:191" x14ac:dyDescent="0.2">
      <c r="GI41929" s="422"/>
    </row>
    <row r="41930" spans="191:191" x14ac:dyDescent="0.2">
      <c r="GI41930" s="422"/>
    </row>
    <row r="41931" spans="191:191" x14ac:dyDescent="0.2">
      <c r="GI41931" s="422"/>
    </row>
    <row r="41932" spans="191:191" x14ac:dyDescent="0.2">
      <c r="GI41932" s="422"/>
    </row>
    <row r="41933" spans="191:191" x14ac:dyDescent="0.2">
      <c r="GI41933" s="422"/>
    </row>
    <row r="41934" spans="191:191" x14ac:dyDescent="0.2">
      <c r="GI41934" s="422"/>
    </row>
    <row r="41935" spans="191:191" x14ac:dyDescent="0.2">
      <c r="GI41935" s="422"/>
    </row>
    <row r="41936" spans="191:191" x14ac:dyDescent="0.2">
      <c r="GI41936" s="422"/>
    </row>
    <row r="41937" spans="191:191" x14ac:dyDescent="0.2">
      <c r="GI41937" s="422"/>
    </row>
    <row r="41938" spans="191:191" x14ac:dyDescent="0.2">
      <c r="GI41938" s="422"/>
    </row>
    <row r="41939" spans="191:191" x14ac:dyDescent="0.2">
      <c r="GI41939" s="422"/>
    </row>
    <row r="41940" spans="191:191" x14ac:dyDescent="0.2">
      <c r="GI41940" s="422"/>
    </row>
    <row r="41941" spans="191:191" x14ac:dyDescent="0.2">
      <c r="GI41941" s="422"/>
    </row>
    <row r="41942" spans="191:191" x14ac:dyDescent="0.2">
      <c r="GI41942" s="422"/>
    </row>
    <row r="41943" spans="191:191" x14ac:dyDescent="0.2">
      <c r="GI41943" s="422"/>
    </row>
    <row r="41944" spans="191:191" x14ac:dyDescent="0.2">
      <c r="GI41944" s="422"/>
    </row>
    <row r="41945" spans="191:191" x14ac:dyDescent="0.2">
      <c r="GI41945" s="422"/>
    </row>
    <row r="41946" spans="191:191" x14ac:dyDescent="0.2">
      <c r="GI41946" s="422"/>
    </row>
    <row r="41947" spans="191:191" x14ac:dyDescent="0.2">
      <c r="GI41947" s="422"/>
    </row>
    <row r="41948" spans="191:191" x14ac:dyDescent="0.2">
      <c r="GI41948" s="422"/>
    </row>
    <row r="41949" spans="191:191" x14ac:dyDescent="0.2">
      <c r="GI41949" s="422"/>
    </row>
    <row r="41950" spans="191:191" x14ac:dyDescent="0.2">
      <c r="GI41950" s="422"/>
    </row>
    <row r="41951" spans="191:191" x14ac:dyDescent="0.2">
      <c r="GI41951" s="422"/>
    </row>
    <row r="41952" spans="191:191" x14ac:dyDescent="0.2">
      <c r="GI41952" s="422"/>
    </row>
    <row r="41953" spans="191:191" x14ac:dyDescent="0.2">
      <c r="GI41953" s="422"/>
    </row>
    <row r="41954" spans="191:191" x14ac:dyDescent="0.2">
      <c r="GI41954" s="422"/>
    </row>
    <row r="41955" spans="191:191" x14ac:dyDescent="0.2">
      <c r="GI41955" s="422"/>
    </row>
    <row r="41956" spans="191:191" x14ac:dyDescent="0.2">
      <c r="GI41956" s="422"/>
    </row>
    <row r="41957" spans="191:191" x14ac:dyDescent="0.2">
      <c r="GI41957" s="422"/>
    </row>
    <row r="41958" spans="191:191" x14ac:dyDescent="0.2">
      <c r="GI41958" s="422"/>
    </row>
    <row r="41959" spans="191:191" x14ac:dyDescent="0.2">
      <c r="GI41959" s="422"/>
    </row>
    <row r="41960" spans="191:191" x14ac:dyDescent="0.2">
      <c r="GI41960" s="422"/>
    </row>
    <row r="41961" spans="191:191" x14ac:dyDescent="0.2">
      <c r="GI41961" s="422"/>
    </row>
    <row r="41962" spans="191:191" x14ac:dyDescent="0.2">
      <c r="GI41962" s="422"/>
    </row>
    <row r="41963" spans="191:191" x14ac:dyDescent="0.2">
      <c r="GI41963" s="422"/>
    </row>
    <row r="41964" spans="191:191" x14ac:dyDescent="0.2">
      <c r="GI41964" s="422"/>
    </row>
    <row r="41965" spans="191:191" x14ac:dyDescent="0.2">
      <c r="GI41965" s="422"/>
    </row>
    <row r="41966" spans="191:191" x14ac:dyDescent="0.2">
      <c r="GI41966" s="422"/>
    </row>
    <row r="41967" spans="191:191" x14ac:dyDescent="0.2">
      <c r="GI41967" s="422"/>
    </row>
    <row r="41968" spans="191:191" x14ac:dyDescent="0.2">
      <c r="GI41968" s="422"/>
    </row>
    <row r="41969" spans="191:191" x14ac:dyDescent="0.2">
      <c r="GI41969" s="422"/>
    </row>
    <row r="41970" spans="191:191" x14ac:dyDescent="0.2">
      <c r="GI41970" s="422"/>
    </row>
    <row r="41971" spans="191:191" x14ac:dyDescent="0.2">
      <c r="GI41971" s="422"/>
    </row>
    <row r="41972" spans="191:191" x14ac:dyDescent="0.2">
      <c r="GI41972" s="422"/>
    </row>
    <row r="41973" spans="191:191" x14ac:dyDescent="0.2">
      <c r="GI41973" s="422"/>
    </row>
    <row r="41974" spans="191:191" x14ac:dyDescent="0.2">
      <c r="GI41974" s="422"/>
    </row>
    <row r="41975" spans="191:191" x14ac:dyDescent="0.2">
      <c r="GI41975" s="422"/>
    </row>
    <row r="41976" spans="191:191" x14ac:dyDescent="0.2">
      <c r="GI41976" s="422"/>
    </row>
    <row r="41977" spans="191:191" x14ac:dyDescent="0.2">
      <c r="GI41977" s="422"/>
    </row>
    <row r="41978" spans="191:191" x14ac:dyDescent="0.2">
      <c r="GI41978" s="422"/>
    </row>
    <row r="41979" spans="191:191" x14ac:dyDescent="0.2">
      <c r="GI41979" s="422"/>
    </row>
    <row r="41980" spans="191:191" x14ac:dyDescent="0.2">
      <c r="GI41980" s="422"/>
    </row>
    <row r="41981" spans="191:191" x14ac:dyDescent="0.2">
      <c r="GI41981" s="422"/>
    </row>
    <row r="41982" spans="191:191" x14ac:dyDescent="0.2">
      <c r="GI41982" s="422"/>
    </row>
    <row r="41983" spans="191:191" x14ac:dyDescent="0.2">
      <c r="GI41983" s="422"/>
    </row>
    <row r="41984" spans="191:191" x14ac:dyDescent="0.2">
      <c r="GI41984" s="422"/>
    </row>
    <row r="41985" spans="191:191" x14ac:dyDescent="0.2">
      <c r="GI41985" s="422"/>
    </row>
    <row r="41986" spans="191:191" x14ac:dyDescent="0.2">
      <c r="GI41986" s="422"/>
    </row>
    <row r="41987" spans="191:191" x14ac:dyDescent="0.2">
      <c r="GI41987" s="422"/>
    </row>
    <row r="41988" spans="191:191" x14ac:dyDescent="0.2">
      <c r="GI41988" s="422"/>
    </row>
    <row r="41989" spans="191:191" x14ac:dyDescent="0.2">
      <c r="GI41989" s="422"/>
    </row>
    <row r="41990" spans="191:191" x14ac:dyDescent="0.2">
      <c r="GI41990" s="422"/>
    </row>
    <row r="41991" spans="191:191" x14ac:dyDescent="0.2">
      <c r="GI41991" s="422"/>
    </row>
    <row r="41992" spans="191:191" x14ac:dyDescent="0.2">
      <c r="GI41992" s="422"/>
    </row>
    <row r="41993" spans="191:191" x14ac:dyDescent="0.2">
      <c r="GI41993" s="422"/>
    </row>
    <row r="41994" spans="191:191" x14ac:dyDescent="0.2">
      <c r="GI41994" s="422"/>
    </row>
    <row r="41995" spans="191:191" x14ac:dyDescent="0.2">
      <c r="GI41995" s="422"/>
    </row>
    <row r="41996" spans="191:191" x14ac:dyDescent="0.2">
      <c r="GI41996" s="422"/>
    </row>
    <row r="41997" spans="191:191" x14ac:dyDescent="0.2">
      <c r="GI41997" s="422"/>
    </row>
    <row r="41998" spans="191:191" x14ac:dyDescent="0.2">
      <c r="GI41998" s="422"/>
    </row>
    <row r="41999" spans="191:191" x14ac:dyDescent="0.2">
      <c r="GI41999" s="422"/>
    </row>
    <row r="42000" spans="191:191" x14ac:dyDescent="0.2">
      <c r="GI42000" s="422"/>
    </row>
    <row r="42001" spans="191:191" x14ac:dyDescent="0.2">
      <c r="GI42001" s="422"/>
    </row>
    <row r="42002" spans="191:191" x14ac:dyDescent="0.2">
      <c r="GI42002" s="422"/>
    </row>
    <row r="42003" spans="191:191" x14ac:dyDescent="0.2">
      <c r="GI42003" s="422"/>
    </row>
    <row r="42004" spans="191:191" x14ac:dyDescent="0.2">
      <c r="GI42004" s="422"/>
    </row>
    <row r="42005" spans="191:191" x14ac:dyDescent="0.2">
      <c r="GI42005" s="422"/>
    </row>
    <row r="42006" spans="191:191" x14ac:dyDescent="0.2">
      <c r="GI42006" s="422"/>
    </row>
    <row r="42007" spans="191:191" x14ac:dyDescent="0.2">
      <c r="GI42007" s="422"/>
    </row>
    <row r="42008" spans="191:191" x14ac:dyDescent="0.2">
      <c r="GI42008" s="422"/>
    </row>
    <row r="42009" spans="191:191" x14ac:dyDescent="0.2">
      <c r="GI42009" s="422"/>
    </row>
    <row r="42010" spans="191:191" x14ac:dyDescent="0.2">
      <c r="GI42010" s="422"/>
    </row>
    <row r="42011" spans="191:191" x14ac:dyDescent="0.2">
      <c r="GI42011" s="422"/>
    </row>
    <row r="42012" spans="191:191" x14ac:dyDescent="0.2">
      <c r="GI42012" s="422"/>
    </row>
    <row r="42013" spans="191:191" x14ac:dyDescent="0.2">
      <c r="GI42013" s="422"/>
    </row>
    <row r="42014" spans="191:191" x14ac:dyDescent="0.2">
      <c r="GI42014" s="422"/>
    </row>
    <row r="42015" spans="191:191" x14ac:dyDescent="0.2">
      <c r="GI42015" s="422"/>
    </row>
    <row r="42016" spans="191:191" x14ac:dyDescent="0.2">
      <c r="GI42016" s="422"/>
    </row>
    <row r="42017" spans="191:191" x14ac:dyDescent="0.2">
      <c r="GI42017" s="422"/>
    </row>
    <row r="42018" spans="191:191" x14ac:dyDescent="0.2">
      <c r="GI42018" s="422"/>
    </row>
    <row r="42019" spans="191:191" x14ac:dyDescent="0.2">
      <c r="GI42019" s="422"/>
    </row>
    <row r="42020" spans="191:191" x14ac:dyDescent="0.2">
      <c r="GI42020" s="422"/>
    </row>
    <row r="42021" spans="191:191" x14ac:dyDescent="0.2">
      <c r="GI42021" s="422"/>
    </row>
    <row r="42022" spans="191:191" x14ac:dyDescent="0.2">
      <c r="GI42022" s="422"/>
    </row>
    <row r="42023" spans="191:191" x14ac:dyDescent="0.2">
      <c r="GI42023" s="422"/>
    </row>
    <row r="42024" spans="191:191" x14ac:dyDescent="0.2">
      <c r="GI42024" s="422"/>
    </row>
    <row r="42025" spans="191:191" x14ac:dyDescent="0.2">
      <c r="GI42025" s="422"/>
    </row>
    <row r="42026" spans="191:191" x14ac:dyDescent="0.2">
      <c r="GI42026" s="422"/>
    </row>
    <row r="42027" spans="191:191" x14ac:dyDescent="0.2">
      <c r="GI42027" s="422"/>
    </row>
    <row r="42028" spans="191:191" x14ac:dyDescent="0.2">
      <c r="GI42028" s="422"/>
    </row>
    <row r="42029" spans="191:191" x14ac:dyDescent="0.2">
      <c r="GI42029" s="422"/>
    </row>
    <row r="42030" spans="191:191" x14ac:dyDescent="0.2">
      <c r="GI42030" s="422"/>
    </row>
    <row r="42031" spans="191:191" x14ac:dyDescent="0.2">
      <c r="GI42031" s="422"/>
    </row>
    <row r="42032" spans="191:191" x14ac:dyDescent="0.2">
      <c r="GI42032" s="422"/>
    </row>
    <row r="42033" spans="191:191" x14ac:dyDescent="0.2">
      <c r="GI42033" s="422"/>
    </row>
    <row r="42034" spans="191:191" x14ac:dyDescent="0.2">
      <c r="GI42034" s="422"/>
    </row>
    <row r="42035" spans="191:191" x14ac:dyDescent="0.2">
      <c r="GI42035" s="422"/>
    </row>
    <row r="42036" spans="191:191" x14ac:dyDescent="0.2">
      <c r="GI42036" s="422"/>
    </row>
    <row r="42037" spans="191:191" x14ac:dyDescent="0.2">
      <c r="GI42037" s="422"/>
    </row>
    <row r="42038" spans="191:191" x14ac:dyDescent="0.2">
      <c r="GI42038" s="422"/>
    </row>
    <row r="42039" spans="191:191" x14ac:dyDescent="0.2">
      <c r="GI42039" s="422"/>
    </row>
    <row r="42040" spans="191:191" x14ac:dyDescent="0.2">
      <c r="GI42040" s="422"/>
    </row>
    <row r="42041" spans="191:191" x14ac:dyDescent="0.2">
      <c r="GI42041" s="422"/>
    </row>
    <row r="42042" spans="191:191" x14ac:dyDescent="0.2">
      <c r="GI42042" s="422"/>
    </row>
    <row r="42043" spans="191:191" x14ac:dyDescent="0.2">
      <c r="GI42043" s="422"/>
    </row>
    <row r="42044" spans="191:191" x14ac:dyDescent="0.2">
      <c r="GI42044" s="422"/>
    </row>
    <row r="42045" spans="191:191" x14ac:dyDescent="0.2">
      <c r="GI42045" s="422"/>
    </row>
    <row r="42046" spans="191:191" x14ac:dyDescent="0.2">
      <c r="GI42046" s="422"/>
    </row>
    <row r="42047" spans="191:191" x14ac:dyDescent="0.2">
      <c r="GI42047" s="422"/>
    </row>
    <row r="42048" spans="191:191" x14ac:dyDescent="0.2">
      <c r="GI42048" s="422"/>
    </row>
    <row r="42049" spans="191:191" x14ac:dyDescent="0.2">
      <c r="GI42049" s="422"/>
    </row>
    <row r="42050" spans="191:191" x14ac:dyDescent="0.2">
      <c r="GI42050" s="422"/>
    </row>
    <row r="42051" spans="191:191" x14ac:dyDescent="0.2">
      <c r="GI42051" s="422"/>
    </row>
    <row r="42052" spans="191:191" x14ac:dyDescent="0.2">
      <c r="GI42052" s="422"/>
    </row>
    <row r="42053" spans="191:191" x14ac:dyDescent="0.2">
      <c r="GI42053" s="422"/>
    </row>
    <row r="42054" spans="191:191" x14ac:dyDescent="0.2">
      <c r="GI42054" s="422"/>
    </row>
    <row r="42055" spans="191:191" x14ac:dyDescent="0.2">
      <c r="GI42055" s="422"/>
    </row>
    <row r="42056" spans="191:191" x14ac:dyDescent="0.2">
      <c r="GI42056" s="422"/>
    </row>
    <row r="42057" spans="191:191" x14ac:dyDescent="0.2">
      <c r="GI42057" s="422"/>
    </row>
    <row r="42058" spans="191:191" x14ac:dyDescent="0.2">
      <c r="GI42058" s="422"/>
    </row>
    <row r="42059" spans="191:191" x14ac:dyDescent="0.2">
      <c r="GI42059" s="422"/>
    </row>
    <row r="42060" spans="191:191" x14ac:dyDescent="0.2">
      <c r="GI42060" s="422"/>
    </row>
    <row r="42061" spans="191:191" x14ac:dyDescent="0.2">
      <c r="GI42061" s="422"/>
    </row>
    <row r="42062" spans="191:191" x14ac:dyDescent="0.2">
      <c r="GI42062" s="422"/>
    </row>
    <row r="42063" spans="191:191" x14ac:dyDescent="0.2">
      <c r="GI42063" s="422"/>
    </row>
    <row r="42064" spans="191:191" x14ac:dyDescent="0.2">
      <c r="GI42064" s="422"/>
    </row>
    <row r="42065" spans="191:191" x14ac:dyDescent="0.2">
      <c r="GI42065" s="422"/>
    </row>
    <row r="42066" spans="191:191" x14ac:dyDescent="0.2">
      <c r="GI42066" s="422"/>
    </row>
    <row r="42067" spans="191:191" x14ac:dyDescent="0.2">
      <c r="GI42067" s="422"/>
    </row>
    <row r="42068" spans="191:191" x14ac:dyDescent="0.2">
      <c r="GI42068" s="422"/>
    </row>
    <row r="42069" spans="191:191" x14ac:dyDescent="0.2">
      <c r="GI42069" s="422"/>
    </row>
    <row r="42070" spans="191:191" x14ac:dyDescent="0.2">
      <c r="GI42070" s="422"/>
    </row>
    <row r="42071" spans="191:191" x14ac:dyDescent="0.2">
      <c r="GI42071" s="422"/>
    </row>
    <row r="42072" spans="191:191" x14ac:dyDescent="0.2">
      <c r="GI42072" s="422"/>
    </row>
    <row r="42073" spans="191:191" x14ac:dyDescent="0.2">
      <c r="GI42073" s="422"/>
    </row>
    <row r="42074" spans="191:191" x14ac:dyDescent="0.2">
      <c r="GI42074" s="422"/>
    </row>
    <row r="42075" spans="191:191" x14ac:dyDescent="0.2">
      <c r="GI42075" s="422"/>
    </row>
    <row r="42076" spans="191:191" x14ac:dyDescent="0.2">
      <c r="GI42076" s="422"/>
    </row>
    <row r="42077" spans="191:191" x14ac:dyDescent="0.2">
      <c r="GI42077" s="422"/>
    </row>
    <row r="42078" spans="191:191" x14ac:dyDescent="0.2">
      <c r="GI42078" s="422"/>
    </row>
    <row r="42079" spans="191:191" x14ac:dyDescent="0.2">
      <c r="GI42079" s="422"/>
    </row>
    <row r="42080" spans="191:191" x14ac:dyDescent="0.2">
      <c r="GI42080" s="422"/>
    </row>
    <row r="42081" spans="191:191" x14ac:dyDescent="0.2">
      <c r="GI42081" s="422"/>
    </row>
    <row r="42082" spans="191:191" x14ac:dyDescent="0.2">
      <c r="GI42082" s="422"/>
    </row>
    <row r="42083" spans="191:191" x14ac:dyDescent="0.2">
      <c r="GI42083" s="422"/>
    </row>
    <row r="42084" spans="191:191" x14ac:dyDescent="0.2">
      <c r="GI42084" s="422"/>
    </row>
    <row r="42085" spans="191:191" x14ac:dyDescent="0.2">
      <c r="GI42085" s="422"/>
    </row>
    <row r="42086" spans="191:191" x14ac:dyDescent="0.2">
      <c r="GI42086" s="422"/>
    </row>
    <row r="42087" spans="191:191" x14ac:dyDescent="0.2">
      <c r="GI42087" s="422"/>
    </row>
    <row r="42088" spans="191:191" x14ac:dyDescent="0.2">
      <c r="GI42088" s="422"/>
    </row>
    <row r="42089" spans="191:191" x14ac:dyDescent="0.2">
      <c r="GI42089" s="422"/>
    </row>
    <row r="42090" spans="191:191" x14ac:dyDescent="0.2">
      <c r="GI42090" s="422"/>
    </row>
    <row r="42091" spans="191:191" x14ac:dyDescent="0.2">
      <c r="GI42091" s="422"/>
    </row>
    <row r="42092" spans="191:191" x14ac:dyDescent="0.2">
      <c r="GI42092" s="422"/>
    </row>
    <row r="42093" spans="191:191" x14ac:dyDescent="0.2">
      <c r="GI42093" s="422"/>
    </row>
    <row r="42094" spans="191:191" x14ac:dyDescent="0.2">
      <c r="GI42094" s="422"/>
    </row>
    <row r="42095" spans="191:191" x14ac:dyDescent="0.2">
      <c r="GI42095" s="422"/>
    </row>
    <row r="42096" spans="191:191" x14ac:dyDescent="0.2">
      <c r="GI42096" s="422"/>
    </row>
    <row r="42097" spans="191:191" x14ac:dyDescent="0.2">
      <c r="GI42097" s="422"/>
    </row>
    <row r="42098" spans="191:191" x14ac:dyDescent="0.2">
      <c r="GI42098" s="422"/>
    </row>
    <row r="42099" spans="191:191" x14ac:dyDescent="0.2">
      <c r="GI42099" s="422"/>
    </row>
    <row r="42100" spans="191:191" x14ac:dyDescent="0.2">
      <c r="GI42100" s="422"/>
    </row>
    <row r="42101" spans="191:191" x14ac:dyDescent="0.2">
      <c r="GI42101" s="422"/>
    </row>
    <row r="42102" spans="191:191" x14ac:dyDescent="0.2">
      <c r="GI42102" s="422"/>
    </row>
    <row r="42103" spans="191:191" x14ac:dyDescent="0.2">
      <c r="GI42103" s="422"/>
    </row>
    <row r="42104" spans="191:191" x14ac:dyDescent="0.2">
      <c r="GI42104" s="422"/>
    </row>
    <row r="42105" spans="191:191" x14ac:dyDescent="0.2">
      <c r="GI42105" s="422"/>
    </row>
    <row r="42106" spans="191:191" x14ac:dyDescent="0.2">
      <c r="GI42106" s="422"/>
    </row>
    <row r="42107" spans="191:191" x14ac:dyDescent="0.2">
      <c r="GI42107" s="422"/>
    </row>
    <row r="42108" spans="191:191" x14ac:dyDescent="0.2">
      <c r="GI42108" s="422"/>
    </row>
    <row r="42109" spans="191:191" x14ac:dyDescent="0.2">
      <c r="GI42109" s="422"/>
    </row>
    <row r="42110" spans="191:191" x14ac:dyDescent="0.2">
      <c r="GI42110" s="422"/>
    </row>
    <row r="42111" spans="191:191" x14ac:dyDescent="0.2">
      <c r="GI42111" s="422"/>
    </row>
    <row r="42112" spans="191:191" x14ac:dyDescent="0.2">
      <c r="GI42112" s="422"/>
    </row>
    <row r="42113" spans="191:191" x14ac:dyDescent="0.2">
      <c r="GI42113" s="422"/>
    </row>
    <row r="42114" spans="191:191" x14ac:dyDescent="0.2">
      <c r="GI42114" s="422"/>
    </row>
    <row r="42115" spans="191:191" x14ac:dyDescent="0.2">
      <c r="GI42115" s="422"/>
    </row>
    <row r="42116" spans="191:191" x14ac:dyDescent="0.2">
      <c r="GI42116" s="422"/>
    </row>
    <row r="42117" spans="191:191" x14ac:dyDescent="0.2">
      <c r="GI42117" s="422"/>
    </row>
    <row r="42118" spans="191:191" x14ac:dyDescent="0.2">
      <c r="GI42118" s="422"/>
    </row>
    <row r="42119" spans="191:191" x14ac:dyDescent="0.2">
      <c r="GI42119" s="422"/>
    </row>
    <row r="42120" spans="191:191" x14ac:dyDescent="0.2">
      <c r="GI42120" s="422"/>
    </row>
    <row r="42121" spans="191:191" x14ac:dyDescent="0.2">
      <c r="GI42121" s="422"/>
    </row>
    <row r="42122" spans="191:191" x14ac:dyDescent="0.2">
      <c r="GI42122" s="422"/>
    </row>
    <row r="42123" spans="191:191" x14ac:dyDescent="0.2">
      <c r="GI42123" s="422"/>
    </row>
    <row r="42124" spans="191:191" x14ac:dyDescent="0.2">
      <c r="GI42124" s="422"/>
    </row>
    <row r="42125" spans="191:191" x14ac:dyDescent="0.2">
      <c r="GI42125" s="422"/>
    </row>
    <row r="42126" spans="191:191" x14ac:dyDescent="0.2">
      <c r="GI42126" s="422"/>
    </row>
    <row r="42127" spans="191:191" x14ac:dyDescent="0.2">
      <c r="GI42127" s="422"/>
    </row>
    <row r="42128" spans="191:191" x14ac:dyDescent="0.2">
      <c r="GI42128" s="422"/>
    </row>
    <row r="42129" spans="191:191" x14ac:dyDescent="0.2">
      <c r="GI42129" s="422"/>
    </row>
    <row r="42130" spans="191:191" x14ac:dyDescent="0.2">
      <c r="GI42130" s="422"/>
    </row>
    <row r="42131" spans="191:191" x14ac:dyDescent="0.2">
      <c r="GI42131" s="422"/>
    </row>
    <row r="42132" spans="191:191" x14ac:dyDescent="0.2">
      <c r="GI42132" s="422"/>
    </row>
    <row r="42133" spans="191:191" x14ac:dyDescent="0.2">
      <c r="GI42133" s="422"/>
    </row>
    <row r="42134" spans="191:191" x14ac:dyDescent="0.2">
      <c r="GI42134" s="422"/>
    </row>
    <row r="42135" spans="191:191" x14ac:dyDescent="0.2">
      <c r="GI42135" s="422"/>
    </row>
    <row r="42136" spans="191:191" x14ac:dyDescent="0.2">
      <c r="GI42136" s="422"/>
    </row>
    <row r="42137" spans="191:191" x14ac:dyDescent="0.2">
      <c r="GI42137" s="422"/>
    </row>
    <row r="42138" spans="191:191" x14ac:dyDescent="0.2">
      <c r="GI42138" s="422"/>
    </row>
    <row r="42139" spans="191:191" x14ac:dyDescent="0.2">
      <c r="GI42139" s="422"/>
    </row>
    <row r="42140" spans="191:191" x14ac:dyDescent="0.2">
      <c r="GI42140" s="422"/>
    </row>
    <row r="42141" spans="191:191" x14ac:dyDescent="0.2">
      <c r="GI42141" s="422"/>
    </row>
    <row r="42142" spans="191:191" x14ac:dyDescent="0.2">
      <c r="GI42142" s="422"/>
    </row>
    <row r="42143" spans="191:191" x14ac:dyDescent="0.2">
      <c r="GI42143" s="422"/>
    </row>
    <row r="42144" spans="191:191" x14ac:dyDescent="0.2">
      <c r="GI42144" s="422"/>
    </row>
    <row r="42145" spans="191:191" x14ac:dyDescent="0.2">
      <c r="GI42145" s="422"/>
    </row>
    <row r="42146" spans="191:191" x14ac:dyDescent="0.2">
      <c r="GI42146" s="422"/>
    </row>
    <row r="42147" spans="191:191" x14ac:dyDescent="0.2">
      <c r="GI42147" s="422"/>
    </row>
    <row r="42148" spans="191:191" x14ac:dyDescent="0.2">
      <c r="GI42148" s="422"/>
    </row>
    <row r="42149" spans="191:191" x14ac:dyDescent="0.2">
      <c r="GI42149" s="422"/>
    </row>
    <row r="42150" spans="191:191" x14ac:dyDescent="0.2">
      <c r="GI42150" s="422"/>
    </row>
    <row r="42151" spans="191:191" x14ac:dyDescent="0.2">
      <c r="GI42151" s="422"/>
    </row>
    <row r="42152" spans="191:191" x14ac:dyDescent="0.2">
      <c r="GI42152" s="422"/>
    </row>
    <row r="42153" spans="191:191" x14ac:dyDescent="0.2">
      <c r="GI42153" s="422"/>
    </row>
    <row r="42154" spans="191:191" x14ac:dyDescent="0.2">
      <c r="GI42154" s="422"/>
    </row>
    <row r="42155" spans="191:191" x14ac:dyDescent="0.2">
      <c r="GI42155" s="422"/>
    </row>
    <row r="42156" spans="191:191" x14ac:dyDescent="0.2">
      <c r="GI42156" s="422"/>
    </row>
    <row r="42157" spans="191:191" x14ac:dyDescent="0.2">
      <c r="GI42157" s="422"/>
    </row>
    <row r="42158" spans="191:191" x14ac:dyDescent="0.2">
      <c r="GI42158" s="422"/>
    </row>
    <row r="42159" spans="191:191" x14ac:dyDescent="0.2">
      <c r="GI42159" s="422"/>
    </row>
    <row r="42160" spans="191:191" x14ac:dyDescent="0.2">
      <c r="GI42160" s="422"/>
    </row>
    <row r="42161" spans="191:191" x14ac:dyDescent="0.2">
      <c r="GI42161" s="422"/>
    </row>
    <row r="42162" spans="191:191" x14ac:dyDescent="0.2">
      <c r="GI42162" s="422"/>
    </row>
    <row r="42163" spans="191:191" x14ac:dyDescent="0.2">
      <c r="GI42163" s="422"/>
    </row>
    <row r="42164" spans="191:191" x14ac:dyDescent="0.2">
      <c r="GI42164" s="422"/>
    </row>
    <row r="42165" spans="191:191" x14ac:dyDescent="0.2">
      <c r="GI42165" s="422"/>
    </row>
    <row r="42166" spans="191:191" x14ac:dyDescent="0.2">
      <c r="GI42166" s="422"/>
    </row>
    <row r="42167" spans="191:191" x14ac:dyDescent="0.2">
      <c r="GI42167" s="422"/>
    </row>
    <row r="42168" spans="191:191" x14ac:dyDescent="0.2">
      <c r="GI42168" s="422"/>
    </row>
    <row r="42169" spans="191:191" x14ac:dyDescent="0.2">
      <c r="GI42169" s="422"/>
    </row>
    <row r="42170" spans="191:191" x14ac:dyDescent="0.2">
      <c r="GI42170" s="422"/>
    </row>
    <row r="42171" spans="191:191" x14ac:dyDescent="0.2">
      <c r="GI42171" s="422"/>
    </row>
    <row r="42172" spans="191:191" x14ac:dyDescent="0.2">
      <c r="GI42172" s="422"/>
    </row>
    <row r="42173" spans="191:191" x14ac:dyDescent="0.2">
      <c r="GI42173" s="422"/>
    </row>
    <row r="42174" spans="191:191" x14ac:dyDescent="0.2">
      <c r="GI42174" s="422"/>
    </row>
    <row r="42175" spans="191:191" x14ac:dyDescent="0.2">
      <c r="GI42175" s="422"/>
    </row>
    <row r="42176" spans="191:191" x14ac:dyDescent="0.2">
      <c r="GI42176" s="422"/>
    </row>
    <row r="42177" spans="191:191" x14ac:dyDescent="0.2">
      <c r="GI42177" s="422"/>
    </row>
    <row r="42178" spans="191:191" x14ac:dyDescent="0.2">
      <c r="GI42178" s="422"/>
    </row>
    <row r="42179" spans="191:191" x14ac:dyDescent="0.2">
      <c r="GI42179" s="422"/>
    </row>
    <row r="42180" spans="191:191" x14ac:dyDescent="0.2">
      <c r="GI42180" s="422"/>
    </row>
    <row r="42181" spans="191:191" x14ac:dyDescent="0.2">
      <c r="GI42181" s="422"/>
    </row>
    <row r="42182" spans="191:191" x14ac:dyDescent="0.2">
      <c r="GI42182" s="422"/>
    </row>
    <row r="42183" spans="191:191" x14ac:dyDescent="0.2">
      <c r="GI42183" s="422"/>
    </row>
    <row r="42184" spans="191:191" x14ac:dyDescent="0.2">
      <c r="GI42184" s="422"/>
    </row>
    <row r="42185" spans="191:191" x14ac:dyDescent="0.2">
      <c r="GI42185" s="422"/>
    </row>
    <row r="42186" spans="191:191" x14ac:dyDescent="0.2">
      <c r="GI42186" s="422"/>
    </row>
    <row r="42187" spans="191:191" x14ac:dyDescent="0.2">
      <c r="GI42187" s="422"/>
    </row>
    <row r="42188" spans="191:191" x14ac:dyDescent="0.2">
      <c r="GI42188" s="422"/>
    </row>
    <row r="42189" spans="191:191" x14ac:dyDescent="0.2">
      <c r="GI42189" s="422"/>
    </row>
    <row r="42190" spans="191:191" x14ac:dyDescent="0.2">
      <c r="GI42190" s="422"/>
    </row>
    <row r="42191" spans="191:191" x14ac:dyDescent="0.2">
      <c r="GI42191" s="422"/>
    </row>
    <row r="42192" spans="191:191" x14ac:dyDescent="0.2">
      <c r="GI42192" s="422"/>
    </row>
    <row r="42193" spans="191:191" x14ac:dyDescent="0.2">
      <c r="GI42193" s="422"/>
    </row>
    <row r="42194" spans="191:191" x14ac:dyDescent="0.2">
      <c r="GI42194" s="422"/>
    </row>
    <row r="42195" spans="191:191" x14ac:dyDescent="0.2">
      <c r="GI42195" s="422"/>
    </row>
    <row r="42196" spans="191:191" x14ac:dyDescent="0.2">
      <c r="GI42196" s="422"/>
    </row>
    <row r="42197" spans="191:191" x14ac:dyDescent="0.2">
      <c r="GI42197" s="422"/>
    </row>
    <row r="42198" spans="191:191" x14ac:dyDescent="0.2">
      <c r="GI42198" s="422"/>
    </row>
    <row r="42199" spans="191:191" x14ac:dyDescent="0.2">
      <c r="GI42199" s="422"/>
    </row>
    <row r="42200" spans="191:191" x14ac:dyDescent="0.2">
      <c r="GI42200" s="422"/>
    </row>
    <row r="42201" spans="191:191" x14ac:dyDescent="0.2">
      <c r="GI42201" s="422"/>
    </row>
    <row r="42202" spans="191:191" x14ac:dyDescent="0.2">
      <c r="GI42202" s="422"/>
    </row>
    <row r="42203" spans="191:191" x14ac:dyDescent="0.2">
      <c r="GI42203" s="422"/>
    </row>
    <row r="42204" spans="191:191" x14ac:dyDescent="0.2">
      <c r="GI42204" s="422"/>
    </row>
    <row r="42205" spans="191:191" x14ac:dyDescent="0.2">
      <c r="GI42205" s="422"/>
    </row>
    <row r="42206" spans="191:191" x14ac:dyDescent="0.2">
      <c r="GI42206" s="422"/>
    </row>
    <row r="42207" spans="191:191" x14ac:dyDescent="0.2">
      <c r="GI42207" s="422"/>
    </row>
    <row r="42208" spans="191:191" x14ac:dyDescent="0.2">
      <c r="GI42208" s="422"/>
    </row>
    <row r="42209" spans="191:191" x14ac:dyDescent="0.2">
      <c r="GI42209" s="422"/>
    </row>
    <row r="42210" spans="191:191" x14ac:dyDescent="0.2">
      <c r="GI42210" s="422"/>
    </row>
    <row r="42211" spans="191:191" x14ac:dyDescent="0.2">
      <c r="GI42211" s="422"/>
    </row>
    <row r="42212" spans="191:191" x14ac:dyDescent="0.2">
      <c r="GI42212" s="422"/>
    </row>
    <row r="42213" spans="191:191" x14ac:dyDescent="0.2">
      <c r="GI42213" s="422"/>
    </row>
    <row r="42214" spans="191:191" x14ac:dyDescent="0.2">
      <c r="GI42214" s="422"/>
    </row>
    <row r="42215" spans="191:191" x14ac:dyDescent="0.2">
      <c r="GI42215" s="422"/>
    </row>
    <row r="42216" spans="191:191" x14ac:dyDescent="0.2">
      <c r="GI42216" s="422"/>
    </row>
    <row r="42217" spans="191:191" x14ac:dyDescent="0.2">
      <c r="GI42217" s="422"/>
    </row>
    <row r="42218" spans="191:191" x14ac:dyDescent="0.2">
      <c r="GI42218" s="422"/>
    </row>
    <row r="42219" spans="191:191" x14ac:dyDescent="0.2">
      <c r="GI42219" s="422"/>
    </row>
    <row r="42220" spans="191:191" x14ac:dyDescent="0.2">
      <c r="GI42220" s="422"/>
    </row>
    <row r="42221" spans="191:191" x14ac:dyDescent="0.2">
      <c r="GI42221" s="422"/>
    </row>
    <row r="42222" spans="191:191" x14ac:dyDescent="0.2">
      <c r="GI42222" s="422"/>
    </row>
    <row r="42223" spans="191:191" x14ac:dyDescent="0.2">
      <c r="GI42223" s="422"/>
    </row>
    <row r="42224" spans="191:191" x14ac:dyDescent="0.2">
      <c r="GI42224" s="422"/>
    </row>
    <row r="42225" spans="191:191" x14ac:dyDescent="0.2">
      <c r="GI42225" s="422"/>
    </row>
    <row r="42226" spans="191:191" x14ac:dyDescent="0.2">
      <c r="GI42226" s="422"/>
    </row>
    <row r="42227" spans="191:191" x14ac:dyDescent="0.2">
      <c r="GI42227" s="422"/>
    </row>
    <row r="42228" spans="191:191" x14ac:dyDescent="0.2">
      <c r="GI42228" s="422"/>
    </row>
    <row r="42229" spans="191:191" x14ac:dyDescent="0.2">
      <c r="GI42229" s="422"/>
    </row>
    <row r="42230" spans="191:191" x14ac:dyDescent="0.2">
      <c r="GI42230" s="422"/>
    </row>
    <row r="42231" spans="191:191" x14ac:dyDescent="0.2">
      <c r="GI42231" s="422"/>
    </row>
    <row r="42232" spans="191:191" x14ac:dyDescent="0.2">
      <c r="GI42232" s="422"/>
    </row>
    <row r="42233" spans="191:191" x14ac:dyDescent="0.2">
      <c r="GI42233" s="422"/>
    </row>
    <row r="42234" spans="191:191" x14ac:dyDescent="0.2">
      <c r="GI42234" s="422"/>
    </row>
    <row r="42235" spans="191:191" x14ac:dyDescent="0.2">
      <c r="GI42235" s="422"/>
    </row>
    <row r="42236" spans="191:191" x14ac:dyDescent="0.2">
      <c r="GI42236" s="422"/>
    </row>
    <row r="42237" spans="191:191" x14ac:dyDescent="0.2">
      <c r="GI42237" s="422"/>
    </row>
    <row r="42238" spans="191:191" x14ac:dyDescent="0.2">
      <c r="GI42238" s="422"/>
    </row>
    <row r="42239" spans="191:191" x14ac:dyDescent="0.2">
      <c r="GI42239" s="422"/>
    </row>
    <row r="42240" spans="191:191" x14ac:dyDescent="0.2">
      <c r="GI42240" s="422"/>
    </row>
    <row r="42241" spans="191:191" x14ac:dyDescent="0.2">
      <c r="GI42241" s="422"/>
    </row>
    <row r="42242" spans="191:191" x14ac:dyDescent="0.2">
      <c r="GI42242" s="422"/>
    </row>
    <row r="42243" spans="191:191" x14ac:dyDescent="0.2">
      <c r="GI42243" s="422"/>
    </row>
    <row r="42244" spans="191:191" x14ac:dyDescent="0.2">
      <c r="GI42244" s="422"/>
    </row>
    <row r="42245" spans="191:191" x14ac:dyDescent="0.2">
      <c r="GI42245" s="422"/>
    </row>
    <row r="42246" spans="191:191" x14ac:dyDescent="0.2">
      <c r="GI42246" s="422"/>
    </row>
    <row r="42247" spans="191:191" x14ac:dyDescent="0.2">
      <c r="GI42247" s="422"/>
    </row>
    <row r="42248" spans="191:191" x14ac:dyDescent="0.2">
      <c r="GI42248" s="422"/>
    </row>
    <row r="42249" spans="191:191" x14ac:dyDescent="0.2">
      <c r="GI42249" s="422"/>
    </row>
    <row r="42250" spans="191:191" x14ac:dyDescent="0.2">
      <c r="GI42250" s="422"/>
    </row>
    <row r="42251" spans="191:191" x14ac:dyDescent="0.2">
      <c r="GI42251" s="422"/>
    </row>
    <row r="42252" spans="191:191" x14ac:dyDescent="0.2">
      <c r="GI42252" s="422"/>
    </row>
    <row r="42253" spans="191:191" x14ac:dyDescent="0.2">
      <c r="GI42253" s="422"/>
    </row>
    <row r="42254" spans="191:191" x14ac:dyDescent="0.2">
      <c r="GI42254" s="422"/>
    </row>
    <row r="42255" spans="191:191" x14ac:dyDescent="0.2">
      <c r="GI42255" s="422"/>
    </row>
    <row r="42256" spans="191:191" x14ac:dyDescent="0.2">
      <c r="GI42256" s="422"/>
    </row>
    <row r="42257" spans="191:191" x14ac:dyDescent="0.2">
      <c r="GI42257" s="422"/>
    </row>
    <row r="42258" spans="191:191" x14ac:dyDescent="0.2">
      <c r="GI42258" s="422"/>
    </row>
    <row r="42259" spans="191:191" x14ac:dyDescent="0.2">
      <c r="GI42259" s="422"/>
    </row>
    <row r="42260" spans="191:191" x14ac:dyDescent="0.2">
      <c r="GI42260" s="422"/>
    </row>
    <row r="42261" spans="191:191" x14ac:dyDescent="0.2">
      <c r="GI42261" s="422"/>
    </row>
    <row r="42262" spans="191:191" x14ac:dyDescent="0.2">
      <c r="GI42262" s="422"/>
    </row>
    <row r="42263" spans="191:191" x14ac:dyDescent="0.2">
      <c r="GI42263" s="422"/>
    </row>
    <row r="42264" spans="191:191" x14ac:dyDescent="0.2">
      <c r="GI42264" s="422"/>
    </row>
    <row r="42265" spans="191:191" x14ac:dyDescent="0.2">
      <c r="GI42265" s="422"/>
    </row>
    <row r="42266" spans="191:191" x14ac:dyDescent="0.2">
      <c r="GI42266" s="422"/>
    </row>
    <row r="42267" spans="191:191" x14ac:dyDescent="0.2">
      <c r="GI42267" s="422"/>
    </row>
    <row r="42268" spans="191:191" x14ac:dyDescent="0.2">
      <c r="GI42268" s="422"/>
    </row>
    <row r="42269" spans="191:191" x14ac:dyDescent="0.2">
      <c r="GI42269" s="422"/>
    </row>
    <row r="42270" spans="191:191" x14ac:dyDescent="0.2">
      <c r="GI42270" s="422"/>
    </row>
    <row r="42271" spans="191:191" x14ac:dyDescent="0.2">
      <c r="GI42271" s="422"/>
    </row>
    <row r="42272" spans="191:191" x14ac:dyDescent="0.2">
      <c r="GI42272" s="422"/>
    </row>
    <row r="42273" spans="191:191" x14ac:dyDescent="0.2">
      <c r="GI42273" s="422"/>
    </row>
    <row r="42274" spans="191:191" x14ac:dyDescent="0.2">
      <c r="GI42274" s="422"/>
    </row>
    <row r="42275" spans="191:191" x14ac:dyDescent="0.2">
      <c r="GI42275" s="422"/>
    </row>
    <row r="42276" spans="191:191" x14ac:dyDescent="0.2">
      <c r="GI42276" s="422"/>
    </row>
    <row r="42277" spans="191:191" x14ac:dyDescent="0.2">
      <c r="GI42277" s="422"/>
    </row>
    <row r="42278" spans="191:191" x14ac:dyDescent="0.2">
      <c r="GI42278" s="422"/>
    </row>
    <row r="42279" spans="191:191" x14ac:dyDescent="0.2">
      <c r="GI42279" s="422"/>
    </row>
    <row r="42280" spans="191:191" x14ac:dyDescent="0.2">
      <c r="GI42280" s="422"/>
    </row>
    <row r="42281" spans="191:191" x14ac:dyDescent="0.2">
      <c r="GI42281" s="422"/>
    </row>
    <row r="42282" spans="191:191" x14ac:dyDescent="0.2">
      <c r="GI42282" s="422"/>
    </row>
    <row r="42283" spans="191:191" x14ac:dyDescent="0.2">
      <c r="GI42283" s="422"/>
    </row>
    <row r="42284" spans="191:191" x14ac:dyDescent="0.2">
      <c r="GI42284" s="422"/>
    </row>
    <row r="42285" spans="191:191" x14ac:dyDescent="0.2">
      <c r="GI42285" s="422"/>
    </row>
    <row r="42286" spans="191:191" x14ac:dyDescent="0.2">
      <c r="GI42286" s="422"/>
    </row>
    <row r="42287" spans="191:191" x14ac:dyDescent="0.2">
      <c r="GI42287" s="422"/>
    </row>
    <row r="42288" spans="191:191" x14ac:dyDescent="0.2">
      <c r="GI42288" s="422"/>
    </row>
    <row r="42289" spans="191:191" x14ac:dyDescent="0.2">
      <c r="GI42289" s="422"/>
    </row>
    <row r="42290" spans="191:191" x14ac:dyDescent="0.2">
      <c r="GI42290" s="422"/>
    </row>
    <row r="42291" spans="191:191" x14ac:dyDescent="0.2">
      <c r="GI42291" s="422"/>
    </row>
    <row r="42292" spans="191:191" x14ac:dyDescent="0.2">
      <c r="GI42292" s="422"/>
    </row>
    <row r="42293" spans="191:191" x14ac:dyDescent="0.2">
      <c r="GI42293" s="422"/>
    </row>
    <row r="42294" spans="191:191" x14ac:dyDescent="0.2">
      <c r="GI42294" s="422"/>
    </row>
    <row r="42295" spans="191:191" x14ac:dyDescent="0.2">
      <c r="GI42295" s="422"/>
    </row>
    <row r="42296" spans="191:191" x14ac:dyDescent="0.2">
      <c r="GI42296" s="422"/>
    </row>
    <row r="42297" spans="191:191" x14ac:dyDescent="0.2">
      <c r="GI42297" s="422"/>
    </row>
    <row r="42298" spans="191:191" x14ac:dyDescent="0.2">
      <c r="GI42298" s="422"/>
    </row>
    <row r="42299" spans="191:191" x14ac:dyDescent="0.2">
      <c r="GI42299" s="422"/>
    </row>
    <row r="42300" spans="191:191" x14ac:dyDescent="0.2">
      <c r="GI42300" s="422"/>
    </row>
    <row r="42301" spans="191:191" x14ac:dyDescent="0.2">
      <c r="GI42301" s="422"/>
    </row>
    <row r="42302" spans="191:191" x14ac:dyDescent="0.2">
      <c r="GI42302" s="422"/>
    </row>
    <row r="42303" spans="191:191" x14ac:dyDescent="0.2">
      <c r="GI42303" s="422"/>
    </row>
    <row r="42304" spans="191:191" x14ac:dyDescent="0.2">
      <c r="GI42304" s="422"/>
    </row>
    <row r="42305" spans="191:191" x14ac:dyDescent="0.2">
      <c r="GI42305" s="422"/>
    </row>
    <row r="42306" spans="191:191" x14ac:dyDescent="0.2">
      <c r="GI42306" s="422"/>
    </row>
    <row r="42307" spans="191:191" x14ac:dyDescent="0.2">
      <c r="GI42307" s="422"/>
    </row>
    <row r="42308" spans="191:191" x14ac:dyDescent="0.2">
      <c r="GI42308" s="422"/>
    </row>
    <row r="42309" spans="191:191" x14ac:dyDescent="0.2">
      <c r="GI42309" s="422"/>
    </row>
    <row r="42310" spans="191:191" x14ac:dyDescent="0.2">
      <c r="GI42310" s="422"/>
    </row>
    <row r="42311" spans="191:191" x14ac:dyDescent="0.2">
      <c r="GI42311" s="422"/>
    </row>
    <row r="42312" spans="191:191" x14ac:dyDescent="0.2">
      <c r="GI42312" s="422"/>
    </row>
    <row r="42313" spans="191:191" x14ac:dyDescent="0.2">
      <c r="GI42313" s="422"/>
    </row>
    <row r="42314" spans="191:191" x14ac:dyDescent="0.2">
      <c r="GI42314" s="422"/>
    </row>
    <row r="42315" spans="191:191" x14ac:dyDescent="0.2">
      <c r="GI42315" s="422"/>
    </row>
    <row r="42316" spans="191:191" x14ac:dyDescent="0.2">
      <c r="GI42316" s="422"/>
    </row>
    <row r="42317" spans="191:191" x14ac:dyDescent="0.2">
      <c r="GI42317" s="422"/>
    </row>
    <row r="42318" spans="191:191" x14ac:dyDescent="0.2">
      <c r="GI42318" s="422"/>
    </row>
    <row r="42319" spans="191:191" x14ac:dyDescent="0.2">
      <c r="GI42319" s="422"/>
    </row>
    <row r="42320" spans="191:191" x14ac:dyDescent="0.2">
      <c r="GI42320" s="422"/>
    </row>
    <row r="42321" spans="191:191" x14ac:dyDescent="0.2">
      <c r="GI42321" s="422"/>
    </row>
    <row r="42322" spans="191:191" x14ac:dyDescent="0.2">
      <c r="GI42322" s="422"/>
    </row>
    <row r="42323" spans="191:191" x14ac:dyDescent="0.2">
      <c r="GI42323" s="422"/>
    </row>
    <row r="42324" spans="191:191" x14ac:dyDescent="0.2">
      <c r="GI42324" s="422"/>
    </row>
    <row r="42325" spans="191:191" x14ac:dyDescent="0.2">
      <c r="GI42325" s="422"/>
    </row>
    <row r="42326" spans="191:191" x14ac:dyDescent="0.2">
      <c r="GI42326" s="422"/>
    </row>
    <row r="42327" spans="191:191" x14ac:dyDescent="0.2">
      <c r="GI42327" s="422"/>
    </row>
    <row r="42328" spans="191:191" x14ac:dyDescent="0.2">
      <c r="GI42328" s="422"/>
    </row>
    <row r="42329" spans="191:191" x14ac:dyDescent="0.2">
      <c r="GI42329" s="422"/>
    </row>
    <row r="42330" spans="191:191" x14ac:dyDescent="0.2">
      <c r="GI42330" s="422"/>
    </row>
    <row r="42331" spans="191:191" x14ac:dyDescent="0.2">
      <c r="GI42331" s="422"/>
    </row>
    <row r="42332" spans="191:191" x14ac:dyDescent="0.2">
      <c r="GI42332" s="422"/>
    </row>
    <row r="42333" spans="191:191" x14ac:dyDescent="0.2">
      <c r="GI42333" s="422"/>
    </row>
    <row r="42334" spans="191:191" x14ac:dyDescent="0.2">
      <c r="GI42334" s="422"/>
    </row>
    <row r="42335" spans="191:191" x14ac:dyDescent="0.2">
      <c r="GI42335" s="422"/>
    </row>
    <row r="42336" spans="191:191" x14ac:dyDescent="0.2">
      <c r="GI42336" s="422"/>
    </row>
    <row r="42337" spans="191:191" x14ac:dyDescent="0.2">
      <c r="GI42337" s="422"/>
    </row>
    <row r="42338" spans="191:191" x14ac:dyDescent="0.2">
      <c r="GI42338" s="422"/>
    </row>
    <row r="42339" spans="191:191" x14ac:dyDescent="0.2">
      <c r="GI42339" s="422"/>
    </row>
    <row r="42340" spans="191:191" x14ac:dyDescent="0.2">
      <c r="GI42340" s="422"/>
    </row>
    <row r="42341" spans="191:191" x14ac:dyDescent="0.2">
      <c r="GI42341" s="422"/>
    </row>
    <row r="42342" spans="191:191" x14ac:dyDescent="0.2">
      <c r="GI42342" s="422"/>
    </row>
    <row r="42343" spans="191:191" x14ac:dyDescent="0.2">
      <c r="GI42343" s="422"/>
    </row>
    <row r="42344" spans="191:191" x14ac:dyDescent="0.2">
      <c r="GI42344" s="422"/>
    </row>
    <row r="42345" spans="191:191" x14ac:dyDescent="0.2">
      <c r="GI42345" s="422"/>
    </row>
    <row r="42346" spans="191:191" x14ac:dyDescent="0.2">
      <c r="GI42346" s="422"/>
    </row>
    <row r="42347" spans="191:191" x14ac:dyDescent="0.2">
      <c r="GI42347" s="422"/>
    </row>
    <row r="42348" spans="191:191" x14ac:dyDescent="0.2">
      <c r="GI42348" s="422"/>
    </row>
    <row r="42349" spans="191:191" x14ac:dyDescent="0.2">
      <c r="GI42349" s="422"/>
    </row>
    <row r="42350" spans="191:191" x14ac:dyDescent="0.2">
      <c r="GI42350" s="422"/>
    </row>
    <row r="42351" spans="191:191" x14ac:dyDescent="0.2">
      <c r="GI42351" s="422"/>
    </row>
    <row r="42352" spans="191:191" x14ac:dyDescent="0.2">
      <c r="GI42352" s="422"/>
    </row>
    <row r="42353" spans="191:191" x14ac:dyDescent="0.2">
      <c r="GI42353" s="422"/>
    </row>
    <row r="42354" spans="191:191" x14ac:dyDescent="0.2">
      <c r="GI42354" s="422"/>
    </row>
    <row r="42355" spans="191:191" x14ac:dyDescent="0.2">
      <c r="GI42355" s="422"/>
    </row>
    <row r="42356" spans="191:191" x14ac:dyDescent="0.2">
      <c r="GI42356" s="422"/>
    </row>
    <row r="42357" spans="191:191" x14ac:dyDescent="0.2">
      <c r="GI42357" s="422"/>
    </row>
    <row r="42358" spans="191:191" x14ac:dyDescent="0.2">
      <c r="GI42358" s="422"/>
    </row>
    <row r="42359" spans="191:191" x14ac:dyDescent="0.2">
      <c r="GI42359" s="422"/>
    </row>
    <row r="42360" spans="191:191" x14ac:dyDescent="0.2">
      <c r="GI42360" s="422"/>
    </row>
    <row r="42361" spans="191:191" x14ac:dyDescent="0.2">
      <c r="GI42361" s="422"/>
    </row>
    <row r="42362" spans="191:191" x14ac:dyDescent="0.2">
      <c r="GI42362" s="422"/>
    </row>
    <row r="42363" spans="191:191" x14ac:dyDescent="0.2">
      <c r="GI42363" s="422"/>
    </row>
    <row r="42364" spans="191:191" x14ac:dyDescent="0.2">
      <c r="GI42364" s="422"/>
    </row>
    <row r="42365" spans="191:191" x14ac:dyDescent="0.2">
      <c r="GI42365" s="422"/>
    </row>
    <row r="42366" spans="191:191" x14ac:dyDescent="0.2">
      <c r="GI42366" s="422"/>
    </row>
    <row r="42367" spans="191:191" x14ac:dyDescent="0.2">
      <c r="GI42367" s="422"/>
    </row>
    <row r="42368" spans="191:191" x14ac:dyDescent="0.2">
      <c r="GI42368" s="422"/>
    </row>
    <row r="42369" spans="191:191" x14ac:dyDescent="0.2">
      <c r="GI42369" s="422"/>
    </row>
    <row r="42370" spans="191:191" x14ac:dyDescent="0.2">
      <c r="GI42370" s="422"/>
    </row>
    <row r="42371" spans="191:191" x14ac:dyDescent="0.2">
      <c r="GI42371" s="422"/>
    </row>
    <row r="42372" spans="191:191" x14ac:dyDescent="0.2">
      <c r="GI42372" s="422"/>
    </row>
    <row r="42373" spans="191:191" x14ac:dyDescent="0.2">
      <c r="GI42373" s="422"/>
    </row>
    <row r="42374" spans="191:191" x14ac:dyDescent="0.2">
      <c r="GI42374" s="422"/>
    </row>
    <row r="42375" spans="191:191" x14ac:dyDescent="0.2">
      <c r="GI42375" s="422"/>
    </row>
    <row r="42376" spans="191:191" x14ac:dyDescent="0.2">
      <c r="GI42376" s="422"/>
    </row>
    <row r="42377" spans="191:191" x14ac:dyDescent="0.2">
      <c r="GI42377" s="422"/>
    </row>
    <row r="42378" spans="191:191" x14ac:dyDescent="0.2">
      <c r="GI42378" s="422"/>
    </row>
    <row r="42379" spans="191:191" x14ac:dyDescent="0.2">
      <c r="GI42379" s="422"/>
    </row>
    <row r="42380" spans="191:191" x14ac:dyDescent="0.2">
      <c r="GI42380" s="422"/>
    </row>
    <row r="42381" spans="191:191" x14ac:dyDescent="0.2">
      <c r="GI42381" s="422"/>
    </row>
    <row r="42382" spans="191:191" x14ac:dyDescent="0.2">
      <c r="GI42382" s="422"/>
    </row>
    <row r="42383" spans="191:191" x14ac:dyDescent="0.2">
      <c r="GI42383" s="422"/>
    </row>
    <row r="42384" spans="191:191" x14ac:dyDescent="0.2">
      <c r="GI42384" s="422"/>
    </row>
    <row r="42385" spans="191:191" x14ac:dyDescent="0.2">
      <c r="GI42385" s="422"/>
    </row>
    <row r="42386" spans="191:191" x14ac:dyDescent="0.2">
      <c r="GI42386" s="422"/>
    </row>
    <row r="42387" spans="191:191" x14ac:dyDescent="0.2">
      <c r="GI42387" s="422"/>
    </row>
    <row r="42388" spans="191:191" x14ac:dyDescent="0.2">
      <c r="GI42388" s="422"/>
    </row>
    <row r="42389" spans="191:191" x14ac:dyDescent="0.2">
      <c r="GI42389" s="422"/>
    </row>
    <row r="42390" spans="191:191" x14ac:dyDescent="0.2">
      <c r="GI42390" s="422"/>
    </row>
    <row r="42391" spans="191:191" x14ac:dyDescent="0.2">
      <c r="GI42391" s="422"/>
    </row>
    <row r="42392" spans="191:191" x14ac:dyDescent="0.2">
      <c r="GI42392" s="422"/>
    </row>
    <row r="42393" spans="191:191" x14ac:dyDescent="0.2">
      <c r="GI42393" s="422"/>
    </row>
    <row r="42394" spans="191:191" x14ac:dyDescent="0.2">
      <c r="GI42394" s="422"/>
    </row>
    <row r="42395" spans="191:191" x14ac:dyDescent="0.2">
      <c r="GI42395" s="422"/>
    </row>
    <row r="42396" spans="191:191" x14ac:dyDescent="0.2">
      <c r="GI42396" s="422"/>
    </row>
    <row r="42397" spans="191:191" x14ac:dyDescent="0.2">
      <c r="GI42397" s="422"/>
    </row>
    <row r="42398" spans="191:191" x14ac:dyDescent="0.2">
      <c r="GI42398" s="422"/>
    </row>
    <row r="42399" spans="191:191" x14ac:dyDescent="0.2">
      <c r="GI42399" s="422"/>
    </row>
    <row r="42400" spans="191:191" x14ac:dyDescent="0.2">
      <c r="GI42400" s="422"/>
    </row>
    <row r="42401" spans="191:191" x14ac:dyDescent="0.2">
      <c r="GI42401" s="422"/>
    </row>
    <row r="42402" spans="191:191" x14ac:dyDescent="0.2">
      <c r="GI42402" s="422"/>
    </row>
    <row r="42403" spans="191:191" x14ac:dyDescent="0.2">
      <c r="GI42403" s="422"/>
    </row>
    <row r="42404" spans="191:191" x14ac:dyDescent="0.2">
      <c r="GI42404" s="422"/>
    </row>
    <row r="42405" spans="191:191" x14ac:dyDescent="0.2">
      <c r="GI42405" s="422"/>
    </row>
    <row r="42406" spans="191:191" x14ac:dyDescent="0.2">
      <c r="GI42406" s="422"/>
    </row>
    <row r="42407" spans="191:191" x14ac:dyDescent="0.2">
      <c r="GI42407" s="422"/>
    </row>
    <row r="42408" spans="191:191" x14ac:dyDescent="0.2">
      <c r="GI42408" s="422"/>
    </row>
    <row r="42409" spans="191:191" x14ac:dyDescent="0.2">
      <c r="GI42409" s="422"/>
    </row>
    <row r="42410" spans="191:191" x14ac:dyDescent="0.2">
      <c r="GI42410" s="422"/>
    </row>
    <row r="42411" spans="191:191" x14ac:dyDescent="0.2">
      <c r="GI42411" s="422"/>
    </row>
    <row r="42412" spans="191:191" x14ac:dyDescent="0.2">
      <c r="GI42412" s="422"/>
    </row>
    <row r="42413" spans="191:191" x14ac:dyDescent="0.2">
      <c r="GI42413" s="422"/>
    </row>
    <row r="42414" spans="191:191" x14ac:dyDescent="0.2">
      <c r="GI42414" s="422"/>
    </row>
    <row r="42415" spans="191:191" x14ac:dyDescent="0.2">
      <c r="GI42415" s="422"/>
    </row>
    <row r="42416" spans="191:191" x14ac:dyDescent="0.2">
      <c r="GI42416" s="422"/>
    </row>
    <row r="42417" spans="191:191" x14ac:dyDescent="0.2">
      <c r="GI42417" s="422"/>
    </row>
    <row r="42418" spans="191:191" x14ac:dyDescent="0.2">
      <c r="GI42418" s="422"/>
    </row>
    <row r="42419" spans="191:191" x14ac:dyDescent="0.2">
      <c r="GI42419" s="422"/>
    </row>
    <row r="42420" spans="191:191" x14ac:dyDescent="0.2">
      <c r="GI42420" s="422"/>
    </row>
    <row r="42421" spans="191:191" x14ac:dyDescent="0.2">
      <c r="GI42421" s="422"/>
    </row>
    <row r="42422" spans="191:191" x14ac:dyDescent="0.2">
      <c r="GI42422" s="422"/>
    </row>
    <row r="42423" spans="191:191" x14ac:dyDescent="0.2">
      <c r="GI42423" s="422"/>
    </row>
    <row r="42424" spans="191:191" x14ac:dyDescent="0.2">
      <c r="GI42424" s="422"/>
    </row>
    <row r="42425" spans="191:191" x14ac:dyDescent="0.2">
      <c r="GI42425" s="422"/>
    </row>
    <row r="42426" spans="191:191" x14ac:dyDescent="0.2">
      <c r="GI42426" s="422"/>
    </row>
    <row r="42427" spans="191:191" x14ac:dyDescent="0.2">
      <c r="GI42427" s="422"/>
    </row>
    <row r="42428" spans="191:191" x14ac:dyDescent="0.2">
      <c r="GI42428" s="422"/>
    </row>
    <row r="42429" spans="191:191" x14ac:dyDescent="0.2">
      <c r="GI42429" s="422"/>
    </row>
    <row r="42430" spans="191:191" x14ac:dyDescent="0.2">
      <c r="GI42430" s="422"/>
    </row>
    <row r="42431" spans="191:191" x14ac:dyDescent="0.2">
      <c r="GI42431" s="422"/>
    </row>
    <row r="42432" spans="191:191" x14ac:dyDescent="0.2">
      <c r="GI42432" s="422"/>
    </row>
    <row r="42433" spans="191:191" x14ac:dyDescent="0.2">
      <c r="GI42433" s="422"/>
    </row>
    <row r="42434" spans="191:191" x14ac:dyDescent="0.2">
      <c r="GI42434" s="422"/>
    </row>
    <row r="42435" spans="191:191" x14ac:dyDescent="0.2">
      <c r="GI42435" s="422"/>
    </row>
    <row r="42436" spans="191:191" x14ac:dyDescent="0.2">
      <c r="GI42436" s="422"/>
    </row>
    <row r="42437" spans="191:191" x14ac:dyDescent="0.2">
      <c r="GI42437" s="422"/>
    </row>
    <row r="42438" spans="191:191" x14ac:dyDescent="0.2">
      <c r="GI42438" s="422"/>
    </row>
    <row r="42439" spans="191:191" x14ac:dyDescent="0.2">
      <c r="GI42439" s="422"/>
    </row>
    <row r="42440" spans="191:191" x14ac:dyDescent="0.2">
      <c r="GI42440" s="422"/>
    </row>
    <row r="42441" spans="191:191" x14ac:dyDescent="0.2">
      <c r="GI42441" s="422"/>
    </row>
    <row r="42442" spans="191:191" x14ac:dyDescent="0.2">
      <c r="GI42442" s="422"/>
    </row>
    <row r="42443" spans="191:191" x14ac:dyDescent="0.2">
      <c r="GI42443" s="422"/>
    </row>
    <row r="42444" spans="191:191" x14ac:dyDescent="0.2">
      <c r="GI42444" s="422"/>
    </row>
    <row r="42445" spans="191:191" x14ac:dyDescent="0.2">
      <c r="GI42445" s="422"/>
    </row>
    <row r="42446" spans="191:191" x14ac:dyDescent="0.2">
      <c r="GI42446" s="422"/>
    </row>
    <row r="42447" spans="191:191" x14ac:dyDescent="0.2">
      <c r="GI42447" s="422"/>
    </row>
    <row r="42448" spans="191:191" x14ac:dyDescent="0.2">
      <c r="GI42448" s="422"/>
    </row>
    <row r="42449" spans="191:191" x14ac:dyDescent="0.2">
      <c r="GI42449" s="422"/>
    </row>
    <row r="42450" spans="191:191" x14ac:dyDescent="0.2">
      <c r="GI42450" s="422"/>
    </row>
    <row r="42451" spans="191:191" x14ac:dyDescent="0.2">
      <c r="GI42451" s="422"/>
    </row>
    <row r="42452" spans="191:191" x14ac:dyDescent="0.2">
      <c r="GI42452" s="422"/>
    </row>
    <row r="42453" spans="191:191" x14ac:dyDescent="0.2">
      <c r="GI42453" s="422"/>
    </row>
    <row r="42454" spans="191:191" x14ac:dyDescent="0.2">
      <c r="GI42454" s="422"/>
    </row>
    <row r="42455" spans="191:191" x14ac:dyDescent="0.2">
      <c r="GI42455" s="422"/>
    </row>
    <row r="42456" spans="191:191" x14ac:dyDescent="0.2">
      <c r="GI42456" s="422"/>
    </row>
    <row r="42457" spans="191:191" x14ac:dyDescent="0.2">
      <c r="GI42457" s="422"/>
    </row>
    <row r="42458" spans="191:191" x14ac:dyDescent="0.2">
      <c r="GI42458" s="422"/>
    </row>
    <row r="42459" spans="191:191" x14ac:dyDescent="0.2">
      <c r="GI42459" s="422"/>
    </row>
    <row r="42460" spans="191:191" x14ac:dyDescent="0.2">
      <c r="GI42460" s="422"/>
    </row>
    <row r="42461" spans="191:191" x14ac:dyDescent="0.2">
      <c r="GI42461" s="422"/>
    </row>
    <row r="42462" spans="191:191" x14ac:dyDescent="0.2">
      <c r="GI42462" s="422"/>
    </row>
    <row r="42463" spans="191:191" x14ac:dyDescent="0.2">
      <c r="GI42463" s="422"/>
    </row>
    <row r="42464" spans="191:191" x14ac:dyDescent="0.2">
      <c r="GI42464" s="422"/>
    </row>
    <row r="42465" spans="191:191" x14ac:dyDescent="0.2">
      <c r="GI42465" s="422"/>
    </row>
    <row r="42466" spans="191:191" x14ac:dyDescent="0.2">
      <c r="GI42466" s="422"/>
    </row>
    <row r="42467" spans="191:191" x14ac:dyDescent="0.2">
      <c r="GI42467" s="422"/>
    </row>
    <row r="42468" spans="191:191" x14ac:dyDescent="0.2">
      <c r="GI42468" s="422"/>
    </row>
    <row r="42469" spans="191:191" x14ac:dyDescent="0.2">
      <c r="GI42469" s="422"/>
    </row>
    <row r="42470" spans="191:191" x14ac:dyDescent="0.2">
      <c r="GI42470" s="422"/>
    </row>
    <row r="42471" spans="191:191" x14ac:dyDescent="0.2">
      <c r="GI42471" s="422"/>
    </row>
    <row r="42472" spans="191:191" x14ac:dyDescent="0.2">
      <c r="GI42472" s="422"/>
    </row>
    <row r="42473" spans="191:191" x14ac:dyDescent="0.2">
      <c r="GI42473" s="422"/>
    </row>
    <row r="42474" spans="191:191" x14ac:dyDescent="0.2">
      <c r="GI42474" s="422"/>
    </row>
    <row r="42475" spans="191:191" x14ac:dyDescent="0.2">
      <c r="GI42475" s="422"/>
    </row>
    <row r="42476" spans="191:191" x14ac:dyDescent="0.2">
      <c r="GI42476" s="422"/>
    </row>
    <row r="42477" spans="191:191" x14ac:dyDescent="0.2">
      <c r="GI42477" s="422"/>
    </row>
    <row r="42478" spans="191:191" x14ac:dyDescent="0.2">
      <c r="GI42478" s="422"/>
    </row>
    <row r="42479" spans="191:191" x14ac:dyDescent="0.2">
      <c r="GI42479" s="422"/>
    </row>
    <row r="42480" spans="191:191" x14ac:dyDescent="0.2">
      <c r="GI42480" s="422"/>
    </row>
    <row r="42481" spans="191:191" x14ac:dyDescent="0.2">
      <c r="GI42481" s="422"/>
    </row>
    <row r="42482" spans="191:191" x14ac:dyDescent="0.2">
      <c r="GI42482" s="422"/>
    </row>
    <row r="42483" spans="191:191" x14ac:dyDescent="0.2">
      <c r="GI42483" s="422"/>
    </row>
    <row r="42484" spans="191:191" x14ac:dyDescent="0.2">
      <c r="GI42484" s="422"/>
    </row>
    <row r="42485" spans="191:191" x14ac:dyDescent="0.2">
      <c r="GI42485" s="422"/>
    </row>
    <row r="42486" spans="191:191" x14ac:dyDescent="0.2">
      <c r="GI42486" s="422"/>
    </row>
    <row r="42487" spans="191:191" x14ac:dyDescent="0.2">
      <c r="GI42487" s="422"/>
    </row>
    <row r="42488" spans="191:191" x14ac:dyDescent="0.2">
      <c r="GI42488" s="422"/>
    </row>
    <row r="42489" spans="191:191" x14ac:dyDescent="0.2">
      <c r="GI42489" s="422"/>
    </row>
    <row r="42490" spans="191:191" x14ac:dyDescent="0.2">
      <c r="GI42490" s="422"/>
    </row>
    <row r="42491" spans="191:191" x14ac:dyDescent="0.2">
      <c r="GI42491" s="422"/>
    </row>
    <row r="42492" spans="191:191" x14ac:dyDescent="0.2">
      <c r="GI42492" s="422"/>
    </row>
    <row r="42493" spans="191:191" x14ac:dyDescent="0.2">
      <c r="GI42493" s="422"/>
    </row>
    <row r="42494" spans="191:191" x14ac:dyDescent="0.2">
      <c r="GI42494" s="422"/>
    </row>
    <row r="42495" spans="191:191" x14ac:dyDescent="0.2">
      <c r="GI42495" s="422"/>
    </row>
    <row r="42496" spans="191:191" x14ac:dyDescent="0.2">
      <c r="GI42496" s="422"/>
    </row>
    <row r="42497" spans="191:191" x14ac:dyDescent="0.2">
      <c r="GI42497" s="422"/>
    </row>
    <row r="42498" spans="191:191" x14ac:dyDescent="0.2">
      <c r="GI42498" s="422"/>
    </row>
    <row r="42499" spans="191:191" x14ac:dyDescent="0.2">
      <c r="GI42499" s="422"/>
    </row>
    <row r="42500" spans="191:191" x14ac:dyDescent="0.2">
      <c r="GI42500" s="422"/>
    </row>
    <row r="42501" spans="191:191" x14ac:dyDescent="0.2">
      <c r="GI42501" s="422"/>
    </row>
    <row r="42502" spans="191:191" x14ac:dyDescent="0.2">
      <c r="GI42502" s="422"/>
    </row>
    <row r="42503" spans="191:191" x14ac:dyDescent="0.2">
      <c r="GI42503" s="422"/>
    </row>
    <row r="42504" spans="191:191" x14ac:dyDescent="0.2">
      <c r="GI42504" s="422"/>
    </row>
    <row r="42505" spans="191:191" x14ac:dyDescent="0.2">
      <c r="GI42505" s="422"/>
    </row>
    <row r="42506" spans="191:191" x14ac:dyDescent="0.2">
      <c r="GI42506" s="422"/>
    </row>
    <row r="42507" spans="191:191" x14ac:dyDescent="0.2">
      <c r="GI42507" s="422"/>
    </row>
    <row r="42508" spans="191:191" x14ac:dyDescent="0.2">
      <c r="GI42508" s="422"/>
    </row>
    <row r="42509" spans="191:191" x14ac:dyDescent="0.2">
      <c r="GI42509" s="422"/>
    </row>
    <row r="42510" spans="191:191" x14ac:dyDescent="0.2">
      <c r="GI42510" s="422"/>
    </row>
    <row r="42511" spans="191:191" x14ac:dyDescent="0.2">
      <c r="GI42511" s="422"/>
    </row>
    <row r="42512" spans="191:191" x14ac:dyDescent="0.2">
      <c r="GI42512" s="422"/>
    </row>
    <row r="42513" spans="191:191" x14ac:dyDescent="0.2">
      <c r="GI42513" s="422"/>
    </row>
    <row r="42514" spans="191:191" x14ac:dyDescent="0.2">
      <c r="GI42514" s="422"/>
    </row>
    <row r="42515" spans="191:191" x14ac:dyDescent="0.2">
      <c r="GI42515" s="422"/>
    </row>
    <row r="42516" spans="191:191" x14ac:dyDescent="0.2">
      <c r="GI42516" s="422"/>
    </row>
    <row r="42517" spans="191:191" x14ac:dyDescent="0.2">
      <c r="GI42517" s="422"/>
    </row>
    <row r="42518" spans="191:191" x14ac:dyDescent="0.2">
      <c r="GI42518" s="422"/>
    </row>
    <row r="42519" spans="191:191" x14ac:dyDescent="0.2">
      <c r="GI42519" s="422"/>
    </row>
    <row r="42520" spans="191:191" x14ac:dyDescent="0.2">
      <c r="GI42520" s="422"/>
    </row>
    <row r="42521" spans="191:191" x14ac:dyDescent="0.2">
      <c r="GI42521" s="422"/>
    </row>
    <row r="42522" spans="191:191" x14ac:dyDescent="0.2">
      <c r="GI42522" s="422"/>
    </row>
    <row r="42523" spans="191:191" x14ac:dyDescent="0.2">
      <c r="GI42523" s="422"/>
    </row>
    <row r="42524" spans="191:191" x14ac:dyDescent="0.2">
      <c r="GI42524" s="422"/>
    </row>
    <row r="42525" spans="191:191" x14ac:dyDescent="0.2">
      <c r="GI42525" s="422"/>
    </row>
    <row r="42526" spans="191:191" x14ac:dyDescent="0.2">
      <c r="GI42526" s="422"/>
    </row>
    <row r="42527" spans="191:191" x14ac:dyDescent="0.2">
      <c r="GI42527" s="422"/>
    </row>
    <row r="42528" spans="191:191" x14ac:dyDescent="0.2">
      <c r="GI42528" s="422"/>
    </row>
    <row r="42529" spans="191:191" x14ac:dyDescent="0.2">
      <c r="GI42529" s="422"/>
    </row>
    <row r="42530" spans="191:191" x14ac:dyDescent="0.2">
      <c r="GI42530" s="422"/>
    </row>
    <row r="42531" spans="191:191" x14ac:dyDescent="0.2">
      <c r="GI42531" s="422"/>
    </row>
    <row r="42532" spans="191:191" x14ac:dyDescent="0.2">
      <c r="GI42532" s="422"/>
    </row>
    <row r="42533" spans="191:191" x14ac:dyDescent="0.2">
      <c r="GI42533" s="422"/>
    </row>
    <row r="42534" spans="191:191" x14ac:dyDescent="0.2">
      <c r="GI42534" s="422"/>
    </row>
    <row r="42535" spans="191:191" x14ac:dyDescent="0.2">
      <c r="GI42535" s="422"/>
    </row>
    <row r="42536" spans="191:191" x14ac:dyDescent="0.2">
      <c r="GI42536" s="422"/>
    </row>
    <row r="42537" spans="191:191" x14ac:dyDescent="0.2">
      <c r="GI42537" s="422"/>
    </row>
    <row r="42538" spans="191:191" x14ac:dyDescent="0.2">
      <c r="GI42538" s="422"/>
    </row>
    <row r="42539" spans="191:191" x14ac:dyDescent="0.2">
      <c r="GI42539" s="422"/>
    </row>
    <row r="42540" spans="191:191" x14ac:dyDescent="0.2">
      <c r="GI42540" s="422"/>
    </row>
    <row r="42541" spans="191:191" x14ac:dyDescent="0.2">
      <c r="GI42541" s="422"/>
    </row>
    <row r="42542" spans="191:191" x14ac:dyDescent="0.2">
      <c r="GI42542" s="422"/>
    </row>
    <row r="42543" spans="191:191" x14ac:dyDescent="0.2">
      <c r="GI42543" s="422"/>
    </row>
    <row r="42544" spans="191:191" x14ac:dyDescent="0.2">
      <c r="GI42544" s="422"/>
    </row>
    <row r="42545" spans="191:191" x14ac:dyDescent="0.2">
      <c r="GI42545" s="422"/>
    </row>
    <row r="42546" spans="191:191" x14ac:dyDescent="0.2">
      <c r="GI42546" s="422"/>
    </row>
    <row r="42547" spans="191:191" x14ac:dyDescent="0.2">
      <c r="GI42547" s="422"/>
    </row>
    <row r="42548" spans="191:191" x14ac:dyDescent="0.2">
      <c r="GI42548" s="422"/>
    </row>
    <row r="42549" spans="191:191" x14ac:dyDescent="0.2">
      <c r="GI42549" s="422"/>
    </row>
    <row r="42550" spans="191:191" x14ac:dyDescent="0.2">
      <c r="GI42550" s="422"/>
    </row>
    <row r="42551" spans="191:191" x14ac:dyDescent="0.2">
      <c r="GI42551" s="422"/>
    </row>
    <row r="42552" spans="191:191" x14ac:dyDescent="0.2">
      <c r="GI42552" s="422"/>
    </row>
    <row r="42553" spans="191:191" x14ac:dyDescent="0.2">
      <c r="GI42553" s="422"/>
    </row>
    <row r="42554" spans="191:191" x14ac:dyDescent="0.2">
      <c r="GI42554" s="422"/>
    </row>
    <row r="42555" spans="191:191" x14ac:dyDescent="0.2">
      <c r="GI42555" s="422"/>
    </row>
    <row r="42556" spans="191:191" x14ac:dyDescent="0.2">
      <c r="GI42556" s="422"/>
    </row>
    <row r="42557" spans="191:191" x14ac:dyDescent="0.2">
      <c r="GI42557" s="422"/>
    </row>
    <row r="42558" spans="191:191" x14ac:dyDescent="0.2">
      <c r="GI42558" s="422"/>
    </row>
    <row r="42559" spans="191:191" x14ac:dyDescent="0.2">
      <c r="GI42559" s="422"/>
    </row>
    <row r="42560" spans="191:191" x14ac:dyDescent="0.2">
      <c r="GI42560" s="422"/>
    </row>
    <row r="42561" spans="191:191" x14ac:dyDescent="0.2">
      <c r="GI42561" s="422"/>
    </row>
    <row r="42562" spans="191:191" x14ac:dyDescent="0.2">
      <c r="GI42562" s="422"/>
    </row>
    <row r="42563" spans="191:191" x14ac:dyDescent="0.2">
      <c r="GI42563" s="422"/>
    </row>
    <row r="42564" spans="191:191" x14ac:dyDescent="0.2">
      <c r="GI42564" s="422"/>
    </row>
    <row r="42565" spans="191:191" x14ac:dyDescent="0.2">
      <c r="GI42565" s="422"/>
    </row>
    <row r="42566" spans="191:191" x14ac:dyDescent="0.2">
      <c r="GI42566" s="422"/>
    </row>
    <row r="42567" spans="191:191" x14ac:dyDescent="0.2">
      <c r="GI42567" s="422"/>
    </row>
    <row r="42568" spans="191:191" x14ac:dyDescent="0.2">
      <c r="GI42568" s="422"/>
    </row>
    <row r="42569" spans="191:191" x14ac:dyDescent="0.2">
      <c r="GI42569" s="422"/>
    </row>
    <row r="42570" spans="191:191" x14ac:dyDescent="0.2">
      <c r="GI42570" s="422"/>
    </row>
    <row r="42571" spans="191:191" x14ac:dyDescent="0.2">
      <c r="GI42571" s="422"/>
    </row>
    <row r="42572" spans="191:191" x14ac:dyDescent="0.2">
      <c r="GI42572" s="422"/>
    </row>
    <row r="42573" spans="191:191" x14ac:dyDescent="0.2">
      <c r="GI42573" s="422"/>
    </row>
    <row r="42574" spans="191:191" x14ac:dyDescent="0.2">
      <c r="GI42574" s="422"/>
    </row>
    <row r="42575" spans="191:191" x14ac:dyDescent="0.2">
      <c r="GI42575" s="422"/>
    </row>
    <row r="42576" spans="191:191" x14ac:dyDescent="0.2">
      <c r="GI42576" s="422"/>
    </row>
    <row r="42577" spans="191:191" x14ac:dyDescent="0.2">
      <c r="GI42577" s="422"/>
    </row>
    <row r="42578" spans="191:191" x14ac:dyDescent="0.2">
      <c r="GI42578" s="422"/>
    </row>
    <row r="42579" spans="191:191" x14ac:dyDescent="0.2">
      <c r="GI42579" s="422"/>
    </row>
    <row r="42580" spans="191:191" x14ac:dyDescent="0.2">
      <c r="GI42580" s="422"/>
    </row>
    <row r="42581" spans="191:191" x14ac:dyDescent="0.2">
      <c r="GI42581" s="422"/>
    </row>
    <row r="42582" spans="191:191" x14ac:dyDescent="0.2">
      <c r="GI42582" s="422"/>
    </row>
    <row r="42583" spans="191:191" x14ac:dyDescent="0.2">
      <c r="GI42583" s="422"/>
    </row>
    <row r="42584" spans="191:191" x14ac:dyDescent="0.2">
      <c r="GI42584" s="422"/>
    </row>
    <row r="42585" spans="191:191" x14ac:dyDescent="0.2">
      <c r="GI42585" s="422"/>
    </row>
    <row r="42586" spans="191:191" x14ac:dyDescent="0.2">
      <c r="GI42586" s="422"/>
    </row>
    <row r="42587" spans="191:191" x14ac:dyDescent="0.2">
      <c r="GI42587" s="422"/>
    </row>
    <row r="42588" spans="191:191" x14ac:dyDescent="0.2">
      <c r="GI42588" s="422"/>
    </row>
    <row r="42589" spans="191:191" x14ac:dyDescent="0.2">
      <c r="GI42589" s="422"/>
    </row>
    <row r="42590" spans="191:191" x14ac:dyDescent="0.2">
      <c r="GI42590" s="422"/>
    </row>
    <row r="42591" spans="191:191" x14ac:dyDescent="0.2">
      <c r="GI42591" s="422"/>
    </row>
    <row r="42592" spans="191:191" x14ac:dyDescent="0.2">
      <c r="GI42592" s="422"/>
    </row>
    <row r="42593" spans="191:191" x14ac:dyDescent="0.2">
      <c r="GI42593" s="422"/>
    </row>
    <row r="42594" spans="191:191" x14ac:dyDescent="0.2">
      <c r="GI42594" s="422"/>
    </row>
    <row r="42595" spans="191:191" x14ac:dyDescent="0.2">
      <c r="GI42595" s="422"/>
    </row>
    <row r="42596" spans="191:191" x14ac:dyDescent="0.2">
      <c r="GI42596" s="422"/>
    </row>
    <row r="42597" spans="191:191" x14ac:dyDescent="0.2">
      <c r="GI42597" s="422"/>
    </row>
    <row r="42598" spans="191:191" x14ac:dyDescent="0.2">
      <c r="GI42598" s="422"/>
    </row>
    <row r="42599" spans="191:191" x14ac:dyDescent="0.2">
      <c r="GI42599" s="422"/>
    </row>
    <row r="42600" spans="191:191" x14ac:dyDescent="0.2">
      <c r="GI42600" s="422"/>
    </row>
    <row r="42601" spans="191:191" x14ac:dyDescent="0.2">
      <c r="GI42601" s="422"/>
    </row>
    <row r="42602" spans="191:191" x14ac:dyDescent="0.2">
      <c r="GI42602" s="422"/>
    </row>
    <row r="42603" spans="191:191" x14ac:dyDescent="0.2">
      <c r="GI42603" s="422"/>
    </row>
    <row r="42604" spans="191:191" x14ac:dyDescent="0.2">
      <c r="GI42604" s="422"/>
    </row>
    <row r="42605" spans="191:191" x14ac:dyDescent="0.2">
      <c r="GI42605" s="422"/>
    </row>
    <row r="42606" spans="191:191" x14ac:dyDescent="0.2">
      <c r="GI42606" s="422"/>
    </row>
    <row r="42607" spans="191:191" x14ac:dyDescent="0.2">
      <c r="GI42607" s="422"/>
    </row>
    <row r="42608" spans="191:191" x14ac:dyDescent="0.2">
      <c r="GI42608" s="422"/>
    </row>
    <row r="42609" spans="191:191" x14ac:dyDescent="0.2">
      <c r="GI42609" s="422"/>
    </row>
    <row r="42610" spans="191:191" x14ac:dyDescent="0.2">
      <c r="GI42610" s="422"/>
    </row>
    <row r="42611" spans="191:191" x14ac:dyDescent="0.2">
      <c r="GI42611" s="422"/>
    </row>
    <row r="42612" spans="191:191" x14ac:dyDescent="0.2">
      <c r="GI42612" s="422"/>
    </row>
    <row r="42613" spans="191:191" x14ac:dyDescent="0.2">
      <c r="GI42613" s="422"/>
    </row>
    <row r="42614" spans="191:191" x14ac:dyDescent="0.2">
      <c r="GI42614" s="422"/>
    </row>
    <row r="42615" spans="191:191" x14ac:dyDescent="0.2">
      <c r="GI42615" s="422"/>
    </row>
    <row r="42616" spans="191:191" x14ac:dyDescent="0.2">
      <c r="GI42616" s="422"/>
    </row>
    <row r="42617" spans="191:191" x14ac:dyDescent="0.2">
      <c r="GI42617" s="422"/>
    </row>
    <row r="42618" spans="191:191" x14ac:dyDescent="0.2">
      <c r="GI42618" s="422"/>
    </row>
    <row r="42619" spans="191:191" x14ac:dyDescent="0.2">
      <c r="GI42619" s="422"/>
    </row>
    <row r="42620" spans="191:191" x14ac:dyDescent="0.2">
      <c r="GI42620" s="422"/>
    </row>
    <row r="42621" spans="191:191" x14ac:dyDescent="0.2">
      <c r="GI42621" s="422"/>
    </row>
    <row r="42622" spans="191:191" x14ac:dyDescent="0.2">
      <c r="GI42622" s="422"/>
    </row>
    <row r="42623" spans="191:191" x14ac:dyDescent="0.2">
      <c r="GI42623" s="422"/>
    </row>
    <row r="42624" spans="191:191" x14ac:dyDescent="0.2">
      <c r="GI42624" s="422"/>
    </row>
    <row r="42625" spans="191:191" x14ac:dyDescent="0.2">
      <c r="GI42625" s="422"/>
    </row>
    <row r="42626" spans="191:191" x14ac:dyDescent="0.2">
      <c r="GI42626" s="422"/>
    </row>
    <row r="42627" spans="191:191" x14ac:dyDescent="0.2">
      <c r="GI42627" s="422"/>
    </row>
    <row r="42628" spans="191:191" x14ac:dyDescent="0.2">
      <c r="GI42628" s="422"/>
    </row>
    <row r="42629" spans="191:191" x14ac:dyDescent="0.2">
      <c r="GI42629" s="422"/>
    </row>
    <row r="42630" spans="191:191" x14ac:dyDescent="0.2">
      <c r="GI42630" s="422"/>
    </row>
    <row r="42631" spans="191:191" x14ac:dyDescent="0.2">
      <c r="GI42631" s="422"/>
    </row>
    <row r="42632" spans="191:191" x14ac:dyDescent="0.2">
      <c r="GI42632" s="422"/>
    </row>
    <row r="42633" spans="191:191" x14ac:dyDescent="0.2">
      <c r="GI42633" s="422"/>
    </row>
    <row r="42634" spans="191:191" x14ac:dyDescent="0.2">
      <c r="GI42634" s="422"/>
    </row>
    <row r="42635" spans="191:191" x14ac:dyDescent="0.2">
      <c r="GI42635" s="422"/>
    </row>
    <row r="42636" spans="191:191" x14ac:dyDescent="0.2">
      <c r="GI42636" s="422"/>
    </row>
    <row r="42637" spans="191:191" x14ac:dyDescent="0.2">
      <c r="GI42637" s="422"/>
    </row>
    <row r="42638" spans="191:191" x14ac:dyDescent="0.2">
      <c r="GI42638" s="422"/>
    </row>
    <row r="42639" spans="191:191" x14ac:dyDescent="0.2">
      <c r="GI42639" s="422"/>
    </row>
    <row r="42640" spans="191:191" x14ac:dyDescent="0.2">
      <c r="GI42640" s="422"/>
    </row>
    <row r="42641" spans="191:191" x14ac:dyDescent="0.2">
      <c r="GI42641" s="422"/>
    </row>
    <row r="42642" spans="191:191" x14ac:dyDescent="0.2">
      <c r="GI42642" s="422"/>
    </row>
    <row r="42643" spans="191:191" x14ac:dyDescent="0.2">
      <c r="GI42643" s="422"/>
    </row>
    <row r="42644" spans="191:191" x14ac:dyDescent="0.2">
      <c r="GI42644" s="422"/>
    </row>
    <row r="42645" spans="191:191" x14ac:dyDescent="0.2">
      <c r="GI42645" s="422"/>
    </row>
    <row r="42646" spans="191:191" x14ac:dyDescent="0.2">
      <c r="GI42646" s="422"/>
    </row>
    <row r="42647" spans="191:191" x14ac:dyDescent="0.2">
      <c r="GI42647" s="422"/>
    </row>
    <row r="42648" spans="191:191" x14ac:dyDescent="0.2">
      <c r="GI42648" s="422"/>
    </row>
    <row r="42649" spans="191:191" x14ac:dyDescent="0.2">
      <c r="GI42649" s="422"/>
    </row>
    <row r="42650" spans="191:191" x14ac:dyDescent="0.2">
      <c r="GI42650" s="422"/>
    </row>
    <row r="42651" spans="191:191" x14ac:dyDescent="0.2">
      <c r="GI42651" s="422"/>
    </row>
    <row r="42652" spans="191:191" x14ac:dyDescent="0.2">
      <c r="GI42652" s="422"/>
    </row>
    <row r="42653" spans="191:191" x14ac:dyDescent="0.2">
      <c r="GI42653" s="422"/>
    </row>
    <row r="42654" spans="191:191" x14ac:dyDescent="0.2">
      <c r="GI42654" s="422"/>
    </row>
    <row r="42655" spans="191:191" x14ac:dyDescent="0.2">
      <c r="GI42655" s="422"/>
    </row>
    <row r="42656" spans="191:191" x14ac:dyDescent="0.2">
      <c r="GI42656" s="422"/>
    </row>
    <row r="42657" spans="191:191" x14ac:dyDescent="0.2">
      <c r="GI42657" s="422"/>
    </row>
    <row r="42658" spans="191:191" x14ac:dyDescent="0.2">
      <c r="GI42658" s="422"/>
    </row>
    <row r="42659" spans="191:191" x14ac:dyDescent="0.2">
      <c r="GI42659" s="422"/>
    </row>
    <row r="42660" spans="191:191" x14ac:dyDescent="0.2">
      <c r="GI42660" s="422"/>
    </row>
    <row r="42661" spans="191:191" x14ac:dyDescent="0.2">
      <c r="GI42661" s="422"/>
    </row>
    <row r="42662" spans="191:191" x14ac:dyDescent="0.2">
      <c r="GI42662" s="422"/>
    </row>
    <row r="42663" spans="191:191" x14ac:dyDescent="0.2">
      <c r="GI42663" s="422"/>
    </row>
    <row r="42664" spans="191:191" x14ac:dyDescent="0.2">
      <c r="GI42664" s="422"/>
    </row>
    <row r="42665" spans="191:191" x14ac:dyDescent="0.2">
      <c r="GI42665" s="422"/>
    </row>
    <row r="42666" spans="191:191" x14ac:dyDescent="0.2">
      <c r="GI42666" s="422"/>
    </row>
    <row r="42667" spans="191:191" x14ac:dyDescent="0.2">
      <c r="GI42667" s="422"/>
    </row>
    <row r="42668" spans="191:191" x14ac:dyDescent="0.2">
      <c r="GI42668" s="422"/>
    </row>
    <row r="42669" spans="191:191" x14ac:dyDescent="0.2">
      <c r="GI42669" s="422"/>
    </row>
    <row r="42670" spans="191:191" x14ac:dyDescent="0.2">
      <c r="GI42670" s="422"/>
    </row>
    <row r="42671" spans="191:191" x14ac:dyDescent="0.2">
      <c r="GI42671" s="422"/>
    </row>
    <row r="42672" spans="191:191" x14ac:dyDescent="0.2">
      <c r="GI42672" s="422"/>
    </row>
    <row r="42673" spans="191:191" x14ac:dyDescent="0.2">
      <c r="GI42673" s="422"/>
    </row>
    <row r="42674" spans="191:191" x14ac:dyDescent="0.2">
      <c r="GI42674" s="422"/>
    </row>
    <row r="42675" spans="191:191" x14ac:dyDescent="0.2">
      <c r="GI42675" s="422"/>
    </row>
    <row r="42676" spans="191:191" x14ac:dyDescent="0.2">
      <c r="GI42676" s="422"/>
    </row>
    <row r="42677" spans="191:191" x14ac:dyDescent="0.2">
      <c r="GI42677" s="422"/>
    </row>
    <row r="42678" spans="191:191" x14ac:dyDescent="0.2">
      <c r="GI42678" s="422"/>
    </row>
    <row r="42679" spans="191:191" x14ac:dyDescent="0.2">
      <c r="GI42679" s="422"/>
    </row>
    <row r="42680" spans="191:191" x14ac:dyDescent="0.2">
      <c r="GI42680" s="422"/>
    </row>
    <row r="42681" spans="191:191" x14ac:dyDescent="0.2">
      <c r="GI42681" s="422"/>
    </row>
    <row r="42682" spans="191:191" x14ac:dyDescent="0.2">
      <c r="GI42682" s="422"/>
    </row>
    <row r="42683" spans="191:191" x14ac:dyDescent="0.2">
      <c r="GI42683" s="422"/>
    </row>
    <row r="42684" spans="191:191" x14ac:dyDescent="0.2">
      <c r="GI42684" s="422"/>
    </row>
    <row r="42685" spans="191:191" x14ac:dyDescent="0.2">
      <c r="GI42685" s="422"/>
    </row>
    <row r="42686" spans="191:191" x14ac:dyDescent="0.2">
      <c r="GI42686" s="422"/>
    </row>
    <row r="42687" spans="191:191" x14ac:dyDescent="0.2">
      <c r="GI42687" s="422"/>
    </row>
    <row r="42688" spans="191:191" x14ac:dyDescent="0.2">
      <c r="GI42688" s="422"/>
    </row>
    <row r="42689" spans="191:191" x14ac:dyDescent="0.2">
      <c r="GI42689" s="422"/>
    </row>
    <row r="42690" spans="191:191" x14ac:dyDescent="0.2">
      <c r="GI42690" s="422"/>
    </row>
    <row r="42691" spans="191:191" x14ac:dyDescent="0.2">
      <c r="GI42691" s="422"/>
    </row>
    <row r="42692" spans="191:191" x14ac:dyDescent="0.2">
      <c r="GI42692" s="422"/>
    </row>
    <row r="42693" spans="191:191" x14ac:dyDescent="0.2">
      <c r="GI42693" s="422"/>
    </row>
    <row r="42694" spans="191:191" x14ac:dyDescent="0.2">
      <c r="GI42694" s="422"/>
    </row>
    <row r="42695" spans="191:191" x14ac:dyDescent="0.2">
      <c r="GI42695" s="422"/>
    </row>
    <row r="42696" spans="191:191" x14ac:dyDescent="0.2">
      <c r="GI42696" s="422"/>
    </row>
    <row r="42697" spans="191:191" x14ac:dyDescent="0.2">
      <c r="GI42697" s="422"/>
    </row>
    <row r="42698" spans="191:191" x14ac:dyDescent="0.2">
      <c r="GI42698" s="422"/>
    </row>
    <row r="42699" spans="191:191" x14ac:dyDescent="0.2">
      <c r="GI42699" s="422"/>
    </row>
    <row r="42700" spans="191:191" x14ac:dyDescent="0.2">
      <c r="GI42700" s="422"/>
    </row>
    <row r="42701" spans="191:191" x14ac:dyDescent="0.2">
      <c r="GI42701" s="422"/>
    </row>
    <row r="42702" spans="191:191" x14ac:dyDescent="0.2">
      <c r="GI42702" s="422"/>
    </row>
    <row r="42703" spans="191:191" x14ac:dyDescent="0.2">
      <c r="GI42703" s="422"/>
    </row>
    <row r="42704" spans="191:191" x14ac:dyDescent="0.2">
      <c r="GI42704" s="422"/>
    </row>
    <row r="42705" spans="191:191" x14ac:dyDescent="0.2">
      <c r="GI42705" s="422"/>
    </row>
    <row r="42706" spans="191:191" x14ac:dyDescent="0.2">
      <c r="GI42706" s="422"/>
    </row>
    <row r="42707" spans="191:191" x14ac:dyDescent="0.2">
      <c r="GI42707" s="422"/>
    </row>
    <row r="42708" spans="191:191" x14ac:dyDescent="0.2">
      <c r="GI42708" s="422"/>
    </row>
    <row r="42709" spans="191:191" x14ac:dyDescent="0.2">
      <c r="GI42709" s="422"/>
    </row>
    <row r="42710" spans="191:191" x14ac:dyDescent="0.2">
      <c r="GI42710" s="422"/>
    </row>
    <row r="42711" spans="191:191" x14ac:dyDescent="0.2">
      <c r="GI42711" s="422"/>
    </row>
    <row r="42712" spans="191:191" x14ac:dyDescent="0.2">
      <c r="GI42712" s="422"/>
    </row>
    <row r="42713" spans="191:191" x14ac:dyDescent="0.2">
      <c r="GI42713" s="422"/>
    </row>
    <row r="42714" spans="191:191" x14ac:dyDescent="0.2">
      <c r="GI42714" s="422"/>
    </row>
    <row r="42715" spans="191:191" x14ac:dyDescent="0.2">
      <c r="GI42715" s="422"/>
    </row>
    <row r="42716" spans="191:191" x14ac:dyDescent="0.2">
      <c r="GI42716" s="422"/>
    </row>
    <row r="42717" spans="191:191" x14ac:dyDescent="0.2">
      <c r="GI42717" s="422"/>
    </row>
    <row r="42718" spans="191:191" x14ac:dyDescent="0.2">
      <c r="GI42718" s="422"/>
    </row>
    <row r="42719" spans="191:191" x14ac:dyDescent="0.2">
      <c r="GI42719" s="422"/>
    </row>
    <row r="42720" spans="191:191" x14ac:dyDescent="0.2">
      <c r="GI42720" s="422"/>
    </row>
    <row r="42721" spans="191:191" x14ac:dyDescent="0.2">
      <c r="GI42721" s="422"/>
    </row>
    <row r="42722" spans="191:191" x14ac:dyDescent="0.2">
      <c r="GI42722" s="422"/>
    </row>
    <row r="42723" spans="191:191" x14ac:dyDescent="0.2">
      <c r="GI42723" s="422"/>
    </row>
    <row r="42724" spans="191:191" x14ac:dyDescent="0.2">
      <c r="GI42724" s="422"/>
    </row>
    <row r="42725" spans="191:191" x14ac:dyDescent="0.2">
      <c r="GI42725" s="422"/>
    </row>
    <row r="42726" spans="191:191" x14ac:dyDescent="0.2">
      <c r="GI42726" s="422"/>
    </row>
    <row r="42727" spans="191:191" x14ac:dyDescent="0.2">
      <c r="GI42727" s="422"/>
    </row>
    <row r="42728" spans="191:191" x14ac:dyDescent="0.2">
      <c r="GI42728" s="422"/>
    </row>
    <row r="42729" spans="191:191" x14ac:dyDescent="0.2">
      <c r="GI42729" s="422"/>
    </row>
    <row r="42730" spans="191:191" x14ac:dyDescent="0.2">
      <c r="GI42730" s="422"/>
    </row>
    <row r="42731" spans="191:191" x14ac:dyDescent="0.2">
      <c r="GI42731" s="422"/>
    </row>
    <row r="42732" spans="191:191" x14ac:dyDescent="0.2">
      <c r="GI42732" s="422"/>
    </row>
    <row r="42733" spans="191:191" x14ac:dyDescent="0.2">
      <c r="GI42733" s="422"/>
    </row>
    <row r="42734" spans="191:191" x14ac:dyDescent="0.2">
      <c r="GI42734" s="422"/>
    </row>
    <row r="42735" spans="191:191" x14ac:dyDescent="0.2">
      <c r="GI42735" s="422"/>
    </row>
    <row r="42736" spans="191:191" x14ac:dyDescent="0.2">
      <c r="GI42736" s="422"/>
    </row>
    <row r="42737" spans="191:191" x14ac:dyDescent="0.2">
      <c r="GI42737" s="422"/>
    </row>
    <row r="42738" spans="191:191" x14ac:dyDescent="0.2">
      <c r="GI42738" s="422"/>
    </row>
    <row r="42739" spans="191:191" x14ac:dyDescent="0.2">
      <c r="GI42739" s="422"/>
    </row>
    <row r="42740" spans="191:191" x14ac:dyDescent="0.2">
      <c r="GI42740" s="422"/>
    </row>
    <row r="42741" spans="191:191" x14ac:dyDescent="0.2">
      <c r="GI42741" s="422"/>
    </row>
    <row r="42742" spans="191:191" x14ac:dyDescent="0.2">
      <c r="GI42742" s="422"/>
    </row>
    <row r="42743" spans="191:191" x14ac:dyDescent="0.2">
      <c r="GI42743" s="422"/>
    </row>
    <row r="42744" spans="191:191" x14ac:dyDescent="0.2">
      <c r="GI42744" s="422"/>
    </row>
    <row r="42745" spans="191:191" x14ac:dyDescent="0.2">
      <c r="GI42745" s="422"/>
    </row>
    <row r="42746" spans="191:191" x14ac:dyDescent="0.2">
      <c r="GI42746" s="422"/>
    </row>
    <row r="42747" spans="191:191" x14ac:dyDescent="0.2">
      <c r="GI42747" s="422"/>
    </row>
    <row r="42748" spans="191:191" x14ac:dyDescent="0.2">
      <c r="GI42748" s="422"/>
    </row>
    <row r="42749" spans="191:191" x14ac:dyDescent="0.2">
      <c r="GI42749" s="422"/>
    </row>
    <row r="42750" spans="191:191" x14ac:dyDescent="0.2">
      <c r="GI42750" s="422"/>
    </row>
    <row r="42751" spans="191:191" x14ac:dyDescent="0.2">
      <c r="GI42751" s="422"/>
    </row>
    <row r="42752" spans="191:191" x14ac:dyDescent="0.2">
      <c r="GI42752" s="422"/>
    </row>
    <row r="42753" spans="191:191" x14ac:dyDescent="0.2">
      <c r="GI42753" s="422"/>
    </row>
    <row r="42754" spans="191:191" x14ac:dyDescent="0.2">
      <c r="GI42754" s="422"/>
    </row>
    <row r="42755" spans="191:191" x14ac:dyDescent="0.2">
      <c r="GI42755" s="422"/>
    </row>
    <row r="42756" spans="191:191" x14ac:dyDescent="0.2">
      <c r="GI42756" s="422"/>
    </row>
    <row r="42757" spans="191:191" x14ac:dyDescent="0.2">
      <c r="GI42757" s="422"/>
    </row>
    <row r="42758" spans="191:191" x14ac:dyDescent="0.2">
      <c r="GI42758" s="422"/>
    </row>
    <row r="42759" spans="191:191" x14ac:dyDescent="0.2">
      <c r="GI42759" s="422"/>
    </row>
    <row r="42760" spans="191:191" x14ac:dyDescent="0.2">
      <c r="GI42760" s="422"/>
    </row>
    <row r="42761" spans="191:191" x14ac:dyDescent="0.2">
      <c r="GI42761" s="422"/>
    </row>
    <row r="42762" spans="191:191" x14ac:dyDescent="0.2">
      <c r="GI42762" s="422"/>
    </row>
    <row r="42763" spans="191:191" x14ac:dyDescent="0.2">
      <c r="GI42763" s="422"/>
    </row>
    <row r="42764" spans="191:191" x14ac:dyDescent="0.2">
      <c r="GI42764" s="422"/>
    </row>
    <row r="42765" spans="191:191" x14ac:dyDescent="0.2">
      <c r="GI42765" s="422"/>
    </row>
    <row r="42766" spans="191:191" x14ac:dyDescent="0.2">
      <c r="GI42766" s="422"/>
    </row>
    <row r="42767" spans="191:191" x14ac:dyDescent="0.2">
      <c r="GI42767" s="422"/>
    </row>
    <row r="42768" spans="191:191" x14ac:dyDescent="0.2">
      <c r="GI42768" s="422"/>
    </row>
    <row r="42769" spans="191:191" x14ac:dyDescent="0.2">
      <c r="GI42769" s="422"/>
    </row>
    <row r="42770" spans="191:191" x14ac:dyDescent="0.2">
      <c r="GI42770" s="422"/>
    </row>
    <row r="42771" spans="191:191" x14ac:dyDescent="0.2">
      <c r="GI42771" s="422"/>
    </row>
    <row r="42772" spans="191:191" x14ac:dyDescent="0.2">
      <c r="GI42772" s="422"/>
    </row>
    <row r="42773" spans="191:191" x14ac:dyDescent="0.2">
      <c r="GI42773" s="422"/>
    </row>
    <row r="42774" spans="191:191" x14ac:dyDescent="0.2">
      <c r="GI42774" s="422"/>
    </row>
    <row r="42775" spans="191:191" x14ac:dyDescent="0.2">
      <c r="GI42775" s="422"/>
    </row>
    <row r="42776" spans="191:191" x14ac:dyDescent="0.2">
      <c r="GI42776" s="422"/>
    </row>
    <row r="42777" spans="191:191" x14ac:dyDescent="0.2">
      <c r="GI42777" s="422"/>
    </row>
    <row r="42778" spans="191:191" x14ac:dyDescent="0.2">
      <c r="GI42778" s="422"/>
    </row>
    <row r="42779" spans="191:191" x14ac:dyDescent="0.2">
      <c r="GI42779" s="422"/>
    </row>
    <row r="42780" spans="191:191" x14ac:dyDescent="0.2">
      <c r="GI42780" s="422"/>
    </row>
    <row r="42781" spans="191:191" x14ac:dyDescent="0.2">
      <c r="GI42781" s="422"/>
    </row>
    <row r="42782" spans="191:191" x14ac:dyDescent="0.2">
      <c r="GI42782" s="422"/>
    </row>
    <row r="42783" spans="191:191" x14ac:dyDescent="0.2">
      <c r="GI42783" s="422"/>
    </row>
    <row r="42784" spans="191:191" x14ac:dyDescent="0.2">
      <c r="GI42784" s="422"/>
    </row>
    <row r="42785" spans="191:191" x14ac:dyDescent="0.2">
      <c r="GI42785" s="422"/>
    </row>
    <row r="42786" spans="191:191" x14ac:dyDescent="0.2">
      <c r="GI42786" s="422"/>
    </row>
    <row r="42787" spans="191:191" x14ac:dyDescent="0.2">
      <c r="GI42787" s="422"/>
    </row>
    <row r="42788" spans="191:191" x14ac:dyDescent="0.2">
      <c r="GI42788" s="422"/>
    </row>
    <row r="42789" spans="191:191" x14ac:dyDescent="0.2">
      <c r="GI42789" s="422"/>
    </row>
    <row r="42790" spans="191:191" x14ac:dyDescent="0.2">
      <c r="GI42790" s="422"/>
    </row>
    <row r="42791" spans="191:191" x14ac:dyDescent="0.2">
      <c r="GI42791" s="422"/>
    </row>
    <row r="42792" spans="191:191" x14ac:dyDescent="0.2">
      <c r="GI42792" s="422"/>
    </row>
    <row r="42793" spans="191:191" x14ac:dyDescent="0.2">
      <c r="GI42793" s="422"/>
    </row>
    <row r="42794" spans="191:191" x14ac:dyDescent="0.2">
      <c r="GI42794" s="422"/>
    </row>
    <row r="42795" spans="191:191" x14ac:dyDescent="0.2">
      <c r="GI42795" s="422"/>
    </row>
    <row r="42796" spans="191:191" x14ac:dyDescent="0.2">
      <c r="GI42796" s="422"/>
    </row>
    <row r="42797" spans="191:191" x14ac:dyDescent="0.2">
      <c r="GI42797" s="422"/>
    </row>
    <row r="42798" spans="191:191" x14ac:dyDescent="0.2">
      <c r="GI42798" s="422"/>
    </row>
    <row r="42799" spans="191:191" x14ac:dyDescent="0.2">
      <c r="GI42799" s="422"/>
    </row>
    <row r="42800" spans="191:191" x14ac:dyDescent="0.2">
      <c r="GI42800" s="422"/>
    </row>
    <row r="42801" spans="191:191" x14ac:dyDescent="0.2">
      <c r="GI42801" s="422"/>
    </row>
    <row r="42802" spans="191:191" x14ac:dyDescent="0.2">
      <c r="GI42802" s="422"/>
    </row>
    <row r="42803" spans="191:191" x14ac:dyDescent="0.2">
      <c r="GI42803" s="422"/>
    </row>
    <row r="42804" spans="191:191" x14ac:dyDescent="0.2">
      <c r="GI42804" s="422"/>
    </row>
    <row r="42805" spans="191:191" x14ac:dyDescent="0.2">
      <c r="GI42805" s="422"/>
    </row>
    <row r="42806" spans="191:191" x14ac:dyDescent="0.2">
      <c r="GI42806" s="422"/>
    </row>
    <row r="42807" spans="191:191" x14ac:dyDescent="0.2">
      <c r="GI42807" s="422"/>
    </row>
    <row r="42808" spans="191:191" x14ac:dyDescent="0.2">
      <c r="GI42808" s="422"/>
    </row>
    <row r="42809" spans="191:191" x14ac:dyDescent="0.2">
      <c r="GI42809" s="422"/>
    </row>
    <row r="42810" spans="191:191" x14ac:dyDescent="0.2">
      <c r="GI42810" s="422"/>
    </row>
    <row r="42811" spans="191:191" x14ac:dyDescent="0.2">
      <c r="GI42811" s="422"/>
    </row>
    <row r="42812" spans="191:191" x14ac:dyDescent="0.2">
      <c r="GI42812" s="422"/>
    </row>
    <row r="42813" spans="191:191" x14ac:dyDescent="0.2">
      <c r="GI42813" s="422"/>
    </row>
    <row r="42814" spans="191:191" x14ac:dyDescent="0.2">
      <c r="GI42814" s="422"/>
    </row>
    <row r="42815" spans="191:191" x14ac:dyDescent="0.2">
      <c r="GI42815" s="422"/>
    </row>
    <row r="42816" spans="191:191" x14ac:dyDescent="0.2">
      <c r="GI42816" s="422"/>
    </row>
    <row r="42817" spans="191:191" x14ac:dyDescent="0.2">
      <c r="GI42817" s="422"/>
    </row>
    <row r="42818" spans="191:191" x14ac:dyDescent="0.2">
      <c r="GI42818" s="422"/>
    </row>
    <row r="42819" spans="191:191" x14ac:dyDescent="0.2">
      <c r="GI42819" s="422"/>
    </row>
    <row r="42820" spans="191:191" x14ac:dyDescent="0.2">
      <c r="GI42820" s="422"/>
    </row>
    <row r="42821" spans="191:191" x14ac:dyDescent="0.2">
      <c r="GI42821" s="422"/>
    </row>
    <row r="42822" spans="191:191" x14ac:dyDescent="0.2">
      <c r="GI42822" s="422"/>
    </row>
    <row r="42823" spans="191:191" x14ac:dyDescent="0.2">
      <c r="GI42823" s="422"/>
    </row>
    <row r="42824" spans="191:191" x14ac:dyDescent="0.2">
      <c r="GI42824" s="422"/>
    </row>
    <row r="42825" spans="191:191" x14ac:dyDescent="0.2">
      <c r="GI42825" s="422"/>
    </row>
    <row r="42826" spans="191:191" x14ac:dyDescent="0.2">
      <c r="GI42826" s="422"/>
    </row>
    <row r="42827" spans="191:191" x14ac:dyDescent="0.2">
      <c r="GI42827" s="422"/>
    </row>
    <row r="42828" spans="191:191" x14ac:dyDescent="0.2">
      <c r="GI42828" s="422"/>
    </row>
    <row r="42829" spans="191:191" x14ac:dyDescent="0.2">
      <c r="GI42829" s="422"/>
    </row>
    <row r="42830" spans="191:191" x14ac:dyDescent="0.2">
      <c r="GI42830" s="422"/>
    </row>
    <row r="42831" spans="191:191" x14ac:dyDescent="0.2">
      <c r="GI42831" s="422"/>
    </row>
    <row r="42832" spans="191:191" x14ac:dyDescent="0.2">
      <c r="GI42832" s="422"/>
    </row>
    <row r="42833" spans="191:191" x14ac:dyDescent="0.2">
      <c r="GI42833" s="422"/>
    </row>
    <row r="42834" spans="191:191" x14ac:dyDescent="0.2">
      <c r="GI42834" s="422"/>
    </row>
    <row r="42835" spans="191:191" x14ac:dyDescent="0.2">
      <c r="GI42835" s="422"/>
    </row>
    <row r="42836" spans="191:191" x14ac:dyDescent="0.2">
      <c r="GI42836" s="422"/>
    </row>
    <row r="42837" spans="191:191" x14ac:dyDescent="0.2">
      <c r="GI42837" s="422"/>
    </row>
    <row r="42838" spans="191:191" x14ac:dyDescent="0.2">
      <c r="GI42838" s="422"/>
    </row>
    <row r="42839" spans="191:191" x14ac:dyDescent="0.2">
      <c r="GI42839" s="422"/>
    </row>
    <row r="42840" spans="191:191" x14ac:dyDescent="0.2">
      <c r="GI42840" s="422"/>
    </row>
    <row r="42841" spans="191:191" x14ac:dyDescent="0.2">
      <c r="GI42841" s="422"/>
    </row>
    <row r="42842" spans="191:191" x14ac:dyDescent="0.2">
      <c r="GI42842" s="422"/>
    </row>
    <row r="42843" spans="191:191" x14ac:dyDescent="0.2">
      <c r="GI42843" s="422"/>
    </row>
    <row r="42844" spans="191:191" x14ac:dyDescent="0.2">
      <c r="GI42844" s="422"/>
    </row>
    <row r="42845" spans="191:191" x14ac:dyDescent="0.2">
      <c r="GI42845" s="422"/>
    </row>
    <row r="42846" spans="191:191" x14ac:dyDescent="0.2">
      <c r="GI42846" s="422"/>
    </row>
    <row r="42847" spans="191:191" x14ac:dyDescent="0.2">
      <c r="GI42847" s="422"/>
    </row>
    <row r="42848" spans="191:191" x14ac:dyDescent="0.2">
      <c r="GI42848" s="422"/>
    </row>
    <row r="42849" spans="191:191" x14ac:dyDescent="0.2">
      <c r="GI42849" s="422"/>
    </row>
    <row r="42850" spans="191:191" x14ac:dyDescent="0.2">
      <c r="GI42850" s="422"/>
    </row>
    <row r="42851" spans="191:191" x14ac:dyDescent="0.2">
      <c r="GI42851" s="422"/>
    </row>
    <row r="42852" spans="191:191" x14ac:dyDescent="0.2">
      <c r="GI42852" s="422"/>
    </row>
    <row r="42853" spans="191:191" x14ac:dyDescent="0.2">
      <c r="GI42853" s="422"/>
    </row>
    <row r="42854" spans="191:191" x14ac:dyDescent="0.2">
      <c r="GI42854" s="422"/>
    </row>
    <row r="42855" spans="191:191" x14ac:dyDescent="0.2">
      <c r="GI42855" s="422"/>
    </row>
    <row r="42856" spans="191:191" x14ac:dyDescent="0.2">
      <c r="GI42856" s="422"/>
    </row>
    <row r="42857" spans="191:191" x14ac:dyDescent="0.2">
      <c r="GI42857" s="422"/>
    </row>
    <row r="42858" spans="191:191" x14ac:dyDescent="0.2">
      <c r="GI42858" s="422"/>
    </row>
    <row r="42859" spans="191:191" x14ac:dyDescent="0.2">
      <c r="GI42859" s="422"/>
    </row>
    <row r="42860" spans="191:191" x14ac:dyDescent="0.2">
      <c r="GI42860" s="422"/>
    </row>
    <row r="42861" spans="191:191" x14ac:dyDescent="0.2">
      <c r="GI42861" s="422"/>
    </row>
    <row r="42862" spans="191:191" x14ac:dyDescent="0.2">
      <c r="GI42862" s="422"/>
    </row>
    <row r="42863" spans="191:191" x14ac:dyDescent="0.2">
      <c r="GI42863" s="422"/>
    </row>
    <row r="42864" spans="191:191" x14ac:dyDescent="0.2">
      <c r="GI42864" s="422"/>
    </row>
    <row r="42865" spans="191:191" x14ac:dyDescent="0.2">
      <c r="GI42865" s="422"/>
    </row>
    <row r="42866" spans="191:191" x14ac:dyDescent="0.2">
      <c r="GI42866" s="422"/>
    </row>
    <row r="42867" spans="191:191" x14ac:dyDescent="0.2">
      <c r="GI42867" s="422"/>
    </row>
    <row r="42868" spans="191:191" x14ac:dyDescent="0.2">
      <c r="GI42868" s="422"/>
    </row>
    <row r="42869" spans="191:191" x14ac:dyDescent="0.2">
      <c r="GI42869" s="422"/>
    </row>
    <row r="42870" spans="191:191" x14ac:dyDescent="0.2">
      <c r="GI42870" s="422"/>
    </row>
    <row r="42871" spans="191:191" x14ac:dyDescent="0.2">
      <c r="GI42871" s="422"/>
    </row>
    <row r="42872" spans="191:191" x14ac:dyDescent="0.2">
      <c r="GI42872" s="422"/>
    </row>
    <row r="42873" spans="191:191" x14ac:dyDescent="0.2">
      <c r="GI42873" s="422"/>
    </row>
    <row r="42874" spans="191:191" x14ac:dyDescent="0.2">
      <c r="GI42874" s="422"/>
    </row>
    <row r="42875" spans="191:191" x14ac:dyDescent="0.2">
      <c r="GI42875" s="422"/>
    </row>
    <row r="42876" spans="191:191" x14ac:dyDescent="0.2">
      <c r="GI42876" s="422"/>
    </row>
    <row r="42877" spans="191:191" x14ac:dyDescent="0.2">
      <c r="GI42877" s="422"/>
    </row>
    <row r="42878" spans="191:191" x14ac:dyDescent="0.2">
      <c r="GI42878" s="422"/>
    </row>
    <row r="42879" spans="191:191" x14ac:dyDescent="0.2">
      <c r="GI42879" s="422"/>
    </row>
    <row r="42880" spans="191:191" x14ac:dyDescent="0.2">
      <c r="GI42880" s="422"/>
    </row>
    <row r="42881" spans="191:191" x14ac:dyDescent="0.2">
      <c r="GI42881" s="422"/>
    </row>
    <row r="42882" spans="191:191" x14ac:dyDescent="0.2">
      <c r="GI42882" s="422"/>
    </row>
    <row r="42883" spans="191:191" x14ac:dyDescent="0.2">
      <c r="GI42883" s="422"/>
    </row>
    <row r="42884" spans="191:191" x14ac:dyDescent="0.2">
      <c r="GI42884" s="422"/>
    </row>
    <row r="42885" spans="191:191" x14ac:dyDescent="0.2">
      <c r="GI42885" s="422"/>
    </row>
    <row r="42886" spans="191:191" x14ac:dyDescent="0.2">
      <c r="GI42886" s="422"/>
    </row>
    <row r="42887" spans="191:191" x14ac:dyDescent="0.2">
      <c r="GI42887" s="422"/>
    </row>
    <row r="42888" spans="191:191" x14ac:dyDescent="0.2">
      <c r="GI42888" s="422"/>
    </row>
    <row r="42889" spans="191:191" x14ac:dyDescent="0.2">
      <c r="GI42889" s="422"/>
    </row>
    <row r="42890" spans="191:191" x14ac:dyDescent="0.2">
      <c r="GI42890" s="422"/>
    </row>
    <row r="42891" spans="191:191" x14ac:dyDescent="0.2">
      <c r="GI42891" s="422"/>
    </row>
    <row r="42892" spans="191:191" x14ac:dyDescent="0.2">
      <c r="GI42892" s="422"/>
    </row>
    <row r="42893" spans="191:191" x14ac:dyDescent="0.2">
      <c r="GI42893" s="422"/>
    </row>
    <row r="42894" spans="191:191" x14ac:dyDescent="0.2">
      <c r="GI42894" s="422"/>
    </row>
    <row r="42895" spans="191:191" x14ac:dyDescent="0.2">
      <c r="GI42895" s="422"/>
    </row>
    <row r="42896" spans="191:191" x14ac:dyDescent="0.2">
      <c r="GI42896" s="422"/>
    </row>
    <row r="42897" spans="191:191" x14ac:dyDescent="0.2">
      <c r="GI42897" s="422"/>
    </row>
    <row r="42898" spans="191:191" x14ac:dyDescent="0.2">
      <c r="GI42898" s="422"/>
    </row>
    <row r="42899" spans="191:191" x14ac:dyDescent="0.2">
      <c r="GI42899" s="422"/>
    </row>
    <row r="42900" spans="191:191" x14ac:dyDescent="0.2">
      <c r="GI42900" s="422"/>
    </row>
    <row r="42901" spans="191:191" x14ac:dyDescent="0.2">
      <c r="GI42901" s="422"/>
    </row>
    <row r="42902" spans="191:191" x14ac:dyDescent="0.2">
      <c r="GI42902" s="422"/>
    </row>
    <row r="42903" spans="191:191" x14ac:dyDescent="0.2">
      <c r="GI42903" s="422"/>
    </row>
    <row r="42904" spans="191:191" x14ac:dyDescent="0.2">
      <c r="GI42904" s="422"/>
    </row>
    <row r="42905" spans="191:191" x14ac:dyDescent="0.2">
      <c r="GI42905" s="422"/>
    </row>
    <row r="42906" spans="191:191" x14ac:dyDescent="0.2">
      <c r="GI42906" s="422"/>
    </row>
    <row r="42907" spans="191:191" x14ac:dyDescent="0.2">
      <c r="GI42907" s="422"/>
    </row>
    <row r="42908" spans="191:191" x14ac:dyDescent="0.2">
      <c r="GI42908" s="422"/>
    </row>
    <row r="42909" spans="191:191" x14ac:dyDescent="0.2">
      <c r="GI42909" s="422"/>
    </row>
    <row r="42910" spans="191:191" x14ac:dyDescent="0.2">
      <c r="GI42910" s="422"/>
    </row>
    <row r="42911" spans="191:191" x14ac:dyDescent="0.2">
      <c r="GI42911" s="422"/>
    </row>
    <row r="42912" spans="191:191" x14ac:dyDescent="0.2">
      <c r="GI42912" s="422"/>
    </row>
    <row r="42913" spans="191:191" x14ac:dyDescent="0.2">
      <c r="GI42913" s="422"/>
    </row>
    <row r="42914" spans="191:191" x14ac:dyDescent="0.2">
      <c r="GI42914" s="422"/>
    </row>
    <row r="42915" spans="191:191" x14ac:dyDescent="0.2">
      <c r="GI42915" s="422"/>
    </row>
    <row r="42916" spans="191:191" x14ac:dyDescent="0.2">
      <c r="GI42916" s="422"/>
    </row>
    <row r="42917" spans="191:191" x14ac:dyDescent="0.2">
      <c r="GI42917" s="422"/>
    </row>
    <row r="42918" spans="191:191" x14ac:dyDescent="0.2">
      <c r="GI42918" s="422"/>
    </row>
    <row r="42919" spans="191:191" x14ac:dyDescent="0.2">
      <c r="GI42919" s="422"/>
    </row>
    <row r="42920" spans="191:191" x14ac:dyDescent="0.2">
      <c r="GI42920" s="422"/>
    </row>
    <row r="42921" spans="191:191" x14ac:dyDescent="0.2">
      <c r="GI42921" s="422"/>
    </row>
    <row r="42922" spans="191:191" x14ac:dyDescent="0.2">
      <c r="GI42922" s="422"/>
    </row>
    <row r="42923" spans="191:191" x14ac:dyDescent="0.2">
      <c r="GI42923" s="422"/>
    </row>
    <row r="42924" spans="191:191" x14ac:dyDescent="0.2">
      <c r="GI42924" s="422"/>
    </row>
    <row r="42925" spans="191:191" x14ac:dyDescent="0.2">
      <c r="GI42925" s="422"/>
    </row>
    <row r="42926" spans="191:191" x14ac:dyDescent="0.2">
      <c r="GI42926" s="422"/>
    </row>
    <row r="42927" spans="191:191" x14ac:dyDescent="0.2">
      <c r="GI42927" s="422"/>
    </row>
    <row r="42928" spans="191:191" x14ac:dyDescent="0.2">
      <c r="GI42928" s="422"/>
    </row>
    <row r="42929" spans="191:191" x14ac:dyDescent="0.2">
      <c r="GI42929" s="422"/>
    </row>
    <row r="42930" spans="191:191" x14ac:dyDescent="0.2">
      <c r="GI42930" s="422"/>
    </row>
    <row r="42931" spans="191:191" x14ac:dyDescent="0.2">
      <c r="GI42931" s="422"/>
    </row>
    <row r="42932" spans="191:191" x14ac:dyDescent="0.2">
      <c r="GI42932" s="422"/>
    </row>
    <row r="42933" spans="191:191" x14ac:dyDescent="0.2">
      <c r="GI42933" s="422"/>
    </row>
    <row r="42934" spans="191:191" x14ac:dyDescent="0.2">
      <c r="GI42934" s="422"/>
    </row>
    <row r="42935" spans="191:191" x14ac:dyDescent="0.2">
      <c r="GI42935" s="422"/>
    </row>
    <row r="42936" spans="191:191" x14ac:dyDescent="0.2">
      <c r="GI42936" s="422"/>
    </row>
    <row r="42937" spans="191:191" x14ac:dyDescent="0.2">
      <c r="GI42937" s="422"/>
    </row>
    <row r="42938" spans="191:191" x14ac:dyDescent="0.2">
      <c r="GI42938" s="422"/>
    </row>
    <row r="42939" spans="191:191" x14ac:dyDescent="0.2">
      <c r="GI42939" s="422"/>
    </row>
    <row r="42940" spans="191:191" x14ac:dyDescent="0.2">
      <c r="GI42940" s="422"/>
    </row>
    <row r="42941" spans="191:191" x14ac:dyDescent="0.2">
      <c r="GI42941" s="422"/>
    </row>
    <row r="42942" spans="191:191" x14ac:dyDescent="0.2">
      <c r="GI42942" s="422"/>
    </row>
    <row r="42943" spans="191:191" x14ac:dyDescent="0.2">
      <c r="GI42943" s="422"/>
    </row>
    <row r="42944" spans="191:191" x14ac:dyDescent="0.2">
      <c r="GI42944" s="422"/>
    </row>
    <row r="42945" spans="191:191" x14ac:dyDescent="0.2">
      <c r="GI42945" s="422"/>
    </row>
    <row r="42946" spans="191:191" x14ac:dyDescent="0.2">
      <c r="GI42946" s="422"/>
    </row>
    <row r="42947" spans="191:191" x14ac:dyDescent="0.2">
      <c r="GI42947" s="422"/>
    </row>
    <row r="42948" spans="191:191" x14ac:dyDescent="0.2">
      <c r="GI42948" s="422"/>
    </row>
    <row r="42949" spans="191:191" x14ac:dyDescent="0.2">
      <c r="GI42949" s="422"/>
    </row>
    <row r="42950" spans="191:191" x14ac:dyDescent="0.2">
      <c r="GI42950" s="422"/>
    </row>
    <row r="42951" spans="191:191" x14ac:dyDescent="0.2">
      <c r="GI42951" s="422"/>
    </row>
    <row r="42952" spans="191:191" x14ac:dyDescent="0.2">
      <c r="GI42952" s="422"/>
    </row>
    <row r="42953" spans="191:191" x14ac:dyDescent="0.2">
      <c r="GI42953" s="422"/>
    </row>
    <row r="42954" spans="191:191" x14ac:dyDescent="0.2">
      <c r="GI42954" s="422"/>
    </row>
    <row r="42955" spans="191:191" x14ac:dyDescent="0.2">
      <c r="GI42955" s="422"/>
    </row>
    <row r="42956" spans="191:191" x14ac:dyDescent="0.2">
      <c r="GI42956" s="422"/>
    </row>
    <row r="42957" spans="191:191" x14ac:dyDescent="0.2">
      <c r="GI42957" s="422"/>
    </row>
    <row r="42958" spans="191:191" x14ac:dyDescent="0.2">
      <c r="GI42958" s="422"/>
    </row>
    <row r="42959" spans="191:191" x14ac:dyDescent="0.2">
      <c r="GI42959" s="422"/>
    </row>
    <row r="42960" spans="191:191" x14ac:dyDescent="0.2">
      <c r="GI42960" s="422"/>
    </row>
    <row r="42961" spans="191:191" x14ac:dyDescent="0.2">
      <c r="GI42961" s="422"/>
    </row>
    <row r="42962" spans="191:191" x14ac:dyDescent="0.2">
      <c r="GI42962" s="422"/>
    </row>
    <row r="42963" spans="191:191" x14ac:dyDescent="0.2">
      <c r="GI42963" s="422"/>
    </row>
    <row r="42964" spans="191:191" x14ac:dyDescent="0.2">
      <c r="GI42964" s="422"/>
    </row>
    <row r="42965" spans="191:191" x14ac:dyDescent="0.2">
      <c r="GI42965" s="422"/>
    </row>
    <row r="42966" spans="191:191" x14ac:dyDescent="0.2">
      <c r="GI42966" s="422"/>
    </row>
    <row r="42967" spans="191:191" x14ac:dyDescent="0.2">
      <c r="GI42967" s="422"/>
    </row>
    <row r="42968" spans="191:191" x14ac:dyDescent="0.2">
      <c r="GI42968" s="422"/>
    </row>
    <row r="42969" spans="191:191" x14ac:dyDescent="0.2">
      <c r="GI42969" s="422"/>
    </row>
    <row r="42970" spans="191:191" x14ac:dyDescent="0.2">
      <c r="GI42970" s="422"/>
    </row>
    <row r="42971" spans="191:191" x14ac:dyDescent="0.2">
      <c r="GI42971" s="422"/>
    </row>
    <row r="42972" spans="191:191" x14ac:dyDescent="0.2">
      <c r="GI42972" s="422"/>
    </row>
    <row r="42973" spans="191:191" x14ac:dyDescent="0.2">
      <c r="GI42973" s="422"/>
    </row>
    <row r="42974" spans="191:191" x14ac:dyDescent="0.2">
      <c r="GI42974" s="422"/>
    </row>
    <row r="42975" spans="191:191" x14ac:dyDescent="0.2">
      <c r="GI42975" s="422"/>
    </row>
    <row r="42976" spans="191:191" x14ac:dyDescent="0.2">
      <c r="GI42976" s="422"/>
    </row>
    <row r="42977" spans="191:191" x14ac:dyDescent="0.2">
      <c r="GI42977" s="422"/>
    </row>
    <row r="42978" spans="191:191" x14ac:dyDescent="0.2">
      <c r="GI42978" s="422"/>
    </row>
    <row r="42979" spans="191:191" x14ac:dyDescent="0.2">
      <c r="GI42979" s="422"/>
    </row>
    <row r="42980" spans="191:191" x14ac:dyDescent="0.2">
      <c r="GI42980" s="422"/>
    </row>
    <row r="42981" spans="191:191" x14ac:dyDescent="0.2">
      <c r="GI42981" s="422"/>
    </row>
    <row r="42982" spans="191:191" x14ac:dyDescent="0.2">
      <c r="GI42982" s="422"/>
    </row>
    <row r="42983" spans="191:191" x14ac:dyDescent="0.2">
      <c r="GI42983" s="422"/>
    </row>
    <row r="42984" spans="191:191" x14ac:dyDescent="0.2">
      <c r="GI42984" s="422"/>
    </row>
    <row r="42985" spans="191:191" x14ac:dyDescent="0.2">
      <c r="GI42985" s="422"/>
    </row>
    <row r="42986" spans="191:191" x14ac:dyDescent="0.2">
      <c r="GI42986" s="422"/>
    </row>
    <row r="42987" spans="191:191" x14ac:dyDescent="0.2">
      <c r="GI42987" s="422"/>
    </row>
    <row r="42988" spans="191:191" x14ac:dyDescent="0.2">
      <c r="GI42988" s="422"/>
    </row>
    <row r="42989" spans="191:191" x14ac:dyDescent="0.2">
      <c r="GI42989" s="422"/>
    </row>
    <row r="42990" spans="191:191" x14ac:dyDescent="0.2">
      <c r="GI42990" s="422"/>
    </row>
    <row r="42991" spans="191:191" x14ac:dyDescent="0.2">
      <c r="GI42991" s="422"/>
    </row>
    <row r="42992" spans="191:191" x14ac:dyDescent="0.2">
      <c r="GI42992" s="422"/>
    </row>
    <row r="42993" spans="191:191" x14ac:dyDescent="0.2">
      <c r="GI42993" s="422"/>
    </row>
    <row r="42994" spans="191:191" x14ac:dyDescent="0.2">
      <c r="GI42994" s="422"/>
    </row>
    <row r="42995" spans="191:191" x14ac:dyDescent="0.2">
      <c r="GI42995" s="422"/>
    </row>
    <row r="42996" spans="191:191" x14ac:dyDescent="0.2">
      <c r="GI42996" s="422"/>
    </row>
    <row r="42997" spans="191:191" x14ac:dyDescent="0.2">
      <c r="GI42997" s="422"/>
    </row>
    <row r="42998" spans="191:191" x14ac:dyDescent="0.2">
      <c r="GI42998" s="422"/>
    </row>
    <row r="42999" spans="191:191" x14ac:dyDescent="0.2">
      <c r="GI42999" s="422"/>
    </row>
    <row r="43000" spans="191:191" x14ac:dyDescent="0.2">
      <c r="GI43000" s="422"/>
    </row>
    <row r="43001" spans="191:191" x14ac:dyDescent="0.2">
      <c r="GI43001" s="422"/>
    </row>
    <row r="43002" spans="191:191" x14ac:dyDescent="0.2">
      <c r="GI43002" s="422"/>
    </row>
    <row r="43003" spans="191:191" x14ac:dyDescent="0.2">
      <c r="GI43003" s="422"/>
    </row>
    <row r="43004" spans="191:191" x14ac:dyDescent="0.2">
      <c r="GI43004" s="422"/>
    </row>
    <row r="43005" spans="191:191" x14ac:dyDescent="0.2">
      <c r="GI43005" s="422"/>
    </row>
    <row r="43006" spans="191:191" x14ac:dyDescent="0.2">
      <c r="GI43006" s="422"/>
    </row>
    <row r="43007" spans="191:191" x14ac:dyDescent="0.2">
      <c r="GI43007" s="422"/>
    </row>
    <row r="43008" spans="191:191" x14ac:dyDescent="0.2">
      <c r="GI43008" s="422"/>
    </row>
    <row r="43009" spans="191:191" x14ac:dyDescent="0.2">
      <c r="GI43009" s="422"/>
    </row>
    <row r="43010" spans="191:191" x14ac:dyDescent="0.2">
      <c r="GI43010" s="422"/>
    </row>
    <row r="43011" spans="191:191" x14ac:dyDescent="0.2">
      <c r="GI43011" s="422"/>
    </row>
    <row r="43012" spans="191:191" x14ac:dyDescent="0.2">
      <c r="GI43012" s="422"/>
    </row>
    <row r="43013" spans="191:191" x14ac:dyDescent="0.2">
      <c r="GI43013" s="422"/>
    </row>
    <row r="43014" spans="191:191" x14ac:dyDescent="0.2">
      <c r="GI43014" s="422"/>
    </row>
    <row r="43015" spans="191:191" x14ac:dyDescent="0.2">
      <c r="GI43015" s="422"/>
    </row>
    <row r="43016" spans="191:191" x14ac:dyDescent="0.2">
      <c r="GI43016" s="422"/>
    </row>
    <row r="43017" spans="191:191" x14ac:dyDescent="0.2">
      <c r="GI43017" s="422"/>
    </row>
    <row r="43018" spans="191:191" x14ac:dyDescent="0.2">
      <c r="GI43018" s="422"/>
    </row>
    <row r="43019" spans="191:191" x14ac:dyDescent="0.2">
      <c r="GI43019" s="422"/>
    </row>
    <row r="43020" spans="191:191" x14ac:dyDescent="0.2">
      <c r="GI43020" s="422"/>
    </row>
    <row r="43021" spans="191:191" x14ac:dyDescent="0.2">
      <c r="GI43021" s="422"/>
    </row>
    <row r="43022" spans="191:191" x14ac:dyDescent="0.2">
      <c r="GI43022" s="422"/>
    </row>
    <row r="43023" spans="191:191" x14ac:dyDescent="0.2">
      <c r="GI43023" s="422"/>
    </row>
    <row r="43024" spans="191:191" x14ac:dyDescent="0.2">
      <c r="GI43024" s="422"/>
    </row>
    <row r="43025" spans="191:191" x14ac:dyDescent="0.2">
      <c r="GI43025" s="422"/>
    </row>
    <row r="43026" spans="191:191" x14ac:dyDescent="0.2">
      <c r="GI43026" s="422"/>
    </row>
    <row r="43027" spans="191:191" x14ac:dyDescent="0.2">
      <c r="GI43027" s="422"/>
    </row>
    <row r="43028" spans="191:191" x14ac:dyDescent="0.2">
      <c r="GI43028" s="422"/>
    </row>
    <row r="43029" spans="191:191" x14ac:dyDescent="0.2">
      <c r="GI43029" s="422"/>
    </row>
    <row r="43030" spans="191:191" x14ac:dyDescent="0.2">
      <c r="GI43030" s="422"/>
    </row>
    <row r="43031" spans="191:191" x14ac:dyDescent="0.2">
      <c r="GI43031" s="422"/>
    </row>
    <row r="43032" spans="191:191" x14ac:dyDescent="0.2">
      <c r="GI43032" s="422"/>
    </row>
    <row r="43033" spans="191:191" x14ac:dyDescent="0.2">
      <c r="GI43033" s="422"/>
    </row>
    <row r="43034" spans="191:191" x14ac:dyDescent="0.2">
      <c r="GI43034" s="422"/>
    </row>
    <row r="43035" spans="191:191" x14ac:dyDescent="0.2">
      <c r="GI43035" s="422"/>
    </row>
    <row r="43036" spans="191:191" x14ac:dyDescent="0.2">
      <c r="GI43036" s="422"/>
    </row>
    <row r="43037" spans="191:191" x14ac:dyDescent="0.2">
      <c r="GI43037" s="422"/>
    </row>
    <row r="43038" spans="191:191" x14ac:dyDescent="0.2">
      <c r="GI43038" s="422"/>
    </row>
    <row r="43039" spans="191:191" x14ac:dyDescent="0.2">
      <c r="GI43039" s="422"/>
    </row>
    <row r="43040" spans="191:191" x14ac:dyDescent="0.2">
      <c r="GI43040" s="422"/>
    </row>
    <row r="43041" spans="191:191" x14ac:dyDescent="0.2">
      <c r="GI43041" s="422"/>
    </row>
    <row r="43042" spans="191:191" x14ac:dyDescent="0.2">
      <c r="GI43042" s="422"/>
    </row>
    <row r="43043" spans="191:191" x14ac:dyDescent="0.2">
      <c r="GI43043" s="422"/>
    </row>
    <row r="43044" spans="191:191" x14ac:dyDescent="0.2">
      <c r="GI43044" s="422"/>
    </row>
    <row r="43045" spans="191:191" x14ac:dyDescent="0.2">
      <c r="GI43045" s="422"/>
    </row>
    <row r="43046" spans="191:191" x14ac:dyDescent="0.2">
      <c r="GI43046" s="422"/>
    </row>
    <row r="43047" spans="191:191" x14ac:dyDescent="0.2">
      <c r="GI43047" s="422"/>
    </row>
    <row r="43048" spans="191:191" x14ac:dyDescent="0.2">
      <c r="GI43048" s="422"/>
    </row>
    <row r="43049" spans="191:191" x14ac:dyDescent="0.2">
      <c r="GI43049" s="422"/>
    </row>
    <row r="43050" spans="191:191" x14ac:dyDescent="0.2">
      <c r="GI43050" s="422"/>
    </row>
    <row r="43051" spans="191:191" x14ac:dyDescent="0.2">
      <c r="GI43051" s="422"/>
    </row>
    <row r="43052" spans="191:191" x14ac:dyDescent="0.2">
      <c r="GI43052" s="422"/>
    </row>
    <row r="43053" spans="191:191" x14ac:dyDescent="0.2">
      <c r="GI43053" s="422"/>
    </row>
    <row r="43054" spans="191:191" x14ac:dyDescent="0.2">
      <c r="GI43054" s="422"/>
    </row>
    <row r="43055" spans="191:191" x14ac:dyDescent="0.2">
      <c r="GI43055" s="422"/>
    </row>
    <row r="43056" spans="191:191" x14ac:dyDescent="0.2">
      <c r="GI43056" s="422"/>
    </row>
    <row r="43057" spans="191:191" x14ac:dyDescent="0.2">
      <c r="GI43057" s="422"/>
    </row>
    <row r="43058" spans="191:191" x14ac:dyDescent="0.2">
      <c r="GI43058" s="422"/>
    </row>
    <row r="43059" spans="191:191" x14ac:dyDescent="0.2">
      <c r="GI43059" s="422"/>
    </row>
    <row r="43060" spans="191:191" x14ac:dyDescent="0.2">
      <c r="GI43060" s="422"/>
    </row>
    <row r="43061" spans="191:191" x14ac:dyDescent="0.2">
      <c r="GI43061" s="422"/>
    </row>
    <row r="43062" spans="191:191" x14ac:dyDescent="0.2">
      <c r="GI43062" s="422"/>
    </row>
    <row r="43063" spans="191:191" x14ac:dyDescent="0.2">
      <c r="GI43063" s="422"/>
    </row>
    <row r="43064" spans="191:191" x14ac:dyDescent="0.2">
      <c r="GI43064" s="422"/>
    </row>
    <row r="43065" spans="191:191" x14ac:dyDescent="0.2">
      <c r="GI43065" s="422"/>
    </row>
    <row r="43066" spans="191:191" x14ac:dyDescent="0.2">
      <c r="GI43066" s="422"/>
    </row>
    <row r="43067" spans="191:191" x14ac:dyDescent="0.2">
      <c r="GI43067" s="422"/>
    </row>
    <row r="43068" spans="191:191" x14ac:dyDescent="0.2">
      <c r="GI43068" s="422"/>
    </row>
    <row r="43069" spans="191:191" x14ac:dyDescent="0.2">
      <c r="GI43069" s="422"/>
    </row>
    <row r="43070" spans="191:191" x14ac:dyDescent="0.2">
      <c r="GI43070" s="422"/>
    </row>
    <row r="43071" spans="191:191" x14ac:dyDescent="0.2">
      <c r="GI43071" s="422"/>
    </row>
    <row r="43072" spans="191:191" x14ac:dyDescent="0.2">
      <c r="GI43072" s="422"/>
    </row>
    <row r="43073" spans="191:191" x14ac:dyDescent="0.2">
      <c r="GI43073" s="422"/>
    </row>
    <row r="43074" spans="191:191" x14ac:dyDescent="0.2">
      <c r="GI43074" s="422"/>
    </row>
    <row r="43075" spans="191:191" x14ac:dyDescent="0.2">
      <c r="GI43075" s="422"/>
    </row>
    <row r="43076" spans="191:191" x14ac:dyDescent="0.2">
      <c r="GI43076" s="422"/>
    </row>
    <row r="43077" spans="191:191" x14ac:dyDescent="0.2">
      <c r="GI43077" s="422"/>
    </row>
    <row r="43078" spans="191:191" x14ac:dyDescent="0.2">
      <c r="GI43078" s="422"/>
    </row>
    <row r="43079" spans="191:191" x14ac:dyDescent="0.2">
      <c r="GI43079" s="422"/>
    </row>
    <row r="43080" spans="191:191" x14ac:dyDescent="0.2">
      <c r="GI43080" s="422"/>
    </row>
    <row r="43081" spans="191:191" x14ac:dyDescent="0.2">
      <c r="GI43081" s="422"/>
    </row>
    <row r="43082" spans="191:191" x14ac:dyDescent="0.2">
      <c r="GI43082" s="422"/>
    </row>
    <row r="43083" spans="191:191" x14ac:dyDescent="0.2">
      <c r="GI43083" s="422"/>
    </row>
    <row r="43084" spans="191:191" x14ac:dyDescent="0.2">
      <c r="GI43084" s="422"/>
    </row>
    <row r="43085" spans="191:191" x14ac:dyDescent="0.2">
      <c r="GI43085" s="422"/>
    </row>
    <row r="43086" spans="191:191" x14ac:dyDescent="0.2">
      <c r="GI43086" s="422"/>
    </row>
    <row r="43087" spans="191:191" x14ac:dyDescent="0.2">
      <c r="GI43087" s="422"/>
    </row>
    <row r="43088" spans="191:191" x14ac:dyDescent="0.2">
      <c r="GI43088" s="422"/>
    </row>
    <row r="43089" spans="191:191" x14ac:dyDescent="0.2">
      <c r="GI43089" s="422"/>
    </row>
    <row r="43090" spans="191:191" x14ac:dyDescent="0.2">
      <c r="GI43090" s="422"/>
    </row>
    <row r="43091" spans="191:191" x14ac:dyDescent="0.2">
      <c r="GI43091" s="422"/>
    </row>
    <row r="43092" spans="191:191" x14ac:dyDescent="0.2">
      <c r="GI43092" s="422"/>
    </row>
    <row r="43093" spans="191:191" x14ac:dyDescent="0.2">
      <c r="GI43093" s="422"/>
    </row>
    <row r="43094" spans="191:191" x14ac:dyDescent="0.2">
      <c r="GI43094" s="422"/>
    </row>
    <row r="43095" spans="191:191" x14ac:dyDescent="0.2">
      <c r="GI43095" s="422"/>
    </row>
    <row r="43096" spans="191:191" x14ac:dyDescent="0.2">
      <c r="GI43096" s="422"/>
    </row>
    <row r="43097" spans="191:191" x14ac:dyDescent="0.2">
      <c r="GI43097" s="422"/>
    </row>
    <row r="43098" spans="191:191" x14ac:dyDescent="0.2">
      <c r="GI43098" s="422"/>
    </row>
    <row r="43099" spans="191:191" x14ac:dyDescent="0.2">
      <c r="GI43099" s="422"/>
    </row>
    <row r="43100" spans="191:191" x14ac:dyDescent="0.2">
      <c r="GI43100" s="422"/>
    </row>
    <row r="43101" spans="191:191" x14ac:dyDescent="0.2">
      <c r="GI43101" s="422"/>
    </row>
    <row r="43102" spans="191:191" x14ac:dyDescent="0.2">
      <c r="GI43102" s="422"/>
    </row>
    <row r="43103" spans="191:191" x14ac:dyDescent="0.2">
      <c r="GI43103" s="422"/>
    </row>
    <row r="43104" spans="191:191" x14ac:dyDescent="0.2">
      <c r="GI43104" s="422"/>
    </row>
    <row r="43105" spans="191:191" x14ac:dyDescent="0.2">
      <c r="GI43105" s="422"/>
    </row>
    <row r="43106" spans="191:191" x14ac:dyDescent="0.2">
      <c r="GI43106" s="422"/>
    </row>
    <row r="43107" spans="191:191" x14ac:dyDescent="0.2">
      <c r="GI43107" s="422"/>
    </row>
    <row r="43108" spans="191:191" x14ac:dyDescent="0.2">
      <c r="GI43108" s="422"/>
    </row>
    <row r="43109" spans="191:191" x14ac:dyDescent="0.2">
      <c r="GI43109" s="422"/>
    </row>
    <row r="43110" spans="191:191" x14ac:dyDescent="0.2">
      <c r="GI43110" s="422"/>
    </row>
    <row r="43111" spans="191:191" x14ac:dyDescent="0.2">
      <c r="GI43111" s="422"/>
    </row>
    <row r="43112" spans="191:191" x14ac:dyDescent="0.2">
      <c r="GI43112" s="422"/>
    </row>
    <row r="43113" spans="191:191" x14ac:dyDescent="0.2">
      <c r="GI43113" s="422"/>
    </row>
    <row r="43114" spans="191:191" x14ac:dyDescent="0.2">
      <c r="GI43114" s="422"/>
    </row>
    <row r="43115" spans="191:191" x14ac:dyDescent="0.2">
      <c r="GI43115" s="422"/>
    </row>
    <row r="43116" spans="191:191" x14ac:dyDescent="0.2">
      <c r="GI43116" s="422"/>
    </row>
    <row r="43117" spans="191:191" x14ac:dyDescent="0.2">
      <c r="GI43117" s="422"/>
    </row>
    <row r="43118" spans="191:191" x14ac:dyDescent="0.2">
      <c r="GI43118" s="422"/>
    </row>
    <row r="43119" spans="191:191" x14ac:dyDescent="0.2">
      <c r="GI43119" s="422"/>
    </row>
    <row r="43120" spans="191:191" x14ac:dyDescent="0.2">
      <c r="GI43120" s="422"/>
    </row>
    <row r="43121" spans="191:191" x14ac:dyDescent="0.2">
      <c r="GI43121" s="422"/>
    </row>
    <row r="43122" spans="191:191" x14ac:dyDescent="0.2">
      <c r="GI43122" s="422"/>
    </row>
    <row r="43123" spans="191:191" x14ac:dyDescent="0.2">
      <c r="GI43123" s="422"/>
    </row>
    <row r="43124" spans="191:191" x14ac:dyDescent="0.2">
      <c r="GI43124" s="422"/>
    </row>
    <row r="43125" spans="191:191" x14ac:dyDescent="0.2">
      <c r="GI43125" s="422"/>
    </row>
    <row r="43126" spans="191:191" x14ac:dyDescent="0.2">
      <c r="GI43126" s="422"/>
    </row>
    <row r="43127" spans="191:191" x14ac:dyDescent="0.2">
      <c r="GI43127" s="422"/>
    </row>
    <row r="43128" spans="191:191" x14ac:dyDescent="0.2">
      <c r="GI43128" s="422"/>
    </row>
    <row r="43129" spans="191:191" x14ac:dyDescent="0.2">
      <c r="GI43129" s="422"/>
    </row>
    <row r="43130" spans="191:191" x14ac:dyDescent="0.2">
      <c r="GI43130" s="422"/>
    </row>
    <row r="43131" spans="191:191" x14ac:dyDescent="0.2">
      <c r="GI43131" s="422"/>
    </row>
    <row r="43132" spans="191:191" x14ac:dyDescent="0.2">
      <c r="GI43132" s="422"/>
    </row>
    <row r="43133" spans="191:191" x14ac:dyDescent="0.2">
      <c r="GI43133" s="422"/>
    </row>
    <row r="43134" spans="191:191" x14ac:dyDescent="0.2">
      <c r="GI43134" s="422"/>
    </row>
    <row r="43135" spans="191:191" x14ac:dyDescent="0.2">
      <c r="GI43135" s="422"/>
    </row>
    <row r="43136" spans="191:191" x14ac:dyDescent="0.2">
      <c r="GI43136" s="422"/>
    </row>
    <row r="43137" spans="191:191" x14ac:dyDescent="0.2">
      <c r="GI43137" s="422"/>
    </row>
    <row r="43138" spans="191:191" x14ac:dyDescent="0.2">
      <c r="GI43138" s="422"/>
    </row>
    <row r="43139" spans="191:191" x14ac:dyDescent="0.2">
      <c r="GI43139" s="422"/>
    </row>
    <row r="43140" spans="191:191" x14ac:dyDescent="0.2">
      <c r="GI43140" s="422"/>
    </row>
    <row r="43141" spans="191:191" x14ac:dyDescent="0.2">
      <c r="GI43141" s="422"/>
    </row>
    <row r="43142" spans="191:191" x14ac:dyDescent="0.2">
      <c r="GI43142" s="422"/>
    </row>
    <row r="43143" spans="191:191" x14ac:dyDescent="0.2">
      <c r="GI43143" s="422"/>
    </row>
    <row r="43144" spans="191:191" x14ac:dyDescent="0.2">
      <c r="GI43144" s="422"/>
    </row>
    <row r="43145" spans="191:191" x14ac:dyDescent="0.2">
      <c r="GI43145" s="422"/>
    </row>
    <row r="43146" spans="191:191" x14ac:dyDescent="0.2">
      <c r="GI43146" s="422"/>
    </row>
    <row r="43147" spans="191:191" x14ac:dyDescent="0.2">
      <c r="GI43147" s="422"/>
    </row>
    <row r="43148" spans="191:191" x14ac:dyDescent="0.2">
      <c r="GI43148" s="422"/>
    </row>
    <row r="43149" spans="191:191" x14ac:dyDescent="0.2">
      <c r="GI43149" s="422"/>
    </row>
    <row r="43150" spans="191:191" x14ac:dyDescent="0.2">
      <c r="GI43150" s="422"/>
    </row>
    <row r="43151" spans="191:191" x14ac:dyDescent="0.2">
      <c r="GI43151" s="422"/>
    </row>
    <row r="43152" spans="191:191" x14ac:dyDescent="0.2">
      <c r="GI43152" s="422"/>
    </row>
    <row r="43153" spans="191:191" x14ac:dyDescent="0.2">
      <c r="GI43153" s="422"/>
    </row>
    <row r="43154" spans="191:191" x14ac:dyDescent="0.2">
      <c r="GI43154" s="422"/>
    </row>
    <row r="43155" spans="191:191" x14ac:dyDescent="0.2">
      <c r="GI43155" s="422"/>
    </row>
    <row r="43156" spans="191:191" x14ac:dyDescent="0.2">
      <c r="GI43156" s="422"/>
    </row>
    <row r="43157" spans="191:191" x14ac:dyDescent="0.2">
      <c r="GI43157" s="422"/>
    </row>
    <row r="43158" spans="191:191" x14ac:dyDescent="0.2">
      <c r="GI43158" s="422"/>
    </row>
    <row r="43159" spans="191:191" x14ac:dyDescent="0.2">
      <c r="GI43159" s="422"/>
    </row>
    <row r="43160" spans="191:191" x14ac:dyDescent="0.2">
      <c r="GI43160" s="422"/>
    </row>
    <row r="43161" spans="191:191" x14ac:dyDescent="0.2">
      <c r="GI43161" s="422"/>
    </row>
    <row r="43162" spans="191:191" x14ac:dyDescent="0.2">
      <c r="GI43162" s="422"/>
    </row>
    <row r="43163" spans="191:191" x14ac:dyDescent="0.2">
      <c r="GI43163" s="422"/>
    </row>
    <row r="43164" spans="191:191" x14ac:dyDescent="0.2">
      <c r="GI43164" s="422"/>
    </row>
    <row r="43165" spans="191:191" x14ac:dyDescent="0.2">
      <c r="GI43165" s="422"/>
    </row>
    <row r="43166" spans="191:191" x14ac:dyDescent="0.2">
      <c r="GI43166" s="422"/>
    </row>
    <row r="43167" spans="191:191" x14ac:dyDescent="0.2">
      <c r="GI43167" s="422"/>
    </row>
    <row r="43168" spans="191:191" x14ac:dyDescent="0.2">
      <c r="GI43168" s="422"/>
    </row>
    <row r="43169" spans="191:191" x14ac:dyDescent="0.2">
      <c r="GI43169" s="422"/>
    </row>
    <row r="43170" spans="191:191" x14ac:dyDescent="0.2">
      <c r="GI43170" s="422"/>
    </row>
    <row r="43171" spans="191:191" x14ac:dyDescent="0.2">
      <c r="GI43171" s="422"/>
    </row>
    <row r="43172" spans="191:191" x14ac:dyDescent="0.2">
      <c r="GI43172" s="422"/>
    </row>
    <row r="43173" spans="191:191" x14ac:dyDescent="0.2">
      <c r="GI43173" s="422"/>
    </row>
    <row r="43174" spans="191:191" x14ac:dyDescent="0.2">
      <c r="GI43174" s="422"/>
    </row>
    <row r="43175" spans="191:191" x14ac:dyDescent="0.2">
      <c r="GI43175" s="422"/>
    </row>
    <row r="43176" spans="191:191" x14ac:dyDescent="0.2">
      <c r="GI43176" s="422"/>
    </row>
    <row r="43177" spans="191:191" x14ac:dyDescent="0.2">
      <c r="GI43177" s="422"/>
    </row>
    <row r="43178" spans="191:191" x14ac:dyDescent="0.2">
      <c r="GI43178" s="422"/>
    </row>
    <row r="43179" spans="191:191" x14ac:dyDescent="0.2">
      <c r="GI43179" s="422"/>
    </row>
    <row r="43180" spans="191:191" x14ac:dyDescent="0.2">
      <c r="GI43180" s="422"/>
    </row>
    <row r="43181" spans="191:191" x14ac:dyDescent="0.2">
      <c r="GI43181" s="422"/>
    </row>
    <row r="43182" spans="191:191" x14ac:dyDescent="0.2">
      <c r="GI43182" s="422"/>
    </row>
    <row r="43183" spans="191:191" x14ac:dyDescent="0.2">
      <c r="GI43183" s="422"/>
    </row>
    <row r="43184" spans="191:191" x14ac:dyDescent="0.2">
      <c r="GI43184" s="422"/>
    </row>
    <row r="43185" spans="191:191" x14ac:dyDescent="0.2">
      <c r="GI43185" s="422"/>
    </row>
    <row r="43186" spans="191:191" x14ac:dyDescent="0.2">
      <c r="GI43186" s="422"/>
    </row>
    <row r="43187" spans="191:191" x14ac:dyDescent="0.2">
      <c r="GI43187" s="422"/>
    </row>
    <row r="43188" spans="191:191" x14ac:dyDescent="0.2">
      <c r="GI43188" s="422"/>
    </row>
    <row r="43189" spans="191:191" x14ac:dyDescent="0.2">
      <c r="GI43189" s="422"/>
    </row>
    <row r="43190" spans="191:191" x14ac:dyDescent="0.2">
      <c r="GI43190" s="422"/>
    </row>
    <row r="43191" spans="191:191" x14ac:dyDescent="0.2">
      <c r="GI43191" s="422"/>
    </row>
    <row r="43192" spans="191:191" x14ac:dyDescent="0.2">
      <c r="GI43192" s="422"/>
    </row>
    <row r="43193" spans="191:191" x14ac:dyDescent="0.2">
      <c r="GI43193" s="422"/>
    </row>
    <row r="43194" spans="191:191" x14ac:dyDescent="0.2">
      <c r="GI43194" s="422"/>
    </row>
    <row r="43195" spans="191:191" x14ac:dyDescent="0.2">
      <c r="GI43195" s="422"/>
    </row>
    <row r="43196" spans="191:191" x14ac:dyDescent="0.2">
      <c r="GI43196" s="422"/>
    </row>
    <row r="43197" spans="191:191" x14ac:dyDescent="0.2">
      <c r="GI43197" s="422"/>
    </row>
    <row r="43198" spans="191:191" x14ac:dyDescent="0.2">
      <c r="GI43198" s="422"/>
    </row>
    <row r="43199" spans="191:191" x14ac:dyDescent="0.2">
      <c r="GI43199" s="422"/>
    </row>
    <row r="43200" spans="191:191" x14ac:dyDescent="0.2">
      <c r="GI43200" s="422"/>
    </row>
    <row r="43201" spans="191:191" x14ac:dyDescent="0.2">
      <c r="GI43201" s="422"/>
    </row>
    <row r="43202" spans="191:191" x14ac:dyDescent="0.2">
      <c r="GI43202" s="422"/>
    </row>
    <row r="43203" spans="191:191" x14ac:dyDescent="0.2">
      <c r="GI43203" s="422"/>
    </row>
    <row r="43204" spans="191:191" x14ac:dyDescent="0.2">
      <c r="GI43204" s="422"/>
    </row>
    <row r="43205" spans="191:191" x14ac:dyDescent="0.2">
      <c r="GI43205" s="422"/>
    </row>
    <row r="43206" spans="191:191" x14ac:dyDescent="0.2">
      <c r="GI43206" s="422"/>
    </row>
    <row r="43207" spans="191:191" x14ac:dyDescent="0.2">
      <c r="GI43207" s="422"/>
    </row>
    <row r="43208" spans="191:191" x14ac:dyDescent="0.2">
      <c r="GI43208" s="422"/>
    </row>
    <row r="43209" spans="191:191" x14ac:dyDescent="0.2">
      <c r="GI43209" s="422"/>
    </row>
    <row r="43210" spans="191:191" x14ac:dyDescent="0.2">
      <c r="GI43210" s="422"/>
    </row>
    <row r="43211" spans="191:191" x14ac:dyDescent="0.2">
      <c r="GI43211" s="422"/>
    </row>
    <row r="43212" spans="191:191" x14ac:dyDescent="0.2">
      <c r="GI43212" s="422"/>
    </row>
    <row r="43213" spans="191:191" x14ac:dyDescent="0.2">
      <c r="GI43213" s="422"/>
    </row>
    <row r="43214" spans="191:191" x14ac:dyDescent="0.2">
      <c r="GI43214" s="422"/>
    </row>
    <row r="43215" spans="191:191" x14ac:dyDescent="0.2">
      <c r="GI43215" s="422"/>
    </row>
    <row r="43216" spans="191:191" x14ac:dyDescent="0.2">
      <c r="GI43216" s="422"/>
    </row>
    <row r="43217" spans="191:191" x14ac:dyDescent="0.2">
      <c r="GI43217" s="422"/>
    </row>
    <row r="43218" spans="191:191" x14ac:dyDescent="0.2">
      <c r="GI43218" s="422"/>
    </row>
    <row r="43219" spans="191:191" x14ac:dyDescent="0.2">
      <c r="GI43219" s="422"/>
    </row>
    <row r="43220" spans="191:191" x14ac:dyDescent="0.2">
      <c r="GI43220" s="422"/>
    </row>
    <row r="43221" spans="191:191" x14ac:dyDescent="0.2">
      <c r="GI43221" s="422"/>
    </row>
    <row r="43222" spans="191:191" x14ac:dyDescent="0.2">
      <c r="GI43222" s="422"/>
    </row>
    <row r="43223" spans="191:191" x14ac:dyDescent="0.2">
      <c r="GI43223" s="422"/>
    </row>
    <row r="43224" spans="191:191" x14ac:dyDescent="0.2">
      <c r="GI43224" s="422"/>
    </row>
    <row r="43225" spans="191:191" x14ac:dyDescent="0.2">
      <c r="GI43225" s="422"/>
    </row>
    <row r="43226" spans="191:191" x14ac:dyDescent="0.2">
      <c r="GI43226" s="422"/>
    </row>
    <row r="43227" spans="191:191" x14ac:dyDescent="0.2">
      <c r="GI43227" s="422"/>
    </row>
    <row r="43228" spans="191:191" x14ac:dyDescent="0.2">
      <c r="GI43228" s="422"/>
    </row>
    <row r="43229" spans="191:191" x14ac:dyDescent="0.2">
      <c r="GI43229" s="422"/>
    </row>
    <row r="43230" spans="191:191" x14ac:dyDescent="0.2">
      <c r="GI43230" s="422"/>
    </row>
    <row r="43231" spans="191:191" x14ac:dyDescent="0.2">
      <c r="GI43231" s="422"/>
    </row>
    <row r="43232" spans="191:191" x14ac:dyDescent="0.2">
      <c r="GI43232" s="422"/>
    </row>
    <row r="43233" spans="191:191" x14ac:dyDescent="0.2">
      <c r="GI43233" s="422"/>
    </row>
    <row r="43234" spans="191:191" x14ac:dyDescent="0.2">
      <c r="GI43234" s="422"/>
    </row>
    <row r="43235" spans="191:191" x14ac:dyDescent="0.2">
      <c r="GI43235" s="422"/>
    </row>
    <row r="43236" spans="191:191" x14ac:dyDescent="0.2">
      <c r="GI43236" s="422"/>
    </row>
    <row r="43237" spans="191:191" x14ac:dyDescent="0.2">
      <c r="GI43237" s="422"/>
    </row>
    <row r="43238" spans="191:191" x14ac:dyDescent="0.2">
      <c r="GI43238" s="422"/>
    </row>
    <row r="43239" spans="191:191" x14ac:dyDescent="0.2">
      <c r="GI43239" s="422"/>
    </row>
    <row r="43240" spans="191:191" x14ac:dyDescent="0.2">
      <c r="GI43240" s="422"/>
    </row>
    <row r="43241" spans="191:191" x14ac:dyDescent="0.2">
      <c r="GI43241" s="422"/>
    </row>
    <row r="43242" spans="191:191" x14ac:dyDescent="0.2">
      <c r="GI43242" s="422"/>
    </row>
    <row r="43243" spans="191:191" x14ac:dyDescent="0.2">
      <c r="GI43243" s="422"/>
    </row>
    <row r="43244" spans="191:191" x14ac:dyDescent="0.2">
      <c r="GI43244" s="422"/>
    </row>
    <row r="43245" spans="191:191" x14ac:dyDescent="0.2">
      <c r="GI43245" s="422"/>
    </row>
    <row r="43246" spans="191:191" x14ac:dyDescent="0.2">
      <c r="GI43246" s="422"/>
    </row>
    <row r="43247" spans="191:191" x14ac:dyDescent="0.2">
      <c r="GI43247" s="422"/>
    </row>
    <row r="43248" spans="191:191" x14ac:dyDescent="0.2">
      <c r="GI43248" s="422"/>
    </row>
    <row r="43249" spans="191:191" x14ac:dyDescent="0.2">
      <c r="GI43249" s="422"/>
    </row>
    <row r="43250" spans="191:191" x14ac:dyDescent="0.2">
      <c r="GI43250" s="422"/>
    </row>
    <row r="43251" spans="191:191" x14ac:dyDescent="0.2">
      <c r="GI43251" s="422"/>
    </row>
    <row r="43252" spans="191:191" x14ac:dyDescent="0.2">
      <c r="GI43252" s="422"/>
    </row>
    <row r="43253" spans="191:191" x14ac:dyDescent="0.2">
      <c r="GI43253" s="422"/>
    </row>
    <row r="43254" spans="191:191" x14ac:dyDescent="0.2">
      <c r="GI43254" s="422"/>
    </row>
    <row r="43255" spans="191:191" x14ac:dyDescent="0.2">
      <c r="GI43255" s="422"/>
    </row>
    <row r="43256" spans="191:191" x14ac:dyDescent="0.2">
      <c r="GI43256" s="422"/>
    </row>
    <row r="43257" spans="191:191" x14ac:dyDescent="0.2">
      <c r="GI43257" s="422"/>
    </row>
    <row r="43258" spans="191:191" x14ac:dyDescent="0.2">
      <c r="GI43258" s="422"/>
    </row>
    <row r="43259" spans="191:191" x14ac:dyDescent="0.2">
      <c r="GI43259" s="422"/>
    </row>
    <row r="43260" spans="191:191" x14ac:dyDescent="0.2">
      <c r="GI43260" s="422"/>
    </row>
    <row r="43261" spans="191:191" x14ac:dyDescent="0.2">
      <c r="GI43261" s="422"/>
    </row>
    <row r="43262" spans="191:191" x14ac:dyDescent="0.2">
      <c r="GI43262" s="422"/>
    </row>
    <row r="43263" spans="191:191" x14ac:dyDescent="0.2">
      <c r="GI43263" s="422"/>
    </row>
    <row r="43264" spans="191:191" x14ac:dyDescent="0.2">
      <c r="GI43264" s="422"/>
    </row>
    <row r="43265" spans="191:191" x14ac:dyDescent="0.2">
      <c r="GI43265" s="422"/>
    </row>
    <row r="43266" spans="191:191" x14ac:dyDescent="0.2">
      <c r="GI43266" s="422"/>
    </row>
    <row r="43267" spans="191:191" x14ac:dyDescent="0.2">
      <c r="GI43267" s="422"/>
    </row>
    <row r="43268" spans="191:191" x14ac:dyDescent="0.2">
      <c r="GI43268" s="422"/>
    </row>
    <row r="43269" spans="191:191" x14ac:dyDescent="0.2">
      <c r="GI43269" s="422"/>
    </row>
    <row r="43270" spans="191:191" x14ac:dyDescent="0.2">
      <c r="GI43270" s="422"/>
    </row>
    <row r="43271" spans="191:191" x14ac:dyDescent="0.2">
      <c r="GI43271" s="422"/>
    </row>
    <row r="43272" spans="191:191" x14ac:dyDescent="0.2">
      <c r="GI43272" s="422"/>
    </row>
    <row r="43273" spans="191:191" x14ac:dyDescent="0.2">
      <c r="GI43273" s="422"/>
    </row>
    <row r="43274" spans="191:191" x14ac:dyDescent="0.2">
      <c r="GI43274" s="422"/>
    </row>
    <row r="43275" spans="191:191" x14ac:dyDescent="0.2">
      <c r="GI43275" s="422"/>
    </row>
    <row r="43276" spans="191:191" x14ac:dyDescent="0.2">
      <c r="GI43276" s="422"/>
    </row>
    <row r="43277" spans="191:191" x14ac:dyDescent="0.2">
      <c r="GI43277" s="422"/>
    </row>
    <row r="43278" spans="191:191" x14ac:dyDescent="0.2">
      <c r="GI43278" s="422"/>
    </row>
    <row r="43279" spans="191:191" x14ac:dyDescent="0.2">
      <c r="GI43279" s="422"/>
    </row>
    <row r="43280" spans="191:191" x14ac:dyDescent="0.2">
      <c r="GI43280" s="422"/>
    </row>
    <row r="43281" spans="191:191" x14ac:dyDescent="0.2">
      <c r="GI43281" s="422"/>
    </row>
    <row r="43282" spans="191:191" x14ac:dyDescent="0.2">
      <c r="GI43282" s="422"/>
    </row>
    <row r="43283" spans="191:191" x14ac:dyDescent="0.2">
      <c r="GI43283" s="422"/>
    </row>
    <row r="43284" spans="191:191" x14ac:dyDescent="0.2">
      <c r="GI43284" s="422"/>
    </row>
    <row r="43285" spans="191:191" x14ac:dyDescent="0.2">
      <c r="GI43285" s="422"/>
    </row>
    <row r="43286" spans="191:191" x14ac:dyDescent="0.2">
      <c r="GI43286" s="422"/>
    </row>
    <row r="43287" spans="191:191" x14ac:dyDescent="0.2">
      <c r="GI43287" s="422"/>
    </row>
    <row r="43288" spans="191:191" x14ac:dyDescent="0.2">
      <c r="GI43288" s="422"/>
    </row>
    <row r="43289" spans="191:191" x14ac:dyDescent="0.2">
      <c r="GI43289" s="422"/>
    </row>
    <row r="43290" spans="191:191" x14ac:dyDescent="0.2">
      <c r="GI43290" s="422"/>
    </row>
    <row r="43291" spans="191:191" x14ac:dyDescent="0.2">
      <c r="GI43291" s="422"/>
    </row>
    <row r="43292" spans="191:191" x14ac:dyDescent="0.2">
      <c r="GI43292" s="422"/>
    </row>
    <row r="43293" spans="191:191" x14ac:dyDescent="0.2">
      <c r="GI43293" s="422"/>
    </row>
    <row r="43294" spans="191:191" x14ac:dyDescent="0.2">
      <c r="GI43294" s="422"/>
    </row>
    <row r="43295" spans="191:191" x14ac:dyDescent="0.2">
      <c r="GI43295" s="422"/>
    </row>
    <row r="43296" spans="191:191" x14ac:dyDescent="0.2">
      <c r="GI43296" s="422"/>
    </row>
    <row r="43297" spans="191:191" x14ac:dyDescent="0.2">
      <c r="GI43297" s="422"/>
    </row>
    <row r="43298" spans="191:191" x14ac:dyDescent="0.2">
      <c r="GI43298" s="422"/>
    </row>
    <row r="43299" spans="191:191" x14ac:dyDescent="0.2">
      <c r="GI43299" s="422"/>
    </row>
    <row r="43300" spans="191:191" x14ac:dyDescent="0.2">
      <c r="GI43300" s="422"/>
    </row>
    <row r="43301" spans="191:191" x14ac:dyDescent="0.2">
      <c r="GI43301" s="422"/>
    </row>
    <row r="43302" spans="191:191" x14ac:dyDescent="0.2">
      <c r="GI43302" s="422"/>
    </row>
    <row r="43303" spans="191:191" x14ac:dyDescent="0.2">
      <c r="GI43303" s="422"/>
    </row>
    <row r="43304" spans="191:191" x14ac:dyDescent="0.2">
      <c r="GI43304" s="422"/>
    </row>
    <row r="43305" spans="191:191" x14ac:dyDescent="0.2">
      <c r="GI43305" s="422"/>
    </row>
    <row r="43306" spans="191:191" x14ac:dyDescent="0.2">
      <c r="GI43306" s="422"/>
    </row>
    <row r="43307" spans="191:191" x14ac:dyDescent="0.2">
      <c r="GI43307" s="422"/>
    </row>
    <row r="43308" spans="191:191" x14ac:dyDescent="0.2">
      <c r="GI43308" s="422"/>
    </row>
    <row r="43309" spans="191:191" x14ac:dyDescent="0.2">
      <c r="GI43309" s="422"/>
    </row>
    <row r="43310" spans="191:191" x14ac:dyDescent="0.2">
      <c r="GI43310" s="422"/>
    </row>
    <row r="43311" spans="191:191" x14ac:dyDescent="0.2">
      <c r="GI43311" s="422"/>
    </row>
    <row r="43312" spans="191:191" x14ac:dyDescent="0.2">
      <c r="GI43312" s="422"/>
    </row>
    <row r="43313" spans="191:191" x14ac:dyDescent="0.2">
      <c r="GI43313" s="422"/>
    </row>
    <row r="43314" spans="191:191" x14ac:dyDescent="0.2">
      <c r="GI43314" s="422"/>
    </row>
    <row r="43315" spans="191:191" x14ac:dyDescent="0.2">
      <c r="GI43315" s="422"/>
    </row>
    <row r="43316" spans="191:191" x14ac:dyDescent="0.2">
      <c r="GI43316" s="422"/>
    </row>
    <row r="43317" spans="191:191" x14ac:dyDescent="0.2">
      <c r="GI43317" s="422"/>
    </row>
    <row r="43318" spans="191:191" x14ac:dyDescent="0.2">
      <c r="GI43318" s="422"/>
    </row>
    <row r="43319" spans="191:191" x14ac:dyDescent="0.2">
      <c r="GI43319" s="422"/>
    </row>
    <row r="43320" spans="191:191" x14ac:dyDescent="0.2">
      <c r="GI43320" s="422"/>
    </row>
    <row r="43321" spans="191:191" x14ac:dyDescent="0.2">
      <c r="GI43321" s="422"/>
    </row>
    <row r="43322" spans="191:191" x14ac:dyDescent="0.2">
      <c r="GI43322" s="422"/>
    </row>
    <row r="43323" spans="191:191" x14ac:dyDescent="0.2">
      <c r="GI43323" s="422"/>
    </row>
    <row r="43324" spans="191:191" x14ac:dyDescent="0.2">
      <c r="GI43324" s="422"/>
    </row>
    <row r="43325" spans="191:191" x14ac:dyDescent="0.2">
      <c r="GI43325" s="422"/>
    </row>
    <row r="43326" spans="191:191" x14ac:dyDescent="0.2">
      <c r="GI43326" s="422"/>
    </row>
    <row r="43327" spans="191:191" x14ac:dyDescent="0.2">
      <c r="GI43327" s="422"/>
    </row>
    <row r="43328" spans="191:191" x14ac:dyDescent="0.2">
      <c r="GI43328" s="422"/>
    </row>
    <row r="43329" spans="191:191" x14ac:dyDescent="0.2">
      <c r="GI43329" s="422"/>
    </row>
    <row r="43330" spans="191:191" x14ac:dyDescent="0.2">
      <c r="GI43330" s="422"/>
    </row>
    <row r="43331" spans="191:191" x14ac:dyDescent="0.2">
      <c r="GI43331" s="422"/>
    </row>
    <row r="43332" spans="191:191" x14ac:dyDescent="0.2">
      <c r="GI43332" s="422"/>
    </row>
    <row r="43333" spans="191:191" x14ac:dyDescent="0.2">
      <c r="GI43333" s="422"/>
    </row>
    <row r="43334" spans="191:191" x14ac:dyDescent="0.2">
      <c r="GI43334" s="422"/>
    </row>
    <row r="43335" spans="191:191" x14ac:dyDescent="0.2">
      <c r="GI43335" s="422"/>
    </row>
    <row r="43336" spans="191:191" x14ac:dyDescent="0.2">
      <c r="GI43336" s="422"/>
    </row>
    <row r="43337" spans="191:191" x14ac:dyDescent="0.2">
      <c r="GI43337" s="422"/>
    </row>
    <row r="43338" spans="191:191" x14ac:dyDescent="0.2">
      <c r="GI43338" s="422"/>
    </row>
    <row r="43339" spans="191:191" x14ac:dyDescent="0.2">
      <c r="GI43339" s="422"/>
    </row>
    <row r="43340" spans="191:191" x14ac:dyDescent="0.2">
      <c r="GI43340" s="422"/>
    </row>
    <row r="43341" spans="191:191" x14ac:dyDescent="0.2">
      <c r="GI43341" s="422"/>
    </row>
    <row r="43342" spans="191:191" x14ac:dyDescent="0.2">
      <c r="GI43342" s="422"/>
    </row>
    <row r="43343" spans="191:191" x14ac:dyDescent="0.2">
      <c r="GI43343" s="422"/>
    </row>
    <row r="43344" spans="191:191" x14ac:dyDescent="0.2">
      <c r="GI43344" s="422"/>
    </row>
    <row r="43345" spans="191:191" x14ac:dyDescent="0.2">
      <c r="GI43345" s="422"/>
    </row>
    <row r="43346" spans="191:191" x14ac:dyDescent="0.2">
      <c r="GI43346" s="422"/>
    </row>
    <row r="43347" spans="191:191" x14ac:dyDescent="0.2">
      <c r="GI43347" s="422"/>
    </row>
    <row r="43348" spans="191:191" x14ac:dyDescent="0.2">
      <c r="GI43348" s="422"/>
    </row>
    <row r="43349" spans="191:191" x14ac:dyDescent="0.2">
      <c r="GI43349" s="422"/>
    </row>
    <row r="43350" spans="191:191" x14ac:dyDescent="0.2">
      <c r="GI43350" s="422"/>
    </row>
    <row r="43351" spans="191:191" x14ac:dyDescent="0.2">
      <c r="GI43351" s="422"/>
    </row>
    <row r="43352" spans="191:191" x14ac:dyDescent="0.2">
      <c r="GI43352" s="422"/>
    </row>
    <row r="43353" spans="191:191" x14ac:dyDescent="0.2">
      <c r="GI43353" s="422"/>
    </row>
    <row r="43354" spans="191:191" x14ac:dyDescent="0.2">
      <c r="GI43354" s="422"/>
    </row>
    <row r="43355" spans="191:191" x14ac:dyDescent="0.2">
      <c r="GI43355" s="422"/>
    </row>
    <row r="43356" spans="191:191" x14ac:dyDescent="0.2">
      <c r="GI43356" s="422"/>
    </row>
    <row r="43357" spans="191:191" x14ac:dyDescent="0.2">
      <c r="GI43357" s="422"/>
    </row>
    <row r="43358" spans="191:191" x14ac:dyDescent="0.2">
      <c r="GI43358" s="422"/>
    </row>
    <row r="43359" spans="191:191" x14ac:dyDescent="0.2">
      <c r="GI43359" s="422"/>
    </row>
    <row r="43360" spans="191:191" x14ac:dyDescent="0.2">
      <c r="GI43360" s="422"/>
    </row>
    <row r="43361" spans="191:191" x14ac:dyDescent="0.2">
      <c r="GI43361" s="422"/>
    </row>
    <row r="43362" spans="191:191" x14ac:dyDescent="0.2">
      <c r="GI43362" s="422"/>
    </row>
    <row r="43363" spans="191:191" x14ac:dyDescent="0.2">
      <c r="GI43363" s="422"/>
    </row>
    <row r="43364" spans="191:191" x14ac:dyDescent="0.2">
      <c r="GI43364" s="422"/>
    </row>
    <row r="43365" spans="191:191" x14ac:dyDescent="0.2">
      <c r="GI43365" s="422"/>
    </row>
    <row r="43366" spans="191:191" x14ac:dyDescent="0.2">
      <c r="GI43366" s="422"/>
    </row>
    <row r="43367" spans="191:191" x14ac:dyDescent="0.2">
      <c r="GI43367" s="422"/>
    </row>
    <row r="43368" spans="191:191" x14ac:dyDescent="0.2">
      <c r="GI43368" s="422"/>
    </row>
    <row r="43369" spans="191:191" x14ac:dyDescent="0.2">
      <c r="GI43369" s="422"/>
    </row>
    <row r="43370" spans="191:191" x14ac:dyDescent="0.2">
      <c r="GI43370" s="422"/>
    </row>
    <row r="43371" spans="191:191" x14ac:dyDescent="0.2">
      <c r="GI43371" s="422"/>
    </row>
    <row r="43372" spans="191:191" x14ac:dyDescent="0.2">
      <c r="GI43372" s="422"/>
    </row>
    <row r="43373" spans="191:191" x14ac:dyDescent="0.2">
      <c r="GI43373" s="422"/>
    </row>
    <row r="43374" spans="191:191" x14ac:dyDescent="0.2">
      <c r="GI43374" s="422"/>
    </row>
    <row r="43375" spans="191:191" x14ac:dyDescent="0.2">
      <c r="GI43375" s="422"/>
    </row>
    <row r="43376" spans="191:191" x14ac:dyDescent="0.2">
      <c r="GI43376" s="422"/>
    </row>
    <row r="43377" spans="191:191" x14ac:dyDescent="0.2">
      <c r="GI43377" s="422"/>
    </row>
    <row r="43378" spans="191:191" x14ac:dyDescent="0.2">
      <c r="GI43378" s="422"/>
    </row>
    <row r="43379" spans="191:191" x14ac:dyDescent="0.2">
      <c r="GI43379" s="422"/>
    </row>
    <row r="43380" spans="191:191" x14ac:dyDescent="0.2">
      <c r="GI43380" s="422"/>
    </row>
    <row r="43381" spans="191:191" x14ac:dyDescent="0.2">
      <c r="GI43381" s="422"/>
    </row>
    <row r="43382" spans="191:191" x14ac:dyDescent="0.2">
      <c r="GI43382" s="422"/>
    </row>
    <row r="43383" spans="191:191" x14ac:dyDescent="0.2">
      <c r="GI43383" s="422"/>
    </row>
    <row r="43384" spans="191:191" x14ac:dyDescent="0.2">
      <c r="GI43384" s="422"/>
    </row>
    <row r="43385" spans="191:191" x14ac:dyDescent="0.2">
      <c r="GI43385" s="422"/>
    </row>
    <row r="43386" spans="191:191" x14ac:dyDescent="0.2">
      <c r="GI43386" s="422"/>
    </row>
    <row r="43387" spans="191:191" x14ac:dyDescent="0.2">
      <c r="GI43387" s="422"/>
    </row>
    <row r="43388" spans="191:191" x14ac:dyDescent="0.2">
      <c r="GI43388" s="422"/>
    </row>
    <row r="43389" spans="191:191" x14ac:dyDescent="0.2">
      <c r="GI43389" s="422"/>
    </row>
    <row r="43390" spans="191:191" x14ac:dyDescent="0.2">
      <c r="GI43390" s="422"/>
    </row>
    <row r="43391" spans="191:191" x14ac:dyDescent="0.2">
      <c r="GI43391" s="422"/>
    </row>
    <row r="43392" spans="191:191" x14ac:dyDescent="0.2">
      <c r="GI43392" s="422"/>
    </row>
    <row r="43393" spans="191:191" x14ac:dyDescent="0.2">
      <c r="GI43393" s="422"/>
    </row>
    <row r="43394" spans="191:191" x14ac:dyDescent="0.2">
      <c r="GI43394" s="422"/>
    </row>
    <row r="43395" spans="191:191" x14ac:dyDescent="0.2">
      <c r="GI43395" s="422"/>
    </row>
    <row r="43396" spans="191:191" x14ac:dyDescent="0.2">
      <c r="GI43396" s="422"/>
    </row>
    <row r="43397" spans="191:191" x14ac:dyDescent="0.2">
      <c r="GI43397" s="422"/>
    </row>
    <row r="43398" spans="191:191" x14ac:dyDescent="0.2">
      <c r="GI43398" s="422"/>
    </row>
    <row r="43399" spans="191:191" x14ac:dyDescent="0.2">
      <c r="GI43399" s="422"/>
    </row>
    <row r="43400" spans="191:191" x14ac:dyDescent="0.2">
      <c r="GI43400" s="422"/>
    </row>
    <row r="43401" spans="191:191" x14ac:dyDescent="0.2">
      <c r="GI43401" s="422"/>
    </row>
    <row r="43402" spans="191:191" x14ac:dyDescent="0.2">
      <c r="GI43402" s="422"/>
    </row>
    <row r="43403" spans="191:191" x14ac:dyDescent="0.2">
      <c r="GI43403" s="422"/>
    </row>
    <row r="43404" spans="191:191" x14ac:dyDescent="0.2">
      <c r="GI43404" s="422"/>
    </row>
    <row r="43405" spans="191:191" x14ac:dyDescent="0.2">
      <c r="GI43405" s="422"/>
    </row>
    <row r="43406" spans="191:191" x14ac:dyDescent="0.2">
      <c r="GI43406" s="422"/>
    </row>
    <row r="43407" spans="191:191" x14ac:dyDescent="0.2">
      <c r="GI43407" s="422"/>
    </row>
    <row r="43408" spans="191:191" x14ac:dyDescent="0.2">
      <c r="GI43408" s="422"/>
    </row>
    <row r="43409" spans="191:191" x14ac:dyDescent="0.2">
      <c r="GI43409" s="422"/>
    </row>
    <row r="43410" spans="191:191" x14ac:dyDescent="0.2">
      <c r="GI43410" s="422"/>
    </row>
    <row r="43411" spans="191:191" x14ac:dyDescent="0.2">
      <c r="GI43411" s="422"/>
    </row>
    <row r="43412" spans="191:191" x14ac:dyDescent="0.2">
      <c r="GI43412" s="422"/>
    </row>
    <row r="43413" spans="191:191" x14ac:dyDescent="0.2">
      <c r="GI43413" s="422"/>
    </row>
    <row r="43414" spans="191:191" x14ac:dyDescent="0.2">
      <c r="GI43414" s="422"/>
    </row>
    <row r="43415" spans="191:191" x14ac:dyDescent="0.2">
      <c r="GI43415" s="422"/>
    </row>
    <row r="43416" spans="191:191" x14ac:dyDescent="0.2">
      <c r="GI43416" s="422"/>
    </row>
    <row r="43417" spans="191:191" x14ac:dyDescent="0.2">
      <c r="GI43417" s="422"/>
    </row>
    <row r="43418" spans="191:191" x14ac:dyDescent="0.2">
      <c r="GI43418" s="422"/>
    </row>
    <row r="43419" spans="191:191" x14ac:dyDescent="0.2">
      <c r="GI43419" s="422"/>
    </row>
    <row r="43420" spans="191:191" x14ac:dyDescent="0.2">
      <c r="GI43420" s="422"/>
    </row>
    <row r="43421" spans="191:191" x14ac:dyDescent="0.2">
      <c r="GI43421" s="422"/>
    </row>
    <row r="43422" spans="191:191" x14ac:dyDescent="0.2">
      <c r="GI43422" s="422"/>
    </row>
    <row r="43423" spans="191:191" x14ac:dyDescent="0.2">
      <c r="GI43423" s="422"/>
    </row>
    <row r="43424" spans="191:191" x14ac:dyDescent="0.2">
      <c r="GI43424" s="422"/>
    </row>
    <row r="43425" spans="191:191" x14ac:dyDescent="0.2">
      <c r="GI43425" s="422"/>
    </row>
    <row r="43426" spans="191:191" x14ac:dyDescent="0.2">
      <c r="GI43426" s="422"/>
    </row>
    <row r="43427" spans="191:191" x14ac:dyDescent="0.2">
      <c r="GI43427" s="422"/>
    </row>
    <row r="43428" spans="191:191" x14ac:dyDescent="0.2">
      <c r="GI43428" s="422"/>
    </row>
    <row r="43429" spans="191:191" x14ac:dyDescent="0.2">
      <c r="GI43429" s="422"/>
    </row>
    <row r="43430" spans="191:191" x14ac:dyDescent="0.2">
      <c r="GI43430" s="422"/>
    </row>
    <row r="43431" spans="191:191" x14ac:dyDescent="0.2">
      <c r="GI43431" s="422"/>
    </row>
    <row r="43432" spans="191:191" x14ac:dyDescent="0.2">
      <c r="GI43432" s="422"/>
    </row>
    <row r="43433" spans="191:191" x14ac:dyDescent="0.2">
      <c r="GI43433" s="422"/>
    </row>
    <row r="43434" spans="191:191" x14ac:dyDescent="0.2">
      <c r="GI43434" s="422"/>
    </row>
    <row r="43435" spans="191:191" x14ac:dyDescent="0.2">
      <c r="GI43435" s="422"/>
    </row>
    <row r="43436" spans="191:191" x14ac:dyDescent="0.2">
      <c r="GI43436" s="422"/>
    </row>
    <row r="43437" spans="191:191" x14ac:dyDescent="0.2">
      <c r="GI43437" s="422"/>
    </row>
    <row r="43438" spans="191:191" x14ac:dyDescent="0.2">
      <c r="GI43438" s="422"/>
    </row>
    <row r="43439" spans="191:191" x14ac:dyDescent="0.2">
      <c r="GI43439" s="422"/>
    </row>
    <row r="43440" spans="191:191" x14ac:dyDescent="0.2">
      <c r="GI43440" s="422"/>
    </row>
    <row r="43441" spans="191:191" x14ac:dyDescent="0.2">
      <c r="GI43441" s="422"/>
    </row>
    <row r="43442" spans="191:191" x14ac:dyDescent="0.2">
      <c r="GI43442" s="422"/>
    </row>
    <row r="43443" spans="191:191" x14ac:dyDescent="0.2">
      <c r="GI43443" s="422"/>
    </row>
    <row r="43444" spans="191:191" x14ac:dyDescent="0.2">
      <c r="GI43444" s="422"/>
    </row>
    <row r="43445" spans="191:191" x14ac:dyDescent="0.2">
      <c r="GI43445" s="422"/>
    </row>
    <row r="43446" spans="191:191" x14ac:dyDescent="0.2">
      <c r="GI43446" s="422"/>
    </row>
    <row r="43447" spans="191:191" x14ac:dyDescent="0.2">
      <c r="GI43447" s="422"/>
    </row>
    <row r="43448" spans="191:191" x14ac:dyDescent="0.2">
      <c r="GI43448" s="422"/>
    </row>
    <row r="43449" spans="191:191" x14ac:dyDescent="0.2">
      <c r="GI43449" s="422"/>
    </row>
    <row r="43450" spans="191:191" x14ac:dyDescent="0.2">
      <c r="GI43450" s="422"/>
    </row>
    <row r="43451" spans="191:191" x14ac:dyDescent="0.2">
      <c r="GI43451" s="422"/>
    </row>
    <row r="43452" spans="191:191" x14ac:dyDescent="0.2">
      <c r="GI43452" s="422"/>
    </row>
    <row r="43453" spans="191:191" x14ac:dyDescent="0.2">
      <c r="GI43453" s="422"/>
    </row>
    <row r="43454" spans="191:191" x14ac:dyDescent="0.2">
      <c r="GI43454" s="422"/>
    </row>
    <row r="43455" spans="191:191" x14ac:dyDescent="0.2">
      <c r="GI43455" s="422"/>
    </row>
    <row r="43456" spans="191:191" x14ac:dyDescent="0.2">
      <c r="GI43456" s="422"/>
    </row>
    <row r="43457" spans="191:191" x14ac:dyDescent="0.2">
      <c r="GI43457" s="422"/>
    </row>
    <row r="43458" spans="191:191" x14ac:dyDescent="0.2">
      <c r="GI43458" s="422"/>
    </row>
    <row r="43459" spans="191:191" x14ac:dyDescent="0.2">
      <c r="GI43459" s="422"/>
    </row>
    <row r="43460" spans="191:191" x14ac:dyDescent="0.2">
      <c r="GI43460" s="422"/>
    </row>
    <row r="43461" spans="191:191" x14ac:dyDescent="0.2">
      <c r="GI43461" s="422"/>
    </row>
    <row r="43462" spans="191:191" x14ac:dyDescent="0.2">
      <c r="GI43462" s="422"/>
    </row>
    <row r="43463" spans="191:191" x14ac:dyDescent="0.2">
      <c r="GI43463" s="422"/>
    </row>
    <row r="43464" spans="191:191" x14ac:dyDescent="0.2">
      <c r="GI43464" s="422"/>
    </row>
    <row r="43465" spans="191:191" x14ac:dyDescent="0.2">
      <c r="GI43465" s="422"/>
    </row>
    <row r="43466" spans="191:191" x14ac:dyDescent="0.2">
      <c r="GI43466" s="422"/>
    </row>
    <row r="43467" spans="191:191" x14ac:dyDescent="0.2">
      <c r="GI43467" s="422"/>
    </row>
    <row r="43468" spans="191:191" x14ac:dyDescent="0.2">
      <c r="GI43468" s="422"/>
    </row>
    <row r="43469" spans="191:191" x14ac:dyDescent="0.2">
      <c r="GI43469" s="422"/>
    </row>
    <row r="43470" spans="191:191" x14ac:dyDescent="0.2">
      <c r="GI43470" s="422"/>
    </row>
    <row r="43471" spans="191:191" x14ac:dyDescent="0.2">
      <c r="GI43471" s="422"/>
    </row>
    <row r="43472" spans="191:191" x14ac:dyDescent="0.2">
      <c r="GI43472" s="422"/>
    </row>
    <row r="43473" spans="191:191" x14ac:dyDescent="0.2">
      <c r="GI43473" s="422"/>
    </row>
    <row r="43474" spans="191:191" x14ac:dyDescent="0.2">
      <c r="GI43474" s="422"/>
    </row>
    <row r="43475" spans="191:191" x14ac:dyDescent="0.2">
      <c r="GI43475" s="422"/>
    </row>
    <row r="43476" spans="191:191" x14ac:dyDescent="0.2">
      <c r="GI43476" s="422"/>
    </row>
    <row r="43477" spans="191:191" x14ac:dyDescent="0.2">
      <c r="GI43477" s="422"/>
    </row>
    <row r="43478" spans="191:191" x14ac:dyDescent="0.2">
      <c r="GI43478" s="422"/>
    </row>
    <row r="43479" spans="191:191" x14ac:dyDescent="0.2">
      <c r="GI43479" s="422"/>
    </row>
    <row r="43480" spans="191:191" x14ac:dyDescent="0.2">
      <c r="GI43480" s="422"/>
    </row>
    <row r="43481" spans="191:191" x14ac:dyDescent="0.2">
      <c r="GI43481" s="422"/>
    </row>
    <row r="43482" spans="191:191" x14ac:dyDescent="0.2">
      <c r="GI43482" s="422"/>
    </row>
    <row r="43483" spans="191:191" x14ac:dyDescent="0.2">
      <c r="GI43483" s="422"/>
    </row>
    <row r="43484" spans="191:191" x14ac:dyDescent="0.2">
      <c r="GI43484" s="422"/>
    </row>
    <row r="43485" spans="191:191" x14ac:dyDescent="0.2">
      <c r="GI43485" s="422"/>
    </row>
    <row r="43486" spans="191:191" x14ac:dyDescent="0.2">
      <c r="GI43486" s="422"/>
    </row>
    <row r="43487" spans="191:191" x14ac:dyDescent="0.2">
      <c r="GI43487" s="422"/>
    </row>
    <row r="43488" spans="191:191" x14ac:dyDescent="0.2">
      <c r="GI43488" s="422"/>
    </row>
    <row r="43489" spans="191:191" x14ac:dyDescent="0.2">
      <c r="GI43489" s="422"/>
    </row>
    <row r="43490" spans="191:191" x14ac:dyDescent="0.2">
      <c r="GI43490" s="422"/>
    </row>
    <row r="43491" spans="191:191" x14ac:dyDescent="0.2">
      <c r="GI43491" s="422"/>
    </row>
    <row r="43492" spans="191:191" x14ac:dyDescent="0.2">
      <c r="GI43492" s="422"/>
    </row>
    <row r="43493" spans="191:191" x14ac:dyDescent="0.2">
      <c r="GI43493" s="422"/>
    </row>
    <row r="43494" spans="191:191" x14ac:dyDescent="0.2">
      <c r="GI43494" s="422"/>
    </row>
    <row r="43495" spans="191:191" x14ac:dyDescent="0.2">
      <c r="GI43495" s="422"/>
    </row>
    <row r="43496" spans="191:191" x14ac:dyDescent="0.2">
      <c r="GI43496" s="422"/>
    </row>
    <row r="43497" spans="191:191" x14ac:dyDescent="0.2">
      <c r="GI43497" s="422"/>
    </row>
    <row r="43498" spans="191:191" x14ac:dyDescent="0.2">
      <c r="GI43498" s="422"/>
    </row>
    <row r="43499" spans="191:191" x14ac:dyDescent="0.2">
      <c r="GI43499" s="422"/>
    </row>
    <row r="43500" spans="191:191" x14ac:dyDescent="0.2">
      <c r="GI43500" s="422"/>
    </row>
    <row r="43501" spans="191:191" x14ac:dyDescent="0.2">
      <c r="GI43501" s="422"/>
    </row>
    <row r="43502" spans="191:191" x14ac:dyDescent="0.2">
      <c r="GI43502" s="422"/>
    </row>
    <row r="43503" spans="191:191" x14ac:dyDescent="0.2">
      <c r="GI43503" s="422"/>
    </row>
    <row r="43504" spans="191:191" x14ac:dyDescent="0.2">
      <c r="GI43504" s="422"/>
    </row>
    <row r="43505" spans="191:191" x14ac:dyDescent="0.2">
      <c r="GI43505" s="422"/>
    </row>
    <row r="43506" spans="191:191" x14ac:dyDescent="0.2">
      <c r="GI43506" s="422"/>
    </row>
    <row r="43507" spans="191:191" x14ac:dyDescent="0.2">
      <c r="GI43507" s="422"/>
    </row>
    <row r="43508" spans="191:191" x14ac:dyDescent="0.2">
      <c r="GI43508" s="422"/>
    </row>
    <row r="43509" spans="191:191" x14ac:dyDescent="0.2">
      <c r="GI43509" s="422"/>
    </row>
    <row r="43510" spans="191:191" x14ac:dyDescent="0.2">
      <c r="GI43510" s="422"/>
    </row>
    <row r="43511" spans="191:191" x14ac:dyDescent="0.2">
      <c r="GI43511" s="422"/>
    </row>
    <row r="43512" spans="191:191" x14ac:dyDescent="0.2">
      <c r="GI43512" s="422"/>
    </row>
    <row r="43513" spans="191:191" x14ac:dyDescent="0.2">
      <c r="GI43513" s="422"/>
    </row>
    <row r="43514" spans="191:191" x14ac:dyDescent="0.2">
      <c r="GI43514" s="422"/>
    </row>
    <row r="43515" spans="191:191" x14ac:dyDescent="0.2">
      <c r="GI43515" s="422"/>
    </row>
    <row r="43516" spans="191:191" x14ac:dyDescent="0.2">
      <c r="GI43516" s="422"/>
    </row>
    <row r="43517" spans="191:191" x14ac:dyDescent="0.2">
      <c r="GI43517" s="422"/>
    </row>
    <row r="43518" spans="191:191" x14ac:dyDescent="0.2">
      <c r="GI43518" s="422"/>
    </row>
    <row r="43519" spans="191:191" x14ac:dyDescent="0.2">
      <c r="GI43519" s="422"/>
    </row>
    <row r="43520" spans="191:191" x14ac:dyDescent="0.2">
      <c r="GI43520" s="422"/>
    </row>
    <row r="43521" spans="191:191" x14ac:dyDescent="0.2">
      <c r="GI43521" s="422"/>
    </row>
    <row r="43522" spans="191:191" x14ac:dyDescent="0.2">
      <c r="GI43522" s="422"/>
    </row>
    <row r="43523" spans="191:191" x14ac:dyDescent="0.2">
      <c r="GI43523" s="422"/>
    </row>
    <row r="43524" spans="191:191" x14ac:dyDescent="0.2">
      <c r="GI43524" s="422"/>
    </row>
    <row r="43525" spans="191:191" x14ac:dyDescent="0.2">
      <c r="GI43525" s="422"/>
    </row>
    <row r="43526" spans="191:191" x14ac:dyDescent="0.2">
      <c r="GI43526" s="422"/>
    </row>
    <row r="43527" spans="191:191" x14ac:dyDescent="0.2">
      <c r="GI43527" s="422"/>
    </row>
    <row r="43528" spans="191:191" x14ac:dyDescent="0.2">
      <c r="GI43528" s="422"/>
    </row>
    <row r="43529" spans="191:191" x14ac:dyDescent="0.2">
      <c r="GI43529" s="422"/>
    </row>
    <row r="43530" spans="191:191" x14ac:dyDescent="0.2">
      <c r="GI43530" s="422"/>
    </row>
    <row r="43531" spans="191:191" x14ac:dyDescent="0.2">
      <c r="GI43531" s="422"/>
    </row>
    <row r="43532" spans="191:191" x14ac:dyDescent="0.2">
      <c r="GI43532" s="422"/>
    </row>
    <row r="43533" spans="191:191" x14ac:dyDescent="0.2">
      <c r="GI43533" s="422"/>
    </row>
    <row r="43534" spans="191:191" x14ac:dyDescent="0.2">
      <c r="GI43534" s="422"/>
    </row>
    <row r="43535" spans="191:191" x14ac:dyDescent="0.2">
      <c r="GI43535" s="422"/>
    </row>
    <row r="43536" spans="191:191" x14ac:dyDescent="0.2">
      <c r="GI43536" s="422"/>
    </row>
    <row r="43537" spans="191:191" x14ac:dyDescent="0.2">
      <c r="GI43537" s="422"/>
    </row>
    <row r="43538" spans="191:191" x14ac:dyDescent="0.2">
      <c r="GI43538" s="422"/>
    </row>
    <row r="43539" spans="191:191" x14ac:dyDescent="0.2">
      <c r="GI43539" s="422"/>
    </row>
    <row r="43540" spans="191:191" x14ac:dyDescent="0.2">
      <c r="GI43540" s="422"/>
    </row>
    <row r="43541" spans="191:191" x14ac:dyDescent="0.2">
      <c r="GI43541" s="422"/>
    </row>
    <row r="43542" spans="191:191" x14ac:dyDescent="0.2">
      <c r="GI43542" s="422"/>
    </row>
    <row r="43543" spans="191:191" x14ac:dyDescent="0.2">
      <c r="GI43543" s="422"/>
    </row>
    <row r="43544" spans="191:191" x14ac:dyDescent="0.2">
      <c r="GI43544" s="422"/>
    </row>
    <row r="43545" spans="191:191" x14ac:dyDescent="0.2">
      <c r="GI43545" s="422"/>
    </row>
    <row r="43546" spans="191:191" x14ac:dyDescent="0.2">
      <c r="GI43546" s="422"/>
    </row>
    <row r="43547" spans="191:191" x14ac:dyDescent="0.2">
      <c r="GI43547" s="422"/>
    </row>
    <row r="43548" spans="191:191" x14ac:dyDescent="0.2">
      <c r="GI43548" s="422"/>
    </row>
    <row r="43549" spans="191:191" x14ac:dyDescent="0.2">
      <c r="GI43549" s="422"/>
    </row>
    <row r="43550" spans="191:191" x14ac:dyDescent="0.2">
      <c r="GI43550" s="422"/>
    </row>
    <row r="43551" spans="191:191" x14ac:dyDescent="0.2">
      <c r="GI43551" s="422"/>
    </row>
    <row r="43552" spans="191:191" x14ac:dyDescent="0.2">
      <c r="GI43552" s="422"/>
    </row>
    <row r="43553" spans="191:191" x14ac:dyDescent="0.2">
      <c r="GI43553" s="422"/>
    </row>
    <row r="43554" spans="191:191" x14ac:dyDescent="0.2">
      <c r="GI43554" s="422"/>
    </row>
    <row r="43555" spans="191:191" x14ac:dyDescent="0.2">
      <c r="GI43555" s="422"/>
    </row>
    <row r="43556" spans="191:191" x14ac:dyDescent="0.2">
      <c r="GI43556" s="422"/>
    </row>
    <row r="43557" spans="191:191" x14ac:dyDescent="0.2">
      <c r="GI43557" s="422"/>
    </row>
    <row r="43558" spans="191:191" x14ac:dyDescent="0.2">
      <c r="GI43558" s="422"/>
    </row>
    <row r="43559" spans="191:191" x14ac:dyDescent="0.2">
      <c r="GI43559" s="422"/>
    </row>
    <row r="43560" spans="191:191" x14ac:dyDescent="0.2">
      <c r="GI43560" s="422"/>
    </row>
    <row r="43561" spans="191:191" x14ac:dyDescent="0.2">
      <c r="GI43561" s="422"/>
    </row>
    <row r="43562" spans="191:191" x14ac:dyDescent="0.2">
      <c r="GI43562" s="422"/>
    </row>
    <row r="43563" spans="191:191" x14ac:dyDescent="0.2">
      <c r="GI43563" s="422"/>
    </row>
    <row r="43564" spans="191:191" x14ac:dyDescent="0.2">
      <c r="GI43564" s="422"/>
    </row>
    <row r="43565" spans="191:191" x14ac:dyDescent="0.2">
      <c r="GI43565" s="422"/>
    </row>
    <row r="43566" spans="191:191" x14ac:dyDescent="0.2">
      <c r="GI43566" s="422"/>
    </row>
    <row r="43567" spans="191:191" x14ac:dyDescent="0.2">
      <c r="GI43567" s="422"/>
    </row>
    <row r="43568" spans="191:191" x14ac:dyDescent="0.2">
      <c r="GI43568" s="422"/>
    </row>
    <row r="43569" spans="191:191" x14ac:dyDescent="0.2">
      <c r="GI43569" s="422"/>
    </row>
    <row r="43570" spans="191:191" x14ac:dyDescent="0.2">
      <c r="GI43570" s="422"/>
    </row>
    <row r="43571" spans="191:191" x14ac:dyDescent="0.2">
      <c r="GI43571" s="422"/>
    </row>
    <row r="43572" spans="191:191" x14ac:dyDescent="0.2">
      <c r="GI43572" s="422"/>
    </row>
    <row r="43573" spans="191:191" x14ac:dyDescent="0.2">
      <c r="GI43573" s="422"/>
    </row>
    <row r="43574" spans="191:191" x14ac:dyDescent="0.2">
      <c r="GI43574" s="422"/>
    </row>
    <row r="43575" spans="191:191" x14ac:dyDescent="0.2">
      <c r="GI43575" s="422"/>
    </row>
    <row r="43576" spans="191:191" x14ac:dyDescent="0.2">
      <c r="GI43576" s="422"/>
    </row>
    <row r="43577" spans="191:191" x14ac:dyDescent="0.2">
      <c r="GI43577" s="422"/>
    </row>
    <row r="43578" spans="191:191" x14ac:dyDescent="0.2">
      <c r="GI43578" s="422"/>
    </row>
    <row r="43579" spans="191:191" x14ac:dyDescent="0.2">
      <c r="GI43579" s="422"/>
    </row>
    <row r="43580" spans="191:191" x14ac:dyDescent="0.2">
      <c r="GI43580" s="422"/>
    </row>
    <row r="43581" spans="191:191" x14ac:dyDescent="0.2">
      <c r="GI43581" s="422"/>
    </row>
    <row r="43582" spans="191:191" x14ac:dyDescent="0.2">
      <c r="GI43582" s="422"/>
    </row>
    <row r="43583" spans="191:191" x14ac:dyDescent="0.2">
      <c r="GI43583" s="422"/>
    </row>
    <row r="43584" spans="191:191" x14ac:dyDescent="0.2">
      <c r="GI43584" s="422"/>
    </row>
    <row r="43585" spans="191:191" x14ac:dyDescent="0.2">
      <c r="GI43585" s="422"/>
    </row>
    <row r="43586" spans="191:191" x14ac:dyDescent="0.2">
      <c r="GI43586" s="422"/>
    </row>
    <row r="43587" spans="191:191" x14ac:dyDescent="0.2">
      <c r="GI43587" s="422"/>
    </row>
    <row r="43588" spans="191:191" x14ac:dyDescent="0.2">
      <c r="GI43588" s="422"/>
    </row>
    <row r="43589" spans="191:191" x14ac:dyDescent="0.2">
      <c r="GI43589" s="422"/>
    </row>
    <row r="43590" spans="191:191" x14ac:dyDescent="0.2">
      <c r="GI43590" s="422"/>
    </row>
    <row r="43591" spans="191:191" x14ac:dyDescent="0.2">
      <c r="GI43591" s="422"/>
    </row>
    <row r="43592" spans="191:191" x14ac:dyDescent="0.2">
      <c r="GI43592" s="422"/>
    </row>
    <row r="43593" spans="191:191" x14ac:dyDescent="0.2">
      <c r="GI43593" s="422"/>
    </row>
    <row r="43594" spans="191:191" x14ac:dyDescent="0.2">
      <c r="GI43594" s="422"/>
    </row>
    <row r="43595" spans="191:191" x14ac:dyDescent="0.2">
      <c r="GI43595" s="422"/>
    </row>
    <row r="43596" spans="191:191" x14ac:dyDescent="0.2">
      <c r="GI43596" s="422"/>
    </row>
    <row r="43597" spans="191:191" x14ac:dyDescent="0.2">
      <c r="GI43597" s="422"/>
    </row>
    <row r="43598" spans="191:191" x14ac:dyDescent="0.2">
      <c r="GI43598" s="422"/>
    </row>
    <row r="43599" spans="191:191" x14ac:dyDescent="0.2">
      <c r="GI43599" s="422"/>
    </row>
    <row r="43600" spans="191:191" x14ac:dyDescent="0.2">
      <c r="GI43600" s="422"/>
    </row>
    <row r="43601" spans="191:191" x14ac:dyDescent="0.2">
      <c r="GI43601" s="422"/>
    </row>
    <row r="43602" spans="191:191" x14ac:dyDescent="0.2">
      <c r="GI43602" s="422"/>
    </row>
    <row r="43603" spans="191:191" x14ac:dyDescent="0.2">
      <c r="GI43603" s="422"/>
    </row>
    <row r="43604" spans="191:191" x14ac:dyDescent="0.2">
      <c r="GI43604" s="422"/>
    </row>
    <row r="43605" spans="191:191" x14ac:dyDescent="0.2">
      <c r="GI43605" s="422"/>
    </row>
    <row r="43606" spans="191:191" x14ac:dyDescent="0.2">
      <c r="GI43606" s="422"/>
    </row>
    <row r="43607" spans="191:191" x14ac:dyDescent="0.2">
      <c r="GI43607" s="422"/>
    </row>
    <row r="43608" spans="191:191" x14ac:dyDescent="0.2">
      <c r="GI43608" s="422"/>
    </row>
    <row r="43609" spans="191:191" x14ac:dyDescent="0.2">
      <c r="GI43609" s="422"/>
    </row>
    <row r="43610" spans="191:191" x14ac:dyDescent="0.2">
      <c r="GI43610" s="422"/>
    </row>
    <row r="43611" spans="191:191" x14ac:dyDescent="0.2">
      <c r="GI43611" s="422"/>
    </row>
    <row r="43612" spans="191:191" x14ac:dyDescent="0.2">
      <c r="GI43612" s="422"/>
    </row>
    <row r="43613" spans="191:191" x14ac:dyDescent="0.2">
      <c r="GI43613" s="422"/>
    </row>
    <row r="43614" spans="191:191" x14ac:dyDescent="0.2">
      <c r="GI43614" s="422"/>
    </row>
    <row r="43615" spans="191:191" x14ac:dyDescent="0.2">
      <c r="GI43615" s="422"/>
    </row>
    <row r="43616" spans="191:191" x14ac:dyDescent="0.2">
      <c r="GI43616" s="422"/>
    </row>
    <row r="43617" spans="191:191" x14ac:dyDescent="0.2">
      <c r="GI43617" s="422"/>
    </row>
    <row r="43618" spans="191:191" x14ac:dyDescent="0.2">
      <c r="GI43618" s="422"/>
    </row>
    <row r="43619" spans="191:191" x14ac:dyDescent="0.2">
      <c r="GI43619" s="422"/>
    </row>
    <row r="43620" spans="191:191" x14ac:dyDescent="0.2">
      <c r="GI43620" s="422"/>
    </row>
    <row r="43621" spans="191:191" x14ac:dyDescent="0.2">
      <c r="GI43621" s="422"/>
    </row>
    <row r="43622" spans="191:191" x14ac:dyDescent="0.2">
      <c r="GI43622" s="422"/>
    </row>
    <row r="43623" spans="191:191" x14ac:dyDescent="0.2">
      <c r="GI43623" s="422"/>
    </row>
    <row r="43624" spans="191:191" x14ac:dyDescent="0.2">
      <c r="GI43624" s="422"/>
    </row>
    <row r="43625" spans="191:191" x14ac:dyDescent="0.2">
      <c r="GI43625" s="422"/>
    </row>
    <row r="43626" spans="191:191" x14ac:dyDescent="0.2">
      <c r="GI43626" s="422"/>
    </row>
    <row r="43627" spans="191:191" x14ac:dyDescent="0.2">
      <c r="GI43627" s="422"/>
    </row>
    <row r="43628" spans="191:191" x14ac:dyDescent="0.2">
      <c r="GI43628" s="422"/>
    </row>
    <row r="43629" spans="191:191" x14ac:dyDescent="0.2">
      <c r="GI43629" s="422"/>
    </row>
    <row r="43630" spans="191:191" x14ac:dyDescent="0.2">
      <c r="GI43630" s="422"/>
    </row>
    <row r="43631" spans="191:191" x14ac:dyDescent="0.2">
      <c r="GI43631" s="422"/>
    </row>
    <row r="43632" spans="191:191" x14ac:dyDescent="0.2">
      <c r="GI43632" s="422"/>
    </row>
    <row r="43633" spans="191:191" x14ac:dyDescent="0.2">
      <c r="GI43633" s="422"/>
    </row>
    <row r="43634" spans="191:191" x14ac:dyDescent="0.2">
      <c r="GI43634" s="422"/>
    </row>
    <row r="43635" spans="191:191" x14ac:dyDescent="0.2">
      <c r="GI43635" s="422"/>
    </row>
    <row r="43636" spans="191:191" x14ac:dyDescent="0.2">
      <c r="GI43636" s="422"/>
    </row>
    <row r="43637" spans="191:191" x14ac:dyDescent="0.2">
      <c r="GI43637" s="422"/>
    </row>
    <row r="43638" spans="191:191" x14ac:dyDescent="0.2">
      <c r="GI43638" s="422"/>
    </row>
    <row r="43639" spans="191:191" x14ac:dyDescent="0.2">
      <c r="GI43639" s="422"/>
    </row>
    <row r="43640" spans="191:191" x14ac:dyDescent="0.2">
      <c r="GI43640" s="422"/>
    </row>
    <row r="43641" spans="191:191" x14ac:dyDescent="0.2">
      <c r="GI43641" s="422"/>
    </row>
    <row r="43642" spans="191:191" x14ac:dyDescent="0.2">
      <c r="GI43642" s="422"/>
    </row>
    <row r="43643" spans="191:191" x14ac:dyDescent="0.2">
      <c r="GI43643" s="422"/>
    </row>
    <row r="43644" spans="191:191" x14ac:dyDescent="0.2">
      <c r="GI43644" s="422"/>
    </row>
    <row r="43645" spans="191:191" x14ac:dyDescent="0.2">
      <c r="GI43645" s="422"/>
    </row>
    <row r="43646" spans="191:191" x14ac:dyDescent="0.2">
      <c r="GI43646" s="422"/>
    </row>
    <row r="43647" spans="191:191" x14ac:dyDescent="0.2">
      <c r="GI43647" s="422"/>
    </row>
    <row r="43648" spans="191:191" x14ac:dyDescent="0.2">
      <c r="GI43648" s="422"/>
    </row>
    <row r="43649" spans="191:191" x14ac:dyDescent="0.2">
      <c r="GI43649" s="422"/>
    </row>
    <row r="43650" spans="191:191" x14ac:dyDescent="0.2">
      <c r="GI43650" s="422"/>
    </row>
    <row r="43651" spans="191:191" x14ac:dyDescent="0.2">
      <c r="GI43651" s="422"/>
    </row>
    <row r="43652" spans="191:191" x14ac:dyDescent="0.2">
      <c r="GI43652" s="422"/>
    </row>
    <row r="43653" spans="191:191" x14ac:dyDescent="0.2">
      <c r="GI43653" s="422"/>
    </row>
    <row r="43654" spans="191:191" x14ac:dyDescent="0.2">
      <c r="GI43654" s="422"/>
    </row>
    <row r="43655" spans="191:191" x14ac:dyDescent="0.2">
      <c r="GI43655" s="422"/>
    </row>
    <row r="43656" spans="191:191" x14ac:dyDescent="0.2">
      <c r="GI43656" s="422"/>
    </row>
    <row r="43657" spans="191:191" x14ac:dyDescent="0.2">
      <c r="GI43657" s="422"/>
    </row>
    <row r="43658" spans="191:191" x14ac:dyDescent="0.2">
      <c r="GI43658" s="422"/>
    </row>
    <row r="43659" spans="191:191" x14ac:dyDescent="0.2">
      <c r="GI43659" s="422"/>
    </row>
    <row r="43660" spans="191:191" x14ac:dyDescent="0.2">
      <c r="GI43660" s="422"/>
    </row>
    <row r="43661" spans="191:191" x14ac:dyDescent="0.2">
      <c r="GI43661" s="422"/>
    </row>
    <row r="43662" spans="191:191" x14ac:dyDescent="0.2">
      <c r="GI43662" s="422"/>
    </row>
    <row r="43663" spans="191:191" x14ac:dyDescent="0.2">
      <c r="GI43663" s="422"/>
    </row>
    <row r="43664" spans="191:191" x14ac:dyDescent="0.2">
      <c r="GI43664" s="422"/>
    </row>
    <row r="43665" spans="191:191" x14ac:dyDescent="0.2">
      <c r="GI43665" s="422"/>
    </row>
    <row r="43666" spans="191:191" x14ac:dyDescent="0.2">
      <c r="GI43666" s="422"/>
    </row>
    <row r="43667" spans="191:191" x14ac:dyDescent="0.2">
      <c r="GI43667" s="422"/>
    </row>
    <row r="43668" spans="191:191" x14ac:dyDescent="0.2">
      <c r="GI43668" s="422"/>
    </row>
    <row r="43669" spans="191:191" x14ac:dyDescent="0.2">
      <c r="GI43669" s="422"/>
    </row>
    <row r="43670" spans="191:191" x14ac:dyDescent="0.2">
      <c r="GI43670" s="422"/>
    </row>
    <row r="43671" spans="191:191" x14ac:dyDescent="0.2">
      <c r="GI43671" s="422"/>
    </row>
    <row r="43672" spans="191:191" x14ac:dyDescent="0.2">
      <c r="GI43672" s="422"/>
    </row>
    <row r="43673" spans="191:191" x14ac:dyDescent="0.2">
      <c r="GI43673" s="422"/>
    </row>
    <row r="43674" spans="191:191" x14ac:dyDescent="0.2">
      <c r="GI43674" s="422"/>
    </row>
    <row r="43675" spans="191:191" x14ac:dyDescent="0.2">
      <c r="GI43675" s="422"/>
    </row>
    <row r="43676" spans="191:191" x14ac:dyDescent="0.2">
      <c r="GI43676" s="422"/>
    </row>
    <row r="43677" spans="191:191" x14ac:dyDescent="0.2">
      <c r="GI43677" s="422"/>
    </row>
    <row r="43678" spans="191:191" x14ac:dyDescent="0.2">
      <c r="GI43678" s="422"/>
    </row>
    <row r="43679" spans="191:191" x14ac:dyDescent="0.2">
      <c r="GI43679" s="422"/>
    </row>
    <row r="43680" spans="191:191" x14ac:dyDescent="0.2">
      <c r="GI43680" s="422"/>
    </row>
    <row r="43681" spans="191:191" x14ac:dyDescent="0.2">
      <c r="GI43681" s="422"/>
    </row>
    <row r="43682" spans="191:191" x14ac:dyDescent="0.2">
      <c r="GI43682" s="422"/>
    </row>
    <row r="43683" spans="191:191" x14ac:dyDescent="0.2">
      <c r="GI43683" s="422"/>
    </row>
    <row r="43684" spans="191:191" x14ac:dyDescent="0.2">
      <c r="GI43684" s="422"/>
    </row>
    <row r="43685" spans="191:191" x14ac:dyDescent="0.2">
      <c r="GI43685" s="422"/>
    </row>
    <row r="43686" spans="191:191" x14ac:dyDescent="0.2">
      <c r="GI43686" s="422"/>
    </row>
    <row r="43687" spans="191:191" x14ac:dyDescent="0.2">
      <c r="GI43687" s="422"/>
    </row>
    <row r="43688" spans="191:191" x14ac:dyDescent="0.2">
      <c r="GI43688" s="422"/>
    </row>
    <row r="43689" spans="191:191" x14ac:dyDescent="0.2">
      <c r="GI43689" s="422"/>
    </row>
    <row r="43690" spans="191:191" x14ac:dyDescent="0.2">
      <c r="GI43690" s="422"/>
    </row>
    <row r="43691" spans="191:191" x14ac:dyDescent="0.2">
      <c r="GI43691" s="422"/>
    </row>
    <row r="43692" spans="191:191" x14ac:dyDescent="0.2">
      <c r="GI43692" s="422"/>
    </row>
    <row r="43693" spans="191:191" x14ac:dyDescent="0.2">
      <c r="GI43693" s="422"/>
    </row>
    <row r="43694" spans="191:191" x14ac:dyDescent="0.2">
      <c r="GI43694" s="422"/>
    </row>
    <row r="43695" spans="191:191" x14ac:dyDescent="0.2">
      <c r="GI43695" s="422"/>
    </row>
    <row r="43696" spans="191:191" x14ac:dyDescent="0.2">
      <c r="GI43696" s="422"/>
    </row>
    <row r="43697" spans="191:191" x14ac:dyDescent="0.2">
      <c r="GI43697" s="422"/>
    </row>
    <row r="43698" spans="191:191" x14ac:dyDescent="0.2">
      <c r="GI43698" s="422"/>
    </row>
    <row r="43699" spans="191:191" x14ac:dyDescent="0.2">
      <c r="GI43699" s="422"/>
    </row>
    <row r="43700" spans="191:191" x14ac:dyDescent="0.2">
      <c r="GI43700" s="422"/>
    </row>
    <row r="43701" spans="191:191" x14ac:dyDescent="0.2">
      <c r="GI43701" s="422"/>
    </row>
    <row r="43702" spans="191:191" x14ac:dyDescent="0.2">
      <c r="GI43702" s="422"/>
    </row>
    <row r="43703" spans="191:191" x14ac:dyDescent="0.2">
      <c r="GI43703" s="422"/>
    </row>
    <row r="43704" spans="191:191" x14ac:dyDescent="0.2">
      <c r="GI43704" s="422"/>
    </row>
    <row r="43705" spans="191:191" x14ac:dyDescent="0.2">
      <c r="GI43705" s="422"/>
    </row>
    <row r="43706" spans="191:191" x14ac:dyDescent="0.2">
      <c r="GI43706" s="422"/>
    </row>
    <row r="43707" spans="191:191" x14ac:dyDescent="0.2">
      <c r="GI43707" s="422"/>
    </row>
    <row r="43708" spans="191:191" x14ac:dyDescent="0.2">
      <c r="GI43708" s="422"/>
    </row>
    <row r="43709" spans="191:191" x14ac:dyDescent="0.2">
      <c r="GI43709" s="422"/>
    </row>
    <row r="43710" spans="191:191" x14ac:dyDescent="0.2">
      <c r="GI43710" s="422"/>
    </row>
    <row r="43711" spans="191:191" x14ac:dyDescent="0.2">
      <c r="GI43711" s="422"/>
    </row>
    <row r="43712" spans="191:191" x14ac:dyDescent="0.2">
      <c r="GI43712" s="422"/>
    </row>
    <row r="43713" spans="191:191" x14ac:dyDescent="0.2">
      <c r="GI43713" s="422"/>
    </row>
    <row r="43714" spans="191:191" x14ac:dyDescent="0.2">
      <c r="GI43714" s="422"/>
    </row>
    <row r="43715" spans="191:191" x14ac:dyDescent="0.2">
      <c r="GI43715" s="422"/>
    </row>
    <row r="43716" spans="191:191" x14ac:dyDescent="0.2">
      <c r="GI43716" s="422"/>
    </row>
    <row r="43717" spans="191:191" x14ac:dyDescent="0.2">
      <c r="GI43717" s="422"/>
    </row>
    <row r="43718" spans="191:191" x14ac:dyDescent="0.2">
      <c r="GI43718" s="422"/>
    </row>
    <row r="43719" spans="191:191" x14ac:dyDescent="0.2">
      <c r="GI43719" s="422"/>
    </row>
    <row r="43720" spans="191:191" x14ac:dyDescent="0.2">
      <c r="GI43720" s="422"/>
    </row>
    <row r="43721" spans="191:191" x14ac:dyDescent="0.2">
      <c r="GI43721" s="422"/>
    </row>
    <row r="43722" spans="191:191" x14ac:dyDescent="0.2">
      <c r="GI43722" s="422"/>
    </row>
    <row r="43723" spans="191:191" x14ac:dyDescent="0.2">
      <c r="GI43723" s="422"/>
    </row>
    <row r="43724" spans="191:191" x14ac:dyDescent="0.2">
      <c r="GI43724" s="422"/>
    </row>
    <row r="43725" spans="191:191" x14ac:dyDescent="0.2">
      <c r="GI43725" s="422"/>
    </row>
    <row r="43726" spans="191:191" x14ac:dyDescent="0.2">
      <c r="GI43726" s="422"/>
    </row>
    <row r="43727" spans="191:191" x14ac:dyDescent="0.2">
      <c r="GI43727" s="422"/>
    </row>
    <row r="43728" spans="191:191" x14ac:dyDescent="0.2">
      <c r="GI43728" s="422"/>
    </row>
    <row r="43729" spans="191:191" x14ac:dyDescent="0.2">
      <c r="GI43729" s="422"/>
    </row>
    <row r="43730" spans="191:191" x14ac:dyDescent="0.2">
      <c r="GI43730" s="422"/>
    </row>
    <row r="43731" spans="191:191" x14ac:dyDescent="0.2">
      <c r="GI43731" s="422"/>
    </row>
    <row r="43732" spans="191:191" x14ac:dyDescent="0.2">
      <c r="GI43732" s="422"/>
    </row>
    <row r="43733" spans="191:191" x14ac:dyDescent="0.2">
      <c r="GI43733" s="422"/>
    </row>
    <row r="43734" spans="191:191" x14ac:dyDescent="0.2">
      <c r="GI43734" s="422"/>
    </row>
    <row r="43735" spans="191:191" x14ac:dyDescent="0.2">
      <c r="GI43735" s="422"/>
    </row>
    <row r="43736" spans="191:191" x14ac:dyDescent="0.2">
      <c r="GI43736" s="422"/>
    </row>
    <row r="43737" spans="191:191" x14ac:dyDescent="0.2">
      <c r="GI43737" s="422"/>
    </row>
    <row r="43738" spans="191:191" x14ac:dyDescent="0.2">
      <c r="GI43738" s="422"/>
    </row>
    <row r="43739" spans="191:191" x14ac:dyDescent="0.2">
      <c r="GI43739" s="422"/>
    </row>
    <row r="43740" spans="191:191" x14ac:dyDescent="0.2">
      <c r="GI43740" s="422"/>
    </row>
    <row r="43741" spans="191:191" x14ac:dyDescent="0.2">
      <c r="GI43741" s="422"/>
    </row>
    <row r="43742" spans="191:191" x14ac:dyDescent="0.2">
      <c r="GI43742" s="422"/>
    </row>
    <row r="43743" spans="191:191" x14ac:dyDescent="0.2">
      <c r="GI43743" s="422"/>
    </row>
    <row r="43744" spans="191:191" x14ac:dyDescent="0.2">
      <c r="GI43744" s="422"/>
    </row>
    <row r="43745" spans="191:191" x14ac:dyDescent="0.2">
      <c r="GI43745" s="422"/>
    </row>
    <row r="43746" spans="191:191" x14ac:dyDescent="0.2">
      <c r="GI43746" s="422"/>
    </row>
    <row r="43747" spans="191:191" x14ac:dyDescent="0.2">
      <c r="GI43747" s="422"/>
    </row>
    <row r="43748" spans="191:191" x14ac:dyDescent="0.2">
      <c r="GI43748" s="422"/>
    </row>
    <row r="43749" spans="191:191" x14ac:dyDescent="0.2">
      <c r="GI43749" s="422"/>
    </row>
    <row r="43750" spans="191:191" x14ac:dyDescent="0.2">
      <c r="GI43750" s="422"/>
    </row>
    <row r="43751" spans="191:191" x14ac:dyDescent="0.2">
      <c r="GI43751" s="422"/>
    </row>
    <row r="43752" spans="191:191" x14ac:dyDescent="0.2">
      <c r="GI43752" s="422"/>
    </row>
    <row r="43753" spans="191:191" x14ac:dyDescent="0.2">
      <c r="GI43753" s="422"/>
    </row>
    <row r="43754" spans="191:191" x14ac:dyDescent="0.2">
      <c r="GI43754" s="422"/>
    </row>
    <row r="43755" spans="191:191" x14ac:dyDescent="0.2">
      <c r="GI43755" s="422"/>
    </row>
    <row r="43756" spans="191:191" x14ac:dyDescent="0.2">
      <c r="GI43756" s="422"/>
    </row>
    <row r="43757" spans="191:191" x14ac:dyDescent="0.2">
      <c r="GI43757" s="422"/>
    </row>
    <row r="43758" spans="191:191" x14ac:dyDescent="0.2">
      <c r="GI43758" s="422"/>
    </row>
    <row r="43759" spans="191:191" x14ac:dyDescent="0.2">
      <c r="GI43759" s="422"/>
    </row>
    <row r="43760" spans="191:191" x14ac:dyDescent="0.2">
      <c r="GI43760" s="422"/>
    </row>
    <row r="43761" spans="191:191" x14ac:dyDescent="0.2">
      <c r="GI43761" s="422"/>
    </row>
    <row r="43762" spans="191:191" x14ac:dyDescent="0.2">
      <c r="GI43762" s="422"/>
    </row>
    <row r="43763" spans="191:191" x14ac:dyDescent="0.2">
      <c r="GI43763" s="422"/>
    </row>
    <row r="43764" spans="191:191" x14ac:dyDescent="0.2">
      <c r="GI43764" s="422"/>
    </row>
    <row r="43765" spans="191:191" x14ac:dyDescent="0.2">
      <c r="GI43765" s="422"/>
    </row>
    <row r="43766" spans="191:191" x14ac:dyDescent="0.2">
      <c r="GI43766" s="422"/>
    </row>
    <row r="43767" spans="191:191" x14ac:dyDescent="0.2">
      <c r="GI43767" s="422"/>
    </row>
    <row r="43768" spans="191:191" x14ac:dyDescent="0.2">
      <c r="GI43768" s="422"/>
    </row>
    <row r="43769" spans="191:191" x14ac:dyDescent="0.2">
      <c r="GI43769" s="422"/>
    </row>
    <row r="43770" spans="191:191" x14ac:dyDescent="0.2">
      <c r="GI43770" s="422"/>
    </row>
    <row r="43771" spans="191:191" x14ac:dyDescent="0.2">
      <c r="GI43771" s="422"/>
    </row>
    <row r="43772" spans="191:191" x14ac:dyDescent="0.2">
      <c r="GI43772" s="422"/>
    </row>
    <row r="43773" spans="191:191" x14ac:dyDescent="0.2">
      <c r="GI43773" s="422"/>
    </row>
    <row r="43774" spans="191:191" x14ac:dyDescent="0.2">
      <c r="GI43774" s="422"/>
    </row>
    <row r="43775" spans="191:191" x14ac:dyDescent="0.2">
      <c r="GI43775" s="422"/>
    </row>
    <row r="43776" spans="191:191" x14ac:dyDescent="0.2">
      <c r="GI43776" s="422"/>
    </row>
    <row r="43777" spans="191:191" x14ac:dyDescent="0.2">
      <c r="GI43777" s="422"/>
    </row>
    <row r="43778" spans="191:191" x14ac:dyDescent="0.2">
      <c r="GI43778" s="422"/>
    </row>
    <row r="43779" spans="191:191" x14ac:dyDescent="0.2">
      <c r="GI43779" s="422"/>
    </row>
    <row r="43780" spans="191:191" x14ac:dyDescent="0.2">
      <c r="GI43780" s="422"/>
    </row>
    <row r="43781" spans="191:191" x14ac:dyDescent="0.2">
      <c r="GI43781" s="422"/>
    </row>
    <row r="43782" spans="191:191" x14ac:dyDescent="0.2">
      <c r="GI43782" s="422"/>
    </row>
    <row r="43783" spans="191:191" x14ac:dyDescent="0.2">
      <c r="GI43783" s="422"/>
    </row>
    <row r="43784" spans="191:191" x14ac:dyDescent="0.2">
      <c r="GI43784" s="422"/>
    </row>
    <row r="43785" spans="191:191" x14ac:dyDescent="0.2">
      <c r="GI43785" s="422"/>
    </row>
    <row r="43786" spans="191:191" x14ac:dyDescent="0.2">
      <c r="GI43786" s="422"/>
    </row>
    <row r="43787" spans="191:191" x14ac:dyDescent="0.2">
      <c r="GI43787" s="422"/>
    </row>
    <row r="43788" spans="191:191" x14ac:dyDescent="0.2">
      <c r="GI43788" s="422"/>
    </row>
    <row r="43789" spans="191:191" x14ac:dyDescent="0.2">
      <c r="GI43789" s="422"/>
    </row>
    <row r="43790" spans="191:191" x14ac:dyDescent="0.2">
      <c r="GI43790" s="422"/>
    </row>
    <row r="43791" spans="191:191" x14ac:dyDescent="0.2">
      <c r="GI43791" s="422"/>
    </row>
    <row r="43792" spans="191:191" x14ac:dyDescent="0.2">
      <c r="GI43792" s="422"/>
    </row>
    <row r="43793" spans="191:191" x14ac:dyDescent="0.2">
      <c r="GI43793" s="422"/>
    </row>
    <row r="43794" spans="191:191" x14ac:dyDescent="0.2">
      <c r="GI43794" s="422"/>
    </row>
    <row r="43795" spans="191:191" x14ac:dyDescent="0.2">
      <c r="GI43795" s="422"/>
    </row>
    <row r="43796" spans="191:191" x14ac:dyDescent="0.2">
      <c r="GI43796" s="422"/>
    </row>
    <row r="43797" spans="191:191" x14ac:dyDescent="0.2">
      <c r="GI43797" s="422"/>
    </row>
    <row r="43798" spans="191:191" x14ac:dyDescent="0.2">
      <c r="GI43798" s="422"/>
    </row>
    <row r="43799" spans="191:191" x14ac:dyDescent="0.2">
      <c r="GI43799" s="422"/>
    </row>
    <row r="43800" spans="191:191" x14ac:dyDescent="0.2">
      <c r="GI43800" s="422"/>
    </row>
    <row r="43801" spans="191:191" x14ac:dyDescent="0.2">
      <c r="GI43801" s="422"/>
    </row>
    <row r="43802" spans="191:191" x14ac:dyDescent="0.2">
      <c r="GI43802" s="422"/>
    </row>
    <row r="43803" spans="191:191" x14ac:dyDescent="0.2">
      <c r="GI43803" s="422"/>
    </row>
    <row r="43804" spans="191:191" x14ac:dyDescent="0.2">
      <c r="GI43804" s="422"/>
    </row>
    <row r="43805" spans="191:191" x14ac:dyDescent="0.2">
      <c r="GI43805" s="422"/>
    </row>
    <row r="43806" spans="191:191" x14ac:dyDescent="0.2">
      <c r="GI43806" s="422"/>
    </row>
    <row r="43807" spans="191:191" x14ac:dyDescent="0.2">
      <c r="GI43807" s="422"/>
    </row>
    <row r="43808" spans="191:191" x14ac:dyDescent="0.2">
      <c r="GI43808" s="422"/>
    </row>
    <row r="43809" spans="191:191" x14ac:dyDescent="0.2">
      <c r="GI43809" s="422"/>
    </row>
    <row r="43810" spans="191:191" x14ac:dyDescent="0.2">
      <c r="GI43810" s="422"/>
    </row>
    <row r="43811" spans="191:191" x14ac:dyDescent="0.2">
      <c r="GI43811" s="422"/>
    </row>
    <row r="43812" spans="191:191" x14ac:dyDescent="0.2">
      <c r="GI43812" s="422"/>
    </row>
    <row r="43813" spans="191:191" x14ac:dyDescent="0.2">
      <c r="GI43813" s="422"/>
    </row>
    <row r="43814" spans="191:191" x14ac:dyDescent="0.2">
      <c r="GI43814" s="422"/>
    </row>
    <row r="43815" spans="191:191" x14ac:dyDescent="0.2">
      <c r="GI43815" s="422"/>
    </row>
    <row r="43816" spans="191:191" x14ac:dyDescent="0.2">
      <c r="GI43816" s="422"/>
    </row>
    <row r="43817" spans="191:191" x14ac:dyDescent="0.2">
      <c r="GI43817" s="422"/>
    </row>
    <row r="43818" spans="191:191" x14ac:dyDescent="0.2">
      <c r="GI43818" s="422"/>
    </row>
    <row r="43819" spans="191:191" x14ac:dyDescent="0.2">
      <c r="GI43819" s="422"/>
    </row>
    <row r="43820" spans="191:191" x14ac:dyDescent="0.2">
      <c r="GI43820" s="422"/>
    </row>
    <row r="43821" spans="191:191" x14ac:dyDescent="0.2">
      <c r="GI43821" s="422"/>
    </row>
    <row r="43822" spans="191:191" x14ac:dyDescent="0.2">
      <c r="GI43822" s="422"/>
    </row>
    <row r="43823" spans="191:191" x14ac:dyDescent="0.2">
      <c r="GI43823" s="422"/>
    </row>
    <row r="43824" spans="191:191" x14ac:dyDescent="0.2">
      <c r="GI43824" s="422"/>
    </row>
    <row r="43825" spans="191:191" x14ac:dyDescent="0.2">
      <c r="GI43825" s="422"/>
    </row>
    <row r="43826" spans="191:191" x14ac:dyDescent="0.2">
      <c r="GI43826" s="422"/>
    </row>
    <row r="43827" spans="191:191" x14ac:dyDescent="0.2">
      <c r="GI43827" s="422"/>
    </row>
    <row r="43828" spans="191:191" x14ac:dyDescent="0.2">
      <c r="GI43828" s="422"/>
    </row>
    <row r="43829" spans="191:191" x14ac:dyDescent="0.2">
      <c r="GI43829" s="422"/>
    </row>
    <row r="43830" spans="191:191" x14ac:dyDescent="0.2">
      <c r="GI43830" s="422"/>
    </row>
    <row r="43831" spans="191:191" x14ac:dyDescent="0.2">
      <c r="GI43831" s="422"/>
    </row>
    <row r="43832" spans="191:191" x14ac:dyDescent="0.2">
      <c r="GI43832" s="422"/>
    </row>
    <row r="43833" spans="191:191" x14ac:dyDescent="0.2">
      <c r="GI43833" s="422"/>
    </row>
    <row r="43834" spans="191:191" x14ac:dyDescent="0.2">
      <c r="GI43834" s="422"/>
    </row>
    <row r="43835" spans="191:191" x14ac:dyDescent="0.2">
      <c r="GI43835" s="422"/>
    </row>
    <row r="43836" spans="191:191" x14ac:dyDescent="0.2">
      <c r="GI43836" s="422"/>
    </row>
    <row r="43837" spans="191:191" x14ac:dyDescent="0.2">
      <c r="GI43837" s="422"/>
    </row>
    <row r="43838" spans="191:191" x14ac:dyDescent="0.2">
      <c r="GI43838" s="422"/>
    </row>
    <row r="43839" spans="191:191" x14ac:dyDescent="0.2">
      <c r="GI43839" s="422"/>
    </row>
    <row r="43840" spans="191:191" x14ac:dyDescent="0.2">
      <c r="GI43840" s="422"/>
    </row>
    <row r="43841" spans="191:191" x14ac:dyDescent="0.2">
      <c r="GI43841" s="422"/>
    </row>
    <row r="43842" spans="191:191" x14ac:dyDescent="0.2">
      <c r="GI43842" s="422"/>
    </row>
    <row r="43843" spans="191:191" x14ac:dyDescent="0.2">
      <c r="GI43843" s="422"/>
    </row>
    <row r="43844" spans="191:191" x14ac:dyDescent="0.2">
      <c r="GI43844" s="422"/>
    </row>
    <row r="43845" spans="191:191" x14ac:dyDescent="0.2">
      <c r="GI43845" s="422"/>
    </row>
    <row r="43846" spans="191:191" x14ac:dyDescent="0.2">
      <c r="GI43846" s="422"/>
    </row>
    <row r="43847" spans="191:191" x14ac:dyDescent="0.2">
      <c r="GI43847" s="422"/>
    </row>
    <row r="43848" spans="191:191" x14ac:dyDescent="0.2">
      <c r="GI43848" s="422"/>
    </row>
    <row r="43849" spans="191:191" x14ac:dyDescent="0.2">
      <c r="GI43849" s="422"/>
    </row>
    <row r="43850" spans="191:191" x14ac:dyDescent="0.2">
      <c r="GI43850" s="422"/>
    </row>
    <row r="43851" spans="191:191" x14ac:dyDescent="0.2">
      <c r="GI43851" s="422"/>
    </row>
    <row r="43852" spans="191:191" x14ac:dyDescent="0.2">
      <c r="GI43852" s="422"/>
    </row>
    <row r="43853" spans="191:191" x14ac:dyDescent="0.2">
      <c r="GI43853" s="422"/>
    </row>
    <row r="43854" spans="191:191" x14ac:dyDescent="0.2">
      <c r="GI43854" s="422"/>
    </row>
    <row r="43855" spans="191:191" x14ac:dyDescent="0.2">
      <c r="GI43855" s="422"/>
    </row>
    <row r="43856" spans="191:191" x14ac:dyDescent="0.2">
      <c r="GI43856" s="422"/>
    </row>
    <row r="43857" spans="191:191" x14ac:dyDescent="0.2">
      <c r="GI43857" s="422"/>
    </row>
    <row r="43858" spans="191:191" x14ac:dyDescent="0.2">
      <c r="GI43858" s="422"/>
    </row>
    <row r="43859" spans="191:191" x14ac:dyDescent="0.2">
      <c r="GI43859" s="422"/>
    </row>
    <row r="43860" spans="191:191" x14ac:dyDescent="0.2">
      <c r="GI43860" s="422"/>
    </row>
    <row r="43861" spans="191:191" x14ac:dyDescent="0.2">
      <c r="GI43861" s="422"/>
    </row>
    <row r="43862" spans="191:191" x14ac:dyDescent="0.2">
      <c r="GI43862" s="422"/>
    </row>
    <row r="43863" spans="191:191" x14ac:dyDescent="0.2">
      <c r="GI43863" s="422"/>
    </row>
    <row r="43864" spans="191:191" x14ac:dyDescent="0.2">
      <c r="GI43864" s="422"/>
    </row>
    <row r="43865" spans="191:191" x14ac:dyDescent="0.2">
      <c r="GI43865" s="422"/>
    </row>
    <row r="43866" spans="191:191" x14ac:dyDescent="0.2">
      <c r="GI43866" s="422"/>
    </row>
    <row r="43867" spans="191:191" x14ac:dyDescent="0.2">
      <c r="GI43867" s="422"/>
    </row>
    <row r="43868" spans="191:191" x14ac:dyDescent="0.2">
      <c r="GI43868" s="422"/>
    </row>
    <row r="43869" spans="191:191" x14ac:dyDescent="0.2">
      <c r="GI43869" s="422"/>
    </row>
    <row r="43870" spans="191:191" x14ac:dyDescent="0.2">
      <c r="GI43870" s="422"/>
    </row>
    <row r="43871" spans="191:191" x14ac:dyDescent="0.2">
      <c r="GI43871" s="422"/>
    </row>
    <row r="43872" spans="191:191" x14ac:dyDescent="0.2">
      <c r="GI43872" s="422"/>
    </row>
    <row r="43873" spans="191:191" x14ac:dyDescent="0.2">
      <c r="GI43873" s="422"/>
    </row>
    <row r="43874" spans="191:191" x14ac:dyDescent="0.2">
      <c r="GI43874" s="422"/>
    </row>
    <row r="43875" spans="191:191" x14ac:dyDescent="0.2">
      <c r="GI43875" s="422"/>
    </row>
    <row r="43876" spans="191:191" x14ac:dyDescent="0.2">
      <c r="GI43876" s="422"/>
    </row>
    <row r="43877" spans="191:191" x14ac:dyDescent="0.2">
      <c r="GI43877" s="422"/>
    </row>
    <row r="43878" spans="191:191" x14ac:dyDescent="0.2">
      <c r="GI43878" s="422"/>
    </row>
    <row r="43879" spans="191:191" x14ac:dyDescent="0.2">
      <c r="GI43879" s="422"/>
    </row>
    <row r="43880" spans="191:191" x14ac:dyDescent="0.2">
      <c r="GI43880" s="422"/>
    </row>
    <row r="43881" spans="191:191" x14ac:dyDescent="0.2">
      <c r="GI43881" s="422"/>
    </row>
    <row r="43882" spans="191:191" x14ac:dyDescent="0.2">
      <c r="GI43882" s="422"/>
    </row>
    <row r="43883" spans="191:191" x14ac:dyDescent="0.2">
      <c r="GI43883" s="422"/>
    </row>
    <row r="43884" spans="191:191" x14ac:dyDescent="0.2">
      <c r="GI43884" s="422"/>
    </row>
    <row r="43885" spans="191:191" x14ac:dyDescent="0.2">
      <c r="GI43885" s="422"/>
    </row>
    <row r="43886" spans="191:191" x14ac:dyDescent="0.2">
      <c r="GI43886" s="422"/>
    </row>
    <row r="43887" spans="191:191" x14ac:dyDescent="0.2">
      <c r="GI43887" s="422"/>
    </row>
    <row r="43888" spans="191:191" x14ac:dyDescent="0.2">
      <c r="GI43888" s="422"/>
    </row>
    <row r="43889" spans="191:191" x14ac:dyDescent="0.2">
      <c r="GI43889" s="422"/>
    </row>
    <row r="43890" spans="191:191" x14ac:dyDescent="0.2">
      <c r="GI43890" s="422"/>
    </row>
    <row r="43891" spans="191:191" x14ac:dyDescent="0.2">
      <c r="GI43891" s="422"/>
    </row>
    <row r="43892" spans="191:191" x14ac:dyDescent="0.2">
      <c r="GI43892" s="422"/>
    </row>
    <row r="43893" spans="191:191" x14ac:dyDescent="0.2">
      <c r="GI43893" s="422"/>
    </row>
    <row r="43894" spans="191:191" x14ac:dyDescent="0.2">
      <c r="GI43894" s="422"/>
    </row>
    <row r="43895" spans="191:191" x14ac:dyDescent="0.2">
      <c r="GI43895" s="422"/>
    </row>
    <row r="43896" spans="191:191" x14ac:dyDescent="0.2">
      <c r="GI43896" s="422"/>
    </row>
    <row r="43897" spans="191:191" x14ac:dyDescent="0.2">
      <c r="GI43897" s="422"/>
    </row>
    <row r="43898" spans="191:191" x14ac:dyDescent="0.2">
      <c r="GI43898" s="422"/>
    </row>
    <row r="43899" spans="191:191" x14ac:dyDescent="0.2">
      <c r="GI43899" s="422"/>
    </row>
    <row r="43900" spans="191:191" x14ac:dyDescent="0.2">
      <c r="GI43900" s="422"/>
    </row>
    <row r="43901" spans="191:191" x14ac:dyDescent="0.2">
      <c r="GI43901" s="422"/>
    </row>
    <row r="43902" spans="191:191" x14ac:dyDescent="0.2">
      <c r="GI43902" s="422"/>
    </row>
    <row r="43903" spans="191:191" x14ac:dyDescent="0.2">
      <c r="GI43903" s="422"/>
    </row>
    <row r="43904" spans="191:191" x14ac:dyDescent="0.2">
      <c r="GI43904" s="422"/>
    </row>
    <row r="43905" spans="191:191" x14ac:dyDescent="0.2">
      <c r="GI43905" s="422"/>
    </row>
    <row r="43906" spans="191:191" x14ac:dyDescent="0.2">
      <c r="GI43906" s="422"/>
    </row>
    <row r="43907" spans="191:191" x14ac:dyDescent="0.2">
      <c r="GI43907" s="422"/>
    </row>
    <row r="43908" spans="191:191" x14ac:dyDescent="0.2">
      <c r="GI43908" s="422"/>
    </row>
    <row r="43909" spans="191:191" x14ac:dyDescent="0.2">
      <c r="GI43909" s="422"/>
    </row>
    <row r="43910" spans="191:191" x14ac:dyDescent="0.2">
      <c r="GI43910" s="422"/>
    </row>
    <row r="43911" spans="191:191" x14ac:dyDescent="0.2">
      <c r="GI43911" s="422"/>
    </row>
    <row r="43912" spans="191:191" x14ac:dyDescent="0.2">
      <c r="GI43912" s="422"/>
    </row>
    <row r="43913" spans="191:191" x14ac:dyDescent="0.2">
      <c r="GI43913" s="422"/>
    </row>
    <row r="43914" spans="191:191" x14ac:dyDescent="0.2">
      <c r="GI43914" s="422"/>
    </row>
    <row r="43915" spans="191:191" x14ac:dyDescent="0.2">
      <c r="GI43915" s="422"/>
    </row>
    <row r="43916" spans="191:191" x14ac:dyDescent="0.2">
      <c r="GI43916" s="422"/>
    </row>
    <row r="43917" spans="191:191" x14ac:dyDescent="0.2">
      <c r="GI43917" s="422"/>
    </row>
    <row r="43918" spans="191:191" x14ac:dyDescent="0.2">
      <c r="GI43918" s="422"/>
    </row>
    <row r="43919" spans="191:191" x14ac:dyDescent="0.2">
      <c r="GI43919" s="422"/>
    </row>
    <row r="43920" spans="191:191" x14ac:dyDescent="0.2">
      <c r="GI43920" s="422"/>
    </row>
    <row r="43921" spans="191:191" x14ac:dyDescent="0.2">
      <c r="GI43921" s="422"/>
    </row>
    <row r="43922" spans="191:191" x14ac:dyDescent="0.2">
      <c r="GI43922" s="422"/>
    </row>
    <row r="43923" spans="191:191" x14ac:dyDescent="0.2">
      <c r="GI43923" s="422"/>
    </row>
    <row r="43924" spans="191:191" x14ac:dyDescent="0.2">
      <c r="GI43924" s="422"/>
    </row>
    <row r="43925" spans="191:191" x14ac:dyDescent="0.2">
      <c r="GI43925" s="422"/>
    </row>
    <row r="43926" spans="191:191" x14ac:dyDescent="0.2">
      <c r="GI43926" s="422"/>
    </row>
    <row r="43927" spans="191:191" x14ac:dyDescent="0.2">
      <c r="GI43927" s="422"/>
    </row>
    <row r="43928" spans="191:191" x14ac:dyDescent="0.2">
      <c r="GI43928" s="422"/>
    </row>
    <row r="43929" spans="191:191" x14ac:dyDescent="0.2">
      <c r="GI43929" s="422"/>
    </row>
    <row r="43930" spans="191:191" x14ac:dyDescent="0.2">
      <c r="GI43930" s="422"/>
    </row>
    <row r="43931" spans="191:191" x14ac:dyDescent="0.2">
      <c r="GI43931" s="422"/>
    </row>
    <row r="43932" spans="191:191" x14ac:dyDescent="0.2">
      <c r="GI43932" s="422"/>
    </row>
    <row r="43933" spans="191:191" x14ac:dyDescent="0.2">
      <c r="GI43933" s="422"/>
    </row>
    <row r="43934" spans="191:191" x14ac:dyDescent="0.2">
      <c r="GI43934" s="422"/>
    </row>
    <row r="43935" spans="191:191" x14ac:dyDescent="0.2">
      <c r="GI43935" s="422"/>
    </row>
    <row r="43936" spans="191:191" x14ac:dyDescent="0.2">
      <c r="GI43936" s="422"/>
    </row>
    <row r="43937" spans="191:191" x14ac:dyDescent="0.2">
      <c r="GI43937" s="422"/>
    </row>
    <row r="43938" spans="191:191" x14ac:dyDescent="0.2">
      <c r="GI43938" s="422"/>
    </row>
    <row r="43939" spans="191:191" x14ac:dyDescent="0.2">
      <c r="GI43939" s="422"/>
    </row>
    <row r="43940" spans="191:191" x14ac:dyDescent="0.2">
      <c r="GI43940" s="422"/>
    </row>
    <row r="43941" spans="191:191" x14ac:dyDescent="0.2">
      <c r="GI43941" s="422"/>
    </row>
    <row r="43942" spans="191:191" x14ac:dyDescent="0.2">
      <c r="GI43942" s="422"/>
    </row>
    <row r="43943" spans="191:191" x14ac:dyDescent="0.2">
      <c r="GI43943" s="422"/>
    </row>
    <row r="43944" spans="191:191" x14ac:dyDescent="0.2">
      <c r="GI43944" s="422"/>
    </row>
    <row r="43945" spans="191:191" x14ac:dyDescent="0.2">
      <c r="GI43945" s="422"/>
    </row>
    <row r="43946" spans="191:191" x14ac:dyDescent="0.2">
      <c r="GI43946" s="422"/>
    </row>
    <row r="43947" spans="191:191" x14ac:dyDescent="0.2">
      <c r="GI43947" s="422"/>
    </row>
    <row r="43948" spans="191:191" x14ac:dyDescent="0.2">
      <c r="GI43948" s="422"/>
    </row>
    <row r="43949" spans="191:191" x14ac:dyDescent="0.2">
      <c r="GI43949" s="422"/>
    </row>
    <row r="43950" spans="191:191" x14ac:dyDescent="0.2">
      <c r="GI43950" s="422"/>
    </row>
    <row r="43951" spans="191:191" x14ac:dyDescent="0.2">
      <c r="GI43951" s="422"/>
    </row>
    <row r="43952" spans="191:191" x14ac:dyDescent="0.2">
      <c r="GI43952" s="422"/>
    </row>
    <row r="43953" spans="191:191" x14ac:dyDescent="0.2">
      <c r="GI43953" s="422"/>
    </row>
    <row r="43954" spans="191:191" x14ac:dyDescent="0.2">
      <c r="GI43954" s="422"/>
    </row>
    <row r="43955" spans="191:191" x14ac:dyDescent="0.2">
      <c r="GI43955" s="422"/>
    </row>
    <row r="43956" spans="191:191" x14ac:dyDescent="0.2">
      <c r="GI43956" s="422"/>
    </row>
    <row r="43957" spans="191:191" x14ac:dyDescent="0.2">
      <c r="GI43957" s="422"/>
    </row>
    <row r="43958" spans="191:191" x14ac:dyDescent="0.2">
      <c r="GI43958" s="422"/>
    </row>
    <row r="43959" spans="191:191" x14ac:dyDescent="0.2">
      <c r="GI43959" s="422"/>
    </row>
    <row r="43960" spans="191:191" x14ac:dyDescent="0.2">
      <c r="GI43960" s="422"/>
    </row>
    <row r="43961" spans="191:191" x14ac:dyDescent="0.2">
      <c r="GI43961" s="422"/>
    </row>
    <row r="43962" spans="191:191" x14ac:dyDescent="0.2">
      <c r="GI43962" s="422"/>
    </row>
    <row r="43963" spans="191:191" x14ac:dyDescent="0.2">
      <c r="GI43963" s="422"/>
    </row>
    <row r="43964" spans="191:191" x14ac:dyDescent="0.2">
      <c r="GI43964" s="422"/>
    </row>
    <row r="43965" spans="191:191" x14ac:dyDescent="0.2">
      <c r="GI43965" s="422"/>
    </row>
    <row r="43966" spans="191:191" x14ac:dyDescent="0.2">
      <c r="GI43966" s="422"/>
    </row>
    <row r="43967" spans="191:191" x14ac:dyDescent="0.2">
      <c r="GI43967" s="422"/>
    </row>
    <row r="43968" spans="191:191" x14ac:dyDescent="0.2">
      <c r="GI43968" s="422"/>
    </row>
    <row r="43969" spans="191:191" x14ac:dyDescent="0.2">
      <c r="GI43969" s="422"/>
    </row>
    <row r="43970" spans="191:191" x14ac:dyDescent="0.2">
      <c r="GI43970" s="422"/>
    </row>
    <row r="43971" spans="191:191" x14ac:dyDescent="0.2">
      <c r="GI43971" s="422"/>
    </row>
    <row r="43972" spans="191:191" x14ac:dyDescent="0.2">
      <c r="GI43972" s="422"/>
    </row>
    <row r="43973" spans="191:191" x14ac:dyDescent="0.2">
      <c r="GI43973" s="422"/>
    </row>
    <row r="43974" spans="191:191" x14ac:dyDescent="0.2">
      <c r="GI43974" s="422"/>
    </row>
    <row r="43975" spans="191:191" x14ac:dyDescent="0.2">
      <c r="GI43975" s="422"/>
    </row>
    <row r="43976" spans="191:191" x14ac:dyDescent="0.2">
      <c r="GI43976" s="422"/>
    </row>
    <row r="43977" spans="191:191" x14ac:dyDescent="0.2">
      <c r="GI43977" s="422"/>
    </row>
    <row r="43978" spans="191:191" x14ac:dyDescent="0.2">
      <c r="GI43978" s="422"/>
    </row>
    <row r="43979" spans="191:191" x14ac:dyDescent="0.2">
      <c r="GI43979" s="422"/>
    </row>
    <row r="43980" spans="191:191" x14ac:dyDescent="0.2">
      <c r="GI43980" s="422"/>
    </row>
    <row r="43981" spans="191:191" x14ac:dyDescent="0.2">
      <c r="GI43981" s="422"/>
    </row>
    <row r="43982" spans="191:191" x14ac:dyDescent="0.2">
      <c r="GI43982" s="422"/>
    </row>
    <row r="43983" spans="191:191" x14ac:dyDescent="0.2">
      <c r="GI43983" s="422"/>
    </row>
    <row r="43984" spans="191:191" x14ac:dyDescent="0.2">
      <c r="GI43984" s="422"/>
    </row>
    <row r="43985" spans="191:191" x14ac:dyDescent="0.2">
      <c r="GI43985" s="422"/>
    </row>
    <row r="43986" spans="191:191" x14ac:dyDescent="0.2">
      <c r="GI43986" s="422"/>
    </row>
    <row r="43987" spans="191:191" x14ac:dyDescent="0.2">
      <c r="GI43987" s="422"/>
    </row>
    <row r="43988" spans="191:191" x14ac:dyDescent="0.2">
      <c r="GI43988" s="422"/>
    </row>
    <row r="43989" spans="191:191" x14ac:dyDescent="0.2">
      <c r="GI43989" s="422"/>
    </row>
    <row r="43990" spans="191:191" x14ac:dyDescent="0.2">
      <c r="GI43990" s="422"/>
    </row>
    <row r="43991" spans="191:191" x14ac:dyDescent="0.2">
      <c r="GI43991" s="422"/>
    </row>
    <row r="43992" spans="191:191" x14ac:dyDescent="0.2">
      <c r="GI43992" s="422"/>
    </row>
    <row r="43993" spans="191:191" x14ac:dyDescent="0.2">
      <c r="GI43993" s="422"/>
    </row>
    <row r="43994" spans="191:191" x14ac:dyDescent="0.2">
      <c r="GI43994" s="422"/>
    </row>
    <row r="43995" spans="191:191" x14ac:dyDescent="0.2">
      <c r="GI43995" s="422"/>
    </row>
    <row r="43996" spans="191:191" x14ac:dyDescent="0.2">
      <c r="GI43996" s="422"/>
    </row>
    <row r="43997" spans="191:191" x14ac:dyDescent="0.2">
      <c r="GI43997" s="422"/>
    </row>
    <row r="43998" spans="191:191" x14ac:dyDescent="0.2">
      <c r="GI43998" s="422"/>
    </row>
    <row r="43999" spans="191:191" x14ac:dyDescent="0.2">
      <c r="GI43999" s="422"/>
    </row>
    <row r="44000" spans="191:191" x14ac:dyDescent="0.2">
      <c r="GI44000" s="422"/>
    </row>
    <row r="44001" spans="191:191" x14ac:dyDescent="0.2">
      <c r="GI44001" s="422"/>
    </row>
    <row r="44002" spans="191:191" x14ac:dyDescent="0.2">
      <c r="GI44002" s="422"/>
    </row>
    <row r="44003" spans="191:191" x14ac:dyDescent="0.2">
      <c r="GI44003" s="422"/>
    </row>
    <row r="44004" spans="191:191" x14ac:dyDescent="0.2">
      <c r="GI44004" s="422"/>
    </row>
    <row r="44005" spans="191:191" x14ac:dyDescent="0.2">
      <c r="GI44005" s="422"/>
    </row>
    <row r="44006" spans="191:191" x14ac:dyDescent="0.2">
      <c r="GI44006" s="422"/>
    </row>
    <row r="44007" spans="191:191" x14ac:dyDescent="0.2">
      <c r="GI44007" s="422"/>
    </row>
    <row r="44008" spans="191:191" x14ac:dyDescent="0.2">
      <c r="GI44008" s="422"/>
    </row>
    <row r="44009" spans="191:191" x14ac:dyDescent="0.2">
      <c r="GI44009" s="422"/>
    </row>
    <row r="44010" spans="191:191" x14ac:dyDescent="0.2">
      <c r="GI44010" s="422"/>
    </row>
    <row r="44011" spans="191:191" x14ac:dyDescent="0.2">
      <c r="GI44011" s="422"/>
    </row>
    <row r="44012" spans="191:191" x14ac:dyDescent="0.2">
      <c r="GI44012" s="422"/>
    </row>
    <row r="44013" spans="191:191" x14ac:dyDescent="0.2">
      <c r="GI44013" s="422"/>
    </row>
    <row r="44014" spans="191:191" x14ac:dyDescent="0.2">
      <c r="GI44014" s="422"/>
    </row>
    <row r="44015" spans="191:191" x14ac:dyDescent="0.2">
      <c r="GI44015" s="422"/>
    </row>
    <row r="44016" spans="191:191" x14ac:dyDescent="0.2">
      <c r="GI44016" s="422"/>
    </row>
    <row r="44017" spans="191:191" x14ac:dyDescent="0.2">
      <c r="GI44017" s="422"/>
    </row>
    <row r="44018" spans="191:191" x14ac:dyDescent="0.2">
      <c r="GI44018" s="422"/>
    </row>
    <row r="44019" spans="191:191" x14ac:dyDescent="0.2">
      <c r="GI44019" s="422"/>
    </row>
    <row r="44020" spans="191:191" x14ac:dyDescent="0.2">
      <c r="GI44020" s="422"/>
    </row>
    <row r="44021" spans="191:191" x14ac:dyDescent="0.2">
      <c r="GI44021" s="422"/>
    </row>
    <row r="44022" spans="191:191" x14ac:dyDescent="0.2">
      <c r="GI44022" s="422"/>
    </row>
    <row r="44023" spans="191:191" x14ac:dyDescent="0.2">
      <c r="GI44023" s="422"/>
    </row>
    <row r="44024" spans="191:191" x14ac:dyDescent="0.2">
      <c r="GI44024" s="422"/>
    </row>
    <row r="44025" spans="191:191" x14ac:dyDescent="0.2">
      <c r="GI44025" s="422"/>
    </row>
    <row r="44026" spans="191:191" x14ac:dyDescent="0.2">
      <c r="GI44026" s="422"/>
    </row>
    <row r="44027" spans="191:191" x14ac:dyDescent="0.2">
      <c r="GI44027" s="422"/>
    </row>
    <row r="44028" spans="191:191" x14ac:dyDescent="0.2">
      <c r="GI44028" s="422"/>
    </row>
    <row r="44029" spans="191:191" x14ac:dyDescent="0.2">
      <c r="GI44029" s="422"/>
    </row>
    <row r="44030" spans="191:191" x14ac:dyDescent="0.2">
      <c r="GI44030" s="422"/>
    </row>
    <row r="44031" spans="191:191" x14ac:dyDescent="0.2">
      <c r="GI44031" s="422"/>
    </row>
    <row r="44032" spans="191:191" x14ac:dyDescent="0.2">
      <c r="GI44032" s="422"/>
    </row>
    <row r="44033" spans="191:191" x14ac:dyDescent="0.2">
      <c r="GI44033" s="422"/>
    </row>
    <row r="44034" spans="191:191" x14ac:dyDescent="0.2">
      <c r="GI44034" s="422"/>
    </row>
    <row r="44035" spans="191:191" x14ac:dyDescent="0.2">
      <c r="GI44035" s="422"/>
    </row>
    <row r="44036" spans="191:191" x14ac:dyDescent="0.2">
      <c r="GI44036" s="422"/>
    </row>
    <row r="44037" spans="191:191" x14ac:dyDescent="0.2">
      <c r="GI44037" s="422"/>
    </row>
    <row r="44038" spans="191:191" x14ac:dyDescent="0.2">
      <c r="GI44038" s="422"/>
    </row>
    <row r="44039" spans="191:191" x14ac:dyDescent="0.2">
      <c r="GI44039" s="422"/>
    </row>
    <row r="44040" spans="191:191" x14ac:dyDescent="0.2">
      <c r="GI44040" s="422"/>
    </row>
    <row r="44041" spans="191:191" x14ac:dyDescent="0.2">
      <c r="GI44041" s="422"/>
    </row>
    <row r="44042" spans="191:191" x14ac:dyDescent="0.2">
      <c r="GI44042" s="422"/>
    </row>
    <row r="44043" spans="191:191" x14ac:dyDescent="0.2">
      <c r="GI44043" s="422"/>
    </row>
    <row r="44044" spans="191:191" x14ac:dyDescent="0.2">
      <c r="GI44044" s="422"/>
    </row>
    <row r="44045" spans="191:191" x14ac:dyDescent="0.2">
      <c r="GI44045" s="422"/>
    </row>
    <row r="44046" spans="191:191" x14ac:dyDescent="0.2">
      <c r="GI44046" s="422"/>
    </row>
    <row r="44047" spans="191:191" x14ac:dyDescent="0.2">
      <c r="GI44047" s="422"/>
    </row>
    <row r="44048" spans="191:191" x14ac:dyDescent="0.2">
      <c r="GI44048" s="422"/>
    </row>
    <row r="44049" spans="191:191" x14ac:dyDescent="0.2">
      <c r="GI44049" s="422"/>
    </row>
    <row r="44050" spans="191:191" x14ac:dyDescent="0.2">
      <c r="GI44050" s="422"/>
    </row>
    <row r="44051" spans="191:191" x14ac:dyDescent="0.2">
      <c r="GI44051" s="422"/>
    </row>
    <row r="44052" spans="191:191" x14ac:dyDescent="0.2">
      <c r="GI44052" s="422"/>
    </row>
    <row r="44053" spans="191:191" x14ac:dyDescent="0.2">
      <c r="GI44053" s="422"/>
    </row>
    <row r="44054" spans="191:191" x14ac:dyDescent="0.2">
      <c r="GI44054" s="422"/>
    </row>
    <row r="44055" spans="191:191" x14ac:dyDescent="0.2">
      <c r="GI44055" s="422"/>
    </row>
    <row r="44056" spans="191:191" x14ac:dyDescent="0.2">
      <c r="GI44056" s="422"/>
    </row>
    <row r="44057" spans="191:191" x14ac:dyDescent="0.2">
      <c r="GI44057" s="422"/>
    </row>
    <row r="44058" spans="191:191" x14ac:dyDescent="0.2">
      <c r="GI44058" s="422"/>
    </row>
    <row r="44059" spans="191:191" x14ac:dyDescent="0.2">
      <c r="GI44059" s="422"/>
    </row>
    <row r="44060" spans="191:191" x14ac:dyDescent="0.2">
      <c r="GI44060" s="422"/>
    </row>
    <row r="44061" spans="191:191" x14ac:dyDescent="0.2">
      <c r="GI44061" s="422"/>
    </row>
    <row r="44062" spans="191:191" x14ac:dyDescent="0.2">
      <c r="GI44062" s="422"/>
    </row>
    <row r="44063" spans="191:191" x14ac:dyDescent="0.2">
      <c r="GI44063" s="422"/>
    </row>
    <row r="44064" spans="191:191" x14ac:dyDescent="0.2">
      <c r="GI44064" s="422"/>
    </row>
    <row r="44065" spans="191:191" x14ac:dyDescent="0.2">
      <c r="GI44065" s="422"/>
    </row>
    <row r="44066" spans="191:191" x14ac:dyDescent="0.2">
      <c r="GI44066" s="422"/>
    </row>
    <row r="44067" spans="191:191" x14ac:dyDescent="0.2">
      <c r="GI44067" s="422"/>
    </row>
    <row r="44068" spans="191:191" x14ac:dyDescent="0.2">
      <c r="GI44068" s="422"/>
    </row>
    <row r="44069" spans="191:191" x14ac:dyDescent="0.2">
      <c r="GI44069" s="422"/>
    </row>
    <row r="44070" spans="191:191" x14ac:dyDescent="0.2">
      <c r="GI44070" s="422"/>
    </row>
    <row r="44071" spans="191:191" x14ac:dyDescent="0.2">
      <c r="GI44071" s="422"/>
    </row>
    <row r="44072" spans="191:191" x14ac:dyDescent="0.2">
      <c r="GI44072" s="422"/>
    </row>
    <row r="44073" spans="191:191" x14ac:dyDescent="0.2">
      <c r="GI44073" s="422"/>
    </row>
    <row r="44074" spans="191:191" x14ac:dyDescent="0.2">
      <c r="GI44074" s="422"/>
    </row>
    <row r="44075" spans="191:191" x14ac:dyDescent="0.2">
      <c r="GI44075" s="422"/>
    </row>
    <row r="44076" spans="191:191" x14ac:dyDescent="0.2">
      <c r="GI44076" s="422"/>
    </row>
    <row r="44077" spans="191:191" x14ac:dyDescent="0.2">
      <c r="GI44077" s="422"/>
    </row>
    <row r="44078" spans="191:191" x14ac:dyDescent="0.2">
      <c r="GI44078" s="422"/>
    </row>
    <row r="44079" spans="191:191" x14ac:dyDescent="0.2">
      <c r="GI44079" s="422"/>
    </row>
    <row r="44080" spans="191:191" x14ac:dyDescent="0.2">
      <c r="GI44080" s="422"/>
    </row>
    <row r="44081" spans="191:191" x14ac:dyDescent="0.2">
      <c r="GI44081" s="422"/>
    </row>
    <row r="44082" spans="191:191" x14ac:dyDescent="0.2">
      <c r="GI44082" s="422"/>
    </row>
    <row r="44083" spans="191:191" x14ac:dyDescent="0.2">
      <c r="GI44083" s="422"/>
    </row>
    <row r="44084" spans="191:191" x14ac:dyDescent="0.2">
      <c r="GI44084" s="422"/>
    </row>
    <row r="44085" spans="191:191" x14ac:dyDescent="0.2">
      <c r="GI44085" s="422"/>
    </row>
    <row r="44086" spans="191:191" x14ac:dyDescent="0.2">
      <c r="GI44086" s="422"/>
    </row>
    <row r="44087" spans="191:191" x14ac:dyDescent="0.2">
      <c r="GI44087" s="422"/>
    </row>
    <row r="44088" spans="191:191" x14ac:dyDescent="0.2">
      <c r="GI44088" s="422"/>
    </row>
    <row r="44089" spans="191:191" x14ac:dyDescent="0.2">
      <c r="GI44089" s="422"/>
    </row>
    <row r="44090" spans="191:191" x14ac:dyDescent="0.2">
      <c r="GI44090" s="422"/>
    </row>
    <row r="44091" spans="191:191" x14ac:dyDescent="0.2">
      <c r="GI44091" s="422"/>
    </row>
    <row r="44092" spans="191:191" x14ac:dyDescent="0.2">
      <c r="GI44092" s="422"/>
    </row>
    <row r="44093" spans="191:191" x14ac:dyDescent="0.2">
      <c r="GI44093" s="422"/>
    </row>
    <row r="44094" spans="191:191" x14ac:dyDescent="0.2">
      <c r="GI44094" s="422"/>
    </row>
    <row r="44095" spans="191:191" x14ac:dyDescent="0.2">
      <c r="GI44095" s="422"/>
    </row>
    <row r="44096" spans="191:191" x14ac:dyDescent="0.2">
      <c r="GI44096" s="422"/>
    </row>
    <row r="44097" spans="191:191" x14ac:dyDescent="0.2">
      <c r="GI44097" s="422"/>
    </row>
    <row r="44098" spans="191:191" x14ac:dyDescent="0.2">
      <c r="GI44098" s="422"/>
    </row>
    <row r="44099" spans="191:191" x14ac:dyDescent="0.2">
      <c r="GI44099" s="422"/>
    </row>
    <row r="44100" spans="191:191" x14ac:dyDescent="0.2">
      <c r="GI44100" s="422"/>
    </row>
    <row r="44101" spans="191:191" x14ac:dyDescent="0.2">
      <c r="GI44101" s="422"/>
    </row>
    <row r="44102" spans="191:191" x14ac:dyDescent="0.2">
      <c r="GI44102" s="422"/>
    </row>
    <row r="44103" spans="191:191" x14ac:dyDescent="0.2">
      <c r="GI44103" s="422"/>
    </row>
    <row r="44104" spans="191:191" x14ac:dyDescent="0.2">
      <c r="GI44104" s="422"/>
    </row>
    <row r="44105" spans="191:191" x14ac:dyDescent="0.2">
      <c r="GI44105" s="422"/>
    </row>
    <row r="44106" spans="191:191" x14ac:dyDescent="0.2">
      <c r="GI44106" s="422"/>
    </row>
    <row r="44107" spans="191:191" x14ac:dyDescent="0.2">
      <c r="GI44107" s="422"/>
    </row>
    <row r="44108" spans="191:191" x14ac:dyDescent="0.2">
      <c r="GI44108" s="422"/>
    </row>
    <row r="44109" spans="191:191" x14ac:dyDescent="0.2">
      <c r="GI44109" s="422"/>
    </row>
    <row r="44110" spans="191:191" x14ac:dyDescent="0.2">
      <c r="GI44110" s="422"/>
    </row>
    <row r="44111" spans="191:191" x14ac:dyDescent="0.2">
      <c r="GI44111" s="422"/>
    </row>
    <row r="44112" spans="191:191" x14ac:dyDescent="0.2">
      <c r="GI44112" s="422"/>
    </row>
    <row r="44113" spans="191:191" x14ac:dyDescent="0.2">
      <c r="GI44113" s="422"/>
    </row>
    <row r="44114" spans="191:191" x14ac:dyDescent="0.2">
      <c r="GI44114" s="422"/>
    </row>
    <row r="44115" spans="191:191" x14ac:dyDescent="0.2">
      <c r="GI44115" s="422"/>
    </row>
    <row r="44116" spans="191:191" x14ac:dyDescent="0.2">
      <c r="GI44116" s="422"/>
    </row>
    <row r="44117" spans="191:191" x14ac:dyDescent="0.2">
      <c r="GI44117" s="422"/>
    </row>
    <row r="44118" spans="191:191" x14ac:dyDescent="0.2">
      <c r="GI44118" s="422"/>
    </row>
    <row r="44119" spans="191:191" x14ac:dyDescent="0.2">
      <c r="GI44119" s="422"/>
    </row>
    <row r="44120" spans="191:191" x14ac:dyDescent="0.2">
      <c r="GI44120" s="422"/>
    </row>
    <row r="44121" spans="191:191" x14ac:dyDescent="0.2">
      <c r="GI44121" s="422"/>
    </row>
    <row r="44122" spans="191:191" x14ac:dyDescent="0.2">
      <c r="GI44122" s="422"/>
    </row>
    <row r="44123" spans="191:191" x14ac:dyDescent="0.2">
      <c r="GI44123" s="422"/>
    </row>
    <row r="44124" spans="191:191" x14ac:dyDescent="0.2">
      <c r="GI44124" s="422"/>
    </row>
    <row r="44125" spans="191:191" x14ac:dyDescent="0.2">
      <c r="GI44125" s="422"/>
    </row>
    <row r="44126" spans="191:191" x14ac:dyDescent="0.2">
      <c r="GI44126" s="422"/>
    </row>
    <row r="44127" spans="191:191" x14ac:dyDescent="0.2">
      <c r="GI44127" s="422"/>
    </row>
    <row r="44128" spans="191:191" x14ac:dyDescent="0.2">
      <c r="GI44128" s="422"/>
    </row>
    <row r="44129" spans="191:191" x14ac:dyDescent="0.2">
      <c r="GI44129" s="422"/>
    </row>
    <row r="44130" spans="191:191" x14ac:dyDescent="0.2">
      <c r="GI44130" s="422"/>
    </row>
    <row r="44131" spans="191:191" x14ac:dyDescent="0.2">
      <c r="GI44131" s="422"/>
    </row>
    <row r="44132" spans="191:191" x14ac:dyDescent="0.2">
      <c r="GI44132" s="422"/>
    </row>
    <row r="44133" spans="191:191" x14ac:dyDescent="0.2">
      <c r="GI44133" s="422"/>
    </row>
    <row r="44134" spans="191:191" x14ac:dyDescent="0.2">
      <c r="GI44134" s="422"/>
    </row>
    <row r="44135" spans="191:191" x14ac:dyDescent="0.2">
      <c r="GI44135" s="422"/>
    </row>
    <row r="44136" spans="191:191" x14ac:dyDescent="0.2">
      <c r="GI44136" s="422"/>
    </row>
    <row r="44137" spans="191:191" x14ac:dyDescent="0.2">
      <c r="GI44137" s="422"/>
    </row>
    <row r="44138" spans="191:191" x14ac:dyDescent="0.2">
      <c r="GI44138" s="422"/>
    </row>
    <row r="44139" spans="191:191" x14ac:dyDescent="0.2">
      <c r="GI44139" s="422"/>
    </row>
    <row r="44140" spans="191:191" x14ac:dyDescent="0.2">
      <c r="GI44140" s="422"/>
    </row>
    <row r="44141" spans="191:191" x14ac:dyDescent="0.2">
      <c r="GI44141" s="422"/>
    </row>
    <row r="44142" spans="191:191" x14ac:dyDescent="0.2">
      <c r="GI44142" s="422"/>
    </row>
    <row r="44143" spans="191:191" x14ac:dyDescent="0.2">
      <c r="GI44143" s="422"/>
    </row>
    <row r="44144" spans="191:191" x14ac:dyDescent="0.2">
      <c r="GI44144" s="422"/>
    </row>
    <row r="44145" spans="191:191" x14ac:dyDescent="0.2">
      <c r="GI44145" s="422"/>
    </row>
    <row r="44146" spans="191:191" x14ac:dyDescent="0.2">
      <c r="GI44146" s="422"/>
    </row>
    <row r="44147" spans="191:191" x14ac:dyDescent="0.2">
      <c r="GI44147" s="422"/>
    </row>
    <row r="44148" spans="191:191" x14ac:dyDescent="0.2">
      <c r="GI44148" s="422"/>
    </row>
    <row r="44149" spans="191:191" x14ac:dyDescent="0.2">
      <c r="GI44149" s="422"/>
    </row>
    <row r="44150" spans="191:191" x14ac:dyDescent="0.2">
      <c r="GI44150" s="422"/>
    </row>
    <row r="44151" spans="191:191" x14ac:dyDescent="0.2">
      <c r="GI44151" s="422"/>
    </row>
    <row r="44152" spans="191:191" x14ac:dyDescent="0.2">
      <c r="GI44152" s="422"/>
    </row>
    <row r="44153" spans="191:191" x14ac:dyDescent="0.2">
      <c r="GI44153" s="422"/>
    </row>
    <row r="44154" spans="191:191" x14ac:dyDescent="0.2">
      <c r="GI44154" s="422"/>
    </row>
    <row r="44155" spans="191:191" x14ac:dyDescent="0.2">
      <c r="GI44155" s="422"/>
    </row>
    <row r="44156" spans="191:191" x14ac:dyDescent="0.2">
      <c r="GI44156" s="422"/>
    </row>
    <row r="44157" spans="191:191" x14ac:dyDescent="0.2">
      <c r="GI44157" s="422"/>
    </row>
    <row r="44158" spans="191:191" x14ac:dyDescent="0.2">
      <c r="GI44158" s="422"/>
    </row>
    <row r="44159" spans="191:191" x14ac:dyDescent="0.2">
      <c r="GI44159" s="422"/>
    </row>
    <row r="44160" spans="191:191" x14ac:dyDescent="0.2">
      <c r="GI44160" s="422"/>
    </row>
    <row r="44161" spans="191:191" x14ac:dyDescent="0.2">
      <c r="GI44161" s="422"/>
    </row>
    <row r="44162" spans="191:191" x14ac:dyDescent="0.2">
      <c r="GI44162" s="422"/>
    </row>
    <row r="44163" spans="191:191" x14ac:dyDescent="0.2">
      <c r="GI44163" s="422"/>
    </row>
    <row r="44164" spans="191:191" x14ac:dyDescent="0.2">
      <c r="GI44164" s="422"/>
    </row>
    <row r="44165" spans="191:191" x14ac:dyDescent="0.2">
      <c r="GI44165" s="422"/>
    </row>
    <row r="44166" spans="191:191" x14ac:dyDescent="0.2">
      <c r="GI44166" s="422"/>
    </row>
    <row r="44167" spans="191:191" x14ac:dyDescent="0.2">
      <c r="GI44167" s="422"/>
    </row>
    <row r="44168" spans="191:191" x14ac:dyDescent="0.2">
      <c r="GI44168" s="422"/>
    </row>
    <row r="44169" spans="191:191" x14ac:dyDescent="0.2">
      <c r="GI44169" s="422"/>
    </row>
    <row r="44170" spans="191:191" x14ac:dyDescent="0.2">
      <c r="GI44170" s="422"/>
    </row>
    <row r="44171" spans="191:191" x14ac:dyDescent="0.2">
      <c r="GI44171" s="422"/>
    </row>
    <row r="44172" spans="191:191" x14ac:dyDescent="0.2">
      <c r="GI44172" s="422"/>
    </row>
    <row r="44173" spans="191:191" x14ac:dyDescent="0.2">
      <c r="GI44173" s="422"/>
    </row>
    <row r="44174" spans="191:191" x14ac:dyDescent="0.2">
      <c r="GI44174" s="422"/>
    </row>
    <row r="44175" spans="191:191" x14ac:dyDescent="0.2">
      <c r="GI44175" s="422"/>
    </row>
    <row r="44176" spans="191:191" x14ac:dyDescent="0.2">
      <c r="GI44176" s="422"/>
    </row>
    <row r="44177" spans="191:191" x14ac:dyDescent="0.2">
      <c r="GI44177" s="422"/>
    </row>
    <row r="44178" spans="191:191" x14ac:dyDescent="0.2">
      <c r="GI44178" s="422"/>
    </row>
    <row r="44179" spans="191:191" x14ac:dyDescent="0.2">
      <c r="GI44179" s="422"/>
    </row>
    <row r="44180" spans="191:191" x14ac:dyDescent="0.2">
      <c r="GI44180" s="422"/>
    </row>
    <row r="44181" spans="191:191" x14ac:dyDescent="0.2">
      <c r="GI44181" s="422"/>
    </row>
    <row r="44182" spans="191:191" x14ac:dyDescent="0.2">
      <c r="GI44182" s="422"/>
    </row>
    <row r="44183" spans="191:191" x14ac:dyDescent="0.2">
      <c r="GI44183" s="422"/>
    </row>
    <row r="44184" spans="191:191" x14ac:dyDescent="0.2">
      <c r="GI44184" s="422"/>
    </row>
    <row r="44185" spans="191:191" x14ac:dyDescent="0.2">
      <c r="GI44185" s="422"/>
    </row>
    <row r="44186" spans="191:191" x14ac:dyDescent="0.2">
      <c r="GI44186" s="422"/>
    </row>
    <row r="44187" spans="191:191" x14ac:dyDescent="0.2">
      <c r="GI44187" s="422"/>
    </row>
    <row r="44188" spans="191:191" x14ac:dyDescent="0.2">
      <c r="GI44188" s="422"/>
    </row>
    <row r="44189" spans="191:191" x14ac:dyDescent="0.2">
      <c r="GI44189" s="422"/>
    </row>
    <row r="44190" spans="191:191" x14ac:dyDescent="0.2">
      <c r="GI44190" s="422"/>
    </row>
    <row r="44191" spans="191:191" x14ac:dyDescent="0.2">
      <c r="GI44191" s="422"/>
    </row>
    <row r="44192" spans="191:191" x14ac:dyDescent="0.2">
      <c r="GI44192" s="422"/>
    </row>
    <row r="44193" spans="191:191" x14ac:dyDescent="0.2">
      <c r="GI44193" s="422"/>
    </row>
    <row r="44194" spans="191:191" x14ac:dyDescent="0.2">
      <c r="GI44194" s="422"/>
    </row>
    <row r="44195" spans="191:191" x14ac:dyDescent="0.2">
      <c r="GI44195" s="422"/>
    </row>
    <row r="44196" spans="191:191" x14ac:dyDescent="0.2">
      <c r="GI44196" s="422"/>
    </row>
    <row r="44197" spans="191:191" x14ac:dyDescent="0.2">
      <c r="GI44197" s="422"/>
    </row>
    <row r="44198" spans="191:191" x14ac:dyDescent="0.2">
      <c r="GI44198" s="422"/>
    </row>
    <row r="44199" spans="191:191" x14ac:dyDescent="0.2">
      <c r="GI44199" s="422"/>
    </row>
    <row r="44200" spans="191:191" x14ac:dyDescent="0.2">
      <c r="GI44200" s="422"/>
    </row>
    <row r="44201" spans="191:191" x14ac:dyDescent="0.2">
      <c r="GI44201" s="422"/>
    </row>
    <row r="44202" spans="191:191" x14ac:dyDescent="0.2">
      <c r="GI44202" s="422"/>
    </row>
    <row r="44203" spans="191:191" x14ac:dyDescent="0.2">
      <c r="GI44203" s="422"/>
    </row>
    <row r="44204" spans="191:191" x14ac:dyDescent="0.2">
      <c r="GI44204" s="422"/>
    </row>
    <row r="44205" spans="191:191" x14ac:dyDescent="0.2">
      <c r="GI44205" s="422"/>
    </row>
    <row r="44206" spans="191:191" x14ac:dyDescent="0.2">
      <c r="GI44206" s="422"/>
    </row>
    <row r="44207" spans="191:191" x14ac:dyDescent="0.2">
      <c r="GI44207" s="422"/>
    </row>
    <row r="44208" spans="191:191" x14ac:dyDescent="0.2">
      <c r="GI44208" s="422"/>
    </row>
    <row r="44209" spans="191:191" x14ac:dyDescent="0.2">
      <c r="GI44209" s="422"/>
    </row>
    <row r="44210" spans="191:191" x14ac:dyDescent="0.2">
      <c r="GI44210" s="422"/>
    </row>
    <row r="44211" spans="191:191" x14ac:dyDescent="0.2">
      <c r="GI44211" s="422"/>
    </row>
    <row r="44212" spans="191:191" x14ac:dyDescent="0.2">
      <c r="GI44212" s="422"/>
    </row>
    <row r="44213" spans="191:191" x14ac:dyDescent="0.2">
      <c r="GI44213" s="422"/>
    </row>
    <row r="44214" spans="191:191" x14ac:dyDescent="0.2">
      <c r="GI44214" s="422"/>
    </row>
    <row r="44215" spans="191:191" x14ac:dyDescent="0.2">
      <c r="GI44215" s="422"/>
    </row>
    <row r="44216" spans="191:191" x14ac:dyDescent="0.2">
      <c r="GI44216" s="422"/>
    </row>
    <row r="44217" spans="191:191" x14ac:dyDescent="0.2">
      <c r="GI44217" s="422"/>
    </row>
    <row r="44218" spans="191:191" x14ac:dyDescent="0.2">
      <c r="GI44218" s="422"/>
    </row>
    <row r="44219" spans="191:191" x14ac:dyDescent="0.2">
      <c r="GI44219" s="422"/>
    </row>
    <row r="44220" spans="191:191" x14ac:dyDescent="0.2">
      <c r="GI44220" s="422"/>
    </row>
    <row r="44221" spans="191:191" x14ac:dyDescent="0.2">
      <c r="GI44221" s="422"/>
    </row>
    <row r="44222" spans="191:191" x14ac:dyDescent="0.2">
      <c r="GI44222" s="422"/>
    </row>
    <row r="44223" spans="191:191" x14ac:dyDescent="0.2">
      <c r="GI44223" s="422"/>
    </row>
    <row r="44224" spans="191:191" x14ac:dyDescent="0.2">
      <c r="GI44224" s="422"/>
    </row>
    <row r="44225" spans="191:191" x14ac:dyDescent="0.2">
      <c r="GI44225" s="422"/>
    </row>
    <row r="44226" spans="191:191" x14ac:dyDescent="0.2">
      <c r="GI44226" s="422"/>
    </row>
    <row r="44227" spans="191:191" x14ac:dyDescent="0.2">
      <c r="GI44227" s="422"/>
    </row>
    <row r="44228" spans="191:191" x14ac:dyDescent="0.2">
      <c r="GI44228" s="422"/>
    </row>
    <row r="44229" spans="191:191" x14ac:dyDescent="0.2">
      <c r="GI44229" s="422"/>
    </row>
    <row r="44230" spans="191:191" x14ac:dyDescent="0.2">
      <c r="GI44230" s="422"/>
    </row>
    <row r="44231" spans="191:191" x14ac:dyDescent="0.2">
      <c r="GI44231" s="422"/>
    </row>
    <row r="44232" spans="191:191" x14ac:dyDescent="0.2">
      <c r="GI44232" s="422"/>
    </row>
    <row r="44233" spans="191:191" x14ac:dyDescent="0.2">
      <c r="GI44233" s="422"/>
    </row>
    <row r="44234" spans="191:191" x14ac:dyDescent="0.2">
      <c r="GI44234" s="422"/>
    </row>
    <row r="44235" spans="191:191" x14ac:dyDescent="0.2">
      <c r="GI44235" s="422"/>
    </row>
    <row r="44236" spans="191:191" x14ac:dyDescent="0.2">
      <c r="GI44236" s="422"/>
    </row>
    <row r="44237" spans="191:191" x14ac:dyDescent="0.2">
      <c r="GI44237" s="422"/>
    </row>
    <row r="44238" spans="191:191" x14ac:dyDescent="0.2">
      <c r="GI44238" s="422"/>
    </row>
    <row r="44239" spans="191:191" x14ac:dyDescent="0.2">
      <c r="GI44239" s="422"/>
    </row>
    <row r="44240" spans="191:191" x14ac:dyDescent="0.2">
      <c r="GI44240" s="422"/>
    </row>
    <row r="44241" spans="191:191" x14ac:dyDescent="0.2">
      <c r="GI44241" s="422"/>
    </row>
    <row r="44242" spans="191:191" x14ac:dyDescent="0.2">
      <c r="GI44242" s="422"/>
    </row>
    <row r="44243" spans="191:191" x14ac:dyDescent="0.2">
      <c r="GI44243" s="422"/>
    </row>
    <row r="44244" spans="191:191" x14ac:dyDescent="0.2">
      <c r="GI44244" s="422"/>
    </row>
    <row r="44245" spans="191:191" x14ac:dyDescent="0.2">
      <c r="GI44245" s="422"/>
    </row>
    <row r="44246" spans="191:191" x14ac:dyDescent="0.2">
      <c r="GI44246" s="422"/>
    </row>
    <row r="44247" spans="191:191" x14ac:dyDescent="0.2">
      <c r="GI44247" s="422"/>
    </row>
    <row r="44248" spans="191:191" x14ac:dyDescent="0.2">
      <c r="GI44248" s="422"/>
    </row>
    <row r="44249" spans="191:191" x14ac:dyDescent="0.2">
      <c r="GI44249" s="422"/>
    </row>
    <row r="44250" spans="191:191" x14ac:dyDescent="0.2">
      <c r="GI44250" s="422"/>
    </row>
    <row r="44251" spans="191:191" x14ac:dyDescent="0.2">
      <c r="GI44251" s="422"/>
    </row>
    <row r="44252" spans="191:191" x14ac:dyDescent="0.2">
      <c r="GI44252" s="422"/>
    </row>
    <row r="44253" spans="191:191" x14ac:dyDescent="0.2">
      <c r="GI44253" s="422"/>
    </row>
    <row r="44254" spans="191:191" x14ac:dyDescent="0.2">
      <c r="GI44254" s="422"/>
    </row>
    <row r="44255" spans="191:191" x14ac:dyDescent="0.2">
      <c r="GI44255" s="422"/>
    </row>
    <row r="44256" spans="191:191" x14ac:dyDescent="0.2">
      <c r="GI44256" s="422"/>
    </row>
    <row r="44257" spans="191:191" x14ac:dyDescent="0.2">
      <c r="GI44257" s="422"/>
    </row>
    <row r="44258" spans="191:191" x14ac:dyDescent="0.2">
      <c r="GI44258" s="422"/>
    </row>
    <row r="44259" spans="191:191" x14ac:dyDescent="0.2">
      <c r="GI44259" s="422"/>
    </row>
    <row r="44260" spans="191:191" x14ac:dyDescent="0.2">
      <c r="GI44260" s="422"/>
    </row>
    <row r="44261" spans="191:191" x14ac:dyDescent="0.2">
      <c r="GI44261" s="422"/>
    </row>
    <row r="44262" spans="191:191" x14ac:dyDescent="0.2">
      <c r="GI44262" s="422"/>
    </row>
    <row r="44263" spans="191:191" x14ac:dyDescent="0.2">
      <c r="GI44263" s="422"/>
    </row>
    <row r="44264" spans="191:191" x14ac:dyDescent="0.2">
      <c r="GI44264" s="422"/>
    </row>
    <row r="44265" spans="191:191" x14ac:dyDescent="0.2">
      <c r="GI44265" s="422"/>
    </row>
    <row r="44266" spans="191:191" x14ac:dyDescent="0.2">
      <c r="GI44266" s="422"/>
    </row>
    <row r="44267" spans="191:191" x14ac:dyDescent="0.2">
      <c r="GI44267" s="422"/>
    </row>
    <row r="44268" spans="191:191" x14ac:dyDescent="0.2">
      <c r="GI44268" s="422"/>
    </row>
    <row r="44269" spans="191:191" x14ac:dyDescent="0.2">
      <c r="GI44269" s="422"/>
    </row>
    <row r="44270" spans="191:191" x14ac:dyDescent="0.2">
      <c r="GI44270" s="422"/>
    </row>
    <row r="44271" spans="191:191" x14ac:dyDescent="0.2">
      <c r="GI44271" s="422"/>
    </row>
    <row r="44272" spans="191:191" x14ac:dyDescent="0.2">
      <c r="GI44272" s="422"/>
    </row>
    <row r="44273" spans="191:191" x14ac:dyDescent="0.2">
      <c r="GI44273" s="422"/>
    </row>
    <row r="44274" spans="191:191" x14ac:dyDescent="0.2">
      <c r="GI44274" s="422"/>
    </row>
    <row r="44275" spans="191:191" x14ac:dyDescent="0.2">
      <c r="GI44275" s="422"/>
    </row>
    <row r="44276" spans="191:191" x14ac:dyDescent="0.2">
      <c r="GI44276" s="422"/>
    </row>
    <row r="44277" spans="191:191" x14ac:dyDescent="0.2">
      <c r="GI44277" s="422"/>
    </row>
    <row r="44278" spans="191:191" x14ac:dyDescent="0.2">
      <c r="GI44278" s="422"/>
    </row>
    <row r="44279" spans="191:191" x14ac:dyDescent="0.2">
      <c r="GI44279" s="422"/>
    </row>
    <row r="44280" spans="191:191" x14ac:dyDescent="0.2">
      <c r="GI44280" s="422"/>
    </row>
    <row r="44281" spans="191:191" x14ac:dyDescent="0.2">
      <c r="GI44281" s="422"/>
    </row>
    <row r="44282" spans="191:191" x14ac:dyDescent="0.2">
      <c r="GI44282" s="422"/>
    </row>
    <row r="44283" spans="191:191" x14ac:dyDescent="0.2">
      <c r="GI44283" s="422"/>
    </row>
    <row r="44284" spans="191:191" x14ac:dyDescent="0.2">
      <c r="GI44284" s="422"/>
    </row>
    <row r="44285" spans="191:191" x14ac:dyDescent="0.2">
      <c r="GI44285" s="422"/>
    </row>
    <row r="44286" spans="191:191" x14ac:dyDescent="0.2">
      <c r="GI44286" s="422"/>
    </row>
    <row r="44287" spans="191:191" x14ac:dyDescent="0.2">
      <c r="GI44287" s="422"/>
    </row>
    <row r="44288" spans="191:191" x14ac:dyDescent="0.2">
      <c r="GI44288" s="422"/>
    </row>
    <row r="44289" spans="191:191" x14ac:dyDescent="0.2">
      <c r="GI44289" s="422"/>
    </row>
    <row r="44290" spans="191:191" x14ac:dyDescent="0.2">
      <c r="GI44290" s="422"/>
    </row>
    <row r="44291" spans="191:191" x14ac:dyDescent="0.2">
      <c r="GI44291" s="422"/>
    </row>
    <row r="44292" spans="191:191" x14ac:dyDescent="0.2">
      <c r="GI44292" s="422"/>
    </row>
    <row r="44293" spans="191:191" x14ac:dyDescent="0.2">
      <c r="GI44293" s="422"/>
    </row>
    <row r="44294" spans="191:191" x14ac:dyDescent="0.2">
      <c r="GI44294" s="422"/>
    </row>
    <row r="44295" spans="191:191" x14ac:dyDescent="0.2">
      <c r="GI44295" s="422"/>
    </row>
    <row r="44296" spans="191:191" x14ac:dyDescent="0.2">
      <c r="GI44296" s="422"/>
    </row>
    <row r="44297" spans="191:191" x14ac:dyDescent="0.2">
      <c r="GI44297" s="422"/>
    </row>
    <row r="44298" spans="191:191" x14ac:dyDescent="0.2">
      <c r="GI44298" s="422"/>
    </row>
    <row r="44299" spans="191:191" x14ac:dyDescent="0.2">
      <c r="GI44299" s="422"/>
    </row>
    <row r="44300" spans="191:191" x14ac:dyDescent="0.2">
      <c r="GI44300" s="422"/>
    </row>
    <row r="44301" spans="191:191" x14ac:dyDescent="0.2">
      <c r="GI44301" s="422"/>
    </row>
    <row r="44302" spans="191:191" x14ac:dyDescent="0.2">
      <c r="GI44302" s="422"/>
    </row>
    <row r="44303" spans="191:191" x14ac:dyDescent="0.2">
      <c r="GI44303" s="422"/>
    </row>
    <row r="44304" spans="191:191" x14ac:dyDescent="0.2">
      <c r="GI44304" s="422"/>
    </row>
    <row r="44305" spans="191:191" x14ac:dyDescent="0.2">
      <c r="GI44305" s="422"/>
    </row>
    <row r="44306" spans="191:191" x14ac:dyDescent="0.2">
      <c r="GI44306" s="422"/>
    </row>
    <row r="44307" spans="191:191" x14ac:dyDescent="0.2">
      <c r="GI44307" s="422"/>
    </row>
    <row r="44308" spans="191:191" x14ac:dyDescent="0.2">
      <c r="GI44308" s="422"/>
    </row>
    <row r="44309" spans="191:191" x14ac:dyDescent="0.2">
      <c r="GI44309" s="422"/>
    </row>
    <row r="44310" spans="191:191" x14ac:dyDescent="0.2">
      <c r="GI44310" s="422"/>
    </row>
    <row r="44311" spans="191:191" x14ac:dyDescent="0.2">
      <c r="GI44311" s="422"/>
    </row>
    <row r="44312" spans="191:191" x14ac:dyDescent="0.2">
      <c r="GI44312" s="422"/>
    </row>
    <row r="44313" spans="191:191" x14ac:dyDescent="0.2">
      <c r="GI44313" s="422"/>
    </row>
    <row r="44314" spans="191:191" x14ac:dyDescent="0.2">
      <c r="GI44314" s="422"/>
    </row>
    <row r="44315" spans="191:191" x14ac:dyDescent="0.2">
      <c r="GI44315" s="422"/>
    </row>
    <row r="44316" spans="191:191" x14ac:dyDescent="0.2">
      <c r="GI44316" s="422"/>
    </row>
    <row r="44317" spans="191:191" x14ac:dyDescent="0.2">
      <c r="GI44317" s="422"/>
    </row>
    <row r="44318" spans="191:191" x14ac:dyDescent="0.2">
      <c r="GI44318" s="422"/>
    </row>
    <row r="44319" spans="191:191" x14ac:dyDescent="0.2">
      <c r="GI44319" s="422"/>
    </row>
    <row r="44320" spans="191:191" x14ac:dyDescent="0.2">
      <c r="GI44320" s="422"/>
    </row>
    <row r="44321" spans="191:191" x14ac:dyDescent="0.2">
      <c r="GI44321" s="422"/>
    </row>
    <row r="44322" spans="191:191" x14ac:dyDescent="0.2">
      <c r="GI44322" s="422"/>
    </row>
    <row r="44323" spans="191:191" x14ac:dyDescent="0.2">
      <c r="GI44323" s="422"/>
    </row>
    <row r="44324" spans="191:191" x14ac:dyDescent="0.2">
      <c r="GI44324" s="422"/>
    </row>
    <row r="44325" spans="191:191" x14ac:dyDescent="0.2">
      <c r="GI44325" s="422"/>
    </row>
    <row r="44326" spans="191:191" x14ac:dyDescent="0.2">
      <c r="GI44326" s="422"/>
    </row>
    <row r="44327" spans="191:191" x14ac:dyDescent="0.2">
      <c r="GI44327" s="422"/>
    </row>
    <row r="44328" spans="191:191" x14ac:dyDescent="0.2">
      <c r="GI44328" s="422"/>
    </row>
    <row r="44329" spans="191:191" x14ac:dyDescent="0.2">
      <c r="GI44329" s="422"/>
    </row>
    <row r="44330" spans="191:191" x14ac:dyDescent="0.2">
      <c r="GI44330" s="422"/>
    </row>
    <row r="44331" spans="191:191" x14ac:dyDescent="0.2">
      <c r="GI44331" s="422"/>
    </row>
    <row r="44332" spans="191:191" x14ac:dyDescent="0.2">
      <c r="GI44332" s="422"/>
    </row>
    <row r="44333" spans="191:191" x14ac:dyDescent="0.2">
      <c r="GI44333" s="422"/>
    </row>
    <row r="44334" spans="191:191" x14ac:dyDescent="0.2">
      <c r="GI44334" s="422"/>
    </row>
    <row r="44335" spans="191:191" x14ac:dyDescent="0.2">
      <c r="GI44335" s="422"/>
    </row>
    <row r="44336" spans="191:191" x14ac:dyDescent="0.2">
      <c r="GI44336" s="422"/>
    </row>
    <row r="44337" spans="191:191" x14ac:dyDescent="0.2">
      <c r="GI44337" s="422"/>
    </row>
    <row r="44338" spans="191:191" x14ac:dyDescent="0.2">
      <c r="GI44338" s="422"/>
    </row>
    <row r="44339" spans="191:191" x14ac:dyDescent="0.2">
      <c r="GI44339" s="422"/>
    </row>
    <row r="44340" spans="191:191" x14ac:dyDescent="0.2">
      <c r="GI44340" s="422"/>
    </row>
    <row r="44341" spans="191:191" x14ac:dyDescent="0.2">
      <c r="GI44341" s="422"/>
    </row>
    <row r="44342" spans="191:191" x14ac:dyDescent="0.2">
      <c r="GI44342" s="422"/>
    </row>
    <row r="44343" spans="191:191" x14ac:dyDescent="0.2">
      <c r="GI44343" s="422"/>
    </row>
    <row r="44344" spans="191:191" x14ac:dyDescent="0.2">
      <c r="GI44344" s="422"/>
    </row>
    <row r="44345" spans="191:191" x14ac:dyDescent="0.2">
      <c r="GI44345" s="422"/>
    </row>
    <row r="44346" spans="191:191" x14ac:dyDescent="0.2">
      <c r="GI44346" s="422"/>
    </row>
    <row r="44347" spans="191:191" x14ac:dyDescent="0.2">
      <c r="GI44347" s="422"/>
    </row>
    <row r="44348" spans="191:191" x14ac:dyDescent="0.2">
      <c r="GI44348" s="422"/>
    </row>
    <row r="44349" spans="191:191" x14ac:dyDescent="0.2">
      <c r="GI44349" s="422"/>
    </row>
    <row r="44350" spans="191:191" x14ac:dyDescent="0.2">
      <c r="GI44350" s="422"/>
    </row>
    <row r="44351" spans="191:191" x14ac:dyDescent="0.2">
      <c r="GI44351" s="422"/>
    </row>
    <row r="44352" spans="191:191" x14ac:dyDescent="0.2">
      <c r="GI44352" s="422"/>
    </row>
    <row r="44353" spans="191:191" x14ac:dyDescent="0.2">
      <c r="GI44353" s="422"/>
    </row>
    <row r="44354" spans="191:191" x14ac:dyDescent="0.2">
      <c r="GI44354" s="422"/>
    </row>
    <row r="44355" spans="191:191" x14ac:dyDescent="0.2">
      <c r="GI44355" s="422"/>
    </row>
    <row r="44356" spans="191:191" x14ac:dyDescent="0.2">
      <c r="GI44356" s="422"/>
    </row>
    <row r="44357" spans="191:191" x14ac:dyDescent="0.2">
      <c r="GI44357" s="422"/>
    </row>
    <row r="44358" spans="191:191" x14ac:dyDescent="0.2">
      <c r="GI44358" s="422"/>
    </row>
    <row r="44359" spans="191:191" x14ac:dyDescent="0.2">
      <c r="GI44359" s="422"/>
    </row>
    <row r="44360" spans="191:191" x14ac:dyDescent="0.2">
      <c r="GI44360" s="422"/>
    </row>
    <row r="44361" spans="191:191" x14ac:dyDescent="0.2">
      <c r="GI44361" s="422"/>
    </row>
    <row r="44362" spans="191:191" x14ac:dyDescent="0.2">
      <c r="GI44362" s="422"/>
    </row>
    <row r="44363" spans="191:191" x14ac:dyDescent="0.2">
      <c r="GI44363" s="422"/>
    </row>
    <row r="44364" spans="191:191" x14ac:dyDescent="0.2">
      <c r="GI44364" s="422"/>
    </row>
    <row r="44365" spans="191:191" x14ac:dyDescent="0.2">
      <c r="GI44365" s="422"/>
    </row>
    <row r="44366" spans="191:191" x14ac:dyDescent="0.2">
      <c r="GI44366" s="422"/>
    </row>
    <row r="44367" spans="191:191" x14ac:dyDescent="0.2">
      <c r="GI44367" s="422"/>
    </row>
    <row r="44368" spans="191:191" x14ac:dyDescent="0.2">
      <c r="GI44368" s="422"/>
    </row>
    <row r="44369" spans="191:191" x14ac:dyDescent="0.2">
      <c r="GI44369" s="422"/>
    </row>
    <row r="44370" spans="191:191" x14ac:dyDescent="0.2">
      <c r="GI44370" s="422"/>
    </row>
    <row r="44371" spans="191:191" x14ac:dyDescent="0.2">
      <c r="GI44371" s="422"/>
    </row>
    <row r="44372" spans="191:191" x14ac:dyDescent="0.2">
      <c r="GI44372" s="422"/>
    </row>
    <row r="44373" spans="191:191" x14ac:dyDescent="0.2">
      <c r="GI44373" s="422"/>
    </row>
    <row r="44374" spans="191:191" x14ac:dyDescent="0.2">
      <c r="GI44374" s="422"/>
    </row>
    <row r="44375" spans="191:191" x14ac:dyDescent="0.2">
      <c r="GI44375" s="422"/>
    </row>
    <row r="44376" spans="191:191" x14ac:dyDescent="0.2">
      <c r="GI44376" s="422"/>
    </row>
    <row r="44377" spans="191:191" x14ac:dyDescent="0.2">
      <c r="GI44377" s="422"/>
    </row>
    <row r="44378" spans="191:191" x14ac:dyDescent="0.2">
      <c r="GI44378" s="422"/>
    </row>
    <row r="44379" spans="191:191" x14ac:dyDescent="0.2">
      <c r="GI44379" s="422"/>
    </row>
    <row r="44380" spans="191:191" x14ac:dyDescent="0.2">
      <c r="GI44380" s="422"/>
    </row>
    <row r="44381" spans="191:191" x14ac:dyDescent="0.2">
      <c r="GI44381" s="422"/>
    </row>
    <row r="44382" spans="191:191" x14ac:dyDescent="0.2">
      <c r="GI44382" s="422"/>
    </row>
    <row r="44383" spans="191:191" x14ac:dyDescent="0.2">
      <c r="GI44383" s="422"/>
    </row>
    <row r="44384" spans="191:191" x14ac:dyDescent="0.2">
      <c r="GI44384" s="422"/>
    </row>
    <row r="44385" spans="191:191" x14ac:dyDescent="0.2">
      <c r="GI44385" s="422"/>
    </row>
    <row r="44386" spans="191:191" x14ac:dyDescent="0.2">
      <c r="GI44386" s="422"/>
    </row>
    <row r="44387" spans="191:191" x14ac:dyDescent="0.2">
      <c r="GI44387" s="422"/>
    </row>
    <row r="44388" spans="191:191" x14ac:dyDescent="0.2">
      <c r="GI44388" s="422"/>
    </row>
    <row r="44389" spans="191:191" x14ac:dyDescent="0.2">
      <c r="GI44389" s="422"/>
    </row>
    <row r="44390" spans="191:191" x14ac:dyDescent="0.2">
      <c r="GI44390" s="422"/>
    </row>
    <row r="44391" spans="191:191" x14ac:dyDescent="0.2">
      <c r="GI44391" s="422"/>
    </row>
    <row r="44392" spans="191:191" x14ac:dyDescent="0.2">
      <c r="GI44392" s="422"/>
    </row>
    <row r="44393" spans="191:191" x14ac:dyDescent="0.2">
      <c r="GI44393" s="422"/>
    </row>
    <row r="44394" spans="191:191" x14ac:dyDescent="0.2">
      <c r="GI44394" s="422"/>
    </row>
    <row r="44395" spans="191:191" x14ac:dyDescent="0.2">
      <c r="GI44395" s="422"/>
    </row>
    <row r="44396" spans="191:191" x14ac:dyDescent="0.2">
      <c r="GI44396" s="422"/>
    </row>
    <row r="44397" spans="191:191" x14ac:dyDescent="0.2">
      <c r="GI44397" s="422"/>
    </row>
    <row r="44398" spans="191:191" x14ac:dyDescent="0.2">
      <c r="GI44398" s="422"/>
    </row>
    <row r="44399" spans="191:191" x14ac:dyDescent="0.2">
      <c r="GI44399" s="422"/>
    </row>
    <row r="44400" spans="191:191" x14ac:dyDescent="0.2">
      <c r="GI44400" s="422"/>
    </row>
    <row r="44401" spans="191:191" x14ac:dyDescent="0.2">
      <c r="GI44401" s="422"/>
    </row>
    <row r="44402" spans="191:191" x14ac:dyDescent="0.2">
      <c r="GI44402" s="422"/>
    </row>
    <row r="44403" spans="191:191" x14ac:dyDescent="0.2">
      <c r="GI44403" s="422"/>
    </row>
    <row r="44404" spans="191:191" x14ac:dyDescent="0.2">
      <c r="GI44404" s="422"/>
    </row>
    <row r="44405" spans="191:191" x14ac:dyDescent="0.2">
      <c r="GI44405" s="422"/>
    </row>
    <row r="44406" spans="191:191" x14ac:dyDescent="0.2">
      <c r="GI44406" s="422"/>
    </row>
    <row r="44407" spans="191:191" x14ac:dyDescent="0.2">
      <c r="GI44407" s="422"/>
    </row>
    <row r="44408" spans="191:191" x14ac:dyDescent="0.2">
      <c r="GI44408" s="422"/>
    </row>
    <row r="44409" spans="191:191" x14ac:dyDescent="0.2">
      <c r="GI44409" s="422"/>
    </row>
    <row r="44410" spans="191:191" x14ac:dyDescent="0.2">
      <c r="GI44410" s="422"/>
    </row>
    <row r="44411" spans="191:191" x14ac:dyDescent="0.2">
      <c r="GI44411" s="422"/>
    </row>
    <row r="44412" spans="191:191" x14ac:dyDescent="0.2">
      <c r="GI44412" s="422"/>
    </row>
    <row r="44413" spans="191:191" x14ac:dyDescent="0.2">
      <c r="GI44413" s="422"/>
    </row>
    <row r="44414" spans="191:191" x14ac:dyDescent="0.2">
      <c r="GI44414" s="422"/>
    </row>
    <row r="44415" spans="191:191" x14ac:dyDescent="0.2">
      <c r="GI44415" s="422"/>
    </row>
    <row r="44416" spans="191:191" x14ac:dyDescent="0.2">
      <c r="GI44416" s="422"/>
    </row>
    <row r="44417" spans="191:191" x14ac:dyDescent="0.2">
      <c r="GI44417" s="422"/>
    </row>
    <row r="44418" spans="191:191" x14ac:dyDescent="0.2">
      <c r="GI44418" s="422"/>
    </row>
    <row r="44419" spans="191:191" x14ac:dyDescent="0.2">
      <c r="GI44419" s="422"/>
    </row>
    <row r="44420" spans="191:191" x14ac:dyDescent="0.2">
      <c r="GI44420" s="422"/>
    </row>
    <row r="44421" spans="191:191" x14ac:dyDescent="0.2">
      <c r="GI44421" s="422"/>
    </row>
    <row r="44422" spans="191:191" x14ac:dyDescent="0.2">
      <c r="GI44422" s="422"/>
    </row>
    <row r="44423" spans="191:191" x14ac:dyDescent="0.2">
      <c r="GI44423" s="422"/>
    </row>
    <row r="44424" spans="191:191" x14ac:dyDescent="0.2">
      <c r="GI44424" s="422"/>
    </row>
    <row r="44425" spans="191:191" x14ac:dyDescent="0.2">
      <c r="GI44425" s="422"/>
    </row>
    <row r="44426" spans="191:191" x14ac:dyDescent="0.2">
      <c r="GI44426" s="422"/>
    </row>
    <row r="44427" spans="191:191" x14ac:dyDescent="0.2">
      <c r="GI44427" s="422"/>
    </row>
    <row r="44428" spans="191:191" x14ac:dyDescent="0.2">
      <c r="GI44428" s="422"/>
    </row>
    <row r="44429" spans="191:191" x14ac:dyDescent="0.2">
      <c r="GI44429" s="422"/>
    </row>
    <row r="44430" spans="191:191" x14ac:dyDescent="0.2">
      <c r="GI44430" s="422"/>
    </row>
    <row r="44431" spans="191:191" x14ac:dyDescent="0.2">
      <c r="GI44431" s="422"/>
    </row>
    <row r="44432" spans="191:191" x14ac:dyDescent="0.2">
      <c r="GI44432" s="422"/>
    </row>
    <row r="44433" spans="191:191" x14ac:dyDescent="0.2">
      <c r="GI44433" s="422"/>
    </row>
    <row r="44434" spans="191:191" x14ac:dyDescent="0.2">
      <c r="GI44434" s="422"/>
    </row>
    <row r="44435" spans="191:191" x14ac:dyDescent="0.2">
      <c r="GI44435" s="422"/>
    </row>
    <row r="44436" spans="191:191" x14ac:dyDescent="0.2">
      <c r="GI44436" s="422"/>
    </row>
    <row r="44437" spans="191:191" x14ac:dyDescent="0.2">
      <c r="GI44437" s="422"/>
    </row>
    <row r="44438" spans="191:191" x14ac:dyDescent="0.2">
      <c r="GI44438" s="422"/>
    </row>
    <row r="44439" spans="191:191" x14ac:dyDescent="0.2">
      <c r="GI44439" s="422"/>
    </row>
    <row r="44440" spans="191:191" x14ac:dyDescent="0.2">
      <c r="GI44440" s="422"/>
    </row>
    <row r="44441" spans="191:191" x14ac:dyDescent="0.2">
      <c r="GI44441" s="422"/>
    </row>
    <row r="44442" spans="191:191" x14ac:dyDescent="0.2">
      <c r="GI44442" s="422"/>
    </row>
    <row r="44443" spans="191:191" x14ac:dyDescent="0.2">
      <c r="GI44443" s="422"/>
    </row>
    <row r="44444" spans="191:191" x14ac:dyDescent="0.2">
      <c r="GI44444" s="422"/>
    </row>
    <row r="44445" spans="191:191" x14ac:dyDescent="0.2">
      <c r="GI44445" s="422"/>
    </row>
    <row r="44446" spans="191:191" x14ac:dyDescent="0.2">
      <c r="GI44446" s="422"/>
    </row>
    <row r="44447" spans="191:191" x14ac:dyDescent="0.2">
      <c r="GI44447" s="422"/>
    </row>
    <row r="44448" spans="191:191" x14ac:dyDescent="0.2">
      <c r="GI44448" s="422"/>
    </row>
    <row r="44449" spans="191:191" x14ac:dyDescent="0.2">
      <c r="GI44449" s="422"/>
    </row>
    <row r="44450" spans="191:191" x14ac:dyDescent="0.2">
      <c r="GI44450" s="422"/>
    </row>
    <row r="44451" spans="191:191" x14ac:dyDescent="0.2">
      <c r="GI44451" s="422"/>
    </row>
    <row r="44452" spans="191:191" x14ac:dyDescent="0.2">
      <c r="GI44452" s="422"/>
    </row>
    <row r="44453" spans="191:191" x14ac:dyDescent="0.2">
      <c r="GI44453" s="422"/>
    </row>
    <row r="44454" spans="191:191" x14ac:dyDescent="0.2">
      <c r="GI44454" s="422"/>
    </row>
    <row r="44455" spans="191:191" x14ac:dyDescent="0.2">
      <c r="GI44455" s="422"/>
    </row>
    <row r="44456" spans="191:191" x14ac:dyDescent="0.2">
      <c r="GI44456" s="422"/>
    </row>
    <row r="44457" spans="191:191" x14ac:dyDescent="0.2">
      <c r="GI44457" s="422"/>
    </row>
    <row r="44458" spans="191:191" x14ac:dyDescent="0.2">
      <c r="GI44458" s="422"/>
    </row>
    <row r="44459" spans="191:191" x14ac:dyDescent="0.2">
      <c r="GI44459" s="422"/>
    </row>
    <row r="44460" spans="191:191" x14ac:dyDescent="0.2">
      <c r="GI44460" s="422"/>
    </row>
    <row r="44461" spans="191:191" x14ac:dyDescent="0.2">
      <c r="GI44461" s="422"/>
    </row>
    <row r="44462" spans="191:191" x14ac:dyDescent="0.2">
      <c r="GI44462" s="422"/>
    </row>
    <row r="44463" spans="191:191" x14ac:dyDescent="0.2">
      <c r="GI44463" s="422"/>
    </row>
    <row r="44464" spans="191:191" x14ac:dyDescent="0.2">
      <c r="GI44464" s="422"/>
    </row>
    <row r="44465" spans="191:191" x14ac:dyDescent="0.2">
      <c r="GI44465" s="422"/>
    </row>
    <row r="44466" spans="191:191" x14ac:dyDescent="0.2">
      <c r="GI44466" s="422"/>
    </row>
    <row r="44467" spans="191:191" x14ac:dyDescent="0.2">
      <c r="GI44467" s="422"/>
    </row>
    <row r="44468" spans="191:191" x14ac:dyDescent="0.2">
      <c r="GI44468" s="422"/>
    </row>
    <row r="44469" spans="191:191" x14ac:dyDescent="0.2">
      <c r="GI44469" s="422"/>
    </row>
    <row r="44470" spans="191:191" x14ac:dyDescent="0.2">
      <c r="GI44470" s="422"/>
    </row>
    <row r="44471" spans="191:191" x14ac:dyDescent="0.2">
      <c r="GI44471" s="422"/>
    </row>
    <row r="44472" spans="191:191" x14ac:dyDescent="0.2">
      <c r="GI44472" s="422"/>
    </row>
    <row r="44473" spans="191:191" x14ac:dyDescent="0.2">
      <c r="GI44473" s="422"/>
    </row>
    <row r="44474" spans="191:191" x14ac:dyDescent="0.2">
      <c r="GI44474" s="422"/>
    </row>
    <row r="44475" spans="191:191" x14ac:dyDescent="0.2">
      <c r="GI44475" s="422"/>
    </row>
    <row r="44476" spans="191:191" x14ac:dyDescent="0.2">
      <c r="GI44476" s="422"/>
    </row>
    <row r="44477" spans="191:191" x14ac:dyDescent="0.2">
      <c r="GI44477" s="422"/>
    </row>
    <row r="44478" spans="191:191" x14ac:dyDescent="0.2">
      <c r="GI44478" s="422"/>
    </row>
    <row r="44479" spans="191:191" x14ac:dyDescent="0.2">
      <c r="GI44479" s="422"/>
    </row>
    <row r="44480" spans="191:191" x14ac:dyDescent="0.2">
      <c r="GI44480" s="422"/>
    </row>
    <row r="44481" spans="191:191" x14ac:dyDescent="0.2">
      <c r="GI44481" s="422"/>
    </row>
    <row r="44482" spans="191:191" x14ac:dyDescent="0.2">
      <c r="GI44482" s="422"/>
    </row>
    <row r="44483" spans="191:191" x14ac:dyDescent="0.2">
      <c r="GI44483" s="422"/>
    </row>
    <row r="44484" spans="191:191" x14ac:dyDescent="0.2">
      <c r="GI44484" s="422"/>
    </row>
    <row r="44485" spans="191:191" x14ac:dyDescent="0.2">
      <c r="GI44485" s="422"/>
    </row>
    <row r="44486" spans="191:191" x14ac:dyDescent="0.2">
      <c r="GI44486" s="422"/>
    </row>
    <row r="44487" spans="191:191" x14ac:dyDescent="0.2">
      <c r="GI44487" s="422"/>
    </row>
    <row r="44488" spans="191:191" x14ac:dyDescent="0.2">
      <c r="GI44488" s="422"/>
    </row>
    <row r="44489" spans="191:191" x14ac:dyDescent="0.2">
      <c r="GI44489" s="422"/>
    </row>
    <row r="44490" spans="191:191" x14ac:dyDescent="0.2">
      <c r="GI44490" s="422"/>
    </row>
    <row r="44491" spans="191:191" x14ac:dyDescent="0.2">
      <c r="GI44491" s="422"/>
    </row>
    <row r="44492" spans="191:191" x14ac:dyDescent="0.2">
      <c r="GI44492" s="422"/>
    </row>
    <row r="44493" spans="191:191" x14ac:dyDescent="0.2">
      <c r="GI44493" s="422"/>
    </row>
    <row r="44494" spans="191:191" x14ac:dyDescent="0.2">
      <c r="GI44494" s="422"/>
    </row>
    <row r="44495" spans="191:191" x14ac:dyDescent="0.2">
      <c r="GI44495" s="422"/>
    </row>
    <row r="44496" spans="191:191" x14ac:dyDescent="0.2">
      <c r="GI44496" s="422"/>
    </row>
    <row r="44497" spans="191:191" x14ac:dyDescent="0.2">
      <c r="GI44497" s="422"/>
    </row>
    <row r="44498" spans="191:191" x14ac:dyDescent="0.2">
      <c r="GI44498" s="422"/>
    </row>
    <row r="44499" spans="191:191" x14ac:dyDescent="0.2">
      <c r="GI44499" s="422"/>
    </row>
    <row r="44500" spans="191:191" x14ac:dyDescent="0.2">
      <c r="GI44500" s="422"/>
    </row>
    <row r="44501" spans="191:191" x14ac:dyDescent="0.2">
      <c r="GI44501" s="422"/>
    </row>
    <row r="44502" spans="191:191" x14ac:dyDescent="0.2">
      <c r="GI44502" s="422"/>
    </row>
    <row r="44503" spans="191:191" x14ac:dyDescent="0.2">
      <c r="GI44503" s="422"/>
    </row>
    <row r="44504" spans="191:191" x14ac:dyDescent="0.2">
      <c r="GI44504" s="422"/>
    </row>
    <row r="44505" spans="191:191" x14ac:dyDescent="0.2">
      <c r="GI44505" s="422"/>
    </row>
    <row r="44506" spans="191:191" x14ac:dyDescent="0.2">
      <c r="GI44506" s="422"/>
    </row>
    <row r="44507" spans="191:191" x14ac:dyDescent="0.2">
      <c r="GI44507" s="422"/>
    </row>
    <row r="44508" spans="191:191" x14ac:dyDescent="0.2">
      <c r="GI44508" s="422"/>
    </row>
    <row r="44509" spans="191:191" x14ac:dyDescent="0.2">
      <c r="GI44509" s="422"/>
    </row>
    <row r="44510" spans="191:191" x14ac:dyDescent="0.2">
      <c r="GI44510" s="422"/>
    </row>
    <row r="44511" spans="191:191" x14ac:dyDescent="0.2">
      <c r="GI44511" s="422"/>
    </row>
    <row r="44512" spans="191:191" x14ac:dyDescent="0.2">
      <c r="GI44512" s="422"/>
    </row>
    <row r="44513" spans="191:191" x14ac:dyDescent="0.2">
      <c r="GI44513" s="422"/>
    </row>
    <row r="44514" spans="191:191" x14ac:dyDescent="0.2">
      <c r="GI44514" s="422"/>
    </row>
    <row r="44515" spans="191:191" x14ac:dyDescent="0.2">
      <c r="GI44515" s="422"/>
    </row>
    <row r="44516" spans="191:191" x14ac:dyDescent="0.2">
      <c r="GI44516" s="422"/>
    </row>
    <row r="44517" spans="191:191" x14ac:dyDescent="0.2">
      <c r="GI44517" s="422"/>
    </row>
    <row r="44518" spans="191:191" x14ac:dyDescent="0.2">
      <c r="GI44518" s="422"/>
    </row>
    <row r="44519" spans="191:191" x14ac:dyDescent="0.2">
      <c r="GI44519" s="422"/>
    </row>
    <row r="44520" spans="191:191" x14ac:dyDescent="0.2">
      <c r="GI44520" s="422"/>
    </row>
    <row r="44521" spans="191:191" x14ac:dyDescent="0.2">
      <c r="GI44521" s="422"/>
    </row>
    <row r="44522" spans="191:191" x14ac:dyDescent="0.2">
      <c r="GI44522" s="422"/>
    </row>
    <row r="44523" spans="191:191" x14ac:dyDescent="0.2">
      <c r="GI44523" s="422"/>
    </row>
    <row r="44524" spans="191:191" x14ac:dyDescent="0.2">
      <c r="GI44524" s="422"/>
    </row>
    <row r="44525" spans="191:191" x14ac:dyDescent="0.2">
      <c r="GI44525" s="422"/>
    </row>
    <row r="44526" spans="191:191" x14ac:dyDescent="0.2">
      <c r="GI44526" s="422"/>
    </row>
    <row r="44527" spans="191:191" x14ac:dyDescent="0.2">
      <c r="GI44527" s="422"/>
    </row>
    <row r="44528" spans="191:191" x14ac:dyDescent="0.2">
      <c r="GI44528" s="422"/>
    </row>
    <row r="44529" spans="191:191" x14ac:dyDescent="0.2">
      <c r="GI44529" s="422"/>
    </row>
    <row r="44530" spans="191:191" x14ac:dyDescent="0.2">
      <c r="GI44530" s="422"/>
    </row>
    <row r="44531" spans="191:191" x14ac:dyDescent="0.2">
      <c r="GI44531" s="422"/>
    </row>
    <row r="44532" spans="191:191" x14ac:dyDescent="0.2">
      <c r="GI44532" s="422"/>
    </row>
    <row r="44533" spans="191:191" x14ac:dyDescent="0.2">
      <c r="GI44533" s="422"/>
    </row>
    <row r="44534" spans="191:191" x14ac:dyDescent="0.2">
      <c r="GI44534" s="422"/>
    </row>
    <row r="44535" spans="191:191" x14ac:dyDescent="0.2">
      <c r="GI44535" s="422"/>
    </row>
    <row r="44536" spans="191:191" x14ac:dyDescent="0.2">
      <c r="GI44536" s="422"/>
    </row>
    <row r="44537" spans="191:191" x14ac:dyDescent="0.2">
      <c r="GI44537" s="422"/>
    </row>
    <row r="44538" spans="191:191" x14ac:dyDescent="0.2">
      <c r="GI44538" s="422"/>
    </row>
    <row r="44539" spans="191:191" x14ac:dyDescent="0.2">
      <c r="GI44539" s="422"/>
    </row>
    <row r="44540" spans="191:191" x14ac:dyDescent="0.2">
      <c r="GI44540" s="422"/>
    </row>
    <row r="44541" spans="191:191" x14ac:dyDescent="0.2">
      <c r="GI44541" s="422"/>
    </row>
    <row r="44542" spans="191:191" x14ac:dyDescent="0.2">
      <c r="GI44542" s="422"/>
    </row>
    <row r="44543" spans="191:191" x14ac:dyDescent="0.2">
      <c r="GI44543" s="422"/>
    </row>
    <row r="44544" spans="191:191" x14ac:dyDescent="0.2">
      <c r="GI44544" s="422"/>
    </row>
    <row r="44545" spans="191:191" x14ac:dyDescent="0.2">
      <c r="GI44545" s="422"/>
    </row>
    <row r="44546" spans="191:191" x14ac:dyDescent="0.2">
      <c r="GI44546" s="422"/>
    </row>
    <row r="44547" spans="191:191" x14ac:dyDescent="0.2">
      <c r="GI44547" s="422"/>
    </row>
    <row r="44548" spans="191:191" x14ac:dyDescent="0.2">
      <c r="GI44548" s="422"/>
    </row>
    <row r="44549" spans="191:191" x14ac:dyDescent="0.2">
      <c r="GI44549" s="422"/>
    </row>
    <row r="44550" spans="191:191" x14ac:dyDescent="0.2">
      <c r="GI44550" s="422"/>
    </row>
    <row r="44551" spans="191:191" x14ac:dyDescent="0.2">
      <c r="GI44551" s="422"/>
    </row>
    <row r="44552" spans="191:191" x14ac:dyDescent="0.2">
      <c r="GI44552" s="422"/>
    </row>
    <row r="44553" spans="191:191" x14ac:dyDescent="0.2">
      <c r="GI44553" s="422"/>
    </row>
    <row r="44554" spans="191:191" x14ac:dyDescent="0.2">
      <c r="GI44554" s="422"/>
    </row>
    <row r="44555" spans="191:191" x14ac:dyDescent="0.2">
      <c r="GI44555" s="422"/>
    </row>
    <row r="44556" spans="191:191" x14ac:dyDescent="0.2">
      <c r="GI44556" s="422"/>
    </row>
    <row r="44557" spans="191:191" x14ac:dyDescent="0.2">
      <c r="GI44557" s="422"/>
    </row>
    <row r="44558" spans="191:191" x14ac:dyDescent="0.2">
      <c r="GI44558" s="422"/>
    </row>
    <row r="44559" spans="191:191" x14ac:dyDescent="0.2">
      <c r="GI44559" s="422"/>
    </row>
    <row r="44560" spans="191:191" x14ac:dyDescent="0.2">
      <c r="GI44560" s="422"/>
    </row>
    <row r="44561" spans="191:191" x14ac:dyDescent="0.2">
      <c r="GI44561" s="422"/>
    </row>
    <row r="44562" spans="191:191" x14ac:dyDescent="0.2">
      <c r="GI44562" s="422"/>
    </row>
    <row r="44563" spans="191:191" x14ac:dyDescent="0.2">
      <c r="GI44563" s="422"/>
    </row>
    <row r="44564" spans="191:191" x14ac:dyDescent="0.2">
      <c r="GI44564" s="422"/>
    </row>
    <row r="44565" spans="191:191" x14ac:dyDescent="0.2">
      <c r="GI44565" s="422"/>
    </row>
    <row r="44566" spans="191:191" x14ac:dyDescent="0.2">
      <c r="GI44566" s="422"/>
    </row>
    <row r="44567" spans="191:191" x14ac:dyDescent="0.2">
      <c r="GI44567" s="422"/>
    </row>
    <row r="44568" spans="191:191" x14ac:dyDescent="0.2">
      <c r="GI44568" s="422"/>
    </row>
    <row r="44569" spans="191:191" x14ac:dyDescent="0.2">
      <c r="GI44569" s="422"/>
    </row>
    <row r="44570" spans="191:191" x14ac:dyDescent="0.2">
      <c r="GI44570" s="422"/>
    </row>
    <row r="44571" spans="191:191" x14ac:dyDescent="0.2">
      <c r="GI44571" s="422"/>
    </row>
    <row r="44572" spans="191:191" x14ac:dyDescent="0.2">
      <c r="GI44572" s="422"/>
    </row>
    <row r="44573" spans="191:191" x14ac:dyDescent="0.2">
      <c r="GI44573" s="422"/>
    </row>
    <row r="44574" spans="191:191" x14ac:dyDescent="0.2">
      <c r="GI44574" s="422"/>
    </row>
    <row r="44575" spans="191:191" x14ac:dyDescent="0.2">
      <c r="GI44575" s="422"/>
    </row>
    <row r="44576" spans="191:191" x14ac:dyDescent="0.2">
      <c r="GI44576" s="422"/>
    </row>
    <row r="44577" spans="191:191" x14ac:dyDescent="0.2">
      <c r="GI44577" s="422"/>
    </row>
    <row r="44578" spans="191:191" x14ac:dyDescent="0.2">
      <c r="GI44578" s="422"/>
    </row>
    <row r="44579" spans="191:191" x14ac:dyDescent="0.2">
      <c r="GI44579" s="422"/>
    </row>
    <row r="44580" spans="191:191" x14ac:dyDescent="0.2">
      <c r="GI44580" s="422"/>
    </row>
    <row r="44581" spans="191:191" x14ac:dyDescent="0.2">
      <c r="GI44581" s="422"/>
    </row>
    <row r="44582" spans="191:191" x14ac:dyDescent="0.2">
      <c r="GI44582" s="422"/>
    </row>
    <row r="44583" spans="191:191" x14ac:dyDescent="0.2">
      <c r="GI44583" s="422"/>
    </row>
    <row r="44584" spans="191:191" x14ac:dyDescent="0.2">
      <c r="GI44584" s="422"/>
    </row>
    <row r="44585" spans="191:191" x14ac:dyDescent="0.2">
      <c r="GI44585" s="422"/>
    </row>
    <row r="44586" spans="191:191" x14ac:dyDescent="0.2">
      <c r="GI44586" s="422"/>
    </row>
    <row r="44587" spans="191:191" x14ac:dyDescent="0.2">
      <c r="GI44587" s="422"/>
    </row>
    <row r="44588" spans="191:191" x14ac:dyDescent="0.2">
      <c r="GI44588" s="422"/>
    </row>
    <row r="44589" spans="191:191" x14ac:dyDescent="0.2">
      <c r="GI44589" s="422"/>
    </row>
    <row r="44590" spans="191:191" x14ac:dyDescent="0.2">
      <c r="GI44590" s="422"/>
    </row>
    <row r="44591" spans="191:191" x14ac:dyDescent="0.2">
      <c r="GI44591" s="422"/>
    </row>
    <row r="44592" spans="191:191" x14ac:dyDescent="0.2">
      <c r="GI44592" s="422"/>
    </row>
    <row r="44593" spans="191:191" x14ac:dyDescent="0.2">
      <c r="GI44593" s="422"/>
    </row>
    <row r="44594" spans="191:191" x14ac:dyDescent="0.2">
      <c r="GI44594" s="422"/>
    </row>
    <row r="44595" spans="191:191" x14ac:dyDescent="0.2">
      <c r="GI44595" s="422"/>
    </row>
    <row r="44596" spans="191:191" x14ac:dyDescent="0.2">
      <c r="GI44596" s="422"/>
    </row>
    <row r="44597" spans="191:191" x14ac:dyDescent="0.2">
      <c r="GI44597" s="422"/>
    </row>
    <row r="44598" spans="191:191" x14ac:dyDescent="0.2">
      <c r="GI44598" s="422"/>
    </row>
    <row r="44599" spans="191:191" x14ac:dyDescent="0.2">
      <c r="GI44599" s="422"/>
    </row>
    <row r="44600" spans="191:191" x14ac:dyDescent="0.2">
      <c r="GI44600" s="422"/>
    </row>
    <row r="44601" spans="191:191" x14ac:dyDescent="0.2">
      <c r="GI44601" s="422"/>
    </row>
    <row r="44602" spans="191:191" x14ac:dyDescent="0.2">
      <c r="GI44602" s="422"/>
    </row>
    <row r="44603" spans="191:191" x14ac:dyDescent="0.2">
      <c r="GI44603" s="422"/>
    </row>
    <row r="44604" spans="191:191" x14ac:dyDescent="0.2">
      <c r="GI44604" s="422"/>
    </row>
    <row r="44605" spans="191:191" x14ac:dyDescent="0.2">
      <c r="GI44605" s="422"/>
    </row>
    <row r="44606" spans="191:191" x14ac:dyDescent="0.2">
      <c r="GI44606" s="422"/>
    </row>
    <row r="44607" spans="191:191" x14ac:dyDescent="0.2">
      <c r="GI44607" s="422"/>
    </row>
    <row r="44608" spans="191:191" x14ac:dyDescent="0.2">
      <c r="GI44608" s="422"/>
    </row>
    <row r="44609" spans="191:191" x14ac:dyDescent="0.2">
      <c r="GI44609" s="422"/>
    </row>
    <row r="44610" spans="191:191" x14ac:dyDescent="0.2">
      <c r="GI44610" s="422"/>
    </row>
    <row r="44611" spans="191:191" x14ac:dyDescent="0.2">
      <c r="GI44611" s="422"/>
    </row>
    <row r="44612" spans="191:191" x14ac:dyDescent="0.2">
      <c r="GI44612" s="422"/>
    </row>
    <row r="44613" spans="191:191" x14ac:dyDescent="0.2">
      <c r="GI44613" s="422"/>
    </row>
    <row r="44614" spans="191:191" x14ac:dyDescent="0.2">
      <c r="GI44614" s="422"/>
    </row>
    <row r="44615" spans="191:191" x14ac:dyDescent="0.2">
      <c r="GI44615" s="422"/>
    </row>
    <row r="44616" spans="191:191" x14ac:dyDescent="0.2">
      <c r="GI44616" s="422"/>
    </row>
    <row r="44617" spans="191:191" x14ac:dyDescent="0.2">
      <c r="GI44617" s="422"/>
    </row>
    <row r="44618" spans="191:191" x14ac:dyDescent="0.2">
      <c r="GI44618" s="422"/>
    </row>
    <row r="44619" spans="191:191" x14ac:dyDescent="0.2">
      <c r="GI44619" s="422"/>
    </row>
    <row r="44620" spans="191:191" x14ac:dyDescent="0.2">
      <c r="GI44620" s="422"/>
    </row>
    <row r="44621" spans="191:191" x14ac:dyDescent="0.2">
      <c r="GI44621" s="422"/>
    </row>
    <row r="44622" spans="191:191" x14ac:dyDescent="0.2">
      <c r="GI44622" s="422"/>
    </row>
    <row r="44623" spans="191:191" x14ac:dyDescent="0.2">
      <c r="GI44623" s="422"/>
    </row>
    <row r="44624" spans="191:191" x14ac:dyDescent="0.2">
      <c r="GI44624" s="422"/>
    </row>
    <row r="44625" spans="191:191" x14ac:dyDescent="0.2">
      <c r="GI44625" s="422"/>
    </row>
    <row r="44626" spans="191:191" x14ac:dyDescent="0.2">
      <c r="GI44626" s="422"/>
    </row>
    <row r="44627" spans="191:191" x14ac:dyDescent="0.2">
      <c r="GI44627" s="422"/>
    </row>
    <row r="44628" spans="191:191" x14ac:dyDescent="0.2">
      <c r="GI44628" s="422"/>
    </row>
    <row r="44629" spans="191:191" x14ac:dyDescent="0.2">
      <c r="GI44629" s="422"/>
    </row>
    <row r="44630" spans="191:191" x14ac:dyDescent="0.2">
      <c r="GI44630" s="422"/>
    </row>
    <row r="44631" spans="191:191" x14ac:dyDescent="0.2">
      <c r="GI44631" s="422"/>
    </row>
    <row r="44632" spans="191:191" x14ac:dyDescent="0.2">
      <c r="GI44632" s="422"/>
    </row>
    <row r="44633" spans="191:191" x14ac:dyDescent="0.2">
      <c r="GI44633" s="422"/>
    </row>
    <row r="44634" spans="191:191" x14ac:dyDescent="0.2">
      <c r="GI44634" s="422"/>
    </row>
    <row r="44635" spans="191:191" x14ac:dyDescent="0.2">
      <c r="GI44635" s="422"/>
    </row>
    <row r="44636" spans="191:191" x14ac:dyDescent="0.2">
      <c r="GI44636" s="422"/>
    </row>
    <row r="44637" spans="191:191" x14ac:dyDescent="0.2">
      <c r="GI44637" s="422"/>
    </row>
    <row r="44638" spans="191:191" x14ac:dyDescent="0.2">
      <c r="GI44638" s="422"/>
    </row>
    <row r="44639" spans="191:191" x14ac:dyDescent="0.2">
      <c r="GI44639" s="422"/>
    </row>
    <row r="44640" spans="191:191" x14ac:dyDescent="0.2">
      <c r="GI44640" s="422"/>
    </row>
    <row r="44641" spans="191:191" x14ac:dyDescent="0.2">
      <c r="GI44641" s="422"/>
    </row>
    <row r="44642" spans="191:191" x14ac:dyDescent="0.2">
      <c r="GI44642" s="422"/>
    </row>
    <row r="44643" spans="191:191" x14ac:dyDescent="0.2">
      <c r="GI44643" s="422"/>
    </row>
    <row r="44644" spans="191:191" x14ac:dyDescent="0.2">
      <c r="GI44644" s="422"/>
    </row>
    <row r="44645" spans="191:191" x14ac:dyDescent="0.2">
      <c r="GI44645" s="422"/>
    </row>
    <row r="44646" spans="191:191" x14ac:dyDescent="0.2">
      <c r="GI44646" s="422"/>
    </row>
    <row r="44647" spans="191:191" x14ac:dyDescent="0.2">
      <c r="GI44647" s="422"/>
    </row>
    <row r="44648" spans="191:191" x14ac:dyDescent="0.2">
      <c r="GI44648" s="422"/>
    </row>
    <row r="44649" spans="191:191" x14ac:dyDescent="0.2">
      <c r="GI44649" s="422"/>
    </row>
    <row r="44650" spans="191:191" x14ac:dyDescent="0.2">
      <c r="GI44650" s="422"/>
    </row>
    <row r="44651" spans="191:191" x14ac:dyDescent="0.2">
      <c r="GI44651" s="422"/>
    </row>
    <row r="44652" spans="191:191" x14ac:dyDescent="0.2">
      <c r="GI44652" s="422"/>
    </row>
    <row r="44653" spans="191:191" x14ac:dyDescent="0.2">
      <c r="GI44653" s="422"/>
    </row>
    <row r="44654" spans="191:191" x14ac:dyDescent="0.2">
      <c r="GI44654" s="422"/>
    </row>
    <row r="44655" spans="191:191" x14ac:dyDescent="0.2">
      <c r="GI44655" s="422"/>
    </row>
    <row r="44656" spans="191:191" x14ac:dyDescent="0.2">
      <c r="GI44656" s="422"/>
    </row>
    <row r="44657" spans="191:191" x14ac:dyDescent="0.2">
      <c r="GI44657" s="422"/>
    </row>
    <row r="44658" spans="191:191" x14ac:dyDescent="0.2">
      <c r="GI44658" s="422"/>
    </row>
    <row r="44659" spans="191:191" x14ac:dyDescent="0.2">
      <c r="GI44659" s="422"/>
    </row>
    <row r="44660" spans="191:191" x14ac:dyDescent="0.2">
      <c r="GI44660" s="422"/>
    </row>
    <row r="44661" spans="191:191" x14ac:dyDescent="0.2">
      <c r="GI44661" s="422"/>
    </row>
    <row r="44662" spans="191:191" x14ac:dyDescent="0.2">
      <c r="GI44662" s="422"/>
    </row>
    <row r="44663" spans="191:191" x14ac:dyDescent="0.2">
      <c r="GI44663" s="422"/>
    </row>
    <row r="44664" spans="191:191" x14ac:dyDescent="0.2">
      <c r="GI44664" s="422"/>
    </row>
    <row r="44665" spans="191:191" x14ac:dyDescent="0.2">
      <c r="GI44665" s="422"/>
    </row>
    <row r="44666" spans="191:191" x14ac:dyDescent="0.2">
      <c r="GI44666" s="422"/>
    </row>
    <row r="44667" spans="191:191" x14ac:dyDescent="0.2">
      <c r="GI44667" s="422"/>
    </row>
    <row r="44668" spans="191:191" x14ac:dyDescent="0.2">
      <c r="GI44668" s="422"/>
    </row>
    <row r="44669" spans="191:191" x14ac:dyDescent="0.2">
      <c r="GI44669" s="422"/>
    </row>
    <row r="44670" spans="191:191" x14ac:dyDescent="0.2">
      <c r="GI44670" s="422"/>
    </row>
    <row r="44671" spans="191:191" x14ac:dyDescent="0.2">
      <c r="GI44671" s="422"/>
    </row>
    <row r="44672" spans="191:191" x14ac:dyDescent="0.2">
      <c r="GI44672" s="422"/>
    </row>
    <row r="44673" spans="191:191" x14ac:dyDescent="0.2">
      <c r="GI44673" s="422"/>
    </row>
    <row r="44674" spans="191:191" x14ac:dyDescent="0.2">
      <c r="GI44674" s="422"/>
    </row>
    <row r="44675" spans="191:191" x14ac:dyDescent="0.2">
      <c r="GI44675" s="422"/>
    </row>
    <row r="44676" spans="191:191" x14ac:dyDescent="0.2">
      <c r="GI44676" s="422"/>
    </row>
    <row r="44677" spans="191:191" x14ac:dyDescent="0.2">
      <c r="GI44677" s="422"/>
    </row>
    <row r="44678" spans="191:191" x14ac:dyDescent="0.2">
      <c r="GI44678" s="422"/>
    </row>
    <row r="44679" spans="191:191" x14ac:dyDescent="0.2">
      <c r="GI44679" s="422"/>
    </row>
    <row r="44680" spans="191:191" x14ac:dyDescent="0.2">
      <c r="GI44680" s="422"/>
    </row>
    <row r="44681" spans="191:191" x14ac:dyDescent="0.2">
      <c r="GI44681" s="422"/>
    </row>
    <row r="44682" spans="191:191" x14ac:dyDescent="0.2">
      <c r="GI44682" s="422"/>
    </row>
    <row r="44683" spans="191:191" x14ac:dyDescent="0.2">
      <c r="GI44683" s="422"/>
    </row>
    <row r="44684" spans="191:191" x14ac:dyDescent="0.2">
      <c r="GI44684" s="422"/>
    </row>
    <row r="44685" spans="191:191" x14ac:dyDescent="0.2">
      <c r="GI44685" s="422"/>
    </row>
    <row r="44686" spans="191:191" x14ac:dyDescent="0.2">
      <c r="GI44686" s="422"/>
    </row>
    <row r="44687" spans="191:191" x14ac:dyDescent="0.2">
      <c r="GI44687" s="422"/>
    </row>
    <row r="44688" spans="191:191" x14ac:dyDescent="0.2">
      <c r="GI44688" s="422"/>
    </row>
    <row r="44689" spans="191:191" x14ac:dyDescent="0.2">
      <c r="GI44689" s="422"/>
    </row>
    <row r="44690" spans="191:191" x14ac:dyDescent="0.2">
      <c r="GI44690" s="422"/>
    </row>
    <row r="44691" spans="191:191" x14ac:dyDescent="0.2">
      <c r="GI44691" s="422"/>
    </row>
    <row r="44692" spans="191:191" x14ac:dyDescent="0.2">
      <c r="GI44692" s="422"/>
    </row>
    <row r="44693" spans="191:191" x14ac:dyDescent="0.2">
      <c r="GI44693" s="422"/>
    </row>
    <row r="44694" spans="191:191" x14ac:dyDescent="0.2">
      <c r="GI44694" s="422"/>
    </row>
    <row r="44695" spans="191:191" x14ac:dyDescent="0.2">
      <c r="GI44695" s="422"/>
    </row>
    <row r="44696" spans="191:191" x14ac:dyDescent="0.2">
      <c r="GI44696" s="422"/>
    </row>
    <row r="44697" spans="191:191" x14ac:dyDescent="0.2">
      <c r="GI44697" s="422"/>
    </row>
    <row r="44698" spans="191:191" x14ac:dyDescent="0.2">
      <c r="GI44698" s="422"/>
    </row>
    <row r="44699" spans="191:191" x14ac:dyDescent="0.2">
      <c r="GI44699" s="422"/>
    </row>
    <row r="44700" spans="191:191" x14ac:dyDescent="0.2">
      <c r="GI44700" s="422"/>
    </row>
    <row r="44701" spans="191:191" x14ac:dyDescent="0.2">
      <c r="GI44701" s="422"/>
    </row>
    <row r="44702" spans="191:191" x14ac:dyDescent="0.2">
      <c r="GI44702" s="422"/>
    </row>
    <row r="44703" spans="191:191" x14ac:dyDescent="0.2">
      <c r="GI44703" s="422"/>
    </row>
    <row r="44704" spans="191:191" x14ac:dyDescent="0.2">
      <c r="GI44704" s="422"/>
    </row>
    <row r="44705" spans="191:191" x14ac:dyDescent="0.2">
      <c r="GI44705" s="422"/>
    </row>
    <row r="44706" spans="191:191" x14ac:dyDescent="0.2">
      <c r="GI44706" s="422"/>
    </row>
    <row r="44707" spans="191:191" x14ac:dyDescent="0.2">
      <c r="GI44707" s="422"/>
    </row>
    <row r="44708" spans="191:191" x14ac:dyDescent="0.2">
      <c r="GI44708" s="422"/>
    </row>
    <row r="44709" spans="191:191" x14ac:dyDescent="0.2">
      <c r="GI44709" s="422"/>
    </row>
    <row r="44710" spans="191:191" x14ac:dyDescent="0.2">
      <c r="GI44710" s="422"/>
    </row>
    <row r="44711" spans="191:191" x14ac:dyDescent="0.2">
      <c r="GI44711" s="422"/>
    </row>
    <row r="44712" spans="191:191" x14ac:dyDescent="0.2">
      <c r="GI44712" s="422"/>
    </row>
    <row r="44713" spans="191:191" x14ac:dyDescent="0.2">
      <c r="GI44713" s="422"/>
    </row>
    <row r="44714" spans="191:191" x14ac:dyDescent="0.2">
      <c r="GI44714" s="422"/>
    </row>
    <row r="44715" spans="191:191" x14ac:dyDescent="0.2">
      <c r="GI44715" s="422"/>
    </row>
    <row r="44716" spans="191:191" x14ac:dyDescent="0.2">
      <c r="GI44716" s="422"/>
    </row>
    <row r="44717" spans="191:191" x14ac:dyDescent="0.2">
      <c r="GI44717" s="422"/>
    </row>
    <row r="44718" spans="191:191" x14ac:dyDescent="0.2">
      <c r="GI44718" s="422"/>
    </row>
    <row r="44719" spans="191:191" x14ac:dyDescent="0.2">
      <c r="GI44719" s="422"/>
    </row>
    <row r="44720" spans="191:191" x14ac:dyDescent="0.2">
      <c r="GI44720" s="422"/>
    </row>
    <row r="44721" spans="191:191" x14ac:dyDescent="0.2">
      <c r="GI44721" s="422"/>
    </row>
    <row r="44722" spans="191:191" x14ac:dyDescent="0.2">
      <c r="GI44722" s="422"/>
    </row>
    <row r="44723" spans="191:191" x14ac:dyDescent="0.2">
      <c r="GI44723" s="422"/>
    </row>
    <row r="44724" spans="191:191" x14ac:dyDescent="0.2">
      <c r="GI44724" s="422"/>
    </row>
    <row r="44725" spans="191:191" x14ac:dyDescent="0.2">
      <c r="GI44725" s="422"/>
    </row>
    <row r="44726" spans="191:191" x14ac:dyDescent="0.2">
      <c r="GI44726" s="422"/>
    </row>
    <row r="44727" spans="191:191" x14ac:dyDescent="0.2">
      <c r="GI44727" s="422"/>
    </row>
    <row r="44728" spans="191:191" x14ac:dyDescent="0.2">
      <c r="GI44728" s="422"/>
    </row>
    <row r="44729" spans="191:191" x14ac:dyDescent="0.2">
      <c r="GI44729" s="422"/>
    </row>
    <row r="44730" spans="191:191" x14ac:dyDescent="0.2">
      <c r="GI44730" s="422"/>
    </row>
    <row r="44731" spans="191:191" x14ac:dyDescent="0.2">
      <c r="GI44731" s="422"/>
    </row>
    <row r="44732" spans="191:191" x14ac:dyDescent="0.2">
      <c r="GI44732" s="422"/>
    </row>
    <row r="44733" spans="191:191" x14ac:dyDescent="0.2">
      <c r="GI44733" s="422"/>
    </row>
    <row r="44734" spans="191:191" x14ac:dyDescent="0.2">
      <c r="GI44734" s="422"/>
    </row>
    <row r="44735" spans="191:191" x14ac:dyDescent="0.2">
      <c r="GI44735" s="422"/>
    </row>
    <row r="44736" spans="191:191" x14ac:dyDescent="0.2">
      <c r="GI44736" s="422"/>
    </row>
    <row r="44737" spans="191:191" x14ac:dyDescent="0.2">
      <c r="GI44737" s="422"/>
    </row>
    <row r="44738" spans="191:191" x14ac:dyDescent="0.2">
      <c r="GI44738" s="422"/>
    </row>
    <row r="44739" spans="191:191" x14ac:dyDescent="0.2">
      <c r="GI44739" s="422"/>
    </row>
    <row r="44740" spans="191:191" x14ac:dyDescent="0.2">
      <c r="GI44740" s="422"/>
    </row>
    <row r="44741" spans="191:191" x14ac:dyDescent="0.2">
      <c r="GI44741" s="422"/>
    </row>
    <row r="44742" spans="191:191" x14ac:dyDescent="0.2">
      <c r="GI44742" s="422"/>
    </row>
    <row r="44743" spans="191:191" x14ac:dyDescent="0.2">
      <c r="GI44743" s="422"/>
    </row>
    <row r="44744" spans="191:191" x14ac:dyDescent="0.2">
      <c r="GI44744" s="422"/>
    </row>
    <row r="44745" spans="191:191" x14ac:dyDescent="0.2">
      <c r="GI44745" s="422"/>
    </row>
    <row r="44746" spans="191:191" x14ac:dyDescent="0.2">
      <c r="GI44746" s="422"/>
    </row>
    <row r="44747" spans="191:191" x14ac:dyDescent="0.2">
      <c r="GI44747" s="422"/>
    </row>
    <row r="44748" spans="191:191" x14ac:dyDescent="0.2">
      <c r="GI44748" s="422"/>
    </row>
    <row r="44749" spans="191:191" x14ac:dyDescent="0.2">
      <c r="GI44749" s="422"/>
    </row>
    <row r="44750" spans="191:191" x14ac:dyDescent="0.2">
      <c r="GI44750" s="422"/>
    </row>
    <row r="44751" spans="191:191" x14ac:dyDescent="0.2">
      <c r="GI44751" s="422"/>
    </row>
    <row r="44752" spans="191:191" x14ac:dyDescent="0.2">
      <c r="GI44752" s="422"/>
    </row>
    <row r="44753" spans="191:191" x14ac:dyDescent="0.2">
      <c r="GI44753" s="422"/>
    </row>
    <row r="44754" spans="191:191" x14ac:dyDescent="0.2">
      <c r="GI44754" s="422"/>
    </row>
    <row r="44755" spans="191:191" x14ac:dyDescent="0.2">
      <c r="GI44755" s="422"/>
    </row>
    <row r="44756" spans="191:191" x14ac:dyDescent="0.2">
      <c r="GI44756" s="422"/>
    </row>
    <row r="44757" spans="191:191" x14ac:dyDescent="0.2">
      <c r="GI44757" s="422"/>
    </row>
    <row r="44758" spans="191:191" x14ac:dyDescent="0.2">
      <c r="GI44758" s="422"/>
    </row>
    <row r="44759" spans="191:191" x14ac:dyDescent="0.2">
      <c r="GI44759" s="422"/>
    </row>
    <row r="44760" spans="191:191" x14ac:dyDescent="0.2">
      <c r="GI44760" s="422"/>
    </row>
    <row r="44761" spans="191:191" x14ac:dyDescent="0.2">
      <c r="GI44761" s="422"/>
    </row>
    <row r="44762" spans="191:191" x14ac:dyDescent="0.2">
      <c r="GI44762" s="422"/>
    </row>
    <row r="44763" spans="191:191" x14ac:dyDescent="0.2">
      <c r="GI44763" s="422"/>
    </row>
    <row r="44764" spans="191:191" x14ac:dyDescent="0.2">
      <c r="GI44764" s="422"/>
    </row>
    <row r="44765" spans="191:191" x14ac:dyDescent="0.2">
      <c r="GI44765" s="422"/>
    </row>
    <row r="44766" spans="191:191" x14ac:dyDescent="0.2">
      <c r="GI44766" s="422"/>
    </row>
    <row r="44767" spans="191:191" x14ac:dyDescent="0.2">
      <c r="GI44767" s="422"/>
    </row>
    <row r="44768" spans="191:191" x14ac:dyDescent="0.2">
      <c r="GI44768" s="422"/>
    </row>
    <row r="44769" spans="191:191" x14ac:dyDescent="0.2">
      <c r="GI44769" s="422"/>
    </row>
    <row r="44770" spans="191:191" x14ac:dyDescent="0.2">
      <c r="GI44770" s="422"/>
    </row>
    <row r="44771" spans="191:191" x14ac:dyDescent="0.2">
      <c r="GI44771" s="422"/>
    </row>
    <row r="44772" spans="191:191" x14ac:dyDescent="0.2">
      <c r="GI44772" s="422"/>
    </row>
    <row r="44773" spans="191:191" x14ac:dyDescent="0.2">
      <c r="GI44773" s="422"/>
    </row>
    <row r="44774" spans="191:191" x14ac:dyDescent="0.2">
      <c r="GI44774" s="422"/>
    </row>
    <row r="44775" spans="191:191" x14ac:dyDescent="0.2">
      <c r="GI44775" s="422"/>
    </row>
    <row r="44776" spans="191:191" x14ac:dyDescent="0.2">
      <c r="GI44776" s="422"/>
    </row>
    <row r="44777" spans="191:191" x14ac:dyDescent="0.2">
      <c r="GI44777" s="422"/>
    </row>
    <row r="44778" spans="191:191" x14ac:dyDescent="0.2">
      <c r="GI44778" s="422"/>
    </row>
    <row r="44779" spans="191:191" x14ac:dyDescent="0.2">
      <c r="GI44779" s="422"/>
    </row>
    <row r="44780" spans="191:191" x14ac:dyDescent="0.2">
      <c r="GI44780" s="422"/>
    </row>
    <row r="44781" spans="191:191" x14ac:dyDescent="0.2">
      <c r="GI44781" s="422"/>
    </row>
    <row r="44782" spans="191:191" x14ac:dyDescent="0.2">
      <c r="GI44782" s="422"/>
    </row>
    <row r="44783" spans="191:191" x14ac:dyDescent="0.2">
      <c r="GI44783" s="422"/>
    </row>
    <row r="44784" spans="191:191" x14ac:dyDescent="0.2">
      <c r="GI44784" s="422"/>
    </row>
    <row r="44785" spans="191:191" x14ac:dyDescent="0.2">
      <c r="GI44785" s="422"/>
    </row>
    <row r="44786" spans="191:191" x14ac:dyDescent="0.2">
      <c r="GI44786" s="422"/>
    </row>
    <row r="44787" spans="191:191" x14ac:dyDescent="0.2">
      <c r="GI44787" s="422"/>
    </row>
    <row r="44788" spans="191:191" x14ac:dyDescent="0.2">
      <c r="GI44788" s="422"/>
    </row>
    <row r="44789" spans="191:191" x14ac:dyDescent="0.2">
      <c r="GI44789" s="422"/>
    </row>
    <row r="44790" spans="191:191" x14ac:dyDescent="0.2">
      <c r="GI44790" s="422"/>
    </row>
    <row r="44791" spans="191:191" x14ac:dyDescent="0.2">
      <c r="GI44791" s="422"/>
    </row>
    <row r="44792" spans="191:191" x14ac:dyDescent="0.2">
      <c r="GI44792" s="422"/>
    </row>
    <row r="44793" spans="191:191" x14ac:dyDescent="0.2">
      <c r="GI44793" s="422"/>
    </row>
    <row r="44794" spans="191:191" x14ac:dyDescent="0.2">
      <c r="GI44794" s="422"/>
    </row>
    <row r="44795" spans="191:191" x14ac:dyDescent="0.2">
      <c r="GI44795" s="422"/>
    </row>
    <row r="44796" spans="191:191" x14ac:dyDescent="0.2">
      <c r="GI44796" s="422"/>
    </row>
    <row r="44797" spans="191:191" x14ac:dyDescent="0.2">
      <c r="GI44797" s="422"/>
    </row>
    <row r="44798" spans="191:191" x14ac:dyDescent="0.2">
      <c r="GI44798" s="422"/>
    </row>
    <row r="44799" spans="191:191" x14ac:dyDescent="0.2">
      <c r="GI44799" s="422"/>
    </row>
    <row r="44800" spans="191:191" x14ac:dyDescent="0.2">
      <c r="GI44800" s="422"/>
    </row>
    <row r="44801" spans="191:191" x14ac:dyDescent="0.2">
      <c r="GI44801" s="422"/>
    </row>
    <row r="44802" spans="191:191" x14ac:dyDescent="0.2">
      <c r="GI44802" s="422"/>
    </row>
    <row r="44803" spans="191:191" x14ac:dyDescent="0.2">
      <c r="GI44803" s="422"/>
    </row>
    <row r="44804" spans="191:191" x14ac:dyDescent="0.2">
      <c r="GI44804" s="422"/>
    </row>
    <row r="44805" spans="191:191" x14ac:dyDescent="0.2">
      <c r="GI44805" s="422"/>
    </row>
    <row r="44806" spans="191:191" x14ac:dyDescent="0.2">
      <c r="GI44806" s="422"/>
    </row>
    <row r="44807" spans="191:191" x14ac:dyDescent="0.2">
      <c r="GI44807" s="422"/>
    </row>
    <row r="44808" spans="191:191" x14ac:dyDescent="0.2">
      <c r="GI44808" s="422"/>
    </row>
    <row r="44809" spans="191:191" x14ac:dyDescent="0.2">
      <c r="GI44809" s="422"/>
    </row>
    <row r="44810" spans="191:191" x14ac:dyDescent="0.2">
      <c r="GI44810" s="422"/>
    </row>
    <row r="44811" spans="191:191" x14ac:dyDescent="0.2">
      <c r="GI44811" s="422"/>
    </row>
    <row r="44812" spans="191:191" x14ac:dyDescent="0.2">
      <c r="GI44812" s="422"/>
    </row>
    <row r="44813" spans="191:191" x14ac:dyDescent="0.2">
      <c r="GI44813" s="422"/>
    </row>
    <row r="44814" spans="191:191" x14ac:dyDescent="0.2">
      <c r="GI44814" s="422"/>
    </row>
    <row r="44815" spans="191:191" x14ac:dyDescent="0.2">
      <c r="GI44815" s="422"/>
    </row>
    <row r="44816" spans="191:191" x14ac:dyDescent="0.2">
      <c r="GI44816" s="422"/>
    </row>
    <row r="44817" spans="191:191" x14ac:dyDescent="0.2">
      <c r="GI44817" s="422"/>
    </row>
    <row r="44818" spans="191:191" x14ac:dyDescent="0.2">
      <c r="GI44818" s="422"/>
    </row>
    <row r="44819" spans="191:191" x14ac:dyDescent="0.2">
      <c r="GI44819" s="422"/>
    </row>
    <row r="44820" spans="191:191" x14ac:dyDescent="0.2">
      <c r="GI44820" s="422"/>
    </row>
    <row r="44821" spans="191:191" x14ac:dyDescent="0.2">
      <c r="GI44821" s="422"/>
    </row>
    <row r="44822" spans="191:191" x14ac:dyDescent="0.2">
      <c r="GI44822" s="422"/>
    </row>
    <row r="44823" spans="191:191" x14ac:dyDescent="0.2">
      <c r="GI44823" s="422"/>
    </row>
    <row r="44824" spans="191:191" x14ac:dyDescent="0.2">
      <c r="GI44824" s="422"/>
    </row>
    <row r="44825" spans="191:191" x14ac:dyDescent="0.2">
      <c r="GI44825" s="422"/>
    </row>
    <row r="44826" spans="191:191" x14ac:dyDescent="0.2">
      <c r="GI44826" s="422"/>
    </row>
    <row r="44827" spans="191:191" x14ac:dyDescent="0.2">
      <c r="GI44827" s="422"/>
    </row>
    <row r="44828" spans="191:191" x14ac:dyDescent="0.2">
      <c r="GI44828" s="422"/>
    </row>
    <row r="44829" spans="191:191" x14ac:dyDescent="0.2">
      <c r="GI44829" s="422"/>
    </row>
    <row r="44830" spans="191:191" x14ac:dyDescent="0.2">
      <c r="GI44830" s="422"/>
    </row>
    <row r="44831" spans="191:191" x14ac:dyDescent="0.2">
      <c r="GI44831" s="422"/>
    </row>
    <row r="44832" spans="191:191" x14ac:dyDescent="0.2">
      <c r="GI44832" s="422"/>
    </row>
    <row r="44833" spans="191:191" x14ac:dyDescent="0.2">
      <c r="GI44833" s="422"/>
    </row>
    <row r="44834" spans="191:191" x14ac:dyDescent="0.2">
      <c r="GI44834" s="422"/>
    </row>
    <row r="44835" spans="191:191" x14ac:dyDescent="0.2">
      <c r="GI44835" s="422"/>
    </row>
    <row r="44836" spans="191:191" x14ac:dyDescent="0.2">
      <c r="GI44836" s="422"/>
    </row>
    <row r="44837" spans="191:191" x14ac:dyDescent="0.2">
      <c r="GI44837" s="422"/>
    </row>
    <row r="44838" spans="191:191" x14ac:dyDescent="0.2">
      <c r="GI44838" s="422"/>
    </row>
    <row r="44839" spans="191:191" x14ac:dyDescent="0.2">
      <c r="GI44839" s="422"/>
    </row>
    <row r="44840" spans="191:191" x14ac:dyDescent="0.2">
      <c r="GI44840" s="422"/>
    </row>
    <row r="44841" spans="191:191" x14ac:dyDescent="0.2">
      <c r="GI44841" s="422"/>
    </row>
    <row r="44842" spans="191:191" x14ac:dyDescent="0.2">
      <c r="GI44842" s="422"/>
    </row>
    <row r="44843" spans="191:191" x14ac:dyDescent="0.2">
      <c r="GI44843" s="422"/>
    </row>
    <row r="44844" spans="191:191" x14ac:dyDescent="0.2">
      <c r="GI44844" s="422"/>
    </row>
    <row r="44845" spans="191:191" x14ac:dyDescent="0.2">
      <c r="GI44845" s="422"/>
    </row>
    <row r="44846" spans="191:191" x14ac:dyDescent="0.2">
      <c r="GI44846" s="422"/>
    </row>
    <row r="44847" spans="191:191" x14ac:dyDescent="0.2">
      <c r="GI44847" s="422"/>
    </row>
    <row r="44848" spans="191:191" x14ac:dyDescent="0.2">
      <c r="GI44848" s="422"/>
    </row>
    <row r="44849" spans="191:191" x14ac:dyDescent="0.2">
      <c r="GI44849" s="422"/>
    </row>
    <row r="44850" spans="191:191" x14ac:dyDescent="0.2">
      <c r="GI44850" s="422"/>
    </row>
    <row r="44851" spans="191:191" x14ac:dyDescent="0.2">
      <c r="GI44851" s="422"/>
    </row>
    <row r="44852" spans="191:191" x14ac:dyDescent="0.2">
      <c r="GI44852" s="422"/>
    </row>
    <row r="44853" spans="191:191" x14ac:dyDescent="0.2">
      <c r="GI44853" s="422"/>
    </row>
    <row r="44854" spans="191:191" x14ac:dyDescent="0.2">
      <c r="GI44854" s="422"/>
    </row>
    <row r="44855" spans="191:191" x14ac:dyDescent="0.2">
      <c r="GI44855" s="422"/>
    </row>
    <row r="44856" spans="191:191" x14ac:dyDescent="0.2">
      <c r="GI44856" s="422"/>
    </row>
    <row r="44857" spans="191:191" x14ac:dyDescent="0.2">
      <c r="GI44857" s="422"/>
    </row>
    <row r="44858" spans="191:191" x14ac:dyDescent="0.2">
      <c r="GI44858" s="422"/>
    </row>
    <row r="44859" spans="191:191" x14ac:dyDescent="0.2">
      <c r="GI44859" s="422"/>
    </row>
    <row r="44860" spans="191:191" x14ac:dyDescent="0.2">
      <c r="GI44860" s="422"/>
    </row>
    <row r="44861" spans="191:191" x14ac:dyDescent="0.2">
      <c r="GI44861" s="422"/>
    </row>
    <row r="44862" spans="191:191" x14ac:dyDescent="0.2">
      <c r="GI44862" s="422"/>
    </row>
    <row r="44863" spans="191:191" x14ac:dyDescent="0.2">
      <c r="GI44863" s="422"/>
    </row>
    <row r="44864" spans="191:191" x14ac:dyDescent="0.2">
      <c r="GI44864" s="422"/>
    </row>
    <row r="44865" spans="191:191" x14ac:dyDescent="0.2">
      <c r="GI44865" s="422"/>
    </row>
    <row r="44866" spans="191:191" x14ac:dyDescent="0.2">
      <c r="GI44866" s="422"/>
    </row>
    <row r="44867" spans="191:191" x14ac:dyDescent="0.2">
      <c r="GI44867" s="422"/>
    </row>
    <row r="44868" spans="191:191" x14ac:dyDescent="0.2">
      <c r="GI44868" s="422"/>
    </row>
    <row r="44869" spans="191:191" x14ac:dyDescent="0.2">
      <c r="GI44869" s="422"/>
    </row>
    <row r="44870" spans="191:191" x14ac:dyDescent="0.2">
      <c r="GI44870" s="422"/>
    </row>
    <row r="44871" spans="191:191" x14ac:dyDescent="0.2">
      <c r="GI44871" s="422"/>
    </row>
    <row r="44872" spans="191:191" x14ac:dyDescent="0.2">
      <c r="GI44872" s="422"/>
    </row>
    <row r="44873" spans="191:191" x14ac:dyDescent="0.2">
      <c r="GI44873" s="422"/>
    </row>
    <row r="44874" spans="191:191" x14ac:dyDescent="0.2">
      <c r="GI44874" s="422"/>
    </row>
    <row r="44875" spans="191:191" x14ac:dyDescent="0.2">
      <c r="GI44875" s="422"/>
    </row>
    <row r="44876" spans="191:191" x14ac:dyDescent="0.2">
      <c r="GI44876" s="422"/>
    </row>
    <row r="44877" spans="191:191" x14ac:dyDescent="0.2">
      <c r="GI44877" s="422"/>
    </row>
    <row r="44878" spans="191:191" x14ac:dyDescent="0.2">
      <c r="GI44878" s="422"/>
    </row>
    <row r="44879" spans="191:191" x14ac:dyDescent="0.2">
      <c r="GI44879" s="422"/>
    </row>
    <row r="44880" spans="191:191" x14ac:dyDescent="0.2">
      <c r="GI44880" s="422"/>
    </row>
    <row r="44881" spans="191:191" x14ac:dyDescent="0.2">
      <c r="GI44881" s="422"/>
    </row>
    <row r="44882" spans="191:191" x14ac:dyDescent="0.2">
      <c r="GI44882" s="422"/>
    </row>
    <row r="44883" spans="191:191" x14ac:dyDescent="0.2">
      <c r="GI44883" s="422"/>
    </row>
    <row r="44884" spans="191:191" x14ac:dyDescent="0.2">
      <c r="GI44884" s="422"/>
    </row>
    <row r="44885" spans="191:191" x14ac:dyDescent="0.2">
      <c r="GI44885" s="422"/>
    </row>
    <row r="44886" spans="191:191" x14ac:dyDescent="0.2">
      <c r="GI44886" s="422"/>
    </row>
    <row r="44887" spans="191:191" x14ac:dyDescent="0.2">
      <c r="GI44887" s="422"/>
    </row>
    <row r="44888" spans="191:191" x14ac:dyDescent="0.2">
      <c r="GI44888" s="422"/>
    </row>
    <row r="44889" spans="191:191" x14ac:dyDescent="0.2">
      <c r="GI44889" s="422"/>
    </row>
    <row r="44890" spans="191:191" x14ac:dyDescent="0.2">
      <c r="GI44890" s="422"/>
    </row>
    <row r="44891" spans="191:191" x14ac:dyDescent="0.2">
      <c r="GI44891" s="422"/>
    </row>
    <row r="44892" spans="191:191" x14ac:dyDescent="0.2">
      <c r="GI44892" s="422"/>
    </row>
    <row r="44893" spans="191:191" x14ac:dyDescent="0.2">
      <c r="GI44893" s="422"/>
    </row>
    <row r="44894" spans="191:191" x14ac:dyDescent="0.2">
      <c r="GI44894" s="422"/>
    </row>
    <row r="44895" spans="191:191" x14ac:dyDescent="0.2">
      <c r="GI44895" s="422"/>
    </row>
    <row r="44896" spans="191:191" x14ac:dyDescent="0.2">
      <c r="GI44896" s="422"/>
    </row>
    <row r="44897" spans="191:191" x14ac:dyDescent="0.2">
      <c r="GI44897" s="422"/>
    </row>
    <row r="44898" spans="191:191" x14ac:dyDescent="0.2">
      <c r="GI44898" s="422"/>
    </row>
    <row r="44899" spans="191:191" x14ac:dyDescent="0.2">
      <c r="GI44899" s="422"/>
    </row>
    <row r="44900" spans="191:191" x14ac:dyDescent="0.2">
      <c r="GI44900" s="422"/>
    </row>
    <row r="44901" spans="191:191" x14ac:dyDescent="0.2">
      <c r="GI44901" s="422"/>
    </row>
    <row r="44902" spans="191:191" x14ac:dyDescent="0.2">
      <c r="GI44902" s="422"/>
    </row>
    <row r="44903" spans="191:191" x14ac:dyDescent="0.2">
      <c r="GI44903" s="422"/>
    </row>
    <row r="44904" spans="191:191" x14ac:dyDescent="0.2">
      <c r="GI44904" s="422"/>
    </row>
    <row r="44905" spans="191:191" x14ac:dyDescent="0.2">
      <c r="GI44905" s="422"/>
    </row>
    <row r="44906" spans="191:191" x14ac:dyDescent="0.2">
      <c r="GI44906" s="422"/>
    </row>
    <row r="44907" spans="191:191" x14ac:dyDescent="0.2">
      <c r="GI44907" s="422"/>
    </row>
    <row r="44908" spans="191:191" x14ac:dyDescent="0.2">
      <c r="GI44908" s="422"/>
    </row>
    <row r="44909" spans="191:191" x14ac:dyDescent="0.2">
      <c r="GI44909" s="422"/>
    </row>
    <row r="44910" spans="191:191" x14ac:dyDescent="0.2">
      <c r="GI44910" s="422"/>
    </row>
    <row r="44911" spans="191:191" x14ac:dyDescent="0.2">
      <c r="GI44911" s="422"/>
    </row>
    <row r="44912" spans="191:191" x14ac:dyDescent="0.2">
      <c r="GI44912" s="422"/>
    </row>
    <row r="44913" spans="191:191" x14ac:dyDescent="0.2">
      <c r="GI44913" s="422"/>
    </row>
    <row r="44914" spans="191:191" x14ac:dyDescent="0.2">
      <c r="GI44914" s="422"/>
    </row>
    <row r="44915" spans="191:191" x14ac:dyDescent="0.2">
      <c r="GI44915" s="422"/>
    </row>
    <row r="44916" spans="191:191" x14ac:dyDescent="0.2">
      <c r="GI44916" s="422"/>
    </row>
    <row r="44917" spans="191:191" x14ac:dyDescent="0.2">
      <c r="GI44917" s="422"/>
    </row>
    <row r="44918" spans="191:191" x14ac:dyDescent="0.2">
      <c r="GI44918" s="422"/>
    </row>
    <row r="44919" spans="191:191" x14ac:dyDescent="0.2">
      <c r="GI44919" s="422"/>
    </row>
    <row r="44920" spans="191:191" x14ac:dyDescent="0.2">
      <c r="GI44920" s="422"/>
    </row>
    <row r="44921" spans="191:191" x14ac:dyDescent="0.2">
      <c r="GI44921" s="422"/>
    </row>
    <row r="44922" spans="191:191" x14ac:dyDescent="0.2">
      <c r="GI44922" s="422"/>
    </row>
    <row r="44923" spans="191:191" x14ac:dyDescent="0.2">
      <c r="GI44923" s="422"/>
    </row>
    <row r="44924" spans="191:191" x14ac:dyDescent="0.2">
      <c r="GI44924" s="422"/>
    </row>
    <row r="44925" spans="191:191" x14ac:dyDescent="0.2">
      <c r="GI44925" s="422"/>
    </row>
    <row r="44926" spans="191:191" x14ac:dyDescent="0.2">
      <c r="GI44926" s="422"/>
    </row>
    <row r="44927" spans="191:191" x14ac:dyDescent="0.2">
      <c r="GI44927" s="422"/>
    </row>
    <row r="44928" spans="191:191" x14ac:dyDescent="0.2">
      <c r="GI44928" s="422"/>
    </row>
    <row r="44929" spans="191:191" x14ac:dyDescent="0.2">
      <c r="GI44929" s="422"/>
    </row>
    <row r="44930" spans="191:191" x14ac:dyDescent="0.2">
      <c r="GI44930" s="422"/>
    </row>
    <row r="44931" spans="191:191" x14ac:dyDescent="0.2">
      <c r="GI44931" s="422"/>
    </row>
    <row r="44932" spans="191:191" x14ac:dyDescent="0.2">
      <c r="GI44932" s="422"/>
    </row>
    <row r="44933" spans="191:191" x14ac:dyDescent="0.2">
      <c r="GI44933" s="422"/>
    </row>
    <row r="44934" spans="191:191" x14ac:dyDescent="0.2">
      <c r="GI44934" s="422"/>
    </row>
    <row r="44935" spans="191:191" x14ac:dyDescent="0.2">
      <c r="GI44935" s="422"/>
    </row>
    <row r="44936" spans="191:191" x14ac:dyDescent="0.2">
      <c r="GI44936" s="422"/>
    </row>
    <row r="44937" spans="191:191" x14ac:dyDescent="0.2">
      <c r="GI44937" s="422"/>
    </row>
    <row r="44938" spans="191:191" x14ac:dyDescent="0.2">
      <c r="GI44938" s="422"/>
    </row>
    <row r="44939" spans="191:191" x14ac:dyDescent="0.2">
      <c r="GI44939" s="422"/>
    </row>
    <row r="44940" spans="191:191" x14ac:dyDescent="0.2">
      <c r="GI44940" s="422"/>
    </row>
    <row r="44941" spans="191:191" x14ac:dyDescent="0.2">
      <c r="GI44941" s="422"/>
    </row>
    <row r="44942" spans="191:191" x14ac:dyDescent="0.2">
      <c r="GI44942" s="422"/>
    </row>
    <row r="44943" spans="191:191" x14ac:dyDescent="0.2">
      <c r="GI44943" s="422"/>
    </row>
    <row r="44944" spans="191:191" x14ac:dyDescent="0.2">
      <c r="GI44944" s="422"/>
    </row>
    <row r="44945" spans="191:191" x14ac:dyDescent="0.2">
      <c r="GI44945" s="422"/>
    </row>
    <row r="44946" spans="191:191" x14ac:dyDescent="0.2">
      <c r="GI44946" s="422"/>
    </row>
    <row r="44947" spans="191:191" x14ac:dyDescent="0.2">
      <c r="GI44947" s="422"/>
    </row>
    <row r="44948" spans="191:191" x14ac:dyDescent="0.2">
      <c r="GI44948" s="422"/>
    </row>
    <row r="44949" spans="191:191" x14ac:dyDescent="0.2">
      <c r="GI44949" s="422"/>
    </row>
    <row r="44950" spans="191:191" x14ac:dyDescent="0.2">
      <c r="GI44950" s="422"/>
    </row>
    <row r="44951" spans="191:191" x14ac:dyDescent="0.2">
      <c r="GI44951" s="422"/>
    </row>
    <row r="44952" spans="191:191" x14ac:dyDescent="0.2">
      <c r="GI44952" s="422"/>
    </row>
    <row r="44953" spans="191:191" x14ac:dyDescent="0.2">
      <c r="GI44953" s="422"/>
    </row>
    <row r="44954" spans="191:191" x14ac:dyDescent="0.2">
      <c r="GI44954" s="422"/>
    </row>
    <row r="44955" spans="191:191" x14ac:dyDescent="0.2">
      <c r="GI44955" s="422"/>
    </row>
    <row r="44956" spans="191:191" x14ac:dyDescent="0.2">
      <c r="GI44956" s="422"/>
    </row>
    <row r="44957" spans="191:191" x14ac:dyDescent="0.2">
      <c r="GI44957" s="422"/>
    </row>
    <row r="44958" spans="191:191" x14ac:dyDescent="0.2">
      <c r="GI44958" s="422"/>
    </row>
    <row r="44959" spans="191:191" x14ac:dyDescent="0.2">
      <c r="GI44959" s="422"/>
    </row>
    <row r="44960" spans="191:191" x14ac:dyDescent="0.2">
      <c r="GI44960" s="422"/>
    </row>
    <row r="44961" spans="191:191" x14ac:dyDescent="0.2">
      <c r="GI44961" s="422"/>
    </row>
    <row r="44962" spans="191:191" x14ac:dyDescent="0.2">
      <c r="GI44962" s="422"/>
    </row>
    <row r="44963" spans="191:191" x14ac:dyDescent="0.2">
      <c r="GI44963" s="422"/>
    </row>
    <row r="44964" spans="191:191" x14ac:dyDescent="0.2">
      <c r="GI44964" s="422"/>
    </row>
    <row r="44965" spans="191:191" x14ac:dyDescent="0.2">
      <c r="GI44965" s="422"/>
    </row>
    <row r="44966" spans="191:191" x14ac:dyDescent="0.2">
      <c r="GI44966" s="422"/>
    </row>
    <row r="44967" spans="191:191" x14ac:dyDescent="0.2">
      <c r="GI44967" s="422"/>
    </row>
    <row r="44968" spans="191:191" x14ac:dyDescent="0.2">
      <c r="GI44968" s="422"/>
    </row>
    <row r="44969" spans="191:191" x14ac:dyDescent="0.2">
      <c r="GI44969" s="422"/>
    </row>
    <row r="44970" spans="191:191" x14ac:dyDescent="0.2">
      <c r="GI44970" s="422"/>
    </row>
    <row r="44971" spans="191:191" x14ac:dyDescent="0.2">
      <c r="GI44971" s="422"/>
    </row>
    <row r="44972" spans="191:191" x14ac:dyDescent="0.2">
      <c r="GI44972" s="422"/>
    </row>
    <row r="44973" spans="191:191" x14ac:dyDescent="0.2">
      <c r="GI44973" s="422"/>
    </row>
    <row r="44974" spans="191:191" x14ac:dyDescent="0.2">
      <c r="GI44974" s="422"/>
    </row>
    <row r="44975" spans="191:191" x14ac:dyDescent="0.2">
      <c r="GI44975" s="422"/>
    </row>
    <row r="44976" spans="191:191" x14ac:dyDescent="0.2">
      <c r="GI44976" s="422"/>
    </row>
    <row r="44977" spans="191:191" x14ac:dyDescent="0.2">
      <c r="GI44977" s="422"/>
    </row>
    <row r="44978" spans="191:191" x14ac:dyDescent="0.2">
      <c r="GI44978" s="422"/>
    </row>
    <row r="44979" spans="191:191" x14ac:dyDescent="0.2">
      <c r="GI44979" s="422"/>
    </row>
    <row r="44980" spans="191:191" x14ac:dyDescent="0.2">
      <c r="GI44980" s="422"/>
    </row>
    <row r="44981" spans="191:191" x14ac:dyDescent="0.2">
      <c r="GI44981" s="422"/>
    </row>
    <row r="44982" spans="191:191" x14ac:dyDescent="0.2">
      <c r="GI44982" s="422"/>
    </row>
    <row r="44983" spans="191:191" x14ac:dyDescent="0.2">
      <c r="GI44983" s="422"/>
    </row>
    <row r="44984" spans="191:191" x14ac:dyDescent="0.2">
      <c r="GI44984" s="422"/>
    </row>
    <row r="44985" spans="191:191" x14ac:dyDescent="0.2">
      <c r="GI44985" s="422"/>
    </row>
    <row r="44986" spans="191:191" x14ac:dyDescent="0.2">
      <c r="GI44986" s="422"/>
    </row>
    <row r="44987" spans="191:191" x14ac:dyDescent="0.2">
      <c r="GI44987" s="422"/>
    </row>
    <row r="44988" spans="191:191" x14ac:dyDescent="0.2">
      <c r="GI44988" s="422"/>
    </row>
    <row r="44989" spans="191:191" x14ac:dyDescent="0.2">
      <c r="GI44989" s="422"/>
    </row>
    <row r="44990" spans="191:191" x14ac:dyDescent="0.2">
      <c r="GI44990" s="422"/>
    </row>
    <row r="44991" spans="191:191" x14ac:dyDescent="0.2">
      <c r="GI44991" s="422"/>
    </row>
    <row r="44992" spans="191:191" x14ac:dyDescent="0.2">
      <c r="GI44992" s="422"/>
    </row>
    <row r="44993" spans="191:191" x14ac:dyDescent="0.2">
      <c r="GI44993" s="422"/>
    </row>
    <row r="44994" spans="191:191" x14ac:dyDescent="0.2">
      <c r="GI44994" s="422"/>
    </row>
    <row r="44995" spans="191:191" x14ac:dyDescent="0.2">
      <c r="GI44995" s="422"/>
    </row>
    <row r="44996" spans="191:191" x14ac:dyDescent="0.2">
      <c r="GI44996" s="422"/>
    </row>
    <row r="44997" spans="191:191" x14ac:dyDescent="0.2">
      <c r="GI44997" s="422"/>
    </row>
    <row r="44998" spans="191:191" x14ac:dyDescent="0.2">
      <c r="GI44998" s="422"/>
    </row>
    <row r="44999" spans="191:191" x14ac:dyDescent="0.2">
      <c r="GI44999" s="422"/>
    </row>
    <row r="45000" spans="191:191" x14ac:dyDescent="0.2">
      <c r="GI45000" s="422"/>
    </row>
    <row r="45001" spans="191:191" x14ac:dyDescent="0.2">
      <c r="GI45001" s="422"/>
    </row>
    <row r="45002" spans="191:191" x14ac:dyDescent="0.2">
      <c r="GI45002" s="422"/>
    </row>
    <row r="45003" spans="191:191" x14ac:dyDescent="0.2">
      <c r="GI45003" s="422"/>
    </row>
    <row r="45004" spans="191:191" x14ac:dyDescent="0.2">
      <c r="GI45004" s="422"/>
    </row>
    <row r="45005" spans="191:191" x14ac:dyDescent="0.2">
      <c r="GI45005" s="422"/>
    </row>
    <row r="45006" spans="191:191" x14ac:dyDescent="0.2">
      <c r="GI45006" s="422"/>
    </row>
    <row r="45007" spans="191:191" x14ac:dyDescent="0.2">
      <c r="GI45007" s="422"/>
    </row>
    <row r="45008" spans="191:191" x14ac:dyDescent="0.2">
      <c r="GI45008" s="422"/>
    </row>
    <row r="45009" spans="191:191" x14ac:dyDescent="0.2">
      <c r="GI45009" s="422"/>
    </row>
    <row r="45010" spans="191:191" x14ac:dyDescent="0.2">
      <c r="GI45010" s="422"/>
    </row>
    <row r="45011" spans="191:191" x14ac:dyDescent="0.2">
      <c r="GI45011" s="422"/>
    </row>
    <row r="45012" spans="191:191" x14ac:dyDescent="0.2">
      <c r="GI45012" s="422"/>
    </row>
    <row r="45013" spans="191:191" x14ac:dyDescent="0.2">
      <c r="GI45013" s="422"/>
    </row>
    <row r="45014" spans="191:191" x14ac:dyDescent="0.2">
      <c r="GI45014" s="422"/>
    </row>
    <row r="45015" spans="191:191" x14ac:dyDescent="0.2">
      <c r="GI45015" s="422"/>
    </row>
    <row r="45016" spans="191:191" x14ac:dyDescent="0.2">
      <c r="GI45016" s="422"/>
    </row>
    <row r="45017" spans="191:191" x14ac:dyDescent="0.2">
      <c r="GI45017" s="422"/>
    </row>
    <row r="45018" spans="191:191" x14ac:dyDescent="0.2">
      <c r="GI45018" s="422"/>
    </row>
    <row r="45019" spans="191:191" x14ac:dyDescent="0.2">
      <c r="GI45019" s="422"/>
    </row>
    <row r="45020" spans="191:191" x14ac:dyDescent="0.2">
      <c r="GI45020" s="422"/>
    </row>
    <row r="45021" spans="191:191" x14ac:dyDescent="0.2">
      <c r="GI45021" s="422"/>
    </row>
    <row r="45022" spans="191:191" x14ac:dyDescent="0.2">
      <c r="GI45022" s="422"/>
    </row>
    <row r="45023" spans="191:191" x14ac:dyDescent="0.2">
      <c r="GI45023" s="422"/>
    </row>
    <row r="45024" spans="191:191" x14ac:dyDescent="0.2">
      <c r="GI45024" s="422"/>
    </row>
    <row r="45025" spans="191:191" x14ac:dyDescent="0.2">
      <c r="GI45025" s="422"/>
    </row>
    <row r="45026" spans="191:191" x14ac:dyDescent="0.2">
      <c r="GI45026" s="422"/>
    </row>
    <row r="45027" spans="191:191" x14ac:dyDescent="0.2">
      <c r="GI45027" s="422"/>
    </row>
    <row r="45028" spans="191:191" x14ac:dyDescent="0.2">
      <c r="GI45028" s="422"/>
    </row>
    <row r="45029" spans="191:191" x14ac:dyDescent="0.2">
      <c r="GI45029" s="422"/>
    </row>
    <row r="45030" spans="191:191" x14ac:dyDescent="0.2">
      <c r="GI45030" s="422"/>
    </row>
    <row r="45031" spans="191:191" x14ac:dyDescent="0.2">
      <c r="GI45031" s="422"/>
    </row>
    <row r="45032" spans="191:191" x14ac:dyDescent="0.2">
      <c r="GI45032" s="422"/>
    </row>
    <row r="45033" spans="191:191" x14ac:dyDescent="0.2">
      <c r="GI45033" s="422"/>
    </row>
    <row r="45034" spans="191:191" x14ac:dyDescent="0.2">
      <c r="GI45034" s="422"/>
    </row>
    <row r="45035" spans="191:191" x14ac:dyDescent="0.2">
      <c r="GI45035" s="422"/>
    </row>
    <row r="45036" spans="191:191" x14ac:dyDescent="0.2">
      <c r="GI45036" s="422"/>
    </row>
    <row r="45037" spans="191:191" x14ac:dyDescent="0.2">
      <c r="GI45037" s="422"/>
    </row>
    <row r="45038" spans="191:191" x14ac:dyDescent="0.2">
      <c r="GI45038" s="422"/>
    </row>
    <row r="45039" spans="191:191" x14ac:dyDescent="0.2">
      <c r="GI45039" s="422"/>
    </row>
    <row r="45040" spans="191:191" x14ac:dyDescent="0.2">
      <c r="GI45040" s="422"/>
    </row>
    <row r="45041" spans="191:191" x14ac:dyDescent="0.2">
      <c r="GI45041" s="422"/>
    </row>
    <row r="45042" spans="191:191" x14ac:dyDescent="0.2">
      <c r="GI45042" s="422"/>
    </row>
    <row r="45043" spans="191:191" x14ac:dyDescent="0.2">
      <c r="GI45043" s="422"/>
    </row>
    <row r="45044" spans="191:191" x14ac:dyDescent="0.2">
      <c r="GI45044" s="422"/>
    </row>
    <row r="45045" spans="191:191" x14ac:dyDescent="0.2">
      <c r="GI45045" s="422"/>
    </row>
    <row r="45046" spans="191:191" x14ac:dyDescent="0.2">
      <c r="GI45046" s="422"/>
    </row>
    <row r="45047" spans="191:191" x14ac:dyDescent="0.2">
      <c r="GI45047" s="422"/>
    </row>
    <row r="45048" spans="191:191" x14ac:dyDescent="0.2">
      <c r="GI45048" s="422"/>
    </row>
    <row r="45049" spans="191:191" x14ac:dyDescent="0.2">
      <c r="GI45049" s="422"/>
    </row>
    <row r="45050" spans="191:191" x14ac:dyDescent="0.2">
      <c r="GI45050" s="422"/>
    </row>
    <row r="45051" spans="191:191" x14ac:dyDescent="0.2">
      <c r="GI45051" s="422"/>
    </row>
    <row r="45052" spans="191:191" x14ac:dyDescent="0.2">
      <c r="GI45052" s="422"/>
    </row>
    <row r="45053" spans="191:191" x14ac:dyDescent="0.2">
      <c r="GI45053" s="422"/>
    </row>
    <row r="45054" spans="191:191" x14ac:dyDescent="0.2">
      <c r="GI45054" s="422"/>
    </row>
    <row r="45055" spans="191:191" x14ac:dyDescent="0.2">
      <c r="GI45055" s="422"/>
    </row>
    <row r="45056" spans="191:191" x14ac:dyDescent="0.2">
      <c r="GI45056" s="422"/>
    </row>
    <row r="45057" spans="191:191" x14ac:dyDescent="0.2">
      <c r="GI45057" s="422"/>
    </row>
    <row r="45058" spans="191:191" x14ac:dyDescent="0.2">
      <c r="GI45058" s="422"/>
    </row>
    <row r="45059" spans="191:191" x14ac:dyDescent="0.2">
      <c r="GI45059" s="422"/>
    </row>
    <row r="45060" spans="191:191" x14ac:dyDescent="0.2">
      <c r="GI45060" s="422"/>
    </row>
    <row r="45061" spans="191:191" x14ac:dyDescent="0.2">
      <c r="GI45061" s="422"/>
    </row>
    <row r="45062" spans="191:191" x14ac:dyDescent="0.2">
      <c r="GI45062" s="422"/>
    </row>
    <row r="45063" spans="191:191" x14ac:dyDescent="0.2">
      <c r="GI45063" s="422"/>
    </row>
    <row r="45064" spans="191:191" x14ac:dyDescent="0.2">
      <c r="GI45064" s="422"/>
    </row>
    <row r="45065" spans="191:191" x14ac:dyDescent="0.2">
      <c r="GI45065" s="422"/>
    </row>
    <row r="45066" spans="191:191" x14ac:dyDescent="0.2">
      <c r="GI45066" s="422"/>
    </row>
    <row r="45067" spans="191:191" x14ac:dyDescent="0.2">
      <c r="GI45067" s="422"/>
    </row>
    <row r="45068" spans="191:191" x14ac:dyDescent="0.2">
      <c r="GI45068" s="422"/>
    </row>
    <row r="45069" spans="191:191" x14ac:dyDescent="0.2">
      <c r="GI45069" s="422"/>
    </row>
    <row r="45070" spans="191:191" x14ac:dyDescent="0.2">
      <c r="GI45070" s="422"/>
    </row>
    <row r="45071" spans="191:191" x14ac:dyDescent="0.2">
      <c r="GI45071" s="422"/>
    </row>
    <row r="45072" spans="191:191" x14ac:dyDescent="0.2">
      <c r="GI45072" s="422"/>
    </row>
    <row r="45073" spans="191:191" x14ac:dyDescent="0.2">
      <c r="GI45073" s="422"/>
    </row>
    <row r="45074" spans="191:191" x14ac:dyDescent="0.2">
      <c r="GI45074" s="422"/>
    </row>
    <row r="45075" spans="191:191" x14ac:dyDescent="0.2">
      <c r="GI45075" s="422"/>
    </row>
    <row r="45076" spans="191:191" x14ac:dyDescent="0.2">
      <c r="GI45076" s="422"/>
    </row>
    <row r="45077" spans="191:191" x14ac:dyDescent="0.2">
      <c r="GI45077" s="422"/>
    </row>
    <row r="45078" spans="191:191" x14ac:dyDescent="0.2">
      <c r="GI45078" s="422"/>
    </row>
    <row r="45079" spans="191:191" x14ac:dyDescent="0.2">
      <c r="GI45079" s="422"/>
    </row>
    <row r="45080" spans="191:191" x14ac:dyDescent="0.2">
      <c r="GI45080" s="422"/>
    </row>
    <row r="45081" spans="191:191" x14ac:dyDescent="0.2">
      <c r="GI45081" s="422"/>
    </row>
    <row r="45082" spans="191:191" x14ac:dyDescent="0.2">
      <c r="GI45082" s="422"/>
    </row>
    <row r="45083" spans="191:191" x14ac:dyDescent="0.2">
      <c r="GI45083" s="422"/>
    </row>
    <row r="45084" spans="191:191" x14ac:dyDescent="0.2">
      <c r="GI45084" s="422"/>
    </row>
    <row r="45085" spans="191:191" x14ac:dyDescent="0.2">
      <c r="GI45085" s="422"/>
    </row>
    <row r="45086" spans="191:191" x14ac:dyDescent="0.2">
      <c r="GI45086" s="422"/>
    </row>
    <row r="45087" spans="191:191" x14ac:dyDescent="0.2">
      <c r="GI45087" s="422"/>
    </row>
    <row r="45088" spans="191:191" x14ac:dyDescent="0.2">
      <c r="GI45088" s="422"/>
    </row>
    <row r="45089" spans="191:191" x14ac:dyDescent="0.2">
      <c r="GI45089" s="422"/>
    </row>
    <row r="45090" spans="191:191" x14ac:dyDescent="0.2">
      <c r="GI45090" s="422"/>
    </row>
    <row r="45091" spans="191:191" x14ac:dyDescent="0.2">
      <c r="GI45091" s="422"/>
    </row>
    <row r="45092" spans="191:191" x14ac:dyDescent="0.2">
      <c r="GI45092" s="422"/>
    </row>
    <row r="45093" spans="191:191" x14ac:dyDescent="0.2">
      <c r="GI45093" s="422"/>
    </row>
    <row r="45094" spans="191:191" x14ac:dyDescent="0.2">
      <c r="GI45094" s="422"/>
    </row>
    <row r="45095" spans="191:191" x14ac:dyDescent="0.2">
      <c r="GI45095" s="422"/>
    </row>
    <row r="45096" spans="191:191" x14ac:dyDescent="0.2">
      <c r="GI45096" s="422"/>
    </row>
    <row r="45097" spans="191:191" x14ac:dyDescent="0.2">
      <c r="GI45097" s="422"/>
    </row>
    <row r="45098" spans="191:191" x14ac:dyDescent="0.2">
      <c r="GI45098" s="422"/>
    </row>
    <row r="45099" spans="191:191" x14ac:dyDescent="0.2">
      <c r="GI45099" s="422"/>
    </row>
    <row r="45100" spans="191:191" x14ac:dyDescent="0.2">
      <c r="GI45100" s="422"/>
    </row>
    <row r="45101" spans="191:191" x14ac:dyDescent="0.2">
      <c r="GI45101" s="422"/>
    </row>
    <row r="45102" spans="191:191" x14ac:dyDescent="0.2">
      <c r="GI45102" s="422"/>
    </row>
    <row r="45103" spans="191:191" x14ac:dyDescent="0.2">
      <c r="GI45103" s="422"/>
    </row>
    <row r="45104" spans="191:191" x14ac:dyDescent="0.2">
      <c r="GI45104" s="422"/>
    </row>
    <row r="45105" spans="191:191" x14ac:dyDescent="0.2">
      <c r="GI45105" s="422"/>
    </row>
    <row r="45106" spans="191:191" x14ac:dyDescent="0.2">
      <c r="GI45106" s="422"/>
    </row>
    <row r="45107" spans="191:191" x14ac:dyDescent="0.2">
      <c r="GI45107" s="422"/>
    </row>
    <row r="45108" spans="191:191" x14ac:dyDescent="0.2">
      <c r="GI45108" s="422"/>
    </row>
    <row r="45109" spans="191:191" x14ac:dyDescent="0.2">
      <c r="GI45109" s="422"/>
    </row>
    <row r="45110" spans="191:191" x14ac:dyDescent="0.2">
      <c r="GI45110" s="422"/>
    </row>
    <row r="45111" spans="191:191" x14ac:dyDescent="0.2">
      <c r="GI45111" s="422"/>
    </row>
    <row r="45112" spans="191:191" x14ac:dyDescent="0.2">
      <c r="GI45112" s="422"/>
    </row>
    <row r="45113" spans="191:191" x14ac:dyDescent="0.2">
      <c r="GI45113" s="422"/>
    </row>
    <row r="45114" spans="191:191" x14ac:dyDescent="0.2">
      <c r="GI45114" s="422"/>
    </row>
    <row r="45115" spans="191:191" x14ac:dyDescent="0.2">
      <c r="GI45115" s="422"/>
    </row>
    <row r="45116" spans="191:191" x14ac:dyDescent="0.2">
      <c r="GI45116" s="422"/>
    </row>
    <row r="45117" spans="191:191" x14ac:dyDescent="0.2">
      <c r="GI45117" s="422"/>
    </row>
    <row r="45118" spans="191:191" x14ac:dyDescent="0.2">
      <c r="GI45118" s="422"/>
    </row>
    <row r="45119" spans="191:191" x14ac:dyDescent="0.2">
      <c r="GI45119" s="422"/>
    </row>
    <row r="45120" spans="191:191" x14ac:dyDescent="0.2">
      <c r="GI45120" s="422"/>
    </row>
    <row r="45121" spans="191:191" x14ac:dyDescent="0.2">
      <c r="GI45121" s="422"/>
    </row>
    <row r="45122" spans="191:191" x14ac:dyDescent="0.2">
      <c r="GI45122" s="422"/>
    </row>
    <row r="45123" spans="191:191" x14ac:dyDescent="0.2">
      <c r="GI45123" s="422"/>
    </row>
    <row r="45124" spans="191:191" x14ac:dyDescent="0.2">
      <c r="GI45124" s="422"/>
    </row>
    <row r="45125" spans="191:191" x14ac:dyDescent="0.2">
      <c r="GI45125" s="422"/>
    </row>
    <row r="45126" spans="191:191" x14ac:dyDescent="0.2">
      <c r="GI45126" s="422"/>
    </row>
    <row r="45127" spans="191:191" x14ac:dyDescent="0.2">
      <c r="GI45127" s="422"/>
    </row>
    <row r="45128" spans="191:191" x14ac:dyDescent="0.2">
      <c r="GI45128" s="422"/>
    </row>
    <row r="45129" spans="191:191" x14ac:dyDescent="0.2">
      <c r="GI45129" s="422"/>
    </row>
    <row r="45130" spans="191:191" x14ac:dyDescent="0.2">
      <c r="GI45130" s="422"/>
    </row>
    <row r="45131" spans="191:191" x14ac:dyDescent="0.2">
      <c r="GI45131" s="422"/>
    </row>
    <row r="45132" spans="191:191" x14ac:dyDescent="0.2">
      <c r="GI45132" s="422"/>
    </row>
    <row r="45133" spans="191:191" x14ac:dyDescent="0.2">
      <c r="GI45133" s="422"/>
    </row>
    <row r="45134" spans="191:191" x14ac:dyDescent="0.2">
      <c r="GI45134" s="422"/>
    </row>
    <row r="45135" spans="191:191" x14ac:dyDescent="0.2">
      <c r="GI45135" s="422"/>
    </row>
    <row r="45136" spans="191:191" x14ac:dyDescent="0.2">
      <c r="GI45136" s="422"/>
    </row>
    <row r="45137" spans="191:191" x14ac:dyDescent="0.2">
      <c r="GI45137" s="422"/>
    </row>
    <row r="45138" spans="191:191" x14ac:dyDescent="0.2">
      <c r="GI45138" s="422"/>
    </row>
    <row r="45139" spans="191:191" x14ac:dyDescent="0.2">
      <c r="GI45139" s="422"/>
    </row>
    <row r="45140" spans="191:191" x14ac:dyDescent="0.2">
      <c r="GI45140" s="422"/>
    </row>
    <row r="45141" spans="191:191" x14ac:dyDescent="0.2">
      <c r="GI45141" s="422"/>
    </row>
    <row r="45142" spans="191:191" x14ac:dyDescent="0.2">
      <c r="GI45142" s="422"/>
    </row>
    <row r="45143" spans="191:191" x14ac:dyDescent="0.2">
      <c r="GI45143" s="422"/>
    </row>
    <row r="45144" spans="191:191" x14ac:dyDescent="0.2">
      <c r="GI45144" s="422"/>
    </row>
    <row r="45145" spans="191:191" x14ac:dyDescent="0.2">
      <c r="GI45145" s="422"/>
    </row>
    <row r="45146" spans="191:191" x14ac:dyDescent="0.2">
      <c r="GI45146" s="422"/>
    </row>
    <row r="45147" spans="191:191" x14ac:dyDescent="0.2">
      <c r="GI45147" s="422"/>
    </row>
    <row r="45148" spans="191:191" x14ac:dyDescent="0.2">
      <c r="GI45148" s="422"/>
    </row>
    <row r="45149" spans="191:191" x14ac:dyDescent="0.2">
      <c r="GI45149" s="422"/>
    </row>
    <row r="45150" spans="191:191" x14ac:dyDescent="0.2">
      <c r="GI45150" s="422"/>
    </row>
    <row r="45151" spans="191:191" x14ac:dyDescent="0.2">
      <c r="GI45151" s="422"/>
    </row>
    <row r="45152" spans="191:191" x14ac:dyDescent="0.2">
      <c r="GI45152" s="422"/>
    </row>
    <row r="45153" spans="191:191" x14ac:dyDescent="0.2">
      <c r="GI45153" s="422"/>
    </row>
    <row r="45154" spans="191:191" x14ac:dyDescent="0.2">
      <c r="GI45154" s="422"/>
    </row>
    <row r="45155" spans="191:191" x14ac:dyDescent="0.2">
      <c r="GI45155" s="422"/>
    </row>
    <row r="45156" spans="191:191" x14ac:dyDescent="0.2">
      <c r="GI45156" s="422"/>
    </row>
    <row r="45157" spans="191:191" x14ac:dyDescent="0.2">
      <c r="GI45157" s="422"/>
    </row>
    <row r="45158" spans="191:191" x14ac:dyDescent="0.2">
      <c r="GI45158" s="422"/>
    </row>
    <row r="45159" spans="191:191" x14ac:dyDescent="0.2">
      <c r="GI45159" s="422"/>
    </row>
    <row r="45160" spans="191:191" x14ac:dyDescent="0.2">
      <c r="GI45160" s="422"/>
    </row>
    <row r="45161" spans="191:191" x14ac:dyDescent="0.2">
      <c r="GI45161" s="422"/>
    </row>
    <row r="45162" spans="191:191" x14ac:dyDescent="0.2">
      <c r="GI45162" s="422"/>
    </row>
    <row r="45163" spans="191:191" x14ac:dyDescent="0.2">
      <c r="GI45163" s="422"/>
    </row>
    <row r="45164" spans="191:191" x14ac:dyDescent="0.2">
      <c r="GI45164" s="422"/>
    </row>
    <row r="45165" spans="191:191" x14ac:dyDescent="0.2">
      <c r="GI45165" s="422"/>
    </row>
    <row r="45166" spans="191:191" x14ac:dyDescent="0.2">
      <c r="GI45166" s="422"/>
    </row>
    <row r="45167" spans="191:191" x14ac:dyDescent="0.2">
      <c r="GI45167" s="422"/>
    </row>
    <row r="45168" spans="191:191" x14ac:dyDescent="0.2">
      <c r="GI45168" s="422"/>
    </row>
    <row r="45169" spans="191:191" x14ac:dyDescent="0.2">
      <c r="GI45169" s="422"/>
    </row>
    <row r="45170" spans="191:191" x14ac:dyDescent="0.2">
      <c r="GI45170" s="422"/>
    </row>
    <row r="45171" spans="191:191" x14ac:dyDescent="0.2">
      <c r="GI45171" s="422"/>
    </row>
    <row r="45172" spans="191:191" x14ac:dyDescent="0.2">
      <c r="GI45172" s="422"/>
    </row>
    <row r="45173" spans="191:191" x14ac:dyDescent="0.2">
      <c r="GI45173" s="422"/>
    </row>
    <row r="45174" spans="191:191" x14ac:dyDescent="0.2">
      <c r="GI45174" s="422"/>
    </row>
    <row r="45175" spans="191:191" x14ac:dyDescent="0.2">
      <c r="GI45175" s="422"/>
    </row>
    <row r="45176" spans="191:191" x14ac:dyDescent="0.2">
      <c r="GI45176" s="422"/>
    </row>
    <row r="45177" spans="191:191" x14ac:dyDescent="0.2">
      <c r="GI45177" s="422"/>
    </row>
    <row r="45178" spans="191:191" x14ac:dyDescent="0.2">
      <c r="GI45178" s="422"/>
    </row>
    <row r="45179" spans="191:191" x14ac:dyDescent="0.2">
      <c r="GI45179" s="422"/>
    </row>
    <row r="45180" spans="191:191" x14ac:dyDescent="0.2">
      <c r="GI45180" s="422"/>
    </row>
    <row r="45181" spans="191:191" x14ac:dyDescent="0.2">
      <c r="GI45181" s="422"/>
    </row>
    <row r="45182" spans="191:191" x14ac:dyDescent="0.2">
      <c r="GI45182" s="422"/>
    </row>
    <row r="45183" spans="191:191" x14ac:dyDescent="0.2">
      <c r="GI45183" s="422"/>
    </row>
    <row r="45184" spans="191:191" x14ac:dyDescent="0.2">
      <c r="GI45184" s="422"/>
    </row>
    <row r="45185" spans="191:191" x14ac:dyDescent="0.2">
      <c r="GI45185" s="422"/>
    </row>
    <row r="45186" spans="191:191" x14ac:dyDescent="0.2">
      <c r="GI45186" s="422"/>
    </row>
    <row r="45187" spans="191:191" x14ac:dyDescent="0.2">
      <c r="GI45187" s="422"/>
    </row>
    <row r="45188" spans="191:191" x14ac:dyDescent="0.2">
      <c r="GI45188" s="422"/>
    </row>
    <row r="45189" spans="191:191" x14ac:dyDescent="0.2">
      <c r="GI45189" s="422"/>
    </row>
    <row r="45190" spans="191:191" x14ac:dyDescent="0.2">
      <c r="GI45190" s="422"/>
    </row>
    <row r="45191" spans="191:191" x14ac:dyDescent="0.2">
      <c r="GI45191" s="422"/>
    </row>
    <row r="45192" spans="191:191" x14ac:dyDescent="0.2">
      <c r="GI45192" s="422"/>
    </row>
    <row r="45193" spans="191:191" x14ac:dyDescent="0.2">
      <c r="GI45193" s="422"/>
    </row>
    <row r="45194" spans="191:191" x14ac:dyDescent="0.2">
      <c r="GI45194" s="422"/>
    </row>
    <row r="45195" spans="191:191" x14ac:dyDescent="0.2">
      <c r="GI45195" s="422"/>
    </row>
    <row r="45196" spans="191:191" x14ac:dyDescent="0.2">
      <c r="GI45196" s="422"/>
    </row>
    <row r="45197" spans="191:191" x14ac:dyDescent="0.2">
      <c r="GI45197" s="422"/>
    </row>
    <row r="45198" spans="191:191" x14ac:dyDescent="0.2">
      <c r="GI45198" s="422"/>
    </row>
    <row r="45199" spans="191:191" x14ac:dyDescent="0.2">
      <c r="GI45199" s="422"/>
    </row>
    <row r="45200" spans="191:191" x14ac:dyDescent="0.2">
      <c r="GI45200" s="422"/>
    </row>
    <row r="45201" spans="191:191" x14ac:dyDescent="0.2">
      <c r="GI45201" s="422"/>
    </row>
    <row r="45202" spans="191:191" x14ac:dyDescent="0.2">
      <c r="GI45202" s="422"/>
    </row>
    <row r="45203" spans="191:191" x14ac:dyDescent="0.2">
      <c r="GI45203" s="422"/>
    </row>
    <row r="45204" spans="191:191" x14ac:dyDescent="0.2">
      <c r="GI45204" s="422"/>
    </row>
    <row r="45205" spans="191:191" x14ac:dyDescent="0.2">
      <c r="GI45205" s="422"/>
    </row>
    <row r="45206" spans="191:191" x14ac:dyDescent="0.2">
      <c r="GI45206" s="422"/>
    </row>
    <row r="45207" spans="191:191" x14ac:dyDescent="0.2">
      <c r="GI45207" s="422"/>
    </row>
    <row r="45208" spans="191:191" x14ac:dyDescent="0.2">
      <c r="GI45208" s="422"/>
    </row>
    <row r="45209" spans="191:191" x14ac:dyDescent="0.2">
      <c r="GI45209" s="422"/>
    </row>
    <row r="45210" spans="191:191" x14ac:dyDescent="0.2">
      <c r="GI45210" s="422"/>
    </row>
    <row r="45211" spans="191:191" x14ac:dyDescent="0.2">
      <c r="GI45211" s="422"/>
    </row>
    <row r="45212" spans="191:191" x14ac:dyDescent="0.2">
      <c r="GI45212" s="422"/>
    </row>
    <row r="45213" spans="191:191" x14ac:dyDescent="0.2">
      <c r="GI45213" s="422"/>
    </row>
    <row r="45214" spans="191:191" x14ac:dyDescent="0.2">
      <c r="GI45214" s="422"/>
    </row>
    <row r="45215" spans="191:191" x14ac:dyDescent="0.2">
      <c r="GI45215" s="422"/>
    </row>
    <row r="45216" spans="191:191" x14ac:dyDescent="0.2">
      <c r="GI45216" s="422"/>
    </row>
    <row r="45217" spans="191:191" x14ac:dyDescent="0.2">
      <c r="GI45217" s="422"/>
    </row>
    <row r="45218" spans="191:191" x14ac:dyDescent="0.2">
      <c r="GI45218" s="422"/>
    </row>
    <row r="45219" spans="191:191" x14ac:dyDescent="0.2">
      <c r="GI45219" s="422"/>
    </row>
    <row r="45220" spans="191:191" x14ac:dyDescent="0.2">
      <c r="GI45220" s="422"/>
    </row>
    <row r="45221" spans="191:191" x14ac:dyDescent="0.2">
      <c r="GI45221" s="422"/>
    </row>
    <row r="45222" spans="191:191" x14ac:dyDescent="0.2">
      <c r="GI45222" s="422"/>
    </row>
    <row r="45223" spans="191:191" x14ac:dyDescent="0.2">
      <c r="GI45223" s="422"/>
    </row>
    <row r="45224" spans="191:191" x14ac:dyDescent="0.2">
      <c r="GI45224" s="422"/>
    </row>
    <row r="45225" spans="191:191" x14ac:dyDescent="0.2">
      <c r="GI45225" s="422"/>
    </row>
    <row r="45226" spans="191:191" x14ac:dyDescent="0.2">
      <c r="GI45226" s="422"/>
    </row>
    <row r="45227" spans="191:191" x14ac:dyDescent="0.2">
      <c r="GI45227" s="422"/>
    </row>
    <row r="45228" spans="191:191" x14ac:dyDescent="0.2">
      <c r="GI45228" s="422"/>
    </row>
    <row r="45229" spans="191:191" x14ac:dyDescent="0.2">
      <c r="GI45229" s="422"/>
    </row>
    <row r="45230" spans="191:191" x14ac:dyDescent="0.2">
      <c r="GI45230" s="422"/>
    </row>
    <row r="45231" spans="191:191" x14ac:dyDescent="0.2">
      <c r="GI45231" s="422"/>
    </row>
    <row r="45232" spans="191:191" x14ac:dyDescent="0.2">
      <c r="GI45232" s="422"/>
    </row>
    <row r="45233" spans="191:191" x14ac:dyDescent="0.2">
      <c r="GI45233" s="422"/>
    </row>
    <row r="45234" spans="191:191" x14ac:dyDescent="0.2">
      <c r="GI45234" s="422"/>
    </row>
    <row r="45235" spans="191:191" x14ac:dyDescent="0.2">
      <c r="GI45235" s="422"/>
    </row>
    <row r="45236" spans="191:191" x14ac:dyDescent="0.2">
      <c r="GI45236" s="422"/>
    </row>
    <row r="45237" spans="191:191" x14ac:dyDescent="0.2">
      <c r="GI45237" s="422"/>
    </row>
    <row r="45238" spans="191:191" x14ac:dyDescent="0.2">
      <c r="GI45238" s="422"/>
    </row>
    <row r="45239" spans="191:191" x14ac:dyDescent="0.2">
      <c r="GI45239" s="422"/>
    </row>
    <row r="45240" spans="191:191" x14ac:dyDescent="0.2">
      <c r="GI45240" s="422"/>
    </row>
    <row r="45241" spans="191:191" x14ac:dyDescent="0.2">
      <c r="GI45241" s="422"/>
    </row>
    <row r="45242" spans="191:191" x14ac:dyDescent="0.2">
      <c r="GI45242" s="422"/>
    </row>
    <row r="45243" spans="191:191" x14ac:dyDescent="0.2">
      <c r="GI45243" s="422"/>
    </row>
    <row r="45244" spans="191:191" x14ac:dyDescent="0.2">
      <c r="GI45244" s="422"/>
    </row>
    <row r="45245" spans="191:191" x14ac:dyDescent="0.2">
      <c r="GI45245" s="422"/>
    </row>
    <row r="45246" spans="191:191" x14ac:dyDescent="0.2">
      <c r="GI45246" s="422"/>
    </row>
    <row r="45247" spans="191:191" x14ac:dyDescent="0.2">
      <c r="GI45247" s="422"/>
    </row>
    <row r="45248" spans="191:191" x14ac:dyDescent="0.2">
      <c r="GI45248" s="422"/>
    </row>
    <row r="45249" spans="191:191" x14ac:dyDescent="0.2">
      <c r="GI45249" s="422"/>
    </row>
    <row r="45250" spans="191:191" x14ac:dyDescent="0.2">
      <c r="GI45250" s="422"/>
    </row>
    <row r="45251" spans="191:191" x14ac:dyDescent="0.2">
      <c r="GI45251" s="422"/>
    </row>
    <row r="45252" spans="191:191" x14ac:dyDescent="0.2">
      <c r="GI45252" s="422"/>
    </row>
    <row r="45253" spans="191:191" x14ac:dyDescent="0.2">
      <c r="GI45253" s="422"/>
    </row>
    <row r="45254" spans="191:191" x14ac:dyDescent="0.2">
      <c r="GI45254" s="422"/>
    </row>
    <row r="45255" spans="191:191" x14ac:dyDescent="0.2">
      <c r="GI45255" s="422"/>
    </row>
    <row r="45256" spans="191:191" x14ac:dyDescent="0.2">
      <c r="GI45256" s="422"/>
    </row>
    <row r="45257" spans="191:191" x14ac:dyDescent="0.2">
      <c r="GI45257" s="422"/>
    </row>
    <row r="45258" spans="191:191" x14ac:dyDescent="0.2">
      <c r="GI45258" s="422"/>
    </row>
    <row r="45259" spans="191:191" x14ac:dyDescent="0.2">
      <c r="GI45259" s="422"/>
    </row>
    <row r="45260" spans="191:191" x14ac:dyDescent="0.2">
      <c r="GI45260" s="422"/>
    </row>
    <row r="45261" spans="191:191" x14ac:dyDescent="0.2">
      <c r="GI45261" s="422"/>
    </row>
    <row r="45262" spans="191:191" x14ac:dyDescent="0.2">
      <c r="GI45262" s="422"/>
    </row>
    <row r="45263" spans="191:191" x14ac:dyDescent="0.2">
      <c r="GI45263" s="422"/>
    </row>
    <row r="45264" spans="191:191" x14ac:dyDescent="0.2">
      <c r="GI45264" s="422"/>
    </row>
    <row r="45265" spans="191:191" x14ac:dyDescent="0.2">
      <c r="GI45265" s="422"/>
    </row>
    <row r="45266" spans="191:191" x14ac:dyDescent="0.2">
      <c r="GI45266" s="422"/>
    </row>
    <row r="45267" spans="191:191" x14ac:dyDescent="0.2">
      <c r="GI45267" s="422"/>
    </row>
    <row r="45268" spans="191:191" x14ac:dyDescent="0.2">
      <c r="GI45268" s="422"/>
    </row>
    <row r="45269" spans="191:191" x14ac:dyDescent="0.2">
      <c r="GI45269" s="422"/>
    </row>
    <row r="45270" spans="191:191" x14ac:dyDescent="0.2">
      <c r="GI45270" s="422"/>
    </row>
    <row r="45271" spans="191:191" x14ac:dyDescent="0.2">
      <c r="GI45271" s="422"/>
    </row>
    <row r="45272" spans="191:191" x14ac:dyDescent="0.2">
      <c r="GI45272" s="422"/>
    </row>
    <row r="45273" spans="191:191" x14ac:dyDescent="0.2">
      <c r="GI45273" s="422"/>
    </row>
    <row r="45274" spans="191:191" x14ac:dyDescent="0.2">
      <c r="GI45274" s="422"/>
    </row>
    <row r="45275" spans="191:191" x14ac:dyDescent="0.2">
      <c r="GI45275" s="422"/>
    </row>
    <row r="45276" spans="191:191" x14ac:dyDescent="0.2">
      <c r="GI45276" s="422"/>
    </row>
    <row r="45277" spans="191:191" x14ac:dyDescent="0.2">
      <c r="GI45277" s="422"/>
    </row>
    <row r="45278" spans="191:191" x14ac:dyDescent="0.2">
      <c r="GI45278" s="422"/>
    </row>
    <row r="45279" spans="191:191" x14ac:dyDescent="0.2">
      <c r="GI45279" s="422"/>
    </row>
    <row r="45280" spans="191:191" x14ac:dyDescent="0.2">
      <c r="GI45280" s="422"/>
    </row>
    <row r="45281" spans="191:191" x14ac:dyDescent="0.2">
      <c r="GI45281" s="422"/>
    </row>
    <row r="45282" spans="191:191" x14ac:dyDescent="0.2">
      <c r="GI45282" s="422"/>
    </row>
    <row r="45283" spans="191:191" x14ac:dyDescent="0.2">
      <c r="GI45283" s="422"/>
    </row>
    <row r="45284" spans="191:191" x14ac:dyDescent="0.2">
      <c r="GI45284" s="422"/>
    </row>
    <row r="45285" spans="191:191" x14ac:dyDescent="0.2">
      <c r="GI45285" s="422"/>
    </row>
    <row r="45286" spans="191:191" x14ac:dyDescent="0.2">
      <c r="GI45286" s="422"/>
    </row>
    <row r="45287" spans="191:191" x14ac:dyDescent="0.2">
      <c r="GI45287" s="422"/>
    </row>
    <row r="45288" spans="191:191" x14ac:dyDescent="0.2">
      <c r="GI45288" s="422"/>
    </row>
    <row r="45289" spans="191:191" x14ac:dyDescent="0.2">
      <c r="GI45289" s="422"/>
    </row>
    <row r="45290" spans="191:191" x14ac:dyDescent="0.2">
      <c r="GI45290" s="422"/>
    </row>
    <row r="45291" spans="191:191" x14ac:dyDescent="0.2">
      <c r="GI45291" s="422"/>
    </row>
    <row r="45292" spans="191:191" x14ac:dyDescent="0.2">
      <c r="GI45292" s="422"/>
    </row>
    <row r="45293" spans="191:191" x14ac:dyDescent="0.2">
      <c r="GI45293" s="422"/>
    </row>
    <row r="45294" spans="191:191" x14ac:dyDescent="0.2">
      <c r="GI45294" s="422"/>
    </row>
    <row r="45295" spans="191:191" x14ac:dyDescent="0.2">
      <c r="GI45295" s="422"/>
    </row>
    <row r="45296" spans="191:191" x14ac:dyDescent="0.2">
      <c r="GI45296" s="422"/>
    </row>
    <row r="45297" spans="191:191" x14ac:dyDescent="0.2">
      <c r="GI45297" s="422"/>
    </row>
    <row r="45298" spans="191:191" x14ac:dyDescent="0.2">
      <c r="GI45298" s="422"/>
    </row>
    <row r="45299" spans="191:191" x14ac:dyDescent="0.2">
      <c r="GI45299" s="422"/>
    </row>
    <row r="45300" spans="191:191" x14ac:dyDescent="0.2">
      <c r="GI45300" s="422"/>
    </row>
    <row r="45301" spans="191:191" x14ac:dyDescent="0.2">
      <c r="GI45301" s="422"/>
    </row>
    <row r="45302" spans="191:191" x14ac:dyDescent="0.2">
      <c r="GI45302" s="422"/>
    </row>
    <row r="45303" spans="191:191" x14ac:dyDescent="0.2">
      <c r="GI45303" s="422"/>
    </row>
    <row r="45304" spans="191:191" x14ac:dyDescent="0.2">
      <c r="GI45304" s="422"/>
    </row>
    <row r="45305" spans="191:191" x14ac:dyDescent="0.2">
      <c r="GI45305" s="422"/>
    </row>
    <row r="45306" spans="191:191" x14ac:dyDescent="0.2">
      <c r="GI45306" s="422"/>
    </row>
    <row r="45307" spans="191:191" x14ac:dyDescent="0.2">
      <c r="GI45307" s="422"/>
    </row>
    <row r="45308" spans="191:191" x14ac:dyDescent="0.2">
      <c r="GI45308" s="422"/>
    </row>
    <row r="45309" spans="191:191" x14ac:dyDescent="0.2">
      <c r="GI45309" s="422"/>
    </row>
    <row r="45310" spans="191:191" x14ac:dyDescent="0.2">
      <c r="GI45310" s="422"/>
    </row>
    <row r="45311" spans="191:191" x14ac:dyDescent="0.2">
      <c r="GI45311" s="422"/>
    </row>
    <row r="45312" spans="191:191" x14ac:dyDescent="0.2">
      <c r="GI45312" s="422"/>
    </row>
    <row r="45313" spans="191:191" x14ac:dyDescent="0.2">
      <c r="GI45313" s="422"/>
    </row>
    <row r="45314" spans="191:191" x14ac:dyDescent="0.2">
      <c r="GI45314" s="422"/>
    </row>
    <row r="45315" spans="191:191" x14ac:dyDescent="0.2">
      <c r="GI45315" s="422"/>
    </row>
    <row r="45316" spans="191:191" x14ac:dyDescent="0.2">
      <c r="GI45316" s="422"/>
    </row>
    <row r="45317" spans="191:191" x14ac:dyDescent="0.2">
      <c r="GI45317" s="422"/>
    </row>
    <row r="45318" spans="191:191" x14ac:dyDescent="0.2">
      <c r="GI45318" s="422"/>
    </row>
    <row r="45319" spans="191:191" x14ac:dyDescent="0.2">
      <c r="GI45319" s="422"/>
    </row>
    <row r="45320" spans="191:191" x14ac:dyDescent="0.2">
      <c r="GI45320" s="422"/>
    </row>
    <row r="45321" spans="191:191" x14ac:dyDescent="0.2">
      <c r="GI45321" s="422"/>
    </row>
    <row r="45322" spans="191:191" x14ac:dyDescent="0.2">
      <c r="GI45322" s="422"/>
    </row>
    <row r="45323" spans="191:191" x14ac:dyDescent="0.2">
      <c r="GI45323" s="422"/>
    </row>
    <row r="45324" spans="191:191" x14ac:dyDescent="0.2">
      <c r="GI45324" s="422"/>
    </row>
    <row r="45325" spans="191:191" x14ac:dyDescent="0.2">
      <c r="GI45325" s="422"/>
    </row>
    <row r="45326" spans="191:191" x14ac:dyDescent="0.2">
      <c r="GI45326" s="422"/>
    </row>
    <row r="45327" spans="191:191" x14ac:dyDescent="0.2">
      <c r="GI45327" s="422"/>
    </row>
    <row r="45328" spans="191:191" x14ac:dyDescent="0.2">
      <c r="GI45328" s="422"/>
    </row>
    <row r="45329" spans="191:191" x14ac:dyDescent="0.2">
      <c r="GI45329" s="422"/>
    </row>
    <row r="45330" spans="191:191" x14ac:dyDescent="0.2">
      <c r="GI45330" s="422"/>
    </row>
    <row r="45331" spans="191:191" x14ac:dyDescent="0.2">
      <c r="GI45331" s="422"/>
    </row>
    <row r="45332" spans="191:191" x14ac:dyDescent="0.2">
      <c r="GI45332" s="422"/>
    </row>
    <row r="45333" spans="191:191" x14ac:dyDescent="0.2">
      <c r="GI45333" s="422"/>
    </row>
    <row r="45334" spans="191:191" x14ac:dyDescent="0.2">
      <c r="GI45334" s="422"/>
    </row>
    <row r="45335" spans="191:191" x14ac:dyDescent="0.2">
      <c r="GI45335" s="422"/>
    </row>
    <row r="45336" spans="191:191" x14ac:dyDescent="0.2">
      <c r="GI45336" s="422"/>
    </row>
    <row r="45337" spans="191:191" x14ac:dyDescent="0.2">
      <c r="GI45337" s="422"/>
    </row>
    <row r="45338" spans="191:191" x14ac:dyDescent="0.2">
      <c r="GI45338" s="422"/>
    </row>
    <row r="45339" spans="191:191" x14ac:dyDescent="0.2">
      <c r="GI45339" s="422"/>
    </row>
    <row r="45340" spans="191:191" x14ac:dyDescent="0.2">
      <c r="GI45340" s="422"/>
    </row>
    <row r="45341" spans="191:191" x14ac:dyDescent="0.2">
      <c r="GI45341" s="422"/>
    </row>
    <row r="45342" spans="191:191" x14ac:dyDescent="0.2">
      <c r="GI45342" s="422"/>
    </row>
    <row r="45343" spans="191:191" x14ac:dyDescent="0.2">
      <c r="GI45343" s="422"/>
    </row>
    <row r="45344" spans="191:191" x14ac:dyDescent="0.2">
      <c r="GI45344" s="422"/>
    </row>
    <row r="45345" spans="191:191" x14ac:dyDescent="0.2">
      <c r="GI45345" s="422"/>
    </row>
    <row r="45346" spans="191:191" x14ac:dyDescent="0.2">
      <c r="GI45346" s="422"/>
    </row>
    <row r="45347" spans="191:191" x14ac:dyDescent="0.2">
      <c r="GI45347" s="422"/>
    </row>
    <row r="45348" spans="191:191" x14ac:dyDescent="0.2">
      <c r="GI45348" s="422"/>
    </row>
    <row r="45349" spans="191:191" x14ac:dyDescent="0.2">
      <c r="GI45349" s="422"/>
    </row>
    <row r="45350" spans="191:191" x14ac:dyDescent="0.2">
      <c r="GI45350" s="422"/>
    </row>
    <row r="45351" spans="191:191" x14ac:dyDescent="0.2">
      <c r="GI45351" s="422"/>
    </row>
    <row r="45352" spans="191:191" x14ac:dyDescent="0.2">
      <c r="GI45352" s="422"/>
    </row>
    <row r="45353" spans="191:191" x14ac:dyDescent="0.2">
      <c r="GI45353" s="422"/>
    </row>
    <row r="45354" spans="191:191" x14ac:dyDescent="0.2">
      <c r="GI45354" s="422"/>
    </row>
    <row r="45355" spans="191:191" x14ac:dyDescent="0.2">
      <c r="GI45355" s="422"/>
    </row>
    <row r="45356" spans="191:191" x14ac:dyDescent="0.2">
      <c r="GI45356" s="422"/>
    </row>
    <row r="45357" spans="191:191" x14ac:dyDescent="0.2">
      <c r="GI45357" s="422"/>
    </row>
    <row r="45358" spans="191:191" x14ac:dyDescent="0.2">
      <c r="GI45358" s="422"/>
    </row>
    <row r="45359" spans="191:191" x14ac:dyDescent="0.2">
      <c r="GI45359" s="422"/>
    </row>
    <row r="45360" spans="191:191" x14ac:dyDescent="0.2">
      <c r="GI45360" s="422"/>
    </row>
    <row r="45361" spans="191:191" x14ac:dyDescent="0.2">
      <c r="GI45361" s="422"/>
    </row>
    <row r="45362" spans="191:191" x14ac:dyDescent="0.2">
      <c r="GI45362" s="422"/>
    </row>
    <row r="45363" spans="191:191" x14ac:dyDescent="0.2">
      <c r="GI45363" s="422"/>
    </row>
    <row r="45364" spans="191:191" x14ac:dyDescent="0.2">
      <c r="GI45364" s="422"/>
    </row>
    <row r="45365" spans="191:191" x14ac:dyDescent="0.2">
      <c r="GI45365" s="422"/>
    </row>
    <row r="45366" spans="191:191" x14ac:dyDescent="0.2">
      <c r="GI45366" s="422"/>
    </row>
    <row r="45367" spans="191:191" x14ac:dyDescent="0.2">
      <c r="GI45367" s="422"/>
    </row>
    <row r="45368" spans="191:191" x14ac:dyDescent="0.2">
      <c r="GI45368" s="422"/>
    </row>
    <row r="45369" spans="191:191" x14ac:dyDescent="0.2">
      <c r="GI45369" s="422"/>
    </row>
    <row r="45370" spans="191:191" x14ac:dyDescent="0.2">
      <c r="GI45370" s="422"/>
    </row>
    <row r="45371" spans="191:191" x14ac:dyDescent="0.2">
      <c r="GI45371" s="422"/>
    </row>
    <row r="45372" spans="191:191" x14ac:dyDescent="0.2">
      <c r="GI45372" s="422"/>
    </row>
    <row r="45373" spans="191:191" x14ac:dyDescent="0.2">
      <c r="GI45373" s="422"/>
    </row>
    <row r="45374" spans="191:191" x14ac:dyDescent="0.2">
      <c r="GI45374" s="422"/>
    </row>
    <row r="45375" spans="191:191" x14ac:dyDescent="0.2">
      <c r="GI45375" s="422"/>
    </row>
    <row r="45376" spans="191:191" x14ac:dyDescent="0.2">
      <c r="GI45376" s="422"/>
    </row>
    <row r="45377" spans="191:191" x14ac:dyDescent="0.2">
      <c r="GI45377" s="422"/>
    </row>
    <row r="45378" spans="191:191" x14ac:dyDescent="0.2">
      <c r="GI45378" s="422"/>
    </row>
    <row r="45379" spans="191:191" x14ac:dyDescent="0.2">
      <c r="GI45379" s="422"/>
    </row>
    <row r="45380" spans="191:191" x14ac:dyDescent="0.2">
      <c r="GI45380" s="422"/>
    </row>
    <row r="45381" spans="191:191" x14ac:dyDescent="0.2">
      <c r="GI45381" s="422"/>
    </row>
    <row r="45382" spans="191:191" x14ac:dyDescent="0.2">
      <c r="GI45382" s="422"/>
    </row>
    <row r="45383" spans="191:191" x14ac:dyDescent="0.2">
      <c r="GI45383" s="422"/>
    </row>
    <row r="45384" spans="191:191" x14ac:dyDescent="0.2">
      <c r="GI45384" s="422"/>
    </row>
    <row r="45385" spans="191:191" x14ac:dyDescent="0.2">
      <c r="GI45385" s="422"/>
    </row>
    <row r="45386" spans="191:191" x14ac:dyDescent="0.2">
      <c r="GI45386" s="422"/>
    </row>
    <row r="45387" spans="191:191" x14ac:dyDescent="0.2">
      <c r="GI45387" s="422"/>
    </row>
    <row r="45388" spans="191:191" x14ac:dyDescent="0.2">
      <c r="GI45388" s="422"/>
    </row>
    <row r="45389" spans="191:191" x14ac:dyDescent="0.2">
      <c r="GI45389" s="422"/>
    </row>
    <row r="45390" spans="191:191" x14ac:dyDescent="0.2">
      <c r="GI45390" s="422"/>
    </row>
    <row r="45391" spans="191:191" x14ac:dyDescent="0.2">
      <c r="GI45391" s="422"/>
    </row>
    <row r="45392" spans="191:191" x14ac:dyDescent="0.2">
      <c r="GI45392" s="422"/>
    </row>
    <row r="45393" spans="191:191" x14ac:dyDescent="0.2">
      <c r="GI45393" s="422"/>
    </row>
    <row r="45394" spans="191:191" x14ac:dyDescent="0.2">
      <c r="GI45394" s="422"/>
    </row>
    <row r="45395" spans="191:191" x14ac:dyDescent="0.2">
      <c r="GI45395" s="422"/>
    </row>
    <row r="45396" spans="191:191" x14ac:dyDescent="0.2">
      <c r="GI45396" s="422"/>
    </row>
    <row r="45397" spans="191:191" x14ac:dyDescent="0.2">
      <c r="GI45397" s="422"/>
    </row>
    <row r="45398" spans="191:191" x14ac:dyDescent="0.2">
      <c r="GI45398" s="422"/>
    </row>
    <row r="45399" spans="191:191" x14ac:dyDescent="0.2">
      <c r="GI45399" s="422"/>
    </row>
    <row r="45400" spans="191:191" x14ac:dyDescent="0.2">
      <c r="GI45400" s="422"/>
    </row>
    <row r="45401" spans="191:191" x14ac:dyDescent="0.2">
      <c r="GI45401" s="422"/>
    </row>
    <row r="45402" spans="191:191" x14ac:dyDescent="0.2">
      <c r="GI45402" s="422"/>
    </row>
    <row r="45403" spans="191:191" x14ac:dyDescent="0.2">
      <c r="GI45403" s="422"/>
    </row>
    <row r="45404" spans="191:191" x14ac:dyDescent="0.2">
      <c r="GI45404" s="422"/>
    </row>
    <row r="45405" spans="191:191" x14ac:dyDescent="0.2">
      <c r="GI45405" s="422"/>
    </row>
    <row r="45406" spans="191:191" x14ac:dyDescent="0.2">
      <c r="GI45406" s="422"/>
    </row>
    <row r="45407" spans="191:191" x14ac:dyDescent="0.2">
      <c r="GI45407" s="422"/>
    </row>
    <row r="45408" spans="191:191" x14ac:dyDescent="0.2">
      <c r="GI45408" s="422"/>
    </row>
    <row r="45409" spans="191:191" x14ac:dyDescent="0.2">
      <c r="GI45409" s="422"/>
    </row>
    <row r="45410" spans="191:191" x14ac:dyDescent="0.2">
      <c r="GI45410" s="422"/>
    </row>
    <row r="45411" spans="191:191" x14ac:dyDescent="0.2">
      <c r="GI45411" s="422"/>
    </row>
    <row r="45412" spans="191:191" x14ac:dyDescent="0.2">
      <c r="GI45412" s="422"/>
    </row>
    <row r="45413" spans="191:191" x14ac:dyDescent="0.2">
      <c r="GI45413" s="422"/>
    </row>
    <row r="45414" spans="191:191" x14ac:dyDescent="0.2">
      <c r="GI45414" s="422"/>
    </row>
    <row r="45415" spans="191:191" x14ac:dyDescent="0.2">
      <c r="GI45415" s="422"/>
    </row>
    <row r="45416" spans="191:191" x14ac:dyDescent="0.2">
      <c r="GI45416" s="422"/>
    </row>
    <row r="45417" spans="191:191" x14ac:dyDescent="0.2">
      <c r="GI45417" s="422"/>
    </row>
    <row r="45418" spans="191:191" x14ac:dyDescent="0.2">
      <c r="GI45418" s="422"/>
    </row>
    <row r="45419" spans="191:191" x14ac:dyDescent="0.2">
      <c r="GI45419" s="422"/>
    </row>
    <row r="45420" spans="191:191" x14ac:dyDescent="0.2">
      <c r="GI45420" s="422"/>
    </row>
    <row r="45421" spans="191:191" x14ac:dyDescent="0.2">
      <c r="GI45421" s="422"/>
    </row>
    <row r="45422" spans="191:191" x14ac:dyDescent="0.2">
      <c r="GI45422" s="422"/>
    </row>
    <row r="45423" spans="191:191" x14ac:dyDescent="0.2">
      <c r="GI45423" s="422"/>
    </row>
    <row r="45424" spans="191:191" x14ac:dyDescent="0.2">
      <c r="GI45424" s="422"/>
    </row>
    <row r="45425" spans="191:191" x14ac:dyDescent="0.2">
      <c r="GI45425" s="422"/>
    </row>
    <row r="45426" spans="191:191" x14ac:dyDescent="0.2">
      <c r="GI45426" s="422"/>
    </row>
    <row r="45427" spans="191:191" x14ac:dyDescent="0.2">
      <c r="GI45427" s="422"/>
    </row>
    <row r="45428" spans="191:191" x14ac:dyDescent="0.2">
      <c r="GI45428" s="422"/>
    </row>
    <row r="45429" spans="191:191" x14ac:dyDescent="0.2">
      <c r="GI45429" s="422"/>
    </row>
    <row r="45430" spans="191:191" x14ac:dyDescent="0.2">
      <c r="GI45430" s="422"/>
    </row>
    <row r="45431" spans="191:191" x14ac:dyDescent="0.2">
      <c r="GI45431" s="422"/>
    </row>
    <row r="45432" spans="191:191" x14ac:dyDescent="0.2">
      <c r="GI45432" s="422"/>
    </row>
    <row r="45433" spans="191:191" x14ac:dyDescent="0.2">
      <c r="GI45433" s="422"/>
    </row>
    <row r="45434" spans="191:191" x14ac:dyDescent="0.2">
      <c r="GI45434" s="422"/>
    </row>
    <row r="45435" spans="191:191" x14ac:dyDescent="0.2">
      <c r="GI45435" s="422"/>
    </row>
    <row r="45436" spans="191:191" x14ac:dyDescent="0.2">
      <c r="GI45436" s="422"/>
    </row>
    <row r="45437" spans="191:191" x14ac:dyDescent="0.2">
      <c r="GI45437" s="422"/>
    </row>
    <row r="45438" spans="191:191" x14ac:dyDescent="0.2">
      <c r="GI45438" s="422"/>
    </row>
    <row r="45439" spans="191:191" x14ac:dyDescent="0.2">
      <c r="GI45439" s="422"/>
    </row>
    <row r="45440" spans="191:191" x14ac:dyDescent="0.2">
      <c r="GI45440" s="422"/>
    </row>
    <row r="45441" spans="191:191" x14ac:dyDescent="0.2">
      <c r="GI45441" s="422"/>
    </row>
    <row r="45442" spans="191:191" x14ac:dyDescent="0.2">
      <c r="GI45442" s="422"/>
    </row>
    <row r="45443" spans="191:191" x14ac:dyDescent="0.2">
      <c r="GI45443" s="422"/>
    </row>
    <row r="45444" spans="191:191" x14ac:dyDescent="0.2">
      <c r="GI45444" s="422"/>
    </row>
    <row r="45445" spans="191:191" x14ac:dyDescent="0.2">
      <c r="GI45445" s="422"/>
    </row>
    <row r="45446" spans="191:191" x14ac:dyDescent="0.2">
      <c r="GI45446" s="422"/>
    </row>
    <row r="45447" spans="191:191" x14ac:dyDescent="0.2">
      <c r="GI45447" s="422"/>
    </row>
    <row r="45448" spans="191:191" x14ac:dyDescent="0.2">
      <c r="GI45448" s="422"/>
    </row>
    <row r="45449" spans="191:191" x14ac:dyDescent="0.2">
      <c r="GI45449" s="422"/>
    </row>
    <row r="45450" spans="191:191" x14ac:dyDescent="0.2">
      <c r="GI45450" s="422"/>
    </row>
    <row r="45451" spans="191:191" x14ac:dyDescent="0.2">
      <c r="GI45451" s="422"/>
    </row>
    <row r="45452" spans="191:191" x14ac:dyDescent="0.2">
      <c r="GI45452" s="422"/>
    </row>
    <row r="45453" spans="191:191" x14ac:dyDescent="0.2">
      <c r="GI45453" s="422"/>
    </row>
    <row r="45454" spans="191:191" x14ac:dyDescent="0.2">
      <c r="GI45454" s="422"/>
    </row>
    <row r="45455" spans="191:191" x14ac:dyDescent="0.2">
      <c r="GI45455" s="422"/>
    </row>
    <row r="45456" spans="191:191" x14ac:dyDescent="0.2">
      <c r="GI45456" s="422"/>
    </row>
    <row r="45457" spans="191:191" x14ac:dyDescent="0.2">
      <c r="GI45457" s="422"/>
    </row>
    <row r="45458" spans="191:191" x14ac:dyDescent="0.2">
      <c r="GI45458" s="422"/>
    </row>
    <row r="45459" spans="191:191" x14ac:dyDescent="0.2">
      <c r="GI45459" s="422"/>
    </row>
    <row r="45460" spans="191:191" x14ac:dyDescent="0.2">
      <c r="GI45460" s="422"/>
    </row>
    <row r="45461" spans="191:191" x14ac:dyDescent="0.2">
      <c r="GI45461" s="422"/>
    </row>
    <row r="45462" spans="191:191" x14ac:dyDescent="0.2">
      <c r="GI45462" s="422"/>
    </row>
    <row r="45463" spans="191:191" x14ac:dyDescent="0.2">
      <c r="GI45463" s="422"/>
    </row>
    <row r="45464" spans="191:191" x14ac:dyDescent="0.2">
      <c r="GI45464" s="422"/>
    </row>
    <row r="45465" spans="191:191" x14ac:dyDescent="0.2">
      <c r="GI45465" s="422"/>
    </row>
    <row r="45466" spans="191:191" x14ac:dyDescent="0.2">
      <c r="GI45466" s="422"/>
    </row>
    <row r="45467" spans="191:191" x14ac:dyDescent="0.2">
      <c r="GI45467" s="422"/>
    </row>
    <row r="45468" spans="191:191" x14ac:dyDescent="0.2">
      <c r="GI45468" s="422"/>
    </row>
    <row r="45469" spans="191:191" x14ac:dyDescent="0.2">
      <c r="GI45469" s="422"/>
    </row>
    <row r="45470" spans="191:191" x14ac:dyDescent="0.2">
      <c r="GI45470" s="422"/>
    </row>
    <row r="45471" spans="191:191" x14ac:dyDescent="0.2">
      <c r="GI45471" s="422"/>
    </row>
    <row r="45472" spans="191:191" x14ac:dyDescent="0.2">
      <c r="GI45472" s="422"/>
    </row>
    <row r="45473" spans="191:191" x14ac:dyDescent="0.2">
      <c r="GI45473" s="422"/>
    </row>
    <row r="45474" spans="191:191" x14ac:dyDescent="0.2">
      <c r="GI45474" s="422"/>
    </row>
    <row r="45475" spans="191:191" x14ac:dyDescent="0.2">
      <c r="GI45475" s="422"/>
    </row>
    <row r="45476" spans="191:191" x14ac:dyDescent="0.2">
      <c r="GI45476" s="422"/>
    </row>
    <row r="45477" spans="191:191" x14ac:dyDescent="0.2">
      <c r="GI45477" s="422"/>
    </row>
    <row r="45478" spans="191:191" x14ac:dyDescent="0.2">
      <c r="GI45478" s="422"/>
    </row>
    <row r="45479" spans="191:191" x14ac:dyDescent="0.2">
      <c r="GI45479" s="422"/>
    </row>
    <row r="45480" spans="191:191" x14ac:dyDescent="0.2">
      <c r="GI45480" s="422"/>
    </row>
    <row r="45481" spans="191:191" x14ac:dyDescent="0.2">
      <c r="GI45481" s="422"/>
    </row>
    <row r="45482" spans="191:191" x14ac:dyDescent="0.2">
      <c r="GI45482" s="422"/>
    </row>
    <row r="45483" spans="191:191" x14ac:dyDescent="0.2">
      <c r="GI45483" s="422"/>
    </row>
    <row r="45484" spans="191:191" x14ac:dyDescent="0.2">
      <c r="GI45484" s="422"/>
    </row>
    <row r="45485" spans="191:191" x14ac:dyDescent="0.2">
      <c r="GI45485" s="422"/>
    </row>
    <row r="45486" spans="191:191" x14ac:dyDescent="0.2">
      <c r="GI45486" s="422"/>
    </row>
    <row r="45487" spans="191:191" x14ac:dyDescent="0.2">
      <c r="GI45487" s="422"/>
    </row>
    <row r="45488" spans="191:191" x14ac:dyDescent="0.2">
      <c r="GI45488" s="422"/>
    </row>
    <row r="45489" spans="191:191" x14ac:dyDescent="0.2">
      <c r="GI45489" s="422"/>
    </row>
    <row r="45490" spans="191:191" x14ac:dyDescent="0.2">
      <c r="GI45490" s="422"/>
    </row>
    <row r="45491" spans="191:191" x14ac:dyDescent="0.2">
      <c r="GI45491" s="422"/>
    </row>
    <row r="45492" spans="191:191" x14ac:dyDescent="0.2">
      <c r="GI45492" s="422"/>
    </row>
    <row r="45493" spans="191:191" x14ac:dyDescent="0.2">
      <c r="GI45493" s="422"/>
    </row>
    <row r="45494" spans="191:191" x14ac:dyDescent="0.2">
      <c r="GI45494" s="422"/>
    </row>
    <row r="45495" spans="191:191" x14ac:dyDescent="0.2">
      <c r="GI45495" s="422"/>
    </row>
    <row r="45496" spans="191:191" x14ac:dyDescent="0.2">
      <c r="GI45496" s="422"/>
    </row>
    <row r="45497" spans="191:191" x14ac:dyDescent="0.2">
      <c r="GI45497" s="422"/>
    </row>
    <row r="45498" spans="191:191" x14ac:dyDescent="0.2">
      <c r="GI45498" s="422"/>
    </row>
    <row r="45499" spans="191:191" x14ac:dyDescent="0.2">
      <c r="GI45499" s="422"/>
    </row>
    <row r="45500" spans="191:191" x14ac:dyDescent="0.2">
      <c r="GI45500" s="422"/>
    </row>
    <row r="45501" spans="191:191" x14ac:dyDescent="0.2">
      <c r="GI45501" s="422"/>
    </row>
    <row r="45502" spans="191:191" x14ac:dyDescent="0.2">
      <c r="GI45502" s="422"/>
    </row>
    <row r="45503" spans="191:191" x14ac:dyDescent="0.2">
      <c r="GI45503" s="422"/>
    </row>
    <row r="45504" spans="191:191" x14ac:dyDescent="0.2">
      <c r="GI45504" s="422"/>
    </row>
    <row r="45505" spans="191:191" x14ac:dyDescent="0.2">
      <c r="GI45505" s="422"/>
    </row>
    <row r="45506" spans="191:191" x14ac:dyDescent="0.2">
      <c r="GI45506" s="422"/>
    </row>
    <row r="45507" spans="191:191" x14ac:dyDescent="0.2">
      <c r="GI45507" s="422"/>
    </row>
    <row r="45508" spans="191:191" x14ac:dyDescent="0.2">
      <c r="GI45508" s="422"/>
    </row>
    <row r="45509" spans="191:191" x14ac:dyDescent="0.2">
      <c r="GI45509" s="422"/>
    </row>
    <row r="45510" spans="191:191" x14ac:dyDescent="0.2">
      <c r="GI45510" s="422"/>
    </row>
    <row r="45511" spans="191:191" x14ac:dyDescent="0.2">
      <c r="GI45511" s="422"/>
    </row>
    <row r="45512" spans="191:191" x14ac:dyDescent="0.2">
      <c r="GI45512" s="422"/>
    </row>
    <row r="45513" spans="191:191" x14ac:dyDescent="0.2">
      <c r="GI45513" s="422"/>
    </row>
    <row r="45514" spans="191:191" x14ac:dyDescent="0.2">
      <c r="GI45514" s="422"/>
    </row>
    <row r="45515" spans="191:191" x14ac:dyDescent="0.2">
      <c r="GI45515" s="422"/>
    </row>
    <row r="45516" spans="191:191" x14ac:dyDescent="0.2">
      <c r="GI45516" s="422"/>
    </row>
    <row r="45517" spans="191:191" x14ac:dyDescent="0.2">
      <c r="GI45517" s="422"/>
    </row>
    <row r="45518" spans="191:191" x14ac:dyDescent="0.2">
      <c r="GI45518" s="422"/>
    </row>
    <row r="45519" spans="191:191" x14ac:dyDescent="0.2">
      <c r="GI45519" s="422"/>
    </row>
    <row r="45520" spans="191:191" x14ac:dyDescent="0.2">
      <c r="GI45520" s="422"/>
    </row>
    <row r="45521" spans="191:191" x14ac:dyDescent="0.2">
      <c r="GI45521" s="422"/>
    </row>
    <row r="45522" spans="191:191" x14ac:dyDescent="0.2">
      <c r="GI45522" s="422"/>
    </row>
    <row r="45523" spans="191:191" x14ac:dyDescent="0.2">
      <c r="GI45523" s="422"/>
    </row>
    <row r="45524" spans="191:191" x14ac:dyDescent="0.2">
      <c r="GI45524" s="422"/>
    </row>
    <row r="45525" spans="191:191" x14ac:dyDescent="0.2">
      <c r="GI45525" s="422"/>
    </row>
    <row r="45526" spans="191:191" x14ac:dyDescent="0.2">
      <c r="GI45526" s="422"/>
    </row>
    <row r="45527" spans="191:191" x14ac:dyDescent="0.2">
      <c r="GI45527" s="422"/>
    </row>
    <row r="45528" spans="191:191" x14ac:dyDescent="0.2">
      <c r="GI45528" s="422"/>
    </row>
    <row r="45529" spans="191:191" x14ac:dyDescent="0.2">
      <c r="GI45529" s="422"/>
    </row>
    <row r="45530" spans="191:191" x14ac:dyDescent="0.2">
      <c r="GI45530" s="422"/>
    </row>
    <row r="45531" spans="191:191" x14ac:dyDescent="0.2">
      <c r="GI45531" s="422"/>
    </row>
    <row r="45532" spans="191:191" x14ac:dyDescent="0.2">
      <c r="GI45532" s="422"/>
    </row>
    <row r="45533" spans="191:191" x14ac:dyDescent="0.2">
      <c r="GI45533" s="422"/>
    </row>
    <row r="45534" spans="191:191" x14ac:dyDescent="0.2">
      <c r="GI45534" s="422"/>
    </row>
    <row r="45535" spans="191:191" x14ac:dyDescent="0.2">
      <c r="GI45535" s="422"/>
    </row>
    <row r="45536" spans="191:191" x14ac:dyDescent="0.2">
      <c r="GI45536" s="422"/>
    </row>
    <row r="45537" spans="191:191" x14ac:dyDescent="0.2">
      <c r="GI45537" s="422"/>
    </row>
    <row r="45538" spans="191:191" x14ac:dyDescent="0.2">
      <c r="GI45538" s="422"/>
    </row>
    <row r="45539" spans="191:191" x14ac:dyDescent="0.2">
      <c r="GI45539" s="422"/>
    </row>
    <row r="45540" spans="191:191" x14ac:dyDescent="0.2">
      <c r="GI45540" s="422"/>
    </row>
    <row r="45541" spans="191:191" x14ac:dyDescent="0.2">
      <c r="GI45541" s="422"/>
    </row>
    <row r="45542" spans="191:191" x14ac:dyDescent="0.2">
      <c r="GI45542" s="422"/>
    </row>
    <row r="45543" spans="191:191" x14ac:dyDescent="0.2">
      <c r="GI45543" s="422"/>
    </row>
    <row r="45544" spans="191:191" x14ac:dyDescent="0.2">
      <c r="GI45544" s="422"/>
    </row>
    <row r="45545" spans="191:191" x14ac:dyDescent="0.2">
      <c r="GI45545" s="422"/>
    </row>
    <row r="45546" spans="191:191" x14ac:dyDescent="0.2">
      <c r="GI45546" s="422"/>
    </row>
    <row r="45547" spans="191:191" x14ac:dyDescent="0.2">
      <c r="GI45547" s="422"/>
    </row>
    <row r="45548" spans="191:191" x14ac:dyDescent="0.2">
      <c r="GI45548" s="422"/>
    </row>
    <row r="45549" spans="191:191" x14ac:dyDescent="0.2">
      <c r="GI45549" s="422"/>
    </row>
    <row r="45550" spans="191:191" x14ac:dyDescent="0.2">
      <c r="GI45550" s="422"/>
    </row>
    <row r="45551" spans="191:191" x14ac:dyDescent="0.2">
      <c r="GI45551" s="422"/>
    </row>
    <row r="45552" spans="191:191" x14ac:dyDescent="0.2">
      <c r="GI45552" s="422"/>
    </row>
    <row r="45553" spans="191:191" x14ac:dyDescent="0.2">
      <c r="GI45553" s="422"/>
    </row>
    <row r="45554" spans="191:191" x14ac:dyDescent="0.2">
      <c r="GI45554" s="422"/>
    </row>
    <row r="45555" spans="191:191" x14ac:dyDescent="0.2">
      <c r="GI45555" s="422"/>
    </row>
    <row r="45556" spans="191:191" x14ac:dyDescent="0.2">
      <c r="GI45556" s="422"/>
    </row>
    <row r="45557" spans="191:191" x14ac:dyDescent="0.2">
      <c r="GI45557" s="422"/>
    </row>
    <row r="45558" spans="191:191" x14ac:dyDescent="0.2">
      <c r="GI45558" s="422"/>
    </row>
    <row r="45559" spans="191:191" x14ac:dyDescent="0.2">
      <c r="GI45559" s="422"/>
    </row>
    <row r="45560" spans="191:191" x14ac:dyDescent="0.2">
      <c r="GI45560" s="422"/>
    </row>
    <row r="45561" spans="191:191" x14ac:dyDescent="0.2">
      <c r="GI45561" s="422"/>
    </row>
    <row r="45562" spans="191:191" x14ac:dyDescent="0.2">
      <c r="GI45562" s="422"/>
    </row>
    <row r="45563" spans="191:191" x14ac:dyDescent="0.2">
      <c r="GI45563" s="422"/>
    </row>
    <row r="45564" spans="191:191" x14ac:dyDescent="0.2">
      <c r="GI45564" s="422"/>
    </row>
    <row r="45565" spans="191:191" x14ac:dyDescent="0.2">
      <c r="GI45565" s="422"/>
    </row>
    <row r="45566" spans="191:191" x14ac:dyDescent="0.2">
      <c r="GI45566" s="422"/>
    </row>
    <row r="45567" spans="191:191" x14ac:dyDescent="0.2">
      <c r="GI45567" s="422"/>
    </row>
    <row r="45568" spans="191:191" x14ac:dyDescent="0.2">
      <c r="GI45568" s="422"/>
    </row>
    <row r="45569" spans="191:191" x14ac:dyDescent="0.2">
      <c r="GI45569" s="422"/>
    </row>
    <row r="45570" spans="191:191" x14ac:dyDescent="0.2">
      <c r="GI45570" s="422"/>
    </row>
    <row r="45571" spans="191:191" x14ac:dyDescent="0.2">
      <c r="GI45571" s="422"/>
    </row>
    <row r="45572" spans="191:191" x14ac:dyDescent="0.2">
      <c r="GI45572" s="422"/>
    </row>
    <row r="45573" spans="191:191" x14ac:dyDescent="0.2">
      <c r="GI45573" s="422"/>
    </row>
    <row r="45574" spans="191:191" x14ac:dyDescent="0.2">
      <c r="GI45574" s="422"/>
    </row>
    <row r="45575" spans="191:191" x14ac:dyDescent="0.2">
      <c r="GI45575" s="422"/>
    </row>
    <row r="45576" spans="191:191" x14ac:dyDescent="0.2">
      <c r="GI45576" s="422"/>
    </row>
    <row r="45577" spans="191:191" x14ac:dyDescent="0.2">
      <c r="GI45577" s="422"/>
    </row>
    <row r="45578" spans="191:191" x14ac:dyDescent="0.2">
      <c r="GI45578" s="422"/>
    </row>
    <row r="45579" spans="191:191" x14ac:dyDescent="0.2">
      <c r="GI45579" s="422"/>
    </row>
    <row r="45580" spans="191:191" x14ac:dyDescent="0.2">
      <c r="GI45580" s="422"/>
    </row>
    <row r="45581" spans="191:191" x14ac:dyDescent="0.2">
      <c r="GI45581" s="422"/>
    </row>
    <row r="45582" spans="191:191" x14ac:dyDescent="0.2">
      <c r="GI45582" s="422"/>
    </row>
    <row r="45583" spans="191:191" x14ac:dyDescent="0.2">
      <c r="GI45583" s="422"/>
    </row>
    <row r="45584" spans="191:191" x14ac:dyDescent="0.2">
      <c r="GI45584" s="422"/>
    </row>
    <row r="45585" spans="191:191" x14ac:dyDescent="0.2">
      <c r="GI45585" s="422"/>
    </row>
    <row r="45586" spans="191:191" x14ac:dyDescent="0.2">
      <c r="GI45586" s="422"/>
    </row>
    <row r="45587" spans="191:191" x14ac:dyDescent="0.2">
      <c r="GI45587" s="422"/>
    </row>
    <row r="45588" spans="191:191" x14ac:dyDescent="0.2">
      <c r="GI45588" s="422"/>
    </row>
    <row r="45589" spans="191:191" x14ac:dyDescent="0.2">
      <c r="GI45589" s="422"/>
    </row>
    <row r="45590" spans="191:191" x14ac:dyDescent="0.2">
      <c r="GI45590" s="422"/>
    </row>
    <row r="45591" spans="191:191" x14ac:dyDescent="0.2">
      <c r="GI45591" s="422"/>
    </row>
    <row r="45592" spans="191:191" x14ac:dyDescent="0.2">
      <c r="GI45592" s="422"/>
    </row>
    <row r="45593" spans="191:191" x14ac:dyDescent="0.2">
      <c r="GI45593" s="422"/>
    </row>
    <row r="45594" spans="191:191" x14ac:dyDescent="0.2">
      <c r="GI45594" s="422"/>
    </row>
    <row r="45595" spans="191:191" x14ac:dyDescent="0.2">
      <c r="GI45595" s="422"/>
    </row>
    <row r="45596" spans="191:191" x14ac:dyDescent="0.2">
      <c r="GI45596" s="422"/>
    </row>
    <row r="45597" spans="191:191" x14ac:dyDescent="0.2">
      <c r="GI45597" s="422"/>
    </row>
    <row r="45598" spans="191:191" x14ac:dyDescent="0.2">
      <c r="GI45598" s="422"/>
    </row>
    <row r="45599" spans="191:191" x14ac:dyDescent="0.2">
      <c r="GI45599" s="422"/>
    </row>
    <row r="45600" spans="191:191" x14ac:dyDescent="0.2">
      <c r="GI45600" s="422"/>
    </row>
    <row r="45601" spans="191:191" x14ac:dyDescent="0.2">
      <c r="GI45601" s="422"/>
    </row>
    <row r="45602" spans="191:191" x14ac:dyDescent="0.2">
      <c r="GI45602" s="422"/>
    </row>
    <row r="45603" spans="191:191" x14ac:dyDescent="0.2">
      <c r="GI45603" s="422"/>
    </row>
    <row r="45604" spans="191:191" x14ac:dyDescent="0.2">
      <c r="GI45604" s="422"/>
    </row>
    <row r="45605" spans="191:191" x14ac:dyDescent="0.2">
      <c r="GI45605" s="422"/>
    </row>
    <row r="45606" spans="191:191" x14ac:dyDescent="0.2">
      <c r="GI45606" s="422"/>
    </row>
    <row r="45607" spans="191:191" x14ac:dyDescent="0.2">
      <c r="GI45607" s="422"/>
    </row>
    <row r="45608" spans="191:191" x14ac:dyDescent="0.2">
      <c r="GI45608" s="422"/>
    </row>
    <row r="45609" spans="191:191" x14ac:dyDescent="0.2">
      <c r="GI45609" s="422"/>
    </row>
    <row r="45610" spans="191:191" x14ac:dyDescent="0.2">
      <c r="GI45610" s="422"/>
    </row>
    <row r="45611" spans="191:191" x14ac:dyDescent="0.2">
      <c r="GI45611" s="422"/>
    </row>
    <row r="45612" spans="191:191" x14ac:dyDescent="0.2">
      <c r="GI45612" s="422"/>
    </row>
    <row r="45613" spans="191:191" x14ac:dyDescent="0.2">
      <c r="GI45613" s="422"/>
    </row>
    <row r="45614" spans="191:191" x14ac:dyDescent="0.2">
      <c r="GI45614" s="422"/>
    </row>
    <row r="45615" spans="191:191" x14ac:dyDescent="0.2">
      <c r="GI45615" s="422"/>
    </row>
    <row r="45616" spans="191:191" x14ac:dyDescent="0.2">
      <c r="GI45616" s="422"/>
    </row>
    <row r="45617" spans="191:191" x14ac:dyDescent="0.2">
      <c r="GI45617" s="422"/>
    </row>
    <row r="45618" spans="191:191" x14ac:dyDescent="0.2">
      <c r="GI45618" s="422"/>
    </row>
    <row r="45619" spans="191:191" x14ac:dyDescent="0.2">
      <c r="GI45619" s="422"/>
    </row>
    <row r="45620" spans="191:191" x14ac:dyDescent="0.2">
      <c r="GI45620" s="422"/>
    </row>
    <row r="45621" spans="191:191" x14ac:dyDescent="0.2">
      <c r="GI45621" s="422"/>
    </row>
    <row r="45622" spans="191:191" x14ac:dyDescent="0.2">
      <c r="GI45622" s="422"/>
    </row>
    <row r="45623" spans="191:191" x14ac:dyDescent="0.2">
      <c r="GI45623" s="422"/>
    </row>
    <row r="45624" spans="191:191" x14ac:dyDescent="0.2">
      <c r="GI45624" s="422"/>
    </row>
    <row r="45625" spans="191:191" x14ac:dyDescent="0.2">
      <c r="GI45625" s="422"/>
    </row>
    <row r="45626" spans="191:191" x14ac:dyDescent="0.2">
      <c r="GI45626" s="422"/>
    </row>
    <row r="45627" spans="191:191" x14ac:dyDescent="0.2">
      <c r="GI45627" s="422"/>
    </row>
    <row r="45628" spans="191:191" x14ac:dyDescent="0.2">
      <c r="GI45628" s="422"/>
    </row>
    <row r="45629" spans="191:191" x14ac:dyDescent="0.2">
      <c r="GI45629" s="422"/>
    </row>
    <row r="45630" spans="191:191" x14ac:dyDescent="0.2">
      <c r="GI45630" s="422"/>
    </row>
    <row r="45631" spans="191:191" x14ac:dyDescent="0.2">
      <c r="GI45631" s="422"/>
    </row>
    <row r="45632" spans="191:191" x14ac:dyDescent="0.2">
      <c r="GI45632" s="422"/>
    </row>
    <row r="45633" spans="191:191" x14ac:dyDescent="0.2">
      <c r="GI45633" s="422"/>
    </row>
    <row r="45634" spans="191:191" x14ac:dyDescent="0.2">
      <c r="GI45634" s="422"/>
    </row>
    <row r="45635" spans="191:191" x14ac:dyDescent="0.2">
      <c r="GI45635" s="422"/>
    </row>
    <row r="45636" spans="191:191" x14ac:dyDescent="0.2">
      <c r="GI45636" s="422"/>
    </row>
    <row r="45637" spans="191:191" x14ac:dyDescent="0.2">
      <c r="GI45637" s="422"/>
    </row>
    <row r="45638" spans="191:191" x14ac:dyDescent="0.2">
      <c r="GI45638" s="422"/>
    </row>
    <row r="45639" spans="191:191" x14ac:dyDescent="0.2">
      <c r="GI45639" s="422"/>
    </row>
    <row r="45640" spans="191:191" x14ac:dyDescent="0.2">
      <c r="GI45640" s="422"/>
    </row>
    <row r="45641" spans="191:191" x14ac:dyDescent="0.2">
      <c r="GI45641" s="422"/>
    </row>
    <row r="45642" spans="191:191" x14ac:dyDescent="0.2">
      <c r="GI45642" s="422"/>
    </row>
    <row r="45643" spans="191:191" x14ac:dyDescent="0.2">
      <c r="GI45643" s="422"/>
    </row>
    <row r="45644" spans="191:191" x14ac:dyDescent="0.2">
      <c r="GI45644" s="422"/>
    </row>
    <row r="45645" spans="191:191" x14ac:dyDescent="0.2">
      <c r="GI45645" s="422"/>
    </row>
    <row r="45646" spans="191:191" x14ac:dyDescent="0.2">
      <c r="GI45646" s="422"/>
    </row>
    <row r="45647" spans="191:191" x14ac:dyDescent="0.2">
      <c r="GI45647" s="422"/>
    </row>
    <row r="45648" spans="191:191" x14ac:dyDescent="0.2">
      <c r="GI45648" s="422"/>
    </row>
    <row r="45649" spans="191:191" x14ac:dyDescent="0.2">
      <c r="GI45649" s="422"/>
    </row>
    <row r="45650" spans="191:191" x14ac:dyDescent="0.2">
      <c r="GI45650" s="422"/>
    </row>
    <row r="45651" spans="191:191" x14ac:dyDescent="0.2">
      <c r="GI45651" s="422"/>
    </row>
    <row r="45652" spans="191:191" x14ac:dyDescent="0.2">
      <c r="GI45652" s="422"/>
    </row>
    <row r="45653" spans="191:191" x14ac:dyDescent="0.2">
      <c r="GI45653" s="422"/>
    </row>
    <row r="45654" spans="191:191" x14ac:dyDescent="0.2">
      <c r="GI45654" s="422"/>
    </row>
    <row r="45655" spans="191:191" x14ac:dyDescent="0.2">
      <c r="GI45655" s="422"/>
    </row>
    <row r="45656" spans="191:191" x14ac:dyDescent="0.2">
      <c r="GI45656" s="422"/>
    </row>
    <row r="45657" spans="191:191" x14ac:dyDescent="0.2">
      <c r="GI45657" s="422"/>
    </row>
    <row r="45658" spans="191:191" x14ac:dyDescent="0.2">
      <c r="GI45658" s="422"/>
    </row>
    <row r="45659" spans="191:191" x14ac:dyDescent="0.2">
      <c r="GI45659" s="422"/>
    </row>
    <row r="45660" spans="191:191" x14ac:dyDescent="0.2">
      <c r="GI45660" s="422"/>
    </row>
    <row r="45661" spans="191:191" x14ac:dyDescent="0.2">
      <c r="GI45661" s="422"/>
    </row>
    <row r="45662" spans="191:191" x14ac:dyDescent="0.2">
      <c r="GI45662" s="422"/>
    </row>
    <row r="45663" spans="191:191" x14ac:dyDescent="0.2">
      <c r="GI45663" s="422"/>
    </row>
    <row r="45664" spans="191:191" x14ac:dyDescent="0.2">
      <c r="GI45664" s="422"/>
    </row>
    <row r="45665" spans="191:191" x14ac:dyDescent="0.2">
      <c r="GI45665" s="422"/>
    </row>
    <row r="45666" spans="191:191" x14ac:dyDescent="0.2">
      <c r="GI45666" s="422"/>
    </row>
    <row r="45667" spans="191:191" x14ac:dyDescent="0.2">
      <c r="GI45667" s="422"/>
    </row>
    <row r="45668" spans="191:191" x14ac:dyDescent="0.2">
      <c r="GI45668" s="422"/>
    </row>
    <row r="45669" spans="191:191" x14ac:dyDescent="0.2">
      <c r="GI45669" s="422"/>
    </row>
    <row r="45670" spans="191:191" x14ac:dyDescent="0.2">
      <c r="GI45670" s="422"/>
    </row>
    <row r="45671" spans="191:191" x14ac:dyDescent="0.2">
      <c r="GI45671" s="422"/>
    </row>
    <row r="45672" spans="191:191" x14ac:dyDescent="0.2">
      <c r="GI45672" s="422"/>
    </row>
    <row r="45673" spans="191:191" x14ac:dyDescent="0.2">
      <c r="GI45673" s="422"/>
    </row>
    <row r="45674" spans="191:191" x14ac:dyDescent="0.2">
      <c r="GI45674" s="422"/>
    </row>
    <row r="45675" spans="191:191" x14ac:dyDescent="0.2">
      <c r="GI45675" s="422"/>
    </row>
    <row r="45676" spans="191:191" x14ac:dyDescent="0.2">
      <c r="GI45676" s="422"/>
    </row>
    <row r="45677" spans="191:191" x14ac:dyDescent="0.2">
      <c r="GI45677" s="422"/>
    </row>
    <row r="45678" spans="191:191" x14ac:dyDescent="0.2">
      <c r="GI45678" s="422"/>
    </row>
    <row r="45679" spans="191:191" x14ac:dyDescent="0.2">
      <c r="GI45679" s="422"/>
    </row>
    <row r="45680" spans="191:191" x14ac:dyDescent="0.2">
      <c r="GI45680" s="422"/>
    </row>
    <row r="45681" spans="191:191" x14ac:dyDescent="0.2">
      <c r="GI45681" s="422"/>
    </row>
    <row r="45682" spans="191:191" x14ac:dyDescent="0.2">
      <c r="GI45682" s="422"/>
    </row>
    <row r="45683" spans="191:191" x14ac:dyDescent="0.2">
      <c r="GI45683" s="422"/>
    </row>
    <row r="45684" spans="191:191" x14ac:dyDescent="0.2">
      <c r="GI45684" s="422"/>
    </row>
    <row r="45685" spans="191:191" x14ac:dyDescent="0.2">
      <c r="GI45685" s="422"/>
    </row>
    <row r="45686" spans="191:191" x14ac:dyDescent="0.2">
      <c r="GI45686" s="422"/>
    </row>
    <row r="45687" spans="191:191" x14ac:dyDescent="0.2">
      <c r="GI45687" s="422"/>
    </row>
    <row r="45688" spans="191:191" x14ac:dyDescent="0.2">
      <c r="GI45688" s="422"/>
    </row>
    <row r="45689" spans="191:191" x14ac:dyDescent="0.2">
      <c r="GI45689" s="422"/>
    </row>
    <row r="45690" spans="191:191" x14ac:dyDescent="0.2">
      <c r="GI45690" s="422"/>
    </row>
    <row r="45691" spans="191:191" x14ac:dyDescent="0.2">
      <c r="GI45691" s="422"/>
    </row>
    <row r="45692" spans="191:191" x14ac:dyDescent="0.2">
      <c r="GI45692" s="422"/>
    </row>
    <row r="45693" spans="191:191" x14ac:dyDescent="0.2">
      <c r="GI45693" s="422"/>
    </row>
    <row r="45694" spans="191:191" x14ac:dyDescent="0.2">
      <c r="GI45694" s="422"/>
    </row>
    <row r="45695" spans="191:191" x14ac:dyDescent="0.2">
      <c r="GI45695" s="422"/>
    </row>
    <row r="45696" spans="191:191" x14ac:dyDescent="0.2">
      <c r="GI45696" s="422"/>
    </row>
    <row r="45697" spans="191:191" x14ac:dyDescent="0.2">
      <c r="GI45697" s="422"/>
    </row>
    <row r="45698" spans="191:191" x14ac:dyDescent="0.2">
      <c r="GI45698" s="422"/>
    </row>
    <row r="45699" spans="191:191" x14ac:dyDescent="0.2">
      <c r="GI45699" s="422"/>
    </row>
    <row r="45700" spans="191:191" x14ac:dyDescent="0.2">
      <c r="GI45700" s="422"/>
    </row>
    <row r="45701" spans="191:191" x14ac:dyDescent="0.2">
      <c r="GI45701" s="422"/>
    </row>
    <row r="45702" spans="191:191" x14ac:dyDescent="0.2">
      <c r="GI45702" s="422"/>
    </row>
    <row r="45703" spans="191:191" x14ac:dyDescent="0.2">
      <c r="GI45703" s="422"/>
    </row>
    <row r="45704" spans="191:191" x14ac:dyDescent="0.2">
      <c r="GI45704" s="422"/>
    </row>
    <row r="45705" spans="191:191" x14ac:dyDescent="0.2">
      <c r="GI45705" s="422"/>
    </row>
    <row r="45706" spans="191:191" x14ac:dyDescent="0.2">
      <c r="GI45706" s="422"/>
    </row>
    <row r="45707" spans="191:191" x14ac:dyDescent="0.2">
      <c r="GI45707" s="422"/>
    </row>
    <row r="45708" spans="191:191" x14ac:dyDescent="0.2">
      <c r="GI45708" s="422"/>
    </row>
    <row r="45709" spans="191:191" x14ac:dyDescent="0.2">
      <c r="GI45709" s="422"/>
    </row>
    <row r="45710" spans="191:191" x14ac:dyDescent="0.2">
      <c r="GI45710" s="422"/>
    </row>
    <row r="45711" spans="191:191" x14ac:dyDescent="0.2">
      <c r="GI45711" s="422"/>
    </row>
    <row r="45712" spans="191:191" x14ac:dyDescent="0.2">
      <c r="GI45712" s="422"/>
    </row>
    <row r="45713" spans="191:191" x14ac:dyDescent="0.2">
      <c r="GI45713" s="422"/>
    </row>
    <row r="45714" spans="191:191" x14ac:dyDescent="0.2">
      <c r="GI45714" s="422"/>
    </row>
    <row r="45715" spans="191:191" x14ac:dyDescent="0.2">
      <c r="GI45715" s="422"/>
    </row>
    <row r="45716" spans="191:191" x14ac:dyDescent="0.2">
      <c r="GI45716" s="422"/>
    </row>
    <row r="45717" spans="191:191" x14ac:dyDescent="0.2">
      <c r="GI45717" s="422"/>
    </row>
    <row r="45718" spans="191:191" x14ac:dyDescent="0.2">
      <c r="GI45718" s="422"/>
    </row>
    <row r="45719" spans="191:191" x14ac:dyDescent="0.2">
      <c r="GI45719" s="422"/>
    </row>
    <row r="45720" spans="191:191" x14ac:dyDescent="0.2">
      <c r="GI45720" s="422"/>
    </row>
    <row r="45721" spans="191:191" x14ac:dyDescent="0.2">
      <c r="GI45721" s="422"/>
    </row>
    <row r="45722" spans="191:191" x14ac:dyDescent="0.2">
      <c r="GI45722" s="422"/>
    </row>
    <row r="45723" spans="191:191" x14ac:dyDescent="0.2">
      <c r="GI45723" s="422"/>
    </row>
    <row r="45724" spans="191:191" x14ac:dyDescent="0.2">
      <c r="GI45724" s="422"/>
    </row>
    <row r="45725" spans="191:191" x14ac:dyDescent="0.2">
      <c r="GI45725" s="422"/>
    </row>
    <row r="45726" spans="191:191" x14ac:dyDescent="0.2">
      <c r="GI45726" s="422"/>
    </row>
    <row r="45727" spans="191:191" x14ac:dyDescent="0.2">
      <c r="GI45727" s="422"/>
    </row>
    <row r="45728" spans="191:191" x14ac:dyDescent="0.2">
      <c r="GI45728" s="422"/>
    </row>
    <row r="45729" spans="191:191" x14ac:dyDescent="0.2">
      <c r="GI45729" s="422"/>
    </row>
    <row r="45730" spans="191:191" x14ac:dyDescent="0.2">
      <c r="GI45730" s="422"/>
    </row>
    <row r="45731" spans="191:191" x14ac:dyDescent="0.2">
      <c r="GI45731" s="422"/>
    </row>
    <row r="45732" spans="191:191" x14ac:dyDescent="0.2">
      <c r="GI45732" s="422"/>
    </row>
    <row r="45733" spans="191:191" x14ac:dyDescent="0.2">
      <c r="GI45733" s="422"/>
    </row>
    <row r="45734" spans="191:191" x14ac:dyDescent="0.2">
      <c r="GI45734" s="422"/>
    </row>
    <row r="45735" spans="191:191" x14ac:dyDescent="0.2">
      <c r="GI45735" s="422"/>
    </row>
    <row r="45736" spans="191:191" x14ac:dyDescent="0.2">
      <c r="GI45736" s="422"/>
    </row>
    <row r="45737" spans="191:191" x14ac:dyDescent="0.2">
      <c r="GI45737" s="422"/>
    </row>
    <row r="45738" spans="191:191" x14ac:dyDescent="0.2">
      <c r="GI45738" s="422"/>
    </row>
    <row r="45739" spans="191:191" x14ac:dyDescent="0.2">
      <c r="GI45739" s="422"/>
    </row>
    <row r="45740" spans="191:191" x14ac:dyDescent="0.2">
      <c r="GI45740" s="422"/>
    </row>
    <row r="45741" spans="191:191" x14ac:dyDescent="0.2">
      <c r="GI45741" s="422"/>
    </row>
    <row r="45742" spans="191:191" x14ac:dyDescent="0.2">
      <c r="GI45742" s="422"/>
    </row>
    <row r="45743" spans="191:191" x14ac:dyDescent="0.2">
      <c r="GI45743" s="422"/>
    </row>
    <row r="45744" spans="191:191" x14ac:dyDescent="0.2">
      <c r="GI45744" s="422"/>
    </row>
    <row r="45745" spans="191:191" x14ac:dyDescent="0.2">
      <c r="GI45745" s="422"/>
    </row>
    <row r="45746" spans="191:191" x14ac:dyDescent="0.2">
      <c r="GI45746" s="422"/>
    </row>
    <row r="45747" spans="191:191" x14ac:dyDescent="0.2">
      <c r="GI45747" s="422"/>
    </row>
    <row r="45748" spans="191:191" x14ac:dyDescent="0.2">
      <c r="GI45748" s="422"/>
    </row>
    <row r="45749" spans="191:191" x14ac:dyDescent="0.2">
      <c r="GI45749" s="422"/>
    </row>
    <row r="45750" spans="191:191" x14ac:dyDescent="0.2">
      <c r="GI45750" s="422"/>
    </row>
    <row r="45751" spans="191:191" x14ac:dyDescent="0.2">
      <c r="GI45751" s="422"/>
    </row>
    <row r="45752" spans="191:191" x14ac:dyDescent="0.2">
      <c r="GI45752" s="422"/>
    </row>
    <row r="45753" spans="191:191" x14ac:dyDescent="0.2">
      <c r="GI45753" s="422"/>
    </row>
    <row r="45754" spans="191:191" x14ac:dyDescent="0.2">
      <c r="GI45754" s="422"/>
    </row>
    <row r="45755" spans="191:191" x14ac:dyDescent="0.2">
      <c r="GI45755" s="422"/>
    </row>
    <row r="45756" spans="191:191" x14ac:dyDescent="0.2">
      <c r="GI45756" s="422"/>
    </row>
    <row r="45757" spans="191:191" x14ac:dyDescent="0.2">
      <c r="GI45757" s="422"/>
    </row>
    <row r="45758" spans="191:191" x14ac:dyDescent="0.2">
      <c r="GI45758" s="422"/>
    </row>
    <row r="45759" spans="191:191" x14ac:dyDescent="0.2">
      <c r="GI45759" s="422"/>
    </row>
    <row r="45760" spans="191:191" x14ac:dyDescent="0.2">
      <c r="GI45760" s="422"/>
    </row>
    <row r="45761" spans="191:191" x14ac:dyDescent="0.2">
      <c r="GI45761" s="422"/>
    </row>
    <row r="45762" spans="191:191" x14ac:dyDescent="0.2">
      <c r="GI45762" s="422"/>
    </row>
    <row r="45763" spans="191:191" x14ac:dyDescent="0.2">
      <c r="GI45763" s="422"/>
    </row>
    <row r="45764" spans="191:191" x14ac:dyDescent="0.2">
      <c r="GI45764" s="422"/>
    </row>
    <row r="45765" spans="191:191" x14ac:dyDescent="0.2">
      <c r="GI45765" s="422"/>
    </row>
    <row r="45766" spans="191:191" x14ac:dyDescent="0.2">
      <c r="GI45766" s="422"/>
    </row>
    <row r="45767" spans="191:191" x14ac:dyDescent="0.2">
      <c r="GI45767" s="422"/>
    </row>
    <row r="45768" spans="191:191" x14ac:dyDescent="0.2">
      <c r="GI45768" s="422"/>
    </row>
    <row r="45769" spans="191:191" x14ac:dyDescent="0.2">
      <c r="GI45769" s="422"/>
    </row>
    <row r="45770" spans="191:191" x14ac:dyDescent="0.2">
      <c r="GI45770" s="422"/>
    </row>
    <row r="45771" spans="191:191" x14ac:dyDescent="0.2">
      <c r="GI45771" s="422"/>
    </row>
    <row r="45772" spans="191:191" x14ac:dyDescent="0.2">
      <c r="GI45772" s="422"/>
    </row>
    <row r="45773" spans="191:191" x14ac:dyDescent="0.2">
      <c r="GI45773" s="422"/>
    </row>
    <row r="45774" spans="191:191" x14ac:dyDescent="0.2">
      <c r="GI45774" s="422"/>
    </row>
    <row r="45775" spans="191:191" x14ac:dyDescent="0.2">
      <c r="GI45775" s="422"/>
    </row>
    <row r="45776" spans="191:191" x14ac:dyDescent="0.2">
      <c r="GI45776" s="422"/>
    </row>
    <row r="45777" spans="191:191" x14ac:dyDescent="0.2">
      <c r="GI45777" s="422"/>
    </row>
    <row r="45778" spans="191:191" x14ac:dyDescent="0.2">
      <c r="GI45778" s="422"/>
    </row>
    <row r="45779" spans="191:191" x14ac:dyDescent="0.2">
      <c r="GI45779" s="422"/>
    </row>
    <row r="45780" spans="191:191" x14ac:dyDescent="0.2">
      <c r="GI45780" s="422"/>
    </row>
    <row r="45781" spans="191:191" x14ac:dyDescent="0.2">
      <c r="GI45781" s="422"/>
    </row>
    <row r="45782" spans="191:191" x14ac:dyDescent="0.2">
      <c r="GI45782" s="422"/>
    </row>
    <row r="45783" spans="191:191" x14ac:dyDescent="0.2">
      <c r="GI45783" s="422"/>
    </row>
    <row r="45784" spans="191:191" x14ac:dyDescent="0.2">
      <c r="GI45784" s="422"/>
    </row>
    <row r="45785" spans="191:191" x14ac:dyDescent="0.2">
      <c r="GI45785" s="422"/>
    </row>
    <row r="45786" spans="191:191" x14ac:dyDescent="0.2">
      <c r="GI45786" s="422"/>
    </row>
    <row r="45787" spans="191:191" x14ac:dyDescent="0.2">
      <c r="GI45787" s="422"/>
    </row>
    <row r="45788" spans="191:191" x14ac:dyDescent="0.2">
      <c r="GI45788" s="422"/>
    </row>
    <row r="45789" spans="191:191" x14ac:dyDescent="0.2">
      <c r="GI45789" s="422"/>
    </row>
    <row r="45790" spans="191:191" x14ac:dyDescent="0.2">
      <c r="GI45790" s="422"/>
    </row>
    <row r="45791" spans="191:191" x14ac:dyDescent="0.2">
      <c r="GI45791" s="422"/>
    </row>
    <row r="45792" spans="191:191" x14ac:dyDescent="0.2">
      <c r="GI45792" s="422"/>
    </row>
    <row r="45793" spans="191:191" x14ac:dyDescent="0.2">
      <c r="GI45793" s="422"/>
    </row>
    <row r="45794" spans="191:191" x14ac:dyDescent="0.2">
      <c r="GI45794" s="422"/>
    </row>
    <row r="45795" spans="191:191" x14ac:dyDescent="0.2">
      <c r="GI45795" s="422"/>
    </row>
    <row r="45796" spans="191:191" x14ac:dyDescent="0.2">
      <c r="GI45796" s="422"/>
    </row>
    <row r="45797" spans="191:191" x14ac:dyDescent="0.2">
      <c r="GI45797" s="422"/>
    </row>
    <row r="45798" spans="191:191" x14ac:dyDescent="0.2">
      <c r="GI45798" s="422"/>
    </row>
    <row r="45799" spans="191:191" x14ac:dyDescent="0.2">
      <c r="GI45799" s="422"/>
    </row>
    <row r="45800" spans="191:191" x14ac:dyDescent="0.2">
      <c r="GI45800" s="422"/>
    </row>
    <row r="45801" spans="191:191" x14ac:dyDescent="0.2">
      <c r="GI45801" s="422"/>
    </row>
    <row r="45802" spans="191:191" x14ac:dyDescent="0.2">
      <c r="GI45802" s="422"/>
    </row>
    <row r="45803" spans="191:191" x14ac:dyDescent="0.2">
      <c r="GI45803" s="422"/>
    </row>
    <row r="45804" spans="191:191" x14ac:dyDescent="0.2">
      <c r="GI45804" s="422"/>
    </row>
    <row r="45805" spans="191:191" x14ac:dyDescent="0.2">
      <c r="GI45805" s="422"/>
    </row>
    <row r="45806" spans="191:191" x14ac:dyDescent="0.2">
      <c r="GI45806" s="422"/>
    </row>
    <row r="45807" spans="191:191" x14ac:dyDescent="0.2">
      <c r="GI45807" s="422"/>
    </row>
    <row r="45808" spans="191:191" x14ac:dyDescent="0.2">
      <c r="GI45808" s="422"/>
    </row>
    <row r="45809" spans="191:191" x14ac:dyDescent="0.2">
      <c r="GI45809" s="422"/>
    </row>
    <row r="45810" spans="191:191" x14ac:dyDescent="0.2">
      <c r="GI45810" s="422"/>
    </row>
    <row r="45811" spans="191:191" x14ac:dyDescent="0.2">
      <c r="GI45811" s="422"/>
    </row>
    <row r="45812" spans="191:191" x14ac:dyDescent="0.2">
      <c r="GI45812" s="422"/>
    </row>
    <row r="45813" spans="191:191" x14ac:dyDescent="0.2">
      <c r="GI45813" s="422"/>
    </row>
    <row r="45814" spans="191:191" x14ac:dyDescent="0.2">
      <c r="GI45814" s="422"/>
    </row>
    <row r="45815" spans="191:191" x14ac:dyDescent="0.2">
      <c r="GI45815" s="422"/>
    </row>
    <row r="45816" spans="191:191" x14ac:dyDescent="0.2">
      <c r="GI45816" s="422"/>
    </row>
    <row r="45817" spans="191:191" x14ac:dyDescent="0.2">
      <c r="GI45817" s="422"/>
    </row>
    <row r="45818" spans="191:191" x14ac:dyDescent="0.2">
      <c r="GI45818" s="422"/>
    </row>
    <row r="45819" spans="191:191" x14ac:dyDescent="0.2">
      <c r="GI45819" s="422"/>
    </row>
    <row r="45820" spans="191:191" x14ac:dyDescent="0.2">
      <c r="GI45820" s="422"/>
    </row>
    <row r="45821" spans="191:191" x14ac:dyDescent="0.2">
      <c r="GI45821" s="422"/>
    </row>
    <row r="45822" spans="191:191" x14ac:dyDescent="0.2">
      <c r="GI45822" s="422"/>
    </row>
    <row r="45823" spans="191:191" x14ac:dyDescent="0.2">
      <c r="GI45823" s="422"/>
    </row>
    <row r="45824" spans="191:191" x14ac:dyDescent="0.2">
      <c r="GI45824" s="422"/>
    </row>
    <row r="45825" spans="191:191" x14ac:dyDescent="0.2">
      <c r="GI45825" s="422"/>
    </row>
    <row r="45826" spans="191:191" x14ac:dyDescent="0.2">
      <c r="GI45826" s="422"/>
    </row>
    <row r="45827" spans="191:191" x14ac:dyDescent="0.2">
      <c r="GI45827" s="422"/>
    </row>
    <row r="45828" spans="191:191" x14ac:dyDescent="0.2">
      <c r="GI45828" s="422"/>
    </row>
    <row r="45829" spans="191:191" x14ac:dyDescent="0.2">
      <c r="GI45829" s="422"/>
    </row>
    <row r="45830" spans="191:191" x14ac:dyDescent="0.2">
      <c r="GI45830" s="422"/>
    </row>
    <row r="45831" spans="191:191" x14ac:dyDescent="0.2">
      <c r="GI45831" s="422"/>
    </row>
    <row r="45832" spans="191:191" x14ac:dyDescent="0.2">
      <c r="GI45832" s="422"/>
    </row>
    <row r="45833" spans="191:191" x14ac:dyDescent="0.2">
      <c r="GI45833" s="422"/>
    </row>
    <row r="45834" spans="191:191" x14ac:dyDescent="0.2">
      <c r="GI45834" s="422"/>
    </row>
    <row r="45835" spans="191:191" x14ac:dyDescent="0.2">
      <c r="GI45835" s="422"/>
    </row>
    <row r="45836" spans="191:191" x14ac:dyDescent="0.2">
      <c r="GI45836" s="422"/>
    </row>
    <row r="45837" spans="191:191" x14ac:dyDescent="0.2">
      <c r="GI45837" s="422"/>
    </row>
    <row r="45838" spans="191:191" x14ac:dyDescent="0.2">
      <c r="GI45838" s="422"/>
    </row>
    <row r="45839" spans="191:191" x14ac:dyDescent="0.2">
      <c r="GI45839" s="422"/>
    </row>
    <row r="45840" spans="191:191" x14ac:dyDescent="0.2">
      <c r="GI45840" s="422"/>
    </row>
    <row r="45841" spans="191:191" x14ac:dyDescent="0.2">
      <c r="GI45841" s="422"/>
    </row>
    <row r="45842" spans="191:191" x14ac:dyDescent="0.2">
      <c r="GI45842" s="422"/>
    </row>
    <row r="45843" spans="191:191" x14ac:dyDescent="0.2">
      <c r="GI45843" s="422"/>
    </row>
    <row r="45844" spans="191:191" x14ac:dyDescent="0.2">
      <c r="GI45844" s="422"/>
    </row>
    <row r="45845" spans="191:191" x14ac:dyDescent="0.2">
      <c r="GI45845" s="422"/>
    </row>
    <row r="45846" spans="191:191" x14ac:dyDescent="0.2">
      <c r="GI45846" s="422"/>
    </row>
    <row r="45847" spans="191:191" x14ac:dyDescent="0.2">
      <c r="GI45847" s="422"/>
    </row>
    <row r="45848" spans="191:191" x14ac:dyDescent="0.2">
      <c r="GI45848" s="422"/>
    </row>
    <row r="45849" spans="191:191" x14ac:dyDescent="0.2">
      <c r="GI45849" s="422"/>
    </row>
    <row r="45850" spans="191:191" x14ac:dyDescent="0.2">
      <c r="GI45850" s="422"/>
    </row>
    <row r="45851" spans="191:191" x14ac:dyDescent="0.2">
      <c r="GI45851" s="422"/>
    </row>
    <row r="45852" spans="191:191" x14ac:dyDescent="0.2">
      <c r="GI45852" s="422"/>
    </row>
    <row r="45853" spans="191:191" x14ac:dyDescent="0.2">
      <c r="GI45853" s="422"/>
    </row>
    <row r="45854" spans="191:191" x14ac:dyDescent="0.2">
      <c r="GI45854" s="422"/>
    </row>
    <row r="45855" spans="191:191" x14ac:dyDescent="0.2">
      <c r="GI45855" s="422"/>
    </row>
    <row r="45856" spans="191:191" x14ac:dyDescent="0.2">
      <c r="GI45856" s="422"/>
    </row>
    <row r="45857" spans="191:191" x14ac:dyDescent="0.2">
      <c r="GI45857" s="422"/>
    </row>
    <row r="45858" spans="191:191" x14ac:dyDescent="0.2">
      <c r="GI45858" s="422"/>
    </row>
    <row r="45859" spans="191:191" x14ac:dyDescent="0.2">
      <c r="GI45859" s="422"/>
    </row>
    <row r="45860" spans="191:191" x14ac:dyDescent="0.2">
      <c r="GI45860" s="422"/>
    </row>
    <row r="45861" spans="191:191" x14ac:dyDescent="0.2">
      <c r="GI45861" s="422"/>
    </row>
    <row r="45862" spans="191:191" x14ac:dyDescent="0.2">
      <c r="GI45862" s="422"/>
    </row>
    <row r="45863" spans="191:191" x14ac:dyDescent="0.2">
      <c r="GI45863" s="422"/>
    </row>
    <row r="45864" spans="191:191" x14ac:dyDescent="0.2">
      <c r="GI45864" s="422"/>
    </row>
    <row r="45865" spans="191:191" x14ac:dyDescent="0.2">
      <c r="GI45865" s="422"/>
    </row>
    <row r="45866" spans="191:191" x14ac:dyDescent="0.2">
      <c r="GI45866" s="422"/>
    </row>
    <row r="45867" spans="191:191" x14ac:dyDescent="0.2">
      <c r="GI45867" s="422"/>
    </row>
    <row r="45868" spans="191:191" x14ac:dyDescent="0.2">
      <c r="GI45868" s="422"/>
    </row>
    <row r="45869" spans="191:191" x14ac:dyDescent="0.2">
      <c r="GI45869" s="422"/>
    </row>
    <row r="45870" spans="191:191" x14ac:dyDescent="0.2">
      <c r="GI45870" s="422"/>
    </row>
    <row r="45871" spans="191:191" x14ac:dyDescent="0.2">
      <c r="GI45871" s="422"/>
    </row>
    <row r="45872" spans="191:191" x14ac:dyDescent="0.2">
      <c r="GI45872" s="422"/>
    </row>
    <row r="45873" spans="191:191" x14ac:dyDescent="0.2">
      <c r="GI45873" s="422"/>
    </row>
    <row r="45874" spans="191:191" x14ac:dyDescent="0.2">
      <c r="GI45874" s="422"/>
    </row>
    <row r="45875" spans="191:191" x14ac:dyDescent="0.2">
      <c r="GI45875" s="422"/>
    </row>
    <row r="45876" spans="191:191" x14ac:dyDescent="0.2">
      <c r="GI45876" s="422"/>
    </row>
    <row r="45877" spans="191:191" x14ac:dyDescent="0.2">
      <c r="GI45877" s="422"/>
    </row>
    <row r="45878" spans="191:191" x14ac:dyDescent="0.2">
      <c r="GI45878" s="422"/>
    </row>
    <row r="45879" spans="191:191" x14ac:dyDescent="0.2">
      <c r="GI45879" s="422"/>
    </row>
    <row r="45880" spans="191:191" x14ac:dyDescent="0.2">
      <c r="GI45880" s="422"/>
    </row>
    <row r="45881" spans="191:191" x14ac:dyDescent="0.2">
      <c r="GI45881" s="422"/>
    </row>
    <row r="45882" spans="191:191" x14ac:dyDescent="0.2">
      <c r="GI45882" s="422"/>
    </row>
    <row r="45883" spans="191:191" x14ac:dyDescent="0.2">
      <c r="GI45883" s="422"/>
    </row>
    <row r="45884" spans="191:191" x14ac:dyDescent="0.2">
      <c r="GI45884" s="422"/>
    </row>
    <row r="45885" spans="191:191" x14ac:dyDescent="0.2">
      <c r="GI45885" s="422"/>
    </row>
    <row r="45886" spans="191:191" x14ac:dyDescent="0.2">
      <c r="GI45886" s="422"/>
    </row>
    <row r="45887" spans="191:191" x14ac:dyDescent="0.2">
      <c r="GI45887" s="422"/>
    </row>
    <row r="45888" spans="191:191" x14ac:dyDescent="0.2">
      <c r="GI45888" s="422"/>
    </row>
    <row r="45889" spans="191:191" x14ac:dyDescent="0.2">
      <c r="GI45889" s="422"/>
    </row>
    <row r="45890" spans="191:191" x14ac:dyDescent="0.2">
      <c r="GI45890" s="422"/>
    </row>
    <row r="45891" spans="191:191" x14ac:dyDescent="0.2">
      <c r="GI45891" s="422"/>
    </row>
    <row r="45892" spans="191:191" x14ac:dyDescent="0.2">
      <c r="GI45892" s="422"/>
    </row>
    <row r="45893" spans="191:191" x14ac:dyDescent="0.2">
      <c r="GI45893" s="422"/>
    </row>
    <row r="45894" spans="191:191" x14ac:dyDescent="0.2">
      <c r="GI45894" s="422"/>
    </row>
    <row r="45895" spans="191:191" x14ac:dyDescent="0.2">
      <c r="GI45895" s="422"/>
    </row>
    <row r="45896" spans="191:191" x14ac:dyDescent="0.2">
      <c r="GI45896" s="422"/>
    </row>
    <row r="45897" spans="191:191" x14ac:dyDescent="0.2">
      <c r="GI45897" s="422"/>
    </row>
    <row r="45898" spans="191:191" x14ac:dyDescent="0.2">
      <c r="GI45898" s="422"/>
    </row>
    <row r="45899" spans="191:191" x14ac:dyDescent="0.2">
      <c r="GI45899" s="422"/>
    </row>
    <row r="45900" spans="191:191" x14ac:dyDescent="0.2">
      <c r="GI45900" s="422"/>
    </row>
    <row r="45901" spans="191:191" x14ac:dyDescent="0.2">
      <c r="GI45901" s="422"/>
    </row>
    <row r="45902" spans="191:191" x14ac:dyDescent="0.2">
      <c r="GI45902" s="422"/>
    </row>
    <row r="45903" spans="191:191" x14ac:dyDescent="0.2">
      <c r="GI45903" s="422"/>
    </row>
    <row r="45904" spans="191:191" x14ac:dyDescent="0.2">
      <c r="GI45904" s="422"/>
    </row>
    <row r="45905" spans="191:191" x14ac:dyDescent="0.2">
      <c r="GI45905" s="422"/>
    </row>
    <row r="45906" spans="191:191" x14ac:dyDescent="0.2">
      <c r="GI45906" s="422"/>
    </row>
    <row r="45907" spans="191:191" x14ac:dyDescent="0.2">
      <c r="GI45907" s="422"/>
    </row>
    <row r="45908" spans="191:191" x14ac:dyDescent="0.2">
      <c r="GI45908" s="422"/>
    </row>
    <row r="45909" spans="191:191" x14ac:dyDescent="0.2">
      <c r="GI45909" s="422"/>
    </row>
    <row r="45910" spans="191:191" x14ac:dyDescent="0.2">
      <c r="GI45910" s="422"/>
    </row>
    <row r="45911" spans="191:191" x14ac:dyDescent="0.2">
      <c r="GI45911" s="422"/>
    </row>
    <row r="45912" spans="191:191" x14ac:dyDescent="0.2">
      <c r="GI45912" s="422"/>
    </row>
    <row r="45913" spans="191:191" x14ac:dyDescent="0.2">
      <c r="GI45913" s="422"/>
    </row>
    <row r="45914" spans="191:191" x14ac:dyDescent="0.2">
      <c r="GI45914" s="422"/>
    </row>
    <row r="45915" spans="191:191" x14ac:dyDescent="0.2">
      <c r="GI45915" s="422"/>
    </row>
    <row r="45916" spans="191:191" x14ac:dyDescent="0.2">
      <c r="GI45916" s="422"/>
    </row>
    <row r="45917" spans="191:191" x14ac:dyDescent="0.2">
      <c r="GI45917" s="422"/>
    </row>
    <row r="45918" spans="191:191" x14ac:dyDescent="0.2">
      <c r="GI45918" s="422"/>
    </row>
    <row r="45919" spans="191:191" x14ac:dyDescent="0.2">
      <c r="GI45919" s="422"/>
    </row>
    <row r="45920" spans="191:191" x14ac:dyDescent="0.2">
      <c r="GI45920" s="422"/>
    </row>
    <row r="45921" spans="191:191" x14ac:dyDescent="0.2">
      <c r="GI45921" s="422"/>
    </row>
    <row r="45922" spans="191:191" x14ac:dyDescent="0.2">
      <c r="GI45922" s="422"/>
    </row>
    <row r="45923" spans="191:191" x14ac:dyDescent="0.2">
      <c r="GI45923" s="422"/>
    </row>
    <row r="45924" spans="191:191" x14ac:dyDescent="0.2">
      <c r="GI45924" s="422"/>
    </row>
    <row r="45925" spans="191:191" x14ac:dyDescent="0.2">
      <c r="GI45925" s="422"/>
    </row>
    <row r="45926" spans="191:191" x14ac:dyDescent="0.2">
      <c r="GI45926" s="422"/>
    </row>
    <row r="45927" spans="191:191" x14ac:dyDescent="0.2">
      <c r="GI45927" s="422"/>
    </row>
    <row r="45928" spans="191:191" x14ac:dyDescent="0.2">
      <c r="GI45928" s="422"/>
    </row>
    <row r="45929" spans="191:191" x14ac:dyDescent="0.2">
      <c r="GI45929" s="422"/>
    </row>
    <row r="45930" spans="191:191" x14ac:dyDescent="0.2">
      <c r="GI45930" s="422"/>
    </row>
    <row r="45931" spans="191:191" x14ac:dyDescent="0.2">
      <c r="GI45931" s="422"/>
    </row>
    <row r="45932" spans="191:191" x14ac:dyDescent="0.2">
      <c r="GI45932" s="422"/>
    </row>
    <row r="45933" spans="191:191" x14ac:dyDescent="0.2">
      <c r="GI45933" s="422"/>
    </row>
    <row r="45934" spans="191:191" x14ac:dyDescent="0.2">
      <c r="GI45934" s="422"/>
    </row>
    <row r="45935" spans="191:191" x14ac:dyDescent="0.2">
      <c r="GI45935" s="422"/>
    </row>
    <row r="45936" spans="191:191" x14ac:dyDescent="0.2">
      <c r="GI45936" s="422"/>
    </row>
    <row r="45937" spans="191:191" x14ac:dyDescent="0.2">
      <c r="GI45937" s="422"/>
    </row>
    <row r="45938" spans="191:191" x14ac:dyDescent="0.2">
      <c r="GI45938" s="422"/>
    </row>
    <row r="45939" spans="191:191" x14ac:dyDescent="0.2">
      <c r="GI45939" s="422"/>
    </row>
    <row r="45940" spans="191:191" x14ac:dyDescent="0.2">
      <c r="GI45940" s="422"/>
    </row>
    <row r="45941" spans="191:191" x14ac:dyDescent="0.2">
      <c r="GI45941" s="422"/>
    </row>
    <row r="45942" spans="191:191" x14ac:dyDescent="0.2">
      <c r="GI45942" s="422"/>
    </row>
    <row r="45943" spans="191:191" x14ac:dyDescent="0.2">
      <c r="GI45943" s="422"/>
    </row>
    <row r="45944" spans="191:191" x14ac:dyDescent="0.2">
      <c r="GI45944" s="422"/>
    </row>
    <row r="45945" spans="191:191" x14ac:dyDescent="0.2">
      <c r="GI45945" s="422"/>
    </row>
    <row r="45946" spans="191:191" x14ac:dyDescent="0.2">
      <c r="GI45946" s="422"/>
    </row>
    <row r="45947" spans="191:191" x14ac:dyDescent="0.2">
      <c r="GI45947" s="422"/>
    </row>
    <row r="45948" spans="191:191" x14ac:dyDescent="0.2">
      <c r="GI45948" s="422"/>
    </row>
    <row r="45949" spans="191:191" x14ac:dyDescent="0.2">
      <c r="GI45949" s="422"/>
    </row>
    <row r="45950" spans="191:191" x14ac:dyDescent="0.2">
      <c r="GI45950" s="422"/>
    </row>
    <row r="45951" spans="191:191" x14ac:dyDescent="0.2">
      <c r="GI45951" s="422"/>
    </row>
    <row r="45952" spans="191:191" x14ac:dyDescent="0.2">
      <c r="GI45952" s="422"/>
    </row>
    <row r="45953" spans="191:191" x14ac:dyDescent="0.2">
      <c r="GI45953" s="422"/>
    </row>
    <row r="45954" spans="191:191" x14ac:dyDescent="0.2">
      <c r="GI45954" s="422"/>
    </row>
    <row r="45955" spans="191:191" x14ac:dyDescent="0.2">
      <c r="GI45955" s="422"/>
    </row>
    <row r="45956" spans="191:191" x14ac:dyDescent="0.2">
      <c r="GI45956" s="422"/>
    </row>
    <row r="45957" spans="191:191" x14ac:dyDescent="0.2">
      <c r="GI45957" s="422"/>
    </row>
    <row r="45958" spans="191:191" x14ac:dyDescent="0.2">
      <c r="GI45958" s="422"/>
    </row>
    <row r="45959" spans="191:191" x14ac:dyDescent="0.2">
      <c r="GI45959" s="422"/>
    </row>
    <row r="45960" spans="191:191" x14ac:dyDescent="0.2">
      <c r="GI45960" s="422"/>
    </row>
    <row r="45961" spans="191:191" x14ac:dyDescent="0.2">
      <c r="GI45961" s="422"/>
    </row>
    <row r="45962" spans="191:191" x14ac:dyDescent="0.2">
      <c r="GI45962" s="422"/>
    </row>
    <row r="45963" spans="191:191" x14ac:dyDescent="0.2">
      <c r="GI45963" s="422"/>
    </row>
    <row r="45964" spans="191:191" x14ac:dyDescent="0.2">
      <c r="GI45964" s="422"/>
    </row>
    <row r="45965" spans="191:191" x14ac:dyDescent="0.2">
      <c r="GI45965" s="422"/>
    </row>
    <row r="45966" spans="191:191" x14ac:dyDescent="0.2">
      <c r="GI45966" s="422"/>
    </row>
    <row r="45967" spans="191:191" x14ac:dyDescent="0.2">
      <c r="GI45967" s="422"/>
    </row>
    <row r="45968" spans="191:191" x14ac:dyDescent="0.2">
      <c r="GI45968" s="422"/>
    </row>
    <row r="45969" spans="191:191" x14ac:dyDescent="0.2">
      <c r="GI45969" s="422"/>
    </row>
    <row r="45970" spans="191:191" x14ac:dyDescent="0.2">
      <c r="GI45970" s="422"/>
    </row>
    <row r="45971" spans="191:191" x14ac:dyDescent="0.2">
      <c r="GI45971" s="422"/>
    </row>
    <row r="45972" spans="191:191" x14ac:dyDescent="0.2">
      <c r="GI45972" s="422"/>
    </row>
    <row r="45973" spans="191:191" x14ac:dyDescent="0.2">
      <c r="GI45973" s="422"/>
    </row>
    <row r="45974" spans="191:191" x14ac:dyDescent="0.2">
      <c r="GI45974" s="422"/>
    </row>
    <row r="45975" spans="191:191" x14ac:dyDescent="0.2">
      <c r="GI45975" s="422"/>
    </row>
    <row r="45976" spans="191:191" x14ac:dyDescent="0.2">
      <c r="GI45976" s="422"/>
    </row>
    <row r="45977" spans="191:191" x14ac:dyDescent="0.2">
      <c r="GI45977" s="422"/>
    </row>
    <row r="45978" spans="191:191" x14ac:dyDescent="0.2">
      <c r="GI45978" s="422"/>
    </row>
    <row r="45979" spans="191:191" x14ac:dyDescent="0.2">
      <c r="GI45979" s="422"/>
    </row>
    <row r="45980" spans="191:191" x14ac:dyDescent="0.2">
      <c r="GI45980" s="422"/>
    </row>
    <row r="45981" spans="191:191" x14ac:dyDescent="0.2">
      <c r="GI45981" s="422"/>
    </row>
    <row r="45982" spans="191:191" x14ac:dyDescent="0.2">
      <c r="GI45982" s="422"/>
    </row>
    <row r="45983" spans="191:191" x14ac:dyDescent="0.2">
      <c r="GI45983" s="422"/>
    </row>
    <row r="45984" spans="191:191" x14ac:dyDescent="0.2">
      <c r="GI45984" s="422"/>
    </row>
    <row r="45985" spans="191:191" x14ac:dyDescent="0.2">
      <c r="GI45985" s="422"/>
    </row>
    <row r="45986" spans="191:191" x14ac:dyDescent="0.2">
      <c r="GI45986" s="422"/>
    </row>
    <row r="45987" spans="191:191" x14ac:dyDescent="0.2">
      <c r="GI45987" s="422"/>
    </row>
    <row r="45988" spans="191:191" x14ac:dyDescent="0.2">
      <c r="GI45988" s="422"/>
    </row>
    <row r="45989" spans="191:191" x14ac:dyDescent="0.2">
      <c r="GI45989" s="422"/>
    </row>
    <row r="45990" spans="191:191" x14ac:dyDescent="0.2">
      <c r="GI45990" s="422"/>
    </row>
    <row r="45991" spans="191:191" x14ac:dyDescent="0.2">
      <c r="GI45991" s="422"/>
    </row>
    <row r="45992" spans="191:191" x14ac:dyDescent="0.2">
      <c r="GI45992" s="422"/>
    </row>
    <row r="45993" spans="191:191" x14ac:dyDescent="0.2">
      <c r="GI45993" s="422"/>
    </row>
    <row r="45994" spans="191:191" x14ac:dyDescent="0.2">
      <c r="GI45994" s="422"/>
    </row>
    <row r="45995" spans="191:191" x14ac:dyDescent="0.2">
      <c r="GI45995" s="422"/>
    </row>
    <row r="45996" spans="191:191" x14ac:dyDescent="0.2">
      <c r="GI45996" s="422"/>
    </row>
    <row r="45997" spans="191:191" x14ac:dyDescent="0.2">
      <c r="GI45997" s="422"/>
    </row>
    <row r="45998" spans="191:191" x14ac:dyDescent="0.2">
      <c r="GI45998" s="422"/>
    </row>
    <row r="45999" spans="191:191" x14ac:dyDescent="0.2">
      <c r="GI45999" s="422"/>
    </row>
    <row r="46000" spans="191:191" x14ac:dyDescent="0.2">
      <c r="GI46000" s="422"/>
    </row>
    <row r="46001" spans="191:191" x14ac:dyDescent="0.2">
      <c r="GI46001" s="422"/>
    </row>
    <row r="46002" spans="191:191" x14ac:dyDescent="0.2">
      <c r="GI46002" s="422"/>
    </row>
    <row r="46003" spans="191:191" x14ac:dyDescent="0.2">
      <c r="GI46003" s="422"/>
    </row>
    <row r="46004" spans="191:191" x14ac:dyDescent="0.2">
      <c r="GI46004" s="422"/>
    </row>
    <row r="46005" spans="191:191" x14ac:dyDescent="0.2">
      <c r="GI46005" s="422"/>
    </row>
    <row r="46006" spans="191:191" x14ac:dyDescent="0.2">
      <c r="GI46006" s="422"/>
    </row>
    <row r="46007" spans="191:191" x14ac:dyDescent="0.2">
      <c r="GI46007" s="422"/>
    </row>
    <row r="46008" spans="191:191" x14ac:dyDescent="0.2">
      <c r="GI46008" s="422"/>
    </row>
    <row r="46009" spans="191:191" x14ac:dyDescent="0.2">
      <c r="GI46009" s="422"/>
    </row>
    <row r="46010" spans="191:191" x14ac:dyDescent="0.2">
      <c r="GI46010" s="422"/>
    </row>
    <row r="46011" spans="191:191" x14ac:dyDescent="0.2">
      <c r="GI46011" s="422"/>
    </row>
    <row r="46012" spans="191:191" x14ac:dyDescent="0.2">
      <c r="GI46012" s="422"/>
    </row>
    <row r="46013" spans="191:191" x14ac:dyDescent="0.2">
      <c r="GI46013" s="422"/>
    </row>
    <row r="46014" spans="191:191" x14ac:dyDescent="0.2">
      <c r="GI46014" s="422"/>
    </row>
    <row r="46015" spans="191:191" x14ac:dyDescent="0.2">
      <c r="GI46015" s="422"/>
    </row>
    <row r="46016" spans="191:191" x14ac:dyDescent="0.2">
      <c r="GI46016" s="422"/>
    </row>
    <row r="46017" spans="191:191" x14ac:dyDescent="0.2">
      <c r="GI46017" s="422"/>
    </row>
    <row r="46018" spans="191:191" x14ac:dyDescent="0.2">
      <c r="GI46018" s="422"/>
    </row>
    <row r="46019" spans="191:191" x14ac:dyDescent="0.2">
      <c r="GI46019" s="422"/>
    </row>
    <row r="46020" spans="191:191" x14ac:dyDescent="0.2">
      <c r="GI46020" s="422"/>
    </row>
    <row r="46021" spans="191:191" x14ac:dyDescent="0.2">
      <c r="GI46021" s="422"/>
    </row>
    <row r="46022" spans="191:191" x14ac:dyDescent="0.2">
      <c r="GI46022" s="422"/>
    </row>
    <row r="46023" spans="191:191" x14ac:dyDescent="0.2">
      <c r="GI46023" s="422"/>
    </row>
    <row r="46024" spans="191:191" x14ac:dyDescent="0.2">
      <c r="GI46024" s="422"/>
    </row>
    <row r="46025" spans="191:191" x14ac:dyDescent="0.2">
      <c r="GI46025" s="422"/>
    </row>
    <row r="46026" spans="191:191" x14ac:dyDescent="0.2">
      <c r="GI46026" s="422"/>
    </row>
    <row r="46027" spans="191:191" x14ac:dyDescent="0.2">
      <c r="GI46027" s="422"/>
    </row>
    <row r="46028" spans="191:191" x14ac:dyDescent="0.2">
      <c r="GI46028" s="422"/>
    </row>
    <row r="46029" spans="191:191" x14ac:dyDescent="0.2">
      <c r="GI46029" s="422"/>
    </row>
    <row r="46030" spans="191:191" x14ac:dyDescent="0.2">
      <c r="GI46030" s="422"/>
    </row>
    <row r="46031" spans="191:191" x14ac:dyDescent="0.2">
      <c r="GI46031" s="422"/>
    </row>
    <row r="46032" spans="191:191" x14ac:dyDescent="0.2">
      <c r="GI46032" s="422"/>
    </row>
    <row r="46033" spans="191:191" x14ac:dyDescent="0.2">
      <c r="GI46033" s="422"/>
    </row>
    <row r="46034" spans="191:191" x14ac:dyDescent="0.2">
      <c r="GI46034" s="422"/>
    </row>
    <row r="46035" spans="191:191" x14ac:dyDescent="0.2">
      <c r="GI46035" s="422"/>
    </row>
    <row r="46036" spans="191:191" x14ac:dyDescent="0.2">
      <c r="GI46036" s="422"/>
    </row>
    <row r="46037" spans="191:191" x14ac:dyDescent="0.2">
      <c r="GI46037" s="422"/>
    </row>
    <row r="46038" spans="191:191" x14ac:dyDescent="0.2">
      <c r="GI46038" s="422"/>
    </row>
    <row r="46039" spans="191:191" x14ac:dyDescent="0.2">
      <c r="GI46039" s="422"/>
    </row>
    <row r="46040" spans="191:191" x14ac:dyDescent="0.2">
      <c r="GI46040" s="422"/>
    </row>
    <row r="46041" spans="191:191" x14ac:dyDescent="0.2">
      <c r="GI46041" s="422"/>
    </row>
    <row r="46042" spans="191:191" x14ac:dyDescent="0.2">
      <c r="GI46042" s="422"/>
    </row>
    <row r="46043" spans="191:191" x14ac:dyDescent="0.2">
      <c r="GI46043" s="422"/>
    </row>
    <row r="46044" spans="191:191" x14ac:dyDescent="0.2">
      <c r="GI46044" s="422"/>
    </row>
    <row r="46045" spans="191:191" x14ac:dyDescent="0.2">
      <c r="GI46045" s="422"/>
    </row>
    <row r="46046" spans="191:191" x14ac:dyDescent="0.2">
      <c r="GI46046" s="422"/>
    </row>
    <row r="46047" spans="191:191" x14ac:dyDescent="0.2">
      <c r="GI46047" s="422"/>
    </row>
    <row r="46048" spans="191:191" x14ac:dyDescent="0.2">
      <c r="GI46048" s="422"/>
    </row>
    <row r="46049" spans="191:191" x14ac:dyDescent="0.2">
      <c r="GI46049" s="422"/>
    </row>
    <row r="46050" spans="191:191" x14ac:dyDescent="0.2">
      <c r="GI46050" s="422"/>
    </row>
    <row r="46051" spans="191:191" x14ac:dyDescent="0.2">
      <c r="GI46051" s="422"/>
    </row>
    <row r="46052" spans="191:191" x14ac:dyDescent="0.2">
      <c r="GI46052" s="422"/>
    </row>
    <row r="46053" spans="191:191" x14ac:dyDescent="0.2">
      <c r="GI46053" s="422"/>
    </row>
    <row r="46054" spans="191:191" x14ac:dyDescent="0.2">
      <c r="GI46054" s="422"/>
    </row>
    <row r="46055" spans="191:191" x14ac:dyDescent="0.2">
      <c r="GI46055" s="422"/>
    </row>
    <row r="46056" spans="191:191" x14ac:dyDescent="0.2">
      <c r="GI46056" s="422"/>
    </row>
    <row r="46057" spans="191:191" x14ac:dyDescent="0.2">
      <c r="GI46057" s="422"/>
    </row>
    <row r="46058" spans="191:191" x14ac:dyDescent="0.2">
      <c r="GI46058" s="422"/>
    </row>
    <row r="46059" spans="191:191" x14ac:dyDescent="0.2">
      <c r="GI46059" s="422"/>
    </row>
    <row r="46060" spans="191:191" x14ac:dyDescent="0.2">
      <c r="GI46060" s="422"/>
    </row>
    <row r="46061" spans="191:191" x14ac:dyDescent="0.2">
      <c r="GI46061" s="422"/>
    </row>
    <row r="46062" spans="191:191" x14ac:dyDescent="0.2">
      <c r="GI46062" s="422"/>
    </row>
    <row r="46063" spans="191:191" x14ac:dyDescent="0.2">
      <c r="GI46063" s="422"/>
    </row>
    <row r="46064" spans="191:191" x14ac:dyDescent="0.2">
      <c r="GI46064" s="422"/>
    </row>
    <row r="46065" spans="191:191" x14ac:dyDescent="0.2">
      <c r="GI46065" s="422"/>
    </row>
    <row r="46066" spans="191:191" x14ac:dyDescent="0.2">
      <c r="GI46066" s="422"/>
    </row>
    <row r="46067" spans="191:191" x14ac:dyDescent="0.2">
      <c r="GI46067" s="422"/>
    </row>
    <row r="46068" spans="191:191" x14ac:dyDescent="0.2">
      <c r="GI46068" s="422"/>
    </row>
    <row r="46069" spans="191:191" x14ac:dyDescent="0.2">
      <c r="GI46069" s="422"/>
    </row>
    <row r="46070" spans="191:191" x14ac:dyDescent="0.2">
      <c r="GI46070" s="422"/>
    </row>
    <row r="46071" spans="191:191" x14ac:dyDescent="0.2">
      <c r="GI46071" s="422"/>
    </row>
    <row r="46072" spans="191:191" x14ac:dyDescent="0.2">
      <c r="GI46072" s="422"/>
    </row>
    <row r="46073" spans="191:191" x14ac:dyDescent="0.2">
      <c r="GI46073" s="422"/>
    </row>
    <row r="46074" spans="191:191" x14ac:dyDescent="0.2">
      <c r="GI46074" s="422"/>
    </row>
    <row r="46075" spans="191:191" x14ac:dyDescent="0.2">
      <c r="GI46075" s="422"/>
    </row>
    <row r="46076" spans="191:191" x14ac:dyDescent="0.2">
      <c r="GI46076" s="422"/>
    </row>
    <row r="46077" spans="191:191" x14ac:dyDescent="0.2">
      <c r="GI46077" s="422"/>
    </row>
    <row r="46078" spans="191:191" x14ac:dyDescent="0.2">
      <c r="GI46078" s="422"/>
    </row>
    <row r="46079" spans="191:191" x14ac:dyDescent="0.2">
      <c r="GI46079" s="422"/>
    </row>
    <row r="46080" spans="191:191" x14ac:dyDescent="0.2">
      <c r="GI46080" s="422"/>
    </row>
    <row r="46081" spans="191:191" x14ac:dyDescent="0.2">
      <c r="GI46081" s="422"/>
    </row>
    <row r="46082" spans="191:191" x14ac:dyDescent="0.2">
      <c r="GI46082" s="422"/>
    </row>
    <row r="46083" spans="191:191" x14ac:dyDescent="0.2">
      <c r="GI46083" s="422"/>
    </row>
    <row r="46084" spans="191:191" x14ac:dyDescent="0.2">
      <c r="GI46084" s="422"/>
    </row>
    <row r="46085" spans="191:191" x14ac:dyDescent="0.2">
      <c r="GI46085" s="422"/>
    </row>
    <row r="46086" spans="191:191" x14ac:dyDescent="0.2">
      <c r="GI46086" s="422"/>
    </row>
    <row r="46087" spans="191:191" x14ac:dyDescent="0.2">
      <c r="GI46087" s="422"/>
    </row>
    <row r="46088" spans="191:191" x14ac:dyDescent="0.2">
      <c r="GI46088" s="422"/>
    </row>
    <row r="46089" spans="191:191" x14ac:dyDescent="0.2">
      <c r="GI46089" s="422"/>
    </row>
    <row r="46090" spans="191:191" x14ac:dyDescent="0.2">
      <c r="GI46090" s="422"/>
    </row>
    <row r="46091" spans="191:191" x14ac:dyDescent="0.2">
      <c r="GI46091" s="422"/>
    </row>
    <row r="46092" spans="191:191" x14ac:dyDescent="0.2">
      <c r="GI46092" s="422"/>
    </row>
    <row r="46093" spans="191:191" x14ac:dyDescent="0.2">
      <c r="GI46093" s="422"/>
    </row>
    <row r="46094" spans="191:191" x14ac:dyDescent="0.2">
      <c r="GI46094" s="422"/>
    </row>
    <row r="46095" spans="191:191" x14ac:dyDescent="0.2">
      <c r="GI46095" s="422"/>
    </row>
    <row r="46096" spans="191:191" x14ac:dyDescent="0.2">
      <c r="GI46096" s="422"/>
    </row>
    <row r="46097" spans="191:191" x14ac:dyDescent="0.2">
      <c r="GI46097" s="422"/>
    </row>
    <row r="46098" spans="191:191" x14ac:dyDescent="0.2">
      <c r="GI46098" s="422"/>
    </row>
    <row r="46099" spans="191:191" x14ac:dyDescent="0.2">
      <c r="GI46099" s="422"/>
    </row>
    <row r="46100" spans="191:191" x14ac:dyDescent="0.2">
      <c r="GI46100" s="422"/>
    </row>
    <row r="46101" spans="191:191" x14ac:dyDescent="0.2">
      <c r="GI46101" s="422"/>
    </row>
    <row r="46102" spans="191:191" x14ac:dyDescent="0.2">
      <c r="GI46102" s="422"/>
    </row>
    <row r="46103" spans="191:191" x14ac:dyDescent="0.2">
      <c r="GI46103" s="422"/>
    </row>
    <row r="46104" spans="191:191" x14ac:dyDescent="0.2">
      <c r="GI46104" s="422"/>
    </row>
    <row r="46105" spans="191:191" x14ac:dyDescent="0.2">
      <c r="GI46105" s="422"/>
    </row>
    <row r="46106" spans="191:191" x14ac:dyDescent="0.2">
      <c r="GI46106" s="422"/>
    </row>
    <row r="46107" spans="191:191" x14ac:dyDescent="0.2">
      <c r="GI46107" s="422"/>
    </row>
    <row r="46108" spans="191:191" x14ac:dyDescent="0.2">
      <c r="GI46108" s="422"/>
    </row>
    <row r="46109" spans="191:191" x14ac:dyDescent="0.2">
      <c r="GI46109" s="422"/>
    </row>
    <row r="46110" spans="191:191" x14ac:dyDescent="0.2">
      <c r="GI46110" s="422"/>
    </row>
    <row r="46111" spans="191:191" x14ac:dyDescent="0.2">
      <c r="GI46111" s="422"/>
    </row>
    <row r="46112" spans="191:191" x14ac:dyDescent="0.2">
      <c r="GI46112" s="422"/>
    </row>
    <row r="46113" spans="191:191" x14ac:dyDescent="0.2">
      <c r="GI46113" s="422"/>
    </row>
    <row r="46114" spans="191:191" x14ac:dyDescent="0.2">
      <c r="GI46114" s="422"/>
    </row>
    <row r="46115" spans="191:191" x14ac:dyDescent="0.2">
      <c r="GI46115" s="422"/>
    </row>
    <row r="46116" spans="191:191" x14ac:dyDescent="0.2">
      <c r="GI46116" s="422"/>
    </row>
    <row r="46117" spans="191:191" x14ac:dyDescent="0.2">
      <c r="GI46117" s="422"/>
    </row>
    <row r="46118" spans="191:191" x14ac:dyDescent="0.2">
      <c r="GI46118" s="422"/>
    </row>
    <row r="46119" spans="191:191" x14ac:dyDescent="0.2">
      <c r="GI46119" s="422"/>
    </row>
    <row r="46120" spans="191:191" x14ac:dyDescent="0.2">
      <c r="GI46120" s="422"/>
    </row>
    <row r="46121" spans="191:191" x14ac:dyDescent="0.2">
      <c r="GI46121" s="422"/>
    </row>
    <row r="46122" spans="191:191" x14ac:dyDescent="0.2">
      <c r="GI46122" s="422"/>
    </row>
    <row r="46123" spans="191:191" x14ac:dyDescent="0.2">
      <c r="GI46123" s="422"/>
    </row>
    <row r="46124" spans="191:191" x14ac:dyDescent="0.2">
      <c r="GI46124" s="422"/>
    </row>
    <row r="46125" spans="191:191" x14ac:dyDescent="0.2">
      <c r="GI46125" s="422"/>
    </row>
    <row r="46126" spans="191:191" x14ac:dyDescent="0.2">
      <c r="GI46126" s="422"/>
    </row>
    <row r="46127" spans="191:191" x14ac:dyDescent="0.2">
      <c r="GI46127" s="422"/>
    </row>
    <row r="46128" spans="191:191" x14ac:dyDescent="0.2">
      <c r="GI46128" s="422"/>
    </row>
    <row r="46129" spans="191:191" x14ac:dyDescent="0.2">
      <c r="GI46129" s="422"/>
    </row>
    <row r="46130" spans="191:191" x14ac:dyDescent="0.2">
      <c r="GI46130" s="422"/>
    </row>
    <row r="46131" spans="191:191" x14ac:dyDescent="0.2">
      <c r="GI46131" s="422"/>
    </row>
    <row r="46132" spans="191:191" x14ac:dyDescent="0.2">
      <c r="GI46132" s="422"/>
    </row>
    <row r="46133" spans="191:191" x14ac:dyDescent="0.2">
      <c r="GI46133" s="422"/>
    </row>
    <row r="46134" spans="191:191" x14ac:dyDescent="0.2">
      <c r="GI46134" s="422"/>
    </row>
    <row r="46135" spans="191:191" x14ac:dyDescent="0.2">
      <c r="GI46135" s="422"/>
    </row>
    <row r="46136" spans="191:191" x14ac:dyDescent="0.2">
      <c r="GI46136" s="422"/>
    </row>
    <row r="46137" spans="191:191" x14ac:dyDescent="0.2">
      <c r="GI46137" s="422"/>
    </row>
    <row r="46138" spans="191:191" x14ac:dyDescent="0.2">
      <c r="GI46138" s="422"/>
    </row>
    <row r="46139" spans="191:191" x14ac:dyDescent="0.2">
      <c r="GI46139" s="422"/>
    </row>
    <row r="46140" spans="191:191" x14ac:dyDescent="0.2">
      <c r="GI46140" s="422"/>
    </row>
    <row r="46141" spans="191:191" x14ac:dyDescent="0.2">
      <c r="GI46141" s="422"/>
    </row>
    <row r="46142" spans="191:191" x14ac:dyDescent="0.2">
      <c r="GI46142" s="422"/>
    </row>
    <row r="46143" spans="191:191" x14ac:dyDescent="0.2">
      <c r="GI46143" s="422"/>
    </row>
    <row r="46144" spans="191:191" x14ac:dyDescent="0.2">
      <c r="GI46144" s="422"/>
    </row>
    <row r="46145" spans="191:191" x14ac:dyDescent="0.2">
      <c r="GI46145" s="422"/>
    </row>
    <row r="46146" spans="191:191" x14ac:dyDescent="0.2">
      <c r="GI46146" s="422"/>
    </row>
    <row r="46147" spans="191:191" x14ac:dyDescent="0.2">
      <c r="GI46147" s="422"/>
    </row>
    <row r="46148" spans="191:191" x14ac:dyDescent="0.2">
      <c r="GI46148" s="422"/>
    </row>
    <row r="46149" spans="191:191" x14ac:dyDescent="0.2">
      <c r="GI46149" s="422"/>
    </row>
    <row r="46150" spans="191:191" x14ac:dyDescent="0.2">
      <c r="GI46150" s="422"/>
    </row>
    <row r="46151" spans="191:191" x14ac:dyDescent="0.2">
      <c r="GI46151" s="422"/>
    </row>
    <row r="46152" spans="191:191" x14ac:dyDescent="0.2">
      <c r="GI46152" s="422"/>
    </row>
    <row r="46153" spans="191:191" x14ac:dyDescent="0.2">
      <c r="GI46153" s="422"/>
    </row>
    <row r="46154" spans="191:191" x14ac:dyDescent="0.2">
      <c r="GI46154" s="422"/>
    </row>
    <row r="46155" spans="191:191" x14ac:dyDescent="0.2">
      <c r="GI46155" s="422"/>
    </row>
    <row r="46156" spans="191:191" x14ac:dyDescent="0.2">
      <c r="GI46156" s="422"/>
    </row>
    <row r="46157" spans="191:191" x14ac:dyDescent="0.2">
      <c r="GI46157" s="422"/>
    </row>
    <row r="46158" spans="191:191" x14ac:dyDescent="0.2">
      <c r="GI46158" s="422"/>
    </row>
    <row r="46159" spans="191:191" x14ac:dyDescent="0.2">
      <c r="GI46159" s="422"/>
    </row>
    <row r="46160" spans="191:191" x14ac:dyDescent="0.2">
      <c r="GI46160" s="422"/>
    </row>
    <row r="46161" spans="191:191" x14ac:dyDescent="0.2">
      <c r="GI46161" s="422"/>
    </row>
    <row r="46162" spans="191:191" x14ac:dyDescent="0.2">
      <c r="GI46162" s="422"/>
    </row>
    <row r="46163" spans="191:191" x14ac:dyDescent="0.2">
      <c r="GI46163" s="422"/>
    </row>
    <row r="46164" spans="191:191" x14ac:dyDescent="0.2">
      <c r="GI46164" s="422"/>
    </row>
    <row r="46165" spans="191:191" x14ac:dyDescent="0.2">
      <c r="GI46165" s="422"/>
    </row>
    <row r="46166" spans="191:191" x14ac:dyDescent="0.2">
      <c r="GI46166" s="422"/>
    </row>
    <row r="46167" spans="191:191" x14ac:dyDescent="0.2">
      <c r="GI46167" s="422"/>
    </row>
    <row r="46168" spans="191:191" x14ac:dyDescent="0.2">
      <c r="GI46168" s="422"/>
    </row>
    <row r="46169" spans="191:191" x14ac:dyDescent="0.2">
      <c r="GI46169" s="422"/>
    </row>
    <row r="46170" spans="191:191" x14ac:dyDescent="0.2">
      <c r="GI46170" s="422"/>
    </row>
    <row r="46171" spans="191:191" x14ac:dyDescent="0.2">
      <c r="GI46171" s="422"/>
    </row>
    <row r="46172" spans="191:191" x14ac:dyDescent="0.2">
      <c r="GI46172" s="422"/>
    </row>
    <row r="46173" spans="191:191" x14ac:dyDescent="0.2">
      <c r="GI46173" s="422"/>
    </row>
    <row r="46174" spans="191:191" x14ac:dyDescent="0.2">
      <c r="GI46174" s="422"/>
    </row>
    <row r="46175" spans="191:191" x14ac:dyDescent="0.2">
      <c r="GI46175" s="422"/>
    </row>
    <row r="46176" spans="191:191" x14ac:dyDescent="0.2">
      <c r="GI46176" s="422"/>
    </row>
    <row r="46177" spans="191:191" x14ac:dyDescent="0.2">
      <c r="GI46177" s="422"/>
    </row>
    <row r="46178" spans="191:191" x14ac:dyDescent="0.2">
      <c r="GI46178" s="422"/>
    </row>
    <row r="46179" spans="191:191" x14ac:dyDescent="0.2">
      <c r="GI46179" s="422"/>
    </row>
    <row r="46180" spans="191:191" x14ac:dyDescent="0.2">
      <c r="GI46180" s="422"/>
    </row>
    <row r="46181" spans="191:191" x14ac:dyDescent="0.2">
      <c r="GI46181" s="422"/>
    </row>
    <row r="46182" spans="191:191" x14ac:dyDescent="0.2">
      <c r="GI46182" s="422"/>
    </row>
    <row r="46183" spans="191:191" x14ac:dyDescent="0.2">
      <c r="GI46183" s="422"/>
    </row>
    <row r="46184" spans="191:191" x14ac:dyDescent="0.2">
      <c r="GI46184" s="422"/>
    </row>
    <row r="46185" spans="191:191" x14ac:dyDescent="0.2">
      <c r="GI46185" s="422"/>
    </row>
    <row r="46186" spans="191:191" x14ac:dyDescent="0.2">
      <c r="GI46186" s="422"/>
    </row>
    <row r="46187" spans="191:191" x14ac:dyDescent="0.2">
      <c r="GI46187" s="422"/>
    </row>
    <row r="46188" spans="191:191" x14ac:dyDescent="0.2">
      <c r="GI46188" s="422"/>
    </row>
    <row r="46189" spans="191:191" x14ac:dyDescent="0.2">
      <c r="GI46189" s="422"/>
    </row>
    <row r="46190" spans="191:191" x14ac:dyDescent="0.2">
      <c r="GI46190" s="422"/>
    </row>
    <row r="46191" spans="191:191" x14ac:dyDescent="0.2">
      <c r="GI46191" s="422"/>
    </row>
    <row r="46192" spans="191:191" x14ac:dyDescent="0.2">
      <c r="GI46192" s="422"/>
    </row>
    <row r="46193" spans="191:191" x14ac:dyDescent="0.2">
      <c r="GI46193" s="422"/>
    </row>
    <row r="46194" spans="191:191" x14ac:dyDescent="0.2">
      <c r="GI46194" s="422"/>
    </row>
    <row r="46195" spans="191:191" x14ac:dyDescent="0.2">
      <c r="GI46195" s="422"/>
    </row>
    <row r="46196" spans="191:191" x14ac:dyDescent="0.2">
      <c r="GI46196" s="422"/>
    </row>
    <row r="46197" spans="191:191" x14ac:dyDescent="0.2">
      <c r="GI46197" s="422"/>
    </row>
    <row r="46198" spans="191:191" x14ac:dyDescent="0.2">
      <c r="GI46198" s="422"/>
    </row>
    <row r="46199" spans="191:191" x14ac:dyDescent="0.2">
      <c r="GI46199" s="422"/>
    </row>
    <row r="46200" spans="191:191" x14ac:dyDescent="0.2">
      <c r="GI46200" s="422"/>
    </row>
    <row r="46201" spans="191:191" x14ac:dyDescent="0.2">
      <c r="GI46201" s="422"/>
    </row>
    <row r="46202" spans="191:191" x14ac:dyDescent="0.2">
      <c r="GI46202" s="422"/>
    </row>
    <row r="46203" spans="191:191" x14ac:dyDescent="0.2">
      <c r="GI46203" s="422"/>
    </row>
    <row r="46204" spans="191:191" x14ac:dyDescent="0.2">
      <c r="GI46204" s="422"/>
    </row>
    <row r="46205" spans="191:191" x14ac:dyDescent="0.2">
      <c r="GI46205" s="422"/>
    </row>
    <row r="46206" spans="191:191" x14ac:dyDescent="0.2">
      <c r="GI46206" s="422"/>
    </row>
    <row r="46207" spans="191:191" x14ac:dyDescent="0.2">
      <c r="GI46207" s="422"/>
    </row>
    <row r="46208" spans="191:191" x14ac:dyDescent="0.2">
      <c r="GI46208" s="422"/>
    </row>
    <row r="46209" spans="191:191" x14ac:dyDescent="0.2">
      <c r="GI46209" s="422"/>
    </row>
    <row r="46210" spans="191:191" x14ac:dyDescent="0.2">
      <c r="GI46210" s="422"/>
    </row>
    <row r="46211" spans="191:191" x14ac:dyDescent="0.2">
      <c r="GI46211" s="422"/>
    </row>
    <row r="46212" spans="191:191" x14ac:dyDescent="0.2">
      <c r="GI46212" s="422"/>
    </row>
    <row r="46213" spans="191:191" x14ac:dyDescent="0.2">
      <c r="GI46213" s="422"/>
    </row>
    <row r="46214" spans="191:191" x14ac:dyDescent="0.2">
      <c r="GI46214" s="422"/>
    </row>
    <row r="46215" spans="191:191" x14ac:dyDescent="0.2">
      <c r="GI46215" s="422"/>
    </row>
    <row r="46216" spans="191:191" x14ac:dyDescent="0.2">
      <c r="GI46216" s="422"/>
    </row>
    <row r="46217" spans="191:191" x14ac:dyDescent="0.2">
      <c r="GI46217" s="422"/>
    </row>
    <row r="46218" spans="191:191" x14ac:dyDescent="0.2">
      <c r="GI46218" s="422"/>
    </row>
    <row r="46219" spans="191:191" x14ac:dyDescent="0.2">
      <c r="GI46219" s="422"/>
    </row>
    <row r="46220" spans="191:191" x14ac:dyDescent="0.2">
      <c r="GI46220" s="422"/>
    </row>
    <row r="46221" spans="191:191" x14ac:dyDescent="0.2">
      <c r="GI46221" s="422"/>
    </row>
    <row r="46222" spans="191:191" x14ac:dyDescent="0.2">
      <c r="GI46222" s="422"/>
    </row>
    <row r="46223" spans="191:191" x14ac:dyDescent="0.2">
      <c r="GI46223" s="422"/>
    </row>
    <row r="46224" spans="191:191" x14ac:dyDescent="0.2">
      <c r="GI46224" s="422"/>
    </row>
    <row r="46225" spans="191:191" x14ac:dyDescent="0.2">
      <c r="GI46225" s="422"/>
    </row>
    <row r="46226" spans="191:191" x14ac:dyDescent="0.2">
      <c r="GI46226" s="422"/>
    </row>
    <row r="46227" spans="191:191" x14ac:dyDescent="0.2">
      <c r="GI46227" s="422"/>
    </row>
    <row r="46228" spans="191:191" x14ac:dyDescent="0.2">
      <c r="GI46228" s="422"/>
    </row>
    <row r="46229" spans="191:191" x14ac:dyDescent="0.2">
      <c r="GI46229" s="422"/>
    </row>
    <row r="46230" spans="191:191" x14ac:dyDescent="0.2">
      <c r="GI46230" s="422"/>
    </row>
    <row r="46231" spans="191:191" x14ac:dyDescent="0.2">
      <c r="GI46231" s="422"/>
    </row>
    <row r="46232" spans="191:191" x14ac:dyDescent="0.2">
      <c r="GI46232" s="422"/>
    </row>
    <row r="46233" spans="191:191" x14ac:dyDescent="0.2">
      <c r="GI46233" s="422"/>
    </row>
    <row r="46234" spans="191:191" x14ac:dyDescent="0.2">
      <c r="GI46234" s="422"/>
    </row>
    <row r="46235" spans="191:191" x14ac:dyDescent="0.2">
      <c r="GI46235" s="422"/>
    </row>
    <row r="46236" spans="191:191" x14ac:dyDescent="0.2">
      <c r="GI46236" s="422"/>
    </row>
    <row r="46237" spans="191:191" x14ac:dyDescent="0.2">
      <c r="GI46237" s="422"/>
    </row>
    <row r="46238" spans="191:191" x14ac:dyDescent="0.2">
      <c r="GI46238" s="422"/>
    </row>
    <row r="46239" spans="191:191" x14ac:dyDescent="0.2">
      <c r="GI46239" s="422"/>
    </row>
    <row r="46240" spans="191:191" x14ac:dyDescent="0.2">
      <c r="GI46240" s="422"/>
    </row>
    <row r="46241" spans="191:191" x14ac:dyDescent="0.2">
      <c r="GI46241" s="422"/>
    </row>
    <row r="46242" spans="191:191" x14ac:dyDescent="0.2">
      <c r="GI46242" s="422"/>
    </row>
    <row r="46243" spans="191:191" x14ac:dyDescent="0.2">
      <c r="GI46243" s="422"/>
    </row>
    <row r="46244" spans="191:191" x14ac:dyDescent="0.2">
      <c r="GI46244" s="422"/>
    </row>
    <row r="46245" spans="191:191" x14ac:dyDescent="0.2">
      <c r="GI46245" s="422"/>
    </row>
    <row r="46246" spans="191:191" x14ac:dyDescent="0.2">
      <c r="GI46246" s="422"/>
    </row>
    <row r="46247" spans="191:191" x14ac:dyDescent="0.2">
      <c r="GI46247" s="422"/>
    </row>
    <row r="46248" spans="191:191" x14ac:dyDescent="0.2">
      <c r="GI46248" s="422"/>
    </row>
    <row r="46249" spans="191:191" x14ac:dyDescent="0.2">
      <c r="GI46249" s="422"/>
    </row>
    <row r="46250" spans="191:191" x14ac:dyDescent="0.2">
      <c r="GI46250" s="422"/>
    </row>
    <row r="46251" spans="191:191" x14ac:dyDescent="0.2">
      <c r="GI46251" s="422"/>
    </row>
    <row r="46252" spans="191:191" x14ac:dyDescent="0.2">
      <c r="GI46252" s="422"/>
    </row>
    <row r="46253" spans="191:191" x14ac:dyDescent="0.2">
      <c r="GI46253" s="422"/>
    </row>
    <row r="46254" spans="191:191" x14ac:dyDescent="0.2">
      <c r="GI46254" s="422"/>
    </row>
    <row r="46255" spans="191:191" x14ac:dyDescent="0.2">
      <c r="GI46255" s="422"/>
    </row>
    <row r="46256" spans="191:191" x14ac:dyDescent="0.2">
      <c r="GI46256" s="422"/>
    </row>
    <row r="46257" spans="191:191" x14ac:dyDescent="0.2">
      <c r="GI46257" s="422"/>
    </row>
    <row r="46258" spans="191:191" x14ac:dyDescent="0.2">
      <c r="GI46258" s="422"/>
    </row>
    <row r="46259" spans="191:191" x14ac:dyDescent="0.2">
      <c r="GI46259" s="422"/>
    </row>
    <row r="46260" spans="191:191" x14ac:dyDescent="0.2">
      <c r="GI46260" s="422"/>
    </row>
    <row r="46261" spans="191:191" x14ac:dyDescent="0.2">
      <c r="GI46261" s="422"/>
    </row>
    <row r="46262" spans="191:191" x14ac:dyDescent="0.2">
      <c r="GI46262" s="422"/>
    </row>
    <row r="46263" spans="191:191" x14ac:dyDescent="0.2">
      <c r="GI46263" s="422"/>
    </row>
    <row r="46264" spans="191:191" x14ac:dyDescent="0.2">
      <c r="GI46264" s="422"/>
    </row>
    <row r="46265" spans="191:191" x14ac:dyDescent="0.2">
      <c r="GI46265" s="422"/>
    </row>
    <row r="46266" spans="191:191" x14ac:dyDescent="0.2">
      <c r="GI46266" s="422"/>
    </row>
    <row r="46267" spans="191:191" x14ac:dyDescent="0.2">
      <c r="GI46267" s="422"/>
    </row>
    <row r="46268" spans="191:191" x14ac:dyDescent="0.2">
      <c r="GI46268" s="422"/>
    </row>
    <row r="46269" spans="191:191" x14ac:dyDescent="0.2">
      <c r="GI46269" s="422"/>
    </row>
    <row r="46270" spans="191:191" x14ac:dyDescent="0.2">
      <c r="GI46270" s="422"/>
    </row>
    <row r="46271" spans="191:191" x14ac:dyDescent="0.2">
      <c r="GI46271" s="422"/>
    </row>
    <row r="46272" spans="191:191" x14ac:dyDescent="0.2">
      <c r="GI46272" s="422"/>
    </row>
    <row r="46273" spans="191:191" x14ac:dyDescent="0.2">
      <c r="GI46273" s="422"/>
    </row>
    <row r="46274" spans="191:191" x14ac:dyDescent="0.2">
      <c r="GI46274" s="422"/>
    </row>
    <row r="46275" spans="191:191" x14ac:dyDescent="0.2">
      <c r="GI46275" s="422"/>
    </row>
    <row r="46276" spans="191:191" x14ac:dyDescent="0.2">
      <c r="GI46276" s="422"/>
    </row>
    <row r="46277" spans="191:191" x14ac:dyDescent="0.2">
      <c r="GI46277" s="422"/>
    </row>
    <row r="46278" spans="191:191" x14ac:dyDescent="0.2">
      <c r="GI46278" s="422"/>
    </row>
    <row r="46279" spans="191:191" x14ac:dyDescent="0.2">
      <c r="GI46279" s="422"/>
    </row>
    <row r="46280" spans="191:191" x14ac:dyDescent="0.2">
      <c r="GI46280" s="422"/>
    </row>
    <row r="46281" spans="191:191" x14ac:dyDescent="0.2">
      <c r="GI46281" s="422"/>
    </row>
    <row r="46282" spans="191:191" x14ac:dyDescent="0.2">
      <c r="GI46282" s="422"/>
    </row>
    <row r="46283" spans="191:191" x14ac:dyDescent="0.2">
      <c r="GI46283" s="422"/>
    </row>
    <row r="46284" spans="191:191" x14ac:dyDescent="0.2">
      <c r="GI46284" s="422"/>
    </row>
    <row r="46285" spans="191:191" x14ac:dyDescent="0.2">
      <c r="GI46285" s="422"/>
    </row>
    <row r="46286" spans="191:191" x14ac:dyDescent="0.2">
      <c r="GI46286" s="422"/>
    </row>
    <row r="46287" spans="191:191" x14ac:dyDescent="0.2">
      <c r="GI46287" s="422"/>
    </row>
    <row r="46288" spans="191:191" x14ac:dyDescent="0.2">
      <c r="GI46288" s="422"/>
    </row>
    <row r="46289" spans="191:191" x14ac:dyDescent="0.2">
      <c r="GI46289" s="422"/>
    </row>
    <row r="46290" spans="191:191" x14ac:dyDescent="0.2">
      <c r="GI46290" s="422"/>
    </row>
    <row r="46291" spans="191:191" x14ac:dyDescent="0.2">
      <c r="GI46291" s="422"/>
    </row>
    <row r="46292" spans="191:191" x14ac:dyDescent="0.2">
      <c r="GI46292" s="422"/>
    </row>
    <row r="46293" spans="191:191" x14ac:dyDescent="0.2">
      <c r="GI46293" s="422"/>
    </row>
    <row r="46294" spans="191:191" x14ac:dyDescent="0.2">
      <c r="GI46294" s="422"/>
    </row>
    <row r="46295" spans="191:191" x14ac:dyDescent="0.2">
      <c r="GI46295" s="422"/>
    </row>
    <row r="46296" spans="191:191" x14ac:dyDescent="0.2">
      <c r="GI46296" s="422"/>
    </row>
    <row r="46297" spans="191:191" x14ac:dyDescent="0.2">
      <c r="GI46297" s="422"/>
    </row>
    <row r="46298" spans="191:191" x14ac:dyDescent="0.2">
      <c r="GI46298" s="422"/>
    </row>
    <row r="46299" spans="191:191" x14ac:dyDescent="0.2">
      <c r="GI46299" s="422"/>
    </row>
    <row r="46300" spans="191:191" x14ac:dyDescent="0.2">
      <c r="GI46300" s="422"/>
    </row>
    <row r="46301" spans="191:191" x14ac:dyDescent="0.2">
      <c r="GI46301" s="422"/>
    </row>
    <row r="46302" spans="191:191" x14ac:dyDescent="0.2">
      <c r="GI46302" s="422"/>
    </row>
    <row r="46303" spans="191:191" x14ac:dyDescent="0.2">
      <c r="GI46303" s="422"/>
    </row>
    <row r="46304" spans="191:191" x14ac:dyDescent="0.2">
      <c r="GI46304" s="422"/>
    </row>
    <row r="46305" spans="191:191" x14ac:dyDescent="0.2">
      <c r="GI46305" s="422"/>
    </row>
    <row r="46306" spans="191:191" x14ac:dyDescent="0.2">
      <c r="GI46306" s="422"/>
    </row>
    <row r="46307" spans="191:191" x14ac:dyDescent="0.2">
      <c r="GI46307" s="422"/>
    </row>
    <row r="46308" spans="191:191" x14ac:dyDescent="0.2">
      <c r="GI46308" s="422"/>
    </row>
    <row r="46309" spans="191:191" x14ac:dyDescent="0.2">
      <c r="GI46309" s="422"/>
    </row>
    <row r="46310" spans="191:191" x14ac:dyDescent="0.2">
      <c r="GI46310" s="422"/>
    </row>
    <row r="46311" spans="191:191" x14ac:dyDescent="0.2">
      <c r="GI46311" s="422"/>
    </row>
    <row r="46312" spans="191:191" x14ac:dyDescent="0.2">
      <c r="GI46312" s="422"/>
    </row>
    <row r="46313" spans="191:191" x14ac:dyDescent="0.2">
      <c r="GI46313" s="422"/>
    </row>
    <row r="46314" spans="191:191" x14ac:dyDescent="0.2">
      <c r="GI46314" s="422"/>
    </row>
    <row r="46315" spans="191:191" x14ac:dyDescent="0.2">
      <c r="GI46315" s="422"/>
    </row>
    <row r="46316" spans="191:191" x14ac:dyDescent="0.2">
      <c r="GI46316" s="422"/>
    </row>
    <row r="46317" spans="191:191" x14ac:dyDescent="0.2">
      <c r="GI46317" s="422"/>
    </row>
    <row r="46318" spans="191:191" x14ac:dyDescent="0.2">
      <c r="GI46318" s="422"/>
    </row>
    <row r="46319" spans="191:191" x14ac:dyDescent="0.2">
      <c r="GI46319" s="422"/>
    </row>
    <row r="46320" spans="191:191" x14ac:dyDescent="0.2">
      <c r="GI46320" s="422"/>
    </row>
    <row r="46321" spans="191:191" x14ac:dyDescent="0.2">
      <c r="GI46321" s="422"/>
    </row>
    <row r="46322" spans="191:191" x14ac:dyDescent="0.2">
      <c r="GI46322" s="422"/>
    </row>
    <row r="46323" spans="191:191" x14ac:dyDescent="0.2">
      <c r="GI46323" s="422"/>
    </row>
    <row r="46324" spans="191:191" x14ac:dyDescent="0.2">
      <c r="GI46324" s="422"/>
    </row>
    <row r="46325" spans="191:191" x14ac:dyDescent="0.2">
      <c r="GI46325" s="422"/>
    </row>
    <row r="46326" spans="191:191" x14ac:dyDescent="0.2">
      <c r="GI46326" s="422"/>
    </row>
    <row r="46327" spans="191:191" x14ac:dyDescent="0.2">
      <c r="GI46327" s="422"/>
    </row>
    <row r="46328" spans="191:191" x14ac:dyDescent="0.2">
      <c r="GI46328" s="422"/>
    </row>
    <row r="46329" spans="191:191" x14ac:dyDescent="0.2">
      <c r="GI46329" s="422"/>
    </row>
    <row r="46330" spans="191:191" x14ac:dyDescent="0.2">
      <c r="GI46330" s="422"/>
    </row>
    <row r="46331" spans="191:191" x14ac:dyDescent="0.2">
      <c r="GI46331" s="422"/>
    </row>
    <row r="46332" spans="191:191" x14ac:dyDescent="0.2">
      <c r="GI46332" s="422"/>
    </row>
    <row r="46333" spans="191:191" x14ac:dyDescent="0.2">
      <c r="GI46333" s="422"/>
    </row>
    <row r="46334" spans="191:191" x14ac:dyDescent="0.2">
      <c r="GI46334" s="422"/>
    </row>
    <row r="46335" spans="191:191" x14ac:dyDescent="0.2">
      <c r="GI46335" s="422"/>
    </row>
    <row r="46336" spans="191:191" x14ac:dyDescent="0.2">
      <c r="GI46336" s="422"/>
    </row>
    <row r="46337" spans="191:191" x14ac:dyDescent="0.2">
      <c r="GI46337" s="422"/>
    </row>
    <row r="46338" spans="191:191" x14ac:dyDescent="0.2">
      <c r="GI46338" s="422"/>
    </row>
    <row r="46339" spans="191:191" x14ac:dyDescent="0.2">
      <c r="GI46339" s="422"/>
    </row>
    <row r="46340" spans="191:191" x14ac:dyDescent="0.2">
      <c r="GI46340" s="422"/>
    </row>
    <row r="46341" spans="191:191" x14ac:dyDescent="0.2">
      <c r="GI46341" s="422"/>
    </row>
    <row r="46342" spans="191:191" x14ac:dyDescent="0.2">
      <c r="GI46342" s="422"/>
    </row>
    <row r="46343" spans="191:191" x14ac:dyDescent="0.2">
      <c r="GI46343" s="422"/>
    </row>
    <row r="46344" spans="191:191" x14ac:dyDescent="0.2">
      <c r="GI46344" s="422"/>
    </row>
    <row r="46345" spans="191:191" x14ac:dyDescent="0.2">
      <c r="GI46345" s="422"/>
    </row>
    <row r="46346" spans="191:191" x14ac:dyDescent="0.2">
      <c r="GI46346" s="422"/>
    </row>
    <row r="46347" spans="191:191" x14ac:dyDescent="0.2">
      <c r="GI46347" s="422"/>
    </row>
    <row r="46348" spans="191:191" x14ac:dyDescent="0.2">
      <c r="GI46348" s="422"/>
    </row>
    <row r="46349" spans="191:191" x14ac:dyDescent="0.2">
      <c r="GI46349" s="422"/>
    </row>
    <row r="46350" spans="191:191" x14ac:dyDescent="0.2">
      <c r="GI46350" s="422"/>
    </row>
    <row r="46351" spans="191:191" x14ac:dyDescent="0.2">
      <c r="GI46351" s="422"/>
    </row>
    <row r="46352" spans="191:191" x14ac:dyDescent="0.2">
      <c r="GI46352" s="422"/>
    </row>
    <row r="46353" spans="191:191" x14ac:dyDescent="0.2">
      <c r="GI46353" s="422"/>
    </row>
    <row r="46354" spans="191:191" x14ac:dyDescent="0.2">
      <c r="GI46354" s="422"/>
    </row>
    <row r="46355" spans="191:191" x14ac:dyDescent="0.2">
      <c r="GI46355" s="422"/>
    </row>
    <row r="46356" spans="191:191" x14ac:dyDescent="0.2">
      <c r="GI46356" s="422"/>
    </row>
    <row r="46357" spans="191:191" x14ac:dyDescent="0.2">
      <c r="GI46357" s="422"/>
    </row>
    <row r="46358" spans="191:191" x14ac:dyDescent="0.2">
      <c r="GI46358" s="422"/>
    </row>
    <row r="46359" spans="191:191" x14ac:dyDescent="0.2">
      <c r="GI46359" s="422"/>
    </row>
    <row r="46360" spans="191:191" x14ac:dyDescent="0.2">
      <c r="GI46360" s="422"/>
    </row>
    <row r="46361" spans="191:191" x14ac:dyDescent="0.2">
      <c r="GI46361" s="422"/>
    </row>
    <row r="46362" spans="191:191" x14ac:dyDescent="0.2">
      <c r="GI46362" s="422"/>
    </row>
    <row r="46363" spans="191:191" x14ac:dyDescent="0.2">
      <c r="GI46363" s="422"/>
    </row>
    <row r="46364" spans="191:191" x14ac:dyDescent="0.2">
      <c r="GI46364" s="422"/>
    </row>
    <row r="46365" spans="191:191" x14ac:dyDescent="0.2">
      <c r="GI46365" s="422"/>
    </row>
    <row r="46366" spans="191:191" x14ac:dyDescent="0.2">
      <c r="GI46366" s="422"/>
    </row>
    <row r="46367" spans="191:191" x14ac:dyDescent="0.2">
      <c r="GI46367" s="422"/>
    </row>
    <row r="46368" spans="191:191" x14ac:dyDescent="0.2">
      <c r="GI46368" s="422"/>
    </row>
    <row r="46369" spans="191:191" x14ac:dyDescent="0.2">
      <c r="GI46369" s="422"/>
    </row>
    <row r="46370" spans="191:191" x14ac:dyDescent="0.2">
      <c r="GI46370" s="422"/>
    </row>
    <row r="46371" spans="191:191" x14ac:dyDescent="0.2">
      <c r="GI46371" s="422"/>
    </row>
    <row r="46372" spans="191:191" x14ac:dyDescent="0.2">
      <c r="GI46372" s="422"/>
    </row>
    <row r="46373" spans="191:191" x14ac:dyDescent="0.2">
      <c r="GI46373" s="422"/>
    </row>
    <row r="46374" spans="191:191" x14ac:dyDescent="0.2">
      <c r="GI46374" s="422"/>
    </row>
    <row r="46375" spans="191:191" x14ac:dyDescent="0.2">
      <c r="GI46375" s="422"/>
    </row>
    <row r="46376" spans="191:191" x14ac:dyDescent="0.2">
      <c r="GI46376" s="422"/>
    </row>
    <row r="46377" spans="191:191" x14ac:dyDescent="0.2">
      <c r="GI46377" s="422"/>
    </row>
    <row r="46378" spans="191:191" x14ac:dyDescent="0.2">
      <c r="GI46378" s="422"/>
    </row>
    <row r="46379" spans="191:191" x14ac:dyDescent="0.2">
      <c r="GI46379" s="422"/>
    </row>
    <row r="46380" spans="191:191" x14ac:dyDescent="0.2">
      <c r="GI46380" s="422"/>
    </row>
    <row r="46381" spans="191:191" x14ac:dyDescent="0.2">
      <c r="GI46381" s="422"/>
    </row>
    <row r="46382" spans="191:191" x14ac:dyDescent="0.2">
      <c r="GI46382" s="422"/>
    </row>
    <row r="46383" spans="191:191" x14ac:dyDescent="0.2">
      <c r="GI46383" s="422"/>
    </row>
    <row r="46384" spans="191:191" x14ac:dyDescent="0.2">
      <c r="GI46384" s="422"/>
    </row>
    <row r="46385" spans="191:191" x14ac:dyDescent="0.2">
      <c r="GI46385" s="422"/>
    </row>
    <row r="46386" spans="191:191" x14ac:dyDescent="0.2">
      <c r="GI46386" s="422"/>
    </row>
    <row r="46387" spans="191:191" x14ac:dyDescent="0.2">
      <c r="GI46387" s="422"/>
    </row>
    <row r="46388" spans="191:191" x14ac:dyDescent="0.2">
      <c r="GI46388" s="422"/>
    </row>
    <row r="46389" spans="191:191" x14ac:dyDescent="0.2">
      <c r="GI46389" s="422"/>
    </row>
    <row r="46390" spans="191:191" x14ac:dyDescent="0.2">
      <c r="GI46390" s="422"/>
    </row>
    <row r="46391" spans="191:191" x14ac:dyDescent="0.2">
      <c r="GI46391" s="422"/>
    </row>
    <row r="46392" spans="191:191" x14ac:dyDescent="0.2">
      <c r="GI46392" s="422"/>
    </row>
    <row r="46393" spans="191:191" x14ac:dyDescent="0.2">
      <c r="GI46393" s="422"/>
    </row>
    <row r="46394" spans="191:191" x14ac:dyDescent="0.2">
      <c r="GI46394" s="422"/>
    </row>
    <row r="46395" spans="191:191" x14ac:dyDescent="0.2">
      <c r="GI46395" s="422"/>
    </row>
    <row r="46396" spans="191:191" x14ac:dyDescent="0.2">
      <c r="GI46396" s="422"/>
    </row>
    <row r="46397" spans="191:191" x14ac:dyDescent="0.2">
      <c r="GI46397" s="422"/>
    </row>
    <row r="46398" spans="191:191" x14ac:dyDescent="0.2">
      <c r="GI46398" s="422"/>
    </row>
    <row r="46399" spans="191:191" x14ac:dyDescent="0.2">
      <c r="GI46399" s="422"/>
    </row>
    <row r="46400" spans="191:191" x14ac:dyDescent="0.2">
      <c r="GI46400" s="422"/>
    </row>
    <row r="46401" spans="191:191" x14ac:dyDescent="0.2">
      <c r="GI46401" s="422"/>
    </row>
    <row r="46402" spans="191:191" x14ac:dyDescent="0.2">
      <c r="GI46402" s="422"/>
    </row>
    <row r="46403" spans="191:191" x14ac:dyDescent="0.2">
      <c r="GI46403" s="422"/>
    </row>
    <row r="46404" spans="191:191" x14ac:dyDescent="0.2">
      <c r="GI46404" s="422"/>
    </row>
    <row r="46405" spans="191:191" x14ac:dyDescent="0.2">
      <c r="GI46405" s="422"/>
    </row>
    <row r="46406" spans="191:191" x14ac:dyDescent="0.2">
      <c r="GI46406" s="422"/>
    </row>
    <row r="46407" spans="191:191" x14ac:dyDescent="0.2">
      <c r="GI46407" s="422"/>
    </row>
    <row r="46408" spans="191:191" x14ac:dyDescent="0.2">
      <c r="GI46408" s="422"/>
    </row>
    <row r="46409" spans="191:191" x14ac:dyDescent="0.2">
      <c r="GI46409" s="422"/>
    </row>
    <row r="46410" spans="191:191" x14ac:dyDescent="0.2">
      <c r="GI46410" s="422"/>
    </row>
    <row r="46411" spans="191:191" x14ac:dyDescent="0.2">
      <c r="GI46411" s="422"/>
    </row>
    <row r="46412" spans="191:191" x14ac:dyDescent="0.2">
      <c r="GI46412" s="422"/>
    </row>
    <row r="46413" spans="191:191" x14ac:dyDescent="0.2">
      <c r="GI46413" s="422"/>
    </row>
    <row r="46414" spans="191:191" x14ac:dyDescent="0.2">
      <c r="GI46414" s="422"/>
    </row>
    <row r="46415" spans="191:191" x14ac:dyDescent="0.2">
      <c r="GI46415" s="422"/>
    </row>
    <row r="46416" spans="191:191" x14ac:dyDescent="0.2">
      <c r="GI46416" s="422"/>
    </row>
    <row r="46417" spans="191:191" x14ac:dyDescent="0.2">
      <c r="GI46417" s="422"/>
    </row>
    <row r="46418" spans="191:191" x14ac:dyDescent="0.2">
      <c r="GI46418" s="422"/>
    </row>
    <row r="46419" spans="191:191" x14ac:dyDescent="0.2">
      <c r="GI46419" s="422"/>
    </row>
    <row r="46420" spans="191:191" x14ac:dyDescent="0.2">
      <c r="GI46420" s="422"/>
    </row>
    <row r="46421" spans="191:191" x14ac:dyDescent="0.2">
      <c r="GI46421" s="422"/>
    </row>
    <row r="46422" spans="191:191" x14ac:dyDescent="0.2">
      <c r="GI46422" s="422"/>
    </row>
    <row r="46423" spans="191:191" x14ac:dyDescent="0.2">
      <c r="GI46423" s="422"/>
    </row>
    <row r="46424" spans="191:191" x14ac:dyDescent="0.2">
      <c r="GI46424" s="422"/>
    </row>
    <row r="46425" spans="191:191" x14ac:dyDescent="0.2">
      <c r="GI46425" s="422"/>
    </row>
    <row r="46426" spans="191:191" x14ac:dyDescent="0.2">
      <c r="GI46426" s="422"/>
    </row>
    <row r="46427" spans="191:191" x14ac:dyDescent="0.2">
      <c r="GI46427" s="422"/>
    </row>
    <row r="46428" spans="191:191" x14ac:dyDescent="0.2">
      <c r="GI46428" s="422"/>
    </row>
    <row r="46429" spans="191:191" x14ac:dyDescent="0.2">
      <c r="GI46429" s="422"/>
    </row>
    <row r="46430" spans="191:191" x14ac:dyDescent="0.2">
      <c r="GI46430" s="422"/>
    </row>
    <row r="46431" spans="191:191" x14ac:dyDescent="0.2">
      <c r="GI46431" s="422"/>
    </row>
    <row r="46432" spans="191:191" x14ac:dyDescent="0.2">
      <c r="GI46432" s="422"/>
    </row>
    <row r="46433" spans="191:191" x14ac:dyDescent="0.2">
      <c r="GI46433" s="422"/>
    </row>
    <row r="46434" spans="191:191" x14ac:dyDescent="0.2">
      <c r="GI46434" s="422"/>
    </row>
    <row r="46435" spans="191:191" x14ac:dyDescent="0.2">
      <c r="GI46435" s="422"/>
    </row>
    <row r="46436" spans="191:191" x14ac:dyDescent="0.2">
      <c r="GI46436" s="422"/>
    </row>
    <row r="46437" spans="191:191" x14ac:dyDescent="0.2">
      <c r="GI46437" s="422"/>
    </row>
    <row r="46438" spans="191:191" x14ac:dyDescent="0.2">
      <c r="GI46438" s="422"/>
    </row>
    <row r="46439" spans="191:191" x14ac:dyDescent="0.2">
      <c r="GI46439" s="422"/>
    </row>
    <row r="46440" spans="191:191" x14ac:dyDescent="0.2">
      <c r="GI46440" s="422"/>
    </row>
    <row r="46441" spans="191:191" x14ac:dyDescent="0.2">
      <c r="GI46441" s="422"/>
    </row>
    <row r="46442" spans="191:191" x14ac:dyDescent="0.2">
      <c r="GI46442" s="422"/>
    </row>
    <row r="46443" spans="191:191" x14ac:dyDescent="0.2">
      <c r="GI46443" s="422"/>
    </row>
    <row r="46444" spans="191:191" x14ac:dyDescent="0.2">
      <c r="GI46444" s="422"/>
    </row>
    <row r="46445" spans="191:191" x14ac:dyDescent="0.2">
      <c r="GI46445" s="422"/>
    </row>
    <row r="46446" spans="191:191" x14ac:dyDescent="0.2">
      <c r="GI46446" s="422"/>
    </row>
    <row r="46447" spans="191:191" x14ac:dyDescent="0.2">
      <c r="GI46447" s="422"/>
    </row>
    <row r="46448" spans="191:191" x14ac:dyDescent="0.2">
      <c r="GI46448" s="422"/>
    </row>
    <row r="46449" spans="191:191" x14ac:dyDescent="0.2">
      <c r="GI46449" s="422"/>
    </row>
    <row r="46450" spans="191:191" x14ac:dyDescent="0.2">
      <c r="GI46450" s="422"/>
    </row>
    <row r="46451" spans="191:191" x14ac:dyDescent="0.2">
      <c r="GI46451" s="422"/>
    </row>
    <row r="46452" spans="191:191" x14ac:dyDescent="0.2">
      <c r="GI46452" s="422"/>
    </row>
    <row r="46453" spans="191:191" x14ac:dyDescent="0.2">
      <c r="GI46453" s="422"/>
    </row>
    <row r="46454" spans="191:191" x14ac:dyDescent="0.2">
      <c r="GI46454" s="422"/>
    </row>
    <row r="46455" spans="191:191" x14ac:dyDescent="0.2">
      <c r="GI46455" s="422"/>
    </row>
    <row r="46456" spans="191:191" x14ac:dyDescent="0.2">
      <c r="GI46456" s="422"/>
    </row>
    <row r="46457" spans="191:191" x14ac:dyDescent="0.2">
      <c r="GI46457" s="422"/>
    </row>
    <row r="46458" spans="191:191" x14ac:dyDescent="0.2">
      <c r="GI46458" s="422"/>
    </row>
    <row r="46459" spans="191:191" x14ac:dyDescent="0.2">
      <c r="GI46459" s="422"/>
    </row>
    <row r="46460" spans="191:191" x14ac:dyDescent="0.2">
      <c r="GI46460" s="422"/>
    </row>
    <row r="46461" spans="191:191" x14ac:dyDescent="0.2">
      <c r="GI46461" s="422"/>
    </row>
    <row r="46462" spans="191:191" x14ac:dyDescent="0.2">
      <c r="GI46462" s="422"/>
    </row>
    <row r="46463" spans="191:191" x14ac:dyDescent="0.2">
      <c r="GI46463" s="422"/>
    </row>
    <row r="46464" spans="191:191" x14ac:dyDescent="0.2">
      <c r="GI46464" s="422"/>
    </row>
    <row r="46465" spans="191:191" x14ac:dyDescent="0.2">
      <c r="GI46465" s="422"/>
    </row>
    <row r="46466" spans="191:191" x14ac:dyDescent="0.2">
      <c r="GI46466" s="422"/>
    </row>
    <row r="46467" spans="191:191" x14ac:dyDescent="0.2">
      <c r="GI46467" s="422"/>
    </row>
    <row r="46468" spans="191:191" x14ac:dyDescent="0.2">
      <c r="GI46468" s="422"/>
    </row>
    <row r="46469" spans="191:191" x14ac:dyDescent="0.2">
      <c r="GI46469" s="422"/>
    </row>
    <row r="46470" spans="191:191" x14ac:dyDescent="0.2">
      <c r="GI46470" s="422"/>
    </row>
    <row r="46471" spans="191:191" x14ac:dyDescent="0.2">
      <c r="GI46471" s="422"/>
    </row>
    <row r="46472" spans="191:191" x14ac:dyDescent="0.2">
      <c r="GI46472" s="422"/>
    </row>
    <row r="46473" spans="191:191" x14ac:dyDescent="0.2">
      <c r="GI46473" s="422"/>
    </row>
    <row r="46474" spans="191:191" x14ac:dyDescent="0.2">
      <c r="GI46474" s="422"/>
    </row>
    <row r="46475" spans="191:191" x14ac:dyDescent="0.2">
      <c r="GI46475" s="422"/>
    </row>
    <row r="46476" spans="191:191" x14ac:dyDescent="0.2">
      <c r="GI46476" s="422"/>
    </row>
    <row r="46477" spans="191:191" x14ac:dyDescent="0.2">
      <c r="GI46477" s="422"/>
    </row>
    <row r="46478" spans="191:191" x14ac:dyDescent="0.2">
      <c r="GI46478" s="422"/>
    </row>
    <row r="46479" spans="191:191" x14ac:dyDescent="0.2">
      <c r="GI46479" s="422"/>
    </row>
    <row r="46480" spans="191:191" x14ac:dyDescent="0.2">
      <c r="GI46480" s="422"/>
    </row>
    <row r="46481" spans="191:191" x14ac:dyDescent="0.2">
      <c r="GI46481" s="422"/>
    </row>
    <row r="46482" spans="191:191" x14ac:dyDescent="0.2">
      <c r="GI46482" s="422"/>
    </row>
    <row r="46483" spans="191:191" x14ac:dyDescent="0.2">
      <c r="GI46483" s="422"/>
    </row>
    <row r="46484" spans="191:191" x14ac:dyDescent="0.2">
      <c r="GI46484" s="422"/>
    </row>
    <row r="46485" spans="191:191" x14ac:dyDescent="0.2">
      <c r="GI46485" s="422"/>
    </row>
    <row r="46486" spans="191:191" x14ac:dyDescent="0.2">
      <c r="GI46486" s="422"/>
    </row>
    <row r="46487" spans="191:191" x14ac:dyDescent="0.2">
      <c r="GI46487" s="422"/>
    </row>
    <row r="46488" spans="191:191" x14ac:dyDescent="0.2">
      <c r="GI46488" s="422"/>
    </row>
    <row r="46489" spans="191:191" x14ac:dyDescent="0.2">
      <c r="GI46489" s="422"/>
    </row>
    <row r="46490" spans="191:191" x14ac:dyDescent="0.2">
      <c r="GI46490" s="422"/>
    </row>
    <row r="46491" spans="191:191" x14ac:dyDescent="0.2">
      <c r="GI46491" s="422"/>
    </row>
    <row r="46492" spans="191:191" x14ac:dyDescent="0.2">
      <c r="GI46492" s="422"/>
    </row>
    <row r="46493" spans="191:191" x14ac:dyDescent="0.2">
      <c r="GI46493" s="422"/>
    </row>
    <row r="46494" spans="191:191" x14ac:dyDescent="0.2">
      <c r="GI46494" s="422"/>
    </row>
    <row r="46495" spans="191:191" x14ac:dyDescent="0.2">
      <c r="GI46495" s="422"/>
    </row>
    <row r="46496" spans="191:191" x14ac:dyDescent="0.2">
      <c r="GI46496" s="422"/>
    </row>
    <row r="46497" spans="191:191" x14ac:dyDescent="0.2">
      <c r="GI46497" s="422"/>
    </row>
    <row r="46498" spans="191:191" x14ac:dyDescent="0.2">
      <c r="GI46498" s="422"/>
    </row>
    <row r="46499" spans="191:191" x14ac:dyDescent="0.2">
      <c r="GI46499" s="422"/>
    </row>
    <row r="46500" spans="191:191" x14ac:dyDescent="0.2">
      <c r="GI46500" s="422"/>
    </row>
    <row r="46501" spans="191:191" x14ac:dyDescent="0.2">
      <c r="GI46501" s="422"/>
    </row>
    <row r="46502" spans="191:191" x14ac:dyDescent="0.2">
      <c r="GI46502" s="422"/>
    </row>
    <row r="46503" spans="191:191" x14ac:dyDescent="0.2">
      <c r="GI46503" s="422"/>
    </row>
    <row r="46504" spans="191:191" x14ac:dyDescent="0.2">
      <c r="GI46504" s="422"/>
    </row>
    <row r="46505" spans="191:191" x14ac:dyDescent="0.2">
      <c r="GI46505" s="422"/>
    </row>
    <row r="46506" spans="191:191" x14ac:dyDescent="0.2">
      <c r="GI46506" s="422"/>
    </row>
    <row r="46507" spans="191:191" x14ac:dyDescent="0.2">
      <c r="GI46507" s="422"/>
    </row>
    <row r="46508" spans="191:191" x14ac:dyDescent="0.2">
      <c r="GI46508" s="422"/>
    </row>
    <row r="46509" spans="191:191" x14ac:dyDescent="0.2">
      <c r="GI46509" s="422"/>
    </row>
    <row r="46510" spans="191:191" x14ac:dyDescent="0.2">
      <c r="GI46510" s="422"/>
    </row>
    <row r="46511" spans="191:191" x14ac:dyDescent="0.2">
      <c r="GI46511" s="422"/>
    </row>
    <row r="46512" spans="191:191" x14ac:dyDescent="0.2">
      <c r="GI46512" s="422"/>
    </row>
    <row r="46513" spans="191:191" x14ac:dyDescent="0.2">
      <c r="GI46513" s="422"/>
    </row>
    <row r="46514" spans="191:191" x14ac:dyDescent="0.2">
      <c r="GI46514" s="422"/>
    </row>
    <row r="46515" spans="191:191" x14ac:dyDescent="0.2">
      <c r="GI46515" s="422"/>
    </row>
    <row r="46516" spans="191:191" x14ac:dyDescent="0.2">
      <c r="GI46516" s="422"/>
    </row>
    <row r="46517" spans="191:191" x14ac:dyDescent="0.2">
      <c r="GI46517" s="422"/>
    </row>
    <row r="46518" spans="191:191" x14ac:dyDescent="0.2">
      <c r="GI46518" s="422"/>
    </row>
    <row r="46519" spans="191:191" x14ac:dyDescent="0.2">
      <c r="GI46519" s="422"/>
    </row>
    <row r="46520" spans="191:191" x14ac:dyDescent="0.2">
      <c r="GI46520" s="422"/>
    </row>
    <row r="46521" spans="191:191" x14ac:dyDescent="0.2">
      <c r="GI46521" s="422"/>
    </row>
    <row r="46522" spans="191:191" x14ac:dyDescent="0.2">
      <c r="GI46522" s="422"/>
    </row>
    <row r="46523" spans="191:191" x14ac:dyDescent="0.2">
      <c r="GI46523" s="422"/>
    </row>
    <row r="46524" spans="191:191" x14ac:dyDescent="0.2">
      <c r="GI46524" s="422"/>
    </row>
    <row r="46525" spans="191:191" x14ac:dyDescent="0.2">
      <c r="GI46525" s="422"/>
    </row>
    <row r="46526" spans="191:191" x14ac:dyDescent="0.2">
      <c r="GI46526" s="422"/>
    </row>
    <row r="46527" spans="191:191" x14ac:dyDescent="0.2">
      <c r="GI46527" s="422"/>
    </row>
    <row r="46528" spans="191:191" x14ac:dyDescent="0.2">
      <c r="GI46528" s="422"/>
    </row>
    <row r="46529" spans="191:191" x14ac:dyDescent="0.2">
      <c r="GI46529" s="422"/>
    </row>
    <row r="46530" spans="191:191" x14ac:dyDescent="0.2">
      <c r="GI46530" s="422"/>
    </row>
    <row r="46531" spans="191:191" x14ac:dyDescent="0.2">
      <c r="GI46531" s="422"/>
    </row>
    <row r="46532" spans="191:191" x14ac:dyDescent="0.2">
      <c r="GI46532" s="422"/>
    </row>
    <row r="46533" spans="191:191" x14ac:dyDescent="0.2">
      <c r="GI46533" s="422"/>
    </row>
    <row r="46534" spans="191:191" x14ac:dyDescent="0.2">
      <c r="GI46534" s="422"/>
    </row>
    <row r="46535" spans="191:191" x14ac:dyDescent="0.2">
      <c r="GI46535" s="422"/>
    </row>
    <row r="46536" spans="191:191" x14ac:dyDescent="0.2">
      <c r="GI46536" s="422"/>
    </row>
    <row r="46537" spans="191:191" x14ac:dyDescent="0.2">
      <c r="GI46537" s="422"/>
    </row>
    <row r="46538" spans="191:191" x14ac:dyDescent="0.2">
      <c r="GI46538" s="422"/>
    </row>
    <row r="46539" spans="191:191" x14ac:dyDescent="0.2">
      <c r="GI46539" s="422"/>
    </row>
    <row r="46540" spans="191:191" x14ac:dyDescent="0.2">
      <c r="GI46540" s="422"/>
    </row>
    <row r="46541" spans="191:191" x14ac:dyDescent="0.2">
      <c r="GI46541" s="422"/>
    </row>
    <row r="46542" spans="191:191" x14ac:dyDescent="0.2">
      <c r="GI46542" s="422"/>
    </row>
    <row r="46543" spans="191:191" x14ac:dyDescent="0.2">
      <c r="GI46543" s="422"/>
    </row>
    <row r="46544" spans="191:191" x14ac:dyDescent="0.2">
      <c r="GI46544" s="422"/>
    </row>
    <row r="46545" spans="191:191" x14ac:dyDescent="0.2">
      <c r="GI46545" s="422"/>
    </row>
    <row r="46546" spans="191:191" x14ac:dyDescent="0.2">
      <c r="GI46546" s="422"/>
    </row>
    <row r="46547" spans="191:191" x14ac:dyDescent="0.2">
      <c r="GI46547" s="422"/>
    </row>
    <row r="46548" spans="191:191" x14ac:dyDescent="0.2">
      <c r="GI46548" s="422"/>
    </row>
    <row r="46549" spans="191:191" x14ac:dyDescent="0.2">
      <c r="GI46549" s="422"/>
    </row>
    <row r="46550" spans="191:191" x14ac:dyDescent="0.2">
      <c r="GI46550" s="422"/>
    </row>
    <row r="46551" spans="191:191" x14ac:dyDescent="0.2">
      <c r="GI46551" s="422"/>
    </row>
    <row r="46552" spans="191:191" x14ac:dyDescent="0.2">
      <c r="GI46552" s="422"/>
    </row>
    <row r="46553" spans="191:191" x14ac:dyDescent="0.2">
      <c r="GI46553" s="422"/>
    </row>
    <row r="46554" spans="191:191" x14ac:dyDescent="0.2">
      <c r="GI46554" s="422"/>
    </row>
    <row r="46555" spans="191:191" x14ac:dyDescent="0.2">
      <c r="GI46555" s="422"/>
    </row>
    <row r="46556" spans="191:191" x14ac:dyDescent="0.2">
      <c r="GI46556" s="422"/>
    </row>
    <row r="46557" spans="191:191" x14ac:dyDescent="0.2">
      <c r="GI46557" s="422"/>
    </row>
    <row r="46558" spans="191:191" x14ac:dyDescent="0.2">
      <c r="GI46558" s="422"/>
    </row>
    <row r="46559" spans="191:191" x14ac:dyDescent="0.2">
      <c r="GI46559" s="422"/>
    </row>
    <row r="46560" spans="191:191" x14ac:dyDescent="0.2">
      <c r="GI46560" s="422"/>
    </row>
    <row r="46561" spans="191:191" x14ac:dyDescent="0.2">
      <c r="GI46561" s="422"/>
    </row>
    <row r="46562" spans="191:191" x14ac:dyDescent="0.2">
      <c r="GI46562" s="422"/>
    </row>
    <row r="46563" spans="191:191" x14ac:dyDescent="0.2">
      <c r="GI46563" s="422"/>
    </row>
    <row r="46564" spans="191:191" x14ac:dyDescent="0.2">
      <c r="GI46564" s="422"/>
    </row>
    <row r="46565" spans="191:191" x14ac:dyDescent="0.2">
      <c r="GI46565" s="422"/>
    </row>
    <row r="46566" spans="191:191" x14ac:dyDescent="0.2">
      <c r="GI46566" s="422"/>
    </row>
    <row r="46567" spans="191:191" x14ac:dyDescent="0.2">
      <c r="GI46567" s="422"/>
    </row>
    <row r="46568" spans="191:191" x14ac:dyDescent="0.2">
      <c r="GI46568" s="422"/>
    </row>
    <row r="46569" spans="191:191" x14ac:dyDescent="0.2">
      <c r="GI46569" s="422"/>
    </row>
    <row r="46570" spans="191:191" x14ac:dyDescent="0.2">
      <c r="GI46570" s="422"/>
    </row>
    <row r="46571" spans="191:191" x14ac:dyDescent="0.2">
      <c r="GI46571" s="422"/>
    </row>
    <row r="46572" spans="191:191" x14ac:dyDescent="0.2">
      <c r="GI46572" s="422"/>
    </row>
    <row r="46573" spans="191:191" x14ac:dyDescent="0.2">
      <c r="GI46573" s="422"/>
    </row>
    <row r="46574" spans="191:191" x14ac:dyDescent="0.2">
      <c r="GI46574" s="422"/>
    </row>
    <row r="46575" spans="191:191" x14ac:dyDescent="0.2">
      <c r="GI46575" s="422"/>
    </row>
    <row r="46576" spans="191:191" x14ac:dyDescent="0.2">
      <c r="GI46576" s="422"/>
    </row>
    <row r="46577" spans="191:191" x14ac:dyDescent="0.2">
      <c r="GI46577" s="422"/>
    </row>
    <row r="46578" spans="191:191" x14ac:dyDescent="0.2">
      <c r="GI46578" s="422"/>
    </row>
    <row r="46579" spans="191:191" x14ac:dyDescent="0.2">
      <c r="GI46579" s="422"/>
    </row>
    <row r="46580" spans="191:191" x14ac:dyDescent="0.2">
      <c r="GI46580" s="422"/>
    </row>
    <row r="46581" spans="191:191" x14ac:dyDescent="0.2">
      <c r="GI46581" s="422"/>
    </row>
    <row r="46582" spans="191:191" x14ac:dyDescent="0.2">
      <c r="GI46582" s="422"/>
    </row>
    <row r="46583" spans="191:191" x14ac:dyDescent="0.2">
      <c r="GI46583" s="422"/>
    </row>
    <row r="46584" spans="191:191" x14ac:dyDescent="0.2">
      <c r="GI46584" s="422"/>
    </row>
    <row r="46585" spans="191:191" x14ac:dyDescent="0.2">
      <c r="GI46585" s="422"/>
    </row>
    <row r="46586" spans="191:191" x14ac:dyDescent="0.2">
      <c r="GI46586" s="422"/>
    </row>
    <row r="46587" spans="191:191" x14ac:dyDescent="0.2">
      <c r="GI46587" s="422"/>
    </row>
    <row r="46588" spans="191:191" x14ac:dyDescent="0.2">
      <c r="GI46588" s="422"/>
    </row>
    <row r="46589" spans="191:191" x14ac:dyDescent="0.2">
      <c r="GI46589" s="422"/>
    </row>
    <row r="46590" spans="191:191" x14ac:dyDescent="0.2">
      <c r="GI46590" s="422"/>
    </row>
    <row r="46591" spans="191:191" x14ac:dyDescent="0.2">
      <c r="GI46591" s="422"/>
    </row>
    <row r="46592" spans="191:191" x14ac:dyDescent="0.2">
      <c r="GI46592" s="422"/>
    </row>
    <row r="46593" spans="191:191" x14ac:dyDescent="0.2">
      <c r="GI46593" s="422"/>
    </row>
    <row r="46594" spans="191:191" x14ac:dyDescent="0.2">
      <c r="GI46594" s="422"/>
    </row>
    <row r="46595" spans="191:191" x14ac:dyDescent="0.2">
      <c r="GI46595" s="422"/>
    </row>
    <row r="46596" spans="191:191" x14ac:dyDescent="0.2">
      <c r="GI46596" s="422"/>
    </row>
    <row r="46597" spans="191:191" x14ac:dyDescent="0.2">
      <c r="GI46597" s="422"/>
    </row>
    <row r="46598" spans="191:191" x14ac:dyDescent="0.2">
      <c r="GI46598" s="422"/>
    </row>
    <row r="46599" spans="191:191" x14ac:dyDescent="0.2">
      <c r="GI46599" s="422"/>
    </row>
    <row r="46600" spans="191:191" x14ac:dyDescent="0.2">
      <c r="GI46600" s="422"/>
    </row>
    <row r="46601" spans="191:191" x14ac:dyDescent="0.2">
      <c r="GI46601" s="422"/>
    </row>
    <row r="46602" spans="191:191" x14ac:dyDescent="0.2">
      <c r="GI46602" s="422"/>
    </row>
    <row r="46603" spans="191:191" x14ac:dyDescent="0.2">
      <c r="GI46603" s="422"/>
    </row>
    <row r="46604" spans="191:191" x14ac:dyDescent="0.2">
      <c r="GI46604" s="422"/>
    </row>
    <row r="46605" spans="191:191" x14ac:dyDescent="0.2">
      <c r="GI46605" s="422"/>
    </row>
    <row r="46606" spans="191:191" x14ac:dyDescent="0.2">
      <c r="GI46606" s="422"/>
    </row>
    <row r="46607" spans="191:191" x14ac:dyDescent="0.2">
      <c r="GI46607" s="422"/>
    </row>
    <row r="46608" spans="191:191" x14ac:dyDescent="0.2">
      <c r="GI46608" s="422"/>
    </row>
    <row r="46609" spans="191:191" x14ac:dyDescent="0.2">
      <c r="GI46609" s="422"/>
    </row>
    <row r="46610" spans="191:191" x14ac:dyDescent="0.2">
      <c r="GI46610" s="422"/>
    </row>
    <row r="46611" spans="191:191" x14ac:dyDescent="0.2">
      <c r="GI46611" s="422"/>
    </row>
    <row r="46612" spans="191:191" x14ac:dyDescent="0.2">
      <c r="GI46612" s="422"/>
    </row>
    <row r="46613" spans="191:191" x14ac:dyDescent="0.2">
      <c r="GI46613" s="422"/>
    </row>
    <row r="46614" spans="191:191" x14ac:dyDescent="0.2">
      <c r="GI46614" s="422"/>
    </row>
    <row r="46615" spans="191:191" x14ac:dyDescent="0.2">
      <c r="GI46615" s="422"/>
    </row>
    <row r="46616" spans="191:191" x14ac:dyDescent="0.2">
      <c r="GI46616" s="422"/>
    </row>
    <row r="46617" spans="191:191" x14ac:dyDescent="0.2">
      <c r="GI46617" s="422"/>
    </row>
    <row r="46618" spans="191:191" x14ac:dyDescent="0.2">
      <c r="GI46618" s="422"/>
    </row>
    <row r="46619" spans="191:191" x14ac:dyDescent="0.2">
      <c r="GI46619" s="422"/>
    </row>
    <row r="46620" spans="191:191" x14ac:dyDescent="0.2">
      <c r="GI46620" s="422"/>
    </row>
    <row r="46621" spans="191:191" x14ac:dyDescent="0.2">
      <c r="GI46621" s="422"/>
    </row>
    <row r="46622" spans="191:191" x14ac:dyDescent="0.2">
      <c r="GI46622" s="422"/>
    </row>
    <row r="46623" spans="191:191" x14ac:dyDescent="0.2">
      <c r="GI46623" s="422"/>
    </row>
    <row r="46624" spans="191:191" x14ac:dyDescent="0.2">
      <c r="GI46624" s="422"/>
    </row>
    <row r="46625" spans="191:191" x14ac:dyDescent="0.2">
      <c r="GI46625" s="422"/>
    </row>
    <row r="46626" spans="191:191" x14ac:dyDescent="0.2">
      <c r="GI46626" s="422"/>
    </row>
    <row r="46627" spans="191:191" x14ac:dyDescent="0.2">
      <c r="GI46627" s="422"/>
    </row>
    <row r="46628" spans="191:191" x14ac:dyDescent="0.2">
      <c r="GI46628" s="422"/>
    </row>
    <row r="46629" spans="191:191" x14ac:dyDescent="0.2">
      <c r="GI46629" s="422"/>
    </row>
    <row r="46630" spans="191:191" x14ac:dyDescent="0.2">
      <c r="GI46630" s="422"/>
    </row>
    <row r="46631" spans="191:191" x14ac:dyDescent="0.2">
      <c r="GI46631" s="422"/>
    </row>
    <row r="46632" spans="191:191" x14ac:dyDescent="0.2">
      <c r="GI46632" s="422"/>
    </row>
    <row r="46633" spans="191:191" x14ac:dyDescent="0.2">
      <c r="GI46633" s="422"/>
    </row>
    <row r="46634" spans="191:191" x14ac:dyDescent="0.2">
      <c r="GI46634" s="422"/>
    </row>
    <row r="46635" spans="191:191" x14ac:dyDescent="0.2">
      <c r="GI46635" s="422"/>
    </row>
    <row r="46636" spans="191:191" x14ac:dyDescent="0.2">
      <c r="GI46636" s="422"/>
    </row>
    <row r="46637" spans="191:191" x14ac:dyDescent="0.2">
      <c r="GI46637" s="422"/>
    </row>
    <row r="46638" spans="191:191" x14ac:dyDescent="0.2">
      <c r="GI46638" s="422"/>
    </row>
    <row r="46639" spans="191:191" x14ac:dyDescent="0.2">
      <c r="GI46639" s="422"/>
    </row>
    <row r="46640" spans="191:191" x14ac:dyDescent="0.2">
      <c r="GI46640" s="422"/>
    </row>
    <row r="46641" spans="191:191" x14ac:dyDescent="0.2">
      <c r="GI46641" s="422"/>
    </row>
    <row r="46642" spans="191:191" x14ac:dyDescent="0.2">
      <c r="GI46642" s="422"/>
    </row>
    <row r="46643" spans="191:191" x14ac:dyDescent="0.2">
      <c r="GI46643" s="422"/>
    </row>
    <row r="46644" spans="191:191" x14ac:dyDescent="0.2">
      <c r="GI46644" s="422"/>
    </row>
    <row r="46645" spans="191:191" x14ac:dyDescent="0.2">
      <c r="GI46645" s="422"/>
    </row>
    <row r="46646" spans="191:191" x14ac:dyDescent="0.2">
      <c r="GI46646" s="422"/>
    </row>
    <row r="46647" spans="191:191" x14ac:dyDescent="0.2">
      <c r="GI46647" s="422"/>
    </row>
    <row r="46648" spans="191:191" x14ac:dyDescent="0.2">
      <c r="GI46648" s="422"/>
    </row>
    <row r="46649" spans="191:191" x14ac:dyDescent="0.2">
      <c r="GI46649" s="422"/>
    </row>
    <row r="46650" spans="191:191" x14ac:dyDescent="0.2">
      <c r="GI46650" s="422"/>
    </row>
    <row r="46651" spans="191:191" x14ac:dyDescent="0.2">
      <c r="GI46651" s="422"/>
    </row>
    <row r="46652" spans="191:191" x14ac:dyDescent="0.2">
      <c r="GI46652" s="422"/>
    </row>
    <row r="46653" spans="191:191" x14ac:dyDescent="0.2">
      <c r="GI46653" s="422"/>
    </row>
    <row r="46654" spans="191:191" x14ac:dyDescent="0.2">
      <c r="GI46654" s="422"/>
    </row>
    <row r="46655" spans="191:191" x14ac:dyDescent="0.2">
      <c r="GI46655" s="422"/>
    </row>
    <row r="46656" spans="191:191" x14ac:dyDescent="0.2">
      <c r="GI46656" s="422"/>
    </row>
    <row r="46657" spans="191:191" x14ac:dyDescent="0.2">
      <c r="GI46657" s="422"/>
    </row>
    <row r="46658" spans="191:191" x14ac:dyDescent="0.2">
      <c r="GI46658" s="422"/>
    </row>
    <row r="46659" spans="191:191" x14ac:dyDescent="0.2">
      <c r="GI46659" s="422"/>
    </row>
    <row r="46660" spans="191:191" x14ac:dyDescent="0.2">
      <c r="GI46660" s="422"/>
    </row>
    <row r="46661" spans="191:191" x14ac:dyDescent="0.2">
      <c r="GI46661" s="422"/>
    </row>
    <row r="46662" spans="191:191" x14ac:dyDescent="0.2">
      <c r="GI46662" s="422"/>
    </row>
    <row r="46663" spans="191:191" x14ac:dyDescent="0.2">
      <c r="GI46663" s="422"/>
    </row>
    <row r="46664" spans="191:191" x14ac:dyDescent="0.2">
      <c r="GI46664" s="422"/>
    </row>
    <row r="46665" spans="191:191" x14ac:dyDescent="0.2">
      <c r="GI46665" s="422"/>
    </row>
    <row r="46666" spans="191:191" x14ac:dyDescent="0.2">
      <c r="GI46666" s="422"/>
    </row>
    <row r="46667" spans="191:191" x14ac:dyDescent="0.2">
      <c r="GI46667" s="422"/>
    </row>
    <row r="46668" spans="191:191" x14ac:dyDescent="0.2">
      <c r="GI46668" s="422"/>
    </row>
    <row r="46669" spans="191:191" x14ac:dyDescent="0.2">
      <c r="GI46669" s="422"/>
    </row>
    <row r="46670" spans="191:191" x14ac:dyDescent="0.2">
      <c r="GI46670" s="422"/>
    </row>
    <row r="46671" spans="191:191" x14ac:dyDescent="0.2">
      <c r="GI46671" s="422"/>
    </row>
    <row r="46672" spans="191:191" x14ac:dyDescent="0.2">
      <c r="GI46672" s="422"/>
    </row>
    <row r="46673" spans="191:191" x14ac:dyDescent="0.2">
      <c r="GI46673" s="422"/>
    </row>
    <row r="46674" spans="191:191" x14ac:dyDescent="0.2">
      <c r="GI46674" s="422"/>
    </row>
    <row r="46675" spans="191:191" x14ac:dyDescent="0.2">
      <c r="GI46675" s="422"/>
    </row>
    <row r="46676" spans="191:191" x14ac:dyDescent="0.2">
      <c r="GI46676" s="422"/>
    </row>
    <row r="46677" spans="191:191" x14ac:dyDescent="0.2">
      <c r="GI46677" s="422"/>
    </row>
    <row r="46678" spans="191:191" x14ac:dyDescent="0.2">
      <c r="GI46678" s="422"/>
    </row>
    <row r="46679" spans="191:191" x14ac:dyDescent="0.2">
      <c r="GI46679" s="422"/>
    </row>
    <row r="46680" spans="191:191" x14ac:dyDescent="0.2">
      <c r="GI46680" s="422"/>
    </row>
    <row r="46681" spans="191:191" x14ac:dyDescent="0.2">
      <c r="GI46681" s="422"/>
    </row>
    <row r="46682" spans="191:191" x14ac:dyDescent="0.2">
      <c r="GI46682" s="422"/>
    </row>
    <row r="46683" spans="191:191" x14ac:dyDescent="0.2">
      <c r="GI46683" s="422"/>
    </row>
    <row r="46684" spans="191:191" x14ac:dyDescent="0.2">
      <c r="GI46684" s="422"/>
    </row>
    <row r="46685" spans="191:191" x14ac:dyDescent="0.2">
      <c r="GI46685" s="422"/>
    </row>
    <row r="46686" spans="191:191" x14ac:dyDescent="0.2">
      <c r="GI46686" s="422"/>
    </row>
    <row r="46687" spans="191:191" x14ac:dyDescent="0.2">
      <c r="GI46687" s="422"/>
    </row>
    <row r="46688" spans="191:191" x14ac:dyDescent="0.2">
      <c r="GI46688" s="422"/>
    </row>
    <row r="46689" spans="191:191" x14ac:dyDescent="0.2">
      <c r="GI46689" s="422"/>
    </row>
    <row r="46690" spans="191:191" x14ac:dyDescent="0.2">
      <c r="GI46690" s="422"/>
    </row>
    <row r="46691" spans="191:191" x14ac:dyDescent="0.2">
      <c r="GI46691" s="422"/>
    </row>
    <row r="46692" spans="191:191" x14ac:dyDescent="0.2">
      <c r="GI46692" s="422"/>
    </row>
    <row r="46693" spans="191:191" x14ac:dyDescent="0.2">
      <c r="GI46693" s="422"/>
    </row>
    <row r="46694" spans="191:191" x14ac:dyDescent="0.2">
      <c r="GI46694" s="422"/>
    </row>
    <row r="46695" spans="191:191" x14ac:dyDescent="0.2">
      <c r="GI46695" s="422"/>
    </row>
    <row r="46696" spans="191:191" x14ac:dyDescent="0.2">
      <c r="GI46696" s="422"/>
    </row>
    <row r="46697" spans="191:191" x14ac:dyDescent="0.2">
      <c r="GI46697" s="422"/>
    </row>
    <row r="46698" spans="191:191" x14ac:dyDescent="0.2">
      <c r="GI46698" s="422"/>
    </row>
    <row r="46699" spans="191:191" x14ac:dyDescent="0.2">
      <c r="GI46699" s="422"/>
    </row>
    <row r="46700" spans="191:191" x14ac:dyDescent="0.2">
      <c r="GI46700" s="422"/>
    </row>
    <row r="46701" spans="191:191" x14ac:dyDescent="0.2">
      <c r="GI46701" s="422"/>
    </row>
    <row r="46702" spans="191:191" x14ac:dyDescent="0.2">
      <c r="GI46702" s="422"/>
    </row>
    <row r="46703" spans="191:191" x14ac:dyDescent="0.2">
      <c r="GI46703" s="422"/>
    </row>
    <row r="46704" spans="191:191" x14ac:dyDescent="0.2">
      <c r="GI46704" s="422"/>
    </row>
    <row r="46705" spans="191:191" x14ac:dyDescent="0.2">
      <c r="GI46705" s="422"/>
    </row>
    <row r="46706" spans="191:191" x14ac:dyDescent="0.2">
      <c r="GI46706" s="422"/>
    </row>
    <row r="46707" spans="191:191" x14ac:dyDescent="0.2">
      <c r="GI46707" s="422"/>
    </row>
    <row r="46708" spans="191:191" x14ac:dyDescent="0.2">
      <c r="GI46708" s="422"/>
    </row>
    <row r="46709" spans="191:191" x14ac:dyDescent="0.2">
      <c r="GI46709" s="422"/>
    </row>
    <row r="46710" spans="191:191" x14ac:dyDescent="0.2">
      <c r="GI46710" s="422"/>
    </row>
    <row r="46711" spans="191:191" x14ac:dyDescent="0.2">
      <c r="GI46711" s="422"/>
    </row>
    <row r="46712" spans="191:191" x14ac:dyDescent="0.2">
      <c r="GI46712" s="422"/>
    </row>
    <row r="46713" spans="191:191" x14ac:dyDescent="0.2">
      <c r="GI46713" s="422"/>
    </row>
    <row r="46714" spans="191:191" x14ac:dyDescent="0.2">
      <c r="GI46714" s="422"/>
    </row>
    <row r="46715" spans="191:191" x14ac:dyDescent="0.2">
      <c r="GI46715" s="422"/>
    </row>
    <row r="46716" spans="191:191" x14ac:dyDescent="0.2">
      <c r="GI46716" s="422"/>
    </row>
    <row r="46717" spans="191:191" x14ac:dyDescent="0.2">
      <c r="GI46717" s="422"/>
    </row>
    <row r="46718" spans="191:191" x14ac:dyDescent="0.2">
      <c r="GI46718" s="422"/>
    </row>
    <row r="46719" spans="191:191" x14ac:dyDescent="0.2">
      <c r="GI46719" s="422"/>
    </row>
    <row r="46720" spans="191:191" x14ac:dyDescent="0.2">
      <c r="GI46720" s="422"/>
    </row>
    <row r="46721" spans="191:191" x14ac:dyDescent="0.2">
      <c r="GI46721" s="422"/>
    </row>
    <row r="46722" spans="191:191" x14ac:dyDescent="0.2">
      <c r="GI46722" s="422"/>
    </row>
    <row r="46723" spans="191:191" x14ac:dyDescent="0.2">
      <c r="GI46723" s="422"/>
    </row>
    <row r="46724" spans="191:191" x14ac:dyDescent="0.2">
      <c r="GI46724" s="422"/>
    </row>
    <row r="46725" spans="191:191" x14ac:dyDescent="0.2">
      <c r="GI46725" s="422"/>
    </row>
    <row r="46726" spans="191:191" x14ac:dyDescent="0.2">
      <c r="GI46726" s="422"/>
    </row>
    <row r="46727" spans="191:191" x14ac:dyDescent="0.2">
      <c r="GI46727" s="422"/>
    </row>
    <row r="46728" spans="191:191" x14ac:dyDescent="0.2">
      <c r="GI46728" s="422"/>
    </row>
    <row r="46729" spans="191:191" x14ac:dyDescent="0.2">
      <c r="GI46729" s="422"/>
    </row>
    <row r="46730" spans="191:191" x14ac:dyDescent="0.2">
      <c r="GI46730" s="422"/>
    </row>
    <row r="46731" spans="191:191" x14ac:dyDescent="0.2">
      <c r="GI46731" s="422"/>
    </row>
    <row r="46732" spans="191:191" x14ac:dyDescent="0.2">
      <c r="GI46732" s="422"/>
    </row>
    <row r="46733" spans="191:191" x14ac:dyDescent="0.2">
      <c r="GI46733" s="422"/>
    </row>
    <row r="46734" spans="191:191" x14ac:dyDescent="0.2">
      <c r="GI46734" s="422"/>
    </row>
    <row r="46735" spans="191:191" x14ac:dyDescent="0.2">
      <c r="GI46735" s="422"/>
    </row>
    <row r="46736" spans="191:191" x14ac:dyDescent="0.2">
      <c r="GI46736" s="422"/>
    </row>
    <row r="46737" spans="191:191" x14ac:dyDescent="0.2">
      <c r="GI46737" s="422"/>
    </row>
    <row r="46738" spans="191:191" x14ac:dyDescent="0.2">
      <c r="GI46738" s="422"/>
    </row>
    <row r="46739" spans="191:191" x14ac:dyDescent="0.2">
      <c r="GI46739" s="422"/>
    </row>
    <row r="46740" spans="191:191" x14ac:dyDescent="0.2">
      <c r="GI46740" s="422"/>
    </row>
    <row r="46741" spans="191:191" x14ac:dyDescent="0.2">
      <c r="GI46741" s="422"/>
    </row>
    <row r="46742" spans="191:191" x14ac:dyDescent="0.2">
      <c r="GI46742" s="422"/>
    </row>
    <row r="46743" spans="191:191" x14ac:dyDescent="0.2">
      <c r="GI46743" s="422"/>
    </row>
    <row r="46744" spans="191:191" x14ac:dyDescent="0.2">
      <c r="GI46744" s="422"/>
    </row>
    <row r="46745" spans="191:191" x14ac:dyDescent="0.2">
      <c r="GI46745" s="422"/>
    </row>
    <row r="46746" spans="191:191" x14ac:dyDescent="0.2">
      <c r="GI46746" s="422"/>
    </row>
    <row r="46747" spans="191:191" x14ac:dyDescent="0.2">
      <c r="GI46747" s="422"/>
    </row>
    <row r="46748" spans="191:191" x14ac:dyDescent="0.2">
      <c r="GI46748" s="422"/>
    </row>
    <row r="46749" spans="191:191" x14ac:dyDescent="0.2">
      <c r="GI46749" s="422"/>
    </row>
    <row r="46750" spans="191:191" x14ac:dyDescent="0.2">
      <c r="GI46750" s="422"/>
    </row>
    <row r="46751" spans="191:191" x14ac:dyDescent="0.2">
      <c r="GI46751" s="422"/>
    </row>
    <row r="46752" spans="191:191" x14ac:dyDescent="0.2">
      <c r="GI46752" s="422"/>
    </row>
    <row r="46753" spans="191:191" x14ac:dyDescent="0.2">
      <c r="GI46753" s="422"/>
    </row>
    <row r="46754" spans="191:191" x14ac:dyDescent="0.2">
      <c r="GI46754" s="422"/>
    </row>
    <row r="46755" spans="191:191" x14ac:dyDescent="0.2">
      <c r="GI46755" s="422"/>
    </row>
    <row r="46756" spans="191:191" x14ac:dyDescent="0.2">
      <c r="GI46756" s="422"/>
    </row>
    <row r="46757" spans="191:191" x14ac:dyDescent="0.2">
      <c r="GI46757" s="422"/>
    </row>
    <row r="46758" spans="191:191" x14ac:dyDescent="0.2">
      <c r="GI46758" s="422"/>
    </row>
    <row r="46759" spans="191:191" x14ac:dyDescent="0.2">
      <c r="GI46759" s="422"/>
    </row>
    <row r="46760" spans="191:191" x14ac:dyDescent="0.2">
      <c r="GI46760" s="422"/>
    </row>
    <row r="46761" spans="191:191" x14ac:dyDescent="0.2">
      <c r="GI46761" s="422"/>
    </row>
    <row r="46762" spans="191:191" x14ac:dyDescent="0.2">
      <c r="GI46762" s="422"/>
    </row>
    <row r="46763" spans="191:191" x14ac:dyDescent="0.2">
      <c r="GI46763" s="422"/>
    </row>
    <row r="46764" spans="191:191" x14ac:dyDescent="0.2">
      <c r="GI46764" s="422"/>
    </row>
    <row r="46765" spans="191:191" x14ac:dyDescent="0.2">
      <c r="GI46765" s="422"/>
    </row>
    <row r="46766" spans="191:191" x14ac:dyDescent="0.2">
      <c r="GI46766" s="422"/>
    </row>
    <row r="46767" spans="191:191" x14ac:dyDescent="0.2">
      <c r="GI46767" s="422"/>
    </row>
    <row r="46768" spans="191:191" x14ac:dyDescent="0.2">
      <c r="GI46768" s="422"/>
    </row>
    <row r="46769" spans="191:191" x14ac:dyDescent="0.2">
      <c r="GI46769" s="422"/>
    </row>
    <row r="46770" spans="191:191" x14ac:dyDescent="0.2">
      <c r="GI46770" s="422"/>
    </row>
    <row r="46771" spans="191:191" x14ac:dyDescent="0.2">
      <c r="GI46771" s="422"/>
    </row>
    <row r="46772" spans="191:191" x14ac:dyDescent="0.2">
      <c r="GI46772" s="422"/>
    </row>
    <row r="46773" spans="191:191" x14ac:dyDescent="0.2">
      <c r="GI46773" s="422"/>
    </row>
    <row r="46774" spans="191:191" x14ac:dyDescent="0.2">
      <c r="GI46774" s="422"/>
    </row>
    <row r="46775" spans="191:191" x14ac:dyDescent="0.2">
      <c r="GI46775" s="422"/>
    </row>
    <row r="46776" spans="191:191" x14ac:dyDescent="0.2">
      <c r="GI46776" s="422"/>
    </row>
    <row r="46777" spans="191:191" x14ac:dyDescent="0.2">
      <c r="GI46777" s="422"/>
    </row>
    <row r="46778" spans="191:191" x14ac:dyDescent="0.2">
      <c r="GI46778" s="422"/>
    </row>
    <row r="46779" spans="191:191" x14ac:dyDescent="0.2">
      <c r="GI46779" s="422"/>
    </row>
    <row r="46780" spans="191:191" x14ac:dyDescent="0.2">
      <c r="GI46780" s="422"/>
    </row>
    <row r="46781" spans="191:191" x14ac:dyDescent="0.2">
      <c r="GI46781" s="422"/>
    </row>
    <row r="46782" spans="191:191" x14ac:dyDescent="0.2">
      <c r="GI46782" s="422"/>
    </row>
    <row r="46783" spans="191:191" x14ac:dyDescent="0.2">
      <c r="GI46783" s="422"/>
    </row>
    <row r="46784" spans="191:191" x14ac:dyDescent="0.2">
      <c r="GI46784" s="422"/>
    </row>
    <row r="46785" spans="191:191" x14ac:dyDescent="0.2">
      <c r="GI46785" s="422"/>
    </row>
    <row r="46786" spans="191:191" x14ac:dyDescent="0.2">
      <c r="GI46786" s="422"/>
    </row>
    <row r="46787" spans="191:191" x14ac:dyDescent="0.2">
      <c r="GI46787" s="422"/>
    </row>
    <row r="46788" spans="191:191" x14ac:dyDescent="0.2">
      <c r="GI46788" s="422"/>
    </row>
    <row r="46789" spans="191:191" x14ac:dyDescent="0.2">
      <c r="GI46789" s="422"/>
    </row>
    <row r="46790" spans="191:191" x14ac:dyDescent="0.2">
      <c r="GI46790" s="422"/>
    </row>
    <row r="46791" spans="191:191" x14ac:dyDescent="0.2">
      <c r="GI46791" s="422"/>
    </row>
    <row r="46792" spans="191:191" x14ac:dyDescent="0.2">
      <c r="GI46792" s="422"/>
    </row>
    <row r="46793" spans="191:191" x14ac:dyDescent="0.2">
      <c r="GI46793" s="422"/>
    </row>
    <row r="46794" spans="191:191" x14ac:dyDescent="0.2">
      <c r="GI46794" s="422"/>
    </row>
    <row r="46795" spans="191:191" x14ac:dyDescent="0.2">
      <c r="GI46795" s="422"/>
    </row>
    <row r="46796" spans="191:191" x14ac:dyDescent="0.2">
      <c r="GI46796" s="422"/>
    </row>
    <row r="46797" spans="191:191" x14ac:dyDescent="0.2">
      <c r="GI46797" s="422"/>
    </row>
    <row r="46798" spans="191:191" x14ac:dyDescent="0.2">
      <c r="GI46798" s="422"/>
    </row>
    <row r="46799" spans="191:191" x14ac:dyDescent="0.2">
      <c r="GI46799" s="422"/>
    </row>
    <row r="46800" spans="191:191" x14ac:dyDescent="0.2">
      <c r="GI46800" s="422"/>
    </row>
    <row r="46801" spans="191:191" x14ac:dyDescent="0.2">
      <c r="GI46801" s="422"/>
    </row>
    <row r="46802" spans="191:191" x14ac:dyDescent="0.2">
      <c r="GI46802" s="422"/>
    </row>
    <row r="46803" spans="191:191" x14ac:dyDescent="0.2">
      <c r="GI46803" s="422"/>
    </row>
    <row r="46804" spans="191:191" x14ac:dyDescent="0.2">
      <c r="GI46804" s="422"/>
    </row>
    <row r="46805" spans="191:191" x14ac:dyDescent="0.2">
      <c r="GI46805" s="422"/>
    </row>
    <row r="46806" spans="191:191" x14ac:dyDescent="0.2">
      <c r="GI46806" s="422"/>
    </row>
    <row r="46807" spans="191:191" x14ac:dyDescent="0.2">
      <c r="GI46807" s="422"/>
    </row>
    <row r="46808" spans="191:191" x14ac:dyDescent="0.2">
      <c r="GI46808" s="422"/>
    </row>
    <row r="46809" spans="191:191" x14ac:dyDescent="0.2">
      <c r="GI46809" s="422"/>
    </row>
    <row r="46810" spans="191:191" x14ac:dyDescent="0.2">
      <c r="GI46810" s="422"/>
    </row>
    <row r="46811" spans="191:191" x14ac:dyDescent="0.2">
      <c r="GI46811" s="422"/>
    </row>
    <row r="46812" spans="191:191" x14ac:dyDescent="0.2">
      <c r="GI46812" s="422"/>
    </row>
    <row r="46813" spans="191:191" x14ac:dyDescent="0.2">
      <c r="GI46813" s="422"/>
    </row>
    <row r="46814" spans="191:191" x14ac:dyDescent="0.2">
      <c r="GI46814" s="422"/>
    </row>
    <row r="46815" spans="191:191" x14ac:dyDescent="0.2">
      <c r="GI46815" s="422"/>
    </row>
    <row r="46816" spans="191:191" x14ac:dyDescent="0.2">
      <c r="GI46816" s="422"/>
    </row>
    <row r="46817" spans="191:191" x14ac:dyDescent="0.2">
      <c r="GI46817" s="422"/>
    </row>
    <row r="46818" spans="191:191" x14ac:dyDescent="0.2">
      <c r="GI46818" s="422"/>
    </row>
    <row r="46819" spans="191:191" x14ac:dyDescent="0.2">
      <c r="GI46819" s="422"/>
    </row>
    <row r="46820" spans="191:191" x14ac:dyDescent="0.2">
      <c r="GI46820" s="422"/>
    </row>
    <row r="46821" spans="191:191" x14ac:dyDescent="0.2">
      <c r="GI46821" s="422"/>
    </row>
    <row r="46822" spans="191:191" x14ac:dyDescent="0.2">
      <c r="GI46822" s="422"/>
    </row>
    <row r="46823" spans="191:191" x14ac:dyDescent="0.2">
      <c r="GI46823" s="422"/>
    </row>
    <row r="46824" spans="191:191" x14ac:dyDescent="0.2">
      <c r="GI46824" s="422"/>
    </row>
    <row r="46825" spans="191:191" x14ac:dyDescent="0.2">
      <c r="GI46825" s="422"/>
    </row>
    <row r="46826" spans="191:191" x14ac:dyDescent="0.2">
      <c r="GI46826" s="422"/>
    </row>
    <row r="46827" spans="191:191" x14ac:dyDescent="0.2">
      <c r="GI46827" s="422"/>
    </row>
    <row r="46828" spans="191:191" x14ac:dyDescent="0.2">
      <c r="GI46828" s="422"/>
    </row>
    <row r="46829" spans="191:191" x14ac:dyDescent="0.2">
      <c r="GI46829" s="422"/>
    </row>
    <row r="46830" spans="191:191" x14ac:dyDescent="0.2">
      <c r="GI46830" s="422"/>
    </row>
    <row r="46831" spans="191:191" x14ac:dyDescent="0.2">
      <c r="GI46831" s="422"/>
    </row>
    <row r="46832" spans="191:191" x14ac:dyDescent="0.2">
      <c r="GI46832" s="422"/>
    </row>
    <row r="46833" spans="191:191" x14ac:dyDescent="0.2">
      <c r="GI46833" s="422"/>
    </row>
    <row r="46834" spans="191:191" x14ac:dyDescent="0.2">
      <c r="GI46834" s="422"/>
    </row>
    <row r="46835" spans="191:191" x14ac:dyDescent="0.2">
      <c r="GI46835" s="422"/>
    </row>
    <row r="46836" spans="191:191" x14ac:dyDescent="0.2">
      <c r="GI46836" s="422"/>
    </row>
    <row r="46837" spans="191:191" x14ac:dyDescent="0.2">
      <c r="GI46837" s="422"/>
    </row>
    <row r="46838" spans="191:191" x14ac:dyDescent="0.2">
      <c r="GI46838" s="422"/>
    </row>
    <row r="46839" spans="191:191" x14ac:dyDescent="0.2">
      <c r="GI46839" s="422"/>
    </row>
    <row r="46840" spans="191:191" x14ac:dyDescent="0.2">
      <c r="GI46840" s="422"/>
    </row>
    <row r="46841" spans="191:191" x14ac:dyDescent="0.2">
      <c r="GI46841" s="422"/>
    </row>
    <row r="46842" spans="191:191" x14ac:dyDescent="0.2">
      <c r="GI46842" s="422"/>
    </row>
    <row r="46843" spans="191:191" x14ac:dyDescent="0.2">
      <c r="GI46843" s="422"/>
    </row>
    <row r="46844" spans="191:191" x14ac:dyDescent="0.2">
      <c r="GI46844" s="422"/>
    </row>
    <row r="46845" spans="191:191" x14ac:dyDescent="0.2">
      <c r="GI46845" s="422"/>
    </row>
    <row r="46846" spans="191:191" x14ac:dyDescent="0.2">
      <c r="GI46846" s="422"/>
    </row>
    <row r="46847" spans="191:191" x14ac:dyDescent="0.2">
      <c r="GI46847" s="422"/>
    </row>
    <row r="46848" spans="191:191" x14ac:dyDescent="0.2">
      <c r="GI46848" s="422"/>
    </row>
    <row r="46849" spans="191:191" x14ac:dyDescent="0.2">
      <c r="GI46849" s="422"/>
    </row>
    <row r="46850" spans="191:191" x14ac:dyDescent="0.2">
      <c r="GI46850" s="422"/>
    </row>
    <row r="46851" spans="191:191" x14ac:dyDescent="0.2">
      <c r="GI46851" s="422"/>
    </row>
    <row r="46852" spans="191:191" x14ac:dyDescent="0.2">
      <c r="GI46852" s="422"/>
    </row>
    <row r="46853" spans="191:191" x14ac:dyDescent="0.2">
      <c r="GI46853" s="422"/>
    </row>
    <row r="46854" spans="191:191" x14ac:dyDescent="0.2">
      <c r="GI46854" s="422"/>
    </row>
    <row r="46855" spans="191:191" x14ac:dyDescent="0.2">
      <c r="GI46855" s="422"/>
    </row>
    <row r="46856" spans="191:191" x14ac:dyDescent="0.2">
      <c r="GI46856" s="422"/>
    </row>
    <row r="46857" spans="191:191" x14ac:dyDescent="0.2">
      <c r="GI46857" s="422"/>
    </row>
    <row r="46858" spans="191:191" x14ac:dyDescent="0.2">
      <c r="GI46858" s="422"/>
    </row>
    <row r="46859" spans="191:191" x14ac:dyDescent="0.2">
      <c r="GI46859" s="422"/>
    </row>
    <row r="46860" spans="191:191" x14ac:dyDescent="0.2">
      <c r="GI46860" s="422"/>
    </row>
    <row r="46861" spans="191:191" x14ac:dyDescent="0.2">
      <c r="GI46861" s="422"/>
    </row>
    <row r="46862" spans="191:191" x14ac:dyDescent="0.2">
      <c r="GI46862" s="422"/>
    </row>
    <row r="46863" spans="191:191" x14ac:dyDescent="0.2">
      <c r="GI46863" s="422"/>
    </row>
    <row r="46864" spans="191:191" x14ac:dyDescent="0.2">
      <c r="GI46864" s="422"/>
    </row>
    <row r="46865" spans="191:191" x14ac:dyDescent="0.2">
      <c r="GI46865" s="422"/>
    </row>
    <row r="46866" spans="191:191" x14ac:dyDescent="0.2">
      <c r="GI46866" s="422"/>
    </row>
    <row r="46867" spans="191:191" x14ac:dyDescent="0.2">
      <c r="GI46867" s="422"/>
    </row>
    <row r="46868" spans="191:191" x14ac:dyDescent="0.2">
      <c r="GI46868" s="422"/>
    </row>
    <row r="46869" spans="191:191" x14ac:dyDescent="0.2">
      <c r="GI46869" s="422"/>
    </row>
    <row r="46870" spans="191:191" x14ac:dyDescent="0.2">
      <c r="GI46870" s="422"/>
    </row>
    <row r="46871" spans="191:191" x14ac:dyDescent="0.2">
      <c r="GI46871" s="422"/>
    </row>
    <row r="46872" spans="191:191" x14ac:dyDescent="0.2">
      <c r="GI46872" s="422"/>
    </row>
    <row r="46873" spans="191:191" x14ac:dyDescent="0.2">
      <c r="GI46873" s="422"/>
    </row>
    <row r="46874" spans="191:191" x14ac:dyDescent="0.2">
      <c r="GI46874" s="422"/>
    </row>
    <row r="46875" spans="191:191" x14ac:dyDescent="0.2">
      <c r="GI46875" s="422"/>
    </row>
    <row r="46876" spans="191:191" x14ac:dyDescent="0.2">
      <c r="GI46876" s="422"/>
    </row>
    <row r="46877" spans="191:191" x14ac:dyDescent="0.2">
      <c r="GI46877" s="422"/>
    </row>
    <row r="46878" spans="191:191" x14ac:dyDescent="0.2">
      <c r="GI46878" s="422"/>
    </row>
    <row r="46879" spans="191:191" x14ac:dyDescent="0.2">
      <c r="GI46879" s="422"/>
    </row>
    <row r="46880" spans="191:191" x14ac:dyDescent="0.2">
      <c r="GI46880" s="422"/>
    </row>
    <row r="46881" spans="191:191" x14ac:dyDescent="0.2">
      <c r="GI46881" s="422"/>
    </row>
    <row r="46882" spans="191:191" x14ac:dyDescent="0.2">
      <c r="GI46882" s="422"/>
    </row>
    <row r="46883" spans="191:191" x14ac:dyDescent="0.2">
      <c r="GI46883" s="422"/>
    </row>
    <row r="46884" spans="191:191" x14ac:dyDescent="0.2">
      <c r="GI46884" s="422"/>
    </row>
    <row r="46885" spans="191:191" x14ac:dyDescent="0.2">
      <c r="GI46885" s="422"/>
    </row>
    <row r="46886" spans="191:191" x14ac:dyDescent="0.2">
      <c r="GI46886" s="422"/>
    </row>
    <row r="46887" spans="191:191" x14ac:dyDescent="0.2">
      <c r="GI46887" s="422"/>
    </row>
    <row r="46888" spans="191:191" x14ac:dyDescent="0.2">
      <c r="GI46888" s="422"/>
    </row>
    <row r="46889" spans="191:191" x14ac:dyDescent="0.2">
      <c r="GI46889" s="422"/>
    </row>
    <row r="46890" spans="191:191" x14ac:dyDescent="0.2">
      <c r="GI46890" s="422"/>
    </row>
    <row r="46891" spans="191:191" x14ac:dyDescent="0.2">
      <c r="GI46891" s="422"/>
    </row>
    <row r="46892" spans="191:191" x14ac:dyDescent="0.2">
      <c r="GI46892" s="422"/>
    </row>
    <row r="46893" spans="191:191" x14ac:dyDescent="0.2">
      <c r="GI46893" s="422"/>
    </row>
    <row r="46894" spans="191:191" x14ac:dyDescent="0.2">
      <c r="GI46894" s="422"/>
    </row>
    <row r="46895" spans="191:191" x14ac:dyDescent="0.2">
      <c r="GI46895" s="422"/>
    </row>
    <row r="46896" spans="191:191" x14ac:dyDescent="0.2">
      <c r="GI46896" s="422"/>
    </row>
    <row r="46897" spans="191:191" x14ac:dyDescent="0.2">
      <c r="GI46897" s="422"/>
    </row>
    <row r="46898" spans="191:191" x14ac:dyDescent="0.2">
      <c r="GI46898" s="422"/>
    </row>
    <row r="46899" spans="191:191" x14ac:dyDescent="0.2">
      <c r="GI46899" s="422"/>
    </row>
    <row r="46900" spans="191:191" x14ac:dyDescent="0.2">
      <c r="GI46900" s="422"/>
    </row>
    <row r="46901" spans="191:191" x14ac:dyDescent="0.2">
      <c r="GI46901" s="422"/>
    </row>
    <row r="46902" spans="191:191" x14ac:dyDescent="0.2">
      <c r="GI46902" s="422"/>
    </row>
    <row r="46903" spans="191:191" x14ac:dyDescent="0.2">
      <c r="GI46903" s="422"/>
    </row>
    <row r="46904" spans="191:191" x14ac:dyDescent="0.2">
      <c r="GI46904" s="422"/>
    </row>
    <row r="46905" spans="191:191" x14ac:dyDescent="0.2">
      <c r="GI46905" s="422"/>
    </row>
    <row r="46906" spans="191:191" x14ac:dyDescent="0.2">
      <c r="GI46906" s="422"/>
    </row>
    <row r="46907" spans="191:191" x14ac:dyDescent="0.2">
      <c r="GI46907" s="422"/>
    </row>
    <row r="46908" spans="191:191" x14ac:dyDescent="0.2">
      <c r="GI46908" s="422"/>
    </row>
    <row r="46909" spans="191:191" x14ac:dyDescent="0.2">
      <c r="GI46909" s="422"/>
    </row>
    <row r="46910" spans="191:191" x14ac:dyDescent="0.2">
      <c r="GI46910" s="422"/>
    </row>
    <row r="46911" spans="191:191" x14ac:dyDescent="0.2">
      <c r="GI46911" s="422"/>
    </row>
    <row r="46912" spans="191:191" x14ac:dyDescent="0.2">
      <c r="GI46912" s="422"/>
    </row>
    <row r="46913" spans="191:191" x14ac:dyDescent="0.2">
      <c r="GI46913" s="422"/>
    </row>
    <row r="46914" spans="191:191" x14ac:dyDescent="0.2">
      <c r="GI46914" s="422"/>
    </row>
    <row r="46915" spans="191:191" x14ac:dyDescent="0.2">
      <c r="GI46915" s="422"/>
    </row>
    <row r="46916" spans="191:191" x14ac:dyDescent="0.2">
      <c r="GI46916" s="422"/>
    </row>
    <row r="46917" spans="191:191" x14ac:dyDescent="0.2">
      <c r="GI46917" s="422"/>
    </row>
    <row r="46918" spans="191:191" x14ac:dyDescent="0.2">
      <c r="GI46918" s="422"/>
    </row>
    <row r="46919" spans="191:191" x14ac:dyDescent="0.2">
      <c r="GI46919" s="422"/>
    </row>
    <row r="46920" spans="191:191" x14ac:dyDescent="0.2">
      <c r="GI46920" s="422"/>
    </row>
    <row r="46921" spans="191:191" x14ac:dyDescent="0.2">
      <c r="GI46921" s="422"/>
    </row>
    <row r="46922" spans="191:191" x14ac:dyDescent="0.2">
      <c r="GI46922" s="422"/>
    </row>
    <row r="46923" spans="191:191" x14ac:dyDescent="0.2">
      <c r="GI46923" s="422"/>
    </row>
    <row r="46924" spans="191:191" x14ac:dyDescent="0.2">
      <c r="GI46924" s="422"/>
    </row>
    <row r="46925" spans="191:191" x14ac:dyDescent="0.2">
      <c r="GI46925" s="422"/>
    </row>
    <row r="46926" spans="191:191" x14ac:dyDescent="0.2">
      <c r="GI46926" s="422"/>
    </row>
    <row r="46927" spans="191:191" x14ac:dyDescent="0.2">
      <c r="GI46927" s="422"/>
    </row>
    <row r="46928" spans="191:191" x14ac:dyDescent="0.2">
      <c r="GI46928" s="422"/>
    </row>
    <row r="46929" spans="191:191" x14ac:dyDescent="0.2">
      <c r="GI46929" s="422"/>
    </row>
    <row r="46930" spans="191:191" x14ac:dyDescent="0.2">
      <c r="GI46930" s="422"/>
    </row>
    <row r="46931" spans="191:191" x14ac:dyDescent="0.2">
      <c r="GI46931" s="422"/>
    </row>
    <row r="46932" spans="191:191" x14ac:dyDescent="0.2">
      <c r="GI46932" s="422"/>
    </row>
    <row r="46933" spans="191:191" x14ac:dyDescent="0.2">
      <c r="GI46933" s="422"/>
    </row>
    <row r="46934" spans="191:191" x14ac:dyDescent="0.2">
      <c r="GI46934" s="422"/>
    </row>
    <row r="46935" spans="191:191" x14ac:dyDescent="0.2">
      <c r="GI46935" s="422"/>
    </row>
    <row r="46936" spans="191:191" x14ac:dyDescent="0.2">
      <c r="GI46936" s="422"/>
    </row>
    <row r="46937" spans="191:191" x14ac:dyDescent="0.2">
      <c r="GI46937" s="422"/>
    </row>
    <row r="46938" spans="191:191" x14ac:dyDescent="0.2">
      <c r="GI46938" s="422"/>
    </row>
    <row r="46939" spans="191:191" x14ac:dyDescent="0.2">
      <c r="GI46939" s="422"/>
    </row>
    <row r="46940" spans="191:191" x14ac:dyDescent="0.2">
      <c r="GI46940" s="422"/>
    </row>
    <row r="46941" spans="191:191" x14ac:dyDescent="0.2">
      <c r="GI46941" s="422"/>
    </row>
    <row r="46942" spans="191:191" x14ac:dyDescent="0.2">
      <c r="GI46942" s="422"/>
    </row>
    <row r="46943" spans="191:191" x14ac:dyDescent="0.2">
      <c r="GI46943" s="422"/>
    </row>
    <row r="46944" spans="191:191" x14ac:dyDescent="0.2">
      <c r="GI46944" s="422"/>
    </row>
    <row r="46945" spans="191:191" x14ac:dyDescent="0.2">
      <c r="GI46945" s="422"/>
    </row>
    <row r="46946" spans="191:191" x14ac:dyDescent="0.2">
      <c r="GI46946" s="422"/>
    </row>
    <row r="46947" spans="191:191" x14ac:dyDescent="0.2">
      <c r="GI46947" s="422"/>
    </row>
    <row r="46948" spans="191:191" x14ac:dyDescent="0.2">
      <c r="GI46948" s="422"/>
    </row>
    <row r="46949" spans="191:191" x14ac:dyDescent="0.2">
      <c r="GI46949" s="422"/>
    </row>
    <row r="46950" spans="191:191" x14ac:dyDescent="0.2">
      <c r="GI46950" s="422"/>
    </row>
    <row r="46951" spans="191:191" x14ac:dyDescent="0.2">
      <c r="GI46951" s="422"/>
    </row>
    <row r="46952" spans="191:191" x14ac:dyDescent="0.2">
      <c r="GI46952" s="422"/>
    </row>
    <row r="46953" spans="191:191" x14ac:dyDescent="0.2">
      <c r="GI46953" s="422"/>
    </row>
    <row r="46954" spans="191:191" x14ac:dyDescent="0.2">
      <c r="GI46954" s="422"/>
    </row>
    <row r="46955" spans="191:191" x14ac:dyDescent="0.2">
      <c r="GI46955" s="422"/>
    </row>
    <row r="46956" spans="191:191" x14ac:dyDescent="0.2">
      <c r="GI46956" s="422"/>
    </row>
    <row r="46957" spans="191:191" x14ac:dyDescent="0.2">
      <c r="GI46957" s="422"/>
    </row>
    <row r="46958" spans="191:191" x14ac:dyDescent="0.2">
      <c r="GI46958" s="422"/>
    </row>
    <row r="46959" spans="191:191" x14ac:dyDescent="0.2">
      <c r="GI46959" s="422"/>
    </row>
    <row r="46960" spans="191:191" x14ac:dyDescent="0.2">
      <c r="GI46960" s="422"/>
    </row>
    <row r="46961" spans="191:191" x14ac:dyDescent="0.2">
      <c r="GI46961" s="422"/>
    </row>
    <row r="46962" spans="191:191" x14ac:dyDescent="0.2">
      <c r="GI46962" s="422"/>
    </row>
    <row r="46963" spans="191:191" x14ac:dyDescent="0.2">
      <c r="GI46963" s="422"/>
    </row>
    <row r="46964" spans="191:191" x14ac:dyDescent="0.2">
      <c r="GI46964" s="422"/>
    </row>
    <row r="46965" spans="191:191" x14ac:dyDescent="0.2">
      <c r="GI46965" s="422"/>
    </row>
    <row r="46966" spans="191:191" x14ac:dyDescent="0.2">
      <c r="GI46966" s="422"/>
    </row>
    <row r="46967" spans="191:191" x14ac:dyDescent="0.2">
      <c r="GI46967" s="422"/>
    </row>
    <row r="46968" spans="191:191" x14ac:dyDescent="0.2">
      <c r="GI46968" s="422"/>
    </row>
    <row r="46969" spans="191:191" x14ac:dyDescent="0.2">
      <c r="GI46969" s="422"/>
    </row>
    <row r="46970" spans="191:191" x14ac:dyDescent="0.2">
      <c r="GI46970" s="422"/>
    </row>
    <row r="46971" spans="191:191" x14ac:dyDescent="0.2">
      <c r="GI46971" s="422"/>
    </row>
    <row r="46972" spans="191:191" x14ac:dyDescent="0.2">
      <c r="GI46972" s="422"/>
    </row>
    <row r="46973" spans="191:191" x14ac:dyDescent="0.2">
      <c r="GI46973" s="422"/>
    </row>
    <row r="46974" spans="191:191" x14ac:dyDescent="0.2">
      <c r="GI46974" s="422"/>
    </row>
    <row r="46975" spans="191:191" x14ac:dyDescent="0.2">
      <c r="GI46975" s="422"/>
    </row>
    <row r="46976" spans="191:191" x14ac:dyDescent="0.2">
      <c r="GI46976" s="422"/>
    </row>
    <row r="46977" spans="191:191" x14ac:dyDescent="0.2">
      <c r="GI46977" s="422"/>
    </row>
    <row r="46978" spans="191:191" x14ac:dyDescent="0.2">
      <c r="GI46978" s="422"/>
    </row>
    <row r="46979" spans="191:191" x14ac:dyDescent="0.2">
      <c r="GI46979" s="422"/>
    </row>
    <row r="46980" spans="191:191" x14ac:dyDescent="0.2">
      <c r="GI46980" s="422"/>
    </row>
    <row r="46981" spans="191:191" x14ac:dyDescent="0.2">
      <c r="GI46981" s="422"/>
    </row>
    <row r="46982" spans="191:191" x14ac:dyDescent="0.2">
      <c r="GI46982" s="422"/>
    </row>
    <row r="46983" spans="191:191" x14ac:dyDescent="0.2">
      <c r="GI46983" s="422"/>
    </row>
    <row r="46984" spans="191:191" x14ac:dyDescent="0.2">
      <c r="GI46984" s="422"/>
    </row>
    <row r="46985" spans="191:191" x14ac:dyDescent="0.2">
      <c r="GI46985" s="422"/>
    </row>
    <row r="46986" spans="191:191" x14ac:dyDescent="0.2">
      <c r="GI46986" s="422"/>
    </row>
    <row r="46987" spans="191:191" x14ac:dyDescent="0.2">
      <c r="GI46987" s="422"/>
    </row>
    <row r="46988" spans="191:191" x14ac:dyDescent="0.2">
      <c r="GI46988" s="422"/>
    </row>
    <row r="46989" spans="191:191" x14ac:dyDescent="0.2">
      <c r="GI46989" s="422"/>
    </row>
    <row r="46990" spans="191:191" x14ac:dyDescent="0.2">
      <c r="GI46990" s="422"/>
    </row>
    <row r="46991" spans="191:191" x14ac:dyDescent="0.2">
      <c r="GI46991" s="422"/>
    </row>
    <row r="46992" spans="191:191" x14ac:dyDescent="0.2">
      <c r="GI46992" s="422"/>
    </row>
    <row r="46993" spans="191:191" x14ac:dyDescent="0.2">
      <c r="GI46993" s="422"/>
    </row>
    <row r="46994" spans="191:191" x14ac:dyDescent="0.2">
      <c r="GI46994" s="422"/>
    </row>
    <row r="46995" spans="191:191" x14ac:dyDescent="0.2">
      <c r="GI46995" s="422"/>
    </row>
    <row r="46996" spans="191:191" x14ac:dyDescent="0.2">
      <c r="GI46996" s="422"/>
    </row>
    <row r="46997" spans="191:191" x14ac:dyDescent="0.2">
      <c r="GI46997" s="422"/>
    </row>
    <row r="46998" spans="191:191" x14ac:dyDescent="0.2">
      <c r="GI46998" s="422"/>
    </row>
    <row r="46999" spans="191:191" x14ac:dyDescent="0.2">
      <c r="GI46999" s="422"/>
    </row>
    <row r="47000" spans="191:191" x14ac:dyDescent="0.2">
      <c r="GI47000" s="422"/>
    </row>
    <row r="47001" spans="191:191" x14ac:dyDescent="0.2">
      <c r="GI47001" s="422"/>
    </row>
    <row r="47002" spans="191:191" x14ac:dyDescent="0.2">
      <c r="GI47002" s="422"/>
    </row>
    <row r="47003" spans="191:191" x14ac:dyDescent="0.2">
      <c r="GI47003" s="422"/>
    </row>
    <row r="47004" spans="191:191" x14ac:dyDescent="0.2">
      <c r="GI47004" s="422"/>
    </row>
    <row r="47005" spans="191:191" x14ac:dyDescent="0.2">
      <c r="GI47005" s="422"/>
    </row>
    <row r="47006" spans="191:191" x14ac:dyDescent="0.2">
      <c r="GI47006" s="422"/>
    </row>
    <row r="47007" spans="191:191" x14ac:dyDescent="0.2">
      <c r="GI47007" s="422"/>
    </row>
    <row r="47008" spans="191:191" x14ac:dyDescent="0.2">
      <c r="GI47008" s="422"/>
    </row>
    <row r="47009" spans="191:191" x14ac:dyDescent="0.2">
      <c r="GI47009" s="422"/>
    </row>
    <row r="47010" spans="191:191" x14ac:dyDescent="0.2">
      <c r="GI47010" s="422"/>
    </row>
    <row r="47011" spans="191:191" x14ac:dyDescent="0.2">
      <c r="GI47011" s="422"/>
    </row>
    <row r="47012" spans="191:191" x14ac:dyDescent="0.2">
      <c r="GI47012" s="422"/>
    </row>
    <row r="47013" spans="191:191" x14ac:dyDescent="0.2">
      <c r="GI47013" s="422"/>
    </row>
    <row r="47014" spans="191:191" x14ac:dyDescent="0.2">
      <c r="GI47014" s="422"/>
    </row>
    <row r="47015" spans="191:191" x14ac:dyDescent="0.2">
      <c r="GI47015" s="422"/>
    </row>
    <row r="47016" spans="191:191" x14ac:dyDescent="0.2">
      <c r="GI47016" s="422"/>
    </row>
    <row r="47017" spans="191:191" x14ac:dyDescent="0.2">
      <c r="GI47017" s="422"/>
    </row>
    <row r="47018" spans="191:191" x14ac:dyDescent="0.2">
      <c r="GI47018" s="422"/>
    </row>
    <row r="47019" spans="191:191" x14ac:dyDescent="0.2">
      <c r="GI47019" s="422"/>
    </row>
    <row r="47020" spans="191:191" x14ac:dyDescent="0.2">
      <c r="GI47020" s="422"/>
    </row>
    <row r="47021" spans="191:191" x14ac:dyDescent="0.2">
      <c r="GI47021" s="422"/>
    </row>
    <row r="47022" spans="191:191" x14ac:dyDescent="0.2">
      <c r="GI47022" s="422"/>
    </row>
    <row r="47023" spans="191:191" x14ac:dyDescent="0.2">
      <c r="GI47023" s="422"/>
    </row>
    <row r="47024" spans="191:191" x14ac:dyDescent="0.2">
      <c r="GI47024" s="422"/>
    </row>
    <row r="47025" spans="191:191" x14ac:dyDescent="0.2">
      <c r="GI47025" s="422"/>
    </row>
    <row r="47026" spans="191:191" x14ac:dyDescent="0.2">
      <c r="GI47026" s="422"/>
    </row>
    <row r="47027" spans="191:191" x14ac:dyDescent="0.2">
      <c r="GI47027" s="422"/>
    </row>
    <row r="47028" spans="191:191" x14ac:dyDescent="0.2">
      <c r="GI47028" s="422"/>
    </row>
    <row r="47029" spans="191:191" x14ac:dyDescent="0.2">
      <c r="GI47029" s="422"/>
    </row>
    <row r="47030" spans="191:191" x14ac:dyDescent="0.2">
      <c r="GI47030" s="422"/>
    </row>
    <row r="47031" spans="191:191" x14ac:dyDescent="0.2">
      <c r="GI47031" s="422"/>
    </row>
    <row r="47032" spans="191:191" x14ac:dyDescent="0.2">
      <c r="GI47032" s="422"/>
    </row>
    <row r="47033" spans="191:191" x14ac:dyDescent="0.2">
      <c r="GI47033" s="422"/>
    </row>
    <row r="47034" spans="191:191" x14ac:dyDescent="0.2">
      <c r="GI47034" s="422"/>
    </row>
    <row r="47035" spans="191:191" x14ac:dyDescent="0.2">
      <c r="GI47035" s="422"/>
    </row>
    <row r="47036" spans="191:191" x14ac:dyDescent="0.2">
      <c r="GI47036" s="422"/>
    </row>
    <row r="47037" spans="191:191" x14ac:dyDescent="0.2">
      <c r="GI47037" s="422"/>
    </row>
    <row r="47038" spans="191:191" x14ac:dyDescent="0.2">
      <c r="GI47038" s="422"/>
    </row>
    <row r="47039" spans="191:191" x14ac:dyDescent="0.2">
      <c r="GI47039" s="422"/>
    </row>
    <row r="47040" spans="191:191" x14ac:dyDescent="0.2">
      <c r="GI47040" s="422"/>
    </row>
    <row r="47041" spans="191:191" x14ac:dyDescent="0.2">
      <c r="GI47041" s="422"/>
    </row>
    <row r="47042" spans="191:191" x14ac:dyDescent="0.2">
      <c r="GI47042" s="422"/>
    </row>
    <row r="47043" spans="191:191" x14ac:dyDescent="0.2">
      <c r="GI47043" s="422"/>
    </row>
    <row r="47044" spans="191:191" x14ac:dyDescent="0.2">
      <c r="GI47044" s="422"/>
    </row>
    <row r="47045" spans="191:191" x14ac:dyDescent="0.2">
      <c r="GI47045" s="422"/>
    </row>
    <row r="47046" spans="191:191" x14ac:dyDescent="0.2">
      <c r="GI47046" s="422"/>
    </row>
    <row r="47047" spans="191:191" x14ac:dyDescent="0.2">
      <c r="GI47047" s="422"/>
    </row>
    <row r="47048" spans="191:191" x14ac:dyDescent="0.2">
      <c r="GI47048" s="422"/>
    </row>
    <row r="47049" spans="191:191" x14ac:dyDescent="0.2">
      <c r="GI47049" s="422"/>
    </row>
    <row r="47050" spans="191:191" x14ac:dyDescent="0.2">
      <c r="GI47050" s="422"/>
    </row>
    <row r="47051" spans="191:191" x14ac:dyDescent="0.2">
      <c r="GI47051" s="422"/>
    </row>
    <row r="47052" spans="191:191" x14ac:dyDescent="0.2">
      <c r="GI47052" s="422"/>
    </row>
    <row r="47053" spans="191:191" x14ac:dyDescent="0.2">
      <c r="GI47053" s="422"/>
    </row>
    <row r="47054" spans="191:191" x14ac:dyDescent="0.2">
      <c r="GI47054" s="422"/>
    </row>
    <row r="47055" spans="191:191" x14ac:dyDescent="0.2">
      <c r="GI47055" s="422"/>
    </row>
    <row r="47056" spans="191:191" x14ac:dyDescent="0.2">
      <c r="GI47056" s="422"/>
    </row>
    <row r="47057" spans="191:191" x14ac:dyDescent="0.2">
      <c r="GI47057" s="422"/>
    </row>
    <row r="47058" spans="191:191" x14ac:dyDescent="0.2">
      <c r="GI47058" s="422"/>
    </row>
    <row r="47059" spans="191:191" x14ac:dyDescent="0.2">
      <c r="GI47059" s="422"/>
    </row>
    <row r="47060" spans="191:191" x14ac:dyDescent="0.2">
      <c r="GI47060" s="422"/>
    </row>
    <row r="47061" spans="191:191" x14ac:dyDescent="0.2">
      <c r="GI47061" s="422"/>
    </row>
    <row r="47062" spans="191:191" x14ac:dyDescent="0.2">
      <c r="GI47062" s="422"/>
    </row>
    <row r="47063" spans="191:191" x14ac:dyDescent="0.2">
      <c r="GI47063" s="422"/>
    </row>
    <row r="47064" spans="191:191" x14ac:dyDescent="0.2">
      <c r="GI47064" s="422"/>
    </row>
    <row r="47065" spans="191:191" x14ac:dyDescent="0.2">
      <c r="GI47065" s="422"/>
    </row>
    <row r="47066" spans="191:191" x14ac:dyDescent="0.2">
      <c r="GI47066" s="422"/>
    </row>
    <row r="47067" spans="191:191" x14ac:dyDescent="0.2">
      <c r="GI47067" s="422"/>
    </row>
    <row r="47068" spans="191:191" x14ac:dyDescent="0.2">
      <c r="GI47068" s="422"/>
    </row>
    <row r="47069" spans="191:191" x14ac:dyDescent="0.2">
      <c r="GI47069" s="422"/>
    </row>
    <row r="47070" spans="191:191" x14ac:dyDescent="0.2">
      <c r="GI47070" s="422"/>
    </row>
    <row r="47071" spans="191:191" x14ac:dyDescent="0.2">
      <c r="GI47071" s="422"/>
    </row>
    <row r="47072" spans="191:191" x14ac:dyDescent="0.2">
      <c r="GI47072" s="422"/>
    </row>
    <row r="47073" spans="191:191" x14ac:dyDescent="0.2">
      <c r="GI47073" s="422"/>
    </row>
    <row r="47074" spans="191:191" x14ac:dyDescent="0.2">
      <c r="GI47074" s="422"/>
    </row>
    <row r="47075" spans="191:191" x14ac:dyDescent="0.2">
      <c r="GI47075" s="422"/>
    </row>
    <row r="47076" spans="191:191" x14ac:dyDescent="0.2">
      <c r="GI47076" s="422"/>
    </row>
    <row r="47077" spans="191:191" x14ac:dyDescent="0.2">
      <c r="GI47077" s="422"/>
    </row>
    <row r="47078" spans="191:191" x14ac:dyDescent="0.2">
      <c r="GI47078" s="422"/>
    </row>
    <row r="47079" spans="191:191" x14ac:dyDescent="0.2">
      <c r="GI47079" s="422"/>
    </row>
    <row r="47080" spans="191:191" x14ac:dyDescent="0.2">
      <c r="GI47080" s="422"/>
    </row>
    <row r="47081" spans="191:191" x14ac:dyDescent="0.2">
      <c r="GI47081" s="422"/>
    </row>
    <row r="47082" spans="191:191" x14ac:dyDescent="0.2">
      <c r="GI47082" s="422"/>
    </row>
    <row r="47083" spans="191:191" x14ac:dyDescent="0.2">
      <c r="GI47083" s="422"/>
    </row>
    <row r="47084" spans="191:191" x14ac:dyDescent="0.2">
      <c r="GI47084" s="422"/>
    </row>
    <row r="47085" spans="191:191" x14ac:dyDescent="0.2">
      <c r="GI47085" s="422"/>
    </row>
    <row r="47086" spans="191:191" x14ac:dyDescent="0.2">
      <c r="GI47086" s="422"/>
    </row>
    <row r="47087" spans="191:191" x14ac:dyDescent="0.2">
      <c r="GI47087" s="422"/>
    </row>
    <row r="47088" spans="191:191" x14ac:dyDescent="0.2">
      <c r="GI47088" s="422"/>
    </row>
    <row r="47089" spans="191:191" x14ac:dyDescent="0.2">
      <c r="GI47089" s="422"/>
    </row>
    <row r="47090" spans="191:191" x14ac:dyDescent="0.2">
      <c r="GI47090" s="422"/>
    </row>
    <row r="47091" spans="191:191" x14ac:dyDescent="0.2">
      <c r="GI47091" s="422"/>
    </row>
    <row r="47092" spans="191:191" x14ac:dyDescent="0.2">
      <c r="GI47092" s="422"/>
    </row>
    <row r="47093" spans="191:191" x14ac:dyDescent="0.2">
      <c r="GI47093" s="422"/>
    </row>
    <row r="47094" spans="191:191" x14ac:dyDescent="0.2">
      <c r="GI47094" s="422"/>
    </row>
    <row r="47095" spans="191:191" x14ac:dyDescent="0.2">
      <c r="GI47095" s="422"/>
    </row>
    <row r="47096" spans="191:191" x14ac:dyDescent="0.2">
      <c r="GI47096" s="422"/>
    </row>
    <row r="47097" spans="191:191" x14ac:dyDescent="0.2">
      <c r="GI47097" s="422"/>
    </row>
    <row r="47098" spans="191:191" x14ac:dyDescent="0.2">
      <c r="GI47098" s="422"/>
    </row>
    <row r="47099" spans="191:191" x14ac:dyDescent="0.2">
      <c r="GI47099" s="422"/>
    </row>
    <row r="47100" spans="191:191" x14ac:dyDescent="0.2">
      <c r="GI47100" s="422"/>
    </row>
    <row r="47101" spans="191:191" x14ac:dyDescent="0.2">
      <c r="GI47101" s="422"/>
    </row>
    <row r="47102" spans="191:191" x14ac:dyDescent="0.2">
      <c r="GI47102" s="422"/>
    </row>
    <row r="47103" spans="191:191" x14ac:dyDescent="0.2">
      <c r="GI47103" s="422"/>
    </row>
    <row r="47104" spans="191:191" x14ac:dyDescent="0.2">
      <c r="GI47104" s="422"/>
    </row>
    <row r="47105" spans="191:191" x14ac:dyDescent="0.2">
      <c r="GI47105" s="422"/>
    </row>
    <row r="47106" spans="191:191" x14ac:dyDescent="0.2">
      <c r="GI47106" s="422"/>
    </row>
    <row r="47107" spans="191:191" x14ac:dyDescent="0.2">
      <c r="GI47107" s="422"/>
    </row>
    <row r="47108" spans="191:191" x14ac:dyDescent="0.2">
      <c r="GI47108" s="422"/>
    </row>
    <row r="47109" spans="191:191" x14ac:dyDescent="0.2">
      <c r="GI47109" s="422"/>
    </row>
    <row r="47110" spans="191:191" x14ac:dyDescent="0.2">
      <c r="GI47110" s="422"/>
    </row>
    <row r="47111" spans="191:191" x14ac:dyDescent="0.2">
      <c r="GI47111" s="422"/>
    </row>
    <row r="47112" spans="191:191" x14ac:dyDescent="0.2">
      <c r="GI47112" s="422"/>
    </row>
    <row r="47113" spans="191:191" x14ac:dyDescent="0.2">
      <c r="GI47113" s="422"/>
    </row>
    <row r="47114" spans="191:191" x14ac:dyDescent="0.2">
      <c r="GI47114" s="422"/>
    </row>
    <row r="47115" spans="191:191" x14ac:dyDescent="0.2">
      <c r="GI47115" s="422"/>
    </row>
    <row r="47116" spans="191:191" x14ac:dyDescent="0.2">
      <c r="GI47116" s="422"/>
    </row>
    <row r="47117" spans="191:191" x14ac:dyDescent="0.2">
      <c r="GI47117" s="422"/>
    </row>
    <row r="47118" spans="191:191" x14ac:dyDescent="0.2">
      <c r="GI47118" s="422"/>
    </row>
    <row r="47119" spans="191:191" x14ac:dyDescent="0.2">
      <c r="GI47119" s="422"/>
    </row>
    <row r="47120" spans="191:191" x14ac:dyDescent="0.2">
      <c r="GI47120" s="422"/>
    </row>
    <row r="47121" spans="191:191" x14ac:dyDescent="0.2">
      <c r="GI47121" s="422"/>
    </row>
    <row r="47122" spans="191:191" x14ac:dyDescent="0.2">
      <c r="GI47122" s="422"/>
    </row>
    <row r="47123" spans="191:191" x14ac:dyDescent="0.2">
      <c r="GI47123" s="422"/>
    </row>
    <row r="47124" spans="191:191" x14ac:dyDescent="0.2">
      <c r="GI47124" s="422"/>
    </row>
    <row r="47125" spans="191:191" x14ac:dyDescent="0.2">
      <c r="GI47125" s="422"/>
    </row>
    <row r="47126" spans="191:191" x14ac:dyDescent="0.2">
      <c r="GI47126" s="422"/>
    </row>
    <row r="47127" spans="191:191" x14ac:dyDescent="0.2">
      <c r="GI47127" s="422"/>
    </row>
    <row r="47128" spans="191:191" x14ac:dyDescent="0.2">
      <c r="GI47128" s="422"/>
    </row>
    <row r="47129" spans="191:191" x14ac:dyDescent="0.2">
      <c r="GI47129" s="422"/>
    </row>
    <row r="47130" spans="191:191" x14ac:dyDescent="0.2">
      <c r="GI47130" s="422"/>
    </row>
    <row r="47131" spans="191:191" x14ac:dyDescent="0.2">
      <c r="GI47131" s="422"/>
    </row>
    <row r="47132" spans="191:191" x14ac:dyDescent="0.2">
      <c r="GI47132" s="422"/>
    </row>
    <row r="47133" spans="191:191" x14ac:dyDescent="0.2">
      <c r="GI47133" s="422"/>
    </row>
    <row r="47134" spans="191:191" x14ac:dyDescent="0.2">
      <c r="GI47134" s="422"/>
    </row>
    <row r="47135" spans="191:191" x14ac:dyDescent="0.2">
      <c r="GI47135" s="422"/>
    </row>
    <row r="47136" spans="191:191" x14ac:dyDescent="0.2">
      <c r="GI47136" s="422"/>
    </row>
    <row r="47137" spans="191:191" x14ac:dyDescent="0.2">
      <c r="GI47137" s="422"/>
    </row>
    <row r="47138" spans="191:191" x14ac:dyDescent="0.2">
      <c r="GI47138" s="422"/>
    </row>
    <row r="47139" spans="191:191" x14ac:dyDescent="0.2">
      <c r="GI47139" s="422"/>
    </row>
    <row r="47140" spans="191:191" x14ac:dyDescent="0.2">
      <c r="GI47140" s="422"/>
    </row>
    <row r="47141" spans="191:191" x14ac:dyDescent="0.2">
      <c r="GI47141" s="422"/>
    </row>
    <row r="47142" spans="191:191" x14ac:dyDescent="0.2">
      <c r="GI47142" s="422"/>
    </row>
    <row r="47143" spans="191:191" x14ac:dyDescent="0.2">
      <c r="GI47143" s="422"/>
    </row>
    <row r="47144" spans="191:191" x14ac:dyDescent="0.2">
      <c r="GI47144" s="422"/>
    </row>
    <row r="47145" spans="191:191" x14ac:dyDescent="0.2">
      <c r="GI47145" s="422"/>
    </row>
    <row r="47146" spans="191:191" x14ac:dyDescent="0.2">
      <c r="GI47146" s="422"/>
    </row>
    <row r="47147" spans="191:191" x14ac:dyDescent="0.2">
      <c r="GI47147" s="422"/>
    </row>
    <row r="47148" spans="191:191" x14ac:dyDescent="0.2">
      <c r="GI47148" s="422"/>
    </row>
    <row r="47149" spans="191:191" x14ac:dyDescent="0.2">
      <c r="GI47149" s="422"/>
    </row>
    <row r="47150" spans="191:191" x14ac:dyDescent="0.2">
      <c r="GI47150" s="422"/>
    </row>
    <row r="47151" spans="191:191" x14ac:dyDescent="0.2">
      <c r="GI47151" s="422"/>
    </row>
    <row r="47152" spans="191:191" x14ac:dyDescent="0.2">
      <c r="GI47152" s="422"/>
    </row>
    <row r="47153" spans="191:191" x14ac:dyDescent="0.2">
      <c r="GI47153" s="422"/>
    </row>
    <row r="47154" spans="191:191" x14ac:dyDescent="0.2">
      <c r="GI47154" s="422"/>
    </row>
    <row r="47155" spans="191:191" x14ac:dyDescent="0.2">
      <c r="GI47155" s="422"/>
    </row>
    <row r="47156" spans="191:191" x14ac:dyDescent="0.2">
      <c r="GI47156" s="422"/>
    </row>
    <row r="47157" spans="191:191" x14ac:dyDescent="0.2">
      <c r="GI47157" s="422"/>
    </row>
    <row r="47158" spans="191:191" x14ac:dyDescent="0.2">
      <c r="GI47158" s="422"/>
    </row>
    <row r="47159" spans="191:191" x14ac:dyDescent="0.2">
      <c r="GI47159" s="422"/>
    </row>
    <row r="47160" spans="191:191" x14ac:dyDescent="0.2">
      <c r="GI47160" s="422"/>
    </row>
    <row r="47161" spans="191:191" x14ac:dyDescent="0.2">
      <c r="GI47161" s="422"/>
    </row>
    <row r="47162" spans="191:191" x14ac:dyDescent="0.2">
      <c r="GI47162" s="422"/>
    </row>
    <row r="47163" spans="191:191" x14ac:dyDescent="0.2">
      <c r="GI47163" s="422"/>
    </row>
    <row r="47164" spans="191:191" x14ac:dyDescent="0.2">
      <c r="GI47164" s="422"/>
    </row>
    <row r="47165" spans="191:191" x14ac:dyDescent="0.2">
      <c r="GI47165" s="422"/>
    </row>
    <row r="47166" spans="191:191" x14ac:dyDescent="0.2">
      <c r="GI47166" s="422"/>
    </row>
    <row r="47167" spans="191:191" x14ac:dyDescent="0.2">
      <c r="GI47167" s="422"/>
    </row>
    <row r="47168" spans="191:191" x14ac:dyDescent="0.2">
      <c r="GI47168" s="422"/>
    </row>
    <row r="47169" spans="191:191" x14ac:dyDescent="0.2">
      <c r="GI47169" s="422"/>
    </row>
    <row r="47170" spans="191:191" x14ac:dyDescent="0.2">
      <c r="GI47170" s="422"/>
    </row>
    <row r="47171" spans="191:191" x14ac:dyDescent="0.2">
      <c r="GI47171" s="422"/>
    </row>
    <row r="47172" spans="191:191" x14ac:dyDescent="0.2">
      <c r="GI47172" s="422"/>
    </row>
    <row r="47173" spans="191:191" x14ac:dyDescent="0.2">
      <c r="GI47173" s="422"/>
    </row>
    <row r="47174" spans="191:191" x14ac:dyDescent="0.2">
      <c r="GI47174" s="422"/>
    </row>
    <row r="47175" spans="191:191" x14ac:dyDescent="0.2">
      <c r="GI47175" s="422"/>
    </row>
    <row r="47176" spans="191:191" x14ac:dyDescent="0.2">
      <c r="GI47176" s="422"/>
    </row>
    <row r="47177" spans="191:191" x14ac:dyDescent="0.2">
      <c r="GI47177" s="422"/>
    </row>
    <row r="47178" spans="191:191" x14ac:dyDescent="0.2">
      <c r="GI47178" s="422"/>
    </row>
    <row r="47179" spans="191:191" x14ac:dyDescent="0.2">
      <c r="GI47179" s="422"/>
    </row>
    <row r="47180" spans="191:191" x14ac:dyDescent="0.2">
      <c r="GI47180" s="422"/>
    </row>
    <row r="47181" spans="191:191" x14ac:dyDescent="0.2">
      <c r="GI47181" s="422"/>
    </row>
    <row r="47182" spans="191:191" x14ac:dyDescent="0.2">
      <c r="GI47182" s="422"/>
    </row>
    <row r="47183" spans="191:191" x14ac:dyDescent="0.2">
      <c r="GI47183" s="422"/>
    </row>
    <row r="47184" spans="191:191" x14ac:dyDescent="0.2">
      <c r="GI47184" s="422"/>
    </row>
    <row r="47185" spans="191:191" x14ac:dyDescent="0.2">
      <c r="GI47185" s="422"/>
    </row>
    <row r="47186" spans="191:191" x14ac:dyDescent="0.2">
      <c r="GI47186" s="422"/>
    </row>
    <row r="47187" spans="191:191" x14ac:dyDescent="0.2">
      <c r="GI47187" s="422"/>
    </row>
    <row r="47188" spans="191:191" x14ac:dyDescent="0.2">
      <c r="GI47188" s="422"/>
    </row>
    <row r="47189" spans="191:191" x14ac:dyDescent="0.2">
      <c r="GI47189" s="422"/>
    </row>
    <row r="47190" spans="191:191" x14ac:dyDescent="0.2">
      <c r="GI47190" s="422"/>
    </row>
    <row r="47191" spans="191:191" x14ac:dyDescent="0.2">
      <c r="GI47191" s="422"/>
    </row>
    <row r="47192" spans="191:191" x14ac:dyDescent="0.2">
      <c r="GI47192" s="422"/>
    </row>
    <row r="47193" spans="191:191" x14ac:dyDescent="0.2">
      <c r="GI47193" s="422"/>
    </row>
    <row r="47194" spans="191:191" x14ac:dyDescent="0.2">
      <c r="GI47194" s="422"/>
    </row>
    <row r="47195" spans="191:191" x14ac:dyDescent="0.2">
      <c r="GI47195" s="422"/>
    </row>
    <row r="47196" spans="191:191" x14ac:dyDescent="0.2">
      <c r="GI47196" s="422"/>
    </row>
    <row r="47197" spans="191:191" x14ac:dyDescent="0.2">
      <c r="GI47197" s="422"/>
    </row>
    <row r="47198" spans="191:191" x14ac:dyDescent="0.2">
      <c r="GI47198" s="422"/>
    </row>
    <row r="47199" spans="191:191" x14ac:dyDescent="0.2">
      <c r="GI47199" s="422"/>
    </row>
    <row r="47200" spans="191:191" x14ac:dyDescent="0.2">
      <c r="GI47200" s="422"/>
    </row>
    <row r="47201" spans="191:191" x14ac:dyDescent="0.2">
      <c r="GI47201" s="422"/>
    </row>
    <row r="47202" spans="191:191" x14ac:dyDescent="0.2">
      <c r="GI47202" s="422"/>
    </row>
    <row r="47203" spans="191:191" x14ac:dyDescent="0.2">
      <c r="GI47203" s="422"/>
    </row>
    <row r="47204" spans="191:191" x14ac:dyDescent="0.2">
      <c r="GI47204" s="422"/>
    </row>
    <row r="47205" spans="191:191" x14ac:dyDescent="0.2">
      <c r="GI47205" s="422"/>
    </row>
    <row r="47206" spans="191:191" x14ac:dyDescent="0.2">
      <c r="GI47206" s="422"/>
    </row>
    <row r="47207" spans="191:191" x14ac:dyDescent="0.2">
      <c r="GI47207" s="422"/>
    </row>
    <row r="47208" spans="191:191" x14ac:dyDescent="0.2">
      <c r="GI47208" s="422"/>
    </row>
    <row r="47209" spans="191:191" x14ac:dyDescent="0.2">
      <c r="GI47209" s="422"/>
    </row>
    <row r="47210" spans="191:191" x14ac:dyDescent="0.2">
      <c r="GI47210" s="422"/>
    </row>
    <row r="47211" spans="191:191" x14ac:dyDescent="0.2">
      <c r="GI47211" s="422"/>
    </row>
    <row r="47212" spans="191:191" x14ac:dyDescent="0.2">
      <c r="GI47212" s="422"/>
    </row>
    <row r="47213" spans="191:191" x14ac:dyDescent="0.2">
      <c r="GI47213" s="422"/>
    </row>
    <row r="47214" spans="191:191" x14ac:dyDescent="0.2">
      <c r="GI47214" s="422"/>
    </row>
    <row r="47215" spans="191:191" x14ac:dyDescent="0.2">
      <c r="GI47215" s="422"/>
    </row>
    <row r="47216" spans="191:191" x14ac:dyDescent="0.2">
      <c r="GI47216" s="422"/>
    </row>
    <row r="47217" spans="191:191" x14ac:dyDescent="0.2">
      <c r="GI47217" s="422"/>
    </row>
    <row r="47218" spans="191:191" x14ac:dyDescent="0.2">
      <c r="GI47218" s="422"/>
    </row>
    <row r="47219" spans="191:191" x14ac:dyDescent="0.2">
      <c r="GI47219" s="422"/>
    </row>
    <row r="47220" spans="191:191" x14ac:dyDescent="0.2">
      <c r="GI47220" s="422"/>
    </row>
    <row r="47221" spans="191:191" x14ac:dyDescent="0.2">
      <c r="GI47221" s="422"/>
    </row>
    <row r="47222" spans="191:191" x14ac:dyDescent="0.2">
      <c r="GI47222" s="422"/>
    </row>
    <row r="47223" spans="191:191" x14ac:dyDescent="0.2">
      <c r="GI47223" s="422"/>
    </row>
    <row r="47224" spans="191:191" x14ac:dyDescent="0.2">
      <c r="GI47224" s="422"/>
    </row>
    <row r="47225" spans="191:191" x14ac:dyDescent="0.2">
      <c r="GI47225" s="422"/>
    </row>
    <row r="47226" spans="191:191" x14ac:dyDescent="0.2">
      <c r="GI47226" s="422"/>
    </row>
    <row r="47227" spans="191:191" x14ac:dyDescent="0.2">
      <c r="GI47227" s="422"/>
    </row>
    <row r="47228" spans="191:191" x14ac:dyDescent="0.2">
      <c r="GI47228" s="422"/>
    </row>
    <row r="47229" spans="191:191" x14ac:dyDescent="0.2">
      <c r="GI47229" s="422"/>
    </row>
    <row r="47230" spans="191:191" x14ac:dyDescent="0.2">
      <c r="GI47230" s="422"/>
    </row>
    <row r="47231" spans="191:191" x14ac:dyDescent="0.2">
      <c r="GI47231" s="422"/>
    </row>
    <row r="47232" spans="191:191" x14ac:dyDescent="0.2">
      <c r="GI47232" s="422"/>
    </row>
    <row r="47233" spans="191:191" x14ac:dyDescent="0.2">
      <c r="GI47233" s="422"/>
    </row>
    <row r="47234" spans="191:191" x14ac:dyDescent="0.2">
      <c r="GI47234" s="422"/>
    </row>
    <row r="47235" spans="191:191" x14ac:dyDescent="0.2">
      <c r="GI47235" s="422"/>
    </row>
    <row r="47236" spans="191:191" x14ac:dyDescent="0.2">
      <c r="GI47236" s="422"/>
    </row>
    <row r="47237" spans="191:191" x14ac:dyDescent="0.2">
      <c r="GI47237" s="422"/>
    </row>
    <row r="47238" spans="191:191" x14ac:dyDescent="0.2">
      <c r="GI47238" s="422"/>
    </row>
    <row r="47239" spans="191:191" x14ac:dyDescent="0.2">
      <c r="GI47239" s="422"/>
    </row>
    <row r="47240" spans="191:191" x14ac:dyDescent="0.2">
      <c r="GI47240" s="422"/>
    </row>
    <row r="47241" spans="191:191" x14ac:dyDescent="0.2">
      <c r="GI47241" s="422"/>
    </row>
    <row r="47242" spans="191:191" x14ac:dyDescent="0.2">
      <c r="GI47242" s="422"/>
    </row>
    <row r="47243" spans="191:191" x14ac:dyDescent="0.2">
      <c r="GI47243" s="422"/>
    </row>
    <row r="47244" spans="191:191" x14ac:dyDescent="0.2">
      <c r="GI47244" s="422"/>
    </row>
    <row r="47245" spans="191:191" x14ac:dyDescent="0.2">
      <c r="GI47245" s="422"/>
    </row>
    <row r="47246" spans="191:191" x14ac:dyDescent="0.2">
      <c r="GI47246" s="422"/>
    </row>
    <row r="47247" spans="191:191" x14ac:dyDescent="0.2">
      <c r="GI47247" s="422"/>
    </row>
    <row r="47248" spans="191:191" x14ac:dyDescent="0.2">
      <c r="GI47248" s="422"/>
    </row>
    <row r="47249" spans="191:191" x14ac:dyDescent="0.2">
      <c r="GI47249" s="422"/>
    </row>
    <row r="47250" spans="191:191" x14ac:dyDescent="0.2">
      <c r="GI47250" s="422"/>
    </row>
    <row r="47251" spans="191:191" x14ac:dyDescent="0.2">
      <c r="GI47251" s="422"/>
    </row>
    <row r="47252" spans="191:191" x14ac:dyDescent="0.2">
      <c r="GI47252" s="422"/>
    </row>
    <row r="47253" spans="191:191" x14ac:dyDescent="0.2">
      <c r="GI47253" s="422"/>
    </row>
    <row r="47254" spans="191:191" x14ac:dyDescent="0.2">
      <c r="GI47254" s="422"/>
    </row>
    <row r="47255" spans="191:191" x14ac:dyDescent="0.2">
      <c r="GI47255" s="422"/>
    </row>
    <row r="47256" spans="191:191" x14ac:dyDescent="0.2">
      <c r="GI47256" s="422"/>
    </row>
    <row r="47257" spans="191:191" x14ac:dyDescent="0.2">
      <c r="GI47257" s="422"/>
    </row>
    <row r="47258" spans="191:191" x14ac:dyDescent="0.2">
      <c r="GI47258" s="422"/>
    </row>
    <row r="47259" spans="191:191" x14ac:dyDescent="0.2">
      <c r="GI47259" s="422"/>
    </row>
    <row r="47260" spans="191:191" x14ac:dyDescent="0.2">
      <c r="GI47260" s="422"/>
    </row>
    <row r="47261" spans="191:191" x14ac:dyDescent="0.2">
      <c r="GI47261" s="422"/>
    </row>
    <row r="47262" spans="191:191" x14ac:dyDescent="0.2">
      <c r="GI47262" s="422"/>
    </row>
    <row r="47263" spans="191:191" x14ac:dyDescent="0.2">
      <c r="GI47263" s="422"/>
    </row>
    <row r="47264" spans="191:191" x14ac:dyDescent="0.2">
      <c r="GI47264" s="422"/>
    </row>
    <row r="47265" spans="191:191" x14ac:dyDescent="0.2">
      <c r="GI47265" s="422"/>
    </row>
    <row r="47266" spans="191:191" x14ac:dyDescent="0.2">
      <c r="GI47266" s="422"/>
    </row>
    <row r="47267" spans="191:191" x14ac:dyDescent="0.2">
      <c r="GI47267" s="422"/>
    </row>
    <row r="47268" spans="191:191" x14ac:dyDescent="0.2">
      <c r="GI47268" s="422"/>
    </row>
    <row r="47269" spans="191:191" x14ac:dyDescent="0.2">
      <c r="GI47269" s="422"/>
    </row>
    <row r="47270" spans="191:191" x14ac:dyDescent="0.2">
      <c r="GI47270" s="422"/>
    </row>
    <row r="47271" spans="191:191" x14ac:dyDescent="0.2">
      <c r="GI47271" s="422"/>
    </row>
    <row r="47272" spans="191:191" x14ac:dyDescent="0.2">
      <c r="GI47272" s="422"/>
    </row>
    <row r="47273" spans="191:191" x14ac:dyDescent="0.2">
      <c r="GI47273" s="422"/>
    </row>
    <row r="47274" spans="191:191" x14ac:dyDescent="0.2">
      <c r="GI47274" s="422"/>
    </row>
    <row r="47275" spans="191:191" x14ac:dyDescent="0.2">
      <c r="GI47275" s="422"/>
    </row>
    <row r="47276" spans="191:191" x14ac:dyDescent="0.2">
      <c r="GI47276" s="422"/>
    </row>
    <row r="47277" spans="191:191" x14ac:dyDescent="0.2">
      <c r="GI47277" s="422"/>
    </row>
    <row r="47278" spans="191:191" x14ac:dyDescent="0.2">
      <c r="GI47278" s="422"/>
    </row>
    <row r="47279" spans="191:191" x14ac:dyDescent="0.2">
      <c r="GI47279" s="422"/>
    </row>
    <row r="47280" spans="191:191" x14ac:dyDescent="0.2">
      <c r="GI47280" s="422"/>
    </row>
    <row r="47281" spans="191:191" x14ac:dyDescent="0.2">
      <c r="GI47281" s="422"/>
    </row>
    <row r="47282" spans="191:191" x14ac:dyDescent="0.2">
      <c r="GI47282" s="422"/>
    </row>
    <row r="47283" spans="191:191" x14ac:dyDescent="0.2">
      <c r="GI47283" s="422"/>
    </row>
    <row r="47284" spans="191:191" x14ac:dyDescent="0.2">
      <c r="GI47284" s="422"/>
    </row>
    <row r="47285" spans="191:191" x14ac:dyDescent="0.2">
      <c r="GI47285" s="422"/>
    </row>
    <row r="47286" spans="191:191" x14ac:dyDescent="0.2">
      <c r="GI47286" s="422"/>
    </row>
    <row r="47287" spans="191:191" x14ac:dyDescent="0.2">
      <c r="GI47287" s="422"/>
    </row>
    <row r="47288" spans="191:191" x14ac:dyDescent="0.2">
      <c r="GI47288" s="422"/>
    </row>
    <row r="47289" spans="191:191" x14ac:dyDescent="0.2">
      <c r="GI47289" s="422"/>
    </row>
    <row r="47290" spans="191:191" x14ac:dyDescent="0.2">
      <c r="GI47290" s="422"/>
    </row>
    <row r="47291" spans="191:191" x14ac:dyDescent="0.2">
      <c r="GI47291" s="422"/>
    </row>
    <row r="47292" spans="191:191" x14ac:dyDescent="0.2">
      <c r="GI47292" s="422"/>
    </row>
    <row r="47293" spans="191:191" x14ac:dyDescent="0.2">
      <c r="GI47293" s="422"/>
    </row>
    <row r="47294" spans="191:191" x14ac:dyDescent="0.2">
      <c r="GI47294" s="422"/>
    </row>
    <row r="47295" spans="191:191" x14ac:dyDescent="0.2">
      <c r="GI47295" s="422"/>
    </row>
    <row r="47296" spans="191:191" x14ac:dyDescent="0.2">
      <c r="GI47296" s="422"/>
    </row>
    <row r="47297" spans="191:191" x14ac:dyDescent="0.2">
      <c r="GI47297" s="422"/>
    </row>
    <row r="47298" spans="191:191" x14ac:dyDescent="0.2">
      <c r="GI47298" s="422"/>
    </row>
    <row r="47299" spans="191:191" x14ac:dyDescent="0.2">
      <c r="GI47299" s="422"/>
    </row>
    <row r="47300" spans="191:191" x14ac:dyDescent="0.2">
      <c r="GI47300" s="422"/>
    </row>
    <row r="47301" spans="191:191" x14ac:dyDescent="0.2">
      <c r="GI47301" s="422"/>
    </row>
    <row r="47302" spans="191:191" x14ac:dyDescent="0.2">
      <c r="GI47302" s="422"/>
    </row>
    <row r="47303" spans="191:191" x14ac:dyDescent="0.2">
      <c r="GI47303" s="422"/>
    </row>
    <row r="47304" spans="191:191" x14ac:dyDescent="0.2">
      <c r="GI47304" s="422"/>
    </row>
    <row r="47305" spans="191:191" x14ac:dyDescent="0.2">
      <c r="GI47305" s="422"/>
    </row>
    <row r="47306" spans="191:191" x14ac:dyDescent="0.2">
      <c r="GI47306" s="422"/>
    </row>
    <row r="47307" spans="191:191" x14ac:dyDescent="0.2">
      <c r="GI47307" s="422"/>
    </row>
    <row r="47308" spans="191:191" x14ac:dyDescent="0.2">
      <c r="GI47308" s="422"/>
    </row>
    <row r="47309" spans="191:191" x14ac:dyDescent="0.2">
      <c r="GI47309" s="422"/>
    </row>
    <row r="47310" spans="191:191" x14ac:dyDescent="0.2">
      <c r="GI47310" s="422"/>
    </row>
    <row r="47311" spans="191:191" x14ac:dyDescent="0.2">
      <c r="GI47311" s="422"/>
    </row>
    <row r="47312" spans="191:191" x14ac:dyDescent="0.2">
      <c r="GI47312" s="422"/>
    </row>
    <row r="47313" spans="191:191" x14ac:dyDescent="0.2">
      <c r="GI47313" s="422"/>
    </row>
    <row r="47314" spans="191:191" x14ac:dyDescent="0.2">
      <c r="GI47314" s="422"/>
    </row>
    <row r="47315" spans="191:191" x14ac:dyDescent="0.2">
      <c r="GI47315" s="422"/>
    </row>
    <row r="47316" spans="191:191" x14ac:dyDescent="0.2">
      <c r="GI47316" s="422"/>
    </row>
    <row r="47317" spans="191:191" x14ac:dyDescent="0.2">
      <c r="GI47317" s="422"/>
    </row>
    <row r="47318" spans="191:191" x14ac:dyDescent="0.2">
      <c r="GI47318" s="422"/>
    </row>
    <row r="47319" spans="191:191" x14ac:dyDescent="0.2">
      <c r="GI47319" s="422"/>
    </row>
    <row r="47320" spans="191:191" x14ac:dyDescent="0.2">
      <c r="GI47320" s="422"/>
    </row>
    <row r="47321" spans="191:191" x14ac:dyDescent="0.2">
      <c r="GI47321" s="422"/>
    </row>
    <row r="47322" spans="191:191" x14ac:dyDescent="0.2">
      <c r="GI47322" s="422"/>
    </row>
    <row r="47323" spans="191:191" x14ac:dyDescent="0.2">
      <c r="GI47323" s="422"/>
    </row>
    <row r="47324" spans="191:191" x14ac:dyDescent="0.2">
      <c r="GI47324" s="422"/>
    </row>
    <row r="47325" spans="191:191" x14ac:dyDescent="0.2">
      <c r="GI47325" s="422"/>
    </row>
    <row r="47326" spans="191:191" x14ac:dyDescent="0.2">
      <c r="GI47326" s="422"/>
    </row>
    <row r="47327" spans="191:191" x14ac:dyDescent="0.2">
      <c r="GI47327" s="422"/>
    </row>
    <row r="47328" spans="191:191" x14ac:dyDescent="0.2">
      <c r="GI47328" s="422"/>
    </row>
    <row r="47329" spans="191:191" x14ac:dyDescent="0.2">
      <c r="GI47329" s="422"/>
    </row>
    <row r="47330" spans="191:191" x14ac:dyDescent="0.2">
      <c r="GI47330" s="422"/>
    </row>
    <row r="47331" spans="191:191" x14ac:dyDescent="0.2">
      <c r="GI47331" s="422"/>
    </row>
    <row r="47332" spans="191:191" x14ac:dyDescent="0.2">
      <c r="GI47332" s="422"/>
    </row>
    <row r="47333" spans="191:191" x14ac:dyDescent="0.2">
      <c r="GI47333" s="422"/>
    </row>
    <row r="47334" spans="191:191" x14ac:dyDescent="0.2">
      <c r="GI47334" s="422"/>
    </row>
    <row r="47335" spans="191:191" x14ac:dyDescent="0.2">
      <c r="GI47335" s="422"/>
    </row>
    <row r="47336" spans="191:191" x14ac:dyDescent="0.2">
      <c r="GI47336" s="422"/>
    </row>
    <row r="47337" spans="191:191" x14ac:dyDescent="0.2">
      <c r="GI47337" s="422"/>
    </row>
    <row r="47338" spans="191:191" x14ac:dyDescent="0.2">
      <c r="GI47338" s="422"/>
    </row>
    <row r="47339" spans="191:191" x14ac:dyDescent="0.2">
      <c r="GI47339" s="422"/>
    </row>
    <row r="47340" spans="191:191" x14ac:dyDescent="0.2">
      <c r="GI47340" s="422"/>
    </row>
    <row r="47341" spans="191:191" x14ac:dyDescent="0.2">
      <c r="GI47341" s="422"/>
    </row>
    <row r="47342" spans="191:191" x14ac:dyDescent="0.2">
      <c r="GI47342" s="422"/>
    </row>
    <row r="47343" spans="191:191" x14ac:dyDescent="0.2">
      <c r="GI47343" s="422"/>
    </row>
    <row r="47344" spans="191:191" x14ac:dyDescent="0.2">
      <c r="GI47344" s="422"/>
    </row>
    <row r="47345" spans="191:191" x14ac:dyDescent="0.2">
      <c r="GI47345" s="422"/>
    </row>
    <row r="47346" spans="191:191" x14ac:dyDescent="0.2">
      <c r="GI47346" s="422"/>
    </row>
    <row r="47347" spans="191:191" x14ac:dyDescent="0.2">
      <c r="GI47347" s="422"/>
    </row>
    <row r="47348" spans="191:191" x14ac:dyDescent="0.2">
      <c r="GI47348" s="422"/>
    </row>
    <row r="47349" spans="191:191" x14ac:dyDescent="0.2">
      <c r="GI47349" s="422"/>
    </row>
    <row r="47350" spans="191:191" x14ac:dyDescent="0.2">
      <c r="GI47350" s="422"/>
    </row>
    <row r="47351" spans="191:191" x14ac:dyDescent="0.2">
      <c r="GI47351" s="422"/>
    </row>
    <row r="47352" spans="191:191" x14ac:dyDescent="0.2">
      <c r="GI47352" s="422"/>
    </row>
    <row r="47353" spans="191:191" x14ac:dyDescent="0.2">
      <c r="GI47353" s="422"/>
    </row>
    <row r="47354" spans="191:191" x14ac:dyDescent="0.2">
      <c r="GI47354" s="422"/>
    </row>
    <row r="47355" spans="191:191" x14ac:dyDescent="0.2">
      <c r="GI47355" s="422"/>
    </row>
    <row r="47356" spans="191:191" x14ac:dyDescent="0.2">
      <c r="GI47356" s="422"/>
    </row>
    <row r="47357" spans="191:191" x14ac:dyDescent="0.2">
      <c r="GI47357" s="422"/>
    </row>
    <row r="47358" spans="191:191" x14ac:dyDescent="0.2">
      <c r="GI47358" s="422"/>
    </row>
    <row r="47359" spans="191:191" x14ac:dyDescent="0.2">
      <c r="GI47359" s="422"/>
    </row>
    <row r="47360" spans="191:191" x14ac:dyDescent="0.2">
      <c r="GI47360" s="422"/>
    </row>
    <row r="47361" spans="191:191" x14ac:dyDescent="0.2">
      <c r="GI47361" s="422"/>
    </row>
    <row r="47362" spans="191:191" x14ac:dyDescent="0.2">
      <c r="GI47362" s="422"/>
    </row>
    <row r="47363" spans="191:191" x14ac:dyDescent="0.2">
      <c r="GI47363" s="422"/>
    </row>
    <row r="47364" spans="191:191" x14ac:dyDescent="0.2">
      <c r="GI47364" s="422"/>
    </row>
    <row r="47365" spans="191:191" x14ac:dyDescent="0.2">
      <c r="GI47365" s="422"/>
    </row>
    <row r="47366" spans="191:191" x14ac:dyDescent="0.2">
      <c r="GI47366" s="422"/>
    </row>
    <row r="47367" spans="191:191" x14ac:dyDescent="0.2">
      <c r="GI47367" s="422"/>
    </row>
    <row r="47368" spans="191:191" x14ac:dyDescent="0.2">
      <c r="GI47368" s="422"/>
    </row>
    <row r="47369" spans="191:191" x14ac:dyDescent="0.2">
      <c r="GI47369" s="422"/>
    </row>
    <row r="47370" spans="191:191" x14ac:dyDescent="0.2">
      <c r="GI47370" s="422"/>
    </row>
    <row r="47371" spans="191:191" x14ac:dyDescent="0.2">
      <c r="GI47371" s="422"/>
    </row>
    <row r="47372" spans="191:191" x14ac:dyDescent="0.2">
      <c r="GI47372" s="422"/>
    </row>
    <row r="47373" spans="191:191" x14ac:dyDescent="0.2">
      <c r="GI47373" s="422"/>
    </row>
    <row r="47374" spans="191:191" x14ac:dyDescent="0.2">
      <c r="GI47374" s="422"/>
    </row>
    <row r="47375" spans="191:191" x14ac:dyDescent="0.2">
      <c r="GI47375" s="422"/>
    </row>
    <row r="47376" spans="191:191" x14ac:dyDescent="0.2">
      <c r="GI47376" s="422"/>
    </row>
    <row r="47377" spans="191:191" x14ac:dyDescent="0.2">
      <c r="GI47377" s="422"/>
    </row>
    <row r="47378" spans="191:191" x14ac:dyDescent="0.2">
      <c r="GI47378" s="422"/>
    </row>
    <row r="47379" spans="191:191" x14ac:dyDescent="0.2">
      <c r="GI47379" s="422"/>
    </row>
    <row r="47380" spans="191:191" x14ac:dyDescent="0.2">
      <c r="GI47380" s="422"/>
    </row>
    <row r="47381" spans="191:191" x14ac:dyDescent="0.2">
      <c r="GI47381" s="422"/>
    </row>
    <row r="47382" spans="191:191" x14ac:dyDescent="0.2">
      <c r="GI47382" s="422"/>
    </row>
    <row r="47383" spans="191:191" x14ac:dyDescent="0.2">
      <c r="GI47383" s="422"/>
    </row>
    <row r="47384" spans="191:191" x14ac:dyDescent="0.2">
      <c r="GI47384" s="422"/>
    </row>
    <row r="47385" spans="191:191" x14ac:dyDescent="0.2">
      <c r="GI47385" s="422"/>
    </row>
    <row r="47386" spans="191:191" x14ac:dyDescent="0.2">
      <c r="GI47386" s="422"/>
    </row>
    <row r="47387" spans="191:191" x14ac:dyDescent="0.2">
      <c r="GI47387" s="422"/>
    </row>
    <row r="47388" spans="191:191" x14ac:dyDescent="0.2">
      <c r="GI47388" s="422"/>
    </row>
    <row r="47389" spans="191:191" x14ac:dyDescent="0.2">
      <c r="GI47389" s="422"/>
    </row>
    <row r="47390" spans="191:191" x14ac:dyDescent="0.2">
      <c r="GI47390" s="422"/>
    </row>
    <row r="47391" spans="191:191" x14ac:dyDescent="0.2">
      <c r="GI47391" s="422"/>
    </row>
    <row r="47392" spans="191:191" x14ac:dyDescent="0.2">
      <c r="GI47392" s="422"/>
    </row>
    <row r="47393" spans="191:191" x14ac:dyDescent="0.2">
      <c r="GI47393" s="422"/>
    </row>
    <row r="47394" spans="191:191" x14ac:dyDescent="0.2">
      <c r="GI47394" s="422"/>
    </row>
    <row r="47395" spans="191:191" x14ac:dyDescent="0.2">
      <c r="GI47395" s="422"/>
    </row>
    <row r="47396" spans="191:191" x14ac:dyDescent="0.2">
      <c r="GI47396" s="422"/>
    </row>
    <row r="47397" spans="191:191" x14ac:dyDescent="0.2">
      <c r="GI47397" s="422"/>
    </row>
    <row r="47398" spans="191:191" x14ac:dyDescent="0.2">
      <c r="GI47398" s="422"/>
    </row>
    <row r="47399" spans="191:191" x14ac:dyDescent="0.2">
      <c r="GI47399" s="422"/>
    </row>
    <row r="47400" spans="191:191" x14ac:dyDescent="0.2">
      <c r="GI47400" s="422"/>
    </row>
    <row r="47401" spans="191:191" x14ac:dyDescent="0.2">
      <c r="GI47401" s="422"/>
    </row>
    <row r="47402" spans="191:191" x14ac:dyDescent="0.2">
      <c r="GI47402" s="422"/>
    </row>
    <row r="47403" spans="191:191" x14ac:dyDescent="0.2">
      <c r="GI47403" s="422"/>
    </row>
    <row r="47404" spans="191:191" x14ac:dyDescent="0.2">
      <c r="GI47404" s="422"/>
    </row>
    <row r="47405" spans="191:191" x14ac:dyDescent="0.2">
      <c r="GI47405" s="422"/>
    </row>
    <row r="47406" spans="191:191" x14ac:dyDescent="0.2">
      <c r="GI47406" s="422"/>
    </row>
    <row r="47407" spans="191:191" x14ac:dyDescent="0.2">
      <c r="GI47407" s="422"/>
    </row>
    <row r="47408" spans="191:191" x14ac:dyDescent="0.2">
      <c r="GI47408" s="422"/>
    </row>
    <row r="47409" spans="191:191" x14ac:dyDescent="0.2">
      <c r="GI47409" s="422"/>
    </row>
    <row r="47410" spans="191:191" x14ac:dyDescent="0.2">
      <c r="GI47410" s="422"/>
    </row>
    <row r="47411" spans="191:191" x14ac:dyDescent="0.2">
      <c r="GI47411" s="422"/>
    </row>
    <row r="47412" spans="191:191" x14ac:dyDescent="0.2">
      <c r="GI47412" s="422"/>
    </row>
    <row r="47413" spans="191:191" x14ac:dyDescent="0.2">
      <c r="GI47413" s="422"/>
    </row>
    <row r="47414" spans="191:191" x14ac:dyDescent="0.2">
      <c r="GI47414" s="422"/>
    </row>
    <row r="47415" spans="191:191" x14ac:dyDescent="0.2">
      <c r="GI47415" s="422"/>
    </row>
    <row r="47416" spans="191:191" x14ac:dyDescent="0.2">
      <c r="GI47416" s="422"/>
    </row>
    <row r="47417" spans="191:191" x14ac:dyDescent="0.2">
      <c r="GI47417" s="422"/>
    </row>
    <row r="47418" spans="191:191" x14ac:dyDescent="0.2">
      <c r="GI47418" s="422"/>
    </row>
    <row r="47419" spans="191:191" x14ac:dyDescent="0.2">
      <c r="GI47419" s="422"/>
    </row>
    <row r="47420" spans="191:191" x14ac:dyDescent="0.2">
      <c r="GI47420" s="422"/>
    </row>
    <row r="47421" spans="191:191" x14ac:dyDescent="0.2">
      <c r="GI47421" s="422"/>
    </row>
    <row r="47422" spans="191:191" x14ac:dyDescent="0.2">
      <c r="GI47422" s="422"/>
    </row>
    <row r="47423" spans="191:191" x14ac:dyDescent="0.2">
      <c r="GI47423" s="422"/>
    </row>
    <row r="47424" spans="191:191" x14ac:dyDescent="0.2">
      <c r="GI47424" s="422"/>
    </row>
    <row r="47425" spans="191:191" x14ac:dyDescent="0.2">
      <c r="GI47425" s="422"/>
    </row>
    <row r="47426" spans="191:191" x14ac:dyDescent="0.2">
      <c r="GI47426" s="422"/>
    </row>
    <row r="47427" spans="191:191" x14ac:dyDescent="0.2">
      <c r="GI47427" s="422"/>
    </row>
    <row r="47428" spans="191:191" x14ac:dyDescent="0.2">
      <c r="GI47428" s="422"/>
    </row>
    <row r="47429" spans="191:191" x14ac:dyDescent="0.2">
      <c r="GI47429" s="422"/>
    </row>
    <row r="47430" spans="191:191" x14ac:dyDescent="0.2">
      <c r="GI47430" s="422"/>
    </row>
    <row r="47431" spans="191:191" x14ac:dyDescent="0.2">
      <c r="GI47431" s="422"/>
    </row>
    <row r="47432" spans="191:191" x14ac:dyDescent="0.2">
      <c r="GI47432" s="422"/>
    </row>
    <row r="47433" spans="191:191" x14ac:dyDescent="0.2">
      <c r="GI47433" s="422"/>
    </row>
    <row r="47434" spans="191:191" x14ac:dyDescent="0.2">
      <c r="GI47434" s="422"/>
    </row>
    <row r="47435" spans="191:191" x14ac:dyDescent="0.2">
      <c r="GI47435" s="422"/>
    </row>
    <row r="47436" spans="191:191" x14ac:dyDescent="0.2">
      <c r="GI47436" s="422"/>
    </row>
    <row r="47437" spans="191:191" x14ac:dyDescent="0.2">
      <c r="GI47437" s="422"/>
    </row>
    <row r="47438" spans="191:191" x14ac:dyDescent="0.2">
      <c r="GI47438" s="422"/>
    </row>
    <row r="47439" spans="191:191" x14ac:dyDescent="0.2">
      <c r="GI47439" s="422"/>
    </row>
    <row r="47440" spans="191:191" x14ac:dyDescent="0.2">
      <c r="GI47440" s="422"/>
    </row>
    <row r="47441" spans="191:191" x14ac:dyDescent="0.2">
      <c r="GI47441" s="422"/>
    </row>
    <row r="47442" spans="191:191" x14ac:dyDescent="0.2">
      <c r="GI47442" s="422"/>
    </row>
    <row r="47443" spans="191:191" x14ac:dyDescent="0.2">
      <c r="GI47443" s="422"/>
    </row>
    <row r="47444" spans="191:191" x14ac:dyDescent="0.2">
      <c r="GI47444" s="422"/>
    </row>
    <row r="47445" spans="191:191" x14ac:dyDescent="0.2">
      <c r="GI47445" s="422"/>
    </row>
    <row r="47446" spans="191:191" x14ac:dyDescent="0.2">
      <c r="GI47446" s="422"/>
    </row>
    <row r="47447" spans="191:191" x14ac:dyDescent="0.2">
      <c r="GI47447" s="422"/>
    </row>
    <row r="47448" spans="191:191" x14ac:dyDescent="0.2">
      <c r="GI47448" s="422"/>
    </row>
    <row r="47449" spans="191:191" x14ac:dyDescent="0.2">
      <c r="GI47449" s="422"/>
    </row>
    <row r="47450" spans="191:191" x14ac:dyDescent="0.2">
      <c r="GI47450" s="422"/>
    </row>
    <row r="47451" spans="191:191" x14ac:dyDescent="0.2">
      <c r="GI47451" s="422"/>
    </row>
    <row r="47452" spans="191:191" x14ac:dyDescent="0.2">
      <c r="GI47452" s="422"/>
    </row>
    <row r="47453" spans="191:191" x14ac:dyDescent="0.2">
      <c r="GI47453" s="422"/>
    </row>
    <row r="47454" spans="191:191" x14ac:dyDescent="0.2">
      <c r="GI47454" s="422"/>
    </row>
    <row r="47455" spans="191:191" x14ac:dyDescent="0.2">
      <c r="GI47455" s="422"/>
    </row>
    <row r="47456" spans="191:191" x14ac:dyDescent="0.2">
      <c r="GI47456" s="422"/>
    </row>
    <row r="47457" spans="191:191" x14ac:dyDescent="0.2">
      <c r="GI47457" s="422"/>
    </row>
    <row r="47458" spans="191:191" x14ac:dyDescent="0.2">
      <c r="GI47458" s="422"/>
    </row>
    <row r="47459" spans="191:191" x14ac:dyDescent="0.2">
      <c r="GI47459" s="422"/>
    </row>
    <row r="47460" spans="191:191" x14ac:dyDescent="0.2">
      <c r="GI47460" s="422"/>
    </row>
    <row r="47461" spans="191:191" x14ac:dyDescent="0.2">
      <c r="GI47461" s="422"/>
    </row>
    <row r="47462" spans="191:191" x14ac:dyDescent="0.2">
      <c r="GI47462" s="422"/>
    </row>
    <row r="47463" spans="191:191" x14ac:dyDescent="0.2">
      <c r="GI47463" s="422"/>
    </row>
    <row r="47464" spans="191:191" x14ac:dyDescent="0.2">
      <c r="GI47464" s="422"/>
    </row>
    <row r="47465" spans="191:191" x14ac:dyDescent="0.2">
      <c r="GI47465" s="422"/>
    </row>
    <row r="47466" spans="191:191" x14ac:dyDescent="0.2">
      <c r="GI47466" s="422"/>
    </row>
    <row r="47467" spans="191:191" x14ac:dyDescent="0.2">
      <c r="GI47467" s="422"/>
    </row>
    <row r="47468" spans="191:191" x14ac:dyDescent="0.2">
      <c r="GI47468" s="422"/>
    </row>
    <row r="47469" spans="191:191" x14ac:dyDescent="0.2">
      <c r="GI47469" s="422"/>
    </row>
    <row r="47470" spans="191:191" x14ac:dyDescent="0.2">
      <c r="GI47470" s="422"/>
    </row>
    <row r="47471" spans="191:191" x14ac:dyDescent="0.2">
      <c r="GI47471" s="422"/>
    </row>
    <row r="47472" spans="191:191" x14ac:dyDescent="0.2">
      <c r="GI47472" s="422"/>
    </row>
    <row r="47473" spans="191:191" x14ac:dyDescent="0.2">
      <c r="GI47473" s="422"/>
    </row>
    <row r="47474" spans="191:191" x14ac:dyDescent="0.2">
      <c r="GI47474" s="422"/>
    </row>
    <row r="47475" spans="191:191" x14ac:dyDescent="0.2">
      <c r="GI47475" s="422"/>
    </row>
    <row r="47476" spans="191:191" x14ac:dyDescent="0.2">
      <c r="GI47476" s="422"/>
    </row>
    <row r="47477" spans="191:191" x14ac:dyDescent="0.2">
      <c r="GI47477" s="422"/>
    </row>
    <row r="47478" spans="191:191" x14ac:dyDescent="0.2">
      <c r="GI47478" s="422"/>
    </row>
    <row r="47479" spans="191:191" x14ac:dyDescent="0.2">
      <c r="GI47479" s="422"/>
    </row>
    <row r="47480" spans="191:191" x14ac:dyDescent="0.2">
      <c r="GI47480" s="422"/>
    </row>
    <row r="47481" spans="191:191" x14ac:dyDescent="0.2">
      <c r="GI47481" s="422"/>
    </row>
    <row r="47482" spans="191:191" x14ac:dyDescent="0.2">
      <c r="GI47482" s="422"/>
    </row>
    <row r="47483" spans="191:191" x14ac:dyDescent="0.2">
      <c r="GI47483" s="422"/>
    </row>
    <row r="47484" spans="191:191" x14ac:dyDescent="0.2">
      <c r="GI47484" s="422"/>
    </row>
    <row r="47485" spans="191:191" x14ac:dyDescent="0.2">
      <c r="GI47485" s="422"/>
    </row>
    <row r="47486" spans="191:191" x14ac:dyDescent="0.2">
      <c r="GI47486" s="422"/>
    </row>
    <row r="47487" spans="191:191" x14ac:dyDescent="0.2">
      <c r="GI47487" s="422"/>
    </row>
    <row r="47488" spans="191:191" x14ac:dyDescent="0.2">
      <c r="GI47488" s="422"/>
    </row>
    <row r="47489" spans="191:191" x14ac:dyDescent="0.2">
      <c r="GI47489" s="422"/>
    </row>
    <row r="47490" spans="191:191" x14ac:dyDescent="0.2">
      <c r="GI47490" s="422"/>
    </row>
    <row r="47491" spans="191:191" x14ac:dyDescent="0.2">
      <c r="GI47491" s="422"/>
    </row>
    <row r="47492" spans="191:191" x14ac:dyDescent="0.2">
      <c r="GI47492" s="422"/>
    </row>
    <row r="47493" spans="191:191" x14ac:dyDescent="0.2">
      <c r="GI47493" s="422"/>
    </row>
    <row r="47494" spans="191:191" x14ac:dyDescent="0.2">
      <c r="GI47494" s="422"/>
    </row>
    <row r="47495" spans="191:191" x14ac:dyDescent="0.2">
      <c r="GI47495" s="422"/>
    </row>
    <row r="47496" spans="191:191" x14ac:dyDescent="0.2">
      <c r="GI47496" s="422"/>
    </row>
    <row r="47497" spans="191:191" x14ac:dyDescent="0.2">
      <c r="GI47497" s="422"/>
    </row>
    <row r="47498" spans="191:191" x14ac:dyDescent="0.2">
      <c r="GI47498" s="422"/>
    </row>
    <row r="47499" spans="191:191" x14ac:dyDescent="0.2">
      <c r="GI47499" s="422"/>
    </row>
    <row r="47500" spans="191:191" x14ac:dyDescent="0.2">
      <c r="GI47500" s="422"/>
    </row>
    <row r="47501" spans="191:191" x14ac:dyDescent="0.2">
      <c r="GI47501" s="422"/>
    </row>
    <row r="47502" spans="191:191" x14ac:dyDescent="0.2">
      <c r="GI47502" s="422"/>
    </row>
    <row r="47503" spans="191:191" x14ac:dyDescent="0.2">
      <c r="GI47503" s="422"/>
    </row>
    <row r="47504" spans="191:191" x14ac:dyDescent="0.2">
      <c r="GI47504" s="422"/>
    </row>
    <row r="47505" spans="191:191" x14ac:dyDescent="0.2">
      <c r="GI47505" s="422"/>
    </row>
    <row r="47506" spans="191:191" x14ac:dyDescent="0.2">
      <c r="GI47506" s="422"/>
    </row>
    <row r="47507" spans="191:191" x14ac:dyDescent="0.2">
      <c r="GI47507" s="422"/>
    </row>
    <row r="47508" spans="191:191" x14ac:dyDescent="0.2">
      <c r="GI47508" s="422"/>
    </row>
    <row r="47509" spans="191:191" x14ac:dyDescent="0.2">
      <c r="GI47509" s="422"/>
    </row>
    <row r="47510" spans="191:191" x14ac:dyDescent="0.2">
      <c r="GI47510" s="422"/>
    </row>
    <row r="47511" spans="191:191" x14ac:dyDescent="0.2">
      <c r="GI47511" s="422"/>
    </row>
    <row r="47512" spans="191:191" x14ac:dyDescent="0.2">
      <c r="GI47512" s="422"/>
    </row>
    <row r="47513" spans="191:191" x14ac:dyDescent="0.2">
      <c r="GI47513" s="422"/>
    </row>
    <row r="47514" spans="191:191" x14ac:dyDescent="0.2">
      <c r="GI47514" s="422"/>
    </row>
    <row r="47515" spans="191:191" x14ac:dyDescent="0.2">
      <c r="GI47515" s="422"/>
    </row>
    <row r="47516" spans="191:191" x14ac:dyDescent="0.2">
      <c r="GI47516" s="422"/>
    </row>
    <row r="47517" spans="191:191" x14ac:dyDescent="0.2">
      <c r="GI47517" s="422"/>
    </row>
    <row r="47518" spans="191:191" x14ac:dyDescent="0.2">
      <c r="GI47518" s="422"/>
    </row>
    <row r="47519" spans="191:191" x14ac:dyDescent="0.2">
      <c r="GI47519" s="422"/>
    </row>
    <row r="47520" spans="191:191" x14ac:dyDescent="0.2">
      <c r="GI47520" s="422"/>
    </row>
    <row r="47521" spans="191:191" x14ac:dyDescent="0.2">
      <c r="GI47521" s="422"/>
    </row>
    <row r="47522" spans="191:191" x14ac:dyDescent="0.2">
      <c r="GI47522" s="422"/>
    </row>
    <row r="47523" spans="191:191" x14ac:dyDescent="0.2">
      <c r="GI47523" s="422"/>
    </row>
    <row r="47524" spans="191:191" x14ac:dyDescent="0.2">
      <c r="GI47524" s="422"/>
    </row>
    <row r="47525" spans="191:191" x14ac:dyDescent="0.2">
      <c r="GI47525" s="422"/>
    </row>
    <row r="47526" spans="191:191" x14ac:dyDescent="0.2">
      <c r="GI47526" s="422"/>
    </row>
    <row r="47527" spans="191:191" x14ac:dyDescent="0.2">
      <c r="GI47527" s="422"/>
    </row>
    <row r="47528" spans="191:191" x14ac:dyDescent="0.2">
      <c r="GI47528" s="422"/>
    </row>
    <row r="47529" spans="191:191" x14ac:dyDescent="0.2">
      <c r="GI47529" s="422"/>
    </row>
    <row r="47530" spans="191:191" x14ac:dyDescent="0.2">
      <c r="GI47530" s="422"/>
    </row>
    <row r="47531" spans="191:191" x14ac:dyDescent="0.2">
      <c r="GI47531" s="422"/>
    </row>
    <row r="47532" spans="191:191" x14ac:dyDescent="0.2">
      <c r="GI47532" s="422"/>
    </row>
    <row r="47533" spans="191:191" x14ac:dyDescent="0.2">
      <c r="GI47533" s="422"/>
    </row>
    <row r="47534" spans="191:191" x14ac:dyDescent="0.2">
      <c r="GI47534" s="422"/>
    </row>
    <row r="47535" spans="191:191" x14ac:dyDescent="0.2">
      <c r="GI47535" s="422"/>
    </row>
    <row r="47536" spans="191:191" x14ac:dyDescent="0.2">
      <c r="GI47536" s="422"/>
    </row>
    <row r="47537" spans="191:191" x14ac:dyDescent="0.2">
      <c r="GI47537" s="422"/>
    </row>
    <row r="47538" spans="191:191" x14ac:dyDescent="0.2">
      <c r="GI47538" s="422"/>
    </row>
    <row r="47539" spans="191:191" x14ac:dyDescent="0.2">
      <c r="GI47539" s="422"/>
    </row>
    <row r="47540" spans="191:191" x14ac:dyDescent="0.2">
      <c r="GI47540" s="422"/>
    </row>
    <row r="47541" spans="191:191" x14ac:dyDescent="0.2">
      <c r="GI47541" s="422"/>
    </row>
    <row r="47542" spans="191:191" x14ac:dyDescent="0.2">
      <c r="GI47542" s="422"/>
    </row>
    <row r="47543" spans="191:191" x14ac:dyDescent="0.2">
      <c r="GI47543" s="422"/>
    </row>
    <row r="47544" spans="191:191" x14ac:dyDescent="0.2">
      <c r="GI47544" s="422"/>
    </row>
    <row r="47545" spans="191:191" x14ac:dyDescent="0.2">
      <c r="GI47545" s="422"/>
    </row>
    <row r="47546" spans="191:191" x14ac:dyDescent="0.2">
      <c r="GI47546" s="422"/>
    </row>
    <row r="47547" spans="191:191" x14ac:dyDescent="0.2">
      <c r="GI47547" s="422"/>
    </row>
    <row r="47548" spans="191:191" x14ac:dyDescent="0.2">
      <c r="GI47548" s="422"/>
    </row>
    <row r="47549" spans="191:191" x14ac:dyDescent="0.2">
      <c r="GI47549" s="422"/>
    </row>
    <row r="47550" spans="191:191" x14ac:dyDescent="0.2">
      <c r="GI47550" s="422"/>
    </row>
    <row r="47551" spans="191:191" x14ac:dyDescent="0.2">
      <c r="GI47551" s="422"/>
    </row>
    <row r="47552" spans="191:191" x14ac:dyDescent="0.2">
      <c r="GI47552" s="422"/>
    </row>
    <row r="47553" spans="191:191" x14ac:dyDescent="0.2">
      <c r="GI47553" s="422"/>
    </row>
    <row r="47554" spans="191:191" x14ac:dyDescent="0.2">
      <c r="GI47554" s="422"/>
    </row>
    <row r="47555" spans="191:191" x14ac:dyDescent="0.2">
      <c r="GI47555" s="422"/>
    </row>
    <row r="47556" spans="191:191" x14ac:dyDescent="0.2">
      <c r="GI47556" s="422"/>
    </row>
    <row r="47557" spans="191:191" x14ac:dyDescent="0.2">
      <c r="GI47557" s="422"/>
    </row>
    <row r="47558" spans="191:191" x14ac:dyDescent="0.2">
      <c r="GI47558" s="422"/>
    </row>
    <row r="47559" spans="191:191" x14ac:dyDescent="0.2">
      <c r="GI47559" s="422"/>
    </row>
    <row r="47560" spans="191:191" x14ac:dyDescent="0.2">
      <c r="GI47560" s="422"/>
    </row>
    <row r="47561" spans="191:191" x14ac:dyDescent="0.2">
      <c r="GI47561" s="422"/>
    </row>
    <row r="47562" spans="191:191" x14ac:dyDescent="0.2">
      <c r="GI47562" s="422"/>
    </row>
    <row r="47563" spans="191:191" x14ac:dyDescent="0.2">
      <c r="GI47563" s="422"/>
    </row>
    <row r="47564" spans="191:191" x14ac:dyDescent="0.2">
      <c r="GI47564" s="422"/>
    </row>
    <row r="47565" spans="191:191" x14ac:dyDescent="0.2">
      <c r="GI47565" s="422"/>
    </row>
    <row r="47566" spans="191:191" x14ac:dyDescent="0.2">
      <c r="GI47566" s="422"/>
    </row>
    <row r="47567" spans="191:191" x14ac:dyDescent="0.2">
      <c r="GI47567" s="422"/>
    </row>
    <row r="47568" spans="191:191" x14ac:dyDescent="0.2">
      <c r="GI47568" s="422"/>
    </row>
    <row r="47569" spans="191:191" x14ac:dyDescent="0.2">
      <c r="GI47569" s="422"/>
    </row>
    <row r="47570" spans="191:191" x14ac:dyDescent="0.2">
      <c r="GI47570" s="422"/>
    </row>
    <row r="47571" spans="191:191" x14ac:dyDescent="0.2">
      <c r="GI47571" s="422"/>
    </row>
    <row r="47572" spans="191:191" x14ac:dyDescent="0.2">
      <c r="GI47572" s="422"/>
    </row>
    <row r="47573" spans="191:191" x14ac:dyDescent="0.2">
      <c r="GI47573" s="422"/>
    </row>
    <row r="47574" spans="191:191" x14ac:dyDescent="0.2">
      <c r="GI47574" s="422"/>
    </row>
    <row r="47575" spans="191:191" x14ac:dyDescent="0.2">
      <c r="GI47575" s="422"/>
    </row>
    <row r="47576" spans="191:191" x14ac:dyDescent="0.2">
      <c r="GI47576" s="422"/>
    </row>
    <row r="47577" spans="191:191" x14ac:dyDescent="0.2">
      <c r="GI47577" s="422"/>
    </row>
    <row r="47578" spans="191:191" x14ac:dyDescent="0.2">
      <c r="GI47578" s="422"/>
    </row>
    <row r="47579" spans="191:191" x14ac:dyDescent="0.2">
      <c r="GI47579" s="422"/>
    </row>
    <row r="47580" spans="191:191" x14ac:dyDescent="0.2">
      <c r="GI47580" s="422"/>
    </row>
    <row r="47581" spans="191:191" x14ac:dyDescent="0.2">
      <c r="GI47581" s="422"/>
    </row>
    <row r="47582" spans="191:191" x14ac:dyDescent="0.2">
      <c r="GI47582" s="422"/>
    </row>
    <row r="47583" spans="191:191" x14ac:dyDescent="0.2">
      <c r="GI47583" s="422"/>
    </row>
    <row r="47584" spans="191:191" x14ac:dyDescent="0.2">
      <c r="GI47584" s="422"/>
    </row>
    <row r="47585" spans="191:191" x14ac:dyDescent="0.2">
      <c r="GI47585" s="422"/>
    </row>
    <row r="47586" spans="191:191" x14ac:dyDescent="0.2">
      <c r="GI47586" s="422"/>
    </row>
    <row r="47587" spans="191:191" x14ac:dyDescent="0.2">
      <c r="GI47587" s="422"/>
    </row>
    <row r="47588" spans="191:191" x14ac:dyDescent="0.2">
      <c r="GI47588" s="422"/>
    </row>
    <row r="47589" spans="191:191" x14ac:dyDescent="0.2">
      <c r="GI47589" s="422"/>
    </row>
    <row r="47590" spans="191:191" x14ac:dyDescent="0.2">
      <c r="GI47590" s="422"/>
    </row>
    <row r="47591" spans="191:191" x14ac:dyDescent="0.2">
      <c r="GI47591" s="422"/>
    </row>
    <row r="47592" spans="191:191" x14ac:dyDescent="0.2">
      <c r="GI47592" s="422"/>
    </row>
    <row r="47593" spans="191:191" x14ac:dyDescent="0.2">
      <c r="GI47593" s="422"/>
    </row>
    <row r="47594" spans="191:191" x14ac:dyDescent="0.2">
      <c r="GI47594" s="422"/>
    </row>
    <row r="47595" spans="191:191" x14ac:dyDescent="0.2">
      <c r="GI47595" s="422"/>
    </row>
    <row r="47596" spans="191:191" x14ac:dyDescent="0.2">
      <c r="GI47596" s="422"/>
    </row>
    <row r="47597" spans="191:191" x14ac:dyDescent="0.2">
      <c r="GI47597" s="422"/>
    </row>
    <row r="47598" spans="191:191" x14ac:dyDescent="0.2">
      <c r="GI47598" s="422"/>
    </row>
    <row r="47599" spans="191:191" x14ac:dyDescent="0.2">
      <c r="GI47599" s="422"/>
    </row>
    <row r="47600" spans="191:191" x14ac:dyDescent="0.2">
      <c r="GI47600" s="422"/>
    </row>
    <row r="47601" spans="191:191" x14ac:dyDescent="0.2">
      <c r="GI47601" s="422"/>
    </row>
    <row r="47602" spans="191:191" x14ac:dyDescent="0.2">
      <c r="GI47602" s="422"/>
    </row>
    <row r="47603" spans="191:191" x14ac:dyDescent="0.2">
      <c r="GI47603" s="422"/>
    </row>
    <row r="47604" spans="191:191" x14ac:dyDescent="0.2">
      <c r="GI47604" s="422"/>
    </row>
    <row r="47605" spans="191:191" x14ac:dyDescent="0.2">
      <c r="GI47605" s="422"/>
    </row>
    <row r="47606" spans="191:191" x14ac:dyDescent="0.2">
      <c r="GI47606" s="422"/>
    </row>
    <row r="47607" spans="191:191" x14ac:dyDescent="0.2">
      <c r="GI47607" s="422"/>
    </row>
    <row r="47608" spans="191:191" x14ac:dyDescent="0.2">
      <c r="GI47608" s="422"/>
    </row>
    <row r="47609" spans="191:191" x14ac:dyDescent="0.2">
      <c r="GI47609" s="422"/>
    </row>
    <row r="47610" spans="191:191" x14ac:dyDescent="0.2">
      <c r="GI47610" s="422"/>
    </row>
    <row r="47611" spans="191:191" x14ac:dyDescent="0.2">
      <c r="GI47611" s="422"/>
    </row>
    <row r="47612" spans="191:191" x14ac:dyDescent="0.2">
      <c r="GI47612" s="422"/>
    </row>
    <row r="47613" spans="191:191" x14ac:dyDescent="0.2">
      <c r="GI47613" s="422"/>
    </row>
    <row r="47614" spans="191:191" x14ac:dyDescent="0.2">
      <c r="GI47614" s="422"/>
    </row>
    <row r="47615" spans="191:191" x14ac:dyDescent="0.2">
      <c r="GI47615" s="422"/>
    </row>
    <row r="47616" spans="191:191" x14ac:dyDescent="0.2">
      <c r="GI47616" s="422"/>
    </row>
    <row r="47617" spans="191:191" x14ac:dyDescent="0.2">
      <c r="GI47617" s="422"/>
    </row>
    <row r="47618" spans="191:191" x14ac:dyDescent="0.2">
      <c r="GI47618" s="422"/>
    </row>
    <row r="47619" spans="191:191" x14ac:dyDescent="0.2">
      <c r="GI47619" s="422"/>
    </row>
    <row r="47620" spans="191:191" x14ac:dyDescent="0.2">
      <c r="GI47620" s="422"/>
    </row>
    <row r="47621" spans="191:191" x14ac:dyDescent="0.2">
      <c r="GI47621" s="422"/>
    </row>
    <row r="47622" spans="191:191" x14ac:dyDescent="0.2">
      <c r="GI47622" s="422"/>
    </row>
    <row r="47623" spans="191:191" x14ac:dyDescent="0.2">
      <c r="GI47623" s="422"/>
    </row>
    <row r="47624" spans="191:191" x14ac:dyDescent="0.2">
      <c r="GI47624" s="422"/>
    </row>
    <row r="47625" spans="191:191" x14ac:dyDescent="0.2">
      <c r="GI47625" s="422"/>
    </row>
    <row r="47626" spans="191:191" x14ac:dyDescent="0.2">
      <c r="GI47626" s="422"/>
    </row>
    <row r="47627" spans="191:191" x14ac:dyDescent="0.2">
      <c r="GI47627" s="422"/>
    </row>
    <row r="47628" spans="191:191" x14ac:dyDescent="0.2">
      <c r="GI47628" s="422"/>
    </row>
    <row r="47629" spans="191:191" x14ac:dyDescent="0.2">
      <c r="GI47629" s="422"/>
    </row>
    <row r="47630" spans="191:191" x14ac:dyDescent="0.2">
      <c r="GI47630" s="422"/>
    </row>
    <row r="47631" spans="191:191" x14ac:dyDescent="0.2">
      <c r="GI47631" s="422"/>
    </row>
    <row r="47632" spans="191:191" x14ac:dyDescent="0.2">
      <c r="GI47632" s="422"/>
    </row>
    <row r="47633" spans="191:191" x14ac:dyDescent="0.2">
      <c r="GI47633" s="422"/>
    </row>
    <row r="47634" spans="191:191" x14ac:dyDescent="0.2">
      <c r="GI47634" s="422"/>
    </row>
    <row r="47635" spans="191:191" x14ac:dyDescent="0.2">
      <c r="GI47635" s="422"/>
    </row>
    <row r="47636" spans="191:191" x14ac:dyDescent="0.2">
      <c r="GI47636" s="422"/>
    </row>
    <row r="47637" spans="191:191" x14ac:dyDescent="0.2">
      <c r="GI47637" s="422"/>
    </row>
    <row r="47638" spans="191:191" x14ac:dyDescent="0.2">
      <c r="GI47638" s="422"/>
    </row>
    <row r="47639" spans="191:191" x14ac:dyDescent="0.2">
      <c r="GI47639" s="422"/>
    </row>
    <row r="47640" spans="191:191" x14ac:dyDescent="0.2">
      <c r="GI47640" s="422"/>
    </row>
    <row r="47641" spans="191:191" x14ac:dyDescent="0.2">
      <c r="GI47641" s="422"/>
    </row>
    <row r="47642" spans="191:191" x14ac:dyDescent="0.2">
      <c r="GI47642" s="422"/>
    </row>
    <row r="47643" spans="191:191" x14ac:dyDescent="0.2">
      <c r="GI47643" s="422"/>
    </row>
    <row r="47644" spans="191:191" x14ac:dyDescent="0.2">
      <c r="GI47644" s="422"/>
    </row>
    <row r="47645" spans="191:191" x14ac:dyDescent="0.2">
      <c r="GI47645" s="422"/>
    </row>
    <row r="47646" spans="191:191" x14ac:dyDescent="0.2">
      <c r="GI47646" s="422"/>
    </row>
    <row r="47647" spans="191:191" x14ac:dyDescent="0.2">
      <c r="GI47647" s="422"/>
    </row>
    <row r="47648" spans="191:191" x14ac:dyDescent="0.2">
      <c r="GI47648" s="422"/>
    </row>
    <row r="47649" spans="191:191" x14ac:dyDescent="0.2">
      <c r="GI47649" s="422"/>
    </row>
    <row r="47650" spans="191:191" x14ac:dyDescent="0.2">
      <c r="GI47650" s="422"/>
    </row>
    <row r="47651" spans="191:191" x14ac:dyDescent="0.2">
      <c r="GI47651" s="422"/>
    </row>
    <row r="47652" spans="191:191" x14ac:dyDescent="0.2">
      <c r="GI47652" s="422"/>
    </row>
    <row r="47653" spans="191:191" x14ac:dyDescent="0.2">
      <c r="GI47653" s="422"/>
    </row>
    <row r="47654" spans="191:191" x14ac:dyDescent="0.2">
      <c r="GI47654" s="422"/>
    </row>
    <row r="47655" spans="191:191" x14ac:dyDescent="0.2">
      <c r="GI47655" s="422"/>
    </row>
    <row r="47656" spans="191:191" x14ac:dyDescent="0.2">
      <c r="GI47656" s="422"/>
    </row>
    <row r="47657" spans="191:191" x14ac:dyDescent="0.2">
      <c r="GI47657" s="422"/>
    </row>
    <row r="47658" spans="191:191" x14ac:dyDescent="0.2">
      <c r="GI47658" s="422"/>
    </row>
    <row r="47659" spans="191:191" x14ac:dyDescent="0.2">
      <c r="GI47659" s="422"/>
    </row>
    <row r="47660" spans="191:191" x14ac:dyDescent="0.2">
      <c r="GI47660" s="422"/>
    </row>
    <row r="47661" spans="191:191" x14ac:dyDescent="0.2">
      <c r="GI47661" s="422"/>
    </row>
    <row r="47662" spans="191:191" x14ac:dyDescent="0.2">
      <c r="GI47662" s="422"/>
    </row>
    <row r="47663" spans="191:191" x14ac:dyDescent="0.2">
      <c r="GI47663" s="422"/>
    </row>
    <row r="47664" spans="191:191" x14ac:dyDescent="0.2">
      <c r="GI47664" s="422"/>
    </row>
    <row r="47665" spans="191:191" x14ac:dyDescent="0.2">
      <c r="GI47665" s="422"/>
    </row>
    <row r="47666" spans="191:191" x14ac:dyDescent="0.2">
      <c r="GI47666" s="422"/>
    </row>
    <row r="47667" spans="191:191" x14ac:dyDescent="0.2">
      <c r="GI47667" s="422"/>
    </row>
    <row r="47668" spans="191:191" x14ac:dyDescent="0.2">
      <c r="GI47668" s="422"/>
    </row>
    <row r="47669" spans="191:191" x14ac:dyDescent="0.2">
      <c r="GI47669" s="422"/>
    </row>
    <row r="47670" spans="191:191" x14ac:dyDescent="0.2">
      <c r="GI47670" s="422"/>
    </row>
    <row r="47671" spans="191:191" x14ac:dyDescent="0.2">
      <c r="GI47671" s="422"/>
    </row>
    <row r="47672" spans="191:191" x14ac:dyDescent="0.2">
      <c r="GI47672" s="422"/>
    </row>
    <row r="47673" spans="191:191" x14ac:dyDescent="0.2">
      <c r="GI47673" s="422"/>
    </row>
    <row r="47674" spans="191:191" x14ac:dyDescent="0.2">
      <c r="GI47674" s="422"/>
    </row>
    <row r="47675" spans="191:191" x14ac:dyDescent="0.2">
      <c r="GI47675" s="422"/>
    </row>
    <row r="47676" spans="191:191" x14ac:dyDescent="0.2">
      <c r="GI47676" s="422"/>
    </row>
    <row r="47677" spans="191:191" x14ac:dyDescent="0.2">
      <c r="GI47677" s="422"/>
    </row>
    <row r="47678" spans="191:191" x14ac:dyDescent="0.2">
      <c r="GI47678" s="422"/>
    </row>
    <row r="47679" spans="191:191" x14ac:dyDescent="0.2">
      <c r="GI47679" s="422"/>
    </row>
    <row r="47680" spans="191:191" x14ac:dyDescent="0.2">
      <c r="GI47680" s="422"/>
    </row>
    <row r="47681" spans="191:191" x14ac:dyDescent="0.2">
      <c r="GI47681" s="422"/>
    </row>
    <row r="47682" spans="191:191" x14ac:dyDescent="0.2">
      <c r="GI47682" s="422"/>
    </row>
    <row r="47683" spans="191:191" x14ac:dyDescent="0.2">
      <c r="GI47683" s="422"/>
    </row>
    <row r="47684" spans="191:191" x14ac:dyDescent="0.2">
      <c r="GI47684" s="422"/>
    </row>
    <row r="47685" spans="191:191" x14ac:dyDescent="0.2">
      <c r="GI47685" s="422"/>
    </row>
    <row r="47686" spans="191:191" x14ac:dyDescent="0.2">
      <c r="GI47686" s="422"/>
    </row>
    <row r="47687" spans="191:191" x14ac:dyDescent="0.2">
      <c r="GI47687" s="422"/>
    </row>
    <row r="47688" spans="191:191" x14ac:dyDescent="0.2">
      <c r="GI47688" s="422"/>
    </row>
    <row r="47689" spans="191:191" x14ac:dyDescent="0.2">
      <c r="GI47689" s="422"/>
    </row>
    <row r="47690" spans="191:191" x14ac:dyDescent="0.2">
      <c r="GI47690" s="422"/>
    </row>
    <row r="47691" spans="191:191" x14ac:dyDescent="0.2">
      <c r="GI47691" s="422"/>
    </row>
    <row r="47692" spans="191:191" x14ac:dyDescent="0.2">
      <c r="GI47692" s="422"/>
    </row>
    <row r="47693" spans="191:191" x14ac:dyDescent="0.2">
      <c r="GI47693" s="422"/>
    </row>
    <row r="47694" spans="191:191" x14ac:dyDescent="0.2">
      <c r="GI47694" s="422"/>
    </row>
    <row r="47695" spans="191:191" x14ac:dyDescent="0.2">
      <c r="GI47695" s="422"/>
    </row>
    <row r="47696" spans="191:191" x14ac:dyDescent="0.2">
      <c r="GI47696" s="422"/>
    </row>
    <row r="47697" spans="191:191" x14ac:dyDescent="0.2">
      <c r="GI47697" s="422"/>
    </row>
    <row r="47698" spans="191:191" x14ac:dyDescent="0.2">
      <c r="GI47698" s="422"/>
    </row>
    <row r="47699" spans="191:191" x14ac:dyDescent="0.2">
      <c r="GI47699" s="422"/>
    </row>
    <row r="47700" spans="191:191" x14ac:dyDescent="0.2">
      <c r="GI47700" s="422"/>
    </row>
    <row r="47701" spans="191:191" x14ac:dyDescent="0.2">
      <c r="GI47701" s="422"/>
    </row>
    <row r="47702" spans="191:191" x14ac:dyDescent="0.2">
      <c r="GI47702" s="422"/>
    </row>
    <row r="47703" spans="191:191" x14ac:dyDescent="0.2">
      <c r="GI47703" s="422"/>
    </row>
    <row r="47704" spans="191:191" x14ac:dyDescent="0.2">
      <c r="GI47704" s="422"/>
    </row>
    <row r="47705" spans="191:191" x14ac:dyDescent="0.2">
      <c r="GI47705" s="422"/>
    </row>
    <row r="47706" spans="191:191" x14ac:dyDescent="0.2">
      <c r="GI47706" s="422"/>
    </row>
    <row r="47707" spans="191:191" x14ac:dyDescent="0.2">
      <c r="GI47707" s="422"/>
    </row>
    <row r="47708" spans="191:191" x14ac:dyDescent="0.2">
      <c r="GI47708" s="422"/>
    </row>
    <row r="47709" spans="191:191" x14ac:dyDescent="0.2">
      <c r="GI47709" s="422"/>
    </row>
    <row r="47710" spans="191:191" x14ac:dyDescent="0.2">
      <c r="GI47710" s="422"/>
    </row>
    <row r="47711" spans="191:191" x14ac:dyDescent="0.2">
      <c r="GI47711" s="422"/>
    </row>
    <row r="47712" spans="191:191" x14ac:dyDescent="0.2">
      <c r="GI47712" s="422"/>
    </row>
    <row r="47713" spans="191:191" x14ac:dyDescent="0.2">
      <c r="GI47713" s="422"/>
    </row>
    <row r="47714" spans="191:191" x14ac:dyDescent="0.2">
      <c r="GI47714" s="422"/>
    </row>
    <row r="47715" spans="191:191" x14ac:dyDescent="0.2">
      <c r="GI47715" s="422"/>
    </row>
    <row r="47716" spans="191:191" x14ac:dyDescent="0.2">
      <c r="GI47716" s="422"/>
    </row>
    <row r="47717" spans="191:191" x14ac:dyDescent="0.2">
      <c r="GI47717" s="422"/>
    </row>
    <row r="47718" spans="191:191" x14ac:dyDescent="0.2">
      <c r="GI47718" s="422"/>
    </row>
    <row r="47719" spans="191:191" x14ac:dyDescent="0.2">
      <c r="GI47719" s="422"/>
    </row>
    <row r="47720" spans="191:191" x14ac:dyDescent="0.2">
      <c r="GI47720" s="422"/>
    </row>
    <row r="47721" spans="191:191" x14ac:dyDescent="0.2">
      <c r="GI47721" s="422"/>
    </row>
    <row r="47722" spans="191:191" x14ac:dyDescent="0.2">
      <c r="GI47722" s="422"/>
    </row>
    <row r="47723" spans="191:191" x14ac:dyDescent="0.2">
      <c r="GI47723" s="422"/>
    </row>
    <row r="47724" spans="191:191" x14ac:dyDescent="0.2">
      <c r="GI47724" s="422"/>
    </row>
    <row r="47725" spans="191:191" x14ac:dyDescent="0.2">
      <c r="GI47725" s="422"/>
    </row>
    <row r="47726" spans="191:191" x14ac:dyDescent="0.2">
      <c r="GI47726" s="422"/>
    </row>
    <row r="47727" spans="191:191" x14ac:dyDescent="0.2">
      <c r="GI47727" s="422"/>
    </row>
    <row r="47728" spans="191:191" x14ac:dyDescent="0.2">
      <c r="GI47728" s="422"/>
    </row>
    <row r="47729" spans="191:191" x14ac:dyDescent="0.2">
      <c r="GI47729" s="422"/>
    </row>
    <row r="47730" spans="191:191" x14ac:dyDescent="0.2">
      <c r="GI47730" s="422"/>
    </row>
    <row r="47731" spans="191:191" x14ac:dyDescent="0.2">
      <c r="GI47731" s="422"/>
    </row>
    <row r="47732" spans="191:191" x14ac:dyDescent="0.2">
      <c r="GI47732" s="422"/>
    </row>
    <row r="47733" spans="191:191" x14ac:dyDescent="0.2">
      <c r="GI47733" s="422"/>
    </row>
    <row r="47734" spans="191:191" x14ac:dyDescent="0.2">
      <c r="GI47734" s="422"/>
    </row>
    <row r="47735" spans="191:191" x14ac:dyDescent="0.2">
      <c r="GI47735" s="422"/>
    </row>
    <row r="47736" spans="191:191" x14ac:dyDescent="0.2">
      <c r="GI47736" s="422"/>
    </row>
    <row r="47737" spans="191:191" x14ac:dyDescent="0.2">
      <c r="GI47737" s="422"/>
    </row>
    <row r="47738" spans="191:191" x14ac:dyDescent="0.2">
      <c r="GI47738" s="422"/>
    </row>
    <row r="47739" spans="191:191" x14ac:dyDescent="0.2">
      <c r="GI47739" s="422"/>
    </row>
    <row r="47740" spans="191:191" x14ac:dyDescent="0.2">
      <c r="GI47740" s="422"/>
    </row>
    <row r="47741" spans="191:191" x14ac:dyDescent="0.2">
      <c r="GI47741" s="422"/>
    </row>
    <row r="47742" spans="191:191" x14ac:dyDescent="0.2">
      <c r="GI47742" s="422"/>
    </row>
    <row r="47743" spans="191:191" x14ac:dyDescent="0.2">
      <c r="GI47743" s="422"/>
    </row>
    <row r="47744" spans="191:191" x14ac:dyDescent="0.2">
      <c r="GI47744" s="422"/>
    </row>
    <row r="47745" spans="191:191" x14ac:dyDescent="0.2">
      <c r="GI47745" s="422"/>
    </row>
    <row r="47746" spans="191:191" x14ac:dyDescent="0.2">
      <c r="GI47746" s="422"/>
    </row>
    <row r="47747" spans="191:191" x14ac:dyDescent="0.2">
      <c r="GI47747" s="422"/>
    </row>
    <row r="47748" spans="191:191" x14ac:dyDescent="0.2">
      <c r="GI47748" s="422"/>
    </row>
    <row r="47749" spans="191:191" x14ac:dyDescent="0.2">
      <c r="GI47749" s="422"/>
    </row>
    <row r="47750" spans="191:191" x14ac:dyDescent="0.2">
      <c r="GI47750" s="422"/>
    </row>
    <row r="47751" spans="191:191" x14ac:dyDescent="0.2">
      <c r="GI47751" s="422"/>
    </row>
    <row r="47752" spans="191:191" x14ac:dyDescent="0.2">
      <c r="GI47752" s="422"/>
    </row>
    <row r="47753" spans="191:191" x14ac:dyDescent="0.2">
      <c r="GI47753" s="422"/>
    </row>
    <row r="47754" spans="191:191" x14ac:dyDescent="0.2">
      <c r="GI47754" s="422"/>
    </row>
    <row r="47755" spans="191:191" x14ac:dyDescent="0.2">
      <c r="GI47755" s="422"/>
    </row>
    <row r="47756" spans="191:191" x14ac:dyDescent="0.2">
      <c r="GI47756" s="422"/>
    </row>
    <row r="47757" spans="191:191" x14ac:dyDescent="0.2">
      <c r="GI47757" s="422"/>
    </row>
    <row r="47758" spans="191:191" x14ac:dyDescent="0.2">
      <c r="GI47758" s="422"/>
    </row>
    <row r="47759" spans="191:191" x14ac:dyDescent="0.2">
      <c r="GI47759" s="422"/>
    </row>
    <row r="47760" spans="191:191" x14ac:dyDescent="0.2">
      <c r="GI47760" s="422"/>
    </row>
    <row r="47761" spans="191:191" x14ac:dyDescent="0.2">
      <c r="GI47761" s="422"/>
    </row>
    <row r="47762" spans="191:191" x14ac:dyDescent="0.2">
      <c r="GI47762" s="422"/>
    </row>
    <row r="47763" spans="191:191" x14ac:dyDescent="0.2">
      <c r="GI47763" s="422"/>
    </row>
    <row r="47764" spans="191:191" x14ac:dyDescent="0.2">
      <c r="GI47764" s="422"/>
    </row>
    <row r="47765" spans="191:191" x14ac:dyDescent="0.2">
      <c r="GI47765" s="422"/>
    </row>
    <row r="47766" spans="191:191" x14ac:dyDescent="0.2">
      <c r="GI47766" s="422"/>
    </row>
    <row r="47767" spans="191:191" x14ac:dyDescent="0.2">
      <c r="GI47767" s="422"/>
    </row>
    <row r="47768" spans="191:191" x14ac:dyDescent="0.2">
      <c r="GI47768" s="422"/>
    </row>
    <row r="47769" spans="191:191" x14ac:dyDescent="0.2">
      <c r="GI47769" s="422"/>
    </row>
    <row r="47770" spans="191:191" x14ac:dyDescent="0.2">
      <c r="GI47770" s="422"/>
    </row>
    <row r="47771" spans="191:191" x14ac:dyDescent="0.2">
      <c r="GI47771" s="422"/>
    </row>
    <row r="47772" spans="191:191" x14ac:dyDescent="0.2">
      <c r="GI47772" s="422"/>
    </row>
    <row r="47773" spans="191:191" x14ac:dyDescent="0.2">
      <c r="GI47773" s="422"/>
    </row>
    <row r="47774" spans="191:191" x14ac:dyDescent="0.2">
      <c r="GI47774" s="422"/>
    </row>
    <row r="47775" spans="191:191" x14ac:dyDescent="0.2">
      <c r="GI47775" s="422"/>
    </row>
    <row r="47776" spans="191:191" x14ac:dyDescent="0.2">
      <c r="GI47776" s="422"/>
    </row>
    <row r="47777" spans="191:191" x14ac:dyDescent="0.2">
      <c r="GI47777" s="422"/>
    </row>
    <row r="47778" spans="191:191" x14ac:dyDescent="0.2">
      <c r="GI47778" s="422"/>
    </row>
    <row r="47779" spans="191:191" x14ac:dyDescent="0.2">
      <c r="GI47779" s="422"/>
    </row>
    <row r="47780" spans="191:191" x14ac:dyDescent="0.2">
      <c r="GI47780" s="422"/>
    </row>
    <row r="47781" spans="191:191" x14ac:dyDescent="0.2">
      <c r="GI47781" s="422"/>
    </row>
    <row r="47782" spans="191:191" x14ac:dyDescent="0.2">
      <c r="GI47782" s="422"/>
    </row>
    <row r="47783" spans="191:191" x14ac:dyDescent="0.2">
      <c r="GI47783" s="422"/>
    </row>
    <row r="47784" spans="191:191" x14ac:dyDescent="0.2">
      <c r="GI47784" s="422"/>
    </row>
    <row r="47785" spans="191:191" x14ac:dyDescent="0.2">
      <c r="GI47785" s="422"/>
    </row>
    <row r="47786" spans="191:191" x14ac:dyDescent="0.2">
      <c r="GI47786" s="422"/>
    </row>
    <row r="47787" spans="191:191" x14ac:dyDescent="0.2">
      <c r="GI47787" s="422"/>
    </row>
    <row r="47788" spans="191:191" x14ac:dyDescent="0.2">
      <c r="GI47788" s="422"/>
    </row>
    <row r="47789" spans="191:191" x14ac:dyDescent="0.2">
      <c r="GI47789" s="422"/>
    </row>
    <row r="47790" spans="191:191" x14ac:dyDescent="0.2">
      <c r="GI47790" s="422"/>
    </row>
    <row r="47791" spans="191:191" x14ac:dyDescent="0.2">
      <c r="GI47791" s="422"/>
    </row>
    <row r="47792" spans="191:191" x14ac:dyDescent="0.2">
      <c r="GI47792" s="422"/>
    </row>
    <row r="47793" spans="191:191" x14ac:dyDescent="0.2">
      <c r="GI47793" s="422"/>
    </row>
    <row r="47794" spans="191:191" x14ac:dyDescent="0.2">
      <c r="GI47794" s="422"/>
    </row>
    <row r="47795" spans="191:191" x14ac:dyDescent="0.2">
      <c r="GI47795" s="422"/>
    </row>
    <row r="47796" spans="191:191" x14ac:dyDescent="0.2">
      <c r="GI47796" s="422"/>
    </row>
    <row r="47797" spans="191:191" x14ac:dyDescent="0.2">
      <c r="GI47797" s="422"/>
    </row>
    <row r="47798" spans="191:191" x14ac:dyDescent="0.2">
      <c r="GI47798" s="422"/>
    </row>
    <row r="47799" spans="191:191" x14ac:dyDescent="0.2">
      <c r="GI47799" s="422"/>
    </row>
    <row r="47800" spans="191:191" x14ac:dyDescent="0.2">
      <c r="GI47800" s="422"/>
    </row>
    <row r="47801" spans="191:191" x14ac:dyDescent="0.2">
      <c r="GI47801" s="422"/>
    </row>
    <row r="47802" spans="191:191" x14ac:dyDescent="0.2">
      <c r="GI47802" s="422"/>
    </row>
    <row r="47803" spans="191:191" x14ac:dyDescent="0.2">
      <c r="GI47803" s="422"/>
    </row>
    <row r="47804" spans="191:191" x14ac:dyDescent="0.2">
      <c r="GI47804" s="422"/>
    </row>
    <row r="47805" spans="191:191" x14ac:dyDescent="0.2">
      <c r="GI47805" s="422"/>
    </row>
    <row r="47806" spans="191:191" x14ac:dyDescent="0.2">
      <c r="GI47806" s="422"/>
    </row>
    <row r="47807" spans="191:191" x14ac:dyDescent="0.2">
      <c r="GI47807" s="422"/>
    </row>
    <row r="47808" spans="191:191" x14ac:dyDescent="0.2">
      <c r="GI47808" s="422"/>
    </row>
    <row r="47809" spans="191:191" x14ac:dyDescent="0.2">
      <c r="GI47809" s="422"/>
    </row>
    <row r="47810" spans="191:191" x14ac:dyDescent="0.2">
      <c r="GI47810" s="422"/>
    </row>
    <row r="47811" spans="191:191" x14ac:dyDescent="0.2">
      <c r="GI47811" s="422"/>
    </row>
    <row r="47812" spans="191:191" x14ac:dyDescent="0.2">
      <c r="GI47812" s="422"/>
    </row>
    <row r="47813" spans="191:191" x14ac:dyDescent="0.2">
      <c r="GI47813" s="422"/>
    </row>
    <row r="47814" spans="191:191" x14ac:dyDescent="0.2">
      <c r="GI47814" s="422"/>
    </row>
    <row r="47815" spans="191:191" x14ac:dyDescent="0.2">
      <c r="GI47815" s="422"/>
    </row>
    <row r="47816" spans="191:191" x14ac:dyDescent="0.2">
      <c r="GI47816" s="422"/>
    </row>
    <row r="47817" spans="191:191" x14ac:dyDescent="0.2">
      <c r="GI47817" s="422"/>
    </row>
    <row r="47818" spans="191:191" x14ac:dyDescent="0.2">
      <c r="GI47818" s="422"/>
    </row>
    <row r="47819" spans="191:191" x14ac:dyDescent="0.2">
      <c r="GI47819" s="422"/>
    </row>
    <row r="47820" spans="191:191" x14ac:dyDescent="0.2">
      <c r="GI47820" s="422"/>
    </row>
    <row r="47821" spans="191:191" x14ac:dyDescent="0.2">
      <c r="GI47821" s="422"/>
    </row>
    <row r="47822" spans="191:191" x14ac:dyDescent="0.2">
      <c r="GI47822" s="422"/>
    </row>
    <row r="47823" spans="191:191" x14ac:dyDescent="0.2">
      <c r="GI47823" s="422"/>
    </row>
    <row r="47824" spans="191:191" x14ac:dyDescent="0.2">
      <c r="GI47824" s="422"/>
    </row>
    <row r="47825" spans="191:191" x14ac:dyDescent="0.2">
      <c r="GI47825" s="422"/>
    </row>
    <row r="47826" spans="191:191" x14ac:dyDescent="0.2">
      <c r="GI47826" s="422"/>
    </row>
    <row r="47827" spans="191:191" x14ac:dyDescent="0.2">
      <c r="GI47827" s="422"/>
    </row>
    <row r="47828" spans="191:191" x14ac:dyDescent="0.2">
      <c r="GI47828" s="422"/>
    </row>
    <row r="47829" spans="191:191" x14ac:dyDescent="0.2">
      <c r="GI47829" s="422"/>
    </row>
    <row r="47830" spans="191:191" x14ac:dyDescent="0.2">
      <c r="GI47830" s="422"/>
    </row>
    <row r="47831" spans="191:191" x14ac:dyDescent="0.2">
      <c r="GI47831" s="422"/>
    </row>
    <row r="47832" spans="191:191" x14ac:dyDescent="0.2">
      <c r="GI47832" s="422"/>
    </row>
    <row r="47833" spans="191:191" x14ac:dyDescent="0.2">
      <c r="GI47833" s="422"/>
    </row>
    <row r="47834" spans="191:191" x14ac:dyDescent="0.2">
      <c r="GI47834" s="422"/>
    </row>
    <row r="47835" spans="191:191" x14ac:dyDescent="0.2">
      <c r="GI47835" s="422"/>
    </row>
    <row r="47836" spans="191:191" x14ac:dyDescent="0.2">
      <c r="GI47836" s="422"/>
    </row>
    <row r="47837" spans="191:191" x14ac:dyDescent="0.2">
      <c r="GI47837" s="422"/>
    </row>
    <row r="47838" spans="191:191" x14ac:dyDescent="0.2">
      <c r="GI47838" s="422"/>
    </row>
    <row r="47839" spans="191:191" x14ac:dyDescent="0.2">
      <c r="GI47839" s="422"/>
    </row>
    <row r="47840" spans="191:191" x14ac:dyDescent="0.2">
      <c r="GI47840" s="422"/>
    </row>
    <row r="47841" spans="191:191" x14ac:dyDescent="0.2">
      <c r="GI47841" s="422"/>
    </row>
    <row r="47842" spans="191:191" x14ac:dyDescent="0.2">
      <c r="GI47842" s="422"/>
    </row>
    <row r="47843" spans="191:191" x14ac:dyDescent="0.2">
      <c r="GI47843" s="422"/>
    </row>
    <row r="47844" spans="191:191" x14ac:dyDescent="0.2">
      <c r="GI47844" s="422"/>
    </row>
    <row r="47845" spans="191:191" x14ac:dyDescent="0.2">
      <c r="GI47845" s="422"/>
    </row>
    <row r="47846" spans="191:191" x14ac:dyDescent="0.2">
      <c r="GI47846" s="422"/>
    </row>
    <row r="47847" spans="191:191" x14ac:dyDescent="0.2">
      <c r="GI47847" s="422"/>
    </row>
    <row r="47848" spans="191:191" x14ac:dyDescent="0.2">
      <c r="GI47848" s="422"/>
    </row>
    <row r="47849" spans="191:191" x14ac:dyDescent="0.2">
      <c r="GI47849" s="422"/>
    </row>
    <row r="47850" spans="191:191" x14ac:dyDescent="0.2">
      <c r="GI47850" s="422"/>
    </row>
    <row r="47851" spans="191:191" x14ac:dyDescent="0.2">
      <c r="GI47851" s="422"/>
    </row>
    <row r="47852" spans="191:191" x14ac:dyDescent="0.2">
      <c r="GI47852" s="422"/>
    </row>
    <row r="47853" spans="191:191" x14ac:dyDescent="0.2">
      <c r="GI47853" s="422"/>
    </row>
    <row r="47854" spans="191:191" x14ac:dyDescent="0.2">
      <c r="GI47854" s="422"/>
    </row>
    <row r="47855" spans="191:191" x14ac:dyDescent="0.2">
      <c r="GI47855" s="422"/>
    </row>
    <row r="47856" spans="191:191" x14ac:dyDescent="0.2">
      <c r="GI47856" s="422"/>
    </row>
    <row r="47857" spans="191:191" x14ac:dyDescent="0.2">
      <c r="GI47857" s="422"/>
    </row>
    <row r="47858" spans="191:191" x14ac:dyDescent="0.2">
      <c r="GI47858" s="422"/>
    </row>
    <row r="47859" spans="191:191" x14ac:dyDescent="0.2">
      <c r="GI47859" s="422"/>
    </row>
    <row r="47860" spans="191:191" x14ac:dyDescent="0.2">
      <c r="GI47860" s="422"/>
    </row>
    <row r="47861" spans="191:191" x14ac:dyDescent="0.2">
      <c r="GI47861" s="422"/>
    </row>
    <row r="47862" spans="191:191" x14ac:dyDescent="0.2">
      <c r="GI47862" s="422"/>
    </row>
    <row r="47863" spans="191:191" x14ac:dyDescent="0.2">
      <c r="GI47863" s="422"/>
    </row>
    <row r="47864" spans="191:191" x14ac:dyDescent="0.2">
      <c r="GI47864" s="422"/>
    </row>
    <row r="47865" spans="191:191" x14ac:dyDescent="0.2">
      <c r="GI47865" s="422"/>
    </row>
    <row r="47866" spans="191:191" x14ac:dyDescent="0.2">
      <c r="GI47866" s="422"/>
    </row>
    <row r="47867" spans="191:191" x14ac:dyDescent="0.2">
      <c r="GI47867" s="422"/>
    </row>
    <row r="47868" spans="191:191" x14ac:dyDescent="0.2">
      <c r="GI47868" s="422"/>
    </row>
    <row r="47869" spans="191:191" x14ac:dyDescent="0.2">
      <c r="GI47869" s="422"/>
    </row>
    <row r="47870" spans="191:191" x14ac:dyDescent="0.2">
      <c r="GI47870" s="422"/>
    </row>
    <row r="47871" spans="191:191" x14ac:dyDescent="0.2">
      <c r="GI47871" s="422"/>
    </row>
    <row r="47872" spans="191:191" x14ac:dyDescent="0.2">
      <c r="GI47872" s="422"/>
    </row>
    <row r="47873" spans="191:191" x14ac:dyDescent="0.2">
      <c r="GI47873" s="422"/>
    </row>
    <row r="47874" spans="191:191" x14ac:dyDescent="0.2">
      <c r="GI47874" s="422"/>
    </row>
    <row r="47875" spans="191:191" x14ac:dyDescent="0.2">
      <c r="GI47875" s="422"/>
    </row>
    <row r="47876" spans="191:191" x14ac:dyDescent="0.2">
      <c r="GI47876" s="422"/>
    </row>
    <row r="47877" spans="191:191" x14ac:dyDescent="0.2">
      <c r="GI47877" s="422"/>
    </row>
    <row r="47878" spans="191:191" x14ac:dyDescent="0.2">
      <c r="GI47878" s="422"/>
    </row>
    <row r="47879" spans="191:191" x14ac:dyDescent="0.2">
      <c r="GI47879" s="422"/>
    </row>
    <row r="47880" spans="191:191" x14ac:dyDescent="0.2">
      <c r="GI47880" s="422"/>
    </row>
    <row r="47881" spans="191:191" x14ac:dyDescent="0.2">
      <c r="GI47881" s="422"/>
    </row>
    <row r="47882" spans="191:191" x14ac:dyDescent="0.2">
      <c r="GI47882" s="422"/>
    </row>
    <row r="47883" spans="191:191" x14ac:dyDescent="0.2">
      <c r="GI47883" s="422"/>
    </row>
    <row r="47884" spans="191:191" x14ac:dyDescent="0.2">
      <c r="GI47884" s="422"/>
    </row>
    <row r="47885" spans="191:191" x14ac:dyDescent="0.2">
      <c r="GI47885" s="422"/>
    </row>
    <row r="47886" spans="191:191" x14ac:dyDescent="0.2">
      <c r="GI47886" s="422"/>
    </row>
    <row r="47887" spans="191:191" x14ac:dyDescent="0.2">
      <c r="GI47887" s="422"/>
    </row>
    <row r="47888" spans="191:191" x14ac:dyDescent="0.2">
      <c r="GI47888" s="422"/>
    </row>
    <row r="47889" spans="191:191" x14ac:dyDescent="0.2">
      <c r="GI47889" s="422"/>
    </row>
    <row r="47890" spans="191:191" x14ac:dyDescent="0.2">
      <c r="GI47890" s="422"/>
    </row>
    <row r="47891" spans="191:191" x14ac:dyDescent="0.2">
      <c r="GI47891" s="422"/>
    </row>
    <row r="47892" spans="191:191" x14ac:dyDescent="0.2">
      <c r="GI47892" s="422"/>
    </row>
    <row r="47893" spans="191:191" x14ac:dyDescent="0.2">
      <c r="GI47893" s="422"/>
    </row>
    <row r="47894" spans="191:191" x14ac:dyDescent="0.2">
      <c r="GI47894" s="422"/>
    </row>
    <row r="47895" spans="191:191" x14ac:dyDescent="0.2">
      <c r="GI47895" s="422"/>
    </row>
    <row r="47896" spans="191:191" x14ac:dyDescent="0.2">
      <c r="GI47896" s="422"/>
    </row>
    <row r="47897" spans="191:191" x14ac:dyDescent="0.2">
      <c r="GI47897" s="422"/>
    </row>
    <row r="47898" spans="191:191" x14ac:dyDescent="0.2">
      <c r="GI47898" s="422"/>
    </row>
    <row r="47899" spans="191:191" x14ac:dyDescent="0.2">
      <c r="GI47899" s="422"/>
    </row>
    <row r="47900" spans="191:191" x14ac:dyDescent="0.2">
      <c r="GI47900" s="422"/>
    </row>
    <row r="47901" spans="191:191" x14ac:dyDescent="0.2">
      <c r="GI47901" s="422"/>
    </row>
    <row r="47902" spans="191:191" x14ac:dyDescent="0.2">
      <c r="GI47902" s="422"/>
    </row>
    <row r="47903" spans="191:191" x14ac:dyDescent="0.2">
      <c r="GI47903" s="422"/>
    </row>
    <row r="47904" spans="191:191" x14ac:dyDescent="0.2">
      <c r="GI47904" s="422"/>
    </row>
    <row r="47905" spans="191:191" x14ac:dyDescent="0.2">
      <c r="GI47905" s="422"/>
    </row>
    <row r="47906" spans="191:191" x14ac:dyDescent="0.2">
      <c r="GI47906" s="422"/>
    </row>
    <row r="47907" spans="191:191" x14ac:dyDescent="0.2">
      <c r="GI47907" s="422"/>
    </row>
    <row r="47908" spans="191:191" x14ac:dyDescent="0.2">
      <c r="GI47908" s="422"/>
    </row>
    <row r="47909" spans="191:191" x14ac:dyDescent="0.2">
      <c r="GI47909" s="422"/>
    </row>
    <row r="47910" spans="191:191" x14ac:dyDescent="0.2">
      <c r="GI47910" s="422"/>
    </row>
    <row r="47911" spans="191:191" x14ac:dyDescent="0.2">
      <c r="GI47911" s="422"/>
    </row>
    <row r="47912" spans="191:191" x14ac:dyDescent="0.2">
      <c r="GI47912" s="422"/>
    </row>
    <row r="47913" spans="191:191" x14ac:dyDescent="0.2">
      <c r="GI47913" s="422"/>
    </row>
    <row r="47914" spans="191:191" x14ac:dyDescent="0.2">
      <c r="GI47914" s="422"/>
    </row>
    <row r="47915" spans="191:191" x14ac:dyDescent="0.2">
      <c r="GI47915" s="422"/>
    </row>
    <row r="47916" spans="191:191" x14ac:dyDescent="0.2">
      <c r="GI47916" s="422"/>
    </row>
    <row r="47917" spans="191:191" x14ac:dyDescent="0.2">
      <c r="GI47917" s="422"/>
    </row>
    <row r="47918" spans="191:191" x14ac:dyDescent="0.2">
      <c r="GI47918" s="422"/>
    </row>
    <row r="47919" spans="191:191" x14ac:dyDescent="0.2">
      <c r="GI47919" s="422"/>
    </row>
    <row r="47920" spans="191:191" x14ac:dyDescent="0.2">
      <c r="GI47920" s="422"/>
    </row>
    <row r="47921" spans="191:191" x14ac:dyDescent="0.2">
      <c r="GI47921" s="422"/>
    </row>
    <row r="47922" spans="191:191" x14ac:dyDescent="0.2">
      <c r="GI47922" s="422"/>
    </row>
    <row r="47923" spans="191:191" x14ac:dyDescent="0.2">
      <c r="GI47923" s="422"/>
    </row>
    <row r="47924" spans="191:191" x14ac:dyDescent="0.2">
      <c r="GI47924" s="422"/>
    </row>
    <row r="47925" spans="191:191" x14ac:dyDescent="0.2">
      <c r="GI47925" s="422"/>
    </row>
    <row r="47926" spans="191:191" x14ac:dyDescent="0.2">
      <c r="GI47926" s="422"/>
    </row>
    <row r="47927" spans="191:191" x14ac:dyDescent="0.2">
      <c r="GI47927" s="422"/>
    </row>
    <row r="47928" spans="191:191" x14ac:dyDescent="0.2">
      <c r="GI47928" s="422"/>
    </row>
    <row r="47929" spans="191:191" x14ac:dyDescent="0.2">
      <c r="GI47929" s="422"/>
    </row>
    <row r="47930" spans="191:191" x14ac:dyDescent="0.2">
      <c r="GI47930" s="422"/>
    </row>
    <row r="47931" spans="191:191" x14ac:dyDescent="0.2">
      <c r="GI47931" s="422"/>
    </row>
    <row r="47932" spans="191:191" x14ac:dyDescent="0.2">
      <c r="GI47932" s="422"/>
    </row>
    <row r="47933" spans="191:191" x14ac:dyDescent="0.2">
      <c r="GI47933" s="422"/>
    </row>
    <row r="47934" spans="191:191" x14ac:dyDescent="0.2">
      <c r="GI47934" s="422"/>
    </row>
    <row r="47935" spans="191:191" x14ac:dyDescent="0.2">
      <c r="GI47935" s="422"/>
    </row>
    <row r="47936" spans="191:191" x14ac:dyDescent="0.2">
      <c r="GI47936" s="422"/>
    </row>
    <row r="47937" spans="191:191" x14ac:dyDescent="0.2">
      <c r="GI47937" s="422"/>
    </row>
    <row r="47938" spans="191:191" x14ac:dyDescent="0.2">
      <c r="GI47938" s="422"/>
    </row>
    <row r="47939" spans="191:191" x14ac:dyDescent="0.2">
      <c r="GI47939" s="422"/>
    </row>
    <row r="47940" spans="191:191" x14ac:dyDescent="0.2">
      <c r="GI47940" s="422"/>
    </row>
    <row r="47941" spans="191:191" x14ac:dyDescent="0.2">
      <c r="GI47941" s="422"/>
    </row>
    <row r="47942" spans="191:191" x14ac:dyDescent="0.2">
      <c r="GI47942" s="422"/>
    </row>
    <row r="47943" spans="191:191" x14ac:dyDescent="0.2">
      <c r="GI47943" s="422"/>
    </row>
    <row r="47944" spans="191:191" x14ac:dyDescent="0.2">
      <c r="GI47944" s="422"/>
    </row>
    <row r="47945" spans="191:191" x14ac:dyDescent="0.2">
      <c r="GI47945" s="422"/>
    </row>
    <row r="47946" spans="191:191" x14ac:dyDescent="0.2">
      <c r="GI47946" s="422"/>
    </row>
    <row r="47947" spans="191:191" x14ac:dyDescent="0.2">
      <c r="GI47947" s="422"/>
    </row>
    <row r="47948" spans="191:191" x14ac:dyDescent="0.2">
      <c r="GI47948" s="422"/>
    </row>
    <row r="47949" spans="191:191" x14ac:dyDescent="0.2">
      <c r="GI47949" s="422"/>
    </row>
    <row r="47950" spans="191:191" x14ac:dyDescent="0.2">
      <c r="GI47950" s="422"/>
    </row>
    <row r="47951" spans="191:191" x14ac:dyDescent="0.2">
      <c r="GI47951" s="422"/>
    </row>
    <row r="47952" spans="191:191" x14ac:dyDescent="0.2">
      <c r="GI47952" s="422"/>
    </row>
    <row r="47953" spans="191:191" x14ac:dyDescent="0.2">
      <c r="GI47953" s="422"/>
    </row>
    <row r="47954" spans="191:191" x14ac:dyDescent="0.2">
      <c r="GI47954" s="422"/>
    </row>
    <row r="47955" spans="191:191" x14ac:dyDescent="0.2">
      <c r="GI47955" s="422"/>
    </row>
    <row r="47956" spans="191:191" x14ac:dyDescent="0.2">
      <c r="GI47956" s="422"/>
    </row>
    <row r="47957" spans="191:191" x14ac:dyDescent="0.2">
      <c r="GI47957" s="422"/>
    </row>
    <row r="47958" spans="191:191" x14ac:dyDescent="0.2">
      <c r="GI47958" s="422"/>
    </row>
    <row r="47959" spans="191:191" x14ac:dyDescent="0.2">
      <c r="GI47959" s="422"/>
    </row>
    <row r="47960" spans="191:191" x14ac:dyDescent="0.2">
      <c r="GI47960" s="422"/>
    </row>
    <row r="47961" spans="191:191" x14ac:dyDescent="0.2">
      <c r="GI47961" s="422"/>
    </row>
    <row r="47962" spans="191:191" x14ac:dyDescent="0.2">
      <c r="GI47962" s="422"/>
    </row>
    <row r="47963" spans="191:191" x14ac:dyDescent="0.2">
      <c r="GI47963" s="422"/>
    </row>
    <row r="47964" spans="191:191" x14ac:dyDescent="0.2">
      <c r="GI47964" s="422"/>
    </row>
    <row r="47965" spans="191:191" x14ac:dyDescent="0.2">
      <c r="GI47965" s="422"/>
    </row>
    <row r="47966" spans="191:191" x14ac:dyDescent="0.2">
      <c r="GI47966" s="422"/>
    </row>
    <row r="47967" spans="191:191" x14ac:dyDescent="0.2">
      <c r="GI47967" s="422"/>
    </row>
    <row r="47968" spans="191:191" x14ac:dyDescent="0.2">
      <c r="GI47968" s="422"/>
    </row>
    <row r="47969" spans="191:191" x14ac:dyDescent="0.2">
      <c r="GI47969" s="422"/>
    </row>
    <row r="47970" spans="191:191" x14ac:dyDescent="0.2">
      <c r="GI47970" s="422"/>
    </row>
    <row r="47971" spans="191:191" x14ac:dyDescent="0.2">
      <c r="GI47971" s="422"/>
    </row>
    <row r="47972" spans="191:191" x14ac:dyDescent="0.2">
      <c r="GI47972" s="422"/>
    </row>
    <row r="47973" spans="191:191" x14ac:dyDescent="0.2">
      <c r="GI47973" s="422"/>
    </row>
    <row r="47974" spans="191:191" x14ac:dyDescent="0.2">
      <c r="GI47974" s="422"/>
    </row>
    <row r="47975" spans="191:191" x14ac:dyDescent="0.2">
      <c r="GI47975" s="422"/>
    </row>
    <row r="47976" spans="191:191" x14ac:dyDescent="0.2">
      <c r="GI47976" s="422"/>
    </row>
    <row r="47977" spans="191:191" x14ac:dyDescent="0.2">
      <c r="GI47977" s="422"/>
    </row>
    <row r="47978" spans="191:191" x14ac:dyDescent="0.2">
      <c r="GI47978" s="422"/>
    </row>
    <row r="47979" spans="191:191" x14ac:dyDescent="0.2">
      <c r="GI47979" s="422"/>
    </row>
    <row r="47980" spans="191:191" x14ac:dyDescent="0.2">
      <c r="GI47980" s="422"/>
    </row>
    <row r="47981" spans="191:191" x14ac:dyDescent="0.2">
      <c r="GI47981" s="422"/>
    </row>
    <row r="47982" spans="191:191" x14ac:dyDescent="0.2">
      <c r="GI47982" s="422"/>
    </row>
    <row r="47983" spans="191:191" x14ac:dyDescent="0.2">
      <c r="GI47983" s="422"/>
    </row>
    <row r="47984" spans="191:191" x14ac:dyDescent="0.2">
      <c r="GI47984" s="422"/>
    </row>
    <row r="47985" spans="191:191" x14ac:dyDescent="0.2">
      <c r="GI47985" s="422"/>
    </row>
    <row r="47986" spans="191:191" x14ac:dyDescent="0.2">
      <c r="GI47986" s="422"/>
    </row>
    <row r="47987" spans="191:191" x14ac:dyDescent="0.2">
      <c r="GI47987" s="422"/>
    </row>
    <row r="47988" spans="191:191" x14ac:dyDescent="0.2">
      <c r="GI47988" s="422"/>
    </row>
    <row r="47989" spans="191:191" x14ac:dyDescent="0.2">
      <c r="GI47989" s="422"/>
    </row>
    <row r="47990" spans="191:191" x14ac:dyDescent="0.2">
      <c r="GI47990" s="422"/>
    </row>
    <row r="47991" spans="191:191" x14ac:dyDescent="0.2">
      <c r="GI47991" s="422"/>
    </row>
    <row r="47992" spans="191:191" x14ac:dyDescent="0.2">
      <c r="GI47992" s="422"/>
    </row>
    <row r="47993" spans="191:191" x14ac:dyDescent="0.2">
      <c r="GI47993" s="422"/>
    </row>
    <row r="47994" spans="191:191" x14ac:dyDescent="0.2">
      <c r="GI47994" s="422"/>
    </row>
    <row r="47995" spans="191:191" x14ac:dyDescent="0.2">
      <c r="GI47995" s="422"/>
    </row>
    <row r="47996" spans="191:191" x14ac:dyDescent="0.2">
      <c r="GI47996" s="422"/>
    </row>
    <row r="47997" spans="191:191" x14ac:dyDescent="0.2">
      <c r="GI47997" s="422"/>
    </row>
    <row r="47998" spans="191:191" x14ac:dyDescent="0.2">
      <c r="GI47998" s="422"/>
    </row>
    <row r="47999" spans="191:191" x14ac:dyDescent="0.2">
      <c r="GI47999" s="422"/>
    </row>
    <row r="48000" spans="191:191" x14ac:dyDescent="0.2">
      <c r="GI48000" s="422"/>
    </row>
    <row r="48001" spans="191:191" x14ac:dyDescent="0.2">
      <c r="GI48001" s="422"/>
    </row>
    <row r="48002" spans="191:191" x14ac:dyDescent="0.2">
      <c r="GI48002" s="422"/>
    </row>
    <row r="48003" spans="191:191" x14ac:dyDescent="0.2">
      <c r="GI48003" s="422"/>
    </row>
    <row r="48004" spans="191:191" x14ac:dyDescent="0.2">
      <c r="GI48004" s="422"/>
    </row>
    <row r="48005" spans="191:191" x14ac:dyDescent="0.2">
      <c r="GI48005" s="422"/>
    </row>
    <row r="48006" spans="191:191" x14ac:dyDescent="0.2">
      <c r="GI48006" s="422"/>
    </row>
    <row r="48007" spans="191:191" x14ac:dyDescent="0.2">
      <c r="GI48007" s="422"/>
    </row>
    <row r="48008" spans="191:191" x14ac:dyDescent="0.2">
      <c r="GI48008" s="422"/>
    </row>
    <row r="48009" spans="191:191" x14ac:dyDescent="0.2">
      <c r="GI48009" s="422"/>
    </row>
    <row r="48010" spans="191:191" x14ac:dyDescent="0.2">
      <c r="GI48010" s="422"/>
    </row>
    <row r="48011" spans="191:191" x14ac:dyDescent="0.2">
      <c r="GI48011" s="422"/>
    </row>
    <row r="48012" spans="191:191" x14ac:dyDescent="0.2">
      <c r="GI48012" s="422"/>
    </row>
    <row r="48013" spans="191:191" x14ac:dyDescent="0.2">
      <c r="GI48013" s="422"/>
    </row>
    <row r="48014" spans="191:191" x14ac:dyDescent="0.2">
      <c r="GI48014" s="422"/>
    </row>
    <row r="48015" spans="191:191" x14ac:dyDescent="0.2">
      <c r="GI48015" s="422"/>
    </row>
    <row r="48016" spans="191:191" x14ac:dyDescent="0.2">
      <c r="GI48016" s="422"/>
    </row>
    <row r="48017" spans="191:191" x14ac:dyDescent="0.2">
      <c r="GI48017" s="422"/>
    </row>
    <row r="48018" spans="191:191" x14ac:dyDescent="0.2">
      <c r="GI48018" s="422"/>
    </row>
    <row r="48019" spans="191:191" x14ac:dyDescent="0.2">
      <c r="GI48019" s="422"/>
    </row>
    <row r="48020" spans="191:191" x14ac:dyDescent="0.2">
      <c r="GI48020" s="422"/>
    </row>
    <row r="48021" spans="191:191" x14ac:dyDescent="0.2">
      <c r="GI48021" s="422"/>
    </row>
    <row r="48022" spans="191:191" x14ac:dyDescent="0.2">
      <c r="GI48022" s="422"/>
    </row>
    <row r="48023" spans="191:191" x14ac:dyDescent="0.2">
      <c r="GI48023" s="422"/>
    </row>
    <row r="48024" spans="191:191" x14ac:dyDescent="0.2">
      <c r="GI48024" s="422"/>
    </row>
    <row r="48025" spans="191:191" x14ac:dyDescent="0.2">
      <c r="GI48025" s="422"/>
    </row>
    <row r="48026" spans="191:191" x14ac:dyDescent="0.2">
      <c r="GI48026" s="422"/>
    </row>
    <row r="48027" spans="191:191" x14ac:dyDescent="0.2">
      <c r="GI48027" s="422"/>
    </row>
    <row r="48028" spans="191:191" x14ac:dyDescent="0.2">
      <c r="GI48028" s="422"/>
    </row>
    <row r="48029" spans="191:191" x14ac:dyDescent="0.2">
      <c r="GI48029" s="422"/>
    </row>
    <row r="48030" spans="191:191" x14ac:dyDescent="0.2">
      <c r="GI48030" s="422"/>
    </row>
    <row r="48031" spans="191:191" x14ac:dyDescent="0.2">
      <c r="GI48031" s="422"/>
    </row>
    <row r="48032" spans="191:191" x14ac:dyDescent="0.2">
      <c r="GI48032" s="422"/>
    </row>
    <row r="48033" spans="191:191" x14ac:dyDescent="0.2">
      <c r="GI48033" s="422"/>
    </row>
    <row r="48034" spans="191:191" x14ac:dyDescent="0.2">
      <c r="GI48034" s="422"/>
    </row>
    <row r="48035" spans="191:191" x14ac:dyDescent="0.2">
      <c r="GI48035" s="422"/>
    </row>
    <row r="48036" spans="191:191" x14ac:dyDescent="0.2">
      <c r="GI48036" s="422"/>
    </row>
    <row r="48037" spans="191:191" x14ac:dyDescent="0.2">
      <c r="GI48037" s="422"/>
    </row>
    <row r="48038" spans="191:191" x14ac:dyDescent="0.2">
      <c r="GI48038" s="422"/>
    </row>
    <row r="48039" spans="191:191" x14ac:dyDescent="0.2">
      <c r="GI48039" s="422"/>
    </row>
    <row r="48040" spans="191:191" x14ac:dyDescent="0.2">
      <c r="GI48040" s="422"/>
    </row>
    <row r="48041" spans="191:191" x14ac:dyDescent="0.2">
      <c r="GI48041" s="422"/>
    </row>
    <row r="48042" spans="191:191" x14ac:dyDescent="0.2">
      <c r="GI48042" s="422"/>
    </row>
    <row r="48043" spans="191:191" x14ac:dyDescent="0.2">
      <c r="GI48043" s="422"/>
    </row>
    <row r="48044" spans="191:191" x14ac:dyDescent="0.2">
      <c r="GI48044" s="422"/>
    </row>
    <row r="48045" spans="191:191" x14ac:dyDescent="0.2">
      <c r="GI48045" s="422"/>
    </row>
    <row r="48046" spans="191:191" x14ac:dyDescent="0.2">
      <c r="GI48046" s="422"/>
    </row>
    <row r="48047" spans="191:191" x14ac:dyDescent="0.2">
      <c r="GI48047" s="422"/>
    </row>
    <row r="48048" spans="191:191" x14ac:dyDescent="0.2">
      <c r="GI48048" s="422"/>
    </row>
    <row r="48049" spans="191:191" x14ac:dyDescent="0.2">
      <c r="GI48049" s="422"/>
    </row>
    <row r="48050" spans="191:191" x14ac:dyDescent="0.2">
      <c r="GI48050" s="422"/>
    </row>
    <row r="48051" spans="191:191" x14ac:dyDescent="0.2">
      <c r="GI48051" s="422"/>
    </row>
    <row r="48052" spans="191:191" x14ac:dyDescent="0.2">
      <c r="GI48052" s="422"/>
    </row>
    <row r="48053" spans="191:191" x14ac:dyDescent="0.2">
      <c r="GI48053" s="422"/>
    </row>
    <row r="48054" spans="191:191" x14ac:dyDescent="0.2">
      <c r="GI48054" s="422"/>
    </row>
    <row r="48055" spans="191:191" x14ac:dyDescent="0.2">
      <c r="GI48055" s="422"/>
    </row>
    <row r="48056" spans="191:191" x14ac:dyDescent="0.2">
      <c r="GI48056" s="422"/>
    </row>
    <row r="48057" spans="191:191" x14ac:dyDescent="0.2">
      <c r="GI48057" s="422"/>
    </row>
    <row r="48058" spans="191:191" x14ac:dyDescent="0.2">
      <c r="GI48058" s="422"/>
    </row>
    <row r="48059" spans="191:191" x14ac:dyDescent="0.2">
      <c r="GI48059" s="422"/>
    </row>
    <row r="48060" spans="191:191" x14ac:dyDescent="0.2">
      <c r="GI48060" s="422"/>
    </row>
    <row r="48061" spans="191:191" x14ac:dyDescent="0.2">
      <c r="GI48061" s="422"/>
    </row>
    <row r="48062" spans="191:191" x14ac:dyDescent="0.2">
      <c r="GI48062" s="422"/>
    </row>
    <row r="48063" spans="191:191" x14ac:dyDescent="0.2">
      <c r="GI48063" s="422"/>
    </row>
    <row r="48064" spans="191:191" x14ac:dyDescent="0.2">
      <c r="GI48064" s="422"/>
    </row>
    <row r="48065" spans="191:191" x14ac:dyDescent="0.2">
      <c r="GI48065" s="422"/>
    </row>
    <row r="48066" spans="191:191" x14ac:dyDescent="0.2">
      <c r="GI48066" s="422"/>
    </row>
    <row r="48067" spans="191:191" x14ac:dyDescent="0.2">
      <c r="GI48067" s="422"/>
    </row>
    <row r="48068" spans="191:191" x14ac:dyDescent="0.2">
      <c r="GI48068" s="422"/>
    </row>
    <row r="48069" spans="191:191" x14ac:dyDescent="0.2">
      <c r="GI48069" s="422"/>
    </row>
    <row r="48070" spans="191:191" x14ac:dyDescent="0.2">
      <c r="GI48070" s="422"/>
    </row>
    <row r="48071" spans="191:191" x14ac:dyDescent="0.2">
      <c r="GI48071" s="422"/>
    </row>
    <row r="48072" spans="191:191" x14ac:dyDescent="0.2">
      <c r="GI48072" s="422"/>
    </row>
    <row r="48073" spans="191:191" x14ac:dyDescent="0.2">
      <c r="GI48073" s="422"/>
    </row>
    <row r="48074" spans="191:191" x14ac:dyDescent="0.2">
      <c r="GI48074" s="422"/>
    </row>
    <row r="48075" spans="191:191" x14ac:dyDescent="0.2">
      <c r="GI48075" s="422"/>
    </row>
    <row r="48076" spans="191:191" x14ac:dyDescent="0.2">
      <c r="GI48076" s="422"/>
    </row>
    <row r="48077" spans="191:191" x14ac:dyDescent="0.2">
      <c r="GI48077" s="422"/>
    </row>
    <row r="48078" spans="191:191" x14ac:dyDescent="0.2">
      <c r="GI48078" s="422"/>
    </row>
    <row r="48079" spans="191:191" x14ac:dyDescent="0.2">
      <c r="GI48079" s="422"/>
    </row>
    <row r="48080" spans="191:191" x14ac:dyDescent="0.2">
      <c r="GI48080" s="422"/>
    </row>
    <row r="48081" spans="191:191" x14ac:dyDescent="0.2">
      <c r="GI48081" s="422"/>
    </row>
    <row r="48082" spans="191:191" x14ac:dyDescent="0.2">
      <c r="GI48082" s="422"/>
    </row>
    <row r="48083" spans="191:191" x14ac:dyDescent="0.2">
      <c r="GI48083" s="422"/>
    </row>
    <row r="48084" spans="191:191" x14ac:dyDescent="0.2">
      <c r="GI48084" s="422"/>
    </row>
    <row r="48085" spans="191:191" x14ac:dyDescent="0.2">
      <c r="GI48085" s="422"/>
    </row>
    <row r="48086" spans="191:191" x14ac:dyDescent="0.2">
      <c r="GI48086" s="422"/>
    </row>
    <row r="48087" spans="191:191" x14ac:dyDescent="0.2">
      <c r="GI48087" s="422"/>
    </row>
    <row r="48088" spans="191:191" x14ac:dyDescent="0.2">
      <c r="GI48088" s="422"/>
    </row>
    <row r="48089" spans="191:191" x14ac:dyDescent="0.2">
      <c r="GI48089" s="422"/>
    </row>
    <row r="48090" spans="191:191" x14ac:dyDescent="0.2">
      <c r="GI48090" s="422"/>
    </row>
    <row r="48091" spans="191:191" x14ac:dyDescent="0.2">
      <c r="GI48091" s="422"/>
    </row>
    <row r="48092" spans="191:191" x14ac:dyDescent="0.2">
      <c r="GI48092" s="422"/>
    </row>
    <row r="48093" spans="191:191" x14ac:dyDescent="0.2">
      <c r="GI48093" s="422"/>
    </row>
    <row r="48094" spans="191:191" x14ac:dyDescent="0.2">
      <c r="GI48094" s="422"/>
    </row>
    <row r="48095" spans="191:191" x14ac:dyDescent="0.2">
      <c r="GI48095" s="422"/>
    </row>
    <row r="48096" spans="191:191" x14ac:dyDescent="0.2">
      <c r="GI48096" s="422"/>
    </row>
    <row r="48097" spans="191:191" x14ac:dyDescent="0.2">
      <c r="GI48097" s="422"/>
    </row>
    <row r="48098" spans="191:191" x14ac:dyDescent="0.2">
      <c r="GI48098" s="422"/>
    </row>
    <row r="48099" spans="191:191" x14ac:dyDescent="0.2">
      <c r="GI48099" s="422"/>
    </row>
    <row r="48100" spans="191:191" x14ac:dyDescent="0.2">
      <c r="GI48100" s="422"/>
    </row>
    <row r="48101" spans="191:191" x14ac:dyDescent="0.2">
      <c r="GI48101" s="422"/>
    </row>
    <row r="48102" spans="191:191" x14ac:dyDescent="0.2">
      <c r="GI48102" s="422"/>
    </row>
    <row r="48103" spans="191:191" x14ac:dyDescent="0.2">
      <c r="GI48103" s="422"/>
    </row>
    <row r="48104" spans="191:191" x14ac:dyDescent="0.2">
      <c r="GI48104" s="422"/>
    </row>
    <row r="48105" spans="191:191" x14ac:dyDescent="0.2">
      <c r="GI48105" s="422"/>
    </row>
    <row r="48106" spans="191:191" x14ac:dyDescent="0.2">
      <c r="GI48106" s="422"/>
    </row>
    <row r="48107" spans="191:191" x14ac:dyDescent="0.2">
      <c r="GI48107" s="422"/>
    </row>
    <row r="48108" spans="191:191" x14ac:dyDescent="0.2">
      <c r="GI48108" s="422"/>
    </row>
    <row r="48109" spans="191:191" x14ac:dyDescent="0.2">
      <c r="GI48109" s="422"/>
    </row>
    <row r="48110" spans="191:191" x14ac:dyDescent="0.2">
      <c r="GI48110" s="422"/>
    </row>
    <row r="48111" spans="191:191" x14ac:dyDescent="0.2">
      <c r="GI48111" s="422"/>
    </row>
    <row r="48112" spans="191:191" x14ac:dyDescent="0.2">
      <c r="GI48112" s="422"/>
    </row>
    <row r="48113" spans="191:191" x14ac:dyDescent="0.2">
      <c r="GI48113" s="422"/>
    </row>
    <row r="48114" spans="191:191" x14ac:dyDescent="0.2">
      <c r="GI48114" s="422"/>
    </row>
    <row r="48115" spans="191:191" x14ac:dyDescent="0.2">
      <c r="GI48115" s="422"/>
    </row>
    <row r="48116" spans="191:191" x14ac:dyDescent="0.2">
      <c r="GI48116" s="422"/>
    </row>
    <row r="48117" spans="191:191" x14ac:dyDescent="0.2">
      <c r="GI48117" s="422"/>
    </row>
    <row r="48118" spans="191:191" x14ac:dyDescent="0.2">
      <c r="GI48118" s="422"/>
    </row>
    <row r="48119" spans="191:191" x14ac:dyDescent="0.2">
      <c r="GI48119" s="422"/>
    </row>
    <row r="48120" spans="191:191" x14ac:dyDescent="0.2">
      <c r="GI48120" s="422"/>
    </row>
    <row r="48121" spans="191:191" x14ac:dyDescent="0.2">
      <c r="GI48121" s="422"/>
    </row>
    <row r="48122" spans="191:191" x14ac:dyDescent="0.2">
      <c r="GI48122" s="422"/>
    </row>
    <row r="48123" spans="191:191" x14ac:dyDescent="0.2">
      <c r="GI48123" s="422"/>
    </row>
    <row r="48124" spans="191:191" x14ac:dyDescent="0.2">
      <c r="GI48124" s="422"/>
    </row>
    <row r="48125" spans="191:191" x14ac:dyDescent="0.2">
      <c r="GI48125" s="422"/>
    </row>
    <row r="48126" spans="191:191" x14ac:dyDescent="0.2">
      <c r="GI48126" s="422"/>
    </row>
    <row r="48127" spans="191:191" x14ac:dyDescent="0.2">
      <c r="GI48127" s="422"/>
    </row>
    <row r="48128" spans="191:191" x14ac:dyDescent="0.2">
      <c r="GI48128" s="422"/>
    </row>
    <row r="48129" spans="191:191" x14ac:dyDescent="0.2">
      <c r="GI48129" s="422"/>
    </row>
    <row r="48130" spans="191:191" x14ac:dyDescent="0.2">
      <c r="GI48130" s="422"/>
    </row>
    <row r="48131" spans="191:191" x14ac:dyDescent="0.2">
      <c r="GI48131" s="422"/>
    </row>
    <row r="48132" spans="191:191" x14ac:dyDescent="0.2">
      <c r="GI48132" s="422"/>
    </row>
    <row r="48133" spans="191:191" x14ac:dyDescent="0.2">
      <c r="GI48133" s="422"/>
    </row>
    <row r="48134" spans="191:191" x14ac:dyDescent="0.2">
      <c r="GI48134" s="422"/>
    </row>
    <row r="48135" spans="191:191" x14ac:dyDescent="0.2">
      <c r="GI48135" s="422"/>
    </row>
    <row r="48136" spans="191:191" x14ac:dyDescent="0.2">
      <c r="GI48136" s="422"/>
    </row>
    <row r="48137" spans="191:191" x14ac:dyDescent="0.2">
      <c r="GI48137" s="422"/>
    </row>
    <row r="48138" spans="191:191" x14ac:dyDescent="0.2">
      <c r="GI48138" s="422"/>
    </row>
    <row r="48139" spans="191:191" x14ac:dyDescent="0.2">
      <c r="GI48139" s="422"/>
    </row>
    <row r="48140" spans="191:191" x14ac:dyDescent="0.2">
      <c r="GI48140" s="422"/>
    </row>
    <row r="48141" spans="191:191" x14ac:dyDescent="0.2">
      <c r="GI48141" s="422"/>
    </row>
    <row r="48142" spans="191:191" x14ac:dyDescent="0.2">
      <c r="GI48142" s="422"/>
    </row>
    <row r="48143" spans="191:191" x14ac:dyDescent="0.2">
      <c r="GI48143" s="422"/>
    </row>
    <row r="48144" spans="191:191" x14ac:dyDescent="0.2">
      <c r="GI48144" s="422"/>
    </row>
    <row r="48145" spans="191:191" x14ac:dyDescent="0.2">
      <c r="GI48145" s="422"/>
    </row>
    <row r="48146" spans="191:191" x14ac:dyDescent="0.2">
      <c r="GI48146" s="422"/>
    </row>
    <row r="48147" spans="191:191" x14ac:dyDescent="0.2">
      <c r="GI48147" s="422"/>
    </row>
    <row r="48148" spans="191:191" x14ac:dyDescent="0.2">
      <c r="GI48148" s="422"/>
    </row>
    <row r="48149" spans="191:191" x14ac:dyDescent="0.2">
      <c r="GI48149" s="422"/>
    </row>
    <row r="48150" spans="191:191" x14ac:dyDescent="0.2">
      <c r="GI48150" s="422"/>
    </row>
    <row r="48151" spans="191:191" x14ac:dyDescent="0.2">
      <c r="GI48151" s="422"/>
    </row>
    <row r="48152" spans="191:191" x14ac:dyDescent="0.2">
      <c r="GI48152" s="422"/>
    </row>
    <row r="48153" spans="191:191" x14ac:dyDescent="0.2">
      <c r="GI48153" s="422"/>
    </row>
    <row r="48154" spans="191:191" x14ac:dyDescent="0.2">
      <c r="GI48154" s="422"/>
    </row>
    <row r="48155" spans="191:191" x14ac:dyDescent="0.2">
      <c r="GI48155" s="422"/>
    </row>
    <row r="48156" spans="191:191" x14ac:dyDescent="0.2">
      <c r="GI48156" s="422"/>
    </row>
    <row r="48157" spans="191:191" x14ac:dyDescent="0.2">
      <c r="GI48157" s="422"/>
    </row>
    <row r="48158" spans="191:191" x14ac:dyDescent="0.2">
      <c r="GI48158" s="422"/>
    </row>
    <row r="48159" spans="191:191" x14ac:dyDescent="0.2">
      <c r="GI48159" s="422"/>
    </row>
    <row r="48160" spans="191:191" x14ac:dyDescent="0.2">
      <c r="GI48160" s="422"/>
    </row>
    <row r="48161" spans="191:191" x14ac:dyDescent="0.2">
      <c r="GI48161" s="422"/>
    </row>
    <row r="48162" spans="191:191" x14ac:dyDescent="0.2">
      <c r="GI48162" s="422"/>
    </row>
    <row r="48163" spans="191:191" x14ac:dyDescent="0.2">
      <c r="GI48163" s="422"/>
    </row>
    <row r="48164" spans="191:191" x14ac:dyDescent="0.2">
      <c r="GI48164" s="422"/>
    </row>
    <row r="48165" spans="191:191" x14ac:dyDescent="0.2">
      <c r="GI48165" s="422"/>
    </row>
    <row r="48166" spans="191:191" x14ac:dyDescent="0.2">
      <c r="GI48166" s="422"/>
    </row>
    <row r="48167" spans="191:191" x14ac:dyDescent="0.2">
      <c r="GI48167" s="422"/>
    </row>
    <row r="48168" spans="191:191" x14ac:dyDescent="0.2">
      <c r="GI48168" s="422"/>
    </row>
    <row r="48169" spans="191:191" x14ac:dyDescent="0.2">
      <c r="GI48169" s="422"/>
    </row>
    <row r="48170" spans="191:191" x14ac:dyDescent="0.2">
      <c r="GI48170" s="422"/>
    </row>
    <row r="48171" spans="191:191" x14ac:dyDescent="0.2">
      <c r="GI48171" s="422"/>
    </row>
    <row r="48172" spans="191:191" x14ac:dyDescent="0.2">
      <c r="GI48172" s="422"/>
    </row>
    <row r="48173" spans="191:191" x14ac:dyDescent="0.2">
      <c r="GI48173" s="422"/>
    </row>
    <row r="48174" spans="191:191" x14ac:dyDescent="0.2">
      <c r="GI48174" s="422"/>
    </row>
    <row r="48175" spans="191:191" x14ac:dyDescent="0.2">
      <c r="GI48175" s="422"/>
    </row>
    <row r="48176" spans="191:191" x14ac:dyDescent="0.2">
      <c r="GI48176" s="422"/>
    </row>
    <row r="48177" spans="191:191" x14ac:dyDescent="0.2">
      <c r="GI48177" s="422"/>
    </row>
    <row r="48178" spans="191:191" x14ac:dyDescent="0.2">
      <c r="GI48178" s="422"/>
    </row>
    <row r="48179" spans="191:191" x14ac:dyDescent="0.2">
      <c r="GI48179" s="422"/>
    </row>
    <row r="48180" spans="191:191" x14ac:dyDescent="0.2">
      <c r="GI48180" s="422"/>
    </row>
    <row r="48181" spans="191:191" x14ac:dyDescent="0.2">
      <c r="GI48181" s="422"/>
    </row>
    <row r="48182" spans="191:191" x14ac:dyDescent="0.2">
      <c r="GI48182" s="422"/>
    </row>
    <row r="48183" spans="191:191" x14ac:dyDescent="0.2">
      <c r="GI48183" s="422"/>
    </row>
    <row r="48184" spans="191:191" x14ac:dyDescent="0.2">
      <c r="GI48184" s="422"/>
    </row>
    <row r="48185" spans="191:191" x14ac:dyDescent="0.2">
      <c r="GI48185" s="422"/>
    </row>
    <row r="48186" spans="191:191" x14ac:dyDescent="0.2">
      <c r="GI48186" s="422"/>
    </row>
    <row r="48187" spans="191:191" x14ac:dyDescent="0.2">
      <c r="GI48187" s="422"/>
    </row>
    <row r="48188" spans="191:191" x14ac:dyDescent="0.2">
      <c r="GI48188" s="422"/>
    </row>
    <row r="48189" spans="191:191" x14ac:dyDescent="0.2">
      <c r="GI48189" s="422"/>
    </row>
    <row r="48190" spans="191:191" x14ac:dyDescent="0.2">
      <c r="GI48190" s="422"/>
    </row>
    <row r="48191" spans="191:191" x14ac:dyDescent="0.2">
      <c r="GI48191" s="422"/>
    </row>
    <row r="48192" spans="191:191" x14ac:dyDescent="0.2">
      <c r="GI48192" s="422"/>
    </row>
    <row r="48193" spans="191:191" x14ac:dyDescent="0.2">
      <c r="GI48193" s="422"/>
    </row>
    <row r="48194" spans="191:191" x14ac:dyDescent="0.2">
      <c r="GI48194" s="422"/>
    </row>
    <row r="48195" spans="191:191" x14ac:dyDescent="0.2">
      <c r="GI48195" s="422"/>
    </row>
    <row r="48196" spans="191:191" x14ac:dyDescent="0.2">
      <c r="GI48196" s="422"/>
    </row>
    <row r="48197" spans="191:191" x14ac:dyDescent="0.2">
      <c r="GI48197" s="422"/>
    </row>
    <row r="48198" spans="191:191" x14ac:dyDescent="0.2">
      <c r="GI48198" s="422"/>
    </row>
    <row r="48199" spans="191:191" x14ac:dyDescent="0.2">
      <c r="GI48199" s="422"/>
    </row>
    <row r="48200" spans="191:191" x14ac:dyDescent="0.2">
      <c r="GI48200" s="422"/>
    </row>
    <row r="48201" spans="191:191" x14ac:dyDescent="0.2">
      <c r="GI48201" s="422"/>
    </row>
    <row r="48202" spans="191:191" x14ac:dyDescent="0.2">
      <c r="GI48202" s="422"/>
    </row>
    <row r="48203" spans="191:191" x14ac:dyDescent="0.2">
      <c r="GI48203" s="422"/>
    </row>
    <row r="48204" spans="191:191" x14ac:dyDescent="0.2">
      <c r="GI48204" s="422"/>
    </row>
    <row r="48205" spans="191:191" x14ac:dyDescent="0.2">
      <c r="GI48205" s="422"/>
    </row>
    <row r="48206" spans="191:191" x14ac:dyDescent="0.2">
      <c r="GI48206" s="422"/>
    </row>
    <row r="48207" spans="191:191" x14ac:dyDescent="0.2">
      <c r="GI48207" s="422"/>
    </row>
    <row r="48208" spans="191:191" x14ac:dyDescent="0.2">
      <c r="GI48208" s="422"/>
    </row>
    <row r="48209" spans="191:191" x14ac:dyDescent="0.2">
      <c r="GI48209" s="422"/>
    </row>
    <row r="48210" spans="191:191" x14ac:dyDescent="0.2">
      <c r="GI48210" s="422"/>
    </row>
    <row r="48211" spans="191:191" x14ac:dyDescent="0.2">
      <c r="GI48211" s="422"/>
    </row>
    <row r="48212" spans="191:191" x14ac:dyDescent="0.2">
      <c r="GI48212" s="422"/>
    </row>
    <row r="48213" spans="191:191" x14ac:dyDescent="0.2">
      <c r="GI48213" s="422"/>
    </row>
    <row r="48214" spans="191:191" x14ac:dyDescent="0.2">
      <c r="GI48214" s="422"/>
    </row>
    <row r="48215" spans="191:191" x14ac:dyDescent="0.2">
      <c r="GI48215" s="422"/>
    </row>
    <row r="48216" spans="191:191" x14ac:dyDescent="0.2">
      <c r="GI48216" s="422"/>
    </row>
    <row r="48217" spans="191:191" x14ac:dyDescent="0.2">
      <c r="GI48217" s="422"/>
    </row>
    <row r="48218" spans="191:191" x14ac:dyDescent="0.2">
      <c r="GI48218" s="422"/>
    </row>
    <row r="48219" spans="191:191" x14ac:dyDescent="0.2">
      <c r="GI48219" s="422"/>
    </row>
    <row r="48220" spans="191:191" x14ac:dyDescent="0.2">
      <c r="GI48220" s="422"/>
    </row>
    <row r="48221" spans="191:191" x14ac:dyDescent="0.2">
      <c r="GI48221" s="422"/>
    </row>
    <row r="48222" spans="191:191" x14ac:dyDescent="0.2">
      <c r="GI48222" s="422"/>
    </row>
    <row r="48223" spans="191:191" x14ac:dyDescent="0.2">
      <c r="GI48223" s="422"/>
    </row>
    <row r="48224" spans="191:191" x14ac:dyDescent="0.2">
      <c r="GI48224" s="422"/>
    </row>
    <row r="48225" spans="191:191" x14ac:dyDescent="0.2">
      <c r="GI48225" s="422"/>
    </row>
    <row r="48226" spans="191:191" x14ac:dyDescent="0.2">
      <c r="GI48226" s="422"/>
    </row>
    <row r="48227" spans="191:191" x14ac:dyDescent="0.2">
      <c r="GI48227" s="422"/>
    </row>
    <row r="48228" spans="191:191" x14ac:dyDescent="0.2">
      <c r="GI48228" s="422"/>
    </row>
    <row r="48229" spans="191:191" x14ac:dyDescent="0.2">
      <c r="GI48229" s="422"/>
    </row>
    <row r="48230" spans="191:191" x14ac:dyDescent="0.2">
      <c r="GI48230" s="422"/>
    </row>
    <row r="48231" spans="191:191" x14ac:dyDescent="0.2">
      <c r="GI48231" s="422"/>
    </row>
    <row r="48232" spans="191:191" x14ac:dyDescent="0.2">
      <c r="GI48232" s="422"/>
    </row>
    <row r="48233" spans="191:191" x14ac:dyDescent="0.2">
      <c r="GI48233" s="422"/>
    </row>
    <row r="48234" spans="191:191" x14ac:dyDescent="0.2">
      <c r="GI48234" s="422"/>
    </row>
    <row r="48235" spans="191:191" x14ac:dyDescent="0.2">
      <c r="GI48235" s="422"/>
    </row>
    <row r="48236" spans="191:191" x14ac:dyDescent="0.2">
      <c r="GI48236" s="422"/>
    </row>
    <row r="48237" spans="191:191" x14ac:dyDescent="0.2">
      <c r="GI48237" s="422"/>
    </row>
    <row r="48238" spans="191:191" x14ac:dyDescent="0.2">
      <c r="GI48238" s="422"/>
    </row>
    <row r="48239" spans="191:191" x14ac:dyDescent="0.2">
      <c r="GI48239" s="422"/>
    </row>
    <row r="48240" spans="191:191" x14ac:dyDescent="0.2">
      <c r="GI48240" s="422"/>
    </row>
    <row r="48241" spans="191:191" x14ac:dyDescent="0.2">
      <c r="GI48241" s="422"/>
    </row>
    <row r="48242" spans="191:191" x14ac:dyDescent="0.2">
      <c r="GI48242" s="422"/>
    </row>
    <row r="48243" spans="191:191" x14ac:dyDescent="0.2">
      <c r="GI48243" s="422"/>
    </row>
    <row r="48244" spans="191:191" x14ac:dyDescent="0.2">
      <c r="GI48244" s="422"/>
    </row>
    <row r="48245" spans="191:191" x14ac:dyDescent="0.2">
      <c r="GI48245" s="422"/>
    </row>
    <row r="48246" spans="191:191" x14ac:dyDescent="0.2">
      <c r="GI48246" s="422"/>
    </row>
    <row r="48247" spans="191:191" x14ac:dyDescent="0.2">
      <c r="GI48247" s="422"/>
    </row>
    <row r="48248" spans="191:191" x14ac:dyDescent="0.2">
      <c r="GI48248" s="422"/>
    </row>
    <row r="48249" spans="191:191" x14ac:dyDescent="0.2">
      <c r="GI48249" s="422"/>
    </row>
    <row r="48250" spans="191:191" x14ac:dyDescent="0.2">
      <c r="GI48250" s="422"/>
    </row>
    <row r="48251" spans="191:191" x14ac:dyDescent="0.2">
      <c r="GI48251" s="422"/>
    </row>
    <row r="48252" spans="191:191" x14ac:dyDescent="0.2">
      <c r="GI48252" s="422"/>
    </row>
    <row r="48253" spans="191:191" x14ac:dyDescent="0.2">
      <c r="GI48253" s="422"/>
    </row>
    <row r="48254" spans="191:191" x14ac:dyDescent="0.2">
      <c r="GI48254" s="422"/>
    </row>
    <row r="48255" spans="191:191" x14ac:dyDescent="0.2">
      <c r="GI48255" s="422"/>
    </row>
    <row r="48256" spans="191:191" x14ac:dyDescent="0.2">
      <c r="GI48256" s="422"/>
    </row>
    <row r="48257" spans="191:191" x14ac:dyDescent="0.2">
      <c r="GI48257" s="422"/>
    </row>
    <row r="48258" spans="191:191" x14ac:dyDescent="0.2">
      <c r="GI48258" s="422"/>
    </row>
    <row r="48259" spans="191:191" x14ac:dyDescent="0.2">
      <c r="GI48259" s="422"/>
    </row>
    <row r="48260" spans="191:191" x14ac:dyDescent="0.2">
      <c r="GI48260" s="422"/>
    </row>
    <row r="48261" spans="191:191" x14ac:dyDescent="0.2">
      <c r="GI48261" s="422"/>
    </row>
    <row r="48262" spans="191:191" x14ac:dyDescent="0.2">
      <c r="GI48262" s="422"/>
    </row>
    <row r="48263" spans="191:191" x14ac:dyDescent="0.2">
      <c r="GI48263" s="422"/>
    </row>
    <row r="48264" spans="191:191" x14ac:dyDescent="0.2">
      <c r="GI48264" s="422"/>
    </row>
    <row r="48265" spans="191:191" x14ac:dyDescent="0.2">
      <c r="GI48265" s="422"/>
    </row>
    <row r="48266" spans="191:191" x14ac:dyDescent="0.2">
      <c r="GI48266" s="422"/>
    </row>
    <row r="48267" spans="191:191" x14ac:dyDescent="0.2">
      <c r="GI48267" s="422"/>
    </row>
    <row r="48268" spans="191:191" x14ac:dyDescent="0.2">
      <c r="GI48268" s="422"/>
    </row>
    <row r="48269" spans="191:191" x14ac:dyDescent="0.2">
      <c r="GI48269" s="422"/>
    </row>
    <row r="48270" spans="191:191" x14ac:dyDescent="0.2">
      <c r="GI48270" s="422"/>
    </row>
    <row r="48271" spans="191:191" x14ac:dyDescent="0.2">
      <c r="GI48271" s="422"/>
    </row>
    <row r="48272" spans="191:191" x14ac:dyDescent="0.2">
      <c r="GI48272" s="422"/>
    </row>
    <row r="48273" spans="191:191" x14ac:dyDescent="0.2">
      <c r="GI48273" s="422"/>
    </row>
    <row r="48274" spans="191:191" x14ac:dyDescent="0.2">
      <c r="GI48274" s="422"/>
    </row>
    <row r="48275" spans="191:191" x14ac:dyDescent="0.2">
      <c r="GI48275" s="422"/>
    </row>
    <row r="48276" spans="191:191" x14ac:dyDescent="0.2">
      <c r="GI48276" s="422"/>
    </row>
    <row r="48277" spans="191:191" x14ac:dyDescent="0.2">
      <c r="GI48277" s="422"/>
    </row>
    <row r="48278" spans="191:191" x14ac:dyDescent="0.2">
      <c r="GI48278" s="422"/>
    </row>
    <row r="48279" spans="191:191" x14ac:dyDescent="0.2">
      <c r="GI48279" s="422"/>
    </row>
    <row r="48280" spans="191:191" x14ac:dyDescent="0.2">
      <c r="GI48280" s="422"/>
    </row>
    <row r="48281" spans="191:191" x14ac:dyDescent="0.2">
      <c r="GI48281" s="422"/>
    </row>
    <row r="48282" spans="191:191" x14ac:dyDescent="0.2">
      <c r="GI48282" s="422"/>
    </row>
    <row r="48283" spans="191:191" x14ac:dyDescent="0.2">
      <c r="GI48283" s="422"/>
    </row>
    <row r="48284" spans="191:191" x14ac:dyDescent="0.2">
      <c r="GI48284" s="422"/>
    </row>
    <row r="48285" spans="191:191" x14ac:dyDescent="0.2">
      <c r="GI48285" s="422"/>
    </row>
    <row r="48286" spans="191:191" x14ac:dyDescent="0.2">
      <c r="GI48286" s="422"/>
    </row>
    <row r="48287" spans="191:191" x14ac:dyDescent="0.2">
      <c r="GI48287" s="422"/>
    </row>
    <row r="48288" spans="191:191" x14ac:dyDescent="0.2">
      <c r="GI48288" s="422"/>
    </row>
    <row r="48289" spans="191:191" x14ac:dyDescent="0.2">
      <c r="GI48289" s="422"/>
    </row>
    <row r="48290" spans="191:191" x14ac:dyDescent="0.2">
      <c r="GI48290" s="422"/>
    </row>
    <row r="48291" spans="191:191" x14ac:dyDescent="0.2">
      <c r="GI48291" s="422"/>
    </row>
    <row r="48292" spans="191:191" x14ac:dyDescent="0.2">
      <c r="GI48292" s="422"/>
    </row>
    <row r="48293" spans="191:191" x14ac:dyDescent="0.2">
      <c r="GI48293" s="422"/>
    </row>
    <row r="48294" spans="191:191" x14ac:dyDescent="0.2">
      <c r="GI48294" s="422"/>
    </row>
    <row r="48295" spans="191:191" x14ac:dyDescent="0.2">
      <c r="GI48295" s="422"/>
    </row>
    <row r="48296" spans="191:191" x14ac:dyDescent="0.2">
      <c r="GI48296" s="422"/>
    </row>
    <row r="48297" spans="191:191" x14ac:dyDescent="0.2">
      <c r="GI48297" s="422"/>
    </row>
    <row r="48298" spans="191:191" x14ac:dyDescent="0.2">
      <c r="GI48298" s="422"/>
    </row>
    <row r="48299" spans="191:191" x14ac:dyDescent="0.2">
      <c r="GI48299" s="422"/>
    </row>
    <row r="48300" spans="191:191" x14ac:dyDescent="0.2">
      <c r="GI48300" s="422"/>
    </row>
    <row r="48301" spans="191:191" x14ac:dyDescent="0.2">
      <c r="GI48301" s="422"/>
    </row>
    <row r="48302" spans="191:191" x14ac:dyDescent="0.2">
      <c r="GI48302" s="422"/>
    </row>
    <row r="48303" spans="191:191" x14ac:dyDescent="0.2">
      <c r="GI48303" s="422"/>
    </row>
    <row r="48304" spans="191:191" x14ac:dyDescent="0.2">
      <c r="GI48304" s="422"/>
    </row>
    <row r="48305" spans="191:191" x14ac:dyDescent="0.2">
      <c r="GI48305" s="422"/>
    </row>
    <row r="48306" spans="191:191" x14ac:dyDescent="0.2">
      <c r="GI48306" s="422"/>
    </row>
    <row r="48307" spans="191:191" x14ac:dyDescent="0.2">
      <c r="GI48307" s="422"/>
    </row>
    <row r="48308" spans="191:191" x14ac:dyDescent="0.2">
      <c r="GI48308" s="422"/>
    </row>
    <row r="48309" spans="191:191" x14ac:dyDescent="0.2">
      <c r="GI48309" s="422"/>
    </row>
    <row r="48310" spans="191:191" x14ac:dyDescent="0.2">
      <c r="GI48310" s="422"/>
    </row>
    <row r="48311" spans="191:191" x14ac:dyDescent="0.2">
      <c r="GI48311" s="422"/>
    </row>
    <row r="48312" spans="191:191" x14ac:dyDescent="0.2">
      <c r="GI48312" s="422"/>
    </row>
    <row r="48313" spans="191:191" x14ac:dyDescent="0.2">
      <c r="GI48313" s="422"/>
    </row>
    <row r="48314" spans="191:191" x14ac:dyDescent="0.2">
      <c r="GI48314" s="422"/>
    </row>
    <row r="48315" spans="191:191" x14ac:dyDescent="0.2">
      <c r="GI48315" s="422"/>
    </row>
    <row r="48316" spans="191:191" x14ac:dyDescent="0.2">
      <c r="GI48316" s="422"/>
    </row>
    <row r="48317" spans="191:191" x14ac:dyDescent="0.2">
      <c r="GI48317" s="422"/>
    </row>
    <row r="48318" spans="191:191" x14ac:dyDescent="0.2">
      <c r="GI48318" s="422"/>
    </row>
    <row r="48319" spans="191:191" x14ac:dyDescent="0.2">
      <c r="GI48319" s="422"/>
    </row>
    <row r="48320" spans="191:191" x14ac:dyDescent="0.2">
      <c r="GI48320" s="422"/>
    </row>
    <row r="48321" spans="191:191" x14ac:dyDescent="0.2">
      <c r="GI48321" s="422"/>
    </row>
    <row r="48322" spans="191:191" x14ac:dyDescent="0.2">
      <c r="GI48322" s="422"/>
    </row>
    <row r="48323" spans="191:191" x14ac:dyDescent="0.2">
      <c r="GI48323" s="422"/>
    </row>
    <row r="48324" spans="191:191" x14ac:dyDescent="0.2">
      <c r="GI48324" s="422"/>
    </row>
    <row r="48325" spans="191:191" x14ac:dyDescent="0.2">
      <c r="GI48325" s="422"/>
    </row>
    <row r="48326" spans="191:191" x14ac:dyDescent="0.2">
      <c r="GI48326" s="422"/>
    </row>
    <row r="48327" spans="191:191" x14ac:dyDescent="0.2">
      <c r="GI48327" s="422"/>
    </row>
    <row r="48328" spans="191:191" x14ac:dyDescent="0.2">
      <c r="GI48328" s="422"/>
    </row>
    <row r="48329" spans="191:191" x14ac:dyDescent="0.2">
      <c r="GI48329" s="422"/>
    </row>
    <row r="48330" spans="191:191" x14ac:dyDescent="0.2">
      <c r="GI48330" s="422"/>
    </row>
    <row r="48331" spans="191:191" x14ac:dyDescent="0.2">
      <c r="GI48331" s="422"/>
    </row>
    <row r="48332" spans="191:191" x14ac:dyDescent="0.2">
      <c r="GI48332" s="422"/>
    </row>
    <row r="48333" spans="191:191" x14ac:dyDescent="0.2">
      <c r="GI48333" s="422"/>
    </row>
    <row r="48334" spans="191:191" x14ac:dyDescent="0.2">
      <c r="GI48334" s="422"/>
    </row>
    <row r="48335" spans="191:191" x14ac:dyDescent="0.2">
      <c r="GI48335" s="422"/>
    </row>
    <row r="48336" spans="191:191" x14ac:dyDescent="0.2">
      <c r="GI48336" s="422"/>
    </row>
    <row r="48337" spans="191:191" x14ac:dyDescent="0.2">
      <c r="GI48337" s="422"/>
    </row>
    <row r="48338" spans="191:191" x14ac:dyDescent="0.2">
      <c r="GI48338" s="422"/>
    </row>
    <row r="48339" spans="191:191" x14ac:dyDescent="0.2">
      <c r="GI48339" s="422"/>
    </row>
    <row r="48340" spans="191:191" x14ac:dyDescent="0.2">
      <c r="GI48340" s="422"/>
    </row>
    <row r="48341" spans="191:191" x14ac:dyDescent="0.2">
      <c r="GI48341" s="422"/>
    </row>
    <row r="48342" spans="191:191" x14ac:dyDescent="0.2">
      <c r="GI48342" s="422"/>
    </row>
    <row r="48343" spans="191:191" x14ac:dyDescent="0.2">
      <c r="GI48343" s="422"/>
    </row>
    <row r="48344" spans="191:191" x14ac:dyDescent="0.2">
      <c r="GI48344" s="422"/>
    </row>
    <row r="48345" spans="191:191" x14ac:dyDescent="0.2">
      <c r="GI48345" s="422"/>
    </row>
    <row r="48346" spans="191:191" x14ac:dyDescent="0.2">
      <c r="GI48346" s="422"/>
    </row>
    <row r="48347" spans="191:191" x14ac:dyDescent="0.2">
      <c r="GI48347" s="422"/>
    </row>
    <row r="48348" spans="191:191" x14ac:dyDescent="0.2">
      <c r="GI48348" s="422"/>
    </row>
    <row r="48349" spans="191:191" x14ac:dyDescent="0.2">
      <c r="GI48349" s="422"/>
    </row>
    <row r="48350" spans="191:191" x14ac:dyDescent="0.2">
      <c r="GI48350" s="422"/>
    </row>
    <row r="48351" spans="191:191" x14ac:dyDescent="0.2">
      <c r="GI48351" s="422"/>
    </row>
    <row r="48352" spans="191:191" x14ac:dyDescent="0.2">
      <c r="GI48352" s="422"/>
    </row>
    <row r="48353" spans="191:191" x14ac:dyDescent="0.2">
      <c r="GI48353" s="422"/>
    </row>
    <row r="48354" spans="191:191" x14ac:dyDescent="0.2">
      <c r="GI48354" s="422"/>
    </row>
    <row r="48355" spans="191:191" x14ac:dyDescent="0.2">
      <c r="GI48355" s="422"/>
    </row>
    <row r="48356" spans="191:191" x14ac:dyDescent="0.2">
      <c r="GI48356" s="422"/>
    </row>
    <row r="48357" spans="191:191" x14ac:dyDescent="0.2">
      <c r="GI48357" s="422"/>
    </row>
    <row r="48358" spans="191:191" x14ac:dyDescent="0.2">
      <c r="GI48358" s="422"/>
    </row>
    <row r="48359" spans="191:191" x14ac:dyDescent="0.2">
      <c r="GI48359" s="422"/>
    </row>
    <row r="48360" spans="191:191" x14ac:dyDescent="0.2">
      <c r="GI48360" s="422"/>
    </row>
    <row r="48361" spans="191:191" x14ac:dyDescent="0.2">
      <c r="GI48361" s="422"/>
    </row>
    <row r="48362" spans="191:191" x14ac:dyDescent="0.2">
      <c r="GI48362" s="422"/>
    </row>
    <row r="48363" spans="191:191" x14ac:dyDescent="0.2">
      <c r="GI48363" s="422"/>
    </row>
    <row r="48364" spans="191:191" x14ac:dyDescent="0.2">
      <c r="GI48364" s="422"/>
    </row>
    <row r="48365" spans="191:191" x14ac:dyDescent="0.2">
      <c r="GI48365" s="422"/>
    </row>
    <row r="48366" spans="191:191" x14ac:dyDescent="0.2">
      <c r="GI48366" s="422"/>
    </row>
    <row r="48367" spans="191:191" x14ac:dyDescent="0.2">
      <c r="GI48367" s="422"/>
    </row>
    <row r="48368" spans="191:191" x14ac:dyDescent="0.2">
      <c r="GI48368" s="422"/>
    </row>
    <row r="48369" spans="191:191" x14ac:dyDescent="0.2">
      <c r="GI48369" s="422"/>
    </row>
    <row r="48370" spans="191:191" x14ac:dyDescent="0.2">
      <c r="GI48370" s="422"/>
    </row>
    <row r="48371" spans="191:191" x14ac:dyDescent="0.2">
      <c r="GI48371" s="422"/>
    </row>
    <row r="48372" spans="191:191" x14ac:dyDescent="0.2">
      <c r="GI48372" s="422"/>
    </row>
    <row r="48373" spans="191:191" x14ac:dyDescent="0.2">
      <c r="GI48373" s="422"/>
    </row>
    <row r="48374" spans="191:191" x14ac:dyDescent="0.2">
      <c r="GI48374" s="422"/>
    </row>
    <row r="48375" spans="191:191" x14ac:dyDescent="0.2">
      <c r="GI48375" s="422"/>
    </row>
    <row r="48376" spans="191:191" x14ac:dyDescent="0.2">
      <c r="GI48376" s="422"/>
    </row>
    <row r="48377" spans="191:191" x14ac:dyDescent="0.2">
      <c r="GI48377" s="422"/>
    </row>
    <row r="48378" spans="191:191" x14ac:dyDescent="0.2">
      <c r="GI48378" s="422"/>
    </row>
    <row r="48379" spans="191:191" x14ac:dyDescent="0.2">
      <c r="GI48379" s="422"/>
    </row>
    <row r="48380" spans="191:191" x14ac:dyDescent="0.2">
      <c r="GI48380" s="422"/>
    </row>
    <row r="48381" spans="191:191" x14ac:dyDescent="0.2">
      <c r="GI48381" s="422"/>
    </row>
    <row r="48382" spans="191:191" x14ac:dyDescent="0.2">
      <c r="GI48382" s="422"/>
    </row>
    <row r="48383" spans="191:191" x14ac:dyDescent="0.2">
      <c r="GI48383" s="422"/>
    </row>
    <row r="48384" spans="191:191" x14ac:dyDescent="0.2">
      <c r="GI48384" s="422"/>
    </row>
    <row r="48385" spans="191:191" x14ac:dyDescent="0.2">
      <c r="GI48385" s="422"/>
    </row>
    <row r="48386" spans="191:191" x14ac:dyDescent="0.2">
      <c r="GI48386" s="422"/>
    </row>
    <row r="48387" spans="191:191" x14ac:dyDescent="0.2">
      <c r="GI48387" s="422"/>
    </row>
    <row r="48388" spans="191:191" x14ac:dyDescent="0.2">
      <c r="GI48388" s="422"/>
    </row>
    <row r="48389" spans="191:191" x14ac:dyDescent="0.2">
      <c r="GI48389" s="422"/>
    </row>
    <row r="48390" spans="191:191" x14ac:dyDescent="0.2">
      <c r="GI48390" s="422"/>
    </row>
    <row r="48391" spans="191:191" x14ac:dyDescent="0.2">
      <c r="GI48391" s="422"/>
    </row>
    <row r="48392" spans="191:191" x14ac:dyDescent="0.2">
      <c r="GI48392" s="422"/>
    </row>
    <row r="48393" spans="191:191" x14ac:dyDescent="0.2">
      <c r="GI48393" s="422"/>
    </row>
    <row r="48394" spans="191:191" x14ac:dyDescent="0.2">
      <c r="GI48394" s="422"/>
    </row>
    <row r="48395" spans="191:191" x14ac:dyDescent="0.2">
      <c r="GI48395" s="422"/>
    </row>
    <row r="48396" spans="191:191" x14ac:dyDescent="0.2">
      <c r="GI48396" s="422"/>
    </row>
    <row r="48397" spans="191:191" x14ac:dyDescent="0.2">
      <c r="GI48397" s="422"/>
    </row>
    <row r="48398" spans="191:191" x14ac:dyDescent="0.2">
      <c r="GI48398" s="422"/>
    </row>
    <row r="48399" spans="191:191" x14ac:dyDescent="0.2">
      <c r="GI48399" s="422"/>
    </row>
    <row r="48400" spans="191:191" x14ac:dyDescent="0.2">
      <c r="GI48400" s="422"/>
    </row>
    <row r="48401" spans="191:191" x14ac:dyDescent="0.2">
      <c r="GI48401" s="422"/>
    </row>
    <row r="48402" spans="191:191" x14ac:dyDescent="0.2">
      <c r="GI48402" s="422"/>
    </row>
    <row r="48403" spans="191:191" x14ac:dyDescent="0.2">
      <c r="GI48403" s="422"/>
    </row>
    <row r="48404" spans="191:191" x14ac:dyDescent="0.2">
      <c r="GI48404" s="422"/>
    </row>
    <row r="48405" spans="191:191" x14ac:dyDescent="0.2">
      <c r="GI48405" s="422"/>
    </row>
    <row r="48406" spans="191:191" x14ac:dyDescent="0.2">
      <c r="GI48406" s="422"/>
    </row>
    <row r="48407" spans="191:191" x14ac:dyDescent="0.2">
      <c r="GI48407" s="422"/>
    </row>
    <row r="48408" spans="191:191" x14ac:dyDescent="0.2">
      <c r="GI48408" s="422"/>
    </row>
    <row r="48409" spans="191:191" x14ac:dyDescent="0.2">
      <c r="GI48409" s="422"/>
    </row>
    <row r="48410" spans="191:191" x14ac:dyDescent="0.2">
      <c r="GI48410" s="422"/>
    </row>
    <row r="48411" spans="191:191" x14ac:dyDescent="0.2">
      <c r="GI48411" s="422"/>
    </row>
    <row r="48412" spans="191:191" x14ac:dyDescent="0.2">
      <c r="GI48412" s="422"/>
    </row>
    <row r="48413" spans="191:191" x14ac:dyDescent="0.2">
      <c r="GI48413" s="422"/>
    </row>
    <row r="48414" spans="191:191" x14ac:dyDescent="0.2">
      <c r="GI48414" s="422"/>
    </row>
    <row r="48415" spans="191:191" x14ac:dyDescent="0.2">
      <c r="GI48415" s="422"/>
    </row>
    <row r="48416" spans="191:191" x14ac:dyDescent="0.2">
      <c r="GI48416" s="422"/>
    </row>
    <row r="48417" spans="191:191" x14ac:dyDescent="0.2">
      <c r="GI48417" s="422"/>
    </row>
    <row r="48418" spans="191:191" x14ac:dyDescent="0.2">
      <c r="GI48418" s="422"/>
    </row>
    <row r="48419" spans="191:191" x14ac:dyDescent="0.2">
      <c r="GI48419" s="422"/>
    </row>
    <row r="48420" spans="191:191" x14ac:dyDescent="0.2">
      <c r="GI48420" s="422"/>
    </row>
    <row r="48421" spans="191:191" x14ac:dyDescent="0.2">
      <c r="GI48421" s="422"/>
    </row>
    <row r="48422" spans="191:191" x14ac:dyDescent="0.2">
      <c r="GI48422" s="422"/>
    </row>
    <row r="48423" spans="191:191" x14ac:dyDescent="0.2">
      <c r="GI48423" s="422"/>
    </row>
    <row r="48424" spans="191:191" x14ac:dyDescent="0.2">
      <c r="GI48424" s="422"/>
    </row>
    <row r="48425" spans="191:191" x14ac:dyDescent="0.2">
      <c r="GI48425" s="422"/>
    </row>
    <row r="48426" spans="191:191" x14ac:dyDescent="0.2">
      <c r="GI48426" s="422"/>
    </row>
    <row r="48427" spans="191:191" x14ac:dyDescent="0.2">
      <c r="GI48427" s="422"/>
    </row>
    <row r="48428" spans="191:191" x14ac:dyDescent="0.2">
      <c r="GI48428" s="422"/>
    </row>
    <row r="48429" spans="191:191" x14ac:dyDescent="0.2">
      <c r="GI48429" s="422"/>
    </row>
    <row r="48430" spans="191:191" x14ac:dyDescent="0.2">
      <c r="GI48430" s="422"/>
    </row>
    <row r="48431" spans="191:191" x14ac:dyDescent="0.2">
      <c r="GI48431" s="422"/>
    </row>
    <row r="48432" spans="191:191" x14ac:dyDescent="0.2">
      <c r="GI48432" s="422"/>
    </row>
    <row r="48433" spans="191:191" x14ac:dyDescent="0.2">
      <c r="GI48433" s="422"/>
    </row>
    <row r="48434" spans="191:191" x14ac:dyDescent="0.2">
      <c r="GI48434" s="422"/>
    </row>
    <row r="48435" spans="191:191" x14ac:dyDescent="0.2">
      <c r="GI48435" s="422"/>
    </row>
    <row r="48436" spans="191:191" x14ac:dyDescent="0.2">
      <c r="GI48436" s="422"/>
    </row>
    <row r="48437" spans="191:191" x14ac:dyDescent="0.2">
      <c r="GI48437" s="422"/>
    </row>
    <row r="48438" spans="191:191" x14ac:dyDescent="0.2">
      <c r="GI48438" s="422"/>
    </row>
    <row r="48439" spans="191:191" x14ac:dyDescent="0.2">
      <c r="GI48439" s="422"/>
    </row>
    <row r="48440" spans="191:191" x14ac:dyDescent="0.2">
      <c r="GI48440" s="422"/>
    </row>
    <row r="48441" spans="191:191" x14ac:dyDescent="0.2">
      <c r="GI48441" s="422"/>
    </row>
    <row r="48442" spans="191:191" x14ac:dyDescent="0.2">
      <c r="GI48442" s="422"/>
    </row>
    <row r="48443" spans="191:191" x14ac:dyDescent="0.2">
      <c r="GI48443" s="422"/>
    </row>
    <row r="48444" spans="191:191" x14ac:dyDescent="0.2">
      <c r="GI48444" s="422"/>
    </row>
    <row r="48445" spans="191:191" x14ac:dyDescent="0.2">
      <c r="GI48445" s="422"/>
    </row>
    <row r="48446" spans="191:191" x14ac:dyDescent="0.2">
      <c r="GI48446" s="422"/>
    </row>
    <row r="48447" spans="191:191" x14ac:dyDescent="0.2">
      <c r="GI48447" s="422"/>
    </row>
    <row r="48448" spans="191:191" x14ac:dyDescent="0.2">
      <c r="GI48448" s="422"/>
    </row>
    <row r="48449" spans="191:191" x14ac:dyDescent="0.2">
      <c r="GI48449" s="422"/>
    </row>
    <row r="48450" spans="191:191" x14ac:dyDescent="0.2">
      <c r="GI48450" s="422"/>
    </row>
    <row r="48451" spans="191:191" x14ac:dyDescent="0.2">
      <c r="GI48451" s="422"/>
    </row>
    <row r="48452" spans="191:191" x14ac:dyDescent="0.2">
      <c r="GI48452" s="422"/>
    </row>
    <row r="48453" spans="191:191" x14ac:dyDescent="0.2">
      <c r="GI48453" s="422"/>
    </row>
    <row r="48454" spans="191:191" x14ac:dyDescent="0.2">
      <c r="GI48454" s="422"/>
    </row>
    <row r="48455" spans="191:191" x14ac:dyDescent="0.2">
      <c r="GI48455" s="422"/>
    </row>
    <row r="48456" spans="191:191" x14ac:dyDescent="0.2">
      <c r="GI48456" s="422"/>
    </row>
    <row r="48457" spans="191:191" x14ac:dyDescent="0.2">
      <c r="GI48457" s="422"/>
    </row>
    <row r="48458" spans="191:191" x14ac:dyDescent="0.2">
      <c r="GI48458" s="422"/>
    </row>
    <row r="48459" spans="191:191" x14ac:dyDescent="0.2">
      <c r="GI48459" s="422"/>
    </row>
    <row r="48460" spans="191:191" x14ac:dyDescent="0.2">
      <c r="GI48460" s="422"/>
    </row>
    <row r="48461" spans="191:191" x14ac:dyDescent="0.2">
      <c r="GI48461" s="422"/>
    </row>
    <row r="48462" spans="191:191" x14ac:dyDescent="0.2">
      <c r="GI48462" s="422"/>
    </row>
    <row r="48463" spans="191:191" x14ac:dyDescent="0.2">
      <c r="GI48463" s="422"/>
    </row>
    <row r="48464" spans="191:191" x14ac:dyDescent="0.2">
      <c r="GI48464" s="422"/>
    </row>
    <row r="48465" spans="191:191" x14ac:dyDescent="0.2">
      <c r="GI48465" s="422"/>
    </row>
    <row r="48466" spans="191:191" x14ac:dyDescent="0.2">
      <c r="GI48466" s="422"/>
    </row>
    <row r="48467" spans="191:191" x14ac:dyDescent="0.2">
      <c r="GI48467" s="422"/>
    </row>
    <row r="48468" spans="191:191" x14ac:dyDescent="0.2">
      <c r="GI48468" s="422"/>
    </row>
    <row r="48469" spans="191:191" x14ac:dyDescent="0.2">
      <c r="GI48469" s="422"/>
    </row>
    <row r="48470" spans="191:191" x14ac:dyDescent="0.2">
      <c r="GI48470" s="422"/>
    </row>
    <row r="48471" spans="191:191" x14ac:dyDescent="0.2">
      <c r="GI48471" s="422"/>
    </row>
    <row r="48472" spans="191:191" x14ac:dyDescent="0.2">
      <c r="GI48472" s="422"/>
    </row>
    <row r="48473" spans="191:191" x14ac:dyDescent="0.2">
      <c r="GI48473" s="422"/>
    </row>
    <row r="48474" spans="191:191" x14ac:dyDescent="0.2">
      <c r="GI48474" s="422"/>
    </row>
    <row r="48475" spans="191:191" x14ac:dyDescent="0.2">
      <c r="GI48475" s="422"/>
    </row>
    <row r="48476" spans="191:191" x14ac:dyDescent="0.2">
      <c r="GI48476" s="422"/>
    </row>
    <row r="48477" spans="191:191" x14ac:dyDescent="0.2">
      <c r="GI48477" s="422"/>
    </row>
    <row r="48478" spans="191:191" x14ac:dyDescent="0.2">
      <c r="GI48478" s="422"/>
    </row>
    <row r="48479" spans="191:191" x14ac:dyDescent="0.2">
      <c r="GI48479" s="422"/>
    </row>
    <row r="48480" spans="191:191" x14ac:dyDescent="0.2">
      <c r="GI48480" s="422"/>
    </row>
    <row r="48481" spans="191:191" x14ac:dyDescent="0.2">
      <c r="GI48481" s="422"/>
    </row>
    <row r="48482" spans="191:191" x14ac:dyDescent="0.2">
      <c r="GI48482" s="422"/>
    </row>
    <row r="48483" spans="191:191" x14ac:dyDescent="0.2">
      <c r="GI48483" s="422"/>
    </row>
    <row r="48484" spans="191:191" x14ac:dyDescent="0.2">
      <c r="GI48484" s="422"/>
    </row>
    <row r="48485" spans="191:191" x14ac:dyDescent="0.2">
      <c r="GI48485" s="422"/>
    </row>
    <row r="48486" spans="191:191" x14ac:dyDescent="0.2">
      <c r="GI48486" s="422"/>
    </row>
    <row r="48487" spans="191:191" x14ac:dyDescent="0.2">
      <c r="GI48487" s="422"/>
    </row>
    <row r="48488" spans="191:191" x14ac:dyDescent="0.2">
      <c r="GI48488" s="422"/>
    </row>
    <row r="48489" spans="191:191" x14ac:dyDescent="0.2">
      <c r="GI48489" s="422"/>
    </row>
    <row r="48490" spans="191:191" x14ac:dyDescent="0.2">
      <c r="GI48490" s="422"/>
    </row>
    <row r="48491" spans="191:191" x14ac:dyDescent="0.2">
      <c r="GI48491" s="422"/>
    </row>
    <row r="48492" spans="191:191" x14ac:dyDescent="0.2">
      <c r="GI48492" s="422"/>
    </row>
    <row r="48493" spans="191:191" x14ac:dyDescent="0.2">
      <c r="GI48493" s="422"/>
    </row>
    <row r="48494" spans="191:191" x14ac:dyDescent="0.2">
      <c r="GI48494" s="422"/>
    </row>
    <row r="48495" spans="191:191" x14ac:dyDescent="0.2">
      <c r="GI48495" s="422"/>
    </row>
    <row r="48496" spans="191:191" x14ac:dyDescent="0.2">
      <c r="GI48496" s="422"/>
    </row>
    <row r="48497" spans="191:191" x14ac:dyDescent="0.2">
      <c r="GI48497" s="422"/>
    </row>
    <row r="48498" spans="191:191" x14ac:dyDescent="0.2">
      <c r="GI48498" s="422"/>
    </row>
    <row r="48499" spans="191:191" x14ac:dyDescent="0.2">
      <c r="GI48499" s="422"/>
    </row>
    <row r="48500" spans="191:191" x14ac:dyDescent="0.2">
      <c r="GI48500" s="422"/>
    </row>
    <row r="48501" spans="191:191" x14ac:dyDescent="0.2">
      <c r="GI48501" s="422"/>
    </row>
    <row r="48502" spans="191:191" x14ac:dyDescent="0.2">
      <c r="GI48502" s="422"/>
    </row>
    <row r="48503" spans="191:191" x14ac:dyDescent="0.2">
      <c r="GI48503" s="422"/>
    </row>
    <row r="48504" spans="191:191" x14ac:dyDescent="0.2">
      <c r="GI48504" s="422"/>
    </row>
    <row r="48505" spans="191:191" x14ac:dyDescent="0.2">
      <c r="GI48505" s="422"/>
    </row>
    <row r="48506" spans="191:191" x14ac:dyDescent="0.2">
      <c r="GI48506" s="422"/>
    </row>
    <row r="48507" spans="191:191" x14ac:dyDescent="0.2">
      <c r="GI48507" s="422"/>
    </row>
    <row r="48508" spans="191:191" x14ac:dyDescent="0.2">
      <c r="GI48508" s="422"/>
    </row>
    <row r="48509" spans="191:191" x14ac:dyDescent="0.2">
      <c r="GI48509" s="422"/>
    </row>
    <row r="48510" spans="191:191" x14ac:dyDescent="0.2">
      <c r="GI48510" s="422"/>
    </row>
    <row r="48511" spans="191:191" x14ac:dyDescent="0.2">
      <c r="GI48511" s="422"/>
    </row>
    <row r="48512" spans="191:191" x14ac:dyDescent="0.2">
      <c r="GI48512" s="422"/>
    </row>
    <row r="48513" spans="191:191" x14ac:dyDescent="0.2">
      <c r="GI48513" s="422"/>
    </row>
    <row r="48514" spans="191:191" x14ac:dyDescent="0.2">
      <c r="GI48514" s="422"/>
    </row>
    <row r="48515" spans="191:191" x14ac:dyDescent="0.2">
      <c r="GI48515" s="422"/>
    </row>
    <row r="48516" spans="191:191" x14ac:dyDescent="0.2">
      <c r="GI48516" s="422"/>
    </row>
    <row r="48517" spans="191:191" x14ac:dyDescent="0.2">
      <c r="GI48517" s="422"/>
    </row>
    <row r="48518" spans="191:191" x14ac:dyDescent="0.2">
      <c r="GI48518" s="422"/>
    </row>
    <row r="48519" spans="191:191" x14ac:dyDescent="0.2">
      <c r="GI48519" s="422"/>
    </row>
    <row r="48520" spans="191:191" x14ac:dyDescent="0.2">
      <c r="GI48520" s="422"/>
    </row>
    <row r="48521" spans="191:191" x14ac:dyDescent="0.2">
      <c r="GI48521" s="422"/>
    </row>
    <row r="48522" spans="191:191" x14ac:dyDescent="0.2">
      <c r="GI48522" s="422"/>
    </row>
    <row r="48523" spans="191:191" x14ac:dyDescent="0.2">
      <c r="GI48523" s="422"/>
    </row>
    <row r="48524" spans="191:191" x14ac:dyDescent="0.2">
      <c r="GI48524" s="422"/>
    </row>
    <row r="48525" spans="191:191" x14ac:dyDescent="0.2">
      <c r="GI48525" s="422"/>
    </row>
    <row r="48526" spans="191:191" x14ac:dyDescent="0.2">
      <c r="GI48526" s="422"/>
    </row>
    <row r="48527" spans="191:191" x14ac:dyDescent="0.2">
      <c r="GI48527" s="422"/>
    </row>
    <row r="48528" spans="191:191" x14ac:dyDescent="0.2">
      <c r="GI48528" s="422"/>
    </row>
    <row r="48529" spans="191:191" x14ac:dyDescent="0.2">
      <c r="GI48529" s="422"/>
    </row>
    <row r="48530" spans="191:191" x14ac:dyDescent="0.2">
      <c r="GI48530" s="422"/>
    </row>
    <row r="48531" spans="191:191" x14ac:dyDescent="0.2">
      <c r="GI48531" s="422"/>
    </row>
    <row r="48532" spans="191:191" x14ac:dyDescent="0.2">
      <c r="GI48532" s="422"/>
    </row>
    <row r="48533" spans="191:191" x14ac:dyDescent="0.2">
      <c r="GI48533" s="422"/>
    </row>
    <row r="48534" spans="191:191" x14ac:dyDescent="0.2">
      <c r="GI48534" s="422"/>
    </row>
    <row r="48535" spans="191:191" x14ac:dyDescent="0.2">
      <c r="GI48535" s="422"/>
    </row>
    <row r="48536" spans="191:191" x14ac:dyDescent="0.2">
      <c r="GI48536" s="422"/>
    </row>
    <row r="48537" spans="191:191" x14ac:dyDescent="0.2">
      <c r="GI48537" s="422"/>
    </row>
    <row r="48538" spans="191:191" x14ac:dyDescent="0.2">
      <c r="GI48538" s="422"/>
    </row>
    <row r="48539" spans="191:191" x14ac:dyDescent="0.2">
      <c r="GI48539" s="422"/>
    </row>
    <row r="48540" spans="191:191" x14ac:dyDescent="0.2">
      <c r="GI48540" s="422"/>
    </row>
    <row r="48541" spans="191:191" x14ac:dyDescent="0.2">
      <c r="GI48541" s="422"/>
    </row>
    <row r="48542" spans="191:191" x14ac:dyDescent="0.2">
      <c r="GI48542" s="422"/>
    </row>
    <row r="48543" spans="191:191" x14ac:dyDescent="0.2">
      <c r="GI48543" s="422"/>
    </row>
    <row r="48544" spans="191:191" x14ac:dyDescent="0.2">
      <c r="GI48544" s="422"/>
    </row>
    <row r="48545" spans="191:191" x14ac:dyDescent="0.2">
      <c r="GI48545" s="422"/>
    </row>
    <row r="48546" spans="191:191" x14ac:dyDescent="0.2">
      <c r="GI48546" s="422"/>
    </row>
    <row r="48547" spans="191:191" x14ac:dyDescent="0.2">
      <c r="GI48547" s="422"/>
    </row>
    <row r="48548" spans="191:191" x14ac:dyDescent="0.2">
      <c r="GI48548" s="422"/>
    </row>
    <row r="48549" spans="191:191" x14ac:dyDescent="0.2">
      <c r="GI48549" s="422"/>
    </row>
    <row r="48550" spans="191:191" x14ac:dyDescent="0.2">
      <c r="GI48550" s="422"/>
    </row>
    <row r="48551" spans="191:191" x14ac:dyDescent="0.2">
      <c r="GI48551" s="422"/>
    </row>
    <row r="48552" spans="191:191" x14ac:dyDescent="0.2">
      <c r="GI48552" s="422"/>
    </row>
    <row r="48553" spans="191:191" x14ac:dyDescent="0.2">
      <c r="GI48553" s="422"/>
    </row>
    <row r="48554" spans="191:191" x14ac:dyDescent="0.2">
      <c r="GI48554" s="422"/>
    </row>
    <row r="48555" spans="191:191" x14ac:dyDescent="0.2">
      <c r="GI48555" s="422"/>
    </row>
    <row r="48556" spans="191:191" x14ac:dyDescent="0.2">
      <c r="GI48556" s="422"/>
    </row>
    <row r="48557" spans="191:191" x14ac:dyDescent="0.2">
      <c r="GI48557" s="422"/>
    </row>
    <row r="48558" spans="191:191" x14ac:dyDescent="0.2">
      <c r="GI48558" s="422"/>
    </row>
    <row r="48559" spans="191:191" x14ac:dyDescent="0.2">
      <c r="GI48559" s="422"/>
    </row>
    <row r="48560" spans="191:191" x14ac:dyDescent="0.2">
      <c r="GI48560" s="422"/>
    </row>
    <row r="48561" spans="191:191" x14ac:dyDescent="0.2">
      <c r="GI48561" s="422"/>
    </row>
    <row r="48562" spans="191:191" x14ac:dyDescent="0.2">
      <c r="GI48562" s="422"/>
    </row>
    <row r="48563" spans="191:191" x14ac:dyDescent="0.2">
      <c r="GI48563" s="422"/>
    </row>
    <row r="48564" spans="191:191" x14ac:dyDescent="0.2">
      <c r="GI48564" s="422"/>
    </row>
    <row r="48565" spans="191:191" x14ac:dyDescent="0.2">
      <c r="GI48565" s="422"/>
    </row>
    <row r="48566" spans="191:191" x14ac:dyDescent="0.2">
      <c r="GI48566" s="422"/>
    </row>
    <row r="48567" spans="191:191" x14ac:dyDescent="0.2">
      <c r="GI48567" s="422"/>
    </row>
    <row r="48568" spans="191:191" x14ac:dyDescent="0.2">
      <c r="GI48568" s="422"/>
    </row>
    <row r="48569" spans="191:191" x14ac:dyDescent="0.2">
      <c r="GI48569" s="422"/>
    </row>
    <row r="48570" spans="191:191" x14ac:dyDescent="0.2">
      <c r="GI48570" s="422"/>
    </row>
    <row r="48571" spans="191:191" x14ac:dyDescent="0.2">
      <c r="GI48571" s="422"/>
    </row>
    <row r="48572" spans="191:191" x14ac:dyDescent="0.2">
      <c r="GI48572" s="422"/>
    </row>
    <row r="48573" spans="191:191" x14ac:dyDescent="0.2">
      <c r="GI48573" s="422"/>
    </row>
    <row r="48574" spans="191:191" x14ac:dyDescent="0.2">
      <c r="GI48574" s="422"/>
    </row>
    <row r="48575" spans="191:191" x14ac:dyDescent="0.2">
      <c r="GI48575" s="422"/>
    </row>
    <row r="48576" spans="191:191" x14ac:dyDescent="0.2">
      <c r="GI48576" s="422"/>
    </row>
    <row r="48577" spans="191:191" x14ac:dyDescent="0.2">
      <c r="GI48577" s="422"/>
    </row>
    <row r="48578" spans="191:191" x14ac:dyDescent="0.2">
      <c r="GI48578" s="422"/>
    </row>
    <row r="48579" spans="191:191" x14ac:dyDescent="0.2">
      <c r="GI48579" s="422"/>
    </row>
    <row r="48580" spans="191:191" x14ac:dyDescent="0.2">
      <c r="GI48580" s="422"/>
    </row>
    <row r="48581" spans="191:191" x14ac:dyDescent="0.2">
      <c r="GI48581" s="422"/>
    </row>
    <row r="48582" spans="191:191" x14ac:dyDescent="0.2">
      <c r="GI48582" s="422"/>
    </row>
    <row r="48583" spans="191:191" x14ac:dyDescent="0.2">
      <c r="GI48583" s="422"/>
    </row>
    <row r="48584" spans="191:191" x14ac:dyDescent="0.2">
      <c r="GI48584" s="422"/>
    </row>
    <row r="48585" spans="191:191" x14ac:dyDescent="0.2">
      <c r="GI48585" s="422"/>
    </row>
    <row r="48586" spans="191:191" x14ac:dyDescent="0.2">
      <c r="GI48586" s="422"/>
    </row>
    <row r="48587" spans="191:191" x14ac:dyDescent="0.2">
      <c r="GI48587" s="422"/>
    </row>
    <row r="48588" spans="191:191" x14ac:dyDescent="0.2">
      <c r="GI48588" s="422"/>
    </row>
    <row r="48589" spans="191:191" x14ac:dyDescent="0.2">
      <c r="GI48589" s="422"/>
    </row>
    <row r="48590" spans="191:191" x14ac:dyDescent="0.2">
      <c r="GI48590" s="422"/>
    </row>
    <row r="48591" spans="191:191" x14ac:dyDescent="0.2">
      <c r="GI48591" s="422"/>
    </row>
    <row r="48592" spans="191:191" x14ac:dyDescent="0.2">
      <c r="GI48592" s="422"/>
    </row>
    <row r="48593" spans="191:191" x14ac:dyDescent="0.2">
      <c r="GI48593" s="422"/>
    </row>
    <row r="48594" spans="191:191" x14ac:dyDescent="0.2">
      <c r="GI48594" s="422"/>
    </row>
    <row r="48595" spans="191:191" x14ac:dyDescent="0.2">
      <c r="GI48595" s="422"/>
    </row>
    <row r="48596" spans="191:191" x14ac:dyDescent="0.2">
      <c r="GI48596" s="422"/>
    </row>
    <row r="48597" spans="191:191" x14ac:dyDescent="0.2">
      <c r="GI48597" s="422"/>
    </row>
    <row r="48598" spans="191:191" x14ac:dyDescent="0.2">
      <c r="GI48598" s="422"/>
    </row>
    <row r="48599" spans="191:191" x14ac:dyDescent="0.2">
      <c r="GI48599" s="422"/>
    </row>
    <row r="48600" spans="191:191" x14ac:dyDescent="0.2">
      <c r="GI48600" s="422"/>
    </row>
    <row r="48601" spans="191:191" x14ac:dyDescent="0.2">
      <c r="GI48601" s="422"/>
    </row>
    <row r="48602" spans="191:191" x14ac:dyDescent="0.2">
      <c r="GI48602" s="422"/>
    </row>
    <row r="48603" spans="191:191" x14ac:dyDescent="0.2">
      <c r="GI48603" s="422"/>
    </row>
    <row r="48604" spans="191:191" x14ac:dyDescent="0.2">
      <c r="GI48604" s="422"/>
    </row>
    <row r="48605" spans="191:191" x14ac:dyDescent="0.2">
      <c r="GI48605" s="422"/>
    </row>
    <row r="48606" spans="191:191" x14ac:dyDescent="0.2">
      <c r="GI48606" s="422"/>
    </row>
    <row r="48607" spans="191:191" x14ac:dyDescent="0.2">
      <c r="GI48607" s="422"/>
    </row>
    <row r="48608" spans="191:191" x14ac:dyDescent="0.2">
      <c r="GI48608" s="422"/>
    </row>
    <row r="48609" spans="191:191" x14ac:dyDescent="0.2">
      <c r="GI48609" s="422"/>
    </row>
    <row r="48610" spans="191:191" x14ac:dyDescent="0.2">
      <c r="GI48610" s="422"/>
    </row>
    <row r="48611" spans="191:191" x14ac:dyDescent="0.2">
      <c r="GI48611" s="422"/>
    </row>
    <row r="48612" spans="191:191" x14ac:dyDescent="0.2">
      <c r="GI48612" s="422"/>
    </row>
    <row r="48613" spans="191:191" x14ac:dyDescent="0.2">
      <c r="GI48613" s="422"/>
    </row>
    <row r="48614" spans="191:191" x14ac:dyDescent="0.2">
      <c r="GI48614" s="422"/>
    </row>
    <row r="48615" spans="191:191" x14ac:dyDescent="0.2">
      <c r="GI48615" s="422"/>
    </row>
    <row r="48616" spans="191:191" x14ac:dyDescent="0.2">
      <c r="GI48616" s="422"/>
    </row>
    <row r="48617" spans="191:191" x14ac:dyDescent="0.2">
      <c r="GI48617" s="422"/>
    </row>
    <row r="48618" spans="191:191" x14ac:dyDescent="0.2">
      <c r="GI48618" s="422"/>
    </row>
    <row r="48619" spans="191:191" x14ac:dyDescent="0.2">
      <c r="GI48619" s="422"/>
    </row>
    <row r="48620" spans="191:191" x14ac:dyDescent="0.2">
      <c r="GI48620" s="422"/>
    </row>
    <row r="48621" spans="191:191" x14ac:dyDescent="0.2">
      <c r="GI48621" s="422"/>
    </row>
    <row r="48622" spans="191:191" x14ac:dyDescent="0.2">
      <c r="GI48622" s="422"/>
    </row>
    <row r="48623" spans="191:191" x14ac:dyDescent="0.2">
      <c r="GI48623" s="422"/>
    </row>
    <row r="48624" spans="191:191" x14ac:dyDescent="0.2">
      <c r="GI48624" s="422"/>
    </row>
    <row r="48625" spans="191:191" x14ac:dyDescent="0.2">
      <c r="GI48625" s="422"/>
    </row>
    <row r="48626" spans="191:191" x14ac:dyDescent="0.2">
      <c r="GI48626" s="422"/>
    </row>
    <row r="48627" spans="191:191" x14ac:dyDescent="0.2">
      <c r="GI48627" s="422"/>
    </row>
    <row r="48628" spans="191:191" x14ac:dyDescent="0.2">
      <c r="GI48628" s="422"/>
    </row>
    <row r="48629" spans="191:191" x14ac:dyDescent="0.2">
      <c r="GI48629" s="422"/>
    </row>
    <row r="48630" spans="191:191" x14ac:dyDescent="0.2">
      <c r="GI48630" s="422"/>
    </row>
    <row r="48631" spans="191:191" x14ac:dyDescent="0.2">
      <c r="GI48631" s="422"/>
    </row>
    <row r="48632" spans="191:191" x14ac:dyDescent="0.2">
      <c r="GI48632" s="422"/>
    </row>
    <row r="48633" spans="191:191" x14ac:dyDescent="0.2">
      <c r="GI48633" s="422"/>
    </row>
    <row r="48634" spans="191:191" x14ac:dyDescent="0.2">
      <c r="GI48634" s="422"/>
    </row>
    <row r="48635" spans="191:191" x14ac:dyDescent="0.2">
      <c r="GI48635" s="422"/>
    </row>
    <row r="48636" spans="191:191" x14ac:dyDescent="0.2">
      <c r="GI48636" s="422"/>
    </row>
    <row r="48637" spans="191:191" x14ac:dyDescent="0.2">
      <c r="GI48637" s="422"/>
    </row>
    <row r="48638" spans="191:191" x14ac:dyDescent="0.2">
      <c r="GI48638" s="422"/>
    </row>
    <row r="48639" spans="191:191" x14ac:dyDescent="0.2">
      <c r="GI48639" s="422"/>
    </row>
    <row r="48640" spans="191:191" x14ac:dyDescent="0.2">
      <c r="GI48640" s="422"/>
    </row>
    <row r="48641" spans="191:191" x14ac:dyDescent="0.2">
      <c r="GI48641" s="422"/>
    </row>
    <row r="48642" spans="191:191" x14ac:dyDescent="0.2">
      <c r="GI48642" s="422"/>
    </row>
    <row r="48643" spans="191:191" x14ac:dyDescent="0.2">
      <c r="GI48643" s="422"/>
    </row>
    <row r="48644" spans="191:191" x14ac:dyDescent="0.2">
      <c r="GI48644" s="422"/>
    </row>
    <row r="48645" spans="191:191" x14ac:dyDescent="0.2">
      <c r="GI48645" s="422"/>
    </row>
    <row r="48646" spans="191:191" x14ac:dyDescent="0.2">
      <c r="GI48646" s="422"/>
    </row>
    <row r="48647" spans="191:191" x14ac:dyDescent="0.2">
      <c r="GI48647" s="422"/>
    </row>
    <row r="48648" spans="191:191" x14ac:dyDescent="0.2">
      <c r="GI48648" s="422"/>
    </row>
    <row r="48649" spans="191:191" x14ac:dyDescent="0.2">
      <c r="GI48649" s="422"/>
    </row>
    <row r="48650" spans="191:191" x14ac:dyDescent="0.2">
      <c r="GI48650" s="422"/>
    </row>
    <row r="48651" spans="191:191" x14ac:dyDescent="0.2">
      <c r="GI48651" s="422"/>
    </row>
    <row r="48652" spans="191:191" x14ac:dyDescent="0.2">
      <c r="GI48652" s="422"/>
    </row>
    <row r="48653" spans="191:191" x14ac:dyDescent="0.2">
      <c r="GI48653" s="422"/>
    </row>
    <row r="48654" spans="191:191" x14ac:dyDescent="0.2">
      <c r="GI48654" s="422"/>
    </row>
    <row r="48655" spans="191:191" x14ac:dyDescent="0.2">
      <c r="GI48655" s="422"/>
    </row>
    <row r="48656" spans="191:191" x14ac:dyDescent="0.2">
      <c r="GI48656" s="422"/>
    </row>
    <row r="48657" spans="191:191" x14ac:dyDescent="0.2">
      <c r="GI48657" s="422"/>
    </row>
    <row r="48658" spans="191:191" x14ac:dyDescent="0.2">
      <c r="GI48658" s="422"/>
    </row>
    <row r="48659" spans="191:191" x14ac:dyDescent="0.2">
      <c r="GI48659" s="422"/>
    </row>
    <row r="48660" spans="191:191" x14ac:dyDescent="0.2">
      <c r="GI48660" s="422"/>
    </row>
    <row r="48661" spans="191:191" x14ac:dyDescent="0.2">
      <c r="GI48661" s="422"/>
    </row>
    <row r="48662" spans="191:191" x14ac:dyDescent="0.2">
      <c r="GI48662" s="422"/>
    </row>
    <row r="48663" spans="191:191" x14ac:dyDescent="0.2">
      <c r="GI48663" s="422"/>
    </row>
    <row r="48664" spans="191:191" x14ac:dyDescent="0.2">
      <c r="GI48664" s="422"/>
    </row>
    <row r="48665" spans="191:191" x14ac:dyDescent="0.2">
      <c r="GI48665" s="422"/>
    </row>
    <row r="48666" spans="191:191" x14ac:dyDescent="0.2">
      <c r="GI48666" s="422"/>
    </row>
    <row r="48667" spans="191:191" x14ac:dyDescent="0.2">
      <c r="GI48667" s="422"/>
    </row>
    <row r="48668" spans="191:191" x14ac:dyDescent="0.2">
      <c r="GI48668" s="422"/>
    </row>
    <row r="48669" spans="191:191" x14ac:dyDescent="0.2">
      <c r="GI48669" s="422"/>
    </row>
    <row r="48670" spans="191:191" x14ac:dyDescent="0.2">
      <c r="GI48670" s="422"/>
    </row>
    <row r="48671" spans="191:191" x14ac:dyDescent="0.2">
      <c r="GI48671" s="422"/>
    </row>
    <row r="48672" spans="191:191" x14ac:dyDescent="0.2">
      <c r="GI48672" s="422"/>
    </row>
    <row r="48673" spans="191:191" x14ac:dyDescent="0.2">
      <c r="GI48673" s="422"/>
    </row>
    <row r="48674" spans="191:191" x14ac:dyDescent="0.2">
      <c r="GI48674" s="422"/>
    </row>
    <row r="48675" spans="191:191" x14ac:dyDescent="0.2">
      <c r="GI48675" s="422"/>
    </row>
    <row r="48676" spans="191:191" x14ac:dyDescent="0.2">
      <c r="GI48676" s="422"/>
    </row>
    <row r="48677" spans="191:191" x14ac:dyDescent="0.2">
      <c r="GI48677" s="422"/>
    </row>
    <row r="48678" spans="191:191" x14ac:dyDescent="0.2">
      <c r="GI48678" s="422"/>
    </row>
    <row r="48679" spans="191:191" x14ac:dyDescent="0.2">
      <c r="GI48679" s="422"/>
    </row>
    <row r="48680" spans="191:191" x14ac:dyDescent="0.2">
      <c r="GI48680" s="422"/>
    </row>
    <row r="48681" spans="191:191" x14ac:dyDescent="0.2">
      <c r="GI48681" s="422"/>
    </row>
    <row r="48682" spans="191:191" x14ac:dyDescent="0.2">
      <c r="GI48682" s="422"/>
    </row>
    <row r="48683" spans="191:191" x14ac:dyDescent="0.2">
      <c r="GI48683" s="422"/>
    </row>
    <row r="48684" spans="191:191" x14ac:dyDescent="0.2">
      <c r="GI48684" s="422"/>
    </row>
    <row r="48685" spans="191:191" x14ac:dyDescent="0.2">
      <c r="GI48685" s="422"/>
    </row>
    <row r="48686" spans="191:191" x14ac:dyDescent="0.2">
      <c r="GI48686" s="422"/>
    </row>
    <row r="48687" spans="191:191" x14ac:dyDescent="0.2">
      <c r="GI48687" s="422"/>
    </row>
    <row r="48688" spans="191:191" x14ac:dyDescent="0.2">
      <c r="GI48688" s="422"/>
    </row>
    <row r="48689" spans="191:191" x14ac:dyDescent="0.2">
      <c r="GI48689" s="422"/>
    </row>
    <row r="48690" spans="191:191" x14ac:dyDescent="0.2">
      <c r="GI48690" s="422"/>
    </row>
    <row r="48691" spans="191:191" x14ac:dyDescent="0.2">
      <c r="GI48691" s="422"/>
    </row>
    <row r="48692" spans="191:191" x14ac:dyDescent="0.2">
      <c r="GI48692" s="422"/>
    </row>
    <row r="48693" spans="191:191" x14ac:dyDescent="0.2">
      <c r="GI48693" s="422"/>
    </row>
    <row r="48694" spans="191:191" x14ac:dyDescent="0.2">
      <c r="GI48694" s="422"/>
    </row>
    <row r="48695" spans="191:191" x14ac:dyDescent="0.2">
      <c r="GI48695" s="422"/>
    </row>
    <row r="48696" spans="191:191" x14ac:dyDescent="0.2">
      <c r="GI48696" s="422"/>
    </row>
    <row r="48697" spans="191:191" x14ac:dyDescent="0.2">
      <c r="GI48697" s="422"/>
    </row>
    <row r="48698" spans="191:191" x14ac:dyDescent="0.2">
      <c r="GI48698" s="422"/>
    </row>
    <row r="48699" spans="191:191" x14ac:dyDescent="0.2">
      <c r="GI48699" s="422"/>
    </row>
    <row r="48700" spans="191:191" x14ac:dyDescent="0.2">
      <c r="GI48700" s="422"/>
    </row>
    <row r="48701" spans="191:191" x14ac:dyDescent="0.2">
      <c r="GI48701" s="422"/>
    </row>
    <row r="48702" spans="191:191" x14ac:dyDescent="0.2">
      <c r="GI48702" s="422"/>
    </row>
    <row r="48703" spans="191:191" x14ac:dyDescent="0.2">
      <c r="GI48703" s="422"/>
    </row>
    <row r="48704" spans="191:191" x14ac:dyDescent="0.2">
      <c r="GI48704" s="422"/>
    </row>
    <row r="48705" spans="191:191" x14ac:dyDescent="0.2">
      <c r="GI48705" s="422"/>
    </row>
    <row r="48706" spans="191:191" x14ac:dyDescent="0.2">
      <c r="GI48706" s="422"/>
    </row>
    <row r="48707" spans="191:191" x14ac:dyDescent="0.2">
      <c r="GI48707" s="422"/>
    </row>
    <row r="48708" spans="191:191" x14ac:dyDescent="0.2">
      <c r="GI48708" s="422"/>
    </row>
    <row r="48709" spans="191:191" x14ac:dyDescent="0.2">
      <c r="GI48709" s="422"/>
    </row>
    <row r="48710" spans="191:191" x14ac:dyDescent="0.2">
      <c r="GI48710" s="422"/>
    </row>
    <row r="48711" spans="191:191" x14ac:dyDescent="0.2">
      <c r="GI48711" s="422"/>
    </row>
    <row r="48712" spans="191:191" x14ac:dyDescent="0.2">
      <c r="GI48712" s="422"/>
    </row>
    <row r="48713" spans="191:191" x14ac:dyDescent="0.2">
      <c r="GI48713" s="422"/>
    </row>
    <row r="48714" spans="191:191" x14ac:dyDescent="0.2">
      <c r="GI48714" s="422"/>
    </row>
    <row r="48715" spans="191:191" x14ac:dyDescent="0.2">
      <c r="GI48715" s="422"/>
    </row>
    <row r="48716" spans="191:191" x14ac:dyDescent="0.2">
      <c r="GI48716" s="422"/>
    </row>
    <row r="48717" spans="191:191" x14ac:dyDescent="0.2">
      <c r="GI48717" s="422"/>
    </row>
    <row r="48718" spans="191:191" x14ac:dyDescent="0.2">
      <c r="GI48718" s="422"/>
    </row>
    <row r="48719" spans="191:191" x14ac:dyDescent="0.2">
      <c r="GI48719" s="422"/>
    </row>
    <row r="48720" spans="191:191" x14ac:dyDescent="0.2">
      <c r="GI48720" s="422"/>
    </row>
    <row r="48721" spans="191:191" x14ac:dyDescent="0.2">
      <c r="GI48721" s="422"/>
    </row>
    <row r="48722" spans="191:191" x14ac:dyDescent="0.2">
      <c r="GI48722" s="422"/>
    </row>
    <row r="48723" spans="191:191" x14ac:dyDescent="0.2">
      <c r="GI48723" s="422"/>
    </row>
    <row r="48724" spans="191:191" x14ac:dyDescent="0.2">
      <c r="GI48724" s="422"/>
    </row>
    <row r="48725" spans="191:191" x14ac:dyDescent="0.2">
      <c r="GI48725" s="422"/>
    </row>
    <row r="48726" spans="191:191" x14ac:dyDescent="0.2">
      <c r="GI48726" s="422"/>
    </row>
    <row r="48727" spans="191:191" x14ac:dyDescent="0.2">
      <c r="GI48727" s="422"/>
    </row>
    <row r="48728" spans="191:191" x14ac:dyDescent="0.2">
      <c r="GI48728" s="422"/>
    </row>
    <row r="48729" spans="191:191" x14ac:dyDescent="0.2">
      <c r="GI48729" s="422"/>
    </row>
    <row r="48730" spans="191:191" x14ac:dyDescent="0.2">
      <c r="GI48730" s="422"/>
    </row>
    <row r="48731" spans="191:191" x14ac:dyDescent="0.2">
      <c r="GI48731" s="422"/>
    </row>
    <row r="48732" spans="191:191" x14ac:dyDescent="0.2">
      <c r="GI48732" s="422"/>
    </row>
    <row r="48733" spans="191:191" x14ac:dyDescent="0.2">
      <c r="GI48733" s="422"/>
    </row>
    <row r="48734" spans="191:191" x14ac:dyDescent="0.2">
      <c r="GI48734" s="422"/>
    </row>
    <row r="48735" spans="191:191" x14ac:dyDescent="0.2">
      <c r="GI48735" s="422"/>
    </row>
    <row r="48736" spans="191:191" x14ac:dyDescent="0.2">
      <c r="GI48736" s="422"/>
    </row>
    <row r="48737" spans="191:191" x14ac:dyDescent="0.2">
      <c r="GI48737" s="422"/>
    </row>
    <row r="48738" spans="191:191" x14ac:dyDescent="0.2">
      <c r="GI48738" s="422"/>
    </row>
    <row r="48739" spans="191:191" x14ac:dyDescent="0.2">
      <c r="GI48739" s="422"/>
    </row>
    <row r="48740" spans="191:191" x14ac:dyDescent="0.2">
      <c r="GI48740" s="422"/>
    </row>
    <row r="48741" spans="191:191" x14ac:dyDescent="0.2">
      <c r="GI48741" s="422"/>
    </row>
    <row r="48742" spans="191:191" x14ac:dyDescent="0.2">
      <c r="GI48742" s="422"/>
    </row>
    <row r="48743" spans="191:191" x14ac:dyDescent="0.2">
      <c r="GI48743" s="422"/>
    </row>
    <row r="48744" spans="191:191" x14ac:dyDescent="0.2">
      <c r="GI48744" s="422"/>
    </row>
    <row r="48745" spans="191:191" x14ac:dyDescent="0.2">
      <c r="GI48745" s="422"/>
    </row>
    <row r="48746" spans="191:191" x14ac:dyDescent="0.2">
      <c r="GI48746" s="422"/>
    </row>
    <row r="48747" spans="191:191" x14ac:dyDescent="0.2">
      <c r="GI48747" s="422"/>
    </row>
    <row r="48748" spans="191:191" x14ac:dyDescent="0.2">
      <c r="GI48748" s="422"/>
    </row>
    <row r="48749" spans="191:191" x14ac:dyDescent="0.2">
      <c r="GI48749" s="422"/>
    </row>
    <row r="48750" spans="191:191" x14ac:dyDescent="0.2">
      <c r="GI48750" s="422"/>
    </row>
    <row r="48751" spans="191:191" x14ac:dyDescent="0.2">
      <c r="GI48751" s="422"/>
    </row>
    <row r="48752" spans="191:191" x14ac:dyDescent="0.2">
      <c r="GI48752" s="422"/>
    </row>
    <row r="48753" spans="191:191" x14ac:dyDescent="0.2">
      <c r="GI48753" s="422"/>
    </row>
    <row r="48754" spans="191:191" x14ac:dyDescent="0.2">
      <c r="GI48754" s="422"/>
    </row>
    <row r="48755" spans="191:191" x14ac:dyDescent="0.2">
      <c r="GI48755" s="422"/>
    </row>
    <row r="48756" spans="191:191" x14ac:dyDescent="0.2">
      <c r="GI48756" s="422"/>
    </row>
    <row r="48757" spans="191:191" x14ac:dyDescent="0.2">
      <c r="GI48757" s="422"/>
    </row>
    <row r="48758" spans="191:191" x14ac:dyDescent="0.2">
      <c r="GI48758" s="422"/>
    </row>
    <row r="48759" spans="191:191" x14ac:dyDescent="0.2">
      <c r="GI48759" s="422"/>
    </row>
    <row r="48760" spans="191:191" x14ac:dyDescent="0.2">
      <c r="GI48760" s="422"/>
    </row>
    <row r="48761" spans="191:191" x14ac:dyDescent="0.2">
      <c r="GI48761" s="422"/>
    </row>
    <row r="48762" spans="191:191" x14ac:dyDescent="0.2">
      <c r="GI48762" s="422"/>
    </row>
    <row r="48763" spans="191:191" x14ac:dyDescent="0.2">
      <c r="GI48763" s="422"/>
    </row>
    <row r="48764" spans="191:191" x14ac:dyDescent="0.2">
      <c r="GI48764" s="422"/>
    </row>
    <row r="48765" spans="191:191" x14ac:dyDescent="0.2">
      <c r="GI48765" s="422"/>
    </row>
    <row r="48766" spans="191:191" x14ac:dyDescent="0.2">
      <c r="GI48766" s="422"/>
    </row>
    <row r="48767" spans="191:191" x14ac:dyDescent="0.2">
      <c r="GI48767" s="422"/>
    </row>
    <row r="48768" spans="191:191" x14ac:dyDescent="0.2">
      <c r="GI48768" s="422"/>
    </row>
    <row r="48769" spans="191:191" x14ac:dyDescent="0.2">
      <c r="GI48769" s="422"/>
    </row>
    <row r="48770" spans="191:191" x14ac:dyDescent="0.2">
      <c r="GI48770" s="422"/>
    </row>
    <row r="48771" spans="191:191" x14ac:dyDescent="0.2">
      <c r="GI48771" s="422"/>
    </row>
    <row r="48772" spans="191:191" x14ac:dyDescent="0.2">
      <c r="GI48772" s="422"/>
    </row>
    <row r="48773" spans="191:191" x14ac:dyDescent="0.2">
      <c r="GI48773" s="422"/>
    </row>
    <row r="48774" spans="191:191" x14ac:dyDescent="0.2">
      <c r="GI48774" s="422"/>
    </row>
    <row r="48775" spans="191:191" x14ac:dyDescent="0.2">
      <c r="GI48775" s="422"/>
    </row>
    <row r="48776" spans="191:191" x14ac:dyDescent="0.2">
      <c r="GI48776" s="422"/>
    </row>
    <row r="48777" spans="191:191" x14ac:dyDescent="0.2">
      <c r="GI48777" s="422"/>
    </row>
    <row r="48778" spans="191:191" x14ac:dyDescent="0.2">
      <c r="GI48778" s="422"/>
    </row>
    <row r="48779" spans="191:191" x14ac:dyDescent="0.2">
      <c r="GI48779" s="422"/>
    </row>
    <row r="48780" spans="191:191" x14ac:dyDescent="0.2">
      <c r="GI48780" s="422"/>
    </row>
    <row r="48781" spans="191:191" x14ac:dyDescent="0.2">
      <c r="GI48781" s="422"/>
    </row>
    <row r="48782" spans="191:191" x14ac:dyDescent="0.2">
      <c r="GI48782" s="422"/>
    </row>
    <row r="48783" spans="191:191" x14ac:dyDescent="0.2">
      <c r="GI48783" s="422"/>
    </row>
    <row r="48784" spans="191:191" x14ac:dyDescent="0.2">
      <c r="GI48784" s="422"/>
    </row>
    <row r="48785" spans="191:191" x14ac:dyDescent="0.2">
      <c r="GI48785" s="422"/>
    </row>
    <row r="48786" spans="191:191" x14ac:dyDescent="0.2">
      <c r="GI48786" s="422"/>
    </row>
    <row r="48787" spans="191:191" x14ac:dyDescent="0.2">
      <c r="GI48787" s="422"/>
    </row>
    <row r="48788" spans="191:191" x14ac:dyDescent="0.2">
      <c r="GI48788" s="422"/>
    </row>
    <row r="48789" spans="191:191" x14ac:dyDescent="0.2">
      <c r="GI48789" s="422"/>
    </row>
    <row r="48790" spans="191:191" x14ac:dyDescent="0.2">
      <c r="GI48790" s="422"/>
    </row>
    <row r="48791" spans="191:191" x14ac:dyDescent="0.2">
      <c r="GI48791" s="422"/>
    </row>
    <row r="48792" spans="191:191" x14ac:dyDescent="0.2">
      <c r="GI48792" s="422"/>
    </row>
    <row r="48793" spans="191:191" x14ac:dyDescent="0.2">
      <c r="GI48793" s="422"/>
    </row>
    <row r="48794" spans="191:191" x14ac:dyDescent="0.2">
      <c r="GI48794" s="422"/>
    </row>
    <row r="48795" spans="191:191" x14ac:dyDescent="0.2">
      <c r="GI48795" s="422"/>
    </row>
    <row r="48796" spans="191:191" x14ac:dyDescent="0.2">
      <c r="GI48796" s="422"/>
    </row>
    <row r="48797" spans="191:191" x14ac:dyDescent="0.2">
      <c r="GI48797" s="422"/>
    </row>
    <row r="48798" spans="191:191" x14ac:dyDescent="0.2">
      <c r="GI48798" s="422"/>
    </row>
    <row r="48799" spans="191:191" x14ac:dyDescent="0.2">
      <c r="GI48799" s="422"/>
    </row>
    <row r="48800" spans="191:191" x14ac:dyDescent="0.2">
      <c r="GI48800" s="422"/>
    </row>
    <row r="48801" spans="191:191" x14ac:dyDescent="0.2">
      <c r="GI48801" s="422"/>
    </row>
    <row r="48802" spans="191:191" x14ac:dyDescent="0.2">
      <c r="GI48802" s="422"/>
    </row>
    <row r="48803" spans="191:191" x14ac:dyDescent="0.2">
      <c r="GI48803" s="422"/>
    </row>
    <row r="48804" spans="191:191" x14ac:dyDescent="0.2">
      <c r="GI48804" s="422"/>
    </row>
    <row r="48805" spans="191:191" x14ac:dyDescent="0.2">
      <c r="GI48805" s="422"/>
    </row>
    <row r="48806" spans="191:191" x14ac:dyDescent="0.2">
      <c r="GI48806" s="422"/>
    </row>
    <row r="48807" spans="191:191" x14ac:dyDescent="0.2">
      <c r="GI48807" s="422"/>
    </row>
    <row r="48808" spans="191:191" x14ac:dyDescent="0.2">
      <c r="GI48808" s="422"/>
    </row>
    <row r="48809" spans="191:191" x14ac:dyDescent="0.2">
      <c r="GI48809" s="422"/>
    </row>
    <row r="48810" spans="191:191" x14ac:dyDescent="0.2">
      <c r="GI48810" s="422"/>
    </row>
    <row r="48811" spans="191:191" x14ac:dyDescent="0.2">
      <c r="GI48811" s="422"/>
    </row>
    <row r="48812" spans="191:191" x14ac:dyDescent="0.2">
      <c r="GI48812" s="422"/>
    </row>
    <row r="48813" spans="191:191" x14ac:dyDescent="0.2">
      <c r="GI48813" s="422"/>
    </row>
    <row r="48814" spans="191:191" x14ac:dyDescent="0.2">
      <c r="GI48814" s="422"/>
    </row>
    <row r="48815" spans="191:191" x14ac:dyDescent="0.2">
      <c r="GI48815" s="422"/>
    </row>
    <row r="48816" spans="191:191" x14ac:dyDescent="0.2">
      <c r="GI48816" s="422"/>
    </row>
    <row r="48817" spans="191:191" x14ac:dyDescent="0.2">
      <c r="GI48817" s="422"/>
    </row>
    <row r="48818" spans="191:191" x14ac:dyDescent="0.2">
      <c r="GI48818" s="422"/>
    </row>
    <row r="48819" spans="191:191" x14ac:dyDescent="0.2">
      <c r="GI48819" s="422"/>
    </row>
    <row r="48820" spans="191:191" x14ac:dyDescent="0.2">
      <c r="GI48820" s="422"/>
    </row>
    <row r="48821" spans="191:191" x14ac:dyDescent="0.2">
      <c r="GI48821" s="422"/>
    </row>
    <row r="48822" spans="191:191" x14ac:dyDescent="0.2">
      <c r="GI48822" s="422"/>
    </row>
    <row r="48823" spans="191:191" x14ac:dyDescent="0.2">
      <c r="GI48823" s="422"/>
    </row>
    <row r="48824" spans="191:191" x14ac:dyDescent="0.2">
      <c r="GI48824" s="422"/>
    </row>
    <row r="48825" spans="191:191" x14ac:dyDescent="0.2">
      <c r="GI48825" s="422"/>
    </row>
    <row r="48826" spans="191:191" x14ac:dyDescent="0.2">
      <c r="GI48826" s="422"/>
    </row>
    <row r="48827" spans="191:191" x14ac:dyDescent="0.2">
      <c r="GI48827" s="422"/>
    </row>
    <row r="48828" spans="191:191" x14ac:dyDescent="0.2">
      <c r="GI48828" s="422"/>
    </row>
    <row r="48829" spans="191:191" x14ac:dyDescent="0.2">
      <c r="GI48829" s="422"/>
    </row>
    <row r="48830" spans="191:191" x14ac:dyDescent="0.2">
      <c r="GI48830" s="422"/>
    </row>
    <row r="48831" spans="191:191" x14ac:dyDescent="0.2">
      <c r="GI48831" s="422"/>
    </row>
    <row r="48832" spans="191:191" x14ac:dyDescent="0.2">
      <c r="GI48832" s="422"/>
    </row>
    <row r="48833" spans="191:191" x14ac:dyDescent="0.2">
      <c r="GI48833" s="422"/>
    </row>
    <row r="48834" spans="191:191" x14ac:dyDescent="0.2">
      <c r="GI48834" s="422"/>
    </row>
    <row r="48835" spans="191:191" x14ac:dyDescent="0.2">
      <c r="GI48835" s="422"/>
    </row>
    <row r="48836" spans="191:191" x14ac:dyDescent="0.2">
      <c r="GI48836" s="422"/>
    </row>
    <row r="48837" spans="191:191" x14ac:dyDescent="0.2">
      <c r="GI48837" s="422"/>
    </row>
    <row r="48838" spans="191:191" x14ac:dyDescent="0.2">
      <c r="GI48838" s="422"/>
    </row>
    <row r="48839" spans="191:191" x14ac:dyDescent="0.2">
      <c r="GI48839" s="422"/>
    </row>
    <row r="48840" spans="191:191" x14ac:dyDescent="0.2">
      <c r="GI48840" s="422"/>
    </row>
    <row r="48841" spans="191:191" x14ac:dyDescent="0.2">
      <c r="GI48841" s="422"/>
    </row>
    <row r="48842" spans="191:191" x14ac:dyDescent="0.2">
      <c r="GI48842" s="422"/>
    </row>
    <row r="48843" spans="191:191" x14ac:dyDescent="0.2">
      <c r="GI48843" s="422"/>
    </row>
    <row r="48844" spans="191:191" x14ac:dyDescent="0.2">
      <c r="GI48844" s="422"/>
    </row>
    <row r="48845" spans="191:191" x14ac:dyDescent="0.2">
      <c r="GI48845" s="422"/>
    </row>
    <row r="48846" spans="191:191" x14ac:dyDescent="0.2">
      <c r="GI48846" s="422"/>
    </row>
    <row r="48847" spans="191:191" x14ac:dyDescent="0.2">
      <c r="GI48847" s="422"/>
    </row>
    <row r="48848" spans="191:191" x14ac:dyDescent="0.2">
      <c r="GI48848" s="422"/>
    </row>
    <row r="48849" spans="191:191" x14ac:dyDescent="0.2">
      <c r="GI48849" s="422"/>
    </row>
    <row r="48850" spans="191:191" x14ac:dyDescent="0.2">
      <c r="GI48850" s="422"/>
    </row>
    <row r="48851" spans="191:191" x14ac:dyDescent="0.2">
      <c r="GI48851" s="422"/>
    </row>
    <row r="48852" spans="191:191" x14ac:dyDescent="0.2">
      <c r="GI48852" s="422"/>
    </row>
    <row r="48853" spans="191:191" x14ac:dyDescent="0.2">
      <c r="GI48853" s="422"/>
    </row>
    <row r="48854" spans="191:191" x14ac:dyDescent="0.2">
      <c r="GI48854" s="422"/>
    </row>
    <row r="48855" spans="191:191" x14ac:dyDescent="0.2">
      <c r="GI48855" s="422"/>
    </row>
    <row r="48856" spans="191:191" x14ac:dyDescent="0.2">
      <c r="GI48856" s="422"/>
    </row>
    <row r="48857" spans="191:191" x14ac:dyDescent="0.2">
      <c r="GI48857" s="422"/>
    </row>
    <row r="48858" spans="191:191" x14ac:dyDescent="0.2">
      <c r="GI48858" s="422"/>
    </row>
    <row r="48859" spans="191:191" x14ac:dyDescent="0.2">
      <c r="GI48859" s="422"/>
    </row>
    <row r="48860" spans="191:191" x14ac:dyDescent="0.2">
      <c r="GI48860" s="422"/>
    </row>
    <row r="48861" spans="191:191" x14ac:dyDescent="0.2">
      <c r="GI48861" s="422"/>
    </row>
    <row r="48862" spans="191:191" x14ac:dyDescent="0.2">
      <c r="GI48862" s="422"/>
    </row>
    <row r="48863" spans="191:191" x14ac:dyDescent="0.2">
      <c r="GI48863" s="422"/>
    </row>
    <row r="48864" spans="191:191" x14ac:dyDescent="0.2">
      <c r="GI48864" s="422"/>
    </row>
    <row r="48865" spans="191:191" x14ac:dyDescent="0.2">
      <c r="GI48865" s="422"/>
    </row>
    <row r="48866" spans="191:191" x14ac:dyDescent="0.2">
      <c r="GI48866" s="422"/>
    </row>
    <row r="48867" spans="191:191" x14ac:dyDescent="0.2">
      <c r="GI48867" s="422"/>
    </row>
    <row r="48868" spans="191:191" x14ac:dyDescent="0.2">
      <c r="GI48868" s="422"/>
    </row>
    <row r="48869" spans="191:191" x14ac:dyDescent="0.2">
      <c r="GI48869" s="422"/>
    </row>
    <row r="48870" spans="191:191" x14ac:dyDescent="0.2">
      <c r="GI48870" s="422"/>
    </row>
    <row r="48871" spans="191:191" x14ac:dyDescent="0.2">
      <c r="GI48871" s="422"/>
    </row>
    <row r="48872" spans="191:191" x14ac:dyDescent="0.2">
      <c r="GI48872" s="422"/>
    </row>
    <row r="48873" spans="191:191" x14ac:dyDescent="0.2">
      <c r="GI48873" s="422"/>
    </row>
    <row r="48874" spans="191:191" x14ac:dyDescent="0.2">
      <c r="GI48874" s="422"/>
    </row>
    <row r="48875" spans="191:191" x14ac:dyDescent="0.2">
      <c r="GI48875" s="422"/>
    </row>
    <row r="48876" spans="191:191" x14ac:dyDescent="0.2">
      <c r="GI48876" s="422"/>
    </row>
    <row r="48877" spans="191:191" x14ac:dyDescent="0.2">
      <c r="GI48877" s="422"/>
    </row>
    <row r="48878" spans="191:191" x14ac:dyDescent="0.2">
      <c r="GI48878" s="422"/>
    </row>
    <row r="48879" spans="191:191" x14ac:dyDescent="0.2">
      <c r="GI48879" s="422"/>
    </row>
    <row r="48880" spans="191:191" x14ac:dyDescent="0.2">
      <c r="GI48880" s="422"/>
    </row>
    <row r="48881" spans="191:191" x14ac:dyDescent="0.2">
      <c r="GI48881" s="422"/>
    </row>
    <row r="48882" spans="191:191" x14ac:dyDescent="0.2">
      <c r="GI48882" s="422"/>
    </row>
    <row r="48883" spans="191:191" x14ac:dyDescent="0.2">
      <c r="GI48883" s="422"/>
    </row>
    <row r="48884" spans="191:191" x14ac:dyDescent="0.2">
      <c r="GI48884" s="422"/>
    </row>
    <row r="48885" spans="191:191" x14ac:dyDescent="0.2">
      <c r="GI48885" s="422"/>
    </row>
    <row r="48886" spans="191:191" x14ac:dyDescent="0.2">
      <c r="GI48886" s="422"/>
    </row>
    <row r="48887" spans="191:191" x14ac:dyDescent="0.2">
      <c r="GI48887" s="422"/>
    </row>
    <row r="48888" spans="191:191" x14ac:dyDescent="0.2">
      <c r="GI48888" s="422"/>
    </row>
    <row r="48889" spans="191:191" x14ac:dyDescent="0.2">
      <c r="GI48889" s="422"/>
    </row>
    <row r="48890" spans="191:191" x14ac:dyDescent="0.2">
      <c r="GI48890" s="422"/>
    </row>
    <row r="48891" spans="191:191" x14ac:dyDescent="0.2">
      <c r="GI48891" s="422"/>
    </row>
    <row r="48892" spans="191:191" x14ac:dyDescent="0.2">
      <c r="GI48892" s="422"/>
    </row>
    <row r="48893" spans="191:191" x14ac:dyDescent="0.2">
      <c r="GI48893" s="422"/>
    </row>
    <row r="48894" spans="191:191" x14ac:dyDescent="0.2">
      <c r="GI48894" s="422"/>
    </row>
    <row r="48895" spans="191:191" x14ac:dyDescent="0.2">
      <c r="GI48895" s="422"/>
    </row>
    <row r="48896" spans="191:191" x14ac:dyDescent="0.2">
      <c r="GI48896" s="422"/>
    </row>
    <row r="48897" spans="191:191" x14ac:dyDescent="0.2">
      <c r="GI48897" s="422"/>
    </row>
    <row r="48898" spans="191:191" x14ac:dyDescent="0.2">
      <c r="GI48898" s="422"/>
    </row>
    <row r="48899" spans="191:191" x14ac:dyDescent="0.2">
      <c r="GI48899" s="422"/>
    </row>
    <row r="48900" spans="191:191" x14ac:dyDescent="0.2">
      <c r="GI48900" s="422"/>
    </row>
    <row r="48901" spans="191:191" x14ac:dyDescent="0.2">
      <c r="GI48901" s="422"/>
    </row>
    <row r="48902" spans="191:191" x14ac:dyDescent="0.2">
      <c r="GI48902" s="422"/>
    </row>
    <row r="48903" spans="191:191" x14ac:dyDescent="0.2">
      <c r="GI48903" s="422"/>
    </row>
    <row r="48904" spans="191:191" x14ac:dyDescent="0.2">
      <c r="GI48904" s="422"/>
    </row>
    <row r="48905" spans="191:191" x14ac:dyDescent="0.2">
      <c r="GI48905" s="422"/>
    </row>
    <row r="48906" spans="191:191" x14ac:dyDescent="0.2">
      <c r="GI48906" s="422"/>
    </row>
    <row r="48907" spans="191:191" x14ac:dyDescent="0.2">
      <c r="GI48907" s="422"/>
    </row>
    <row r="48908" spans="191:191" x14ac:dyDescent="0.2">
      <c r="GI48908" s="422"/>
    </row>
    <row r="48909" spans="191:191" x14ac:dyDescent="0.2">
      <c r="GI48909" s="422"/>
    </row>
    <row r="48910" spans="191:191" x14ac:dyDescent="0.2">
      <c r="GI48910" s="422"/>
    </row>
    <row r="48911" spans="191:191" x14ac:dyDescent="0.2">
      <c r="GI48911" s="422"/>
    </row>
    <row r="48912" spans="191:191" x14ac:dyDescent="0.2">
      <c r="GI48912" s="422"/>
    </row>
    <row r="48913" spans="191:191" x14ac:dyDescent="0.2">
      <c r="GI48913" s="422"/>
    </row>
    <row r="48914" spans="191:191" x14ac:dyDescent="0.2">
      <c r="GI48914" s="422"/>
    </row>
    <row r="48915" spans="191:191" x14ac:dyDescent="0.2">
      <c r="GI48915" s="422"/>
    </row>
    <row r="48916" spans="191:191" x14ac:dyDescent="0.2">
      <c r="GI48916" s="422"/>
    </row>
    <row r="48917" spans="191:191" x14ac:dyDescent="0.2">
      <c r="GI48917" s="422"/>
    </row>
    <row r="48918" spans="191:191" x14ac:dyDescent="0.2">
      <c r="GI48918" s="422"/>
    </row>
    <row r="48919" spans="191:191" x14ac:dyDescent="0.2">
      <c r="GI48919" s="422"/>
    </row>
    <row r="48920" spans="191:191" x14ac:dyDescent="0.2">
      <c r="GI48920" s="422"/>
    </row>
    <row r="48921" spans="191:191" x14ac:dyDescent="0.2">
      <c r="GI48921" s="422"/>
    </row>
    <row r="48922" spans="191:191" x14ac:dyDescent="0.2">
      <c r="GI48922" s="422"/>
    </row>
    <row r="48923" spans="191:191" x14ac:dyDescent="0.2">
      <c r="GI48923" s="422"/>
    </row>
    <row r="48924" spans="191:191" x14ac:dyDescent="0.2">
      <c r="GI48924" s="422"/>
    </row>
    <row r="48925" spans="191:191" x14ac:dyDescent="0.2">
      <c r="GI48925" s="422"/>
    </row>
    <row r="48926" spans="191:191" x14ac:dyDescent="0.2">
      <c r="GI48926" s="422"/>
    </row>
    <row r="48927" spans="191:191" x14ac:dyDescent="0.2">
      <c r="GI48927" s="422"/>
    </row>
    <row r="48928" spans="191:191" x14ac:dyDescent="0.2">
      <c r="GI48928" s="422"/>
    </row>
    <row r="48929" spans="191:191" x14ac:dyDescent="0.2">
      <c r="GI48929" s="422"/>
    </row>
    <row r="48930" spans="191:191" x14ac:dyDescent="0.2">
      <c r="GI48930" s="422"/>
    </row>
    <row r="48931" spans="191:191" x14ac:dyDescent="0.2">
      <c r="GI48931" s="422"/>
    </row>
    <row r="48932" spans="191:191" x14ac:dyDescent="0.2">
      <c r="GI48932" s="422"/>
    </row>
    <row r="48933" spans="191:191" x14ac:dyDescent="0.2">
      <c r="GI48933" s="422"/>
    </row>
    <row r="48934" spans="191:191" x14ac:dyDescent="0.2">
      <c r="GI48934" s="422"/>
    </row>
    <row r="48935" spans="191:191" x14ac:dyDescent="0.2">
      <c r="GI48935" s="422"/>
    </row>
    <row r="48936" spans="191:191" x14ac:dyDescent="0.2">
      <c r="GI48936" s="422"/>
    </row>
    <row r="48937" spans="191:191" x14ac:dyDescent="0.2">
      <c r="GI48937" s="422"/>
    </row>
    <row r="48938" spans="191:191" x14ac:dyDescent="0.2">
      <c r="GI48938" s="422"/>
    </row>
    <row r="48939" spans="191:191" x14ac:dyDescent="0.2">
      <c r="GI48939" s="422"/>
    </row>
    <row r="48940" spans="191:191" x14ac:dyDescent="0.2">
      <c r="GI48940" s="422"/>
    </row>
    <row r="48941" spans="191:191" x14ac:dyDescent="0.2">
      <c r="GI48941" s="422"/>
    </row>
    <row r="48942" spans="191:191" x14ac:dyDescent="0.2">
      <c r="GI48942" s="422"/>
    </row>
    <row r="48943" spans="191:191" x14ac:dyDescent="0.2">
      <c r="GI48943" s="422"/>
    </row>
    <row r="48944" spans="191:191" x14ac:dyDescent="0.2">
      <c r="GI48944" s="422"/>
    </row>
    <row r="48945" spans="191:191" x14ac:dyDescent="0.2">
      <c r="GI48945" s="422"/>
    </row>
    <row r="48946" spans="191:191" x14ac:dyDescent="0.2">
      <c r="GI48946" s="422"/>
    </row>
    <row r="48947" spans="191:191" x14ac:dyDescent="0.2">
      <c r="GI48947" s="422"/>
    </row>
    <row r="48948" spans="191:191" x14ac:dyDescent="0.2">
      <c r="GI48948" s="422"/>
    </row>
    <row r="48949" spans="191:191" x14ac:dyDescent="0.2">
      <c r="GI48949" s="422"/>
    </row>
    <row r="48950" spans="191:191" x14ac:dyDescent="0.2">
      <c r="GI48950" s="422"/>
    </row>
    <row r="48951" spans="191:191" x14ac:dyDescent="0.2">
      <c r="GI48951" s="422"/>
    </row>
    <row r="48952" spans="191:191" x14ac:dyDescent="0.2">
      <c r="GI48952" s="422"/>
    </row>
    <row r="48953" spans="191:191" x14ac:dyDescent="0.2">
      <c r="GI48953" s="422"/>
    </row>
    <row r="48954" spans="191:191" x14ac:dyDescent="0.2">
      <c r="GI48954" s="422"/>
    </row>
    <row r="48955" spans="191:191" x14ac:dyDescent="0.2">
      <c r="GI48955" s="422"/>
    </row>
    <row r="48956" spans="191:191" x14ac:dyDescent="0.2">
      <c r="GI48956" s="422"/>
    </row>
    <row r="48957" spans="191:191" x14ac:dyDescent="0.2">
      <c r="GI48957" s="422"/>
    </row>
    <row r="48958" spans="191:191" x14ac:dyDescent="0.2">
      <c r="GI48958" s="422"/>
    </row>
    <row r="48959" spans="191:191" x14ac:dyDescent="0.2">
      <c r="GI48959" s="422"/>
    </row>
    <row r="48960" spans="191:191" x14ac:dyDescent="0.2">
      <c r="GI48960" s="422"/>
    </row>
    <row r="48961" spans="191:191" x14ac:dyDescent="0.2">
      <c r="GI48961" s="422"/>
    </row>
    <row r="48962" spans="191:191" x14ac:dyDescent="0.2">
      <c r="GI48962" s="422"/>
    </row>
    <row r="48963" spans="191:191" x14ac:dyDescent="0.2">
      <c r="GI48963" s="422"/>
    </row>
    <row r="48964" spans="191:191" x14ac:dyDescent="0.2">
      <c r="GI48964" s="422"/>
    </row>
    <row r="48965" spans="191:191" x14ac:dyDescent="0.2">
      <c r="GI48965" s="422"/>
    </row>
    <row r="48966" spans="191:191" x14ac:dyDescent="0.2">
      <c r="GI48966" s="422"/>
    </row>
    <row r="48967" spans="191:191" x14ac:dyDescent="0.2">
      <c r="GI48967" s="422"/>
    </row>
    <row r="48968" spans="191:191" x14ac:dyDescent="0.2">
      <c r="GI48968" s="422"/>
    </row>
    <row r="48969" spans="191:191" x14ac:dyDescent="0.2">
      <c r="GI48969" s="422"/>
    </row>
    <row r="48970" spans="191:191" x14ac:dyDescent="0.2">
      <c r="GI48970" s="422"/>
    </row>
    <row r="48971" spans="191:191" x14ac:dyDescent="0.2">
      <c r="GI48971" s="422"/>
    </row>
    <row r="48972" spans="191:191" x14ac:dyDescent="0.2">
      <c r="GI48972" s="422"/>
    </row>
    <row r="48973" spans="191:191" x14ac:dyDescent="0.2">
      <c r="GI48973" s="422"/>
    </row>
    <row r="48974" spans="191:191" x14ac:dyDescent="0.2">
      <c r="GI48974" s="422"/>
    </row>
    <row r="48975" spans="191:191" x14ac:dyDescent="0.2">
      <c r="GI48975" s="422"/>
    </row>
    <row r="48976" spans="191:191" x14ac:dyDescent="0.2">
      <c r="GI48976" s="422"/>
    </row>
    <row r="48977" spans="191:191" x14ac:dyDescent="0.2">
      <c r="GI48977" s="422"/>
    </row>
    <row r="48978" spans="191:191" x14ac:dyDescent="0.2">
      <c r="GI48978" s="422"/>
    </row>
    <row r="48979" spans="191:191" x14ac:dyDescent="0.2">
      <c r="GI48979" s="422"/>
    </row>
    <row r="48980" spans="191:191" x14ac:dyDescent="0.2">
      <c r="GI48980" s="422"/>
    </row>
    <row r="48981" spans="191:191" x14ac:dyDescent="0.2">
      <c r="GI48981" s="422"/>
    </row>
    <row r="48982" spans="191:191" x14ac:dyDescent="0.2">
      <c r="GI48982" s="422"/>
    </row>
    <row r="48983" spans="191:191" x14ac:dyDescent="0.2">
      <c r="GI48983" s="422"/>
    </row>
    <row r="48984" spans="191:191" x14ac:dyDescent="0.2">
      <c r="GI48984" s="422"/>
    </row>
    <row r="48985" spans="191:191" x14ac:dyDescent="0.2">
      <c r="GI48985" s="422"/>
    </row>
    <row r="48986" spans="191:191" x14ac:dyDescent="0.2">
      <c r="GI48986" s="422"/>
    </row>
    <row r="48987" spans="191:191" x14ac:dyDescent="0.2">
      <c r="GI48987" s="422"/>
    </row>
    <row r="48988" spans="191:191" x14ac:dyDescent="0.2">
      <c r="GI48988" s="422"/>
    </row>
    <row r="48989" spans="191:191" x14ac:dyDescent="0.2">
      <c r="GI48989" s="422"/>
    </row>
    <row r="48990" spans="191:191" x14ac:dyDescent="0.2">
      <c r="GI48990" s="422"/>
    </row>
    <row r="48991" spans="191:191" x14ac:dyDescent="0.2">
      <c r="GI48991" s="422"/>
    </row>
    <row r="48992" spans="191:191" x14ac:dyDescent="0.2">
      <c r="GI48992" s="422"/>
    </row>
    <row r="48993" spans="191:191" x14ac:dyDescent="0.2">
      <c r="GI48993" s="422"/>
    </row>
    <row r="48994" spans="191:191" x14ac:dyDescent="0.2">
      <c r="GI48994" s="422"/>
    </row>
    <row r="48995" spans="191:191" x14ac:dyDescent="0.2">
      <c r="GI48995" s="422"/>
    </row>
    <row r="48996" spans="191:191" x14ac:dyDescent="0.2">
      <c r="GI48996" s="422"/>
    </row>
    <row r="48997" spans="191:191" x14ac:dyDescent="0.2">
      <c r="GI48997" s="422"/>
    </row>
    <row r="48998" spans="191:191" x14ac:dyDescent="0.2">
      <c r="GI48998" s="422"/>
    </row>
    <row r="48999" spans="191:191" x14ac:dyDescent="0.2">
      <c r="GI48999" s="422"/>
    </row>
    <row r="49000" spans="191:191" x14ac:dyDescent="0.2">
      <c r="GI49000" s="422"/>
    </row>
    <row r="49001" spans="191:191" x14ac:dyDescent="0.2">
      <c r="GI49001" s="422"/>
    </row>
    <row r="49002" spans="191:191" x14ac:dyDescent="0.2">
      <c r="GI49002" s="422"/>
    </row>
    <row r="49003" spans="191:191" x14ac:dyDescent="0.2">
      <c r="GI49003" s="422"/>
    </row>
    <row r="49004" spans="191:191" x14ac:dyDescent="0.2">
      <c r="GI49004" s="422"/>
    </row>
    <row r="49005" spans="191:191" x14ac:dyDescent="0.2">
      <c r="GI49005" s="422"/>
    </row>
    <row r="49006" spans="191:191" x14ac:dyDescent="0.2">
      <c r="GI49006" s="422"/>
    </row>
    <row r="49007" spans="191:191" x14ac:dyDescent="0.2">
      <c r="GI49007" s="422"/>
    </row>
    <row r="49008" spans="191:191" x14ac:dyDescent="0.2">
      <c r="GI49008" s="422"/>
    </row>
    <row r="49009" spans="191:191" x14ac:dyDescent="0.2">
      <c r="GI49009" s="422"/>
    </row>
    <row r="49010" spans="191:191" x14ac:dyDescent="0.2">
      <c r="GI49010" s="422"/>
    </row>
    <row r="49011" spans="191:191" x14ac:dyDescent="0.2">
      <c r="GI49011" s="422"/>
    </row>
    <row r="49012" spans="191:191" x14ac:dyDescent="0.2">
      <c r="GI49012" s="422"/>
    </row>
    <row r="49013" spans="191:191" x14ac:dyDescent="0.2">
      <c r="GI49013" s="422"/>
    </row>
    <row r="49014" spans="191:191" x14ac:dyDescent="0.2">
      <c r="GI49014" s="422"/>
    </row>
    <row r="49015" spans="191:191" x14ac:dyDescent="0.2">
      <c r="GI49015" s="422"/>
    </row>
    <row r="49016" spans="191:191" x14ac:dyDescent="0.2">
      <c r="GI49016" s="422"/>
    </row>
    <row r="49017" spans="191:191" x14ac:dyDescent="0.2">
      <c r="GI49017" s="422"/>
    </row>
    <row r="49018" spans="191:191" x14ac:dyDescent="0.2">
      <c r="GI49018" s="422"/>
    </row>
    <row r="49019" spans="191:191" x14ac:dyDescent="0.2">
      <c r="GI49019" s="422"/>
    </row>
    <row r="49020" spans="191:191" x14ac:dyDescent="0.2">
      <c r="GI49020" s="422"/>
    </row>
    <row r="49021" spans="191:191" x14ac:dyDescent="0.2">
      <c r="GI49021" s="422"/>
    </row>
    <row r="49022" spans="191:191" x14ac:dyDescent="0.2">
      <c r="GI49022" s="422"/>
    </row>
    <row r="49023" spans="191:191" x14ac:dyDescent="0.2">
      <c r="GI49023" s="422"/>
    </row>
    <row r="49024" spans="191:191" x14ac:dyDescent="0.2">
      <c r="GI49024" s="422"/>
    </row>
    <row r="49025" spans="191:191" x14ac:dyDescent="0.2">
      <c r="GI49025" s="422"/>
    </row>
    <row r="49026" spans="191:191" x14ac:dyDescent="0.2">
      <c r="GI49026" s="422"/>
    </row>
    <row r="49027" spans="191:191" x14ac:dyDescent="0.2">
      <c r="GI49027" s="422"/>
    </row>
    <row r="49028" spans="191:191" x14ac:dyDescent="0.2">
      <c r="GI49028" s="422"/>
    </row>
    <row r="49029" spans="191:191" x14ac:dyDescent="0.2">
      <c r="GI49029" s="422"/>
    </row>
    <row r="49030" spans="191:191" x14ac:dyDescent="0.2">
      <c r="GI49030" s="422"/>
    </row>
    <row r="49031" spans="191:191" x14ac:dyDescent="0.2">
      <c r="GI49031" s="422"/>
    </row>
    <row r="49032" spans="191:191" x14ac:dyDescent="0.2">
      <c r="GI49032" s="422"/>
    </row>
    <row r="49033" spans="191:191" x14ac:dyDescent="0.2">
      <c r="GI49033" s="422"/>
    </row>
    <row r="49034" spans="191:191" x14ac:dyDescent="0.2">
      <c r="GI49034" s="422"/>
    </row>
    <row r="49035" spans="191:191" x14ac:dyDescent="0.2">
      <c r="GI49035" s="422"/>
    </row>
    <row r="49036" spans="191:191" x14ac:dyDescent="0.2">
      <c r="GI49036" s="422"/>
    </row>
    <row r="49037" spans="191:191" x14ac:dyDescent="0.2">
      <c r="GI49037" s="422"/>
    </row>
    <row r="49038" spans="191:191" x14ac:dyDescent="0.2">
      <c r="GI49038" s="422"/>
    </row>
    <row r="49039" spans="191:191" x14ac:dyDescent="0.2">
      <c r="GI49039" s="422"/>
    </row>
    <row r="49040" spans="191:191" x14ac:dyDescent="0.2">
      <c r="GI49040" s="422"/>
    </row>
    <row r="49041" spans="191:191" x14ac:dyDescent="0.2">
      <c r="GI49041" s="422"/>
    </row>
    <row r="49042" spans="191:191" x14ac:dyDescent="0.2">
      <c r="GI49042" s="422"/>
    </row>
    <row r="49043" spans="191:191" x14ac:dyDescent="0.2">
      <c r="GI49043" s="422"/>
    </row>
    <row r="49044" spans="191:191" x14ac:dyDescent="0.2">
      <c r="GI49044" s="422"/>
    </row>
    <row r="49045" spans="191:191" x14ac:dyDescent="0.2">
      <c r="GI49045" s="422"/>
    </row>
    <row r="49046" spans="191:191" x14ac:dyDescent="0.2">
      <c r="GI49046" s="422"/>
    </row>
    <row r="49047" spans="191:191" x14ac:dyDescent="0.2">
      <c r="GI49047" s="422"/>
    </row>
    <row r="49048" spans="191:191" x14ac:dyDescent="0.2">
      <c r="GI49048" s="422"/>
    </row>
    <row r="49049" spans="191:191" x14ac:dyDescent="0.2">
      <c r="GI49049" s="422"/>
    </row>
    <row r="49050" spans="191:191" x14ac:dyDescent="0.2">
      <c r="GI49050" s="422"/>
    </row>
    <row r="49051" spans="191:191" x14ac:dyDescent="0.2">
      <c r="GI49051" s="422"/>
    </row>
    <row r="49052" spans="191:191" x14ac:dyDescent="0.2">
      <c r="GI49052" s="422"/>
    </row>
    <row r="49053" spans="191:191" x14ac:dyDescent="0.2">
      <c r="GI49053" s="422"/>
    </row>
    <row r="49054" spans="191:191" x14ac:dyDescent="0.2">
      <c r="GI49054" s="422"/>
    </row>
    <row r="49055" spans="191:191" x14ac:dyDescent="0.2">
      <c r="GI49055" s="422"/>
    </row>
    <row r="49056" spans="191:191" x14ac:dyDescent="0.2">
      <c r="GI49056" s="422"/>
    </row>
    <row r="49057" spans="191:191" x14ac:dyDescent="0.2">
      <c r="GI49057" s="422"/>
    </row>
    <row r="49058" spans="191:191" x14ac:dyDescent="0.2">
      <c r="GI49058" s="422"/>
    </row>
    <row r="49059" spans="191:191" x14ac:dyDescent="0.2">
      <c r="GI49059" s="422"/>
    </row>
    <row r="49060" spans="191:191" x14ac:dyDescent="0.2">
      <c r="GI49060" s="422"/>
    </row>
    <row r="49061" spans="191:191" x14ac:dyDescent="0.2">
      <c r="GI49061" s="422"/>
    </row>
    <row r="49062" spans="191:191" x14ac:dyDescent="0.2">
      <c r="GI49062" s="422"/>
    </row>
    <row r="49063" spans="191:191" x14ac:dyDescent="0.2">
      <c r="GI49063" s="422"/>
    </row>
    <row r="49064" spans="191:191" x14ac:dyDescent="0.2">
      <c r="GI49064" s="422"/>
    </row>
    <row r="49065" spans="191:191" x14ac:dyDescent="0.2">
      <c r="GI49065" s="422"/>
    </row>
    <row r="49066" spans="191:191" x14ac:dyDescent="0.2">
      <c r="GI49066" s="422"/>
    </row>
    <row r="49067" spans="191:191" x14ac:dyDescent="0.2">
      <c r="GI49067" s="422"/>
    </row>
    <row r="49068" spans="191:191" x14ac:dyDescent="0.2">
      <c r="GI49068" s="422"/>
    </row>
    <row r="49069" spans="191:191" x14ac:dyDescent="0.2">
      <c r="GI49069" s="422"/>
    </row>
    <row r="49070" spans="191:191" x14ac:dyDescent="0.2">
      <c r="GI49070" s="422"/>
    </row>
    <row r="49071" spans="191:191" x14ac:dyDescent="0.2">
      <c r="GI49071" s="422"/>
    </row>
    <row r="49072" spans="191:191" x14ac:dyDescent="0.2">
      <c r="GI49072" s="422"/>
    </row>
    <row r="49073" spans="191:191" x14ac:dyDescent="0.2">
      <c r="GI49073" s="422"/>
    </row>
    <row r="49074" spans="191:191" x14ac:dyDescent="0.2">
      <c r="GI49074" s="422"/>
    </row>
    <row r="49075" spans="191:191" x14ac:dyDescent="0.2">
      <c r="GI49075" s="422"/>
    </row>
    <row r="49076" spans="191:191" x14ac:dyDescent="0.2">
      <c r="GI49076" s="422"/>
    </row>
    <row r="49077" spans="191:191" x14ac:dyDescent="0.2">
      <c r="GI49077" s="422"/>
    </row>
    <row r="49078" spans="191:191" x14ac:dyDescent="0.2">
      <c r="GI49078" s="422"/>
    </row>
    <row r="49079" spans="191:191" x14ac:dyDescent="0.2">
      <c r="GI49079" s="422"/>
    </row>
    <row r="49080" spans="191:191" x14ac:dyDescent="0.2">
      <c r="GI49080" s="422"/>
    </row>
    <row r="49081" spans="191:191" x14ac:dyDescent="0.2">
      <c r="GI49081" s="422"/>
    </row>
    <row r="49082" spans="191:191" x14ac:dyDescent="0.2">
      <c r="GI49082" s="422"/>
    </row>
    <row r="49083" spans="191:191" x14ac:dyDescent="0.2">
      <c r="GI49083" s="422"/>
    </row>
    <row r="49084" spans="191:191" x14ac:dyDescent="0.2">
      <c r="GI49084" s="422"/>
    </row>
    <row r="49085" spans="191:191" x14ac:dyDescent="0.2">
      <c r="GI49085" s="422"/>
    </row>
    <row r="49086" spans="191:191" x14ac:dyDescent="0.2">
      <c r="GI49086" s="422"/>
    </row>
    <row r="49087" spans="191:191" x14ac:dyDescent="0.2">
      <c r="GI49087" s="422"/>
    </row>
    <row r="49088" spans="191:191" x14ac:dyDescent="0.2">
      <c r="GI49088" s="422"/>
    </row>
    <row r="49089" spans="191:191" x14ac:dyDescent="0.2">
      <c r="GI49089" s="422"/>
    </row>
    <row r="49090" spans="191:191" x14ac:dyDescent="0.2">
      <c r="GI49090" s="422"/>
    </row>
    <row r="49091" spans="191:191" x14ac:dyDescent="0.2">
      <c r="GI49091" s="422"/>
    </row>
    <row r="49092" spans="191:191" x14ac:dyDescent="0.2">
      <c r="GI49092" s="422"/>
    </row>
    <row r="49093" spans="191:191" x14ac:dyDescent="0.2">
      <c r="GI49093" s="422"/>
    </row>
    <row r="49094" spans="191:191" x14ac:dyDescent="0.2">
      <c r="GI49094" s="422"/>
    </row>
    <row r="49095" spans="191:191" x14ac:dyDescent="0.2">
      <c r="GI49095" s="422"/>
    </row>
    <row r="49096" spans="191:191" x14ac:dyDescent="0.2">
      <c r="GI49096" s="422"/>
    </row>
    <row r="49097" spans="191:191" x14ac:dyDescent="0.2">
      <c r="GI49097" s="422"/>
    </row>
    <row r="49098" spans="191:191" x14ac:dyDescent="0.2">
      <c r="GI49098" s="422"/>
    </row>
    <row r="49099" spans="191:191" x14ac:dyDescent="0.2">
      <c r="GI49099" s="422"/>
    </row>
    <row r="49100" spans="191:191" x14ac:dyDescent="0.2">
      <c r="GI49100" s="422"/>
    </row>
    <row r="49101" spans="191:191" x14ac:dyDescent="0.2">
      <c r="GI49101" s="422"/>
    </row>
    <row r="49102" spans="191:191" x14ac:dyDescent="0.2">
      <c r="GI49102" s="422"/>
    </row>
    <row r="49103" spans="191:191" x14ac:dyDescent="0.2">
      <c r="GI49103" s="422"/>
    </row>
    <row r="49104" spans="191:191" x14ac:dyDescent="0.2">
      <c r="GI49104" s="422"/>
    </row>
    <row r="49105" spans="191:191" x14ac:dyDescent="0.2">
      <c r="GI49105" s="422"/>
    </row>
    <row r="49106" spans="191:191" x14ac:dyDescent="0.2">
      <c r="GI49106" s="422"/>
    </row>
    <row r="49107" spans="191:191" x14ac:dyDescent="0.2">
      <c r="GI49107" s="422"/>
    </row>
    <row r="49108" spans="191:191" x14ac:dyDescent="0.2">
      <c r="GI49108" s="422"/>
    </row>
    <row r="49109" spans="191:191" x14ac:dyDescent="0.2">
      <c r="GI49109" s="422"/>
    </row>
    <row r="49110" spans="191:191" x14ac:dyDescent="0.2">
      <c r="GI49110" s="422"/>
    </row>
    <row r="49111" spans="191:191" x14ac:dyDescent="0.2">
      <c r="GI49111" s="422"/>
    </row>
    <row r="49112" spans="191:191" x14ac:dyDescent="0.2">
      <c r="GI49112" s="422"/>
    </row>
    <row r="49113" spans="191:191" x14ac:dyDescent="0.2">
      <c r="GI49113" s="422"/>
    </row>
    <row r="49114" spans="191:191" x14ac:dyDescent="0.2">
      <c r="GI49114" s="422"/>
    </row>
    <row r="49115" spans="191:191" x14ac:dyDescent="0.2">
      <c r="GI49115" s="422"/>
    </row>
    <row r="49116" spans="191:191" x14ac:dyDescent="0.2">
      <c r="GI49116" s="422"/>
    </row>
    <row r="49117" spans="191:191" x14ac:dyDescent="0.2">
      <c r="GI49117" s="422"/>
    </row>
    <row r="49118" spans="191:191" x14ac:dyDescent="0.2">
      <c r="GI49118" s="422"/>
    </row>
    <row r="49119" spans="191:191" x14ac:dyDescent="0.2">
      <c r="GI49119" s="422"/>
    </row>
    <row r="49120" spans="191:191" x14ac:dyDescent="0.2">
      <c r="GI49120" s="422"/>
    </row>
    <row r="49121" spans="191:191" x14ac:dyDescent="0.2">
      <c r="GI49121" s="422"/>
    </row>
    <row r="49122" spans="191:191" x14ac:dyDescent="0.2">
      <c r="GI49122" s="422"/>
    </row>
    <row r="49123" spans="191:191" x14ac:dyDescent="0.2">
      <c r="GI49123" s="422"/>
    </row>
    <row r="49124" spans="191:191" x14ac:dyDescent="0.2">
      <c r="GI49124" s="422"/>
    </row>
    <row r="49125" spans="191:191" x14ac:dyDescent="0.2">
      <c r="GI49125" s="422"/>
    </row>
    <row r="49126" spans="191:191" x14ac:dyDescent="0.2">
      <c r="GI49126" s="422"/>
    </row>
    <row r="49127" spans="191:191" x14ac:dyDescent="0.2">
      <c r="GI49127" s="422"/>
    </row>
    <row r="49128" spans="191:191" x14ac:dyDescent="0.2">
      <c r="GI49128" s="422"/>
    </row>
    <row r="49129" spans="191:191" x14ac:dyDescent="0.2">
      <c r="GI49129" s="422"/>
    </row>
    <row r="49130" spans="191:191" x14ac:dyDescent="0.2">
      <c r="GI49130" s="422"/>
    </row>
    <row r="49131" spans="191:191" x14ac:dyDescent="0.2">
      <c r="GI49131" s="422"/>
    </row>
    <row r="49132" spans="191:191" x14ac:dyDescent="0.2">
      <c r="GI49132" s="422"/>
    </row>
    <row r="49133" spans="191:191" x14ac:dyDescent="0.2">
      <c r="GI49133" s="422"/>
    </row>
    <row r="49134" spans="191:191" x14ac:dyDescent="0.2">
      <c r="GI49134" s="422"/>
    </row>
    <row r="49135" spans="191:191" x14ac:dyDescent="0.2">
      <c r="GI49135" s="422"/>
    </row>
    <row r="49136" spans="191:191" x14ac:dyDescent="0.2">
      <c r="GI49136" s="422"/>
    </row>
    <row r="49137" spans="191:191" x14ac:dyDescent="0.2">
      <c r="GI49137" s="422"/>
    </row>
    <row r="49138" spans="191:191" x14ac:dyDescent="0.2">
      <c r="GI49138" s="422"/>
    </row>
    <row r="49139" spans="191:191" x14ac:dyDescent="0.2">
      <c r="GI49139" s="422"/>
    </row>
    <row r="49140" spans="191:191" x14ac:dyDescent="0.2">
      <c r="GI49140" s="422"/>
    </row>
    <row r="49141" spans="191:191" x14ac:dyDescent="0.2">
      <c r="GI49141" s="422"/>
    </row>
    <row r="49142" spans="191:191" x14ac:dyDescent="0.2">
      <c r="GI49142" s="422"/>
    </row>
    <row r="49143" spans="191:191" x14ac:dyDescent="0.2">
      <c r="GI49143" s="422"/>
    </row>
    <row r="49144" spans="191:191" x14ac:dyDescent="0.2">
      <c r="GI49144" s="422"/>
    </row>
    <row r="49145" spans="191:191" x14ac:dyDescent="0.2">
      <c r="GI49145" s="422"/>
    </row>
    <row r="49146" spans="191:191" x14ac:dyDescent="0.2">
      <c r="GI49146" s="422"/>
    </row>
    <row r="49147" spans="191:191" x14ac:dyDescent="0.2">
      <c r="GI49147" s="422"/>
    </row>
    <row r="49148" spans="191:191" x14ac:dyDescent="0.2">
      <c r="GI49148" s="422"/>
    </row>
    <row r="49149" spans="191:191" x14ac:dyDescent="0.2">
      <c r="GI49149" s="422"/>
    </row>
    <row r="49150" spans="191:191" x14ac:dyDescent="0.2">
      <c r="GI49150" s="422"/>
    </row>
    <row r="49151" spans="191:191" x14ac:dyDescent="0.2">
      <c r="GI49151" s="422"/>
    </row>
    <row r="49152" spans="191:191" x14ac:dyDescent="0.2">
      <c r="GI49152" s="422"/>
    </row>
    <row r="49153" spans="191:191" x14ac:dyDescent="0.2">
      <c r="GI49153" s="422"/>
    </row>
    <row r="49154" spans="191:191" x14ac:dyDescent="0.2">
      <c r="GI49154" s="422"/>
    </row>
    <row r="49155" spans="191:191" x14ac:dyDescent="0.2">
      <c r="GI49155" s="422"/>
    </row>
    <row r="49156" spans="191:191" x14ac:dyDescent="0.2">
      <c r="GI49156" s="422"/>
    </row>
    <row r="49157" spans="191:191" x14ac:dyDescent="0.2">
      <c r="GI49157" s="422"/>
    </row>
    <row r="49158" spans="191:191" x14ac:dyDescent="0.2">
      <c r="GI49158" s="422"/>
    </row>
    <row r="49159" spans="191:191" x14ac:dyDescent="0.2">
      <c r="GI49159" s="422"/>
    </row>
    <row r="49160" spans="191:191" x14ac:dyDescent="0.2">
      <c r="GI49160" s="422"/>
    </row>
    <row r="49161" spans="191:191" x14ac:dyDescent="0.2">
      <c r="GI49161" s="422"/>
    </row>
    <row r="49162" spans="191:191" x14ac:dyDescent="0.2">
      <c r="GI49162" s="422"/>
    </row>
    <row r="49163" spans="191:191" x14ac:dyDescent="0.2">
      <c r="GI49163" s="422"/>
    </row>
    <row r="49164" spans="191:191" x14ac:dyDescent="0.2">
      <c r="GI49164" s="422"/>
    </row>
    <row r="49165" spans="191:191" x14ac:dyDescent="0.2">
      <c r="GI49165" s="422"/>
    </row>
    <row r="49166" spans="191:191" x14ac:dyDescent="0.2">
      <c r="GI49166" s="422"/>
    </row>
    <row r="49167" spans="191:191" x14ac:dyDescent="0.2">
      <c r="GI49167" s="422"/>
    </row>
    <row r="49168" spans="191:191" x14ac:dyDescent="0.2">
      <c r="GI49168" s="422"/>
    </row>
    <row r="49169" spans="191:191" x14ac:dyDescent="0.2">
      <c r="GI49169" s="422"/>
    </row>
    <row r="49170" spans="191:191" x14ac:dyDescent="0.2">
      <c r="GI49170" s="422"/>
    </row>
    <row r="49171" spans="191:191" x14ac:dyDescent="0.2">
      <c r="GI49171" s="422"/>
    </row>
    <row r="49172" spans="191:191" x14ac:dyDescent="0.2">
      <c r="GI49172" s="422"/>
    </row>
    <row r="49173" spans="191:191" x14ac:dyDescent="0.2">
      <c r="GI49173" s="422"/>
    </row>
    <row r="49174" spans="191:191" x14ac:dyDescent="0.2">
      <c r="GI49174" s="422"/>
    </row>
    <row r="49175" spans="191:191" x14ac:dyDescent="0.2">
      <c r="GI49175" s="422"/>
    </row>
    <row r="49176" spans="191:191" x14ac:dyDescent="0.2">
      <c r="GI49176" s="422"/>
    </row>
    <row r="49177" spans="191:191" x14ac:dyDescent="0.2">
      <c r="GI49177" s="422"/>
    </row>
    <row r="49178" spans="191:191" x14ac:dyDescent="0.2">
      <c r="GI49178" s="422"/>
    </row>
    <row r="49179" spans="191:191" x14ac:dyDescent="0.2">
      <c r="GI49179" s="422"/>
    </row>
    <row r="49180" spans="191:191" x14ac:dyDescent="0.2">
      <c r="GI49180" s="422"/>
    </row>
    <row r="49181" spans="191:191" x14ac:dyDescent="0.2">
      <c r="GI49181" s="422"/>
    </row>
    <row r="49182" spans="191:191" x14ac:dyDescent="0.2">
      <c r="GI49182" s="422"/>
    </row>
    <row r="49183" spans="191:191" x14ac:dyDescent="0.2">
      <c r="GI49183" s="422"/>
    </row>
    <row r="49184" spans="191:191" x14ac:dyDescent="0.2">
      <c r="GI49184" s="422"/>
    </row>
    <row r="49185" spans="191:191" x14ac:dyDescent="0.2">
      <c r="GI49185" s="422"/>
    </row>
    <row r="49186" spans="191:191" x14ac:dyDescent="0.2">
      <c r="GI49186" s="422"/>
    </row>
    <row r="49187" spans="191:191" x14ac:dyDescent="0.2">
      <c r="GI49187" s="422"/>
    </row>
    <row r="49188" spans="191:191" x14ac:dyDescent="0.2">
      <c r="GI49188" s="422"/>
    </row>
    <row r="49189" spans="191:191" x14ac:dyDescent="0.2">
      <c r="GI49189" s="422"/>
    </row>
    <row r="49190" spans="191:191" x14ac:dyDescent="0.2">
      <c r="GI49190" s="422"/>
    </row>
    <row r="49191" spans="191:191" x14ac:dyDescent="0.2">
      <c r="GI49191" s="422"/>
    </row>
    <row r="49192" spans="191:191" x14ac:dyDescent="0.2">
      <c r="GI49192" s="422"/>
    </row>
    <row r="49193" spans="191:191" x14ac:dyDescent="0.2">
      <c r="GI49193" s="422"/>
    </row>
    <row r="49194" spans="191:191" x14ac:dyDescent="0.2">
      <c r="GI49194" s="422"/>
    </row>
    <row r="49195" spans="191:191" x14ac:dyDescent="0.2">
      <c r="GI49195" s="422"/>
    </row>
    <row r="49196" spans="191:191" x14ac:dyDescent="0.2">
      <c r="GI49196" s="422"/>
    </row>
    <row r="49197" spans="191:191" x14ac:dyDescent="0.2">
      <c r="GI49197" s="422"/>
    </row>
    <row r="49198" spans="191:191" x14ac:dyDescent="0.2">
      <c r="GI49198" s="422"/>
    </row>
    <row r="49199" spans="191:191" x14ac:dyDescent="0.2">
      <c r="GI49199" s="422"/>
    </row>
    <row r="49200" spans="191:191" x14ac:dyDescent="0.2">
      <c r="GI49200" s="422"/>
    </row>
    <row r="49201" spans="191:191" x14ac:dyDescent="0.2">
      <c r="GI49201" s="422"/>
    </row>
    <row r="49202" spans="191:191" x14ac:dyDescent="0.2">
      <c r="GI49202" s="422"/>
    </row>
    <row r="49203" spans="191:191" x14ac:dyDescent="0.2">
      <c r="GI49203" s="422"/>
    </row>
    <row r="49204" spans="191:191" x14ac:dyDescent="0.2">
      <c r="GI49204" s="422"/>
    </row>
    <row r="49205" spans="191:191" x14ac:dyDescent="0.2">
      <c r="GI49205" s="422"/>
    </row>
    <row r="49206" spans="191:191" x14ac:dyDescent="0.2">
      <c r="GI49206" s="422"/>
    </row>
    <row r="49207" spans="191:191" x14ac:dyDescent="0.2">
      <c r="GI49207" s="422"/>
    </row>
    <row r="49208" spans="191:191" x14ac:dyDescent="0.2">
      <c r="GI49208" s="422"/>
    </row>
    <row r="49209" spans="191:191" x14ac:dyDescent="0.2">
      <c r="GI49209" s="422"/>
    </row>
    <row r="49210" spans="191:191" x14ac:dyDescent="0.2">
      <c r="GI49210" s="422"/>
    </row>
    <row r="49211" spans="191:191" x14ac:dyDescent="0.2">
      <c r="GI49211" s="422"/>
    </row>
    <row r="49212" spans="191:191" x14ac:dyDescent="0.2">
      <c r="GI49212" s="422"/>
    </row>
    <row r="49213" spans="191:191" x14ac:dyDescent="0.2">
      <c r="GI49213" s="422"/>
    </row>
    <row r="49214" spans="191:191" x14ac:dyDescent="0.2">
      <c r="GI49214" s="422"/>
    </row>
    <row r="49215" spans="191:191" x14ac:dyDescent="0.2">
      <c r="GI49215" s="422"/>
    </row>
    <row r="49216" spans="191:191" x14ac:dyDescent="0.2">
      <c r="GI49216" s="422"/>
    </row>
    <row r="49217" spans="191:191" x14ac:dyDescent="0.2">
      <c r="GI49217" s="422"/>
    </row>
    <row r="49218" spans="191:191" x14ac:dyDescent="0.2">
      <c r="GI49218" s="422"/>
    </row>
    <row r="49219" spans="191:191" x14ac:dyDescent="0.2">
      <c r="GI49219" s="422"/>
    </row>
    <row r="49220" spans="191:191" x14ac:dyDescent="0.2">
      <c r="GI49220" s="422"/>
    </row>
    <row r="49221" spans="191:191" x14ac:dyDescent="0.2">
      <c r="GI49221" s="422"/>
    </row>
    <row r="49222" spans="191:191" x14ac:dyDescent="0.2">
      <c r="GI49222" s="422"/>
    </row>
    <row r="49223" spans="191:191" x14ac:dyDescent="0.2">
      <c r="GI49223" s="422"/>
    </row>
    <row r="49224" spans="191:191" x14ac:dyDescent="0.2">
      <c r="GI49224" s="422"/>
    </row>
    <row r="49225" spans="191:191" x14ac:dyDescent="0.2">
      <c r="GI49225" s="422"/>
    </row>
    <row r="49226" spans="191:191" x14ac:dyDescent="0.2">
      <c r="GI49226" s="422"/>
    </row>
    <row r="49227" spans="191:191" x14ac:dyDescent="0.2">
      <c r="GI49227" s="422"/>
    </row>
    <row r="49228" spans="191:191" x14ac:dyDescent="0.2">
      <c r="GI49228" s="422"/>
    </row>
    <row r="49229" spans="191:191" x14ac:dyDescent="0.2">
      <c r="GI49229" s="422"/>
    </row>
    <row r="49230" spans="191:191" x14ac:dyDescent="0.2">
      <c r="GI49230" s="422"/>
    </row>
    <row r="49231" spans="191:191" x14ac:dyDescent="0.2">
      <c r="GI49231" s="422"/>
    </row>
    <row r="49232" spans="191:191" x14ac:dyDescent="0.2">
      <c r="GI49232" s="422"/>
    </row>
    <row r="49233" spans="191:191" x14ac:dyDescent="0.2">
      <c r="GI49233" s="422"/>
    </row>
    <row r="49234" spans="191:191" x14ac:dyDescent="0.2">
      <c r="GI49234" s="422"/>
    </row>
    <row r="49235" spans="191:191" x14ac:dyDescent="0.2">
      <c r="GI49235" s="422"/>
    </row>
    <row r="49236" spans="191:191" x14ac:dyDescent="0.2">
      <c r="GI49236" s="422"/>
    </row>
    <row r="49237" spans="191:191" x14ac:dyDescent="0.2">
      <c r="GI49237" s="422"/>
    </row>
    <row r="49238" spans="191:191" x14ac:dyDescent="0.2">
      <c r="GI49238" s="422"/>
    </row>
    <row r="49239" spans="191:191" x14ac:dyDescent="0.2">
      <c r="GI49239" s="422"/>
    </row>
    <row r="49240" spans="191:191" x14ac:dyDescent="0.2">
      <c r="GI49240" s="422"/>
    </row>
    <row r="49241" spans="191:191" x14ac:dyDescent="0.2">
      <c r="GI49241" s="422"/>
    </row>
    <row r="49242" spans="191:191" x14ac:dyDescent="0.2">
      <c r="GI49242" s="422"/>
    </row>
    <row r="49243" spans="191:191" x14ac:dyDescent="0.2">
      <c r="GI49243" s="422"/>
    </row>
    <row r="49244" spans="191:191" x14ac:dyDescent="0.2">
      <c r="GI49244" s="422"/>
    </row>
    <row r="49245" spans="191:191" x14ac:dyDescent="0.2">
      <c r="GI49245" s="422"/>
    </row>
    <row r="49246" spans="191:191" x14ac:dyDescent="0.2">
      <c r="GI49246" s="422"/>
    </row>
    <row r="49247" spans="191:191" x14ac:dyDescent="0.2">
      <c r="GI49247" s="422"/>
    </row>
    <row r="49248" spans="191:191" x14ac:dyDescent="0.2">
      <c r="GI49248" s="422"/>
    </row>
    <row r="49249" spans="191:191" x14ac:dyDescent="0.2">
      <c r="GI49249" s="422"/>
    </row>
    <row r="49250" spans="191:191" x14ac:dyDescent="0.2">
      <c r="GI49250" s="422"/>
    </row>
    <row r="49251" spans="191:191" x14ac:dyDescent="0.2">
      <c r="GI49251" s="422"/>
    </row>
    <row r="49252" spans="191:191" x14ac:dyDescent="0.2">
      <c r="GI49252" s="422"/>
    </row>
    <row r="49253" spans="191:191" x14ac:dyDescent="0.2">
      <c r="GI49253" s="422"/>
    </row>
    <row r="49254" spans="191:191" x14ac:dyDescent="0.2">
      <c r="GI49254" s="422"/>
    </row>
    <row r="49255" spans="191:191" x14ac:dyDescent="0.2">
      <c r="GI49255" s="422"/>
    </row>
    <row r="49256" spans="191:191" x14ac:dyDescent="0.2">
      <c r="GI49256" s="422"/>
    </row>
    <row r="49257" spans="191:191" x14ac:dyDescent="0.2">
      <c r="GI49257" s="422"/>
    </row>
    <row r="49258" spans="191:191" x14ac:dyDescent="0.2">
      <c r="GI49258" s="422"/>
    </row>
    <row r="49259" spans="191:191" x14ac:dyDescent="0.2">
      <c r="GI49259" s="422"/>
    </row>
    <row r="49260" spans="191:191" x14ac:dyDescent="0.2">
      <c r="GI49260" s="422"/>
    </row>
    <row r="49261" spans="191:191" x14ac:dyDescent="0.2">
      <c r="GI49261" s="422"/>
    </row>
    <row r="49262" spans="191:191" x14ac:dyDescent="0.2">
      <c r="GI49262" s="422"/>
    </row>
    <row r="49263" spans="191:191" x14ac:dyDescent="0.2">
      <c r="GI49263" s="422"/>
    </row>
    <row r="49264" spans="191:191" x14ac:dyDescent="0.2">
      <c r="GI49264" s="422"/>
    </row>
    <row r="49265" spans="191:191" x14ac:dyDescent="0.2">
      <c r="GI49265" s="422"/>
    </row>
    <row r="49266" spans="191:191" x14ac:dyDescent="0.2">
      <c r="GI49266" s="422"/>
    </row>
    <row r="49267" spans="191:191" x14ac:dyDescent="0.2">
      <c r="GI49267" s="422"/>
    </row>
    <row r="49268" spans="191:191" x14ac:dyDescent="0.2">
      <c r="GI49268" s="422"/>
    </row>
    <row r="49269" spans="191:191" x14ac:dyDescent="0.2">
      <c r="GI49269" s="422"/>
    </row>
    <row r="49270" spans="191:191" x14ac:dyDescent="0.2">
      <c r="GI49270" s="422"/>
    </row>
    <row r="49271" spans="191:191" x14ac:dyDescent="0.2">
      <c r="GI49271" s="422"/>
    </row>
    <row r="49272" spans="191:191" x14ac:dyDescent="0.2">
      <c r="GI49272" s="422"/>
    </row>
    <row r="49273" spans="191:191" x14ac:dyDescent="0.2">
      <c r="GI49273" s="422"/>
    </row>
    <row r="49274" spans="191:191" x14ac:dyDescent="0.2">
      <c r="GI49274" s="422"/>
    </row>
    <row r="49275" spans="191:191" x14ac:dyDescent="0.2">
      <c r="GI49275" s="422"/>
    </row>
    <row r="49276" spans="191:191" x14ac:dyDescent="0.2">
      <c r="GI49276" s="422"/>
    </row>
    <row r="49277" spans="191:191" x14ac:dyDescent="0.2">
      <c r="GI49277" s="422"/>
    </row>
    <row r="49278" spans="191:191" x14ac:dyDescent="0.2">
      <c r="GI49278" s="422"/>
    </row>
    <row r="49279" spans="191:191" x14ac:dyDescent="0.2">
      <c r="GI49279" s="422"/>
    </row>
    <row r="49280" spans="191:191" x14ac:dyDescent="0.2">
      <c r="GI49280" s="422"/>
    </row>
    <row r="49281" spans="191:191" x14ac:dyDescent="0.2">
      <c r="GI49281" s="422"/>
    </row>
    <row r="49282" spans="191:191" x14ac:dyDescent="0.2">
      <c r="GI49282" s="422"/>
    </row>
    <row r="49283" spans="191:191" x14ac:dyDescent="0.2">
      <c r="GI49283" s="422"/>
    </row>
    <row r="49284" spans="191:191" x14ac:dyDescent="0.2">
      <c r="GI49284" s="422"/>
    </row>
    <row r="49285" spans="191:191" x14ac:dyDescent="0.2">
      <c r="GI49285" s="422"/>
    </row>
    <row r="49286" spans="191:191" x14ac:dyDescent="0.2">
      <c r="GI49286" s="422"/>
    </row>
    <row r="49287" spans="191:191" x14ac:dyDescent="0.2">
      <c r="GI49287" s="422"/>
    </row>
    <row r="49288" spans="191:191" x14ac:dyDescent="0.2">
      <c r="GI49288" s="422"/>
    </row>
    <row r="49289" spans="191:191" x14ac:dyDescent="0.2">
      <c r="GI49289" s="422"/>
    </row>
    <row r="49290" spans="191:191" x14ac:dyDescent="0.2">
      <c r="GI49290" s="422"/>
    </row>
    <row r="49291" spans="191:191" x14ac:dyDescent="0.2">
      <c r="GI49291" s="422"/>
    </row>
    <row r="49292" spans="191:191" x14ac:dyDescent="0.2">
      <c r="GI49292" s="422"/>
    </row>
    <row r="49293" spans="191:191" x14ac:dyDescent="0.2">
      <c r="GI49293" s="422"/>
    </row>
    <row r="49294" spans="191:191" x14ac:dyDescent="0.2">
      <c r="GI49294" s="422"/>
    </row>
    <row r="49295" spans="191:191" x14ac:dyDescent="0.2">
      <c r="GI49295" s="422"/>
    </row>
    <row r="49296" spans="191:191" x14ac:dyDescent="0.2">
      <c r="GI49296" s="422"/>
    </row>
    <row r="49297" spans="191:191" x14ac:dyDescent="0.2">
      <c r="GI49297" s="422"/>
    </row>
    <row r="49298" spans="191:191" x14ac:dyDescent="0.2">
      <c r="GI49298" s="422"/>
    </row>
    <row r="49299" spans="191:191" x14ac:dyDescent="0.2">
      <c r="GI49299" s="422"/>
    </row>
    <row r="49300" spans="191:191" x14ac:dyDescent="0.2">
      <c r="GI49300" s="422"/>
    </row>
    <row r="49301" spans="191:191" x14ac:dyDescent="0.2">
      <c r="GI49301" s="422"/>
    </row>
    <row r="49302" spans="191:191" x14ac:dyDescent="0.2">
      <c r="GI49302" s="422"/>
    </row>
    <row r="49303" spans="191:191" x14ac:dyDescent="0.2">
      <c r="GI49303" s="422"/>
    </row>
    <row r="49304" spans="191:191" x14ac:dyDescent="0.2">
      <c r="GI49304" s="422"/>
    </row>
    <row r="49305" spans="191:191" x14ac:dyDescent="0.2">
      <c r="GI49305" s="422"/>
    </row>
    <row r="49306" spans="191:191" x14ac:dyDescent="0.2">
      <c r="GI49306" s="422"/>
    </row>
    <row r="49307" spans="191:191" x14ac:dyDescent="0.2">
      <c r="GI49307" s="422"/>
    </row>
    <row r="49308" spans="191:191" x14ac:dyDescent="0.2">
      <c r="GI49308" s="422"/>
    </row>
    <row r="49309" spans="191:191" x14ac:dyDescent="0.2">
      <c r="GI49309" s="422"/>
    </row>
    <row r="49310" spans="191:191" x14ac:dyDescent="0.2">
      <c r="GI49310" s="422"/>
    </row>
    <row r="49311" spans="191:191" x14ac:dyDescent="0.2">
      <c r="GI49311" s="422"/>
    </row>
    <row r="49312" spans="191:191" x14ac:dyDescent="0.2">
      <c r="GI49312" s="422"/>
    </row>
    <row r="49313" spans="191:191" x14ac:dyDescent="0.2">
      <c r="GI49313" s="422"/>
    </row>
    <row r="49314" spans="191:191" x14ac:dyDescent="0.2">
      <c r="GI49314" s="422"/>
    </row>
    <row r="49315" spans="191:191" x14ac:dyDescent="0.2">
      <c r="GI49315" s="422"/>
    </row>
    <row r="49316" spans="191:191" x14ac:dyDescent="0.2">
      <c r="GI49316" s="422"/>
    </row>
    <row r="49317" spans="191:191" x14ac:dyDescent="0.2">
      <c r="GI49317" s="422"/>
    </row>
    <row r="49318" spans="191:191" x14ac:dyDescent="0.2">
      <c r="GI49318" s="422"/>
    </row>
    <row r="49319" spans="191:191" x14ac:dyDescent="0.2">
      <c r="GI49319" s="422"/>
    </row>
    <row r="49320" spans="191:191" x14ac:dyDescent="0.2">
      <c r="GI49320" s="422"/>
    </row>
    <row r="49321" spans="191:191" x14ac:dyDescent="0.2">
      <c r="GI49321" s="422"/>
    </row>
    <row r="49322" spans="191:191" x14ac:dyDescent="0.2">
      <c r="GI49322" s="422"/>
    </row>
    <row r="49323" spans="191:191" x14ac:dyDescent="0.2">
      <c r="GI49323" s="422"/>
    </row>
    <row r="49324" spans="191:191" x14ac:dyDescent="0.2">
      <c r="GI49324" s="422"/>
    </row>
    <row r="49325" spans="191:191" x14ac:dyDescent="0.2">
      <c r="GI49325" s="422"/>
    </row>
    <row r="49326" spans="191:191" x14ac:dyDescent="0.2">
      <c r="GI49326" s="422"/>
    </row>
    <row r="49327" spans="191:191" x14ac:dyDescent="0.2">
      <c r="GI49327" s="422"/>
    </row>
    <row r="49328" spans="191:191" x14ac:dyDescent="0.2">
      <c r="GI49328" s="422"/>
    </row>
    <row r="49329" spans="191:191" x14ac:dyDescent="0.2">
      <c r="GI49329" s="422"/>
    </row>
    <row r="49330" spans="191:191" x14ac:dyDescent="0.2">
      <c r="GI49330" s="422"/>
    </row>
    <row r="49331" spans="191:191" x14ac:dyDescent="0.2">
      <c r="GI49331" s="422"/>
    </row>
    <row r="49332" spans="191:191" x14ac:dyDescent="0.2">
      <c r="GI49332" s="422"/>
    </row>
    <row r="49333" spans="191:191" x14ac:dyDescent="0.2">
      <c r="GI49333" s="422"/>
    </row>
    <row r="49334" spans="191:191" x14ac:dyDescent="0.2">
      <c r="GI49334" s="422"/>
    </row>
    <row r="49335" spans="191:191" x14ac:dyDescent="0.2">
      <c r="GI49335" s="422"/>
    </row>
    <row r="49336" spans="191:191" x14ac:dyDescent="0.2">
      <c r="GI49336" s="422"/>
    </row>
    <row r="49337" spans="191:191" x14ac:dyDescent="0.2">
      <c r="GI49337" s="422"/>
    </row>
    <row r="49338" spans="191:191" x14ac:dyDescent="0.2">
      <c r="GI49338" s="422"/>
    </row>
    <row r="49339" spans="191:191" x14ac:dyDescent="0.2">
      <c r="GI49339" s="422"/>
    </row>
    <row r="49340" spans="191:191" x14ac:dyDescent="0.2">
      <c r="GI49340" s="422"/>
    </row>
    <row r="49341" spans="191:191" x14ac:dyDescent="0.2">
      <c r="GI49341" s="422"/>
    </row>
    <row r="49342" spans="191:191" x14ac:dyDescent="0.2">
      <c r="GI49342" s="422"/>
    </row>
    <row r="49343" spans="191:191" x14ac:dyDescent="0.2">
      <c r="GI49343" s="422"/>
    </row>
    <row r="49344" spans="191:191" x14ac:dyDescent="0.2">
      <c r="GI49344" s="422"/>
    </row>
    <row r="49345" spans="191:191" x14ac:dyDescent="0.2">
      <c r="GI49345" s="422"/>
    </row>
    <row r="49346" spans="191:191" x14ac:dyDescent="0.2">
      <c r="GI49346" s="422"/>
    </row>
    <row r="49347" spans="191:191" x14ac:dyDescent="0.2">
      <c r="GI49347" s="422"/>
    </row>
    <row r="49348" spans="191:191" x14ac:dyDescent="0.2">
      <c r="GI49348" s="422"/>
    </row>
    <row r="49349" spans="191:191" x14ac:dyDescent="0.2">
      <c r="GI49349" s="422"/>
    </row>
    <row r="49350" spans="191:191" x14ac:dyDescent="0.2">
      <c r="GI49350" s="422"/>
    </row>
    <row r="49351" spans="191:191" x14ac:dyDescent="0.2">
      <c r="GI49351" s="422"/>
    </row>
    <row r="49352" spans="191:191" x14ac:dyDescent="0.2">
      <c r="GI49352" s="422"/>
    </row>
    <row r="49353" spans="191:191" x14ac:dyDescent="0.2">
      <c r="GI49353" s="422"/>
    </row>
    <row r="49354" spans="191:191" x14ac:dyDescent="0.2">
      <c r="GI49354" s="422"/>
    </row>
    <row r="49355" spans="191:191" x14ac:dyDescent="0.2">
      <c r="GI49355" s="422"/>
    </row>
    <row r="49356" spans="191:191" x14ac:dyDescent="0.2">
      <c r="GI49356" s="422"/>
    </row>
    <row r="49357" spans="191:191" x14ac:dyDescent="0.2">
      <c r="GI49357" s="422"/>
    </row>
    <row r="49358" spans="191:191" x14ac:dyDescent="0.2">
      <c r="GI49358" s="422"/>
    </row>
    <row r="49359" spans="191:191" x14ac:dyDescent="0.2">
      <c r="GI49359" s="422"/>
    </row>
    <row r="49360" spans="191:191" x14ac:dyDescent="0.2">
      <c r="GI49360" s="422"/>
    </row>
    <row r="49361" spans="191:191" x14ac:dyDescent="0.2">
      <c r="GI49361" s="422"/>
    </row>
    <row r="49362" spans="191:191" x14ac:dyDescent="0.2">
      <c r="GI49362" s="422"/>
    </row>
    <row r="49363" spans="191:191" x14ac:dyDescent="0.2">
      <c r="GI49363" s="422"/>
    </row>
    <row r="49364" spans="191:191" x14ac:dyDescent="0.2">
      <c r="GI49364" s="422"/>
    </row>
    <row r="49365" spans="191:191" x14ac:dyDescent="0.2">
      <c r="GI49365" s="422"/>
    </row>
    <row r="49366" spans="191:191" x14ac:dyDescent="0.2">
      <c r="GI49366" s="422"/>
    </row>
    <row r="49367" spans="191:191" x14ac:dyDescent="0.2">
      <c r="GI49367" s="422"/>
    </row>
    <row r="49368" spans="191:191" x14ac:dyDescent="0.2">
      <c r="GI49368" s="422"/>
    </row>
    <row r="49369" spans="191:191" x14ac:dyDescent="0.2">
      <c r="GI49369" s="422"/>
    </row>
    <row r="49370" spans="191:191" x14ac:dyDescent="0.2">
      <c r="GI49370" s="422"/>
    </row>
    <row r="49371" spans="191:191" x14ac:dyDescent="0.2">
      <c r="GI49371" s="422"/>
    </row>
    <row r="49372" spans="191:191" x14ac:dyDescent="0.2">
      <c r="GI49372" s="422"/>
    </row>
    <row r="49373" spans="191:191" x14ac:dyDescent="0.2">
      <c r="GI49373" s="422"/>
    </row>
    <row r="49374" spans="191:191" x14ac:dyDescent="0.2">
      <c r="GI49374" s="422"/>
    </row>
    <row r="49375" spans="191:191" x14ac:dyDescent="0.2">
      <c r="GI49375" s="422"/>
    </row>
    <row r="49376" spans="191:191" x14ac:dyDescent="0.2">
      <c r="GI49376" s="422"/>
    </row>
    <row r="49377" spans="191:191" x14ac:dyDescent="0.2">
      <c r="GI49377" s="422"/>
    </row>
    <row r="49378" spans="191:191" x14ac:dyDescent="0.2">
      <c r="GI49378" s="422"/>
    </row>
    <row r="49379" spans="191:191" x14ac:dyDescent="0.2">
      <c r="GI49379" s="422"/>
    </row>
    <row r="49380" spans="191:191" x14ac:dyDescent="0.2">
      <c r="GI49380" s="422"/>
    </row>
    <row r="49381" spans="191:191" x14ac:dyDescent="0.2">
      <c r="GI49381" s="422"/>
    </row>
    <row r="49382" spans="191:191" x14ac:dyDescent="0.2">
      <c r="GI49382" s="422"/>
    </row>
    <row r="49383" spans="191:191" x14ac:dyDescent="0.2">
      <c r="GI49383" s="422"/>
    </row>
    <row r="49384" spans="191:191" x14ac:dyDescent="0.2">
      <c r="GI49384" s="422"/>
    </row>
    <row r="49385" spans="191:191" x14ac:dyDescent="0.2">
      <c r="GI49385" s="422"/>
    </row>
    <row r="49386" spans="191:191" x14ac:dyDescent="0.2">
      <c r="GI49386" s="422"/>
    </row>
    <row r="49387" spans="191:191" x14ac:dyDescent="0.2">
      <c r="GI49387" s="422"/>
    </row>
    <row r="49388" spans="191:191" x14ac:dyDescent="0.2">
      <c r="GI49388" s="422"/>
    </row>
    <row r="49389" spans="191:191" x14ac:dyDescent="0.2">
      <c r="GI49389" s="422"/>
    </row>
    <row r="49390" spans="191:191" x14ac:dyDescent="0.2">
      <c r="GI49390" s="422"/>
    </row>
    <row r="49391" spans="191:191" x14ac:dyDescent="0.2">
      <c r="GI49391" s="422"/>
    </row>
    <row r="49392" spans="191:191" x14ac:dyDescent="0.2">
      <c r="GI49392" s="422"/>
    </row>
    <row r="49393" spans="191:191" x14ac:dyDescent="0.2">
      <c r="GI49393" s="422"/>
    </row>
    <row r="49394" spans="191:191" x14ac:dyDescent="0.2">
      <c r="GI49394" s="422"/>
    </row>
    <row r="49395" spans="191:191" x14ac:dyDescent="0.2">
      <c r="GI49395" s="422"/>
    </row>
    <row r="49396" spans="191:191" x14ac:dyDescent="0.2">
      <c r="GI49396" s="422"/>
    </row>
    <row r="49397" spans="191:191" x14ac:dyDescent="0.2">
      <c r="GI49397" s="422"/>
    </row>
    <row r="49398" spans="191:191" x14ac:dyDescent="0.2">
      <c r="GI49398" s="422"/>
    </row>
    <row r="49399" spans="191:191" x14ac:dyDescent="0.2">
      <c r="GI49399" s="422"/>
    </row>
    <row r="49400" spans="191:191" x14ac:dyDescent="0.2">
      <c r="GI49400" s="422"/>
    </row>
    <row r="49401" spans="191:191" x14ac:dyDescent="0.2">
      <c r="GI49401" s="422"/>
    </row>
    <row r="49402" spans="191:191" x14ac:dyDescent="0.2">
      <c r="GI49402" s="422"/>
    </row>
    <row r="49403" spans="191:191" x14ac:dyDescent="0.2">
      <c r="GI49403" s="422"/>
    </row>
    <row r="49404" spans="191:191" x14ac:dyDescent="0.2">
      <c r="GI49404" s="422"/>
    </row>
    <row r="49405" spans="191:191" x14ac:dyDescent="0.2">
      <c r="GI49405" s="422"/>
    </row>
    <row r="49406" spans="191:191" x14ac:dyDescent="0.2">
      <c r="GI49406" s="422"/>
    </row>
    <row r="49407" spans="191:191" x14ac:dyDescent="0.2">
      <c r="GI49407" s="422"/>
    </row>
    <row r="49408" spans="191:191" x14ac:dyDescent="0.2">
      <c r="GI49408" s="422"/>
    </row>
    <row r="49409" spans="191:191" x14ac:dyDescent="0.2">
      <c r="GI49409" s="422"/>
    </row>
    <row r="49410" spans="191:191" x14ac:dyDescent="0.2">
      <c r="GI49410" s="422"/>
    </row>
    <row r="49411" spans="191:191" x14ac:dyDescent="0.2">
      <c r="GI49411" s="422"/>
    </row>
    <row r="49412" spans="191:191" x14ac:dyDescent="0.2">
      <c r="GI49412" s="422"/>
    </row>
    <row r="49413" spans="191:191" x14ac:dyDescent="0.2">
      <c r="GI49413" s="422"/>
    </row>
    <row r="49414" spans="191:191" x14ac:dyDescent="0.2">
      <c r="GI49414" s="422"/>
    </row>
    <row r="49415" spans="191:191" x14ac:dyDescent="0.2">
      <c r="GI49415" s="422"/>
    </row>
    <row r="49416" spans="191:191" x14ac:dyDescent="0.2">
      <c r="GI49416" s="422"/>
    </row>
    <row r="49417" spans="191:191" x14ac:dyDescent="0.2">
      <c r="GI49417" s="422"/>
    </row>
    <row r="49418" spans="191:191" x14ac:dyDescent="0.2">
      <c r="GI49418" s="422"/>
    </row>
    <row r="49419" spans="191:191" x14ac:dyDescent="0.2">
      <c r="GI49419" s="422"/>
    </row>
    <row r="49420" spans="191:191" x14ac:dyDescent="0.2">
      <c r="GI49420" s="422"/>
    </row>
    <row r="49421" spans="191:191" x14ac:dyDescent="0.2">
      <c r="GI49421" s="422"/>
    </row>
    <row r="49422" spans="191:191" x14ac:dyDescent="0.2">
      <c r="GI49422" s="422"/>
    </row>
    <row r="49423" spans="191:191" x14ac:dyDescent="0.2">
      <c r="GI49423" s="422"/>
    </row>
    <row r="49424" spans="191:191" x14ac:dyDescent="0.2">
      <c r="GI49424" s="422"/>
    </row>
    <row r="49425" spans="191:191" x14ac:dyDescent="0.2">
      <c r="GI49425" s="422"/>
    </row>
    <row r="49426" spans="191:191" x14ac:dyDescent="0.2">
      <c r="GI49426" s="422"/>
    </row>
    <row r="49427" spans="191:191" x14ac:dyDescent="0.2">
      <c r="GI49427" s="422"/>
    </row>
    <row r="49428" spans="191:191" x14ac:dyDescent="0.2">
      <c r="GI49428" s="422"/>
    </row>
    <row r="49429" spans="191:191" x14ac:dyDescent="0.2">
      <c r="GI49429" s="422"/>
    </row>
    <row r="49430" spans="191:191" x14ac:dyDescent="0.2">
      <c r="GI49430" s="422"/>
    </row>
    <row r="49431" spans="191:191" x14ac:dyDescent="0.2">
      <c r="GI49431" s="422"/>
    </row>
    <row r="49432" spans="191:191" x14ac:dyDescent="0.2">
      <c r="GI49432" s="422"/>
    </row>
    <row r="49433" spans="191:191" x14ac:dyDescent="0.2">
      <c r="GI49433" s="422"/>
    </row>
    <row r="49434" spans="191:191" x14ac:dyDescent="0.2">
      <c r="GI49434" s="422"/>
    </row>
    <row r="49435" spans="191:191" x14ac:dyDescent="0.2">
      <c r="GI49435" s="422"/>
    </row>
    <row r="49436" spans="191:191" x14ac:dyDescent="0.2">
      <c r="GI49436" s="422"/>
    </row>
    <row r="49437" spans="191:191" x14ac:dyDescent="0.2">
      <c r="GI49437" s="422"/>
    </row>
    <row r="49438" spans="191:191" x14ac:dyDescent="0.2">
      <c r="GI49438" s="422"/>
    </row>
    <row r="49439" spans="191:191" x14ac:dyDescent="0.2">
      <c r="GI49439" s="422"/>
    </row>
    <row r="49440" spans="191:191" x14ac:dyDescent="0.2">
      <c r="GI49440" s="422"/>
    </row>
    <row r="49441" spans="191:191" x14ac:dyDescent="0.2">
      <c r="GI49441" s="422"/>
    </row>
    <row r="49442" spans="191:191" x14ac:dyDescent="0.2">
      <c r="GI49442" s="422"/>
    </row>
    <row r="49443" spans="191:191" x14ac:dyDescent="0.2">
      <c r="GI49443" s="422"/>
    </row>
    <row r="49444" spans="191:191" x14ac:dyDescent="0.2">
      <c r="GI49444" s="422"/>
    </row>
    <row r="49445" spans="191:191" x14ac:dyDescent="0.2">
      <c r="GI49445" s="422"/>
    </row>
    <row r="49446" spans="191:191" x14ac:dyDescent="0.2">
      <c r="GI49446" s="422"/>
    </row>
    <row r="49447" spans="191:191" x14ac:dyDescent="0.2">
      <c r="GI49447" s="422"/>
    </row>
    <row r="49448" spans="191:191" x14ac:dyDescent="0.2">
      <c r="GI49448" s="422"/>
    </row>
    <row r="49449" spans="191:191" x14ac:dyDescent="0.2">
      <c r="GI49449" s="422"/>
    </row>
    <row r="49450" spans="191:191" x14ac:dyDescent="0.2">
      <c r="GI49450" s="422"/>
    </row>
    <row r="49451" spans="191:191" x14ac:dyDescent="0.2">
      <c r="GI49451" s="422"/>
    </row>
    <row r="49452" spans="191:191" x14ac:dyDescent="0.2">
      <c r="GI49452" s="422"/>
    </row>
    <row r="49453" spans="191:191" x14ac:dyDescent="0.2">
      <c r="GI49453" s="422"/>
    </row>
    <row r="49454" spans="191:191" x14ac:dyDescent="0.2">
      <c r="GI49454" s="422"/>
    </row>
    <row r="49455" spans="191:191" x14ac:dyDescent="0.2">
      <c r="GI49455" s="422"/>
    </row>
    <row r="49456" spans="191:191" x14ac:dyDescent="0.2">
      <c r="GI49456" s="422"/>
    </row>
    <row r="49457" spans="191:191" x14ac:dyDescent="0.2">
      <c r="GI49457" s="422"/>
    </row>
    <row r="49458" spans="191:191" x14ac:dyDescent="0.2">
      <c r="GI49458" s="422"/>
    </row>
    <row r="49459" spans="191:191" x14ac:dyDescent="0.2">
      <c r="GI49459" s="422"/>
    </row>
    <row r="49460" spans="191:191" x14ac:dyDescent="0.2">
      <c r="GI49460" s="422"/>
    </row>
    <row r="49461" spans="191:191" x14ac:dyDescent="0.2">
      <c r="GI49461" s="422"/>
    </row>
    <row r="49462" spans="191:191" x14ac:dyDescent="0.2">
      <c r="GI49462" s="422"/>
    </row>
    <row r="49463" spans="191:191" x14ac:dyDescent="0.2">
      <c r="GI49463" s="422"/>
    </row>
    <row r="49464" spans="191:191" x14ac:dyDescent="0.2">
      <c r="GI49464" s="422"/>
    </row>
    <row r="49465" spans="191:191" x14ac:dyDescent="0.2">
      <c r="GI49465" s="422"/>
    </row>
    <row r="49466" spans="191:191" x14ac:dyDescent="0.2">
      <c r="GI49466" s="422"/>
    </row>
    <row r="49467" spans="191:191" x14ac:dyDescent="0.2">
      <c r="GI49467" s="422"/>
    </row>
    <row r="49468" spans="191:191" x14ac:dyDescent="0.2">
      <c r="GI49468" s="422"/>
    </row>
    <row r="49469" spans="191:191" x14ac:dyDescent="0.2">
      <c r="GI49469" s="422"/>
    </row>
    <row r="49470" spans="191:191" x14ac:dyDescent="0.2">
      <c r="GI49470" s="422"/>
    </row>
    <row r="49471" spans="191:191" x14ac:dyDescent="0.2">
      <c r="GI49471" s="422"/>
    </row>
    <row r="49472" spans="191:191" x14ac:dyDescent="0.2">
      <c r="GI49472" s="422"/>
    </row>
    <row r="49473" spans="191:191" x14ac:dyDescent="0.2">
      <c r="GI49473" s="422"/>
    </row>
    <row r="49474" spans="191:191" x14ac:dyDescent="0.2">
      <c r="GI49474" s="422"/>
    </row>
    <row r="49475" spans="191:191" x14ac:dyDescent="0.2">
      <c r="GI49475" s="422"/>
    </row>
    <row r="49476" spans="191:191" x14ac:dyDescent="0.2">
      <c r="GI49476" s="422"/>
    </row>
    <row r="49477" spans="191:191" x14ac:dyDescent="0.2">
      <c r="GI49477" s="422"/>
    </row>
    <row r="49478" spans="191:191" x14ac:dyDescent="0.2">
      <c r="GI49478" s="422"/>
    </row>
    <row r="49479" spans="191:191" x14ac:dyDescent="0.2">
      <c r="GI49479" s="422"/>
    </row>
    <row r="49480" spans="191:191" x14ac:dyDescent="0.2">
      <c r="GI49480" s="422"/>
    </row>
    <row r="49481" spans="191:191" x14ac:dyDescent="0.2">
      <c r="GI49481" s="422"/>
    </row>
    <row r="49482" spans="191:191" x14ac:dyDescent="0.2">
      <c r="GI49482" s="422"/>
    </row>
    <row r="49483" spans="191:191" x14ac:dyDescent="0.2">
      <c r="GI49483" s="422"/>
    </row>
    <row r="49484" spans="191:191" x14ac:dyDescent="0.2">
      <c r="GI49484" s="422"/>
    </row>
    <row r="49485" spans="191:191" x14ac:dyDescent="0.2">
      <c r="GI49485" s="422"/>
    </row>
    <row r="49486" spans="191:191" x14ac:dyDescent="0.2">
      <c r="GI49486" s="422"/>
    </row>
    <row r="49487" spans="191:191" x14ac:dyDescent="0.2">
      <c r="GI49487" s="422"/>
    </row>
    <row r="49488" spans="191:191" x14ac:dyDescent="0.2">
      <c r="GI49488" s="422"/>
    </row>
    <row r="49489" spans="191:191" x14ac:dyDescent="0.2">
      <c r="GI49489" s="422"/>
    </row>
    <row r="49490" spans="191:191" x14ac:dyDescent="0.2">
      <c r="GI49490" s="422"/>
    </row>
    <row r="49491" spans="191:191" x14ac:dyDescent="0.2">
      <c r="GI49491" s="422"/>
    </row>
    <row r="49492" spans="191:191" x14ac:dyDescent="0.2">
      <c r="GI49492" s="422"/>
    </row>
    <row r="49493" spans="191:191" x14ac:dyDescent="0.2">
      <c r="GI49493" s="422"/>
    </row>
    <row r="49494" spans="191:191" x14ac:dyDescent="0.2">
      <c r="GI49494" s="422"/>
    </row>
    <row r="49495" spans="191:191" x14ac:dyDescent="0.2">
      <c r="GI49495" s="422"/>
    </row>
    <row r="49496" spans="191:191" x14ac:dyDescent="0.2">
      <c r="GI49496" s="422"/>
    </row>
    <row r="49497" spans="191:191" x14ac:dyDescent="0.2">
      <c r="GI49497" s="422"/>
    </row>
    <row r="49498" spans="191:191" x14ac:dyDescent="0.2">
      <c r="GI49498" s="422"/>
    </row>
    <row r="49499" spans="191:191" x14ac:dyDescent="0.2">
      <c r="GI49499" s="422"/>
    </row>
    <row r="49500" spans="191:191" x14ac:dyDescent="0.2">
      <c r="GI49500" s="422"/>
    </row>
    <row r="49501" spans="191:191" x14ac:dyDescent="0.2">
      <c r="GI49501" s="422"/>
    </row>
    <row r="49502" spans="191:191" x14ac:dyDescent="0.2">
      <c r="GI49502" s="422"/>
    </row>
    <row r="49503" spans="191:191" x14ac:dyDescent="0.2">
      <c r="GI49503" s="422"/>
    </row>
    <row r="49504" spans="191:191" x14ac:dyDescent="0.2">
      <c r="GI49504" s="422"/>
    </row>
    <row r="49505" spans="191:191" x14ac:dyDescent="0.2">
      <c r="GI49505" s="422"/>
    </row>
    <row r="49506" spans="191:191" x14ac:dyDescent="0.2">
      <c r="GI49506" s="422"/>
    </row>
    <row r="49507" spans="191:191" x14ac:dyDescent="0.2">
      <c r="GI49507" s="422"/>
    </row>
    <row r="49508" spans="191:191" x14ac:dyDescent="0.2">
      <c r="GI49508" s="422"/>
    </row>
    <row r="49509" spans="191:191" x14ac:dyDescent="0.2">
      <c r="GI49509" s="422"/>
    </row>
    <row r="49510" spans="191:191" x14ac:dyDescent="0.2">
      <c r="GI49510" s="422"/>
    </row>
    <row r="49511" spans="191:191" x14ac:dyDescent="0.2">
      <c r="GI49511" s="422"/>
    </row>
    <row r="49512" spans="191:191" x14ac:dyDescent="0.2">
      <c r="GI49512" s="422"/>
    </row>
    <row r="49513" spans="191:191" x14ac:dyDescent="0.2">
      <c r="GI49513" s="422"/>
    </row>
    <row r="49514" spans="191:191" x14ac:dyDescent="0.2">
      <c r="GI49514" s="422"/>
    </row>
    <row r="49515" spans="191:191" x14ac:dyDescent="0.2">
      <c r="GI49515" s="422"/>
    </row>
    <row r="49516" spans="191:191" x14ac:dyDescent="0.2">
      <c r="GI49516" s="422"/>
    </row>
    <row r="49517" spans="191:191" x14ac:dyDescent="0.2">
      <c r="GI49517" s="422"/>
    </row>
    <row r="49518" spans="191:191" x14ac:dyDescent="0.2">
      <c r="GI49518" s="422"/>
    </row>
    <row r="49519" spans="191:191" x14ac:dyDescent="0.2">
      <c r="GI49519" s="422"/>
    </row>
    <row r="49520" spans="191:191" x14ac:dyDescent="0.2">
      <c r="GI49520" s="422"/>
    </row>
    <row r="49521" spans="191:191" x14ac:dyDescent="0.2">
      <c r="GI49521" s="422"/>
    </row>
    <row r="49522" spans="191:191" x14ac:dyDescent="0.2">
      <c r="GI49522" s="422"/>
    </row>
    <row r="49523" spans="191:191" x14ac:dyDescent="0.2">
      <c r="GI49523" s="422"/>
    </row>
    <row r="49524" spans="191:191" x14ac:dyDescent="0.2">
      <c r="GI49524" s="422"/>
    </row>
    <row r="49525" spans="191:191" x14ac:dyDescent="0.2">
      <c r="GI49525" s="422"/>
    </row>
    <row r="49526" spans="191:191" x14ac:dyDescent="0.2">
      <c r="GI49526" s="422"/>
    </row>
    <row r="49527" spans="191:191" x14ac:dyDescent="0.2">
      <c r="GI49527" s="422"/>
    </row>
    <row r="49528" spans="191:191" x14ac:dyDescent="0.2">
      <c r="GI49528" s="422"/>
    </row>
    <row r="49529" spans="191:191" x14ac:dyDescent="0.2">
      <c r="GI49529" s="422"/>
    </row>
    <row r="49530" spans="191:191" x14ac:dyDescent="0.2">
      <c r="GI49530" s="422"/>
    </row>
    <row r="49531" spans="191:191" x14ac:dyDescent="0.2">
      <c r="GI49531" s="422"/>
    </row>
    <row r="49532" spans="191:191" x14ac:dyDescent="0.2">
      <c r="GI49532" s="422"/>
    </row>
    <row r="49533" spans="191:191" x14ac:dyDescent="0.2">
      <c r="GI49533" s="422"/>
    </row>
    <row r="49534" spans="191:191" x14ac:dyDescent="0.2">
      <c r="GI49534" s="422"/>
    </row>
    <row r="49535" spans="191:191" x14ac:dyDescent="0.2">
      <c r="GI49535" s="422"/>
    </row>
    <row r="49536" spans="191:191" x14ac:dyDescent="0.2">
      <c r="GI49536" s="422"/>
    </row>
    <row r="49537" spans="191:191" x14ac:dyDescent="0.2">
      <c r="GI49537" s="422"/>
    </row>
    <row r="49538" spans="191:191" x14ac:dyDescent="0.2">
      <c r="GI49538" s="422"/>
    </row>
    <row r="49539" spans="191:191" x14ac:dyDescent="0.2">
      <c r="GI49539" s="422"/>
    </row>
    <row r="49540" spans="191:191" x14ac:dyDescent="0.2">
      <c r="GI49540" s="422"/>
    </row>
    <row r="49541" spans="191:191" x14ac:dyDescent="0.2">
      <c r="GI49541" s="422"/>
    </row>
    <row r="49542" spans="191:191" x14ac:dyDescent="0.2">
      <c r="GI49542" s="422"/>
    </row>
    <row r="49543" spans="191:191" x14ac:dyDescent="0.2">
      <c r="GI49543" s="422"/>
    </row>
    <row r="49544" spans="191:191" x14ac:dyDescent="0.2">
      <c r="GI49544" s="422"/>
    </row>
    <row r="49545" spans="191:191" x14ac:dyDescent="0.2">
      <c r="GI49545" s="422"/>
    </row>
    <row r="49546" spans="191:191" x14ac:dyDescent="0.2">
      <c r="GI49546" s="422"/>
    </row>
    <row r="49547" spans="191:191" x14ac:dyDescent="0.2">
      <c r="GI49547" s="422"/>
    </row>
    <row r="49548" spans="191:191" x14ac:dyDescent="0.2">
      <c r="GI49548" s="422"/>
    </row>
    <row r="49549" spans="191:191" x14ac:dyDescent="0.2">
      <c r="GI49549" s="422"/>
    </row>
    <row r="49550" spans="191:191" x14ac:dyDescent="0.2">
      <c r="GI49550" s="422"/>
    </row>
    <row r="49551" spans="191:191" x14ac:dyDescent="0.2">
      <c r="GI49551" s="422"/>
    </row>
    <row r="49552" spans="191:191" x14ac:dyDescent="0.2">
      <c r="GI49552" s="422"/>
    </row>
    <row r="49553" spans="191:191" x14ac:dyDescent="0.2">
      <c r="GI49553" s="422"/>
    </row>
    <row r="49554" spans="191:191" x14ac:dyDescent="0.2">
      <c r="GI49554" s="422"/>
    </row>
    <row r="49555" spans="191:191" x14ac:dyDescent="0.2">
      <c r="GI49555" s="422"/>
    </row>
    <row r="49556" spans="191:191" x14ac:dyDescent="0.2">
      <c r="GI49556" s="422"/>
    </row>
    <row r="49557" spans="191:191" x14ac:dyDescent="0.2">
      <c r="GI49557" s="422"/>
    </row>
    <row r="49558" spans="191:191" x14ac:dyDescent="0.2">
      <c r="GI49558" s="422"/>
    </row>
    <row r="49559" spans="191:191" x14ac:dyDescent="0.2">
      <c r="GI49559" s="422"/>
    </row>
    <row r="49560" spans="191:191" x14ac:dyDescent="0.2">
      <c r="GI49560" s="422"/>
    </row>
    <row r="49561" spans="191:191" x14ac:dyDescent="0.2">
      <c r="GI49561" s="422"/>
    </row>
    <row r="49562" spans="191:191" x14ac:dyDescent="0.2">
      <c r="GI49562" s="422"/>
    </row>
    <row r="49563" spans="191:191" x14ac:dyDescent="0.2">
      <c r="GI49563" s="422"/>
    </row>
    <row r="49564" spans="191:191" x14ac:dyDescent="0.2">
      <c r="GI49564" s="422"/>
    </row>
    <row r="49565" spans="191:191" x14ac:dyDescent="0.2">
      <c r="GI49565" s="422"/>
    </row>
    <row r="49566" spans="191:191" x14ac:dyDescent="0.2">
      <c r="GI49566" s="422"/>
    </row>
    <row r="49567" spans="191:191" x14ac:dyDescent="0.2">
      <c r="GI49567" s="422"/>
    </row>
    <row r="49568" spans="191:191" x14ac:dyDescent="0.2">
      <c r="GI49568" s="422"/>
    </row>
    <row r="49569" spans="191:191" x14ac:dyDescent="0.2">
      <c r="GI49569" s="422"/>
    </row>
    <row r="49570" spans="191:191" x14ac:dyDescent="0.2">
      <c r="GI49570" s="422"/>
    </row>
    <row r="49571" spans="191:191" x14ac:dyDescent="0.2">
      <c r="GI49571" s="422"/>
    </row>
    <row r="49572" spans="191:191" x14ac:dyDescent="0.2">
      <c r="GI49572" s="422"/>
    </row>
    <row r="49573" spans="191:191" x14ac:dyDescent="0.2">
      <c r="GI49573" s="422"/>
    </row>
    <row r="49574" spans="191:191" x14ac:dyDescent="0.2">
      <c r="GI49574" s="422"/>
    </row>
    <row r="49575" spans="191:191" x14ac:dyDescent="0.2">
      <c r="GI49575" s="422"/>
    </row>
    <row r="49576" spans="191:191" x14ac:dyDescent="0.2">
      <c r="GI49576" s="422"/>
    </row>
    <row r="49577" spans="191:191" x14ac:dyDescent="0.2">
      <c r="GI49577" s="422"/>
    </row>
    <row r="49578" spans="191:191" x14ac:dyDescent="0.2">
      <c r="GI49578" s="422"/>
    </row>
    <row r="49579" spans="191:191" x14ac:dyDescent="0.2">
      <c r="GI49579" s="422"/>
    </row>
    <row r="49580" spans="191:191" x14ac:dyDescent="0.2">
      <c r="GI49580" s="422"/>
    </row>
    <row r="49581" spans="191:191" x14ac:dyDescent="0.2">
      <c r="GI49581" s="422"/>
    </row>
    <row r="49582" spans="191:191" x14ac:dyDescent="0.2">
      <c r="GI49582" s="422"/>
    </row>
    <row r="49583" spans="191:191" x14ac:dyDescent="0.2">
      <c r="GI49583" s="422"/>
    </row>
    <row r="49584" spans="191:191" x14ac:dyDescent="0.2">
      <c r="GI49584" s="422"/>
    </row>
    <row r="49585" spans="191:191" x14ac:dyDescent="0.2">
      <c r="GI49585" s="422"/>
    </row>
    <row r="49586" spans="191:191" x14ac:dyDescent="0.2">
      <c r="GI49586" s="422"/>
    </row>
    <row r="49587" spans="191:191" x14ac:dyDescent="0.2">
      <c r="GI49587" s="422"/>
    </row>
    <row r="49588" spans="191:191" x14ac:dyDescent="0.2">
      <c r="GI49588" s="422"/>
    </row>
    <row r="49589" spans="191:191" x14ac:dyDescent="0.2">
      <c r="GI49589" s="422"/>
    </row>
    <row r="49590" spans="191:191" x14ac:dyDescent="0.2">
      <c r="GI49590" s="422"/>
    </row>
    <row r="49591" spans="191:191" x14ac:dyDescent="0.2">
      <c r="GI49591" s="422"/>
    </row>
    <row r="49592" spans="191:191" x14ac:dyDescent="0.2">
      <c r="GI49592" s="422"/>
    </row>
    <row r="49593" spans="191:191" x14ac:dyDescent="0.2">
      <c r="GI49593" s="422"/>
    </row>
    <row r="49594" spans="191:191" x14ac:dyDescent="0.2">
      <c r="GI49594" s="422"/>
    </row>
    <row r="49595" spans="191:191" x14ac:dyDescent="0.2">
      <c r="GI49595" s="422"/>
    </row>
    <row r="49596" spans="191:191" x14ac:dyDescent="0.2">
      <c r="GI49596" s="422"/>
    </row>
    <row r="49597" spans="191:191" x14ac:dyDescent="0.2">
      <c r="GI49597" s="422"/>
    </row>
    <row r="49598" spans="191:191" x14ac:dyDescent="0.2">
      <c r="GI49598" s="422"/>
    </row>
    <row r="49599" spans="191:191" x14ac:dyDescent="0.2">
      <c r="GI49599" s="422"/>
    </row>
    <row r="49600" spans="191:191" x14ac:dyDescent="0.2">
      <c r="GI49600" s="422"/>
    </row>
    <row r="49601" spans="191:191" x14ac:dyDescent="0.2">
      <c r="GI49601" s="422"/>
    </row>
    <row r="49602" spans="191:191" x14ac:dyDescent="0.2">
      <c r="GI49602" s="422"/>
    </row>
    <row r="49603" spans="191:191" x14ac:dyDescent="0.2">
      <c r="GI49603" s="422"/>
    </row>
    <row r="49604" spans="191:191" x14ac:dyDescent="0.2">
      <c r="GI49604" s="422"/>
    </row>
    <row r="49605" spans="191:191" x14ac:dyDescent="0.2">
      <c r="GI49605" s="422"/>
    </row>
    <row r="49606" spans="191:191" x14ac:dyDescent="0.2">
      <c r="GI49606" s="422"/>
    </row>
    <row r="49607" spans="191:191" x14ac:dyDescent="0.2">
      <c r="GI49607" s="422"/>
    </row>
    <row r="49608" spans="191:191" x14ac:dyDescent="0.2">
      <c r="GI49608" s="422"/>
    </row>
    <row r="49609" spans="191:191" x14ac:dyDescent="0.2">
      <c r="GI49609" s="422"/>
    </row>
    <row r="49610" spans="191:191" x14ac:dyDescent="0.2">
      <c r="GI49610" s="422"/>
    </row>
    <row r="49611" spans="191:191" x14ac:dyDescent="0.2">
      <c r="GI49611" s="422"/>
    </row>
    <row r="49612" spans="191:191" x14ac:dyDescent="0.2">
      <c r="GI49612" s="422"/>
    </row>
    <row r="49613" spans="191:191" x14ac:dyDescent="0.2">
      <c r="GI49613" s="422"/>
    </row>
    <row r="49614" spans="191:191" x14ac:dyDescent="0.2">
      <c r="GI49614" s="422"/>
    </row>
    <row r="49615" spans="191:191" x14ac:dyDescent="0.2">
      <c r="GI49615" s="422"/>
    </row>
    <row r="49616" spans="191:191" x14ac:dyDescent="0.2">
      <c r="GI49616" s="422"/>
    </row>
    <row r="49617" spans="191:191" x14ac:dyDescent="0.2">
      <c r="GI49617" s="422"/>
    </row>
    <row r="49618" spans="191:191" x14ac:dyDescent="0.2">
      <c r="GI49618" s="422"/>
    </row>
    <row r="49619" spans="191:191" x14ac:dyDescent="0.2">
      <c r="GI49619" s="422"/>
    </row>
    <row r="49620" spans="191:191" x14ac:dyDescent="0.2">
      <c r="GI49620" s="422"/>
    </row>
    <row r="49621" spans="191:191" x14ac:dyDescent="0.2">
      <c r="GI49621" s="422"/>
    </row>
    <row r="49622" spans="191:191" x14ac:dyDescent="0.2">
      <c r="GI49622" s="422"/>
    </row>
    <row r="49623" spans="191:191" x14ac:dyDescent="0.2">
      <c r="GI49623" s="422"/>
    </row>
    <row r="49624" spans="191:191" x14ac:dyDescent="0.2">
      <c r="GI49624" s="422"/>
    </row>
    <row r="49625" spans="191:191" x14ac:dyDescent="0.2">
      <c r="GI49625" s="422"/>
    </row>
    <row r="49626" spans="191:191" x14ac:dyDescent="0.2">
      <c r="GI49626" s="422"/>
    </row>
    <row r="49627" spans="191:191" x14ac:dyDescent="0.2">
      <c r="GI49627" s="422"/>
    </row>
    <row r="49628" spans="191:191" x14ac:dyDescent="0.2">
      <c r="GI49628" s="422"/>
    </row>
    <row r="49629" spans="191:191" x14ac:dyDescent="0.2">
      <c r="GI49629" s="422"/>
    </row>
    <row r="49630" spans="191:191" x14ac:dyDescent="0.2">
      <c r="GI49630" s="422"/>
    </row>
    <row r="49631" spans="191:191" x14ac:dyDescent="0.2">
      <c r="GI49631" s="422"/>
    </row>
    <row r="49632" spans="191:191" x14ac:dyDescent="0.2">
      <c r="GI49632" s="422"/>
    </row>
    <row r="49633" spans="191:191" x14ac:dyDescent="0.2">
      <c r="GI49633" s="422"/>
    </row>
    <row r="49634" spans="191:191" x14ac:dyDescent="0.2">
      <c r="GI49634" s="422"/>
    </row>
    <row r="49635" spans="191:191" x14ac:dyDescent="0.2">
      <c r="GI49635" s="422"/>
    </row>
    <row r="49636" spans="191:191" x14ac:dyDescent="0.2">
      <c r="GI49636" s="422"/>
    </row>
    <row r="49637" spans="191:191" x14ac:dyDescent="0.2">
      <c r="GI49637" s="422"/>
    </row>
    <row r="49638" spans="191:191" x14ac:dyDescent="0.2">
      <c r="GI49638" s="422"/>
    </row>
    <row r="49639" spans="191:191" x14ac:dyDescent="0.2">
      <c r="GI49639" s="422"/>
    </row>
    <row r="49640" spans="191:191" x14ac:dyDescent="0.2">
      <c r="GI49640" s="422"/>
    </row>
    <row r="49641" spans="191:191" x14ac:dyDescent="0.2">
      <c r="GI49641" s="422"/>
    </row>
    <row r="49642" spans="191:191" x14ac:dyDescent="0.2">
      <c r="GI49642" s="422"/>
    </row>
    <row r="49643" spans="191:191" x14ac:dyDescent="0.2">
      <c r="GI49643" s="422"/>
    </row>
    <row r="49644" spans="191:191" x14ac:dyDescent="0.2">
      <c r="GI49644" s="422"/>
    </row>
    <row r="49645" spans="191:191" x14ac:dyDescent="0.2">
      <c r="GI49645" s="422"/>
    </row>
    <row r="49646" spans="191:191" x14ac:dyDescent="0.2">
      <c r="GI49646" s="422"/>
    </row>
    <row r="49647" spans="191:191" x14ac:dyDescent="0.2">
      <c r="GI49647" s="422"/>
    </row>
    <row r="49648" spans="191:191" x14ac:dyDescent="0.2">
      <c r="GI49648" s="422"/>
    </row>
    <row r="49649" spans="191:191" x14ac:dyDescent="0.2">
      <c r="GI49649" s="422"/>
    </row>
    <row r="49650" spans="191:191" x14ac:dyDescent="0.2">
      <c r="GI49650" s="422"/>
    </row>
    <row r="49651" spans="191:191" x14ac:dyDescent="0.2">
      <c r="GI49651" s="422"/>
    </row>
    <row r="49652" spans="191:191" x14ac:dyDescent="0.2">
      <c r="GI49652" s="422"/>
    </row>
    <row r="49653" spans="191:191" x14ac:dyDescent="0.2">
      <c r="GI49653" s="422"/>
    </row>
    <row r="49654" spans="191:191" x14ac:dyDescent="0.2">
      <c r="GI49654" s="422"/>
    </row>
    <row r="49655" spans="191:191" x14ac:dyDescent="0.2">
      <c r="GI49655" s="422"/>
    </row>
    <row r="49656" spans="191:191" x14ac:dyDescent="0.2">
      <c r="GI49656" s="422"/>
    </row>
    <row r="49657" spans="191:191" x14ac:dyDescent="0.2">
      <c r="GI49657" s="422"/>
    </row>
    <row r="49658" spans="191:191" x14ac:dyDescent="0.2">
      <c r="GI49658" s="422"/>
    </row>
    <row r="49659" spans="191:191" x14ac:dyDescent="0.2">
      <c r="GI49659" s="422"/>
    </row>
    <row r="49660" spans="191:191" x14ac:dyDescent="0.2">
      <c r="GI49660" s="422"/>
    </row>
    <row r="49661" spans="191:191" x14ac:dyDescent="0.2">
      <c r="GI49661" s="422"/>
    </row>
    <row r="49662" spans="191:191" x14ac:dyDescent="0.2">
      <c r="GI49662" s="422"/>
    </row>
    <row r="49663" spans="191:191" x14ac:dyDescent="0.2">
      <c r="GI49663" s="422"/>
    </row>
    <row r="49664" spans="191:191" x14ac:dyDescent="0.2">
      <c r="GI49664" s="422"/>
    </row>
    <row r="49665" spans="191:191" x14ac:dyDescent="0.2">
      <c r="GI49665" s="422"/>
    </row>
    <row r="49666" spans="191:191" x14ac:dyDescent="0.2">
      <c r="GI49666" s="422"/>
    </row>
    <row r="49667" spans="191:191" x14ac:dyDescent="0.2">
      <c r="GI49667" s="422"/>
    </row>
    <row r="49668" spans="191:191" x14ac:dyDescent="0.2">
      <c r="GI49668" s="422"/>
    </row>
    <row r="49669" spans="191:191" x14ac:dyDescent="0.2">
      <c r="GI49669" s="422"/>
    </row>
    <row r="49670" spans="191:191" x14ac:dyDescent="0.2">
      <c r="GI49670" s="422"/>
    </row>
    <row r="49671" spans="191:191" x14ac:dyDescent="0.2">
      <c r="GI49671" s="422"/>
    </row>
    <row r="49672" spans="191:191" x14ac:dyDescent="0.2">
      <c r="GI49672" s="422"/>
    </row>
    <row r="49673" spans="191:191" x14ac:dyDescent="0.2">
      <c r="GI49673" s="422"/>
    </row>
    <row r="49674" spans="191:191" x14ac:dyDescent="0.2">
      <c r="GI49674" s="422"/>
    </row>
    <row r="49675" spans="191:191" x14ac:dyDescent="0.2">
      <c r="GI49675" s="422"/>
    </row>
    <row r="49676" spans="191:191" x14ac:dyDescent="0.2">
      <c r="GI49676" s="422"/>
    </row>
    <row r="49677" spans="191:191" x14ac:dyDescent="0.2">
      <c r="GI49677" s="422"/>
    </row>
    <row r="49678" spans="191:191" x14ac:dyDescent="0.2">
      <c r="GI49678" s="422"/>
    </row>
    <row r="49679" spans="191:191" x14ac:dyDescent="0.2">
      <c r="GI49679" s="422"/>
    </row>
    <row r="49680" spans="191:191" x14ac:dyDescent="0.2">
      <c r="GI49680" s="422"/>
    </row>
    <row r="49681" spans="191:191" x14ac:dyDescent="0.2">
      <c r="GI49681" s="422"/>
    </row>
    <row r="49682" spans="191:191" x14ac:dyDescent="0.2">
      <c r="GI49682" s="422"/>
    </row>
    <row r="49683" spans="191:191" x14ac:dyDescent="0.2">
      <c r="GI49683" s="422"/>
    </row>
    <row r="49684" spans="191:191" x14ac:dyDescent="0.2">
      <c r="GI49684" s="422"/>
    </row>
    <row r="49685" spans="191:191" x14ac:dyDescent="0.2">
      <c r="GI49685" s="422"/>
    </row>
    <row r="49686" spans="191:191" x14ac:dyDescent="0.2">
      <c r="GI49686" s="422"/>
    </row>
    <row r="49687" spans="191:191" x14ac:dyDescent="0.2">
      <c r="GI49687" s="422"/>
    </row>
    <row r="49688" spans="191:191" x14ac:dyDescent="0.2">
      <c r="GI49688" s="422"/>
    </row>
    <row r="49689" spans="191:191" x14ac:dyDescent="0.2">
      <c r="GI49689" s="422"/>
    </row>
    <row r="49690" spans="191:191" x14ac:dyDescent="0.2">
      <c r="GI49690" s="422"/>
    </row>
    <row r="49691" spans="191:191" x14ac:dyDescent="0.2">
      <c r="GI49691" s="422"/>
    </row>
    <row r="49692" spans="191:191" x14ac:dyDescent="0.2">
      <c r="GI49692" s="422"/>
    </row>
    <row r="49693" spans="191:191" x14ac:dyDescent="0.2">
      <c r="GI49693" s="422"/>
    </row>
    <row r="49694" spans="191:191" x14ac:dyDescent="0.2">
      <c r="GI49694" s="422"/>
    </row>
    <row r="49695" spans="191:191" x14ac:dyDescent="0.2">
      <c r="GI49695" s="422"/>
    </row>
    <row r="49696" spans="191:191" x14ac:dyDescent="0.2">
      <c r="GI49696" s="422"/>
    </row>
    <row r="49697" spans="191:191" x14ac:dyDescent="0.2">
      <c r="GI49697" s="422"/>
    </row>
    <row r="49698" spans="191:191" x14ac:dyDescent="0.2">
      <c r="GI49698" s="422"/>
    </row>
    <row r="49699" spans="191:191" x14ac:dyDescent="0.2">
      <c r="GI49699" s="422"/>
    </row>
    <row r="49700" spans="191:191" x14ac:dyDescent="0.2">
      <c r="GI49700" s="422"/>
    </row>
    <row r="49701" spans="191:191" x14ac:dyDescent="0.2">
      <c r="GI49701" s="422"/>
    </row>
    <row r="49702" spans="191:191" x14ac:dyDescent="0.2">
      <c r="GI49702" s="422"/>
    </row>
    <row r="49703" spans="191:191" x14ac:dyDescent="0.2">
      <c r="GI49703" s="422"/>
    </row>
    <row r="49704" spans="191:191" x14ac:dyDescent="0.2">
      <c r="GI49704" s="422"/>
    </row>
    <row r="49705" spans="191:191" x14ac:dyDescent="0.2">
      <c r="GI49705" s="422"/>
    </row>
    <row r="49706" spans="191:191" x14ac:dyDescent="0.2">
      <c r="GI49706" s="422"/>
    </row>
    <row r="49707" spans="191:191" x14ac:dyDescent="0.2">
      <c r="GI49707" s="422"/>
    </row>
    <row r="49708" spans="191:191" x14ac:dyDescent="0.2">
      <c r="GI49708" s="422"/>
    </row>
    <row r="49709" spans="191:191" x14ac:dyDescent="0.2">
      <c r="GI49709" s="422"/>
    </row>
    <row r="49710" spans="191:191" x14ac:dyDescent="0.2">
      <c r="GI49710" s="422"/>
    </row>
    <row r="49711" spans="191:191" x14ac:dyDescent="0.2">
      <c r="GI49711" s="422"/>
    </row>
    <row r="49712" spans="191:191" x14ac:dyDescent="0.2">
      <c r="GI49712" s="422"/>
    </row>
    <row r="49713" spans="191:191" x14ac:dyDescent="0.2">
      <c r="GI49713" s="422"/>
    </row>
    <row r="49714" spans="191:191" x14ac:dyDescent="0.2">
      <c r="GI49714" s="422"/>
    </row>
    <row r="49715" spans="191:191" x14ac:dyDescent="0.2">
      <c r="GI49715" s="422"/>
    </row>
    <row r="49716" spans="191:191" x14ac:dyDescent="0.2">
      <c r="GI49716" s="422"/>
    </row>
    <row r="49717" spans="191:191" x14ac:dyDescent="0.2">
      <c r="GI49717" s="422"/>
    </row>
    <row r="49718" spans="191:191" x14ac:dyDescent="0.2">
      <c r="GI49718" s="422"/>
    </row>
    <row r="49719" spans="191:191" x14ac:dyDescent="0.2">
      <c r="GI49719" s="422"/>
    </row>
    <row r="49720" spans="191:191" x14ac:dyDescent="0.2">
      <c r="GI49720" s="422"/>
    </row>
    <row r="49721" spans="191:191" x14ac:dyDescent="0.2">
      <c r="GI49721" s="422"/>
    </row>
    <row r="49722" spans="191:191" x14ac:dyDescent="0.2">
      <c r="GI49722" s="422"/>
    </row>
    <row r="49723" spans="191:191" x14ac:dyDescent="0.2">
      <c r="GI49723" s="422"/>
    </row>
    <row r="49724" spans="191:191" x14ac:dyDescent="0.2">
      <c r="GI49724" s="422"/>
    </row>
    <row r="49725" spans="191:191" x14ac:dyDescent="0.2">
      <c r="GI49725" s="422"/>
    </row>
    <row r="49726" spans="191:191" x14ac:dyDescent="0.2">
      <c r="GI49726" s="422"/>
    </row>
    <row r="49727" spans="191:191" x14ac:dyDescent="0.2">
      <c r="GI49727" s="422"/>
    </row>
    <row r="49728" spans="191:191" x14ac:dyDescent="0.2">
      <c r="GI49728" s="422"/>
    </row>
    <row r="49729" spans="191:191" x14ac:dyDescent="0.2">
      <c r="GI49729" s="422"/>
    </row>
    <row r="49730" spans="191:191" x14ac:dyDescent="0.2">
      <c r="GI49730" s="422"/>
    </row>
    <row r="49731" spans="191:191" x14ac:dyDescent="0.2">
      <c r="GI49731" s="422"/>
    </row>
    <row r="49732" spans="191:191" x14ac:dyDescent="0.2">
      <c r="GI49732" s="422"/>
    </row>
    <row r="49733" spans="191:191" x14ac:dyDescent="0.2">
      <c r="GI49733" s="422"/>
    </row>
    <row r="49734" spans="191:191" x14ac:dyDescent="0.2">
      <c r="GI49734" s="422"/>
    </row>
    <row r="49735" spans="191:191" x14ac:dyDescent="0.2">
      <c r="GI49735" s="422"/>
    </row>
    <row r="49736" spans="191:191" x14ac:dyDescent="0.2">
      <c r="GI49736" s="422"/>
    </row>
    <row r="49737" spans="191:191" x14ac:dyDescent="0.2">
      <c r="GI49737" s="422"/>
    </row>
    <row r="49738" spans="191:191" x14ac:dyDescent="0.2">
      <c r="GI49738" s="422"/>
    </row>
    <row r="49739" spans="191:191" x14ac:dyDescent="0.2">
      <c r="GI49739" s="422"/>
    </row>
    <row r="49740" spans="191:191" x14ac:dyDescent="0.2">
      <c r="GI49740" s="422"/>
    </row>
    <row r="49741" spans="191:191" x14ac:dyDescent="0.2">
      <c r="GI49741" s="422"/>
    </row>
    <row r="49742" spans="191:191" x14ac:dyDescent="0.2">
      <c r="GI49742" s="422"/>
    </row>
    <row r="49743" spans="191:191" x14ac:dyDescent="0.2">
      <c r="GI49743" s="422"/>
    </row>
    <row r="49744" spans="191:191" x14ac:dyDescent="0.2">
      <c r="GI49744" s="422"/>
    </row>
    <row r="49745" spans="191:191" x14ac:dyDescent="0.2">
      <c r="GI49745" s="422"/>
    </row>
    <row r="49746" spans="191:191" x14ac:dyDescent="0.2">
      <c r="GI49746" s="422"/>
    </row>
    <row r="49747" spans="191:191" x14ac:dyDescent="0.2">
      <c r="GI49747" s="422"/>
    </row>
    <row r="49748" spans="191:191" x14ac:dyDescent="0.2">
      <c r="GI49748" s="422"/>
    </row>
    <row r="49749" spans="191:191" x14ac:dyDescent="0.2">
      <c r="GI49749" s="422"/>
    </row>
    <row r="49750" spans="191:191" x14ac:dyDescent="0.2">
      <c r="GI49750" s="422"/>
    </row>
    <row r="49751" spans="191:191" x14ac:dyDescent="0.2">
      <c r="GI49751" s="422"/>
    </row>
    <row r="49752" spans="191:191" x14ac:dyDescent="0.2">
      <c r="GI49752" s="422"/>
    </row>
    <row r="49753" spans="191:191" x14ac:dyDescent="0.2">
      <c r="GI49753" s="422"/>
    </row>
    <row r="49754" spans="191:191" x14ac:dyDescent="0.2">
      <c r="GI49754" s="422"/>
    </row>
    <row r="49755" spans="191:191" x14ac:dyDescent="0.2">
      <c r="GI49755" s="422"/>
    </row>
    <row r="49756" spans="191:191" x14ac:dyDescent="0.2">
      <c r="GI49756" s="422"/>
    </row>
    <row r="49757" spans="191:191" x14ac:dyDescent="0.2">
      <c r="GI49757" s="422"/>
    </row>
    <row r="49758" spans="191:191" x14ac:dyDescent="0.2">
      <c r="GI49758" s="422"/>
    </row>
    <row r="49759" spans="191:191" x14ac:dyDescent="0.2">
      <c r="GI49759" s="422"/>
    </row>
    <row r="49760" spans="191:191" x14ac:dyDescent="0.2">
      <c r="GI49760" s="422"/>
    </row>
    <row r="49761" spans="191:191" x14ac:dyDescent="0.2">
      <c r="GI49761" s="422"/>
    </row>
    <row r="49762" spans="191:191" x14ac:dyDescent="0.2">
      <c r="GI49762" s="422"/>
    </row>
    <row r="49763" spans="191:191" x14ac:dyDescent="0.2">
      <c r="GI49763" s="422"/>
    </row>
    <row r="49764" spans="191:191" x14ac:dyDescent="0.2">
      <c r="GI49764" s="422"/>
    </row>
    <row r="49765" spans="191:191" x14ac:dyDescent="0.2">
      <c r="GI49765" s="422"/>
    </row>
    <row r="49766" spans="191:191" x14ac:dyDescent="0.2">
      <c r="GI49766" s="422"/>
    </row>
    <row r="49767" spans="191:191" x14ac:dyDescent="0.2">
      <c r="GI49767" s="422"/>
    </row>
    <row r="49768" spans="191:191" x14ac:dyDescent="0.2">
      <c r="GI49768" s="422"/>
    </row>
    <row r="49769" spans="191:191" x14ac:dyDescent="0.2">
      <c r="GI49769" s="422"/>
    </row>
    <row r="49770" spans="191:191" x14ac:dyDescent="0.2">
      <c r="GI49770" s="422"/>
    </row>
    <row r="49771" spans="191:191" x14ac:dyDescent="0.2">
      <c r="GI49771" s="422"/>
    </row>
    <row r="49772" spans="191:191" x14ac:dyDescent="0.2">
      <c r="GI49772" s="422"/>
    </row>
    <row r="49773" spans="191:191" x14ac:dyDescent="0.2">
      <c r="GI49773" s="422"/>
    </row>
    <row r="49774" spans="191:191" x14ac:dyDescent="0.2">
      <c r="GI49774" s="422"/>
    </row>
    <row r="49775" spans="191:191" x14ac:dyDescent="0.2">
      <c r="GI49775" s="422"/>
    </row>
    <row r="49776" spans="191:191" x14ac:dyDescent="0.2">
      <c r="GI49776" s="422"/>
    </row>
    <row r="49777" spans="191:191" x14ac:dyDescent="0.2">
      <c r="GI49777" s="422"/>
    </row>
    <row r="49778" spans="191:191" x14ac:dyDescent="0.2">
      <c r="GI49778" s="422"/>
    </row>
    <row r="49779" spans="191:191" x14ac:dyDescent="0.2">
      <c r="GI49779" s="422"/>
    </row>
    <row r="49780" spans="191:191" x14ac:dyDescent="0.2">
      <c r="GI49780" s="422"/>
    </row>
    <row r="49781" spans="191:191" x14ac:dyDescent="0.2">
      <c r="GI49781" s="422"/>
    </row>
    <row r="49782" spans="191:191" x14ac:dyDescent="0.2">
      <c r="GI49782" s="422"/>
    </row>
    <row r="49783" spans="191:191" x14ac:dyDescent="0.2">
      <c r="GI49783" s="422"/>
    </row>
    <row r="49784" spans="191:191" x14ac:dyDescent="0.2">
      <c r="GI49784" s="422"/>
    </row>
    <row r="49785" spans="191:191" x14ac:dyDescent="0.2">
      <c r="GI49785" s="422"/>
    </row>
    <row r="49786" spans="191:191" x14ac:dyDescent="0.2">
      <c r="GI49786" s="422"/>
    </row>
    <row r="49787" spans="191:191" x14ac:dyDescent="0.2">
      <c r="GI49787" s="422"/>
    </row>
    <row r="49788" spans="191:191" x14ac:dyDescent="0.2">
      <c r="GI49788" s="422"/>
    </row>
    <row r="49789" spans="191:191" x14ac:dyDescent="0.2">
      <c r="GI49789" s="422"/>
    </row>
    <row r="49790" spans="191:191" x14ac:dyDescent="0.2">
      <c r="GI49790" s="422"/>
    </row>
    <row r="49791" spans="191:191" x14ac:dyDescent="0.2">
      <c r="GI49791" s="422"/>
    </row>
    <row r="49792" spans="191:191" x14ac:dyDescent="0.2">
      <c r="GI49792" s="422"/>
    </row>
    <row r="49793" spans="191:191" x14ac:dyDescent="0.2">
      <c r="GI49793" s="422"/>
    </row>
    <row r="49794" spans="191:191" x14ac:dyDescent="0.2">
      <c r="GI49794" s="422"/>
    </row>
    <row r="49795" spans="191:191" x14ac:dyDescent="0.2">
      <c r="GI49795" s="422"/>
    </row>
    <row r="49796" spans="191:191" x14ac:dyDescent="0.2">
      <c r="GI49796" s="422"/>
    </row>
    <row r="49797" spans="191:191" x14ac:dyDescent="0.2">
      <c r="GI49797" s="422"/>
    </row>
    <row r="49798" spans="191:191" x14ac:dyDescent="0.2">
      <c r="GI49798" s="422"/>
    </row>
    <row r="49799" spans="191:191" x14ac:dyDescent="0.2">
      <c r="GI49799" s="422"/>
    </row>
    <row r="49800" spans="191:191" x14ac:dyDescent="0.2">
      <c r="GI49800" s="422"/>
    </row>
    <row r="49801" spans="191:191" x14ac:dyDescent="0.2">
      <c r="GI49801" s="422"/>
    </row>
    <row r="49802" spans="191:191" x14ac:dyDescent="0.2">
      <c r="GI49802" s="422"/>
    </row>
    <row r="49803" spans="191:191" x14ac:dyDescent="0.2">
      <c r="GI49803" s="422"/>
    </row>
    <row r="49804" spans="191:191" x14ac:dyDescent="0.2">
      <c r="GI49804" s="422"/>
    </row>
    <row r="49805" spans="191:191" x14ac:dyDescent="0.2">
      <c r="GI49805" s="422"/>
    </row>
    <row r="49806" spans="191:191" x14ac:dyDescent="0.2">
      <c r="GI49806" s="422"/>
    </row>
    <row r="49807" spans="191:191" x14ac:dyDescent="0.2">
      <c r="GI49807" s="422"/>
    </row>
    <row r="49808" spans="191:191" x14ac:dyDescent="0.2">
      <c r="GI49808" s="422"/>
    </row>
    <row r="49809" spans="191:191" x14ac:dyDescent="0.2">
      <c r="GI49809" s="422"/>
    </row>
    <row r="49810" spans="191:191" x14ac:dyDescent="0.2">
      <c r="GI49810" s="422"/>
    </row>
    <row r="49811" spans="191:191" x14ac:dyDescent="0.2">
      <c r="GI49811" s="422"/>
    </row>
    <row r="49812" spans="191:191" x14ac:dyDescent="0.2">
      <c r="GI49812" s="422"/>
    </row>
    <row r="49813" spans="191:191" x14ac:dyDescent="0.2">
      <c r="GI49813" s="422"/>
    </row>
    <row r="49814" spans="191:191" x14ac:dyDescent="0.2">
      <c r="GI49814" s="422"/>
    </row>
    <row r="49815" spans="191:191" x14ac:dyDescent="0.2">
      <c r="GI49815" s="422"/>
    </row>
    <row r="49816" spans="191:191" x14ac:dyDescent="0.2">
      <c r="GI49816" s="422"/>
    </row>
    <row r="49817" spans="191:191" x14ac:dyDescent="0.2">
      <c r="GI49817" s="422"/>
    </row>
    <row r="49818" spans="191:191" x14ac:dyDescent="0.2">
      <c r="GI49818" s="422"/>
    </row>
    <row r="49819" spans="191:191" x14ac:dyDescent="0.2">
      <c r="GI49819" s="422"/>
    </row>
    <row r="49820" spans="191:191" x14ac:dyDescent="0.2">
      <c r="GI49820" s="422"/>
    </row>
    <row r="49821" spans="191:191" x14ac:dyDescent="0.2">
      <c r="GI49821" s="422"/>
    </row>
    <row r="49822" spans="191:191" x14ac:dyDescent="0.2">
      <c r="GI49822" s="422"/>
    </row>
    <row r="49823" spans="191:191" x14ac:dyDescent="0.2">
      <c r="GI49823" s="422"/>
    </row>
    <row r="49824" spans="191:191" x14ac:dyDescent="0.2">
      <c r="GI49824" s="422"/>
    </row>
    <row r="49825" spans="191:191" x14ac:dyDescent="0.2">
      <c r="GI49825" s="422"/>
    </row>
    <row r="49826" spans="191:191" x14ac:dyDescent="0.2">
      <c r="GI49826" s="422"/>
    </row>
    <row r="49827" spans="191:191" x14ac:dyDescent="0.2">
      <c r="GI49827" s="422"/>
    </row>
    <row r="49828" spans="191:191" x14ac:dyDescent="0.2">
      <c r="GI49828" s="422"/>
    </row>
    <row r="49829" spans="191:191" x14ac:dyDescent="0.2">
      <c r="GI49829" s="422"/>
    </row>
    <row r="49830" spans="191:191" x14ac:dyDescent="0.2">
      <c r="GI49830" s="422"/>
    </row>
    <row r="49831" spans="191:191" x14ac:dyDescent="0.2">
      <c r="GI49831" s="422"/>
    </row>
    <row r="49832" spans="191:191" x14ac:dyDescent="0.2">
      <c r="GI49832" s="422"/>
    </row>
    <row r="49833" spans="191:191" x14ac:dyDescent="0.2">
      <c r="GI49833" s="422"/>
    </row>
    <row r="49834" spans="191:191" x14ac:dyDescent="0.2">
      <c r="GI49834" s="422"/>
    </row>
    <row r="49835" spans="191:191" x14ac:dyDescent="0.2">
      <c r="GI49835" s="422"/>
    </row>
    <row r="49836" spans="191:191" x14ac:dyDescent="0.2">
      <c r="GI49836" s="422"/>
    </row>
    <row r="49837" spans="191:191" x14ac:dyDescent="0.2">
      <c r="GI49837" s="422"/>
    </row>
    <row r="49838" spans="191:191" x14ac:dyDescent="0.2">
      <c r="GI49838" s="422"/>
    </row>
    <row r="49839" spans="191:191" x14ac:dyDescent="0.2">
      <c r="GI49839" s="422"/>
    </row>
    <row r="49840" spans="191:191" x14ac:dyDescent="0.2">
      <c r="GI49840" s="422"/>
    </row>
    <row r="49841" spans="191:191" x14ac:dyDescent="0.2">
      <c r="GI49841" s="422"/>
    </row>
    <row r="49842" spans="191:191" x14ac:dyDescent="0.2">
      <c r="GI49842" s="422"/>
    </row>
    <row r="49843" spans="191:191" x14ac:dyDescent="0.2">
      <c r="GI49843" s="422"/>
    </row>
    <row r="49844" spans="191:191" x14ac:dyDescent="0.2">
      <c r="GI49844" s="422"/>
    </row>
    <row r="49845" spans="191:191" x14ac:dyDescent="0.2">
      <c r="GI49845" s="422"/>
    </row>
    <row r="49846" spans="191:191" x14ac:dyDescent="0.2">
      <c r="GI49846" s="422"/>
    </row>
    <row r="49847" spans="191:191" x14ac:dyDescent="0.2">
      <c r="GI49847" s="422"/>
    </row>
    <row r="49848" spans="191:191" x14ac:dyDescent="0.2">
      <c r="GI49848" s="422"/>
    </row>
    <row r="49849" spans="191:191" x14ac:dyDescent="0.2">
      <c r="GI49849" s="422"/>
    </row>
    <row r="49850" spans="191:191" x14ac:dyDescent="0.2">
      <c r="GI49850" s="422"/>
    </row>
    <row r="49851" spans="191:191" x14ac:dyDescent="0.2">
      <c r="GI49851" s="422"/>
    </row>
    <row r="49852" spans="191:191" x14ac:dyDescent="0.2">
      <c r="GI49852" s="422"/>
    </row>
    <row r="49853" spans="191:191" x14ac:dyDescent="0.2">
      <c r="GI49853" s="422"/>
    </row>
    <row r="49854" spans="191:191" x14ac:dyDescent="0.2">
      <c r="GI49854" s="422"/>
    </row>
    <row r="49855" spans="191:191" x14ac:dyDescent="0.2">
      <c r="GI49855" s="422"/>
    </row>
    <row r="49856" spans="191:191" x14ac:dyDescent="0.2">
      <c r="GI49856" s="422"/>
    </row>
    <row r="49857" spans="191:191" x14ac:dyDescent="0.2">
      <c r="GI49857" s="422"/>
    </row>
    <row r="49858" spans="191:191" x14ac:dyDescent="0.2">
      <c r="GI49858" s="422"/>
    </row>
    <row r="49859" spans="191:191" x14ac:dyDescent="0.2">
      <c r="GI49859" s="422"/>
    </row>
    <row r="49860" spans="191:191" x14ac:dyDescent="0.2">
      <c r="GI49860" s="422"/>
    </row>
    <row r="49861" spans="191:191" x14ac:dyDescent="0.2">
      <c r="GI49861" s="422"/>
    </row>
    <row r="49862" spans="191:191" x14ac:dyDescent="0.2">
      <c r="GI49862" s="422"/>
    </row>
    <row r="49863" spans="191:191" x14ac:dyDescent="0.2">
      <c r="GI49863" s="422"/>
    </row>
    <row r="49864" spans="191:191" x14ac:dyDescent="0.2">
      <c r="GI49864" s="422"/>
    </row>
    <row r="49865" spans="191:191" x14ac:dyDescent="0.2">
      <c r="GI49865" s="422"/>
    </row>
    <row r="49866" spans="191:191" x14ac:dyDescent="0.2">
      <c r="GI49866" s="422"/>
    </row>
    <row r="49867" spans="191:191" x14ac:dyDescent="0.2">
      <c r="GI49867" s="422"/>
    </row>
    <row r="49868" spans="191:191" x14ac:dyDescent="0.2">
      <c r="GI49868" s="422"/>
    </row>
    <row r="49869" spans="191:191" x14ac:dyDescent="0.2">
      <c r="GI49869" s="422"/>
    </row>
    <row r="49870" spans="191:191" x14ac:dyDescent="0.2">
      <c r="GI49870" s="422"/>
    </row>
    <row r="49871" spans="191:191" x14ac:dyDescent="0.2">
      <c r="GI49871" s="422"/>
    </row>
    <row r="49872" spans="191:191" x14ac:dyDescent="0.2">
      <c r="GI49872" s="422"/>
    </row>
    <row r="49873" spans="191:191" x14ac:dyDescent="0.2">
      <c r="GI49873" s="422"/>
    </row>
    <row r="49874" spans="191:191" x14ac:dyDescent="0.2">
      <c r="GI49874" s="422"/>
    </row>
    <row r="49875" spans="191:191" x14ac:dyDescent="0.2">
      <c r="GI49875" s="422"/>
    </row>
    <row r="49876" spans="191:191" x14ac:dyDescent="0.2">
      <c r="GI49876" s="422"/>
    </row>
    <row r="49877" spans="191:191" x14ac:dyDescent="0.2">
      <c r="GI49877" s="422"/>
    </row>
    <row r="49878" spans="191:191" x14ac:dyDescent="0.2">
      <c r="GI49878" s="422"/>
    </row>
    <row r="49879" spans="191:191" x14ac:dyDescent="0.2">
      <c r="GI49879" s="422"/>
    </row>
    <row r="49880" spans="191:191" x14ac:dyDescent="0.2">
      <c r="GI49880" s="422"/>
    </row>
    <row r="49881" spans="191:191" x14ac:dyDescent="0.2">
      <c r="GI49881" s="422"/>
    </row>
    <row r="49882" spans="191:191" x14ac:dyDescent="0.2">
      <c r="GI49882" s="422"/>
    </row>
    <row r="49883" spans="191:191" x14ac:dyDescent="0.2">
      <c r="GI49883" s="422"/>
    </row>
    <row r="49884" spans="191:191" x14ac:dyDescent="0.2">
      <c r="GI49884" s="422"/>
    </row>
    <row r="49885" spans="191:191" x14ac:dyDescent="0.2">
      <c r="GI49885" s="422"/>
    </row>
    <row r="49886" spans="191:191" x14ac:dyDescent="0.2">
      <c r="GI49886" s="422"/>
    </row>
    <row r="49887" spans="191:191" x14ac:dyDescent="0.2">
      <c r="GI49887" s="422"/>
    </row>
    <row r="49888" spans="191:191" x14ac:dyDescent="0.2">
      <c r="GI49888" s="422"/>
    </row>
    <row r="49889" spans="191:191" x14ac:dyDescent="0.2">
      <c r="GI49889" s="422"/>
    </row>
    <row r="49890" spans="191:191" x14ac:dyDescent="0.2">
      <c r="GI49890" s="422"/>
    </row>
    <row r="49891" spans="191:191" x14ac:dyDescent="0.2">
      <c r="GI49891" s="422"/>
    </row>
    <row r="49892" spans="191:191" x14ac:dyDescent="0.2">
      <c r="GI49892" s="422"/>
    </row>
    <row r="49893" spans="191:191" x14ac:dyDescent="0.2">
      <c r="GI49893" s="422"/>
    </row>
    <row r="49894" spans="191:191" x14ac:dyDescent="0.2">
      <c r="GI49894" s="422"/>
    </row>
    <row r="49895" spans="191:191" x14ac:dyDescent="0.2">
      <c r="GI49895" s="422"/>
    </row>
    <row r="49896" spans="191:191" x14ac:dyDescent="0.2">
      <c r="GI49896" s="422"/>
    </row>
    <row r="49897" spans="191:191" x14ac:dyDescent="0.2">
      <c r="GI49897" s="422"/>
    </row>
    <row r="49898" spans="191:191" x14ac:dyDescent="0.2">
      <c r="GI49898" s="422"/>
    </row>
    <row r="49899" spans="191:191" x14ac:dyDescent="0.2">
      <c r="GI49899" s="422"/>
    </row>
    <row r="49900" spans="191:191" x14ac:dyDescent="0.2">
      <c r="GI49900" s="422"/>
    </row>
    <row r="49901" spans="191:191" x14ac:dyDescent="0.2">
      <c r="GI49901" s="422"/>
    </row>
    <row r="49902" spans="191:191" x14ac:dyDescent="0.2">
      <c r="GI49902" s="422"/>
    </row>
    <row r="49903" spans="191:191" x14ac:dyDescent="0.2">
      <c r="GI49903" s="422"/>
    </row>
    <row r="49904" spans="191:191" x14ac:dyDescent="0.2">
      <c r="GI49904" s="422"/>
    </row>
    <row r="49905" spans="191:191" x14ac:dyDescent="0.2">
      <c r="GI49905" s="422"/>
    </row>
    <row r="49906" spans="191:191" x14ac:dyDescent="0.2">
      <c r="GI49906" s="422"/>
    </row>
    <row r="49907" spans="191:191" x14ac:dyDescent="0.2">
      <c r="GI49907" s="422"/>
    </row>
    <row r="49908" spans="191:191" x14ac:dyDescent="0.2">
      <c r="GI49908" s="422"/>
    </row>
    <row r="49909" spans="191:191" x14ac:dyDescent="0.2">
      <c r="GI49909" s="422"/>
    </row>
    <row r="49910" spans="191:191" x14ac:dyDescent="0.2">
      <c r="GI49910" s="422"/>
    </row>
    <row r="49911" spans="191:191" x14ac:dyDescent="0.2">
      <c r="GI49911" s="422"/>
    </row>
    <row r="49912" spans="191:191" x14ac:dyDescent="0.2">
      <c r="GI49912" s="422"/>
    </row>
    <row r="49913" spans="191:191" x14ac:dyDescent="0.2">
      <c r="GI49913" s="422"/>
    </row>
    <row r="49914" spans="191:191" x14ac:dyDescent="0.2">
      <c r="GI49914" s="422"/>
    </row>
    <row r="49915" spans="191:191" x14ac:dyDescent="0.2">
      <c r="GI49915" s="422"/>
    </row>
    <row r="49916" spans="191:191" x14ac:dyDescent="0.2">
      <c r="GI49916" s="422"/>
    </row>
    <row r="49917" spans="191:191" x14ac:dyDescent="0.2">
      <c r="GI49917" s="422"/>
    </row>
    <row r="49918" spans="191:191" x14ac:dyDescent="0.2">
      <c r="GI49918" s="422"/>
    </row>
    <row r="49919" spans="191:191" x14ac:dyDescent="0.2">
      <c r="GI49919" s="422"/>
    </row>
    <row r="49920" spans="191:191" x14ac:dyDescent="0.2">
      <c r="GI49920" s="422"/>
    </row>
    <row r="49921" spans="191:191" x14ac:dyDescent="0.2">
      <c r="GI49921" s="422"/>
    </row>
    <row r="49922" spans="191:191" x14ac:dyDescent="0.2">
      <c r="GI49922" s="422"/>
    </row>
    <row r="49923" spans="191:191" x14ac:dyDescent="0.2">
      <c r="GI49923" s="422"/>
    </row>
    <row r="49924" spans="191:191" x14ac:dyDescent="0.2">
      <c r="GI49924" s="422"/>
    </row>
    <row r="49925" spans="191:191" x14ac:dyDescent="0.2">
      <c r="GI49925" s="422"/>
    </row>
    <row r="49926" spans="191:191" x14ac:dyDescent="0.2">
      <c r="GI49926" s="422"/>
    </row>
    <row r="49927" spans="191:191" x14ac:dyDescent="0.2">
      <c r="GI49927" s="422"/>
    </row>
    <row r="49928" spans="191:191" x14ac:dyDescent="0.2">
      <c r="GI49928" s="422"/>
    </row>
    <row r="49929" spans="191:191" x14ac:dyDescent="0.2">
      <c r="GI49929" s="422"/>
    </row>
    <row r="49930" spans="191:191" x14ac:dyDescent="0.2">
      <c r="GI49930" s="422"/>
    </row>
    <row r="49931" spans="191:191" x14ac:dyDescent="0.2">
      <c r="GI49931" s="422"/>
    </row>
    <row r="49932" spans="191:191" x14ac:dyDescent="0.2">
      <c r="GI49932" s="422"/>
    </row>
    <row r="49933" spans="191:191" x14ac:dyDescent="0.2">
      <c r="GI49933" s="422"/>
    </row>
    <row r="49934" spans="191:191" x14ac:dyDescent="0.2">
      <c r="GI49934" s="422"/>
    </row>
    <row r="49935" spans="191:191" x14ac:dyDescent="0.2">
      <c r="GI49935" s="422"/>
    </row>
    <row r="49936" spans="191:191" x14ac:dyDescent="0.2">
      <c r="GI49936" s="422"/>
    </row>
    <row r="49937" spans="191:191" x14ac:dyDescent="0.2">
      <c r="GI49937" s="422"/>
    </row>
    <row r="49938" spans="191:191" x14ac:dyDescent="0.2">
      <c r="GI49938" s="422"/>
    </row>
    <row r="49939" spans="191:191" x14ac:dyDescent="0.2">
      <c r="GI49939" s="422"/>
    </row>
    <row r="49940" spans="191:191" x14ac:dyDescent="0.2">
      <c r="GI49940" s="422"/>
    </row>
    <row r="49941" spans="191:191" x14ac:dyDescent="0.2">
      <c r="GI49941" s="422"/>
    </row>
    <row r="49942" spans="191:191" x14ac:dyDescent="0.2">
      <c r="GI49942" s="422"/>
    </row>
    <row r="49943" spans="191:191" x14ac:dyDescent="0.2">
      <c r="GI49943" s="422"/>
    </row>
    <row r="49944" spans="191:191" x14ac:dyDescent="0.2">
      <c r="GI49944" s="422"/>
    </row>
    <row r="49945" spans="191:191" x14ac:dyDescent="0.2">
      <c r="GI49945" s="422"/>
    </row>
    <row r="49946" spans="191:191" x14ac:dyDescent="0.2">
      <c r="GI49946" s="422"/>
    </row>
    <row r="49947" spans="191:191" x14ac:dyDescent="0.2">
      <c r="GI49947" s="422"/>
    </row>
    <row r="49948" spans="191:191" x14ac:dyDescent="0.2">
      <c r="GI49948" s="422"/>
    </row>
    <row r="49949" spans="191:191" x14ac:dyDescent="0.2">
      <c r="GI49949" s="422"/>
    </row>
    <row r="49950" spans="191:191" x14ac:dyDescent="0.2">
      <c r="GI49950" s="422"/>
    </row>
    <row r="49951" spans="191:191" x14ac:dyDescent="0.2">
      <c r="GI49951" s="422"/>
    </row>
    <row r="49952" spans="191:191" x14ac:dyDescent="0.2">
      <c r="GI49952" s="422"/>
    </row>
    <row r="49953" spans="191:191" x14ac:dyDescent="0.2">
      <c r="GI49953" s="422"/>
    </row>
    <row r="49954" spans="191:191" x14ac:dyDescent="0.2">
      <c r="GI49954" s="422"/>
    </row>
    <row r="49955" spans="191:191" x14ac:dyDescent="0.2">
      <c r="GI49955" s="422"/>
    </row>
    <row r="49956" spans="191:191" x14ac:dyDescent="0.2">
      <c r="GI49956" s="422"/>
    </row>
    <row r="49957" spans="191:191" x14ac:dyDescent="0.2">
      <c r="GI49957" s="422"/>
    </row>
    <row r="49958" spans="191:191" x14ac:dyDescent="0.2">
      <c r="GI49958" s="422"/>
    </row>
    <row r="49959" spans="191:191" x14ac:dyDescent="0.2">
      <c r="GI49959" s="422"/>
    </row>
    <row r="49960" spans="191:191" x14ac:dyDescent="0.2">
      <c r="GI49960" s="422"/>
    </row>
    <row r="49961" spans="191:191" x14ac:dyDescent="0.2">
      <c r="GI49961" s="422"/>
    </row>
    <row r="49962" spans="191:191" x14ac:dyDescent="0.2">
      <c r="GI49962" s="422"/>
    </row>
    <row r="49963" spans="191:191" x14ac:dyDescent="0.2">
      <c r="GI49963" s="422"/>
    </row>
    <row r="49964" spans="191:191" x14ac:dyDescent="0.2">
      <c r="GI49964" s="422"/>
    </row>
    <row r="49965" spans="191:191" x14ac:dyDescent="0.2">
      <c r="GI49965" s="422"/>
    </row>
    <row r="49966" spans="191:191" x14ac:dyDescent="0.2">
      <c r="GI49966" s="422"/>
    </row>
    <row r="49967" spans="191:191" x14ac:dyDescent="0.2">
      <c r="GI49967" s="422"/>
    </row>
    <row r="49968" spans="191:191" x14ac:dyDescent="0.2">
      <c r="GI49968" s="422"/>
    </row>
    <row r="49969" spans="191:191" x14ac:dyDescent="0.2">
      <c r="GI49969" s="422"/>
    </row>
    <row r="49970" spans="191:191" x14ac:dyDescent="0.2">
      <c r="GI49970" s="422"/>
    </row>
    <row r="49971" spans="191:191" x14ac:dyDescent="0.2">
      <c r="GI49971" s="422"/>
    </row>
    <row r="49972" spans="191:191" x14ac:dyDescent="0.2">
      <c r="GI49972" s="422"/>
    </row>
    <row r="49973" spans="191:191" x14ac:dyDescent="0.2">
      <c r="GI49973" s="422"/>
    </row>
    <row r="49974" spans="191:191" x14ac:dyDescent="0.2">
      <c r="GI49974" s="422"/>
    </row>
    <row r="49975" spans="191:191" x14ac:dyDescent="0.2">
      <c r="GI49975" s="422"/>
    </row>
    <row r="49976" spans="191:191" x14ac:dyDescent="0.2">
      <c r="GI49976" s="422"/>
    </row>
    <row r="49977" spans="191:191" x14ac:dyDescent="0.2">
      <c r="GI49977" s="422"/>
    </row>
    <row r="49978" spans="191:191" x14ac:dyDescent="0.2">
      <c r="GI49978" s="422"/>
    </row>
    <row r="49979" spans="191:191" x14ac:dyDescent="0.2">
      <c r="GI49979" s="422"/>
    </row>
    <row r="49980" spans="191:191" x14ac:dyDescent="0.2">
      <c r="GI49980" s="422"/>
    </row>
    <row r="49981" spans="191:191" x14ac:dyDescent="0.2">
      <c r="GI49981" s="422"/>
    </row>
    <row r="49982" spans="191:191" x14ac:dyDescent="0.2">
      <c r="GI49982" s="422"/>
    </row>
    <row r="49983" spans="191:191" x14ac:dyDescent="0.2">
      <c r="GI49983" s="422"/>
    </row>
    <row r="49984" spans="191:191" x14ac:dyDescent="0.2">
      <c r="GI49984" s="422"/>
    </row>
    <row r="49985" spans="191:191" x14ac:dyDescent="0.2">
      <c r="GI49985" s="422"/>
    </row>
    <row r="49986" spans="191:191" x14ac:dyDescent="0.2">
      <c r="GI49986" s="422"/>
    </row>
    <row r="49987" spans="191:191" x14ac:dyDescent="0.2">
      <c r="GI49987" s="422"/>
    </row>
    <row r="49988" spans="191:191" x14ac:dyDescent="0.2">
      <c r="GI49988" s="422"/>
    </row>
    <row r="49989" spans="191:191" x14ac:dyDescent="0.2">
      <c r="GI49989" s="422"/>
    </row>
    <row r="49990" spans="191:191" x14ac:dyDescent="0.2">
      <c r="GI49990" s="422"/>
    </row>
    <row r="49991" spans="191:191" x14ac:dyDescent="0.2">
      <c r="GI49991" s="422"/>
    </row>
    <row r="49992" spans="191:191" x14ac:dyDescent="0.2">
      <c r="GI49992" s="422"/>
    </row>
    <row r="49993" spans="191:191" x14ac:dyDescent="0.2">
      <c r="GI49993" s="422"/>
    </row>
    <row r="49994" spans="191:191" x14ac:dyDescent="0.2">
      <c r="GI49994" s="422"/>
    </row>
    <row r="49995" spans="191:191" x14ac:dyDescent="0.2">
      <c r="GI49995" s="422"/>
    </row>
    <row r="49996" spans="191:191" x14ac:dyDescent="0.2">
      <c r="GI49996" s="422"/>
    </row>
    <row r="49997" spans="191:191" x14ac:dyDescent="0.2">
      <c r="GI49997" s="422"/>
    </row>
    <row r="49998" spans="191:191" x14ac:dyDescent="0.2">
      <c r="GI49998" s="422"/>
    </row>
    <row r="49999" spans="191:191" x14ac:dyDescent="0.2">
      <c r="GI49999" s="422"/>
    </row>
    <row r="50000" spans="191:191" x14ac:dyDescent="0.2">
      <c r="GI50000" s="422"/>
    </row>
    <row r="50001" spans="191:191" x14ac:dyDescent="0.2">
      <c r="GI50001" s="422"/>
    </row>
    <row r="50002" spans="191:191" x14ac:dyDescent="0.2">
      <c r="GI50002" s="422"/>
    </row>
    <row r="50003" spans="191:191" x14ac:dyDescent="0.2">
      <c r="GI50003" s="422"/>
    </row>
    <row r="50004" spans="191:191" x14ac:dyDescent="0.2">
      <c r="GI50004" s="422"/>
    </row>
    <row r="50005" spans="191:191" x14ac:dyDescent="0.2">
      <c r="GI50005" s="422"/>
    </row>
    <row r="50006" spans="191:191" x14ac:dyDescent="0.2">
      <c r="GI50006" s="422"/>
    </row>
    <row r="50007" spans="191:191" x14ac:dyDescent="0.2">
      <c r="GI50007" s="422"/>
    </row>
    <row r="50008" spans="191:191" x14ac:dyDescent="0.2">
      <c r="GI50008" s="422"/>
    </row>
    <row r="50009" spans="191:191" x14ac:dyDescent="0.2">
      <c r="GI50009" s="422"/>
    </row>
    <row r="50010" spans="191:191" x14ac:dyDescent="0.2">
      <c r="GI50010" s="422"/>
    </row>
    <row r="50011" spans="191:191" x14ac:dyDescent="0.2">
      <c r="GI50011" s="422"/>
    </row>
    <row r="50012" spans="191:191" x14ac:dyDescent="0.2">
      <c r="GI50012" s="422"/>
    </row>
    <row r="50013" spans="191:191" x14ac:dyDescent="0.2">
      <c r="GI50013" s="422"/>
    </row>
    <row r="50014" spans="191:191" x14ac:dyDescent="0.2">
      <c r="GI50014" s="422"/>
    </row>
    <row r="50015" spans="191:191" x14ac:dyDescent="0.2">
      <c r="GI50015" s="422"/>
    </row>
    <row r="50016" spans="191:191" x14ac:dyDescent="0.2">
      <c r="GI50016" s="422"/>
    </row>
    <row r="50017" spans="191:191" x14ac:dyDescent="0.2">
      <c r="GI50017" s="422"/>
    </row>
    <row r="50018" spans="191:191" x14ac:dyDescent="0.2">
      <c r="GI50018" s="422"/>
    </row>
    <row r="50019" spans="191:191" x14ac:dyDescent="0.2">
      <c r="GI50019" s="422"/>
    </row>
    <row r="50020" spans="191:191" x14ac:dyDescent="0.2">
      <c r="GI50020" s="422"/>
    </row>
    <row r="50021" spans="191:191" x14ac:dyDescent="0.2">
      <c r="GI50021" s="422"/>
    </row>
    <row r="50022" spans="191:191" x14ac:dyDescent="0.2">
      <c r="GI50022" s="422"/>
    </row>
    <row r="50023" spans="191:191" x14ac:dyDescent="0.2">
      <c r="GI50023" s="422"/>
    </row>
    <row r="50024" spans="191:191" x14ac:dyDescent="0.2">
      <c r="GI50024" s="422"/>
    </row>
    <row r="50025" spans="191:191" x14ac:dyDescent="0.2">
      <c r="GI50025" s="422"/>
    </row>
    <row r="50026" spans="191:191" x14ac:dyDescent="0.2">
      <c r="GI50026" s="422"/>
    </row>
    <row r="50027" spans="191:191" x14ac:dyDescent="0.2">
      <c r="GI50027" s="422"/>
    </row>
    <row r="50028" spans="191:191" x14ac:dyDescent="0.2">
      <c r="GI50028" s="422"/>
    </row>
    <row r="50029" spans="191:191" x14ac:dyDescent="0.2">
      <c r="GI50029" s="422"/>
    </row>
    <row r="50030" spans="191:191" x14ac:dyDescent="0.2">
      <c r="GI50030" s="422"/>
    </row>
    <row r="50031" spans="191:191" x14ac:dyDescent="0.2">
      <c r="GI50031" s="422"/>
    </row>
    <row r="50032" spans="191:191" x14ac:dyDescent="0.2">
      <c r="GI50032" s="422"/>
    </row>
    <row r="50033" spans="191:191" x14ac:dyDescent="0.2">
      <c r="GI50033" s="422"/>
    </row>
    <row r="50034" spans="191:191" x14ac:dyDescent="0.2">
      <c r="GI50034" s="422"/>
    </row>
    <row r="50035" spans="191:191" x14ac:dyDescent="0.2">
      <c r="GI50035" s="422"/>
    </row>
    <row r="50036" spans="191:191" x14ac:dyDescent="0.2">
      <c r="GI50036" s="422"/>
    </row>
    <row r="50037" spans="191:191" x14ac:dyDescent="0.2">
      <c r="GI50037" s="422"/>
    </row>
    <row r="50038" spans="191:191" x14ac:dyDescent="0.2">
      <c r="GI50038" s="422"/>
    </row>
    <row r="50039" spans="191:191" x14ac:dyDescent="0.2">
      <c r="GI50039" s="422"/>
    </row>
    <row r="50040" spans="191:191" x14ac:dyDescent="0.2">
      <c r="GI50040" s="422"/>
    </row>
    <row r="50041" spans="191:191" x14ac:dyDescent="0.2">
      <c r="GI50041" s="422"/>
    </row>
    <row r="50042" spans="191:191" x14ac:dyDescent="0.2">
      <c r="GI50042" s="422"/>
    </row>
    <row r="50043" spans="191:191" x14ac:dyDescent="0.2">
      <c r="GI50043" s="422"/>
    </row>
    <row r="50044" spans="191:191" x14ac:dyDescent="0.2">
      <c r="GI50044" s="422"/>
    </row>
    <row r="50045" spans="191:191" x14ac:dyDescent="0.2">
      <c r="GI50045" s="422"/>
    </row>
    <row r="50046" spans="191:191" x14ac:dyDescent="0.2">
      <c r="GI50046" s="422"/>
    </row>
    <row r="50047" spans="191:191" x14ac:dyDescent="0.2">
      <c r="GI50047" s="422"/>
    </row>
    <row r="50048" spans="191:191" x14ac:dyDescent="0.2">
      <c r="GI50048" s="422"/>
    </row>
    <row r="50049" spans="191:191" x14ac:dyDescent="0.2">
      <c r="GI50049" s="422"/>
    </row>
    <row r="50050" spans="191:191" x14ac:dyDescent="0.2">
      <c r="GI50050" s="422"/>
    </row>
    <row r="50051" spans="191:191" x14ac:dyDescent="0.2">
      <c r="GI50051" s="422"/>
    </row>
    <row r="50052" spans="191:191" x14ac:dyDescent="0.2">
      <c r="GI50052" s="422"/>
    </row>
    <row r="50053" spans="191:191" x14ac:dyDescent="0.2">
      <c r="GI50053" s="422"/>
    </row>
    <row r="50054" spans="191:191" x14ac:dyDescent="0.2">
      <c r="GI50054" s="422"/>
    </row>
    <row r="50055" spans="191:191" x14ac:dyDescent="0.2">
      <c r="GI50055" s="422"/>
    </row>
    <row r="50056" spans="191:191" x14ac:dyDescent="0.2">
      <c r="GI50056" s="422"/>
    </row>
    <row r="50057" spans="191:191" x14ac:dyDescent="0.2">
      <c r="GI50057" s="422"/>
    </row>
    <row r="50058" spans="191:191" x14ac:dyDescent="0.2">
      <c r="GI50058" s="422"/>
    </row>
    <row r="50059" spans="191:191" x14ac:dyDescent="0.2">
      <c r="GI50059" s="422"/>
    </row>
    <row r="50060" spans="191:191" x14ac:dyDescent="0.2">
      <c r="GI50060" s="422"/>
    </row>
    <row r="50061" spans="191:191" x14ac:dyDescent="0.2">
      <c r="GI50061" s="422"/>
    </row>
    <row r="50062" spans="191:191" x14ac:dyDescent="0.2">
      <c r="GI50062" s="422"/>
    </row>
    <row r="50063" spans="191:191" x14ac:dyDescent="0.2">
      <c r="GI50063" s="422"/>
    </row>
    <row r="50064" spans="191:191" x14ac:dyDescent="0.2">
      <c r="GI50064" s="422"/>
    </row>
    <row r="50065" spans="191:191" x14ac:dyDescent="0.2">
      <c r="GI50065" s="422"/>
    </row>
    <row r="50066" spans="191:191" x14ac:dyDescent="0.2">
      <c r="GI50066" s="422"/>
    </row>
    <row r="50067" spans="191:191" x14ac:dyDescent="0.2">
      <c r="GI50067" s="422"/>
    </row>
    <row r="50068" spans="191:191" x14ac:dyDescent="0.2">
      <c r="GI50068" s="422"/>
    </row>
    <row r="50069" spans="191:191" x14ac:dyDescent="0.2">
      <c r="GI50069" s="422"/>
    </row>
    <row r="50070" spans="191:191" x14ac:dyDescent="0.2">
      <c r="GI50070" s="422"/>
    </row>
    <row r="50071" spans="191:191" x14ac:dyDescent="0.2">
      <c r="GI50071" s="422"/>
    </row>
    <row r="50072" spans="191:191" x14ac:dyDescent="0.2">
      <c r="GI50072" s="422"/>
    </row>
    <row r="50073" spans="191:191" x14ac:dyDescent="0.2">
      <c r="GI50073" s="422"/>
    </row>
    <row r="50074" spans="191:191" x14ac:dyDescent="0.2">
      <c r="GI50074" s="422"/>
    </row>
    <row r="50075" spans="191:191" x14ac:dyDescent="0.2">
      <c r="GI50075" s="422"/>
    </row>
    <row r="50076" spans="191:191" x14ac:dyDescent="0.2">
      <c r="GI50076" s="422"/>
    </row>
    <row r="50077" spans="191:191" x14ac:dyDescent="0.2">
      <c r="GI50077" s="422"/>
    </row>
    <row r="50078" spans="191:191" x14ac:dyDescent="0.2">
      <c r="GI50078" s="422"/>
    </row>
    <row r="50079" spans="191:191" x14ac:dyDescent="0.2">
      <c r="GI50079" s="422"/>
    </row>
    <row r="50080" spans="191:191" x14ac:dyDescent="0.2">
      <c r="GI50080" s="422"/>
    </row>
    <row r="50081" spans="191:191" x14ac:dyDescent="0.2">
      <c r="GI50081" s="422"/>
    </row>
    <row r="50082" spans="191:191" x14ac:dyDescent="0.2">
      <c r="GI50082" s="422"/>
    </row>
    <row r="50083" spans="191:191" x14ac:dyDescent="0.2">
      <c r="GI50083" s="422"/>
    </row>
    <row r="50084" spans="191:191" x14ac:dyDescent="0.2">
      <c r="GI50084" s="422"/>
    </row>
    <row r="50085" spans="191:191" x14ac:dyDescent="0.2">
      <c r="GI50085" s="422"/>
    </row>
    <row r="50086" spans="191:191" x14ac:dyDescent="0.2">
      <c r="GI50086" s="422"/>
    </row>
    <row r="50087" spans="191:191" x14ac:dyDescent="0.2">
      <c r="GI50087" s="422"/>
    </row>
    <row r="50088" spans="191:191" x14ac:dyDescent="0.2">
      <c r="GI50088" s="422"/>
    </row>
    <row r="50089" spans="191:191" x14ac:dyDescent="0.2">
      <c r="GI50089" s="422"/>
    </row>
    <row r="50090" spans="191:191" x14ac:dyDescent="0.2">
      <c r="GI50090" s="422"/>
    </row>
    <row r="50091" spans="191:191" x14ac:dyDescent="0.2">
      <c r="GI50091" s="422"/>
    </row>
    <row r="50092" spans="191:191" x14ac:dyDescent="0.2">
      <c r="GI50092" s="422"/>
    </row>
    <row r="50093" spans="191:191" x14ac:dyDescent="0.2">
      <c r="GI50093" s="422"/>
    </row>
    <row r="50094" spans="191:191" x14ac:dyDescent="0.2">
      <c r="GI50094" s="422"/>
    </row>
    <row r="50095" spans="191:191" x14ac:dyDescent="0.2">
      <c r="GI50095" s="422"/>
    </row>
    <row r="50096" spans="191:191" x14ac:dyDescent="0.2">
      <c r="GI50096" s="422"/>
    </row>
    <row r="50097" spans="191:191" x14ac:dyDescent="0.2">
      <c r="GI50097" s="422"/>
    </row>
    <row r="50098" spans="191:191" x14ac:dyDescent="0.2">
      <c r="GI50098" s="422"/>
    </row>
    <row r="50099" spans="191:191" x14ac:dyDescent="0.2">
      <c r="GI50099" s="422"/>
    </row>
    <row r="50100" spans="191:191" x14ac:dyDescent="0.2">
      <c r="GI50100" s="422"/>
    </row>
    <row r="50101" spans="191:191" x14ac:dyDescent="0.2">
      <c r="GI50101" s="422"/>
    </row>
    <row r="50102" spans="191:191" x14ac:dyDescent="0.2">
      <c r="GI50102" s="422"/>
    </row>
    <row r="50103" spans="191:191" x14ac:dyDescent="0.2">
      <c r="GI50103" s="422"/>
    </row>
    <row r="50104" spans="191:191" x14ac:dyDescent="0.2">
      <c r="GI50104" s="422"/>
    </row>
    <row r="50105" spans="191:191" x14ac:dyDescent="0.2">
      <c r="GI50105" s="422"/>
    </row>
    <row r="50106" spans="191:191" x14ac:dyDescent="0.2">
      <c r="GI50106" s="422"/>
    </row>
    <row r="50107" spans="191:191" x14ac:dyDescent="0.2">
      <c r="GI50107" s="422"/>
    </row>
    <row r="50108" spans="191:191" x14ac:dyDescent="0.2">
      <c r="GI50108" s="422"/>
    </row>
    <row r="50109" spans="191:191" x14ac:dyDescent="0.2">
      <c r="GI50109" s="422"/>
    </row>
    <row r="50110" spans="191:191" x14ac:dyDescent="0.2">
      <c r="GI50110" s="422"/>
    </row>
    <row r="50111" spans="191:191" x14ac:dyDescent="0.2">
      <c r="GI50111" s="422"/>
    </row>
    <row r="50112" spans="191:191" x14ac:dyDescent="0.2">
      <c r="GI50112" s="422"/>
    </row>
    <row r="50113" spans="191:191" x14ac:dyDescent="0.2">
      <c r="GI50113" s="422"/>
    </row>
    <row r="50114" spans="191:191" x14ac:dyDescent="0.2">
      <c r="GI50114" s="422"/>
    </row>
    <row r="50115" spans="191:191" x14ac:dyDescent="0.2">
      <c r="GI50115" s="422"/>
    </row>
    <row r="50116" spans="191:191" x14ac:dyDescent="0.2">
      <c r="GI50116" s="422"/>
    </row>
    <row r="50117" spans="191:191" x14ac:dyDescent="0.2">
      <c r="GI50117" s="422"/>
    </row>
    <row r="50118" spans="191:191" x14ac:dyDescent="0.2">
      <c r="GI50118" s="422"/>
    </row>
    <row r="50119" spans="191:191" x14ac:dyDescent="0.2">
      <c r="GI50119" s="422"/>
    </row>
    <row r="50120" spans="191:191" x14ac:dyDescent="0.2">
      <c r="GI50120" s="422"/>
    </row>
    <row r="50121" spans="191:191" x14ac:dyDescent="0.2">
      <c r="GI50121" s="422"/>
    </row>
    <row r="50122" spans="191:191" x14ac:dyDescent="0.2">
      <c r="GI50122" s="422"/>
    </row>
    <row r="50123" spans="191:191" x14ac:dyDescent="0.2">
      <c r="GI50123" s="422"/>
    </row>
    <row r="50124" spans="191:191" x14ac:dyDescent="0.2">
      <c r="GI50124" s="422"/>
    </row>
    <row r="50125" spans="191:191" x14ac:dyDescent="0.2">
      <c r="GI50125" s="422"/>
    </row>
    <row r="50126" spans="191:191" x14ac:dyDescent="0.2">
      <c r="GI50126" s="422"/>
    </row>
    <row r="50127" spans="191:191" x14ac:dyDescent="0.2">
      <c r="GI50127" s="422"/>
    </row>
    <row r="50128" spans="191:191" x14ac:dyDescent="0.2">
      <c r="GI50128" s="422"/>
    </row>
    <row r="50129" spans="191:191" x14ac:dyDescent="0.2">
      <c r="GI50129" s="422"/>
    </row>
    <row r="50130" spans="191:191" x14ac:dyDescent="0.2">
      <c r="GI50130" s="422"/>
    </row>
    <row r="50131" spans="191:191" x14ac:dyDescent="0.2">
      <c r="GI50131" s="422"/>
    </row>
    <row r="50132" spans="191:191" x14ac:dyDescent="0.2">
      <c r="GI50132" s="422"/>
    </row>
    <row r="50133" spans="191:191" x14ac:dyDescent="0.2">
      <c r="GI50133" s="422"/>
    </row>
    <row r="50134" spans="191:191" x14ac:dyDescent="0.2">
      <c r="GI50134" s="422"/>
    </row>
    <row r="50135" spans="191:191" x14ac:dyDescent="0.2">
      <c r="GI50135" s="422"/>
    </row>
    <row r="50136" spans="191:191" x14ac:dyDescent="0.2">
      <c r="GI50136" s="422"/>
    </row>
    <row r="50137" spans="191:191" x14ac:dyDescent="0.2">
      <c r="GI50137" s="422"/>
    </row>
    <row r="50138" spans="191:191" x14ac:dyDescent="0.2">
      <c r="GI50138" s="422"/>
    </row>
    <row r="50139" spans="191:191" x14ac:dyDescent="0.2">
      <c r="GI50139" s="422"/>
    </row>
    <row r="50140" spans="191:191" x14ac:dyDescent="0.2">
      <c r="GI50140" s="422"/>
    </row>
    <row r="50141" spans="191:191" x14ac:dyDescent="0.2">
      <c r="GI50141" s="422"/>
    </row>
    <row r="50142" spans="191:191" x14ac:dyDescent="0.2">
      <c r="GI50142" s="422"/>
    </row>
    <row r="50143" spans="191:191" x14ac:dyDescent="0.2">
      <c r="GI50143" s="422"/>
    </row>
    <row r="50144" spans="191:191" x14ac:dyDescent="0.2">
      <c r="GI50144" s="422"/>
    </row>
    <row r="50145" spans="191:191" x14ac:dyDescent="0.2">
      <c r="GI50145" s="422"/>
    </row>
    <row r="50146" spans="191:191" x14ac:dyDescent="0.2">
      <c r="GI50146" s="422"/>
    </row>
    <row r="50147" spans="191:191" x14ac:dyDescent="0.2">
      <c r="GI50147" s="422"/>
    </row>
    <row r="50148" spans="191:191" x14ac:dyDescent="0.2">
      <c r="GI50148" s="422"/>
    </row>
    <row r="50149" spans="191:191" x14ac:dyDescent="0.2">
      <c r="GI50149" s="422"/>
    </row>
    <row r="50150" spans="191:191" x14ac:dyDescent="0.2">
      <c r="GI50150" s="422"/>
    </row>
    <row r="50151" spans="191:191" x14ac:dyDescent="0.2">
      <c r="GI50151" s="422"/>
    </row>
    <row r="50152" spans="191:191" x14ac:dyDescent="0.2">
      <c r="GI50152" s="422"/>
    </row>
    <row r="50153" spans="191:191" x14ac:dyDescent="0.2">
      <c r="GI50153" s="422"/>
    </row>
    <row r="50154" spans="191:191" x14ac:dyDescent="0.2">
      <c r="GI50154" s="422"/>
    </row>
    <row r="50155" spans="191:191" x14ac:dyDescent="0.2">
      <c r="GI50155" s="422"/>
    </row>
    <row r="50156" spans="191:191" x14ac:dyDescent="0.2">
      <c r="GI50156" s="422"/>
    </row>
    <row r="50157" spans="191:191" x14ac:dyDescent="0.2">
      <c r="GI50157" s="422"/>
    </row>
    <row r="50158" spans="191:191" x14ac:dyDescent="0.2">
      <c r="GI50158" s="422"/>
    </row>
    <row r="50159" spans="191:191" x14ac:dyDescent="0.2">
      <c r="GI50159" s="422"/>
    </row>
    <row r="50160" spans="191:191" x14ac:dyDescent="0.2">
      <c r="GI50160" s="422"/>
    </row>
    <row r="50161" spans="191:191" x14ac:dyDescent="0.2">
      <c r="GI50161" s="422"/>
    </row>
    <row r="50162" spans="191:191" x14ac:dyDescent="0.2">
      <c r="GI50162" s="422"/>
    </row>
    <row r="50163" spans="191:191" x14ac:dyDescent="0.2">
      <c r="GI50163" s="422"/>
    </row>
    <row r="50164" spans="191:191" x14ac:dyDescent="0.2">
      <c r="GI50164" s="422"/>
    </row>
    <row r="50165" spans="191:191" x14ac:dyDescent="0.2">
      <c r="GI50165" s="422"/>
    </row>
    <row r="50166" spans="191:191" x14ac:dyDescent="0.2">
      <c r="GI50166" s="422"/>
    </row>
    <row r="50167" spans="191:191" x14ac:dyDescent="0.2">
      <c r="GI50167" s="422"/>
    </row>
    <row r="50168" spans="191:191" x14ac:dyDescent="0.2">
      <c r="GI50168" s="422"/>
    </row>
    <row r="50169" spans="191:191" x14ac:dyDescent="0.2">
      <c r="GI50169" s="422"/>
    </row>
    <row r="50170" spans="191:191" x14ac:dyDescent="0.2">
      <c r="GI50170" s="422"/>
    </row>
    <row r="50171" spans="191:191" x14ac:dyDescent="0.2">
      <c r="GI50171" s="422"/>
    </row>
    <row r="50172" spans="191:191" x14ac:dyDescent="0.2">
      <c r="GI50172" s="422"/>
    </row>
    <row r="50173" spans="191:191" x14ac:dyDescent="0.2">
      <c r="GI50173" s="422"/>
    </row>
    <row r="50174" spans="191:191" x14ac:dyDescent="0.2">
      <c r="GI50174" s="422"/>
    </row>
    <row r="50175" spans="191:191" x14ac:dyDescent="0.2">
      <c r="GI50175" s="422"/>
    </row>
    <row r="50176" spans="191:191" x14ac:dyDescent="0.2">
      <c r="GI50176" s="422"/>
    </row>
    <row r="50177" spans="191:191" x14ac:dyDescent="0.2">
      <c r="GI50177" s="422"/>
    </row>
    <row r="50178" spans="191:191" x14ac:dyDescent="0.2">
      <c r="GI50178" s="422"/>
    </row>
    <row r="50179" spans="191:191" x14ac:dyDescent="0.2">
      <c r="GI50179" s="422"/>
    </row>
    <row r="50180" spans="191:191" x14ac:dyDescent="0.2">
      <c r="GI50180" s="422"/>
    </row>
    <row r="50181" spans="191:191" x14ac:dyDescent="0.2">
      <c r="GI50181" s="422"/>
    </row>
    <row r="50182" spans="191:191" x14ac:dyDescent="0.2">
      <c r="GI50182" s="422"/>
    </row>
    <row r="50183" spans="191:191" x14ac:dyDescent="0.2">
      <c r="GI50183" s="422"/>
    </row>
    <row r="50184" spans="191:191" x14ac:dyDescent="0.2">
      <c r="GI50184" s="422"/>
    </row>
    <row r="50185" spans="191:191" x14ac:dyDescent="0.2">
      <c r="GI50185" s="422"/>
    </row>
    <row r="50186" spans="191:191" x14ac:dyDescent="0.2">
      <c r="GI50186" s="422"/>
    </row>
    <row r="50187" spans="191:191" x14ac:dyDescent="0.2">
      <c r="GI50187" s="422"/>
    </row>
    <row r="50188" spans="191:191" x14ac:dyDescent="0.2">
      <c r="GI50188" s="422"/>
    </row>
    <row r="50189" spans="191:191" x14ac:dyDescent="0.2">
      <c r="GI50189" s="422"/>
    </row>
    <row r="50190" spans="191:191" x14ac:dyDescent="0.2">
      <c r="GI50190" s="422"/>
    </row>
    <row r="50191" spans="191:191" x14ac:dyDescent="0.2">
      <c r="GI50191" s="422"/>
    </row>
    <row r="50192" spans="191:191" x14ac:dyDescent="0.2">
      <c r="GI50192" s="422"/>
    </row>
    <row r="50193" spans="191:191" x14ac:dyDescent="0.2">
      <c r="GI50193" s="422"/>
    </row>
    <row r="50194" spans="191:191" x14ac:dyDescent="0.2">
      <c r="GI50194" s="422"/>
    </row>
    <row r="50195" spans="191:191" x14ac:dyDescent="0.2">
      <c r="GI50195" s="422"/>
    </row>
    <row r="50196" spans="191:191" x14ac:dyDescent="0.2">
      <c r="GI50196" s="422"/>
    </row>
    <row r="50197" spans="191:191" x14ac:dyDescent="0.2">
      <c r="GI50197" s="422"/>
    </row>
    <row r="50198" spans="191:191" x14ac:dyDescent="0.2">
      <c r="GI50198" s="422"/>
    </row>
    <row r="50199" spans="191:191" x14ac:dyDescent="0.2">
      <c r="GI50199" s="422"/>
    </row>
    <row r="50200" spans="191:191" x14ac:dyDescent="0.2">
      <c r="GI50200" s="422"/>
    </row>
    <row r="50201" spans="191:191" x14ac:dyDescent="0.2">
      <c r="GI50201" s="422"/>
    </row>
    <row r="50202" spans="191:191" x14ac:dyDescent="0.2">
      <c r="GI50202" s="422"/>
    </row>
    <row r="50203" spans="191:191" x14ac:dyDescent="0.2">
      <c r="GI50203" s="422"/>
    </row>
    <row r="50204" spans="191:191" x14ac:dyDescent="0.2">
      <c r="GI50204" s="422"/>
    </row>
    <row r="50205" spans="191:191" x14ac:dyDescent="0.2">
      <c r="GI50205" s="422"/>
    </row>
    <row r="50206" spans="191:191" x14ac:dyDescent="0.2">
      <c r="GI50206" s="422"/>
    </row>
    <row r="50207" spans="191:191" x14ac:dyDescent="0.2">
      <c r="GI50207" s="422"/>
    </row>
    <row r="50208" spans="191:191" x14ac:dyDescent="0.2">
      <c r="GI50208" s="422"/>
    </row>
    <row r="50209" spans="191:191" x14ac:dyDescent="0.2">
      <c r="GI50209" s="422"/>
    </row>
    <row r="50210" spans="191:191" x14ac:dyDescent="0.2">
      <c r="GI50210" s="422"/>
    </row>
    <row r="50211" spans="191:191" x14ac:dyDescent="0.2">
      <c r="GI50211" s="422"/>
    </row>
    <row r="50212" spans="191:191" x14ac:dyDescent="0.2">
      <c r="GI50212" s="422"/>
    </row>
    <row r="50213" spans="191:191" x14ac:dyDescent="0.2">
      <c r="GI50213" s="422"/>
    </row>
    <row r="50214" spans="191:191" x14ac:dyDescent="0.2">
      <c r="GI50214" s="422"/>
    </row>
    <row r="50215" spans="191:191" x14ac:dyDescent="0.2">
      <c r="GI50215" s="422"/>
    </row>
    <row r="50216" spans="191:191" x14ac:dyDescent="0.2">
      <c r="GI50216" s="422"/>
    </row>
    <row r="50217" spans="191:191" x14ac:dyDescent="0.2">
      <c r="GI50217" s="422"/>
    </row>
    <row r="50218" spans="191:191" x14ac:dyDescent="0.2">
      <c r="GI50218" s="422"/>
    </row>
    <row r="50219" spans="191:191" x14ac:dyDescent="0.2">
      <c r="GI50219" s="422"/>
    </row>
    <row r="50220" spans="191:191" x14ac:dyDescent="0.2">
      <c r="GI50220" s="422"/>
    </row>
    <row r="50221" spans="191:191" x14ac:dyDescent="0.2">
      <c r="GI50221" s="422"/>
    </row>
    <row r="50222" spans="191:191" x14ac:dyDescent="0.2">
      <c r="GI50222" s="422"/>
    </row>
    <row r="50223" spans="191:191" x14ac:dyDescent="0.2">
      <c r="GI50223" s="422"/>
    </row>
    <row r="50224" spans="191:191" x14ac:dyDescent="0.2">
      <c r="GI50224" s="422"/>
    </row>
    <row r="50225" spans="191:191" x14ac:dyDescent="0.2">
      <c r="GI50225" s="422"/>
    </row>
    <row r="50226" spans="191:191" x14ac:dyDescent="0.2">
      <c r="GI50226" s="422"/>
    </row>
    <row r="50227" spans="191:191" x14ac:dyDescent="0.2">
      <c r="GI50227" s="422"/>
    </row>
    <row r="50228" spans="191:191" x14ac:dyDescent="0.2">
      <c r="GI50228" s="422"/>
    </row>
    <row r="50229" spans="191:191" x14ac:dyDescent="0.2">
      <c r="GI50229" s="422"/>
    </row>
    <row r="50230" spans="191:191" x14ac:dyDescent="0.2">
      <c r="GI50230" s="422"/>
    </row>
    <row r="50231" spans="191:191" x14ac:dyDescent="0.2">
      <c r="GI50231" s="422"/>
    </row>
    <row r="50232" spans="191:191" x14ac:dyDescent="0.2">
      <c r="GI50232" s="422"/>
    </row>
    <row r="50233" spans="191:191" x14ac:dyDescent="0.2">
      <c r="GI50233" s="422"/>
    </row>
    <row r="50234" spans="191:191" x14ac:dyDescent="0.2">
      <c r="GI50234" s="422"/>
    </row>
    <row r="50235" spans="191:191" x14ac:dyDescent="0.2">
      <c r="GI50235" s="422"/>
    </row>
    <row r="50236" spans="191:191" x14ac:dyDescent="0.2">
      <c r="GI50236" s="422"/>
    </row>
    <row r="50237" spans="191:191" x14ac:dyDescent="0.2">
      <c r="GI50237" s="422"/>
    </row>
    <row r="50238" spans="191:191" x14ac:dyDescent="0.2">
      <c r="GI50238" s="422"/>
    </row>
    <row r="50239" spans="191:191" x14ac:dyDescent="0.2">
      <c r="GI50239" s="422"/>
    </row>
    <row r="50240" spans="191:191" x14ac:dyDescent="0.2">
      <c r="GI50240" s="422"/>
    </row>
    <row r="50241" spans="191:191" x14ac:dyDescent="0.2">
      <c r="GI50241" s="422"/>
    </row>
    <row r="50242" spans="191:191" x14ac:dyDescent="0.2">
      <c r="GI50242" s="422"/>
    </row>
    <row r="50243" spans="191:191" x14ac:dyDescent="0.2">
      <c r="GI50243" s="422"/>
    </row>
    <row r="50244" spans="191:191" x14ac:dyDescent="0.2">
      <c r="GI50244" s="422"/>
    </row>
    <row r="50245" spans="191:191" x14ac:dyDescent="0.2">
      <c r="GI50245" s="422"/>
    </row>
    <row r="50246" spans="191:191" x14ac:dyDescent="0.2">
      <c r="GI50246" s="422"/>
    </row>
    <row r="50247" spans="191:191" x14ac:dyDescent="0.2">
      <c r="GI50247" s="422"/>
    </row>
    <row r="50248" spans="191:191" x14ac:dyDescent="0.2">
      <c r="GI50248" s="422"/>
    </row>
    <row r="50249" spans="191:191" x14ac:dyDescent="0.2">
      <c r="GI50249" s="422"/>
    </row>
    <row r="50250" spans="191:191" x14ac:dyDescent="0.2">
      <c r="GI50250" s="422"/>
    </row>
    <row r="50251" spans="191:191" x14ac:dyDescent="0.2">
      <c r="GI50251" s="422"/>
    </row>
    <row r="50252" spans="191:191" x14ac:dyDescent="0.2">
      <c r="GI50252" s="422"/>
    </row>
    <row r="50253" spans="191:191" x14ac:dyDescent="0.2">
      <c r="GI50253" s="422"/>
    </row>
    <row r="50254" spans="191:191" x14ac:dyDescent="0.2">
      <c r="GI50254" s="422"/>
    </row>
    <row r="50255" spans="191:191" x14ac:dyDescent="0.2">
      <c r="GI50255" s="422"/>
    </row>
    <row r="50256" spans="191:191" x14ac:dyDescent="0.2">
      <c r="GI50256" s="422"/>
    </row>
    <row r="50257" spans="191:191" x14ac:dyDescent="0.2">
      <c r="GI50257" s="422"/>
    </row>
    <row r="50258" spans="191:191" x14ac:dyDescent="0.2">
      <c r="GI50258" s="422"/>
    </row>
    <row r="50259" spans="191:191" x14ac:dyDescent="0.2">
      <c r="GI50259" s="422"/>
    </row>
    <row r="50260" spans="191:191" x14ac:dyDescent="0.2">
      <c r="GI50260" s="422"/>
    </row>
    <row r="50261" spans="191:191" x14ac:dyDescent="0.2">
      <c r="GI50261" s="422"/>
    </row>
    <row r="50262" spans="191:191" x14ac:dyDescent="0.2">
      <c r="GI50262" s="422"/>
    </row>
    <row r="50263" spans="191:191" x14ac:dyDescent="0.2">
      <c r="GI50263" s="422"/>
    </row>
    <row r="50264" spans="191:191" x14ac:dyDescent="0.2">
      <c r="GI50264" s="422"/>
    </row>
    <row r="50265" spans="191:191" x14ac:dyDescent="0.2">
      <c r="GI50265" s="422"/>
    </row>
    <row r="50266" spans="191:191" x14ac:dyDescent="0.2">
      <c r="GI50266" s="422"/>
    </row>
    <row r="50267" spans="191:191" x14ac:dyDescent="0.2">
      <c r="GI50267" s="422"/>
    </row>
    <row r="50268" spans="191:191" x14ac:dyDescent="0.2">
      <c r="GI50268" s="422"/>
    </row>
    <row r="50269" spans="191:191" x14ac:dyDescent="0.2">
      <c r="GI50269" s="422"/>
    </row>
    <row r="50270" spans="191:191" x14ac:dyDescent="0.2">
      <c r="GI50270" s="422"/>
    </row>
    <row r="50271" spans="191:191" x14ac:dyDescent="0.2">
      <c r="GI50271" s="422"/>
    </row>
    <row r="50272" spans="191:191" x14ac:dyDescent="0.2">
      <c r="GI50272" s="422"/>
    </row>
    <row r="50273" spans="191:191" x14ac:dyDescent="0.2">
      <c r="GI50273" s="422"/>
    </row>
    <row r="50274" spans="191:191" x14ac:dyDescent="0.2">
      <c r="GI50274" s="422"/>
    </row>
    <row r="50275" spans="191:191" x14ac:dyDescent="0.2">
      <c r="GI50275" s="422"/>
    </row>
    <row r="50276" spans="191:191" x14ac:dyDescent="0.2">
      <c r="GI50276" s="422"/>
    </row>
    <row r="50277" spans="191:191" x14ac:dyDescent="0.2">
      <c r="GI50277" s="422"/>
    </row>
    <row r="50278" spans="191:191" x14ac:dyDescent="0.2">
      <c r="GI50278" s="422"/>
    </row>
    <row r="50279" spans="191:191" x14ac:dyDescent="0.2">
      <c r="GI50279" s="422"/>
    </row>
    <row r="50280" spans="191:191" x14ac:dyDescent="0.2">
      <c r="GI50280" s="422"/>
    </row>
    <row r="50281" spans="191:191" x14ac:dyDescent="0.2">
      <c r="GI50281" s="422"/>
    </row>
    <row r="50282" spans="191:191" x14ac:dyDescent="0.2">
      <c r="GI50282" s="422"/>
    </row>
    <row r="50283" spans="191:191" x14ac:dyDescent="0.2">
      <c r="GI50283" s="422"/>
    </row>
    <row r="50284" spans="191:191" x14ac:dyDescent="0.2">
      <c r="GI50284" s="422"/>
    </row>
    <row r="50285" spans="191:191" x14ac:dyDescent="0.2">
      <c r="GI50285" s="422"/>
    </row>
    <row r="50286" spans="191:191" x14ac:dyDescent="0.2">
      <c r="GI50286" s="422"/>
    </row>
    <row r="50287" spans="191:191" x14ac:dyDescent="0.2">
      <c r="GI50287" s="422"/>
    </row>
    <row r="50288" spans="191:191" x14ac:dyDescent="0.2">
      <c r="GI50288" s="422"/>
    </row>
    <row r="50289" spans="191:191" x14ac:dyDescent="0.2">
      <c r="GI50289" s="422"/>
    </row>
    <row r="50290" spans="191:191" x14ac:dyDescent="0.2">
      <c r="GI50290" s="422"/>
    </row>
    <row r="50291" spans="191:191" x14ac:dyDescent="0.2">
      <c r="GI50291" s="422"/>
    </row>
    <row r="50292" spans="191:191" x14ac:dyDescent="0.2">
      <c r="GI50292" s="422"/>
    </row>
    <row r="50293" spans="191:191" x14ac:dyDescent="0.2">
      <c r="GI50293" s="422"/>
    </row>
    <row r="50294" spans="191:191" x14ac:dyDescent="0.2">
      <c r="GI50294" s="422"/>
    </row>
    <row r="50295" spans="191:191" x14ac:dyDescent="0.2">
      <c r="GI50295" s="422"/>
    </row>
    <row r="50296" spans="191:191" x14ac:dyDescent="0.2">
      <c r="GI50296" s="422"/>
    </row>
    <row r="50297" spans="191:191" x14ac:dyDescent="0.2">
      <c r="GI50297" s="422"/>
    </row>
    <row r="50298" spans="191:191" x14ac:dyDescent="0.2">
      <c r="GI50298" s="422"/>
    </row>
    <row r="50299" spans="191:191" x14ac:dyDescent="0.2">
      <c r="GI50299" s="422"/>
    </row>
    <row r="50300" spans="191:191" x14ac:dyDescent="0.2">
      <c r="GI50300" s="422"/>
    </row>
    <row r="50301" spans="191:191" x14ac:dyDescent="0.2">
      <c r="GI50301" s="422"/>
    </row>
    <row r="50302" spans="191:191" x14ac:dyDescent="0.2">
      <c r="GI50302" s="422"/>
    </row>
    <row r="50303" spans="191:191" x14ac:dyDescent="0.2">
      <c r="GI50303" s="422"/>
    </row>
    <row r="50304" spans="191:191" x14ac:dyDescent="0.2">
      <c r="GI50304" s="422"/>
    </row>
    <row r="50305" spans="191:191" x14ac:dyDescent="0.2">
      <c r="GI50305" s="422"/>
    </row>
    <row r="50306" spans="191:191" x14ac:dyDescent="0.2">
      <c r="GI50306" s="422"/>
    </row>
    <row r="50307" spans="191:191" x14ac:dyDescent="0.2">
      <c r="GI50307" s="422"/>
    </row>
    <row r="50308" spans="191:191" x14ac:dyDescent="0.2">
      <c r="GI50308" s="422"/>
    </row>
    <row r="50309" spans="191:191" x14ac:dyDescent="0.2">
      <c r="GI50309" s="422"/>
    </row>
    <row r="50310" spans="191:191" x14ac:dyDescent="0.2">
      <c r="GI50310" s="422"/>
    </row>
    <row r="50311" spans="191:191" x14ac:dyDescent="0.2">
      <c r="GI50311" s="422"/>
    </row>
    <row r="50312" spans="191:191" x14ac:dyDescent="0.2">
      <c r="GI50312" s="422"/>
    </row>
    <row r="50313" spans="191:191" x14ac:dyDescent="0.2">
      <c r="GI50313" s="422"/>
    </row>
    <row r="50314" spans="191:191" x14ac:dyDescent="0.2">
      <c r="GI50314" s="422"/>
    </row>
    <row r="50315" spans="191:191" x14ac:dyDescent="0.2">
      <c r="GI50315" s="422"/>
    </row>
    <row r="50316" spans="191:191" x14ac:dyDescent="0.2">
      <c r="GI50316" s="422"/>
    </row>
    <row r="50317" spans="191:191" x14ac:dyDescent="0.2">
      <c r="GI50317" s="422"/>
    </row>
    <row r="50318" spans="191:191" x14ac:dyDescent="0.2">
      <c r="GI50318" s="422"/>
    </row>
    <row r="50319" spans="191:191" x14ac:dyDescent="0.2">
      <c r="GI50319" s="422"/>
    </row>
    <row r="50320" spans="191:191" x14ac:dyDescent="0.2">
      <c r="GI50320" s="422"/>
    </row>
    <row r="50321" spans="191:191" x14ac:dyDescent="0.2">
      <c r="GI50321" s="422"/>
    </row>
    <row r="50322" spans="191:191" x14ac:dyDescent="0.2">
      <c r="GI50322" s="422"/>
    </row>
    <row r="50323" spans="191:191" x14ac:dyDescent="0.2">
      <c r="GI50323" s="422"/>
    </row>
    <row r="50324" spans="191:191" x14ac:dyDescent="0.2">
      <c r="GI50324" s="422"/>
    </row>
    <row r="50325" spans="191:191" x14ac:dyDescent="0.2">
      <c r="GI50325" s="422"/>
    </row>
    <row r="50326" spans="191:191" x14ac:dyDescent="0.2">
      <c r="GI50326" s="422"/>
    </row>
    <row r="50327" spans="191:191" x14ac:dyDescent="0.2">
      <c r="GI50327" s="422"/>
    </row>
    <row r="50328" spans="191:191" x14ac:dyDescent="0.2">
      <c r="GI50328" s="422"/>
    </row>
    <row r="50329" spans="191:191" x14ac:dyDescent="0.2">
      <c r="GI50329" s="422"/>
    </row>
    <row r="50330" spans="191:191" x14ac:dyDescent="0.2">
      <c r="GI50330" s="422"/>
    </row>
    <row r="50331" spans="191:191" x14ac:dyDescent="0.2">
      <c r="GI50331" s="422"/>
    </row>
    <row r="50332" spans="191:191" x14ac:dyDescent="0.2">
      <c r="GI50332" s="422"/>
    </row>
    <row r="50333" spans="191:191" x14ac:dyDescent="0.2">
      <c r="GI50333" s="422"/>
    </row>
    <row r="50334" spans="191:191" x14ac:dyDescent="0.2">
      <c r="GI50334" s="422"/>
    </row>
    <row r="50335" spans="191:191" x14ac:dyDescent="0.2">
      <c r="GI50335" s="422"/>
    </row>
    <row r="50336" spans="191:191" x14ac:dyDescent="0.2">
      <c r="GI50336" s="422"/>
    </row>
    <row r="50337" spans="191:191" x14ac:dyDescent="0.2">
      <c r="GI50337" s="422"/>
    </row>
    <row r="50338" spans="191:191" x14ac:dyDescent="0.2">
      <c r="GI50338" s="422"/>
    </row>
    <row r="50339" spans="191:191" x14ac:dyDescent="0.2">
      <c r="GI50339" s="422"/>
    </row>
    <row r="50340" spans="191:191" x14ac:dyDescent="0.2">
      <c r="GI50340" s="422"/>
    </row>
    <row r="50341" spans="191:191" x14ac:dyDescent="0.2">
      <c r="GI50341" s="422"/>
    </row>
    <row r="50342" spans="191:191" x14ac:dyDescent="0.2">
      <c r="GI50342" s="422"/>
    </row>
    <row r="50343" spans="191:191" x14ac:dyDescent="0.2">
      <c r="GI50343" s="422"/>
    </row>
    <row r="50344" spans="191:191" x14ac:dyDescent="0.2">
      <c r="GI50344" s="422"/>
    </row>
    <row r="50345" spans="191:191" x14ac:dyDescent="0.2">
      <c r="GI50345" s="422"/>
    </row>
    <row r="50346" spans="191:191" x14ac:dyDescent="0.2">
      <c r="GI50346" s="422"/>
    </row>
    <row r="50347" spans="191:191" x14ac:dyDescent="0.2">
      <c r="GI50347" s="422"/>
    </row>
    <row r="50348" spans="191:191" x14ac:dyDescent="0.2">
      <c r="GI50348" s="422"/>
    </row>
    <row r="50349" spans="191:191" x14ac:dyDescent="0.2">
      <c r="GI50349" s="422"/>
    </row>
    <row r="50350" spans="191:191" x14ac:dyDescent="0.2">
      <c r="GI50350" s="422"/>
    </row>
    <row r="50351" spans="191:191" x14ac:dyDescent="0.2">
      <c r="GI50351" s="422"/>
    </row>
    <row r="50352" spans="191:191" x14ac:dyDescent="0.2">
      <c r="GI50352" s="422"/>
    </row>
    <row r="50353" spans="191:191" x14ac:dyDescent="0.2">
      <c r="GI50353" s="422"/>
    </row>
    <row r="50354" spans="191:191" x14ac:dyDescent="0.2">
      <c r="GI50354" s="422"/>
    </row>
    <row r="50355" spans="191:191" x14ac:dyDescent="0.2">
      <c r="GI50355" s="422"/>
    </row>
    <row r="50356" spans="191:191" x14ac:dyDescent="0.2">
      <c r="GI50356" s="422"/>
    </row>
    <row r="50357" spans="191:191" x14ac:dyDescent="0.2">
      <c r="GI50357" s="422"/>
    </row>
    <row r="50358" spans="191:191" x14ac:dyDescent="0.2">
      <c r="GI50358" s="422"/>
    </row>
    <row r="50359" spans="191:191" x14ac:dyDescent="0.2">
      <c r="GI50359" s="422"/>
    </row>
    <row r="50360" spans="191:191" x14ac:dyDescent="0.2">
      <c r="GI50360" s="422"/>
    </row>
    <row r="50361" spans="191:191" x14ac:dyDescent="0.2">
      <c r="GI50361" s="422"/>
    </row>
    <row r="50362" spans="191:191" x14ac:dyDescent="0.2">
      <c r="GI50362" s="422"/>
    </row>
    <row r="50363" spans="191:191" x14ac:dyDescent="0.2">
      <c r="GI50363" s="422"/>
    </row>
    <row r="50364" spans="191:191" x14ac:dyDescent="0.2">
      <c r="GI50364" s="422"/>
    </row>
    <row r="50365" spans="191:191" x14ac:dyDescent="0.2">
      <c r="GI50365" s="422"/>
    </row>
    <row r="50366" spans="191:191" x14ac:dyDescent="0.2">
      <c r="GI50366" s="422"/>
    </row>
    <row r="50367" spans="191:191" x14ac:dyDescent="0.2">
      <c r="GI50367" s="422"/>
    </row>
    <row r="50368" spans="191:191" x14ac:dyDescent="0.2">
      <c r="GI50368" s="422"/>
    </row>
    <row r="50369" spans="191:191" x14ac:dyDescent="0.2">
      <c r="GI50369" s="422"/>
    </row>
    <row r="50370" spans="191:191" x14ac:dyDescent="0.2">
      <c r="GI50370" s="422"/>
    </row>
    <row r="50371" spans="191:191" x14ac:dyDescent="0.2">
      <c r="GI50371" s="422"/>
    </row>
    <row r="50372" spans="191:191" x14ac:dyDescent="0.2">
      <c r="GI50372" s="422"/>
    </row>
    <row r="50373" spans="191:191" x14ac:dyDescent="0.2">
      <c r="GI50373" s="422"/>
    </row>
    <row r="50374" spans="191:191" x14ac:dyDescent="0.2">
      <c r="GI50374" s="422"/>
    </row>
    <row r="50375" spans="191:191" x14ac:dyDescent="0.2">
      <c r="GI50375" s="422"/>
    </row>
    <row r="50376" spans="191:191" x14ac:dyDescent="0.2">
      <c r="GI50376" s="422"/>
    </row>
    <row r="50377" spans="191:191" x14ac:dyDescent="0.2">
      <c r="GI50377" s="422"/>
    </row>
    <row r="50378" spans="191:191" x14ac:dyDescent="0.2">
      <c r="GI50378" s="422"/>
    </row>
    <row r="50379" spans="191:191" x14ac:dyDescent="0.2">
      <c r="GI50379" s="422"/>
    </row>
    <row r="50380" spans="191:191" x14ac:dyDescent="0.2">
      <c r="GI50380" s="422"/>
    </row>
    <row r="50381" spans="191:191" x14ac:dyDescent="0.2">
      <c r="GI50381" s="422"/>
    </row>
    <row r="50382" spans="191:191" x14ac:dyDescent="0.2">
      <c r="GI50382" s="422"/>
    </row>
    <row r="50383" spans="191:191" x14ac:dyDescent="0.2">
      <c r="GI50383" s="422"/>
    </row>
    <row r="50384" spans="191:191" x14ac:dyDescent="0.2">
      <c r="GI50384" s="422"/>
    </row>
    <row r="50385" spans="191:191" x14ac:dyDescent="0.2">
      <c r="GI50385" s="422"/>
    </row>
    <row r="50386" spans="191:191" x14ac:dyDescent="0.2">
      <c r="GI50386" s="422"/>
    </row>
    <row r="50387" spans="191:191" x14ac:dyDescent="0.2">
      <c r="GI50387" s="422"/>
    </row>
    <row r="50388" spans="191:191" x14ac:dyDescent="0.2">
      <c r="GI50388" s="422"/>
    </row>
    <row r="50389" spans="191:191" x14ac:dyDescent="0.2">
      <c r="GI50389" s="422"/>
    </row>
    <row r="50390" spans="191:191" x14ac:dyDescent="0.2">
      <c r="GI50390" s="422"/>
    </row>
    <row r="50391" spans="191:191" x14ac:dyDescent="0.2">
      <c r="GI50391" s="422"/>
    </row>
    <row r="50392" spans="191:191" x14ac:dyDescent="0.2">
      <c r="GI50392" s="422"/>
    </row>
    <row r="50393" spans="191:191" x14ac:dyDescent="0.2">
      <c r="GI50393" s="422"/>
    </row>
    <row r="50394" spans="191:191" x14ac:dyDescent="0.2">
      <c r="GI50394" s="422"/>
    </row>
    <row r="50395" spans="191:191" x14ac:dyDescent="0.2">
      <c r="GI50395" s="422"/>
    </row>
    <row r="50396" spans="191:191" x14ac:dyDescent="0.2">
      <c r="GI50396" s="422"/>
    </row>
    <row r="50397" spans="191:191" x14ac:dyDescent="0.2">
      <c r="GI50397" s="422"/>
    </row>
    <row r="50398" spans="191:191" x14ac:dyDescent="0.2">
      <c r="GI50398" s="422"/>
    </row>
    <row r="50399" spans="191:191" x14ac:dyDescent="0.2">
      <c r="GI50399" s="422"/>
    </row>
    <row r="50400" spans="191:191" x14ac:dyDescent="0.2">
      <c r="GI50400" s="422"/>
    </row>
    <row r="50401" spans="191:191" x14ac:dyDescent="0.2">
      <c r="GI50401" s="422"/>
    </row>
    <row r="50402" spans="191:191" x14ac:dyDescent="0.2">
      <c r="GI50402" s="422"/>
    </row>
    <row r="50403" spans="191:191" x14ac:dyDescent="0.2">
      <c r="GI50403" s="422"/>
    </row>
    <row r="50404" spans="191:191" x14ac:dyDescent="0.2">
      <c r="GI50404" s="422"/>
    </row>
    <row r="50405" spans="191:191" x14ac:dyDescent="0.2">
      <c r="GI50405" s="422"/>
    </row>
    <row r="50406" spans="191:191" x14ac:dyDescent="0.2">
      <c r="GI50406" s="422"/>
    </row>
    <row r="50407" spans="191:191" x14ac:dyDescent="0.2">
      <c r="GI50407" s="422"/>
    </row>
    <row r="50408" spans="191:191" x14ac:dyDescent="0.2">
      <c r="GI50408" s="422"/>
    </row>
    <row r="50409" spans="191:191" x14ac:dyDescent="0.2">
      <c r="GI50409" s="422"/>
    </row>
    <row r="50410" spans="191:191" x14ac:dyDescent="0.2">
      <c r="GI50410" s="422"/>
    </row>
    <row r="50411" spans="191:191" x14ac:dyDescent="0.2">
      <c r="GI50411" s="422"/>
    </row>
    <row r="50412" spans="191:191" x14ac:dyDescent="0.2">
      <c r="GI50412" s="422"/>
    </row>
    <row r="50413" spans="191:191" x14ac:dyDescent="0.2">
      <c r="GI50413" s="422"/>
    </row>
    <row r="50414" spans="191:191" x14ac:dyDescent="0.2">
      <c r="GI50414" s="422"/>
    </row>
    <row r="50415" spans="191:191" x14ac:dyDescent="0.2">
      <c r="GI50415" s="422"/>
    </row>
    <row r="50416" spans="191:191" x14ac:dyDescent="0.2">
      <c r="GI50416" s="422"/>
    </row>
    <row r="50417" spans="191:191" x14ac:dyDescent="0.2">
      <c r="GI50417" s="422"/>
    </row>
    <row r="50418" spans="191:191" x14ac:dyDescent="0.2">
      <c r="GI50418" s="422"/>
    </row>
    <row r="50419" spans="191:191" x14ac:dyDescent="0.2">
      <c r="GI50419" s="422"/>
    </row>
    <row r="50420" spans="191:191" x14ac:dyDescent="0.2">
      <c r="GI50420" s="422"/>
    </row>
    <row r="50421" spans="191:191" x14ac:dyDescent="0.2">
      <c r="GI50421" s="422"/>
    </row>
    <row r="50422" spans="191:191" x14ac:dyDescent="0.2">
      <c r="GI50422" s="422"/>
    </row>
    <row r="50423" spans="191:191" x14ac:dyDescent="0.2">
      <c r="GI50423" s="422"/>
    </row>
    <row r="50424" spans="191:191" x14ac:dyDescent="0.2">
      <c r="GI50424" s="422"/>
    </row>
    <row r="50425" spans="191:191" x14ac:dyDescent="0.2">
      <c r="GI50425" s="422"/>
    </row>
    <row r="50426" spans="191:191" x14ac:dyDescent="0.2">
      <c r="GI50426" s="422"/>
    </row>
    <row r="50427" spans="191:191" x14ac:dyDescent="0.2">
      <c r="GI50427" s="422"/>
    </row>
    <row r="50428" spans="191:191" x14ac:dyDescent="0.2">
      <c r="GI50428" s="422"/>
    </row>
    <row r="50429" spans="191:191" x14ac:dyDescent="0.2">
      <c r="GI50429" s="422"/>
    </row>
    <row r="50430" spans="191:191" x14ac:dyDescent="0.2">
      <c r="GI50430" s="422"/>
    </row>
    <row r="50431" spans="191:191" x14ac:dyDescent="0.2">
      <c r="GI50431" s="422"/>
    </row>
    <row r="50432" spans="191:191" x14ac:dyDescent="0.2">
      <c r="GI50432" s="422"/>
    </row>
    <row r="50433" spans="191:191" x14ac:dyDescent="0.2">
      <c r="GI50433" s="422"/>
    </row>
    <row r="50434" spans="191:191" x14ac:dyDescent="0.2">
      <c r="GI50434" s="422"/>
    </row>
    <row r="50435" spans="191:191" x14ac:dyDescent="0.2">
      <c r="GI50435" s="422"/>
    </row>
    <row r="50436" spans="191:191" x14ac:dyDescent="0.2">
      <c r="GI50436" s="422"/>
    </row>
    <row r="50437" spans="191:191" x14ac:dyDescent="0.2">
      <c r="GI50437" s="422"/>
    </row>
    <row r="50438" spans="191:191" x14ac:dyDescent="0.2">
      <c r="GI50438" s="422"/>
    </row>
    <row r="50439" spans="191:191" x14ac:dyDescent="0.2">
      <c r="GI50439" s="422"/>
    </row>
    <row r="50440" spans="191:191" x14ac:dyDescent="0.2">
      <c r="GI50440" s="422"/>
    </row>
    <row r="50441" spans="191:191" x14ac:dyDescent="0.2">
      <c r="GI50441" s="422"/>
    </row>
    <row r="50442" spans="191:191" x14ac:dyDescent="0.2">
      <c r="GI50442" s="422"/>
    </row>
    <row r="50443" spans="191:191" x14ac:dyDescent="0.2">
      <c r="GI50443" s="422"/>
    </row>
    <row r="50444" spans="191:191" x14ac:dyDescent="0.2">
      <c r="GI50444" s="422"/>
    </row>
    <row r="50445" spans="191:191" x14ac:dyDescent="0.2">
      <c r="GI50445" s="422"/>
    </row>
    <row r="50446" spans="191:191" x14ac:dyDescent="0.2">
      <c r="GI50446" s="422"/>
    </row>
    <row r="50447" spans="191:191" x14ac:dyDescent="0.2">
      <c r="GI50447" s="422"/>
    </row>
    <row r="50448" spans="191:191" x14ac:dyDescent="0.2">
      <c r="GI50448" s="422"/>
    </row>
    <row r="50449" spans="191:191" x14ac:dyDescent="0.2">
      <c r="GI50449" s="422"/>
    </row>
    <row r="50450" spans="191:191" x14ac:dyDescent="0.2">
      <c r="GI50450" s="422"/>
    </row>
    <row r="50451" spans="191:191" x14ac:dyDescent="0.2">
      <c r="GI50451" s="422"/>
    </row>
    <row r="50452" spans="191:191" x14ac:dyDescent="0.2">
      <c r="GI50452" s="422"/>
    </row>
    <row r="50453" spans="191:191" x14ac:dyDescent="0.2">
      <c r="GI50453" s="422"/>
    </row>
    <row r="50454" spans="191:191" x14ac:dyDescent="0.2">
      <c r="GI50454" s="422"/>
    </row>
    <row r="50455" spans="191:191" x14ac:dyDescent="0.2">
      <c r="GI50455" s="422"/>
    </row>
    <row r="50456" spans="191:191" x14ac:dyDescent="0.2">
      <c r="GI50456" s="422"/>
    </row>
    <row r="50457" spans="191:191" x14ac:dyDescent="0.2">
      <c r="GI50457" s="422"/>
    </row>
    <row r="50458" spans="191:191" x14ac:dyDescent="0.2">
      <c r="GI50458" s="422"/>
    </row>
    <row r="50459" spans="191:191" x14ac:dyDescent="0.2">
      <c r="GI50459" s="422"/>
    </row>
    <row r="50460" spans="191:191" x14ac:dyDescent="0.2">
      <c r="GI50460" s="422"/>
    </row>
    <row r="50461" spans="191:191" x14ac:dyDescent="0.2">
      <c r="GI50461" s="422"/>
    </row>
    <row r="50462" spans="191:191" x14ac:dyDescent="0.2">
      <c r="GI50462" s="422"/>
    </row>
    <row r="50463" spans="191:191" x14ac:dyDescent="0.2">
      <c r="GI50463" s="422"/>
    </row>
    <row r="50464" spans="191:191" x14ac:dyDescent="0.2">
      <c r="GI50464" s="422"/>
    </row>
    <row r="50465" spans="191:191" x14ac:dyDescent="0.2">
      <c r="GI50465" s="422"/>
    </row>
    <row r="50466" spans="191:191" x14ac:dyDescent="0.2">
      <c r="GI50466" s="422"/>
    </row>
    <row r="50467" spans="191:191" x14ac:dyDescent="0.2">
      <c r="GI50467" s="422"/>
    </row>
    <row r="50468" spans="191:191" x14ac:dyDescent="0.2">
      <c r="GI50468" s="422"/>
    </row>
    <row r="50469" spans="191:191" x14ac:dyDescent="0.2">
      <c r="GI50469" s="422"/>
    </row>
    <row r="50470" spans="191:191" x14ac:dyDescent="0.2">
      <c r="GI50470" s="422"/>
    </row>
    <row r="50471" spans="191:191" x14ac:dyDescent="0.2">
      <c r="GI50471" s="422"/>
    </row>
    <row r="50472" spans="191:191" x14ac:dyDescent="0.2">
      <c r="GI50472" s="422"/>
    </row>
    <row r="50473" spans="191:191" x14ac:dyDescent="0.2">
      <c r="GI50473" s="422"/>
    </row>
    <row r="50474" spans="191:191" x14ac:dyDescent="0.2">
      <c r="GI50474" s="422"/>
    </row>
    <row r="50475" spans="191:191" x14ac:dyDescent="0.2">
      <c r="GI50475" s="422"/>
    </row>
    <row r="50476" spans="191:191" x14ac:dyDescent="0.2">
      <c r="GI50476" s="422"/>
    </row>
    <row r="50477" spans="191:191" x14ac:dyDescent="0.2">
      <c r="GI50477" s="422"/>
    </row>
    <row r="50478" spans="191:191" x14ac:dyDescent="0.2">
      <c r="GI50478" s="422"/>
    </row>
    <row r="50479" spans="191:191" x14ac:dyDescent="0.2">
      <c r="GI50479" s="422"/>
    </row>
    <row r="50480" spans="191:191" x14ac:dyDescent="0.2">
      <c r="GI50480" s="422"/>
    </row>
    <row r="50481" spans="191:191" x14ac:dyDescent="0.2">
      <c r="GI50481" s="422"/>
    </row>
    <row r="50482" spans="191:191" x14ac:dyDescent="0.2">
      <c r="GI50482" s="422"/>
    </row>
    <row r="50483" spans="191:191" x14ac:dyDescent="0.2">
      <c r="GI50483" s="422"/>
    </row>
    <row r="50484" spans="191:191" x14ac:dyDescent="0.2">
      <c r="GI50484" s="422"/>
    </row>
    <row r="50485" spans="191:191" x14ac:dyDescent="0.2">
      <c r="GI50485" s="422"/>
    </row>
    <row r="50486" spans="191:191" x14ac:dyDescent="0.2">
      <c r="GI50486" s="422"/>
    </row>
    <row r="50487" spans="191:191" x14ac:dyDescent="0.2">
      <c r="GI50487" s="422"/>
    </row>
    <row r="50488" spans="191:191" x14ac:dyDescent="0.2">
      <c r="GI50488" s="422"/>
    </row>
    <row r="50489" spans="191:191" x14ac:dyDescent="0.2">
      <c r="GI50489" s="422"/>
    </row>
    <row r="50490" spans="191:191" x14ac:dyDescent="0.2">
      <c r="GI50490" s="422"/>
    </row>
    <row r="50491" spans="191:191" x14ac:dyDescent="0.2">
      <c r="GI50491" s="422"/>
    </row>
    <row r="50492" spans="191:191" x14ac:dyDescent="0.2">
      <c r="GI50492" s="422"/>
    </row>
    <row r="50493" spans="191:191" x14ac:dyDescent="0.2">
      <c r="GI50493" s="422"/>
    </row>
    <row r="50494" spans="191:191" x14ac:dyDescent="0.2">
      <c r="GI50494" s="422"/>
    </row>
    <row r="50495" spans="191:191" x14ac:dyDescent="0.2">
      <c r="GI50495" s="422"/>
    </row>
    <row r="50496" spans="191:191" x14ac:dyDescent="0.2">
      <c r="GI50496" s="422"/>
    </row>
    <row r="50497" spans="191:191" x14ac:dyDescent="0.2">
      <c r="GI50497" s="422"/>
    </row>
    <row r="50498" spans="191:191" x14ac:dyDescent="0.2">
      <c r="GI50498" s="422"/>
    </row>
    <row r="50499" spans="191:191" x14ac:dyDescent="0.2">
      <c r="GI50499" s="422"/>
    </row>
    <row r="50500" spans="191:191" x14ac:dyDescent="0.2">
      <c r="GI50500" s="422"/>
    </row>
    <row r="50501" spans="191:191" x14ac:dyDescent="0.2">
      <c r="GI50501" s="422"/>
    </row>
    <row r="50502" spans="191:191" x14ac:dyDescent="0.2">
      <c r="GI50502" s="422"/>
    </row>
    <row r="50503" spans="191:191" x14ac:dyDescent="0.2">
      <c r="GI50503" s="422"/>
    </row>
    <row r="50504" spans="191:191" x14ac:dyDescent="0.2">
      <c r="GI50504" s="422"/>
    </row>
    <row r="50505" spans="191:191" x14ac:dyDescent="0.2">
      <c r="GI50505" s="422"/>
    </row>
    <row r="50506" spans="191:191" x14ac:dyDescent="0.2">
      <c r="GI50506" s="422"/>
    </row>
    <row r="50507" spans="191:191" x14ac:dyDescent="0.2">
      <c r="GI50507" s="422"/>
    </row>
    <row r="50508" spans="191:191" x14ac:dyDescent="0.2">
      <c r="GI50508" s="422"/>
    </row>
    <row r="50509" spans="191:191" x14ac:dyDescent="0.2">
      <c r="GI50509" s="422"/>
    </row>
    <row r="50510" spans="191:191" x14ac:dyDescent="0.2">
      <c r="GI50510" s="422"/>
    </row>
    <row r="50511" spans="191:191" x14ac:dyDescent="0.2">
      <c r="GI50511" s="422"/>
    </row>
    <row r="50512" spans="191:191" x14ac:dyDescent="0.2">
      <c r="GI50512" s="422"/>
    </row>
    <row r="50513" spans="191:191" x14ac:dyDescent="0.2">
      <c r="GI50513" s="422"/>
    </row>
    <row r="50514" spans="191:191" x14ac:dyDescent="0.2">
      <c r="GI50514" s="422"/>
    </row>
    <row r="50515" spans="191:191" x14ac:dyDescent="0.2">
      <c r="GI50515" s="422"/>
    </row>
    <row r="50516" spans="191:191" x14ac:dyDescent="0.2">
      <c r="GI50516" s="422"/>
    </row>
    <row r="50517" spans="191:191" x14ac:dyDescent="0.2">
      <c r="GI50517" s="422"/>
    </row>
    <row r="50518" spans="191:191" x14ac:dyDescent="0.2">
      <c r="GI50518" s="422"/>
    </row>
    <row r="50519" spans="191:191" x14ac:dyDescent="0.2">
      <c r="GI50519" s="422"/>
    </row>
    <row r="50520" spans="191:191" x14ac:dyDescent="0.2">
      <c r="GI50520" s="422"/>
    </row>
    <row r="50521" spans="191:191" x14ac:dyDescent="0.2">
      <c r="GI50521" s="422"/>
    </row>
    <row r="50522" spans="191:191" x14ac:dyDescent="0.2">
      <c r="GI50522" s="422"/>
    </row>
    <row r="50523" spans="191:191" x14ac:dyDescent="0.2">
      <c r="GI50523" s="422"/>
    </row>
    <row r="50524" spans="191:191" x14ac:dyDescent="0.2">
      <c r="GI50524" s="422"/>
    </row>
    <row r="50525" spans="191:191" x14ac:dyDescent="0.2">
      <c r="GI50525" s="422"/>
    </row>
    <row r="50526" spans="191:191" x14ac:dyDescent="0.2">
      <c r="GI50526" s="422"/>
    </row>
    <row r="50527" spans="191:191" x14ac:dyDescent="0.2">
      <c r="GI50527" s="422"/>
    </row>
    <row r="50528" spans="191:191" x14ac:dyDescent="0.2">
      <c r="GI50528" s="422"/>
    </row>
    <row r="50529" spans="191:191" x14ac:dyDescent="0.2">
      <c r="GI50529" s="422"/>
    </row>
    <row r="50530" spans="191:191" x14ac:dyDescent="0.2">
      <c r="GI50530" s="422"/>
    </row>
    <row r="50531" spans="191:191" x14ac:dyDescent="0.2">
      <c r="GI50531" s="422"/>
    </row>
    <row r="50532" spans="191:191" x14ac:dyDescent="0.2">
      <c r="GI50532" s="422"/>
    </row>
    <row r="50533" spans="191:191" x14ac:dyDescent="0.2">
      <c r="GI50533" s="422"/>
    </row>
    <row r="50534" spans="191:191" x14ac:dyDescent="0.2">
      <c r="GI50534" s="422"/>
    </row>
    <row r="50535" spans="191:191" x14ac:dyDescent="0.2">
      <c r="GI50535" s="422"/>
    </row>
    <row r="50536" spans="191:191" x14ac:dyDescent="0.2">
      <c r="GI50536" s="422"/>
    </row>
    <row r="50537" spans="191:191" x14ac:dyDescent="0.2">
      <c r="GI50537" s="422"/>
    </row>
    <row r="50538" spans="191:191" x14ac:dyDescent="0.2">
      <c r="GI50538" s="422"/>
    </row>
    <row r="50539" spans="191:191" x14ac:dyDescent="0.2">
      <c r="GI50539" s="422"/>
    </row>
    <row r="50540" spans="191:191" x14ac:dyDescent="0.2">
      <c r="GI50540" s="422"/>
    </row>
    <row r="50541" spans="191:191" x14ac:dyDescent="0.2">
      <c r="GI50541" s="422"/>
    </row>
    <row r="50542" spans="191:191" x14ac:dyDescent="0.2">
      <c r="GI50542" s="422"/>
    </row>
    <row r="50543" spans="191:191" x14ac:dyDescent="0.2">
      <c r="GI50543" s="422"/>
    </row>
    <row r="50544" spans="191:191" x14ac:dyDescent="0.2">
      <c r="GI50544" s="422"/>
    </row>
    <row r="50545" spans="191:191" x14ac:dyDescent="0.2">
      <c r="GI50545" s="422"/>
    </row>
    <row r="50546" spans="191:191" x14ac:dyDescent="0.2">
      <c r="GI50546" s="422"/>
    </row>
    <row r="50547" spans="191:191" x14ac:dyDescent="0.2">
      <c r="GI50547" s="422"/>
    </row>
    <row r="50548" spans="191:191" x14ac:dyDescent="0.2">
      <c r="GI50548" s="422"/>
    </row>
    <row r="50549" spans="191:191" x14ac:dyDescent="0.2">
      <c r="GI50549" s="422"/>
    </row>
    <row r="50550" spans="191:191" x14ac:dyDescent="0.2">
      <c r="GI50550" s="422"/>
    </row>
    <row r="50551" spans="191:191" x14ac:dyDescent="0.2">
      <c r="GI50551" s="422"/>
    </row>
    <row r="50552" spans="191:191" x14ac:dyDescent="0.2">
      <c r="GI50552" s="422"/>
    </row>
    <row r="50553" spans="191:191" x14ac:dyDescent="0.2">
      <c r="GI50553" s="422"/>
    </row>
    <row r="50554" spans="191:191" x14ac:dyDescent="0.2">
      <c r="GI50554" s="422"/>
    </row>
    <row r="50555" spans="191:191" x14ac:dyDescent="0.2">
      <c r="GI50555" s="422"/>
    </row>
    <row r="50556" spans="191:191" x14ac:dyDescent="0.2">
      <c r="GI50556" s="422"/>
    </row>
    <row r="50557" spans="191:191" x14ac:dyDescent="0.2">
      <c r="GI50557" s="422"/>
    </row>
    <row r="50558" spans="191:191" x14ac:dyDescent="0.2">
      <c r="GI50558" s="422"/>
    </row>
    <row r="50559" spans="191:191" x14ac:dyDescent="0.2">
      <c r="GI50559" s="422"/>
    </row>
    <row r="50560" spans="191:191" x14ac:dyDescent="0.2">
      <c r="GI50560" s="422"/>
    </row>
    <row r="50561" spans="191:191" x14ac:dyDescent="0.2">
      <c r="GI50561" s="422"/>
    </row>
    <row r="50562" spans="191:191" x14ac:dyDescent="0.2">
      <c r="GI50562" s="422"/>
    </row>
    <row r="50563" spans="191:191" x14ac:dyDescent="0.2">
      <c r="GI50563" s="422"/>
    </row>
    <row r="50564" spans="191:191" x14ac:dyDescent="0.2">
      <c r="GI50564" s="422"/>
    </row>
    <row r="50565" spans="191:191" x14ac:dyDescent="0.2">
      <c r="GI50565" s="422"/>
    </row>
    <row r="50566" spans="191:191" x14ac:dyDescent="0.2">
      <c r="GI50566" s="422"/>
    </row>
    <row r="50567" spans="191:191" x14ac:dyDescent="0.2">
      <c r="GI50567" s="422"/>
    </row>
    <row r="50568" spans="191:191" x14ac:dyDescent="0.2">
      <c r="GI50568" s="422"/>
    </row>
    <row r="50569" spans="191:191" x14ac:dyDescent="0.2">
      <c r="GI50569" s="422"/>
    </row>
    <row r="50570" spans="191:191" x14ac:dyDescent="0.2">
      <c r="GI50570" s="422"/>
    </row>
    <row r="50571" spans="191:191" x14ac:dyDescent="0.2">
      <c r="GI50571" s="422"/>
    </row>
    <row r="50572" spans="191:191" x14ac:dyDescent="0.2">
      <c r="GI50572" s="422"/>
    </row>
    <row r="50573" spans="191:191" x14ac:dyDescent="0.2">
      <c r="GI50573" s="422"/>
    </row>
    <row r="50574" spans="191:191" x14ac:dyDescent="0.2">
      <c r="GI50574" s="422"/>
    </row>
    <row r="50575" spans="191:191" x14ac:dyDescent="0.2">
      <c r="GI50575" s="422"/>
    </row>
    <row r="50576" spans="191:191" x14ac:dyDescent="0.2">
      <c r="GI50576" s="422"/>
    </row>
    <row r="50577" spans="191:191" x14ac:dyDescent="0.2">
      <c r="GI50577" s="422"/>
    </row>
    <row r="50578" spans="191:191" x14ac:dyDescent="0.2">
      <c r="GI50578" s="422"/>
    </row>
    <row r="50579" spans="191:191" x14ac:dyDescent="0.2">
      <c r="GI50579" s="422"/>
    </row>
    <row r="50580" spans="191:191" x14ac:dyDescent="0.2">
      <c r="GI50580" s="422"/>
    </row>
    <row r="50581" spans="191:191" x14ac:dyDescent="0.2">
      <c r="GI50581" s="422"/>
    </row>
    <row r="50582" spans="191:191" x14ac:dyDescent="0.2">
      <c r="GI50582" s="422"/>
    </row>
    <row r="50583" spans="191:191" x14ac:dyDescent="0.2">
      <c r="GI50583" s="422"/>
    </row>
    <row r="50584" spans="191:191" x14ac:dyDescent="0.2">
      <c r="GI50584" s="422"/>
    </row>
    <row r="50585" spans="191:191" x14ac:dyDescent="0.2">
      <c r="GI50585" s="422"/>
    </row>
    <row r="50586" spans="191:191" x14ac:dyDescent="0.2">
      <c r="GI50586" s="422"/>
    </row>
    <row r="50587" spans="191:191" x14ac:dyDescent="0.2">
      <c r="GI50587" s="422"/>
    </row>
    <row r="50588" spans="191:191" x14ac:dyDescent="0.2">
      <c r="GI50588" s="422"/>
    </row>
    <row r="50589" spans="191:191" x14ac:dyDescent="0.2">
      <c r="GI50589" s="422"/>
    </row>
    <row r="50590" spans="191:191" x14ac:dyDescent="0.2">
      <c r="GI50590" s="422"/>
    </row>
    <row r="50591" spans="191:191" x14ac:dyDescent="0.2">
      <c r="GI50591" s="422"/>
    </row>
    <row r="50592" spans="191:191" x14ac:dyDescent="0.2">
      <c r="GI50592" s="422"/>
    </row>
    <row r="50593" spans="191:191" x14ac:dyDescent="0.2">
      <c r="GI50593" s="422"/>
    </row>
    <row r="50594" spans="191:191" x14ac:dyDescent="0.2">
      <c r="GI50594" s="422"/>
    </row>
    <row r="50595" spans="191:191" x14ac:dyDescent="0.2">
      <c r="GI50595" s="422"/>
    </row>
    <row r="50596" spans="191:191" x14ac:dyDescent="0.2">
      <c r="GI50596" s="422"/>
    </row>
    <row r="50597" spans="191:191" x14ac:dyDescent="0.2">
      <c r="GI50597" s="422"/>
    </row>
    <row r="50598" spans="191:191" x14ac:dyDescent="0.2">
      <c r="GI50598" s="422"/>
    </row>
    <row r="50599" spans="191:191" x14ac:dyDescent="0.2">
      <c r="GI50599" s="422"/>
    </row>
    <row r="50600" spans="191:191" x14ac:dyDescent="0.2">
      <c r="GI50600" s="422"/>
    </row>
    <row r="50601" spans="191:191" x14ac:dyDescent="0.2">
      <c r="GI50601" s="422"/>
    </row>
    <row r="50602" spans="191:191" x14ac:dyDescent="0.2">
      <c r="GI50602" s="422"/>
    </row>
    <row r="50603" spans="191:191" x14ac:dyDescent="0.2">
      <c r="GI50603" s="422"/>
    </row>
    <row r="50604" spans="191:191" x14ac:dyDescent="0.2">
      <c r="GI50604" s="422"/>
    </row>
    <row r="50605" spans="191:191" x14ac:dyDescent="0.2">
      <c r="GI50605" s="422"/>
    </row>
    <row r="50606" spans="191:191" x14ac:dyDescent="0.2">
      <c r="GI50606" s="422"/>
    </row>
    <row r="50607" spans="191:191" x14ac:dyDescent="0.2">
      <c r="GI50607" s="422"/>
    </row>
    <row r="50608" spans="191:191" x14ac:dyDescent="0.2">
      <c r="GI50608" s="422"/>
    </row>
    <row r="50609" spans="191:191" x14ac:dyDescent="0.2">
      <c r="GI50609" s="422"/>
    </row>
    <row r="50610" spans="191:191" x14ac:dyDescent="0.2">
      <c r="GI50610" s="422"/>
    </row>
    <row r="50611" spans="191:191" x14ac:dyDescent="0.2">
      <c r="GI50611" s="422"/>
    </row>
    <row r="50612" spans="191:191" x14ac:dyDescent="0.2">
      <c r="GI50612" s="422"/>
    </row>
    <row r="50613" spans="191:191" x14ac:dyDescent="0.2">
      <c r="GI50613" s="422"/>
    </row>
    <row r="50614" spans="191:191" x14ac:dyDescent="0.2">
      <c r="GI50614" s="422"/>
    </row>
    <row r="50615" spans="191:191" x14ac:dyDescent="0.2">
      <c r="GI50615" s="422"/>
    </row>
    <row r="50616" spans="191:191" x14ac:dyDescent="0.2">
      <c r="GI50616" s="422"/>
    </row>
    <row r="50617" spans="191:191" x14ac:dyDescent="0.2">
      <c r="GI50617" s="422"/>
    </row>
    <row r="50618" spans="191:191" x14ac:dyDescent="0.2">
      <c r="GI50618" s="422"/>
    </row>
    <row r="50619" spans="191:191" x14ac:dyDescent="0.2">
      <c r="GI50619" s="422"/>
    </row>
    <row r="50620" spans="191:191" x14ac:dyDescent="0.2">
      <c r="GI50620" s="422"/>
    </row>
    <row r="50621" spans="191:191" x14ac:dyDescent="0.2">
      <c r="GI50621" s="422"/>
    </row>
    <row r="50622" spans="191:191" x14ac:dyDescent="0.2">
      <c r="GI50622" s="422"/>
    </row>
    <row r="50623" spans="191:191" x14ac:dyDescent="0.2">
      <c r="GI50623" s="422"/>
    </row>
    <row r="50624" spans="191:191" x14ac:dyDescent="0.2">
      <c r="GI50624" s="422"/>
    </row>
    <row r="50625" spans="191:191" x14ac:dyDescent="0.2">
      <c r="GI50625" s="422"/>
    </row>
    <row r="50626" spans="191:191" x14ac:dyDescent="0.2">
      <c r="GI50626" s="422"/>
    </row>
    <row r="50627" spans="191:191" x14ac:dyDescent="0.2">
      <c r="GI50627" s="422"/>
    </row>
    <row r="50628" spans="191:191" x14ac:dyDescent="0.2">
      <c r="GI50628" s="422"/>
    </row>
    <row r="50629" spans="191:191" x14ac:dyDescent="0.2">
      <c r="GI50629" s="422"/>
    </row>
    <row r="50630" spans="191:191" x14ac:dyDescent="0.2">
      <c r="GI50630" s="422"/>
    </row>
    <row r="50631" spans="191:191" x14ac:dyDescent="0.2">
      <c r="GI50631" s="422"/>
    </row>
    <row r="50632" spans="191:191" x14ac:dyDescent="0.2">
      <c r="GI50632" s="422"/>
    </row>
    <row r="50633" spans="191:191" x14ac:dyDescent="0.2">
      <c r="GI50633" s="422"/>
    </row>
    <row r="50634" spans="191:191" x14ac:dyDescent="0.2">
      <c r="GI50634" s="422"/>
    </row>
    <row r="50635" spans="191:191" x14ac:dyDescent="0.2">
      <c r="GI50635" s="422"/>
    </row>
    <row r="50636" spans="191:191" x14ac:dyDescent="0.2">
      <c r="GI50636" s="422"/>
    </row>
    <row r="50637" spans="191:191" x14ac:dyDescent="0.2">
      <c r="GI50637" s="422"/>
    </row>
    <row r="50638" spans="191:191" x14ac:dyDescent="0.2">
      <c r="GI50638" s="422"/>
    </row>
    <row r="50639" spans="191:191" x14ac:dyDescent="0.2">
      <c r="GI50639" s="422"/>
    </row>
    <row r="50640" spans="191:191" x14ac:dyDescent="0.2">
      <c r="GI50640" s="422"/>
    </row>
    <row r="50641" spans="191:191" x14ac:dyDescent="0.2">
      <c r="GI50641" s="422"/>
    </row>
    <row r="50642" spans="191:191" x14ac:dyDescent="0.2">
      <c r="GI50642" s="422"/>
    </row>
    <row r="50643" spans="191:191" x14ac:dyDescent="0.2">
      <c r="GI50643" s="422"/>
    </row>
    <row r="50644" spans="191:191" x14ac:dyDescent="0.2">
      <c r="GI50644" s="422"/>
    </row>
    <row r="50645" spans="191:191" x14ac:dyDescent="0.2">
      <c r="GI50645" s="422"/>
    </row>
    <row r="50646" spans="191:191" x14ac:dyDescent="0.2">
      <c r="GI50646" s="422"/>
    </row>
    <row r="50647" spans="191:191" x14ac:dyDescent="0.2">
      <c r="GI50647" s="422"/>
    </row>
    <row r="50648" spans="191:191" x14ac:dyDescent="0.2">
      <c r="GI50648" s="422"/>
    </row>
    <row r="50649" spans="191:191" x14ac:dyDescent="0.2">
      <c r="GI50649" s="422"/>
    </row>
    <row r="50650" spans="191:191" x14ac:dyDescent="0.2">
      <c r="GI50650" s="422"/>
    </row>
    <row r="50651" spans="191:191" x14ac:dyDescent="0.2">
      <c r="GI50651" s="422"/>
    </row>
    <row r="50652" spans="191:191" x14ac:dyDescent="0.2">
      <c r="GI50652" s="422"/>
    </row>
    <row r="50653" spans="191:191" x14ac:dyDescent="0.2">
      <c r="GI50653" s="422"/>
    </row>
    <row r="50654" spans="191:191" x14ac:dyDescent="0.2">
      <c r="GI50654" s="422"/>
    </row>
    <row r="50655" spans="191:191" x14ac:dyDescent="0.2">
      <c r="GI50655" s="422"/>
    </row>
    <row r="50656" spans="191:191" x14ac:dyDescent="0.2">
      <c r="GI50656" s="422"/>
    </row>
    <row r="50657" spans="191:191" x14ac:dyDescent="0.2">
      <c r="GI50657" s="422"/>
    </row>
    <row r="50658" spans="191:191" x14ac:dyDescent="0.2">
      <c r="GI50658" s="422"/>
    </row>
    <row r="50659" spans="191:191" x14ac:dyDescent="0.2">
      <c r="GI50659" s="422"/>
    </row>
    <row r="50660" spans="191:191" x14ac:dyDescent="0.2">
      <c r="GI50660" s="422"/>
    </row>
    <row r="50661" spans="191:191" x14ac:dyDescent="0.2">
      <c r="GI50661" s="422"/>
    </row>
    <row r="50662" spans="191:191" x14ac:dyDescent="0.2">
      <c r="GI50662" s="422"/>
    </row>
    <row r="50663" spans="191:191" x14ac:dyDescent="0.2">
      <c r="GI50663" s="422"/>
    </row>
    <row r="50664" spans="191:191" x14ac:dyDescent="0.2">
      <c r="GI50664" s="422"/>
    </row>
    <row r="50665" spans="191:191" x14ac:dyDescent="0.2">
      <c r="GI50665" s="422"/>
    </row>
    <row r="50666" spans="191:191" x14ac:dyDescent="0.2">
      <c r="GI50666" s="422"/>
    </row>
    <row r="50667" spans="191:191" x14ac:dyDescent="0.2">
      <c r="GI50667" s="422"/>
    </row>
    <row r="50668" spans="191:191" x14ac:dyDescent="0.2">
      <c r="GI50668" s="422"/>
    </row>
    <row r="50669" spans="191:191" x14ac:dyDescent="0.2">
      <c r="GI50669" s="422"/>
    </row>
    <row r="50670" spans="191:191" x14ac:dyDescent="0.2">
      <c r="GI50670" s="422"/>
    </row>
    <row r="50671" spans="191:191" x14ac:dyDescent="0.2">
      <c r="GI50671" s="422"/>
    </row>
    <row r="50672" spans="191:191" x14ac:dyDescent="0.2">
      <c r="GI50672" s="422"/>
    </row>
    <row r="50673" spans="191:191" x14ac:dyDescent="0.2">
      <c r="GI50673" s="422"/>
    </row>
    <row r="50674" spans="191:191" x14ac:dyDescent="0.2">
      <c r="GI50674" s="422"/>
    </row>
    <row r="50675" spans="191:191" x14ac:dyDescent="0.2">
      <c r="GI50675" s="422"/>
    </row>
    <row r="50676" spans="191:191" x14ac:dyDescent="0.2">
      <c r="GI50676" s="422"/>
    </row>
    <row r="50677" spans="191:191" x14ac:dyDescent="0.2">
      <c r="GI50677" s="422"/>
    </row>
    <row r="50678" spans="191:191" x14ac:dyDescent="0.2">
      <c r="GI50678" s="422"/>
    </row>
    <row r="50679" spans="191:191" x14ac:dyDescent="0.2">
      <c r="GI50679" s="422"/>
    </row>
    <row r="50680" spans="191:191" x14ac:dyDescent="0.2">
      <c r="GI50680" s="422"/>
    </row>
    <row r="50681" spans="191:191" x14ac:dyDescent="0.2">
      <c r="GI50681" s="422"/>
    </row>
    <row r="50682" spans="191:191" x14ac:dyDescent="0.2">
      <c r="GI50682" s="422"/>
    </row>
    <row r="50683" spans="191:191" x14ac:dyDescent="0.2">
      <c r="GI50683" s="422"/>
    </row>
    <row r="50684" spans="191:191" x14ac:dyDescent="0.2">
      <c r="GI50684" s="422"/>
    </row>
    <row r="50685" spans="191:191" x14ac:dyDescent="0.2">
      <c r="GI50685" s="422"/>
    </row>
    <row r="50686" spans="191:191" x14ac:dyDescent="0.2">
      <c r="GI50686" s="422"/>
    </row>
    <row r="50687" spans="191:191" x14ac:dyDescent="0.2">
      <c r="GI50687" s="422"/>
    </row>
    <row r="50688" spans="191:191" x14ac:dyDescent="0.2">
      <c r="GI50688" s="422"/>
    </row>
    <row r="50689" spans="191:191" x14ac:dyDescent="0.2">
      <c r="GI50689" s="422"/>
    </row>
    <row r="50690" spans="191:191" x14ac:dyDescent="0.2">
      <c r="GI50690" s="422"/>
    </row>
    <row r="50691" spans="191:191" x14ac:dyDescent="0.2">
      <c r="GI50691" s="422"/>
    </row>
    <row r="50692" spans="191:191" x14ac:dyDescent="0.2">
      <c r="GI50692" s="422"/>
    </row>
    <row r="50693" spans="191:191" x14ac:dyDescent="0.2">
      <c r="GI50693" s="422"/>
    </row>
    <row r="50694" spans="191:191" x14ac:dyDescent="0.2">
      <c r="GI50694" s="422"/>
    </row>
    <row r="50695" spans="191:191" x14ac:dyDescent="0.2">
      <c r="GI50695" s="422"/>
    </row>
    <row r="50696" spans="191:191" x14ac:dyDescent="0.2">
      <c r="GI50696" s="422"/>
    </row>
    <row r="50697" spans="191:191" x14ac:dyDescent="0.2">
      <c r="GI50697" s="422"/>
    </row>
    <row r="50698" spans="191:191" x14ac:dyDescent="0.2">
      <c r="GI50698" s="422"/>
    </row>
    <row r="50699" spans="191:191" x14ac:dyDescent="0.2">
      <c r="GI50699" s="422"/>
    </row>
    <row r="50700" spans="191:191" x14ac:dyDescent="0.2">
      <c r="GI50700" s="422"/>
    </row>
    <row r="50701" spans="191:191" x14ac:dyDescent="0.2">
      <c r="GI50701" s="422"/>
    </row>
    <row r="50702" spans="191:191" x14ac:dyDescent="0.2">
      <c r="GI50702" s="422"/>
    </row>
    <row r="50703" spans="191:191" x14ac:dyDescent="0.2">
      <c r="GI50703" s="422"/>
    </row>
    <row r="50704" spans="191:191" x14ac:dyDescent="0.2">
      <c r="GI50704" s="422"/>
    </row>
    <row r="50705" spans="191:191" x14ac:dyDescent="0.2">
      <c r="GI50705" s="422"/>
    </row>
    <row r="50706" spans="191:191" x14ac:dyDescent="0.2">
      <c r="GI50706" s="422"/>
    </row>
    <row r="50707" spans="191:191" x14ac:dyDescent="0.2">
      <c r="GI50707" s="422"/>
    </row>
    <row r="50708" spans="191:191" x14ac:dyDescent="0.2">
      <c r="GI50708" s="422"/>
    </row>
    <row r="50709" spans="191:191" x14ac:dyDescent="0.2">
      <c r="GI50709" s="422"/>
    </row>
    <row r="50710" spans="191:191" x14ac:dyDescent="0.2">
      <c r="GI50710" s="422"/>
    </row>
    <row r="50711" spans="191:191" x14ac:dyDescent="0.2">
      <c r="GI50711" s="422"/>
    </row>
    <row r="50712" spans="191:191" x14ac:dyDescent="0.2">
      <c r="GI50712" s="422"/>
    </row>
    <row r="50713" spans="191:191" x14ac:dyDescent="0.2">
      <c r="GI50713" s="422"/>
    </row>
    <row r="50714" spans="191:191" x14ac:dyDescent="0.2">
      <c r="GI50714" s="422"/>
    </row>
    <row r="50715" spans="191:191" x14ac:dyDescent="0.2">
      <c r="GI50715" s="422"/>
    </row>
    <row r="50716" spans="191:191" x14ac:dyDescent="0.2">
      <c r="GI50716" s="422"/>
    </row>
    <row r="50717" spans="191:191" x14ac:dyDescent="0.2">
      <c r="GI50717" s="422"/>
    </row>
    <row r="50718" spans="191:191" x14ac:dyDescent="0.2">
      <c r="GI50718" s="422"/>
    </row>
    <row r="50719" spans="191:191" x14ac:dyDescent="0.2">
      <c r="GI50719" s="422"/>
    </row>
    <row r="50720" spans="191:191" x14ac:dyDescent="0.2">
      <c r="GI50720" s="422"/>
    </row>
    <row r="50721" spans="191:191" x14ac:dyDescent="0.2">
      <c r="GI50721" s="422"/>
    </row>
    <row r="50722" spans="191:191" x14ac:dyDescent="0.2">
      <c r="GI50722" s="422"/>
    </row>
    <row r="50723" spans="191:191" x14ac:dyDescent="0.2">
      <c r="GI50723" s="422"/>
    </row>
    <row r="50724" spans="191:191" x14ac:dyDescent="0.2">
      <c r="GI50724" s="422"/>
    </row>
    <row r="50725" spans="191:191" x14ac:dyDescent="0.2">
      <c r="GI50725" s="422"/>
    </row>
    <row r="50726" spans="191:191" x14ac:dyDescent="0.2">
      <c r="GI50726" s="422"/>
    </row>
    <row r="50727" spans="191:191" x14ac:dyDescent="0.2">
      <c r="GI50727" s="422"/>
    </row>
    <row r="50728" spans="191:191" x14ac:dyDescent="0.2">
      <c r="GI50728" s="422"/>
    </row>
    <row r="50729" spans="191:191" x14ac:dyDescent="0.2">
      <c r="GI50729" s="422"/>
    </row>
    <row r="50730" spans="191:191" x14ac:dyDescent="0.2">
      <c r="GI50730" s="422"/>
    </row>
    <row r="50731" spans="191:191" x14ac:dyDescent="0.2">
      <c r="GI50731" s="422"/>
    </row>
    <row r="50732" spans="191:191" x14ac:dyDescent="0.2">
      <c r="GI50732" s="422"/>
    </row>
    <row r="50733" spans="191:191" x14ac:dyDescent="0.2">
      <c r="GI50733" s="422"/>
    </row>
    <row r="50734" spans="191:191" x14ac:dyDescent="0.2">
      <c r="GI50734" s="422"/>
    </row>
    <row r="50735" spans="191:191" x14ac:dyDescent="0.2">
      <c r="GI50735" s="422"/>
    </row>
    <row r="50736" spans="191:191" x14ac:dyDescent="0.2">
      <c r="GI50736" s="422"/>
    </row>
    <row r="50737" spans="191:191" x14ac:dyDescent="0.2">
      <c r="GI50737" s="422"/>
    </row>
    <row r="50738" spans="191:191" x14ac:dyDescent="0.2">
      <c r="GI50738" s="422"/>
    </row>
    <row r="50739" spans="191:191" x14ac:dyDescent="0.2">
      <c r="GI50739" s="422"/>
    </row>
    <row r="50740" spans="191:191" x14ac:dyDescent="0.2">
      <c r="GI50740" s="422"/>
    </row>
    <row r="50741" spans="191:191" x14ac:dyDescent="0.2">
      <c r="GI50741" s="422"/>
    </row>
    <row r="50742" spans="191:191" x14ac:dyDescent="0.2">
      <c r="GI50742" s="422"/>
    </row>
    <row r="50743" spans="191:191" x14ac:dyDescent="0.2">
      <c r="GI50743" s="422"/>
    </row>
    <row r="50744" spans="191:191" x14ac:dyDescent="0.2">
      <c r="GI50744" s="422"/>
    </row>
    <row r="50745" spans="191:191" x14ac:dyDescent="0.2">
      <c r="GI50745" s="422"/>
    </row>
    <row r="50746" spans="191:191" x14ac:dyDescent="0.2">
      <c r="GI50746" s="422"/>
    </row>
    <row r="50747" spans="191:191" x14ac:dyDescent="0.2">
      <c r="GI50747" s="422"/>
    </row>
    <row r="50748" spans="191:191" x14ac:dyDescent="0.2">
      <c r="GI50748" s="422"/>
    </row>
    <row r="50749" spans="191:191" x14ac:dyDescent="0.2">
      <c r="GI50749" s="422"/>
    </row>
    <row r="50750" spans="191:191" x14ac:dyDescent="0.2">
      <c r="GI50750" s="422"/>
    </row>
    <row r="50751" spans="191:191" x14ac:dyDescent="0.2">
      <c r="GI50751" s="422"/>
    </row>
    <row r="50752" spans="191:191" x14ac:dyDescent="0.2">
      <c r="GI50752" s="422"/>
    </row>
    <row r="50753" spans="191:191" x14ac:dyDescent="0.2">
      <c r="GI50753" s="422"/>
    </row>
    <row r="50754" spans="191:191" x14ac:dyDescent="0.2">
      <c r="GI50754" s="422"/>
    </row>
    <row r="50755" spans="191:191" x14ac:dyDescent="0.2">
      <c r="GI50755" s="422"/>
    </row>
    <row r="50756" spans="191:191" x14ac:dyDescent="0.2">
      <c r="GI50756" s="422"/>
    </row>
    <row r="50757" spans="191:191" x14ac:dyDescent="0.2">
      <c r="GI50757" s="422"/>
    </row>
    <row r="50758" spans="191:191" x14ac:dyDescent="0.2">
      <c r="GI50758" s="422"/>
    </row>
    <row r="50759" spans="191:191" x14ac:dyDescent="0.2">
      <c r="GI50759" s="422"/>
    </row>
    <row r="50760" spans="191:191" x14ac:dyDescent="0.2">
      <c r="GI50760" s="422"/>
    </row>
    <row r="50761" spans="191:191" x14ac:dyDescent="0.2">
      <c r="GI50761" s="422"/>
    </row>
    <row r="50762" spans="191:191" x14ac:dyDescent="0.2">
      <c r="GI50762" s="422"/>
    </row>
    <row r="50763" spans="191:191" x14ac:dyDescent="0.2">
      <c r="GI50763" s="422"/>
    </row>
    <row r="50764" spans="191:191" x14ac:dyDescent="0.2">
      <c r="GI50764" s="422"/>
    </row>
    <row r="50765" spans="191:191" x14ac:dyDescent="0.2">
      <c r="GI50765" s="422"/>
    </row>
    <row r="50766" spans="191:191" x14ac:dyDescent="0.2">
      <c r="GI50766" s="422"/>
    </row>
    <row r="50767" spans="191:191" x14ac:dyDescent="0.2">
      <c r="GI50767" s="422"/>
    </row>
    <row r="50768" spans="191:191" x14ac:dyDescent="0.2">
      <c r="GI50768" s="422"/>
    </row>
    <row r="50769" spans="191:191" x14ac:dyDescent="0.2">
      <c r="GI50769" s="422"/>
    </row>
    <row r="50770" spans="191:191" x14ac:dyDescent="0.2">
      <c r="GI50770" s="422"/>
    </row>
    <row r="50771" spans="191:191" x14ac:dyDescent="0.2">
      <c r="GI50771" s="422"/>
    </row>
    <row r="50772" spans="191:191" x14ac:dyDescent="0.2">
      <c r="GI50772" s="422"/>
    </row>
    <row r="50773" spans="191:191" x14ac:dyDescent="0.2">
      <c r="GI50773" s="422"/>
    </row>
    <row r="50774" spans="191:191" x14ac:dyDescent="0.2">
      <c r="GI50774" s="422"/>
    </row>
    <row r="50775" spans="191:191" x14ac:dyDescent="0.2">
      <c r="GI50775" s="422"/>
    </row>
    <row r="50776" spans="191:191" x14ac:dyDescent="0.2">
      <c r="GI50776" s="422"/>
    </row>
    <row r="50777" spans="191:191" x14ac:dyDescent="0.2">
      <c r="GI50777" s="422"/>
    </row>
    <row r="50778" spans="191:191" x14ac:dyDescent="0.2">
      <c r="GI50778" s="422"/>
    </row>
    <row r="50779" spans="191:191" x14ac:dyDescent="0.2">
      <c r="GI50779" s="422"/>
    </row>
    <row r="50780" spans="191:191" x14ac:dyDescent="0.2">
      <c r="GI50780" s="422"/>
    </row>
    <row r="50781" spans="191:191" x14ac:dyDescent="0.2">
      <c r="GI50781" s="422"/>
    </row>
    <row r="50782" spans="191:191" x14ac:dyDescent="0.2">
      <c r="GI50782" s="422"/>
    </row>
    <row r="50783" spans="191:191" x14ac:dyDescent="0.2">
      <c r="GI50783" s="422"/>
    </row>
    <row r="50784" spans="191:191" x14ac:dyDescent="0.2">
      <c r="GI50784" s="422"/>
    </row>
    <row r="50785" spans="191:191" x14ac:dyDescent="0.2">
      <c r="GI50785" s="422"/>
    </row>
    <row r="50786" spans="191:191" x14ac:dyDescent="0.2">
      <c r="GI50786" s="422"/>
    </row>
    <row r="50787" spans="191:191" x14ac:dyDescent="0.2">
      <c r="GI50787" s="422"/>
    </row>
    <row r="50788" spans="191:191" x14ac:dyDescent="0.2">
      <c r="GI50788" s="422"/>
    </row>
    <row r="50789" spans="191:191" x14ac:dyDescent="0.2">
      <c r="GI50789" s="422"/>
    </row>
    <row r="50790" spans="191:191" x14ac:dyDescent="0.2">
      <c r="GI50790" s="422"/>
    </row>
    <row r="50791" spans="191:191" x14ac:dyDescent="0.2">
      <c r="GI50791" s="422"/>
    </row>
    <row r="50792" spans="191:191" x14ac:dyDescent="0.2">
      <c r="GI50792" s="422"/>
    </row>
    <row r="50793" spans="191:191" x14ac:dyDescent="0.2">
      <c r="GI50793" s="422"/>
    </row>
    <row r="50794" spans="191:191" x14ac:dyDescent="0.2">
      <c r="GI50794" s="422"/>
    </row>
    <row r="50795" spans="191:191" x14ac:dyDescent="0.2">
      <c r="GI50795" s="422"/>
    </row>
    <row r="50796" spans="191:191" x14ac:dyDescent="0.2">
      <c r="GI50796" s="422"/>
    </row>
    <row r="50797" spans="191:191" x14ac:dyDescent="0.2">
      <c r="GI50797" s="422"/>
    </row>
    <row r="50798" spans="191:191" x14ac:dyDescent="0.2">
      <c r="GI50798" s="422"/>
    </row>
    <row r="50799" spans="191:191" x14ac:dyDescent="0.2">
      <c r="GI50799" s="422"/>
    </row>
    <row r="50800" spans="191:191" x14ac:dyDescent="0.2">
      <c r="GI50800" s="422"/>
    </row>
    <row r="50801" spans="191:191" x14ac:dyDescent="0.2">
      <c r="GI50801" s="422"/>
    </row>
    <row r="50802" spans="191:191" x14ac:dyDescent="0.2">
      <c r="GI50802" s="422"/>
    </row>
    <row r="50803" spans="191:191" x14ac:dyDescent="0.2">
      <c r="GI50803" s="422"/>
    </row>
    <row r="50804" spans="191:191" x14ac:dyDescent="0.2">
      <c r="GI50804" s="422"/>
    </row>
    <row r="50805" spans="191:191" x14ac:dyDescent="0.2">
      <c r="GI50805" s="422"/>
    </row>
    <row r="50806" spans="191:191" x14ac:dyDescent="0.2">
      <c r="GI50806" s="422"/>
    </row>
    <row r="50807" spans="191:191" x14ac:dyDescent="0.2">
      <c r="GI50807" s="422"/>
    </row>
    <row r="50808" spans="191:191" x14ac:dyDescent="0.2">
      <c r="GI50808" s="422"/>
    </row>
    <row r="50809" spans="191:191" x14ac:dyDescent="0.2">
      <c r="GI50809" s="422"/>
    </row>
    <row r="50810" spans="191:191" x14ac:dyDescent="0.2">
      <c r="GI50810" s="422"/>
    </row>
    <row r="50811" spans="191:191" x14ac:dyDescent="0.2">
      <c r="GI50811" s="422"/>
    </row>
    <row r="50812" spans="191:191" x14ac:dyDescent="0.2">
      <c r="GI50812" s="422"/>
    </row>
    <row r="50813" spans="191:191" x14ac:dyDescent="0.2">
      <c r="GI50813" s="422"/>
    </row>
    <row r="50814" spans="191:191" x14ac:dyDescent="0.2">
      <c r="GI50814" s="422"/>
    </row>
    <row r="50815" spans="191:191" x14ac:dyDescent="0.2">
      <c r="GI50815" s="422"/>
    </row>
    <row r="50816" spans="191:191" x14ac:dyDescent="0.2">
      <c r="GI50816" s="422"/>
    </row>
    <row r="50817" spans="191:191" x14ac:dyDescent="0.2">
      <c r="GI50817" s="422"/>
    </row>
    <row r="50818" spans="191:191" x14ac:dyDescent="0.2">
      <c r="GI50818" s="422"/>
    </row>
    <row r="50819" spans="191:191" x14ac:dyDescent="0.2">
      <c r="GI50819" s="422"/>
    </row>
    <row r="50820" spans="191:191" x14ac:dyDescent="0.2">
      <c r="GI50820" s="422"/>
    </row>
    <row r="50821" spans="191:191" x14ac:dyDescent="0.2">
      <c r="GI50821" s="422"/>
    </row>
    <row r="50822" spans="191:191" x14ac:dyDescent="0.2">
      <c r="GI50822" s="422"/>
    </row>
    <row r="50823" spans="191:191" x14ac:dyDescent="0.2">
      <c r="GI50823" s="422"/>
    </row>
    <row r="50824" spans="191:191" x14ac:dyDescent="0.2">
      <c r="GI50824" s="422"/>
    </row>
    <row r="50825" spans="191:191" x14ac:dyDescent="0.2">
      <c r="GI50825" s="422"/>
    </row>
    <row r="50826" spans="191:191" x14ac:dyDescent="0.2">
      <c r="GI50826" s="422"/>
    </row>
    <row r="50827" spans="191:191" x14ac:dyDescent="0.2">
      <c r="GI50827" s="422"/>
    </row>
    <row r="50828" spans="191:191" x14ac:dyDescent="0.2">
      <c r="GI50828" s="422"/>
    </row>
    <row r="50829" spans="191:191" x14ac:dyDescent="0.2">
      <c r="GI50829" s="422"/>
    </row>
    <row r="50830" spans="191:191" x14ac:dyDescent="0.2">
      <c r="GI50830" s="422"/>
    </row>
    <row r="50831" spans="191:191" x14ac:dyDescent="0.2">
      <c r="GI50831" s="422"/>
    </row>
    <row r="50832" spans="191:191" x14ac:dyDescent="0.2">
      <c r="GI50832" s="422"/>
    </row>
    <row r="50833" spans="191:191" x14ac:dyDescent="0.2">
      <c r="GI50833" s="422"/>
    </row>
    <row r="50834" spans="191:191" x14ac:dyDescent="0.2">
      <c r="GI50834" s="422"/>
    </row>
    <row r="50835" spans="191:191" x14ac:dyDescent="0.2">
      <c r="GI50835" s="422"/>
    </row>
    <row r="50836" spans="191:191" x14ac:dyDescent="0.2">
      <c r="GI50836" s="422"/>
    </row>
    <row r="50837" spans="191:191" x14ac:dyDescent="0.2">
      <c r="GI50837" s="422"/>
    </row>
    <row r="50838" spans="191:191" x14ac:dyDescent="0.2">
      <c r="GI50838" s="422"/>
    </row>
    <row r="50839" spans="191:191" x14ac:dyDescent="0.2">
      <c r="GI50839" s="422"/>
    </row>
    <row r="50840" spans="191:191" x14ac:dyDescent="0.2">
      <c r="GI50840" s="422"/>
    </row>
    <row r="50841" spans="191:191" x14ac:dyDescent="0.2">
      <c r="GI50841" s="422"/>
    </row>
    <row r="50842" spans="191:191" x14ac:dyDescent="0.2">
      <c r="GI50842" s="422"/>
    </row>
    <row r="50843" spans="191:191" x14ac:dyDescent="0.2">
      <c r="GI50843" s="422"/>
    </row>
    <row r="50844" spans="191:191" x14ac:dyDescent="0.2">
      <c r="GI50844" s="422"/>
    </row>
    <row r="50845" spans="191:191" x14ac:dyDescent="0.2">
      <c r="GI50845" s="422"/>
    </row>
    <row r="50846" spans="191:191" x14ac:dyDescent="0.2">
      <c r="GI50846" s="422"/>
    </row>
    <row r="50847" spans="191:191" x14ac:dyDescent="0.2">
      <c r="GI50847" s="422"/>
    </row>
    <row r="50848" spans="191:191" x14ac:dyDescent="0.2">
      <c r="GI50848" s="422"/>
    </row>
    <row r="50849" spans="191:191" x14ac:dyDescent="0.2">
      <c r="GI50849" s="422"/>
    </row>
    <row r="50850" spans="191:191" x14ac:dyDescent="0.2">
      <c r="GI50850" s="422"/>
    </row>
    <row r="50851" spans="191:191" x14ac:dyDescent="0.2">
      <c r="GI50851" s="422"/>
    </row>
    <row r="50852" spans="191:191" x14ac:dyDescent="0.2">
      <c r="GI50852" s="422"/>
    </row>
    <row r="50853" spans="191:191" x14ac:dyDescent="0.2">
      <c r="GI50853" s="422"/>
    </row>
    <row r="50854" spans="191:191" x14ac:dyDescent="0.2">
      <c r="GI50854" s="422"/>
    </row>
    <row r="50855" spans="191:191" x14ac:dyDescent="0.2">
      <c r="GI50855" s="422"/>
    </row>
    <row r="50856" spans="191:191" x14ac:dyDescent="0.2">
      <c r="GI50856" s="422"/>
    </row>
    <row r="50857" spans="191:191" x14ac:dyDescent="0.2">
      <c r="GI50857" s="422"/>
    </row>
    <row r="50858" spans="191:191" x14ac:dyDescent="0.2">
      <c r="GI50858" s="422"/>
    </row>
    <row r="50859" spans="191:191" x14ac:dyDescent="0.2">
      <c r="GI50859" s="422"/>
    </row>
    <row r="50860" spans="191:191" x14ac:dyDescent="0.2">
      <c r="GI50860" s="422"/>
    </row>
    <row r="50861" spans="191:191" x14ac:dyDescent="0.2">
      <c r="GI50861" s="422"/>
    </row>
    <row r="50862" spans="191:191" x14ac:dyDescent="0.2">
      <c r="GI50862" s="422"/>
    </row>
    <row r="50863" spans="191:191" x14ac:dyDescent="0.2">
      <c r="GI50863" s="422"/>
    </row>
    <row r="50864" spans="191:191" x14ac:dyDescent="0.2">
      <c r="GI50864" s="422"/>
    </row>
    <row r="50865" spans="191:191" x14ac:dyDescent="0.2">
      <c r="GI50865" s="422"/>
    </row>
    <row r="50866" spans="191:191" x14ac:dyDescent="0.2">
      <c r="GI50866" s="422"/>
    </row>
    <row r="50867" spans="191:191" x14ac:dyDescent="0.2">
      <c r="GI50867" s="422"/>
    </row>
    <row r="50868" spans="191:191" x14ac:dyDescent="0.2">
      <c r="GI50868" s="422"/>
    </row>
    <row r="50869" spans="191:191" x14ac:dyDescent="0.2">
      <c r="GI50869" s="422"/>
    </row>
    <row r="50870" spans="191:191" x14ac:dyDescent="0.2">
      <c r="GI50870" s="422"/>
    </row>
    <row r="50871" spans="191:191" x14ac:dyDescent="0.2">
      <c r="GI50871" s="422"/>
    </row>
    <row r="50872" spans="191:191" x14ac:dyDescent="0.2">
      <c r="GI50872" s="422"/>
    </row>
    <row r="50873" spans="191:191" x14ac:dyDescent="0.2">
      <c r="GI50873" s="422"/>
    </row>
    <row r="50874" spans="191:191" x14ac:dyDescent="0.2">
      <c r="GI50874" s="422"/>
    </row>
    <row r="50875" spans="191:191" x14ac:dyDescent="0.2">
      <c r="GI50875" s="422"/>
    </row>
    <row r="50876" spans="191:191" x14ac:dyDescent="0.2">
      <c r="GI50876" s="422"/>
    </row>
    <row r="50877" spans="191:191" x14ac:dyDescent="0.2">
      <c r="GI50877" s="422"/>
    </row>
    <row r="50878" spans="191:191" x14ac:dyDescent="0.2">
      <c r="GI50878" s="422"/>
    </row>
    <row r="50879" spans="191:191" x14ac:dyDescent="0.2">
      <c r="GI50879" s="422"/>
    </row>
    <row r="50880" spans="191:191" x14ac:dyDescent="0.2">
      <c r="GI50880" s="422"/>
    </row>
    <row r="50881" spans="191:191" x14ac:dyDescent="0.2">
      <c r="GI50881" s="422"/>
    </row>
    <row r="50882" spans="191:191" x14ac:dyDescent="0.2">
      <c r="GI50882" s="422"/>
    </row>
    <row r="50883" spans="191:191" x14ac:dyDescent="0.2">
      <c r="GI50883" s="422"/>
    </row>
    <row r="50884" spans="191:191" x14ac:dyDescent="0.2">
      <c r="GI50884" s="422"/>
    </row>
    <row r="50885" spans="191:191" x14ac:dyDescent="0.2">
      <c r="GI50885" s="422"/>
    </row>
    <row r="50886" spans="191:191" x14ac:dyDescent="0.2">
      <c r="GI50886" s="422"/>
    </row>
    <row r="50887" spans="191:191" x14ac:dyDescent="0.2">
      <c r="GI50887" s="422"/>
    </row>
    <row r="50888" spans="191:191" x14ac:dyDescent="0.2">
      <c r="GI50888" s="422"/>
    </row>
    <row r="50889" spans="191:191" x14ac:dyDescent="0.2">
      <c r="GI50889" s="422"/>
    </row>
    <row r="50890" spans="191:191" x14ac:dyDescent="0.2">
      <c r="GI50890" s="422"/>
    </row>
    <row r="50891" spans="191:191" x14ac:dyDescent="0.2">
      <c r="GI50891" s="422"/>
    </row>
    <row r="50892" spans="191:191" x14ac:dyDescent="0.2">
      <c r="GI50892" s="422"/>
    </row>
    <row r="50893" spans="191:191" x14ac:dyDescent="0.2">
      <c r="GI50893" s="422"/>
    </row>
    <row r="50894" spans="191:191" x14ac:dyDescent="0.2">
      <c r="GI50894" s="422"/>
    </row>
    <row r="50895" spans="191:191" x14ac:dyDescent="0.2">
      <c r="GI50895" s="422"/>
    </row>
    <row r="50896" spans="191:191" x14ac:dyDescent="0.2">
      <c r="GI50896" s="422"/>
    </row>
    <row r="50897" spans="191:191" x14ac:dyDescent="0.2">
      <c r="GI50897" s="422"/>
    </row>
    <row r="50898" spans="191:191" x14ac:dyDescent="0.2">
      <c r="GI50898" s="422"/>
    </row>
    <row r="50899" spans="191:191" x14ac:dyDescent="0.2">
      <c r="GI50899" s="422"/>
    </row>
    <row r="50900" spans="191:191" x14ac:dyDescent="0.2">
      <c r="GI50900" s="422"/>
    </row>
    <row r="50901" spans="191:191" x14ac:dyDescent="0.2">
      <c r="GI50901" s="422"/>
    </row>
    <row r="50902" spans="191:191" x14ac:dyDescent="0.2">
      <c r="GI50902" s="422"/>
    </row>
    <row r="50903" spans="191:191" x14ac:dyDescent="0.2">
      <c r="GI50903" s="422"/>
    </row>
    <row r="50904" spans="191:191" x14ac:dyDescent="0.2">
      <c r="GI50904" s="422"/>
    </row>
    <row r="50905" spans="191:191" x14ac:dyDescent="0.2">
      <c r="GI50905" s="422"/>
    </row>
    <row r="50906" spans="191:191" x14ac:dyDescent="0.2">
      <c r="GI50906" s="422"/>
    </row>
    <row r="50907" spans="191:191" x14ac:dyDescent="0.2">
      <c r="GI50907" s="422"/>
    </row>
    <row r="50908" spans="191:191" x14ac:dyDescent="0.2">
      <c r="GI50908" s="422"/>
    </row>
    <row r="50909" spans="191:191" x14ac:dyDescent="0.2">
      <c r="GI50909" s="422"/>
    </row>
    <row r="50910" spans="191:191" x14ac:dyDescent="0.2">
      <c r="GI50910" s="422"/>
    </row>
    <row r="50911" spans="191:191" x14ac:dyDescent="0.2">
      <c r="GI50911" s="422"/>
    </row>
    <row r="50912" spans="191:191" x14ac:dyDescent="0.2">
      <c r="GI50912" s="422"/>
    </row>
    <row r="50913" spans="191:191" x14ac:dyDescent="0.2">
      <c r="GI50913" s="422"/>
    </row>
    <row r="50914" spans="191:191" x14ac:dyDescent="0.2">
      <c r="GI50914" s="422"/>
    </row>
    <row r="50915" spans="191:191" x14ac:dyDescent="0.2">
      <c r="GI50915" s="422"/>
    </row>
    <row r="50916" spans="191:191" x14ac:dyDescent="0.2">
      <c r="GI50916" s="422"/>
    </row>
    <row r="50917" spans="191:191" x14ac:dyDescent="0.2">
      <c r="GI50917" s="422"/>
    </row>
    <row r="50918" spans="191:191" x14ac:dyDescent="0.2">
      <c r="GI50918" s="422"/>
    </row>
    <row r="50919" spans="191:191" x14ac:dyDescent="0.2">
      <c r="GI50919" s="422"/>
    </row>
    <row r="50920" spans="191:191" x14ac:dyDescent="0.2">
      <c r="GI50920" s="422"/>
    </row>
    <row r="50921" spans="191:191" x14ac:dyDescent="0.2">
      <c r="GI50921" s="422"/>
    </row>
    <row r="50922" spans="191:191" x14ac:dyDescent="0.2">
      <c r="GI50922" s="422"/>
    </row>
    <row r="50923" spans="191:191" x14ac:dyDescent="0.2">
      <c r="GI50923" s="422"/>
    </row>
    <row r="50924" spans="191:191" x14ac:dyDescent="0.2">
      <c r="GI50924" s="422"/>
    </row>
    <row r="50925" spans="191:191" x14ac:dyDescent="0.2">
      <c r="GI50925" s="422"/>
    </row>
    <row r="50926" spans="191:191" x14ac:dyDescent="0.2">
      <c r="GI50926" s="422"/>
    </row>
    <row r="50927" spans="191:191" x14ac:dyDescent="0.2">
      <c r="GI50927" s="422"/>
    </row>
    <row r="50928" spans="191:191" x14ac:dyDescent="0.2">
      <c r="GI50928" s="422"/>
    </row>
    <row r="50929" spans="191:191" x14ac:dyDescent="0.2">
      <c r="GI50929" s="422"/>
    </row>
    <row r="50930" spans="191:191" x14ac:dyDescent="0.2">
      <c r="GI50930" s="422"/>
    </row>
    <row r="50931" spans="191:191" x14ac:dyDescent="0.2">
      <c r="GI50931" s="422"/>
    </row>
    <row r="50932" spans="191:191" x14ac:dyDescent="0.2">
      <c r="GI50932" s="422"/>
    </row>
    <row r="50933" spans="191:191" x14ac:dyDescent="0.2">
      <c r="GI50933" s="422"/>
    </row>
    <row r="50934" spans="191:191" x14ac:dyDescent="0.2">
      <c r="GI50934" s="422"/>
    </row>
    <row r="50935" spans="191:191" x14ac:dyDescent="0.2">
      <c r="GI50935" s="422"/>
    </row>
    <row r="50936" spans="191:191" x14ac:dyDescent="0.2">
      <c r="GI50936" s="422"/>
    </row>
    <row r="50937" spans="191:191" x14ac:dyDescent="0.2">
      <c r="GI50937" s="422"/>
    </row>
    <row r="50938" spans="191:191" x14ac:dyDescent="0.2">
      <c r="GI50938" s="422"/>
    </row>
    <row r="50939" spans="191:191" x14ac:dyDescent="0.2">
      <c r="GI50939" s="422"/>
    </row>
    <row r="50940" spans="191:191" x14ac:dyDescent="0.2">
      <c r="GI50940" s="422"/>
    </row>
    <row r="50941" spans="191:191" x14ac:dyDescent="0.2">
      <c r="GI50941" s="422"/>
    </row>
    <row r="50942" spans="191:191" x14ac:dyDescent="0.2">
      <c r="GI50942" s="422"/>
    </row>
    <row r="50943" spans="191:191" x14ac:dyDescent="0.2">
      <c r="GI50943" s="422"/>
    </row>
    <row r="50944" spans="191:191" x14ac:dyDescent="0.2">
      <c r="GI50944" s="422"/>
    </row>
    <row r="50945" spans="191:191" x14ac:dyDescent="0.2">
      <c r="GI50945" s="422"/>
    </row>
    <row r="50946" spans="191:191" x14ac:dyDescent="0.2">
      <c r="GI50946" s="422"/>
    </row>
    <row r="50947" spans="191:191" x14ac:dyDescent="0.2">
      <c r="GI50947" s="422"/>
    </row>
    <row r="50948" spans="191:191" x14ac:dyDescent="0.2">
      <c r="GI50948" s="422"/>
    </row>
    <row r="50949" spans="191:191" x14ac:dyDescent="0.2">
      <c r="GI50949" s="422"/>
    </row>
    <row r="50950" spans="191:191" x14ac:dyDescent="0.2">
      <c r="GI50950" s="422"/>
    </row>
    <row r="50951" spans="191:191" x14ac:dyDescent="0.2">
      <c r="GI50951" s="422"/>
    </row>
    <row r="50952" spans="191:191" x14ac:dyDescent="0.2">
      <c r="GI50952" s="422"/>
    </row>
    <row r="50953" spans="191:191" x14ac:dyDescent="0.2">
      <c r="GI50953" s="422"/>
    </row>
    <row r="50954" spans="191:191" x14ac:dyDescent="0.2">
      <c r="GI50954" s="422"/>
    </row>
    <row r="50955" spans="191:191" x14ac:dyDescent="0.2">
      <c r="GI50955" s="422"/>
    </row>
    <row r="50956" spans="191:191" x14ac:dyDescent="0.2">
      <c r="GI50956" s="422"/>
    </row>
    <row r="50957" spans="191:191" x14ac:dyDescent="0.2">
      <c r="GI50957" s="422"/>
    </row>
    <row r="50958" spans="191:191" x14ac:dyDescent="0.2">
      <c r="GI50958" s="422"/>
    </row>
    <row r="50959" spans="191:191" x14ac:dyDescent="0.2">
      <c r="GI50959" s="422"/>
    </row>
    <row r="50960" spans="191:191" x14ac:dyDescent="0.2">
      <c r="GI50960" s="422"/>
    </row>
    <row r="50961" spans="191:191" x14ac:dyDescent="0.2">
      <c r="GI50961" s="422"/>
    </row>
    <row r="50962" spans="191:191" x14ac:dyDescent="0.2">
      <c r="GI50962" s="422"/>
    </row>
    <row r="50963" spans="191:191" x14ac:dyDescent="0.2">
      <c r="GI50963" s="422"/>
    </row>
    <row r="50964" spans="191:191" x14ac:dyDescent="0.2">
      <c r="GI50964" s="422"/>
    </row>
    <row r="50965" spans="191:191" x14ac:dyDescent="0.2">
      <c r="GI50965" s="422"/>
    </row>
    <row r="50966" spans="191:191" x14ac:dyDescent="0.2">
      <c r="GI50966" s="422"/>
    </row>
    <row r="50967" spans="191:191" x14ac:dyDescent="0.2">
      <c r="GI50967" s="422"/>
    </row>
    <row r="50968" spans="191:191" x14ac:dyDescent="0.2">
      <c r="GI50968" s="422"/>
    </row>
    <row r="50969" spans="191:191" x14ac:dyDescent="0.2">
      <c r="GI50969" s="422"/>
    </row>
    <row r="50970" spans="191:191" x14ac:dyDescent="0.2">
      <c r="GI50970" s="422"/>
    </row>
    <row r="50971" spans="191:191" x14ac:dyDescent="0.2">
      <c r="GI50971" s="422"/>
    </row>
    <row r="50972" spans="191:191" x14ac:dyDescent="0.2">
      <c r="GI50972" s="422"/>
    </row>
    <row r="50973" spans="191:191" x14ac:dyDescent="0.2">
      <c r="GI50973" s="422"/>
    </row>
    <row r="50974" spans="191:191" x14ac:dyDescent="0.2">
      <c r="GI50974" s="422"/>
    </row>
    <row r="50975" spans="191:191" x14ac:dyDescent="0.2">
      <c r="GI50975" s="422"/>
    </row>
    <row r="50976" spans="191:191" x14ac:dyDescent="0.2">
      <c r="GI50976" s="422"/>
    </row>
    <row r="50977" spans="191:191" x14ac:dyDescent="0.2">
      <c r="GI50977" s="422"/>
    </row>
    <row r="50978" spans="191:191" x14ac:dyDescent="0.2">
      <c r="GI50978" s="422"/>
    </row>
    <row r="50979" spans="191:191" x14ac:dyDescent="0.2">
      <c r="GI50979" s="422"/>
    </row>
    <row r="50980" spans="191:191" x14ac:dyDescent="0.2">
      <c r="GI50980" s="422"/>
    </row>
    <row r="50981" spans="191:191" x14ac:dyDescent="0.2">
      <c r="GI50981" s="422"/>
    </row>
    <row r="50982" spans="191:191" x14ac:dyDescent="0.2">
      <c r="GI50982" s="422"/>
    </row>
    <row r="50983" spans="191:191" x14ac:dyDescent="0.2">
      <c r="GI50983" s="422"/>
    </row>
    <row r="50984" spans="191:191" x14ac:dyDescent="0.2">
      <c r="GI50984" s="422"/>
    </row>
    <row r="50985" spans="191:191" x14ac:dyDescent="0.2">
      <c r="GI50985" s="422"/>
    </row>
    <row r="50986" spans="191:191" x14ac:dyDescent="0.2">
      <c r="GI50986" s="422"/>
    </row>
    <row r="50987" spans="191:191" x14ac:dyDescent="0.2">
      <c r="GI50987" s="422"/>
    </row>
    <row r="50988" spans="191:191" x14ac:dyDescent="0.2">
      <c r="GI50988" s="422"/>
    </row>
    <row r="50989" spans="191:191" x14ac:dyDescent="0.2">
      <c r="GI50989" s="422"/>
    </row>
    <row r="50990" spans="191:191" x14ac:dyDescent="0.2">
      <c r="GI50990" s="422"/>
    </row>
    <row r="50991" spans="191:191" x14ac:dyDescent="0.2">
      <c r="GI50991" s="422"/>
    </row>
    <row r="50992" spans="191:191" x14ac:dyDescent="0.2">
      <c r="GI50992" s="422"/>
    </row>
    <row r="50993" spans="191:191" x14ac:dyDescent="0.2">
      <c r="GI50993" s="422"/>
    </row>
    <row r="50994" spans="191:191" x14ac:dyDescent="0.2">
      <c r="GI50994" s="422"/>
    </row>
    <row r="50995" spans="191:191" x14ac:dyDescent="0.2">
      <c r="GI50995" s="422"/>
    </row>
    <row r="50996" spans="191:191" x14ac:dyDescent="0.2">
      <c r="GI50996" s="422"/>
    </row>
    <row r="50997" spans="191:191" x14ac:dyDescent="0.2">
      <c r="GI50997" s="422"/>
    </row>
    <row r="50998" spans="191:191" x14ac:dyDescent="0.2">
      <c r="GI50998" s="422"/>
    </row>
    <row r="50999" spans="191:191" x14ac:dyDescent="0.2">
      <c r="GI50999" s="422"/>
    </row>
    <row r="51000" spans="191:191" x14ac:dyDescent="0.2">
      <c r="GI51000" s="422"/>
    </row>
    <row r="51001" spans="191:191" x14ac:dyDescent="0.2">
      <c r="GI51001" s="422"/>
    </row>
    <row r="51002" spans="191:191" x14ac:dyDescent="0.2">
      <c r="GI51002" s="422"/>
    </row>
    <row r="51003" spans="191:191" x14ac:dyDescent="0.2">
      <c r="GI51003" s="422"/>
    </row>
    <row r="51004" spans="191:191" x14ac:dyDescent="0.2">
      <c r="GI51004" s="422"/>
    </row>
    <row r="51005" spans="191:191" x14ac:dyDescent="0.2">
      <c r="GI51005" s="422"/>
    </row>
    <row r="51006" spans="191:191" x14ac:dyDescent="0.2">
      <c r="GI51006" s="422"/>
    </row>
    <row r="51007" spans="191:191" x14ac:dyDescent="0.2">
      <c r="GI51007" s="422"/>
    </row>
    <row r="51008" spans="191:191" x14ac:dyDescent="0.2">
      <c r="GI51008" s="422"/>
    </row>
    <row r="51009" spans="191:191" x14ac:dyDescent="0.2">
      <c r="GI51009" s="422"/>
    </row>
    <row r="51010" spans="191:191" x14ac:dyDescent="0.2">
      <c r="GI51010" s="422"/>
    </row>
    <row r="51011" spans="191:191" x14ac:dyDescent="0.2">
      <c r="GI51011" s="422"/>
    </row>
    <row r="51012" spans="191:191" x14ac:dyDescent="0.2">
      <c r="GI51012" s="422"/>
    </row>
    <row r="51013" spans="191:191" x14ac:dyDescent="0.2">
      <c r="GI51013" s="422"/>
    </row>
    <row r="51014" spans="191:191" x14ac:dyDescent="0.2">
      <c r="GI51014" s="422"/>
    </row>
    <row r="51015" spans="191:191" x14ac:dyDescent="0.2">
      <c r="GI51015" s="422"/>
    </row>
    <row r="51016" spans="191:191" x14ac:dyDescent="0.2">
      <c r="GI51016" s="422"/>
    </row>
    <row r="51017" spans="191:191" x14ac:dyDescent="0.2">
      <c r="GI51017" s="422"/>
    </row>
    <row r="51018" spans="191:191" x14ac:dyDescent="0.2">
      <c r="GI51018" s="422"/>
    </row>
    <row r="51019" spans="191:191" x14ac:dyDescent="0.2">
      <c r="GI51019" s="422"/>
    </row>
    <row r="51020" spans="191:191" x14ac:dyDescent="0.2">
      <c r="GI51020" s="422"/>
    </row>
    <row r="51021" spans="191:191" x14ac:dyDescent="0.2">
      <c r="GI51021" s="422"/>
    </row>
    <row r="51022" spans="191:191" x14ac:dyDescent="0.2">
      <c r="GI51022" s="422"/>
    </row>
    <row r="51023" spans="191:191" x14ac:dyDescent="0.2">
      <c r="GI51023" s="422"/>
    </row>
    <row r="51024" spans="191:191" x14ac:dyDescent="0.2">
      <c r="GI51024" s="422"/>
    </row>
    <row r="51025" spans="191:191" x14ac:dyDescent="0.2">
      <c r="GI51025" s="422"/>
    </row>
    <row r="51026" spans="191:191" x14ac:dyDescent="0.2">
      <c r="GI51026" s="422"/>
    </row>
    <row r="51027" spans="191:191" x14ac:dyDescent="0.2">
      <c r="GI51027" s="422"/>
    </row>
    <row r="51028" spans="191:191" x14ac:dyDescent="0.2">
      <c r="GI51028" s="422"/>
    </row>
    <row r="51029" spans="191:191" x14ac:dyDescent="0.2">
      <c r="GI51029" s="422"/>
    </row>
    <row r="51030" spans="191:191" x14ac:dyDescent="0.2">
      <c r="GI51030" s="422"/>
    </row>
    <row r="51031" spans="191:191" x14ac:dyDescent="0.2">
      <c r="GI51031" s="422"/>
    </row>
    <row r="51032" spans="191:191" x14ac:dyDescent="0.2">
      <c r="GI51032" s="422"/>
    </row>
    <row r="51033" spans="191:191" x14ac:dyDescent="0.2">
      <c r="GI51033" s="422"/>
    </row>
    <row r="51034" spans="191:191" x14ac:dyDescent="0.2">
      <c r="GI51034" s="422"/>
    </row>
    <row r="51035" spans="191:191" x14ac:dyDescent="0.2">
      <c r="GI51035" s="422"/>
    </row>
    <row r="51036" spans="191:191" x14ac:dyDescent="0.2">
      <c r="GI51036" s="422"/>
    </row>
    <row r="51037" spans="191:191" x14ac:dyDescent="0.2">
      <c r="GI51037" s="422"/>
    </row>
    <row r="51038" spans="191:191" x14ac:dyDescent="0.2">
      <c r="GI51038" s="422"/>
    </row>
    <row r="51039" spans="191:191" x14ac:dyDescent="0.2">
      <c r="GI51039" s="422"/>
    </row>
    <row r="51040" spans="191:191" x14ac:dyDescent="0.2">
      <c r="GI51040" s="422"/>
    </row>
    <row r="51041" spans="191:191" x14ac:dyDescent="0.2">
      <c r="GI51041" s="422"/>
    </row>
    <row r="51042" spans="191:191" x14ac:dyDescent="0.2">
      <c r="GI51042" s="422"/>
    </row>
    <row r="51043" spans="191:191" x14ac:dyDescent="0.2">
      <c r="GI51043" s="422"/>
    </row>
    <row r="51044" spans="191:191" x14ac:dyDescent="0.2">
      <c r="GI51044" s="422"/>
    </row>
    <row r="51045" spans="191:191" x14ac:dyDescent="0.2">
      <c r="GI51045" s="422"/>
    </row>
    <row r="51046" spans="191:191" x14ac:dyDescent="0.2">
      <c r="GI51046" s="422"/>
    </row>
    <row r="51047" spans="191:191" x14ac:dyDescent="0.2">
      <c r="GI51047" s="422"/>
    </row>
    <row r="51048" spans="191:191" x14ac:dyDescent="0.2">
      <c r="GI51048" s="422"/>
    </row>
    <row r="51049" spans="191:191" x14ac:dyDescent="0.2">
      <c r="GI51049" s="422"/>
    </row>
    <row r="51050" spans="191:191" x14ac:dyDescent="0.2">
      <c r="GI51050" s="422"/>
    </row>
    <row r="51051" spans="191:191" x14ac:dyDescent="0.2">
      <c r="GI51051" s="422"/>
    </row>
    <row r="51052" spans="191:191" x14ac:dyDescent="0.2">
      <c r="GI51052" s="422"/>
    </row>
    <row r="51053" spans="191:191" x14ac:dyDescent="0.2">
      <c r="GI51053" s="422"/>
    </row>
    <row r="51054" spans="191:191" x14ac:dyDescent="0.2">
      <c r="GI51054" s="422"/>
    </row>
    <row r="51055" spans="191:191" x14ac:dyDescent="0.2">
      <c r="GI51055" s="422"/>
    </row>
    <row r="51056" spans="191:191" x14ac:dyDescent="0.2">
      <c r="GI51056" s="422"/>
    </row>
    <row r="51057" spans="191:191" x14ac:dyDescent="0.2">
      <c r="GI51057" s="422"/>
    </row>
    <row r="51058" spans="191:191" x14ac:dyDescent="0.2">
      <c r="GI51058" s="422"/>
    </row>
    <row r="51059" spans="191:191" x14ac:dyDescent="0.2">
      <c r="GI51059" s="422"/>
    </row>
    <row r="51060" spans="191:191" x14ac:dyDescent="0.2">
      <c r="GI51060" s="422"/>
    </row>
    <row r="51061" spans="191:191" x14ac:dyDescent="0.2">
      <c r="GI51061" s="422"/>
    </row>
    <row r="51062" spans="191:191" x14ac:dyDescent="0.2">
      <c r="GI51062" s="422"/>
    </row>
    <row r="51063" spans="191:191" x14ac:dyDescent="0.2">
      <c r="GI51063" s="422"/>
    </row>
    <row r="51064" spans="191:191" x14ac:dyDescent="0.2">
      <c r="GI51064" s="422"/>
    </row>
    <row r="51065" spans="191:191" x14ac:dyDescent="0.2">
      <c r="GI51065" s="422"/>
    </row>
    <row r="51066" spans="191:191" x14ac:dyDescent="0.2">
      <c r="GI51066" s="422"/>
    </row>
    <row r="51067" spans="191:191" x14ac:dyDescent="0.2">
      <c r="GI51067" s="422"/>
    </row>
    <row r="51068" spans="191:191" x14ac:dyDescent="0.2">
      <c r="GI51068" s="422"/>
    </row>
    <row r="51069" spans="191:191" x14ac:dyDescent="0.2">
      <c r="GI51069" s="422"/>
    </row>
    <row r="51070" spans="191:191" x14ac:dyDescent="0.2">
      <c r="GI51070" s="422"/>
    </row>
    <row r="51071" spans="191:191" x14ac:dyDescent="0.2">
      <c r="GI51071" s="422"/>
    </row>
    <row r="51072" spans="191:191" x14ac:dyDescent="0.2">
      <c r="GI51072" s="422"/>
    </row>
    <row r="51073" spans="191:191" x14ac:dyDescent="0.2">
      <c r="GI51073" s="422"/>
    </row>
    <row r="51074" spans="191:191" x14ac:dyDescent="0.2">
      <c r="GI51074" s="422"/>
    </row>
    <row r="51075" spans="191:191" x14ac:dyDescent="0.2">
      <c r="GI51075" s="422"/>
    </row>
    <row r="51076" spans="191:191" x14ac:dyDescent="0.2">
      <c r="GI51076" s="422"/>
    </row>
    <row r="51077" spans="191:191" x14ac:dyDescent="0.2">
      <c r="GI51077" s="422"/>
    </row>
    <row r="51078" spans="191:191" x14ac:dyDescent="0.2">
      <c r="GI51078" s="422"/>
    </row>
    <row r="51079" spans="191:191" x14ac:dyDescent="0.2">
      <c r="GI51079" s="422"/>
    </row>
    <row r="51080" spans="191:191" x14ac:dyDescent="0.2">
      <c r="GI51080" s="422"/>
    </row>
    <row r="51081" spans="191:191" x14ac:dyDescent="0.2">
      <c r="GI51081" s="422"/>
    </row>
    <row r="51082" spans="191:191" x14ac:dyDescent="0.2">
      <c r="GI51082" s="422"/>
    </row>
    <row r="51083" spans="191:191" x14ac:dyDescent="0.2">
      <c r="GI51083" s="422"/>
    </row>
    <row r="51084" spans="191:191" x14ac:dyDescent="0.2">
      <c r="GI51084" s="422"/>
    </row>
    <row r="51085" spans="191:191" x14ac:dyDescent="0.2">
      <c r="GI51085" s="422"/>
    </row>
    <row r="51086" spans="191:191" x14ac:dyDescent="0.2">
      <c r="GI51086" s="422"/>
    </row>
    <row r="51087" spans="191:191" x14ac:dyDescent="0.2">
      <c r="GI51087" s="422"/>
    </row>
    <row r="51088" spans="191:191" x14ac:dyDescent="0.2">
      <c r="GI51088" s="422"/>
    </row>
    <row r="51089" spans="191:191" x14ac:dyDescent="0.2">
      <c r="GI51089" s="422"/>
    </row>
    <row r="51090" spans="191:191" x14ac:dyDescent="0.2">
      <c r="GI51090" s="422"/>
    </row>
    <row r="51091" spans="191:191" x14ac:dyDescent="0.2">
      <c r="GI51091" s="422"/>
    </row>
    <row r="51092" spans="191:191" x14ac:dyDescent="0.2">
      <c r="GI51092" s="422"/>
    </row>
    <row r="51093" spans="191:191" x14ac:dyDescent="0.2">
      <c r="GI51093" s="422"/>
    </row>
    <row r="51094" spans="191:191" x14ac:dyDescent="0.2">
      <c r="GI51094" s="422"/>
    </row>
    <row r="51095" spans="191:191" x14ac:dyDescent="0.2">
      <c r="GI51095" s="422"/>
    </row>
    <row r="51096" spans="191:191" x14ac:dyDescent="0.2">
      <c r="GI51096" s="422"/>
    </row>
    <row r="51097" spans="191:191" x14ac:dyDescent="0.2">
      <c r="GI51097" s="422"/>
    </row>
    <row r="51098" spans="191:191" x14ac:dyDescent="0.2">
      <c r="GI51098" s="422"/>
    </row>
    <row r="51099" spans="191:191" x14ac:dyDescent="0.2">
      <c r="GI51099" s="422"/>
    </row>
    <row r="51100" spans="191:191" x14ac:dyDescent="0.2">
      <c r="GI51100" s="422"/>
    </row>
    <row r="51101" spans="191:191" x14ac:dyDescent="0.2">
      <c r="GI51101" s="422"/>
    </row>
    <row r="51102" spans="191:191" x14ac:dyDescent="0.2">
      <c r="GI51102" s="422"/>
    </row>
    <row r="51103" spans="191:191" x14ac:dyDescent="0.2">
      <c r="GI51103" s="422"/>
    </row>
    <row r="51104" spans="191:191" x14ac:dyDescent="0.2">
      <c r="GI51104" s="422"/>
    </row>
    <row r="51105" spans="191:191" x14ac:dyDescent="0.2">
      <c r="GI51105" s="422"/>
    </row>
    <row r="51106" spans="191:191" x14ac:dyDescent="0.2">
      <c r="GI51106" s="422"/>
    </row>
    <row r="51107" spans="191:191" x14ac:dyDescent="0.2">
      <c r="GI51107" s="422"/>
    </row>
    <row r="51108" spans="191:191" x14ac:dyDescent="0.2">
      <c r="GI51108" s="422"/>
    </row>
    <row r="51109" spans="191:191" x14ac:dyDescent="0.2">
      <c r="GI51109" s="422"/>
    </row>
    <row r="51110" spans="191:191" x14ac:dyDescent="0.2">
      <c r="GI51110" s="422"/>
    </row>
    <row r="51111" spans="191:191" x14ac:dyDescent="0.2">
      <c r="GI51111" s="422"/>
    </row>
    <row r="51112" spans="191:191" x14ac:dyDescent="0.2">
      <c r="GI51112" s="422"/>
    </row>
    <row r="51113" spans="191:191" x14ac:dyDescent="0.2">
      <c r="GI51113" s="422"/>
    </row>
    <row r="51114" spans="191:191" x14ac:dyDescent="0.2">
      <c r="GI51114" s="422"/>
    </row>
    <row r="51115" spans="191:191" x14ac:dyDescent="0.2">
      <c r="GI51115" s="422"/>
    </row>
    <row r="51116" spans="191:191" x14ac:dyDescent="0.2">
      <c r="GI51116" s="422"/>
    </row>
    <row r="51117" spans="191:191" x14ac:dyDescent="0.2">
      <c r="GI51117" s="422"/>
    </row>
    <row r="51118" spans="191:191" x14ac:dyDescent="0.2">
      <c r="GI51118" s="422"/>
    </row>
    <row r="51119" spans="191:191" x14ac:dyDescent="0.2">
      <c r="GI51119" s="422"/>
    </row>
    <row r="51120" spans="191:191" x14ac:dyDescent="0.2">
      <c r="GI51120" s="422"/>
    </row>
    <row r="51121" spans="191:191" x14ac:dyDescent="0.2">
      <c r="GI51121" s="422"/>
    </row>
    <row r="51122" spans="191:191" x14ac:dyDescent="0.2">
      <c r="GI51122" s="422"/>
    </row>
    <row r="51123" spans="191:191" x14ac:dyDescent="0.2">
      <c r="GI51123" s="422"/>
    </row>
    <row r="51124" spans="191:191" x14ac:dyDescent="0.2">
      <c r="GI51124" s="422"/>
    </row>
    <row r="51125" spans="191:191" x14ac:dyDescent="0.2">
      <c r="GI51125" s="422"/>
    </row>
    <row r="51126" spans="191:191" x14ac:dyDescent="0.2">
      <c r="GI51126" s="422"/>
    </row>
    <row r="51127" spans="191:191" x14ac:dyDescent="0.2">
      <c r="GI51127" s="422"/>
    </row>
    <row r="51128" spans="191:191" x14ac:dyDescent="0.2">
      <c r="GI51128" s="422"/>
    </row>
    <row r="51129" spans="191:191" x14ac:dyDescent="0.2">
      <c r="GI51129" s="422"/>
    </row>
    <row r="51130" spans="191:191" x14ac:dyDescent="0.2">
      <c r="GI51130" s="422"/>
    </row>
    <row r="51131" spans="191:191" x14ac:dyDescent="0.2">
      <c r="GI51131" s="422"/>
    </row>
    <row r="51132" spans="191:191" x14ac:dyDescent="0.2">
      <c r="GI51132" s="422"/>
    </row>
    <row r="51133" spans="191:191" x14ac:dyDescent="0.2">
      <c r="GI51133" s="422"/>
    </row>
    <row r="51134" spans="191:191" x14ac:dyDescent="0.2">
      <c r="GI51134" s="422"/>
    </row>
    <row r="51135" spans="191:191" x14ac:dyDescent="0.2">
      <c r="GI51135" s="422"/>
    </row>
    <row r="51136" spans="191:191" x14ac:dyDescent="0.2">
      <c r="GI51136" s="422"/>
    </row>
    <row r="51137" spans="191:191" x14ac:dyDescent="0.2">
      <c r="GI51137" s="422"/>
    </row>
    <row r="51138" spans="191:191" x14ac:dyDescent="0.2">
      <c r="GI51138" s="422"/>
    </row>
    <row r="51139" spans="191:191" x14ac:dyDescent="0.2">
      <c r="GI51139" s="422"/>
    </row>
    <row r="51140" spans="191:191" x14ac:dyDescent="0.2">
      <c r="GI51140" s="422"/>
    </row>
    <row r="51141" spans="191:191" x14ac:dyDescent="0.2">
      <c r="GI51141" s="422"/>
    </row>
    <row r="51142" spans="191:191" x14ac:dyDescent="0.2">
      <c r="GI51142" s="422"/>
    </row>
    <row r="51143" spans="191:191" x14ac:dyDescent="0.2">
      <c r="GI51143" s="422"/>
    </row>
    <row r="51144" spans="191:191" x14ac:dyDescent="0.2">
      <c r="GI51144" s="422"/>
    </row>
    <row r="51145" spans="191:191" x14ac:dyDescent="0.2">
      <c r="GI51145" s="422"/>
    </row>
    <row r="51146" spans="191:191" x14ac:dyDescent="0.2">
      <c r="GI51146" s="422"/>
    </row>
    <row r="51147" spans="191:191" x14ac:dyDescent="0.2">
      <c r="GI51147" s="422"/>
    </row>
    <row r="51148" spans="191:191" x14ac:dyDescent="0.2">
      <c r="GI51148" s="422"/>
    </row>
    <row r="51149" spans="191:191" x14ac:dyDescent="0.2">
      <c r="GI51149" s="422"/>
    </row>
    <row r="51150" spans="191:191" x14ac:dyDescent="0.2">
      <c r="GI51150" s="422"/>
    </row>
    <row r="51151" spans="191:191" x14ac:dyDescent="0.2">
      <c r="GI51151" s="422"/>
    </row>
    <row r="51152" spans="191:191" x14ac:dyDescent="0.2">
      <c r="GI51152" s="422"/>
    </row>
    <row r="51153" spans="191:191" x14ac:dyDescent="0.2">
      <c r="GI51153" s="422"/>
    </row>
    <row r="51154" spans="191:191" x14ac:dyDescent="0.2">
      <c r="GI51154" s="422"/>
    </row>
    <row r="51155" spans="191:191" x14ac:dyDescent="0.2">
      <c r="GI51155" s="422"/>
    </row>
    <row r="51156" spans="191:191" x14ac:dyDescent="0.2">
      <c r="GI51156" s="422"/>
    </row>
    <row r="51157" spans="191:191" x14ac:dyDescent="0.2">
      <c r="GI51157" s="422"/>
    </row>
    <row r="51158" spans="191:191" x14ac:dyDescent="0.2">
      <c r="GI51158" s="422"/>
    </row>
    <row r="51159" spans="191:191" x14ac:dyDescent="0.2">
      <c r="GI51159" s="422"/>
    </row>
    <row r="51160" spans="191:191" x14ac:dyDescent="0.2">
      <c r="GI51160" s="422"/>
    </row>
    <row r="51161" spans="191:191" x14ac:dyDescent="0.2">
      <c r="GI51161" s="422"/>
    </row>
    <row r="51162" spans="191:191" x14ac:dyDescent="0.2">
      <c r="GI51162" s="422"/>
    </row>
    <row r="51163" spans="191:191" x14ac:dyDescent="0.2">
      <c r="GI51163" s="422"/>
    </row>
    <row r="51164" spans="191:191" x14ac:dyDescent="0.2">
      <c r="GI51164" s="422"/>
    </row>
    <row r="51165" spans="191:191" x14ac:dyDescent="0.2">
      <c r="GI51165" s="422"/>
    </row>
    <row r="51166" spans="191:191" x14ac:dyDescent="0.2">
      <c r="GI51166" s="422"/>
    </row>
    <row r="51167" spans="191:191" x14ac:dyDescent="0.2">
      <c r="GI51167" s="422"/>
    </row>
    <row r="51168" spans="191:191" x14ac:dyDescent="0.2">
      <c r="GI51168" s="422"/>
    </row>
    <row r="51169" spans="191:191" x14ac:dyDescent="0.2">
      <c r="GI51169" s="422"/>
    </row>
    <row r="51170" spans="191:191" x14ac:dyDescent="0.2">
      <c r="GI51170" s="422"/>
    </row>
    <row r="51171" spans="191:191" x14ac:dyDescent="0.2">
      <c r="GI51171" s="422"/>
    </row>
    <row r="51172" spans="191:191" x14ac:dyDescent="0.2">
      <c r="GI51172" s="422"/>
    </row>
    <row r="51173" spans="191:191" x14ac:dyDescent="0.2">
      <c r="GI51173" s="422"/>
    </row>
    <row r="51174" spans="191:191" x14ac:dyDescent="0.2">
      <c r="GI51174" s="422"/>
    </row>
    <row r="51175" spans="191:191" x14ac:dyDescent="0.2">
      <c r="GI51175" s="422"/>
    </row>
    <row r="51176" spans="191:191" x14ac:dyDescent="0.2">
      <c r="GI51176" s="422"/>
    </row>
    <row r="51177" spans="191:191" x14ac:dyDescent="0.2">
      <c r="GI51177" s="422"/>
    </row>
    <row r="51178" spans="191:191" x14ac:dyDescent="0.2">
      <c r="GI51178" s="422"/>
    </row>
    <row r="51179" spans="191:191" x14ac:dyDescent="0.2">
      <c r="GI51179" s="422"/>
    </row>
    <row r="51180" spans="191:191" x14ac:dyDescent="0.2">
      <c r="GI51180" s="422"/>
    </row>
    <row r="51181" spans="191:191" x14ac:dyDescent="0.2">
      <c r="GI51181" s="422"/>
    </row>
    <row r="51182" spans="191:191" x14ac:dyDescent="0.2">
      <c r="GI51182" s="422"/>
    </row>
    <row r="51183" spans="191:191" x14ac:dyDescent="0.2">
      <c r="GI51183" s="422"/>
    </row>
    <row r="51184" spans="191:191" x14ac:dyDescent="0.2">
      <c r="GI51184" s="422"/>
    </row>
    <row r="51185" spans="191:191" x14ac:dyDescent="0.2">
      <c r="GI51185" s="422"/>
    </row>
    <row r="51186" spans="191:191" x14ac:dyDescent="0.2">
      <c r="GI51186" s="422"/>
    </row>
    <row r="51187" spans="191:191" x14ac:dyDescent="0.2">
      <c r="GI51187" s="422"/>
    </row>
    <row r="51188" spans="191:191" x14ac:dyDescent="0.2">
      <c r="GI51188" s="422"/>
    </row>
    <row r="51189" spans="191:191" x14ac:dyDescent="0.2">
      <c r="GI51189" s="422"/>
    </row>
    <row r="51190" spans="191:191" x14ac:dyDescent="0.2">
      <c r="GI51190" s="422"/>
    </row>
    <row r="51191" spans="191:191" x14ac:dyDescent="0.2">
      <c r="GI51191" s="422"/>
    </row>
    <row r="51192" spans="191:191" x14ac:dyDescent="0.2">
      <c r="GI51192" s="422"/>
    </row>
    <row r="51193" spans="191:191" x14ac:dyDescent="0.2">
      <c r="GI51193" s="422"/>
    </row>
    <row r="51194" spans="191:191" x14ac:dyDescent="0.2">
      <c r="GI51194" s="422"/>
    </row>
    <row r="51195" spans="191:191" x14ac:dyDescent="0.2">
      <c r="GI51195" s="422"/>
    </row>
    <row r="51196" spans="191:191" x14ac:dyDescent="0.2">
      <c r="GI51196" s="422"/>
    </row>
    <row r="51197" spans="191:191" x14ac:dyDescent="0.2">
      <c r="GI51197" s="422"/>
    </row>
    <row r="51198" spans="191:191" x14ac:dyDescent="0.2">
      <c r="GI51198" s="422"/>
    </row>
    <row r="51199" spans="191:191" x14ac:dyDescent="0.2">
      <c r="GI51199" s="422"/>
    </row>
    <row r="51200" spans="191:191" x14ac:dyDescent="0.2">
      <c r="GI51200" s="422"/>
    </row>
    <row r="51201" spans="191:191" x14ac:dyDescent="0.2">
      <c r="GI51201" s="422"/>
    </row>
    <row r="51202" spans="191:191" x14ac:dyDescent="0.2">
      <c r="GI51202" s="422"/>
    </row>
    <row r="51203" spans="191:191" x14ac:dyDescent="0.2">
      <c r="GI51203" s="422"/>
    </row>
    <row r="51204" spans="191:191" x14ac:dyDescent="0.2">
      <c r="GI51204" s="422"/>
    </row>
    <row r="51205" spans="191:191" x14ac:dyDescent="0.2">
      <c r="GI51205" s="422"/>
    </row>
    <row r="51206" spans="191:191" x14ac:dyDescent="0.2">
      <c r="GI51206" s="422"/>
    </row>
    <row r="51207" spans="191:191" x14ac:dyDescent="0.2">
      <c r="GI51207" s="422"/>
    </row>
    <row r="51208" spans="191:191" x14ac:dyDescent="0.2">
      <c r="GI51208" s="422"/>
    </row>
    <row r="51209" spans="191:191" x14ac:dyDescent="0.2">
      <c r="GI51209" s="422"/>
    </row>
    <row r="51210" spans="191:191" x14ac:dyDescent="0.2">
      <c r="GI51210" s="422"/>
    </row>
    <row r="51211" spans="191:191" x14ac:dyDescent="0.2">
      <c r="GI51211" s="422"/>
    </row>
    <row r="51212" spans="191:191" x14ac:dyDescent="0.2">
      <c r="GI51212" s="422"/>
    </row>
    <row r="51213" spans="191:191" x14ac:dyDescent="0.2">
      <c r="GI51213" s="422"/>
    </row>
    <row r="51214" spans="191:191" x14ac:dyDescent="0.2">
      <c r="GI51214" s="422"/>
    </row>
    <row r="51215" spans="191:191" x14ac:dyDescent="0.2">
      <c r="GI51215" s="422"/>
    </row>
    <row r="51216" spans="191:191" x14ac:dyDescent="0.2">
      <c r="GI51216" s="422"/>
    </row>
    <row r="51217" spans="191:191" x14ac:dyDescent="0.2">
      <c r="GI51217" s="422"/>
    </row>
    <row r="51218" spans="191:191" x14ac:dyDescent="0.2">
      <c r="GI51218" s="422"/>
    </row>
    <row r="51219" spans="191:191" x14ac:dyDescent="0.2">
      <c r="GI51219" s="422"/>
    </row>
    <row r="51220" spans="191:191" x14ac:dyDescent="0.2">
      <c r="GI51220" s="422"/>
    </row>
    <row r="51221" spans="191:191" x14ac:dyDescent="0.2">
      <c r="GI51221" s="422"/>
    </row>
    <row r="51222" spans="191:191" x14ac:dyDescent="0.2">
      <c r="GI51222" s="422"/>
    </row>
    <row r="51223" spans="191:191" x14ac:dyDescent="0.2">
      <c r="GI51223" s="422"/>
    </row>
    <row r="51224" spans="191:191" x14ac:dyDescent="0.2">
      <c r="GI51224" s="422"/>
    </row>
    <row r="51225" spans="191:191" x14ac:dyDescent="0.2">
      <c r="GI51225" s="422"/>
    </row>
    <row r="51226" spans="191:191" x14ac:dyDescent="0.2">
      <c r="GI51226" s="422"/>
    </row>
    <row r="51227" spans="191:191" x14ac:dyDescent="0.2">
      <c r="GI51227" s="422"/>
    </row>
    <row r="51228" spans="191:191" x14ac:dyDescent="0.2">
      <c r="GI51228" s="422"/>
    </row>
    <row r="51229" spans="191:191" x14ac:dyDescent="0.2">
      <c r="GI51229" s="422"/>
    </row>
    <row r="51230" spans="191:191" x14ac:dyDescent="0.2">
      <c r="GI51230" s="422"/>
    </row>
    <row r="51231" spans="191:191" x14ac:dyDescent="0.2">
      <c r="GI51231" s="422"/>
    </row>
    <row r="51232" spans="191:191" x14ac:dyDescent="0.2">
      <c r="GI51232" s="422"/>
    </row>
    <row r="51233" spans="191:191" x14ac:dyDescent="0.2">
      <c r="GI51233" s="422"/>
    </row>
    <row r="51234" spans="191:191" x14ac:dyDescent="0.2">
      <c r="GI51234" s="422"/>
    </row>
    <row r="51235" spans="191:191" x14ac:dyDescent="0.2">
      <c r="GI51235" s="422"/>
    </row>
    <row r="51236" spans="191:191" x14ac:dyDescent="0.2">
      <c r="GI51236" s="422"/>
    </row>
    <row r="51237" spans="191:191" x14ac:dyDescent="0.2">
      <c r="GI51237" s="422"/>
    </row>
    <row r="51238" spans="191:191" x14ac:dyDescent="0.2">
      <c r="GI51238" s="422"/>
    </row>
    <row r="51239" spans="191:191" x14ac:dyDescent="0.2">
      <c r="GI51239" s="422"/>
    </row>
    <row r="51240" spans="191:191" x14ac:dyDescent="0.2">
      <c r="GI51240" s="422"/>
    </row>
    <row r="51241" spans="191:191" x14ac:dyDescent="0.2">
      <c r="GI51241" s="422"/>
    </row>
    <row r="51242" spans="191:191" x14ac:dyDescent="0.2">
      <c r="GI51242" s="422"/>
    </row>
    <row r="51243" spans="191:191" x14ac:dyDescent="0.2">
      <c r="GI51243" s="422"/>
    </row>
    <row r="51244" spans="191:191" x14ac:dyDescent="0.2">
      <c r="GI51244" s="422"/>
    </row>
    <row r="51245" spans="191:191" x14ac:dyDescent="0.2">
      <c r="GI51245" s="422"/>
    </row>
    <row r="51246" spans="191:191" x14ac:dyDescent="0.2">
      <c r="GI51246" s="422"/>
    </row>
    <row r="51247" spans="191:191" x14ac:dyDescent="0.2">
      <c r="GI51247" s="422"/>
    </row>
    <row r="51248" spans="191:191" x14ac:dyDescent="0.2">
      <c r="GI51248" s="422"/>
    </row>
    <row r="51249" spans="191:191" x14ac:dyDescent="0.2">
      <c r="GI51249" s="422"/>
    </row>
    <row r="51250" spans="191:191" x14ac:dyDescent="0.2">
      <c r="GI51250" s="422"/>
    </row>
    <row r="51251" spans="191:191" x14ac:dyDescent="0.2">
      <c r="GI51251" s="422"/>
    </row>
    <row r="51252" spans="191:191" x14ac:dyDescent="0.2">
      <c r="GI51252" s="422"/>
    </row>
    <row r="51253" spans="191:191" x14ac:dyDescent="0.2">
      <c r="GI51253" s="422"/>
    </row>
    <row r="51254" spans="191:191" x14ac:dyDescent="0.2">
      <c r="GI51254" s="422"/>
    </row>
    <row r="51255" spans="191:191" x14ac:dyDescent="0.2">
      <c r="GI51255" s="422"/>
    </row>
    <row r="51256" spans="191:191" x14ac:dyDescent="0.2">
      <c r="GI51256" s="422"/>
    </row>
    <row r="51257" spans="191:191" x14ac:dyDescent="0.2">
      <c r="GI51257" s="422"/>
    </row>
    <row r="51258" spans="191:191" x14ac:dyDescent="0.2">
      <c r="GI51258" s="422"/>
    </row>
    <row r="51259" spans="191:191" x14ac:dyDescent="0.2">
      <c r="GI51259" s="422"/>
    </row>
    <row r="51260" spans="191:191" x14ac:dyDescent="0.2">
      <c r="GI51260" s="422"/>
    </row>
    <row r="51261" spans="191:191" x14ac:dyDescent="0.2">
      <c r="GI51261" s="422"/>
    </row>
    <row r="51262" spans="191:191" x14ac:dyDescent="0.2">
      <c r="GI51262" s="422"/>
    </row>
    <row r="51263" spans="191:191" x14ac:dyDescent="0.2">
      <c r="GI51263" s="422"/>
    </row>
    <row r="51264" spans="191:191" x14ac:dyDescent="0.2">
      <c r="GI51264" s="422"/>
    </row>
    <row r="51265" spans="191:191" x14ac:dyDescent="0.2">
      <c r="GI51265" s="422"/>
    </row>
    <row r="51266" spans="191:191" x14ac:dyDescent="0.2">
      <c r="GI51266" s="422"/>
    </row>
    <row r="51267" spans="191:191" x14ac:dyDescent="0.2">
      <c r="GI51267" s="422"/>
    </row>
    <row r="51268" spans="191:191" x14ac:dyDescent="0.2">
      <c r="GI51268" s="422"/>
    </row>
    <row r="51269" spans="191:191" x14ac:dyDescent="0.2">
      <c r="GI51269" s="422"/>
    </row>
    <row r="51270" spans="191:191" x14ac:dyDescent="0.2">
      <c r="GI51270" s="422"/>
    </row>
    <row r="51271" spans="191:191" x14ac:dyDescent="0.2">
      <c r="GI51271" s="422"/>
    </row>
    <row r="51272" spans="191:191" x14ac:dyDescent="0.2">
      <c r="GI51272" s="422"/>
    </row>
    <row r="51273" spans="191:191" x14ac:dyDescent="0.2">
      <c r="GI51273" s="422"/>
    </row>
    <row r="51274" spans="191:191" x14ac:dyDescent="0.2">
      <c r="GI51274" s="422"/>
    </row>
    <row r="51275" spans="191:191" x14ac:dyDescent="0.2">
      <c r="GI51275" s="422"/>
    </row>
    <row r="51276" spans="191:191" x14ac:dyDescent="0.2">
      <c r="GI51276" s="422"/>
    </row>
    <row r="51277" spans="191:191" x14ac:dyDescent="0.2">
      <c r="GI51277" s="422"/>
    </row>
    <row r="51278" spans="191:191" x14ac:dyDescent="0.2">
      <c r="GI51278" s="422"/>
    </row>
    <row r="51279" spans="191:191" x14ac:dyDescent="0.2">
      <c r="GI51279" s="422"/>
    </row>
    <row r="51280" spans="191:191" x14ac:dyDescent="0.2">
      <c r="GI51280" s="422"/>
    </row>
    <row r="51281" spans="191:191" x14ac:dyDescent="0.2">
      <c r="GI51281" s="422"/>
    </row>
    <row r="51282" spans="191:191" x14ac:dyDescent="0.2">
      <c r="GI51282" s="422"/>
    </row>
    <row r="51283" spans="191:191" x14ac:dyDescent="0.2">
      <c r="GI51283" s="422"/>
    </row>
    <row r="51284" spans="191:191" x14ac:dyDescent="0.2">
      <c r="GI51284" s="422"/>
    </row>
    <row r="51285" spans="191:191" x14ac:dyDescent="0.2">
      <c r="GI51285" s="422"/>
    </row>
    <row r="51286" spans="191:191" x14ac:dyDescent="0.2">
      <c r="GI51286" s="422"/>
    </row>
    <row r="51287" spans="191:191" x14ac:dyDescent="0.2">
      <c r="GI51287" s="422"/>
    </row>
    <row r="51288" spans="191:191" x14ac:dyDescent="0.2">
      <c r="GI51288" s="422"/>
    </row>
    <row r="51289" spans="191:191" x14ac:dyDescent="0.2">
      <c r="GI51289" s="422"/>
    </row>
    <row r="51290" spans="191:191" x14ac:dyDescent="0.2">
      <c r="GI51290" s="422"/>
    </row>
    <row r="51291" spans="191:191" x14ac:dyDescent="0.2">
      <c r="GI51291" s="422"/>
    </row>
    <row r="51292" spans="191:191" x14ac:dyDescent="0.2">
      <c r="GI51292" s="422"/>
    </row>
    <row r="51293" spans="191:191" x14ac:dyDescent="0.2">
      <c r="GI51293" s="422"/>
    </row>
    <row r="51294" spans="191:191" x14ac:dyDescent="0.2">
      <c r="GI51294" s="422"/>
    </row>
    <row r="51295" spans="191:191" x14ac:dyDescent="0.2">
      <c r="GI51295" s="422"/>
    </row>
    <row r="51296" spans="191:191" x14ac:dyDescent="0.2">
      <c r="GI51296" s="422"/>
    </row>
    <row r="51297" spans="191:191" x14ac:dyDescent="0.2">
      <c r="GI51297" s="422"/>
    </row>
    <row r="51298" spans="191:191" x14ac:dyDescent="0.2">
      <c r="GI51298" s="422"/>
    </row>
    <row r="51299" spans="191:191" x14ac:dyDescent="0.2">
      <c r="GI51299" s="422"/>
    </row>
    <row r="51300" spans="191:191" x14ac:dyDescent="0.2">
      <c r="GI51300" s="422"/>
    </row>
    <row r="51301" spans="191:191" x14ac:dyDescent="0.2">
      <c r="GI51301" s="422"/>
    </row>
    <row r="51302" spans="191:191" x14ac:dyDescent="0.2">
      <c r="GI51302" s="422"/>
    </row>
    <row r="51303" spans="191:191" x14ac:dyDescent="0.2">
      <c r="GI51303" s="422"/>
    </row>
    <row r="51304" spans="191:191" x14ac:dyDescent="0.2">
      <c r="GI51304" s="422"/>
    </row>
    <row r="51305" spans="191:191" x14ac:dyDescent="0.2">
      <c r="GI51305" s="422"/>
    </row>
    <row r="51306" spans="191:191" x14ac:dyDescent="0.2">
      <c r="GI51306" s="422"/>
    </row>
    <row r="51307" spans="191:191" x14ac:dyDescent="0.2">
      <c r="GI51307" s="422"/>
    </row>
    <row r="51308" spans="191:191" x14ac:dyDescent="0.2">
      <c r="GI51308" s="422"/>
    </row>
    <row r="51309" spans="191:191" x14ac:dyDescent="0.2">
      <c r="GI51309" s="422"/>
    </row>
    <row r="51310" spans="191:191" x14ac:dyDescent="0.2">
      <c r="GI51310" s="422"/>
    </row>
    <row r="51311" spans="191:191" x14ac:dyDescent="0.2">
      <c r="GI51311" s="422"/>
    </row>
    <row r="51312" spans="191:191" x14ac:dyDescent="0.2">
      <c r="GI51312" s="422"/>
    </row>
    <row r="51313" spans="191:191" x14ac:dyDescent="0.2">
      <c r="GI51313" s="422"/>
    </row>
    <row r="51314" spans="191:191" x14ac:dyDescent="0.2">
      <c r="GI51314" s="422"/>
    </row>
    <row r="51315" spans="191:191" x14ac:dyDescent="0.2">
      <c r="GI51315" s="422"/>
    </row>
    <row r="51316" spans="191:191" x14ac:dyDescent="0.2">
      <c r="GI51316" s="422"/>
    </row>
    <row r="51317" spans="191:191" x14ac:dyDescent="0.2">
      <c r="GI51317" s="422"/>
    </row>
    <row r="51318" spans="191:191" x14ac:dyDescent="0.2">
      <c r="GI51318" s="422"/>
    </row>
    <row r="51319" spans="191:191" x14ac:dyDescent="0.2">
      <c r="GI51319" s="422"/>
    </row>
    <row r="51320" spans="191:191" x14ac:dyDescent="0.2">
      <c r="GI51320" s="422"/>
    </row>
    <row r="51321" spans="191:191" x14ac:dyDescent="0.2">
      <c r="GI51321" s="422"/>
    </row>
    <row r="51322" spans="191:191" x14ac:dyDescent="0.2">
      <c r="GI51322" s="422"/>
    </row>
    <row r="51323" spans="191:191" x14ac:dyDescent="0.2">
      <c r="GI51323" s="422"/>
    </row>
    <row r="51324" spans="191:191" x14ac:dyDescent="0.2">
      <c r="GI51324" s="422"/>
    </row>
    <row r="51325" spans="191:191" x14ac:dyDescent="0.2">
      <c r="GI51325" s="422"/>
    </row>
    <row r="51326" spans="191:191" x14ac:dyDescent="0.2">
      <c r="GI51326" s="422"/>
    </row>
    <row r="51327" spans="191:191" x14ac:dyDescent="0.2">
      <c r="GI51327" s="422"/>
    </row>
    <row r="51328" spans="191:191" x14ac:dyDescent="0.2">
      <c r="GI51328" s="422"/>
    </row>
    <row r="51329" spans="191:191" x14ac:dyDescent="0.2">
      <c r="GI51329" s="422"/>
    </row>
    <row r="51330" spans="191:191" x14ac:dyDescent="0.2">
      <c r="GI51330" s="422"/>
    </row>
    <row r="51331" spans="191:191" x14ac:dyDescent="0.2">
      <c r="GI51331" s="422"/>
    </row>
    <row r="51332" spans="191:191" x14ac:dyDescent="0.2">
      <c r="GI51332" s="422"/>
    </row>
    <row r="51333" spans="191:191" x14ac:dyDescent="0.2">
      <c r="GI51333" s="422"/>
    </row>
    <row r="51334" spans="191:191" x14ac:dyDescent="0.2">
      <c r="GI51334" s="422"/>
    </row>
    <row r="51335" spans="191:191" x14ac:dyDescent="0.2">
      <c r="GI51335" s="422"/>
    </row>
    <row r="51336" spans="191:191" x14ac:dyDescent="0.2">
      <c r="GI51336" s="422"/>
    </row>
    <row r="51337" spans="191:191" x14ac:dyDescent="0.2">
      <c r="GI51337" s="422"/>
    </row>
    <row r="51338" spans="191:191" x14ac:dyDescent="0.2">
      <c r="GI51338" s="422"/>
    </row>
    <row r="51339" spans="191:191" x14ac:dyDescent="0.2">
      <c r="GI51339" s="422"/>
    </row>
    <row r="51340" spans="191:191" x14ac:dyDescent="0.2">
      <c r="GI51340" s="422"/>
    </row>
    <row r="51341" spans="191:191" x14ac:dyDescent="0.2">
      <c r="GI51341" s="422"/>
    </row>
    <row r="51342" spans="191:191" x14ac:dyDescent="0.2">
      <c r="GI51342" s="422"/>
    </row>
    <row r="51343" spans="191:191" x14ac:dyDescent="0.2">
      <c r="GI51343" s="422"/>
    </row>
    <row r="51344" spans="191:191" x14ac:dyDescent="0.2">
      <c r="GI51344" s="422"/>
    </row>
    <row r="51345" spans="191:191" x14ac:dyDescent="0.2">
      <c r="GI51345" s="422"/>
    </row>
    <row r="51346" spans="191:191" x14ac:dyDescent="0.2">
      <c r="GI51346" s="422"/>
    </row>
    <row r="51347" spans="191:191" x14ac:dyDescent="0.2">
      <c r="GI51347" s="422"/>
    </row>
    <row r="51348" spans="191:191" x14ac:dyDescent="0.2">
      <c r="GI51348" s="422"/>
    </row>
    <row r="51349" spans="191:191" x14ac:dyDescent="0.2">
      <c r="GI51349" s="422"/>
    </row>
    <row r="51350" spans="191:191" x14ac:dyDescent="0.2">
      <c r="GI51350" s="422"/>
    </row>
    <row r="51351" spans="191:191" x14ac:dyDescent="0.2">
      <c r="GI51351" s="422"/>
    </row>
    <row r="51352" spans="191:191" x14ac:dyDescent="0.2">
      <c r="GI51352" s="422"/>
    </row>
    <row r="51353" spans="191:191" x14ac:dyDescent="0.2">
      <c r="GI51353" s="422"/>
    </row>
    <row r="51354" spans="191:191" x14ac:dyDescent="0.2">
      <c r="GI51354" s="422"/>
    </row>
    <row r="51355" spans="191:191" x14ac:dyDescent="0.2">
      <c r="GI51355" s="422"/>
    </row>
    <row r="51356" spans="191:191" x14ac:dyDescent="0.2">
      <c r="GI51356" s="422"/>
    </row>
    <row r="51357" spans="191:191" x14ac:dyDescent="0.2">
      <c r="GI51357" s="422"/>
    </row>
    <row r="51358" spans="191:191" x14ac:dyDescent="0.2">
      <c r="GI51358" s="422"/>
    </row>
    <row r="51359" spans="191:191" x14ac:dyDescent="0.2">
      <c r="GI51359" s="422"/>
    </row>
    <row r="51360" spans="191:191" x14ac:dyDescent="0.2">
      <c r="GI51360" s="422"/>
    </row>
    <row r="51361" spans="191:191" x14ac:dyDescent="0.2">
      <c r="GI51361" s="422"/>
    </row>
    <row r="51362" spans="191:191" x14ac:dyDescent="0.2">
      <c r="GI51362" s="422"/>
    </row>
    <row r="51363" spans="191:191" x14ac:dyDescent="0.2">
      <c r="GI51363" s="422"/>
    </row>
    <row r="51364" spans="191:191" x14ac:dyDescent="0.2">
      <c r="GI51364" s="422"/>
    </row>
    <row r="51365" spans="191:191" x14ac:dyDescent="0.2">
      <c r="GI51365" s="422"/>
    </row>
    <row r="51366" spans="191:191" x14ac:dyDescent="0.2">
      <c r="GI51366" s="422"/>
    </row>
    <row r="51367" spans="191:191" x14ac:dyDescent="0.2">
      <c r="GI51367" s="422"/>
    </row>
    <row r="51368" spans="191:191" x14ac:dyDescent="0.2">
      <c r="GI51368" s="422"/>
    </row>
    <row r="51369" spans="191:191" x14ac:dyDescent="0.2">
      <c r="GI51369" s="422"/>
    </row>
    <row r="51370" spans="191:191" x14ac:dyDescent="0.2">
      <c r="GI51370" s="422"/>
    </row>
    <row r="51371" spans="191:191" x14ac:dyDescent="0.2">
      <c r="GI51371" s="422"/>
    </row>
    <row r="51372" spans="191:191" x14ac:dyDescent="0.2">
      <c r="GI51372" s="422"/>
    </row>
    <row r="51373" spans="191:191" x14ac:dyDescent="0.2">
      <c r="GI51373" s="422"/>
    </row>
    <row r="51374" spans="191:191" x14ac:dyDescent="0.2">
      <c r="GI51374" s="422"/>
    </row>
    <row r="51375" spans="191:191" x14ac:dyDescent="0.2">
      <c r="GI51375" s="422"/>
    </row>
    <row r="51376" spans="191:191" x14ac:dyDescent="0.2">
      <c r="GI51376" s="422"/>
    </row>
    <row r="51377" spans="191:191" x14ac:dyDescent="0.2">
      <c r="GI51377" s="422"/>
    </row>
    <row r="51378" spans="191:191" x14ac:dyDescent="0.2">
      <c r="GI51378" s="422"/>
    </row>
    <row r="51379" spans="191:191" x14ac:dyDescent="0.2">
      <c r="GI51379" s="422"/>
    </row>
    <row r="51380" spans="191:191" x14ac:dyDescent="0.2">
      <c r="GI51380" s="422"/>
    </row>
    <row r="51381" spans="191:191" x14ac:dyDescent="0.2">
      <c r="GI51381" s="422"/>
    </row>
    <row r="51382" spans="191:191" x14ac:dyDescent="0.2">
      <c r="GI51382" s="422"/>
    </row>
    <row r="51383" spans="191:191" x14ac:dyDescent="0.2">
      <c r="GI51383" s="422"/>
    </row>
    <row r="51384" spans="191:191" x14ac:dyDescent="0.2">
      <c r="GI51384" s="422"/>
    </row>
    <row r="51385" spans="191:191" x14ac:dyDescent="0.2">
      <c r="GI51385" s="422"/>
    </row>
    <row r="51386" spans="191:191" x14ac:dyDescent="0.2">
      <c r="GI51386" s="422"/>
    </row>
    <row r="51387" spans="191:191" x14ac:dyDescent="0.2">
      <c r="GI51387" s="422"/>
    </row>
    <row r="51388" spans="191:191" x14ac:dyDescent="0.2">
      <c r="GI51388" s="422"/>
    </row>
    <row r="51389" spans="191:191" x14ac:dyDescent="0.2">
      <c r="GI51389" s="422"/>
    </row>
    <row r="51390" spans="191:191" x14ac:dyDescent="0.2">
      <c r="GI51390" s="422"/>
    </row>
    <row r="51391" spans="191:191" x14ac:dyDescent="0.2">
      <c r="GI51391" s="422"/>
    </row>
    <row r="51392" spans="191:191" x14ac:dyDescent="0.2">
      <c r="GI51392" s="422"/>
    </row>
    <row r="51393" spans="191:191" x14ac:dyDescent="0.2">
      <c r="GI51393" s="422"/>
    </row>
    <row r="51394" spans="191:191" x14ac:dyDescent="0.2">
      <c r="GI51394" s="422"/>
    </row>
    <row r="51395" spans="191:191" x14ac:dyDescent="0.2">
      <c r="GI51395" s="422"/>
    </row>
    <row r="51396" spans="191:191" x14ac:dyDescent="0.2">
      <c r="GI51396" s="422"/>
    </row>
    <row r="51397" spans="191:191" x14ac:dyDescent="0.2">
      <c r="GI51397" s="422"/>
    </row>
    <row r="51398" spans="191:191" x14ac:dyDescent="0.2">
      <c r="GI51398" s="422"/>
    </row>
    <row r="51399" spans="191:191" x14ac:dyDescent="0.2">
      <c r="GI51399" s="422"/>
    </row>
    <row r="51400" spans="191:191" x14ac:dyDescent="0.2">
      <c r="GI51400" s="422"/>
    </row>
    <row r="51401" spans="191:191" x14ac:dyDescent="0.2">
      <c r="GI51401" s="422"/>
    </row>
    <row r="51402" spans="191:191" x14ac:dyDescent="0.2">
      <c r="GI51402" s="422"/>
    </row>
    <row r="51403" spans="191:191" x14ac:dyDescent="0.2">
      <c r="GI51403" s="422"/>
    </row>
    <row r="51404" spans="191:191" x14ac:dyDescent="0.2">
      <c r="GI51404" s="422"/>
    </row>
    <row r="51405" spans="191:191" x14ac:dyDescent="0.2">
      <c r="GI51405" s="422"/>
    </row>
    <row r="51406" spans="191:191" x14ac:dyDescent="0.2">
      <c r="GI51406" s="422"/>
    </row>
    <row r="51407" spans="191:191" x14ac:dyDescent="0.2">
      <c r="GI51407" s="422"/>
    </row>
    <row r="51408" spans="191:191" x14ac:dyDescent="0.2">
      <c r="GI51408" s="422"/>
    </row>
    <row r="51409" spans="191:191" x14ac:dyDescent="0.2">
      <c r="GI51409" s="422"/>
    </row>
    <row r="51410" spans="191:191" x14ac:dyDescent="0.2">
      <c r="GI51410" s="422"/>
    </row>
    <row r="51411" spans="191:191" x14ac:dyDescent="0.2">
      <c r="GI51411" s="422"/>
    </row>
    <row r="51412" spans="191:191" x14ac:dyDescent="0.2">
      <c r="GI51412" s="422"/>
    </row>
    <row r="51413" spans="191:191" x14ac:dyDescent="0.2">
      <c r="GI51413" s="422"/>
    </row>
    <row r="51414" spans="191:191" x14ac:dyDescent="0.2">
      <c r="GI51414" s="422"/>
    </row>
    <row r="51415" spans="191:191" x14ac:dyDescent="0.2">
      <c r="GI51415" s="422"/>
    </row>
    <row r="51416" spans="191:191" x14ac:dyDescent="0.2">
      <c r="GI51416" s="422"/>
    </row>
    <row r="51417" spans="191:191" x14ac:dyDescent="0.2">
      <c r="GI51417" s="422"/>
    </row>
    <row r="51418" spans="191:191" x14ac:dyDescent="0.2">
      <c r="GI51418" s="422"/>
    </row>
    <row r="51419" spans="191:191" x14ac:dyDescent="0.2">
      <c r="GI51419" s="422"/>
    </row>
    <row r="51420" spans="191:191" x14ac:dyDescent="0.2">
      <c r="GI51420" s="422"/>
    </row>
    <row r="51421" spans="191:191" x14ac:dyDescent="0.2">
      <c r="GI51421" s="422"/>
    </row>
    <row r="51422" spans="191:191" x14ac:dyDescent="0.2">
      <c r="GI51422" s="422"/>
    </row>
    <row r="51423" spans="191:191" x14ac:dyDescent="0.2">
      <c r="GI51423" s="422"/>
    </row>
    <row r="51424" spans="191:191" x14ac:dyDescent="0.2">
      <c r="GI51424" s="422"/>
    </row>
    <row r="51425" spans="191:191" x14ac:dyDescent="0.2">
      <c r="GI51425" s="422"/>
    </row>
    <row r="51426" spans="191:191" x14ac:dyDescent="0.2">
      <c r="GI51426" s="422"/>
    </row>
    <row r="51427" spans="191:191" x14ac:dyDescent="0.2">
      <c r="GI51427" s="422"/>
    </row>
    <row r="51428" spans="191:191" x14ac:dyDescent="0.2">
      <c r="GI51428" s="422"/>
    </row>
    <row r="51429" spans="191:191" x14ac:dyDescent="0.2">
      <c r="GI51429" s="422"/>
    </row>
    <row r="51430" spans="191:191" x14ac:dyDescent="0.2">
      <c r="GI51430" s="422"/>
    </row>
    <row r="51431" spans="191:191" x14ac:dyDescent="0.2">
      <c r="GI51431" s="422"/>
    </row>
    <row r="51432" spans="191:191" x14ac:dyDescent="0.2">
      <c r="GI51432" s="422"/>
    </row>
    <row r="51433" spans="191:191" x14ac:dyDescent="0.2">
      <c r="GI51433" s="422"/>
    </row>
    <row r="51434" spans="191:191" x14ac:dyDescent="0.2">
      <c r="GI51434" s="422"/>
    </row>
    <row r="51435" spans="191:191" x14ac:dyDescent="0.2">
      <c r="GI51435" s="422"/>
    </row>
    <row r="51436" spans="191:191" x14ac:dyDescent="0.2">
      <c r="GI51436" s="422"/>
    </row>
    <row r="51437" spans="191:191" x14ac:dyDescent="0.2">
      <c r="GI51437" s="422"/>
    </row>
    <row r="51438" spans="191:191" x14ac:dyDescent="0.2">
      <c r="GI51438" s="422"/>
    </row>
    <row r="51439" spans="191:191" x14ac:dyDescent="0.2">
      <c r="GI51439" s="422"/>
    </row>
    <row r="51440" spans="191:191" x14ac:dyDescent="0.2">
      <c r="GI51440" s="422"/>
    </row>
    <row r="51441" spans="191:191" x14ac:dyDescent="0.2">
      <c r="GI51441" s="422"/>
    </row>
    <row r="51442" spans="191:191" x14ac:dyDescent="0.2">
      <c r="GI51442" s="422"/>
    </row>
    <row r="51443" spans="191:191" x14ac:dyDescent="0.2">
      <c r="GI51443" s="422"/>
    </row>
    <row r="51444" spans="191:191" x14ac:dyDescent="0.2">
      <c r="GI51444" s="422"/>
    </row>
    <row r="51445" spans="191:191" x14ac:dyDescent="0.2">
      <c r="GI51445" s="422"/>
    </row>
    <row r="51446" spans="191:191" x14ac:dyDescent="0.2">
      <c r="GI51446" s="422"/>
    </row>
    <row r="51447" spans="191:191" x14ac:dyDescent="0.2">
      <c r="GI51447" s="422"/>
    </row>
    <row r="51448" spans="191:191" x14ac:dyDescent="0.2">
      <c r="GI51448" s="422"/>
    </row>
    <row r="51449" spans="191:191" x14ac:dyDescent="0.2">
      <c r="GI51449" s="422"/>
    </row>
    <row r="51450" spans="191:191" x14ac:dyDescent="0.2">
      <c r="GI51450" s="422"/>
    </row>
    <row r="51451" spans="191:191" x14ac:dyDescent="0.2">
      <c r="GI51451" s="422"/>
    </row>
    <row r="51452" spans="191:191" x14ac:dyDescent="0.2">
      <c r="GI51452" s="422"/>
    </row>
    <row r="51453" spans="191:191" x14ac:dyDescent="0.2">
      <c r="GI51453" s="422"/>
    </row>
    <row r="51454" spans="191:191" x14ac:dyDescent="0.2">
      <c r="GI51454" s="422"/>
    </row>
    <row r="51455" spans="191:191" x14ac:dyDescent="0.2">
      <c r="GI51455" s="422"/>
    </row>
    <row r="51456" spans="191:191" x14ac:dyDescent="0.2">
      <c r="GI51456" s="422"/>
    </row>
    <row r="51457" spans="191:191" x14ac:dyDescent="0.2">
      <c r="GI51457" s="422"/>
    </row>
    <row r="51458" spans="191:191" x14ac:dyDescent="0.2">
      <c r="GI51458" s="422"/>
    </row>
    <row r="51459" spans="191:191" x14ac:dyDescent="0.2">
      <c r="GI51459" s="422"/>
    </row>
    <row r="51460" spans="191:191" x14ac:dyDescent="0.2">
      <c r="GI51460" s="422"/>
    </row>
    <row r="51461" spans="191:191" x14ac:dyDescent="0.2">
      <c r="GI51461" s="422"/>
    </row>
    <row r="51462" spans="191:191" x14ac:dyDescent="0.2">
      <c r="GI51462" s="422"/>
    </row>
    <row r="51463" spans="191:191" x14ac:dyDescent="0.2">
      <c r="GI51463" s="422"/>
    </row>
    <row r="51464" spans="191:191" x14ac:dyDescent="0.2">
      <c r="GI51464" s="422"/>
    </row>
    <row r="51465" spans="191:191" x14ac:dyDescent="0.2">
      <c r="GI51465" s="422"/>
    </row>
    <row r="51466" spans="191:191" x14ac:dyDescent="0.2">
      <c r="GI51466" s="422"/>
    </row>
    <row r="51467" spans="191:191" x14ac:dyDescent="0.2">
      <c r="GI51467" s="422"/>
    </row>
    <row r="51468" spans="191:191" x14ac:dyDescent="0.2">
      <c r="GI51468" s="422"/>
    </row>
    <row r="51469" spans="191:191" x14ac:dyDescent="0.2">
      <c r="GI51469" s="422"/>
    </row>
    <row r="51470" spans="191:191" x14ac:dyDescent="0.2">
      <c r="GI51470" s="422"/>
    </row>
    <row r="51471" spans="191:191" x14ac:dyDescent="0.2">
      <c r="GI51471" s="422"/>
    </row>
    <row r="51472" spans="191:191" x14ac:dyDescent="0.2">
      <c r="GI51472" s="422"/>
    </row>
    <row r="51473" spans="191:191" x14ac:dyDescent="0.2">
      <c r="GI51473" s="422"/>
    </row>
    <row r="51474" spans="191:191" x14ac:dyDescent="0.2">
      <c r="GI51474" s="422"/>
    </row>
    <row r="51475" spans="191:191" x14ac:dyDescent="0.2">
      <c r="GI51475" s="422"/>
    </row>
    <row r="51476" spans="191:191" x14ac:dyDescent="0.2">
      <c r="GI51476" s="422"/>
    </row>
    <row r="51477" spans="191:191" x14ac:dyDescent="0.2">
      <c r="GI51477" s="422"/>
    </row>
    <row r="51478" spans="191:191" x14ac:dyDescent="0.2">
      <c r="GI51478" s="422"/>
    </row>
    <row r="51479" spans="191:191" x14ac:dyDescent="0.2">
      <c r="GI51479" s="422"/>
    </row>
    <row r="51480" spans="191:191" x14ac:dyDescent="0.2">
      <c r="GI51480" s="422"/>
    </row>
    <row r="51481" spans="191:191" x14ac:dyDescent="0.2">
      <c r="GI51481" s="422"/>
    </row>
    <row r="51482" spans="191:191" x14ac:dyDescent="0.2">
      <c r="GI51482" s="422"/>
    </row>
    <row r="51483" spans="191:191" x14ac:dyDescent="0.2">
      <c r="GI51483" s="422"/>
    </row>
    <row r="51484" spans="191:191" x14ac:dyDescent="0.2">
      <c r="GI51484" s="422"/>
    </row>
    <row r="51485" spans="191:191" x14ac:dyDescent="0.2">
      <c r="GI51485" s="422"/>
    </row>
    <row r="51486" spans="191:191" x14ac:dyDescent="0.2">
      <c r="GI51486" s="422"/>
    </row>
    <row r="51487" spans="191:191" x14ac:dyDescent="0.2">
      <c r="GI51487" s="422"/>
    </row>
    <row r="51488" spans="191:191" x14ac:dyDescent="0.2">
      <c r="GI51488" s="422"/>
    </row>
    <row r="51489" spans="191:191" x14ac:dyDescent="0.2">
      <c r="GI51489" s="422"/>
    </row>
    <row r="51490" spans="191:191" x14ac:dyDescent="0.2">
      <c r="GI51490" s="422"/>
    </row>
    <row r="51491" spans="191:191" x14ac:dyDescent="0.2">
      <c r="GI51491" s="422"/>
    </row>
    <row r="51492" spans="191:191" x14ac:dyDescent="0.2">
      <c r="GI51492" s="422"/>
    </row>
    <row r="51493" spans="191:191" x14ac:dyDescent="0.2">
      <c r="GI51493" s="422"/>
    </row>
    <row r="51494" spans="191:191" x14ac:dyDescent="0.2">
      <c r="GI51494" s="422"/>
    </row>
    <row r="51495" spans="191:191" x14ac:dyDescent="0.2">
      <c r="GI51495" s="422"/>
    </row>
    <row r="51496" spans="191:191" x14ac:dyDescent="0.2">
      <c r="GI51496" s="422"/>
    </row>
    <row r="51497" spans="191:191" x14ac:dyDescent="0.2">
      <c r="GI51497" s="422"/>
    </row>
    <row r="51498" spans="191:191" x14ac:dyDescent="0.2">
      <c r="GI51498" s="422"/>
    </row>
    <row r="51499" spans="191:191" x14ac:dyDescent="0.2">
      <c r="GI51499" s="422"/>
    </row>
    <row r="51500" spans="191:191" x14ac:dyDescent="0.2">
      <c r="GI51500" s="422"/>
    </row>
    <row r="51501" spans="191:191" x14ac:dyDescent="0.2">
      <c r="GI51501" s="422"/>
    </row>
    <row r="51502" spans="191:191" x14ac:dyDescent="0.2">
      <c r="GI51502" s="422"/>
    </row>
    <row r="51503" spans="191:191" x14ac:dyDescent="0.2">
      <c r="GI51503" s="422"/>
    </row>
    <row r="51504" spans="191:191" x14ac:dyDescent="0.2">
      <c r="GI51504" s="422"/>
    </row>
    <row r="51505" spans="191:191" x14ac:dyDescent="0.2">
      <c r="GI51505" s="422"/>
    </row>
    <row r="51506" spans="191:191" x14ac:dyDescent="0.2">
      <c r="GI51506" s="422"/>
    </row>
    <row r="51507" spans="191:191" x14ac:dyDescent="0.2">
      <c r="GI51507" s="422"/>
    </row>
    <row r="51508" spans="191:191" x14ac:dyDescent="0.2">
      <c r="GI51508" s="422"/>
    </row>
    <row r="51509" spans="191:191" x14ac:dyDescent="0.2">
      <c r="GI51509" s="422"/>
    </row>
    <row r="51510" spans="191:191" x14ac:dyDescent="0.2">
      <c r="GI51510" s="422"/>
    </row>
    <row r="51511" spans="191:191" x14ac:dyDescent="0.2">
      <c r="GI51511" s="422"/>
    </row>
    <row r="51512" spans="191:191" x14ac:dyDescent="0.2">
      <c r="GI51512" s="422"/>
    </row>
    <row r="51513" spans="191:191" x14ac:dyDescent="0.2">
      <c r="GI51513" s="422"/>
    </row>
    <row r="51514" spans="191:191" x14ac:dyDescent="0.2">
      <c r="GI51514" s="422"/>
    </row>
    <row r="51515" spans="191:191" x14ac:dyDescent="0.2">
      <c r="GI51515" s="422"/>
    </row>
    <row r="51516" spans="191:191" x14ac:dyDescent="0.2">
      <c r="GI51516" s="422"/>
    </row>
    <row r="51517" spans="191:191" x14ac:dyDescent="0.2">
      <c r="GI51517" s="422"/>
    </row>
    <row r="51518" spans="191:191" x14ac:dyDescent="0.2">
      <c r="GI51518" s="422"/>
    </row>
    <row r="51519" spans="191:191" x14ac:dyDescent="0.2">
      <c r="GI51519" s="422"/>
    </row>
    <row r="51520" spans="191:191" x14ac:dyDescent="0.2">
      <c r="GI51520" s="422"/>
    </row>
    <row r="51521" spans="191:191" x14ac:dyDescent="0.2">
      <c r="GI51521" s="422"/>
    </row>
    <row r="51522" spans="191:191" x14ac:dyDescent="0.2">
      <c r="GI51522" s="422"/>
    </row>
    <row r="51523" spans="191:191" x14ac:dyDescent="0.2">
      <c r="GI51523" s="422"/>
    </row>
    <row r="51524" spans="191:191" x14ac:dyDescent="0.2">
      <c r="GI51524" s="422"/>
    </row>
    <row r="51525" spans="191:191" x14ac:dyDescent="0.2">
      <c r="GI51525" s="422"/>
    </row>
    <row r="51526" spans="191:191" x14ac:dyDescent="0.2">
      <c r="GI51526" s="422"/>
    </row>
    <row r="51527" spans="191:191" x14ac:dyDescent="0.2">
      <c r="GI51527" s="422"/>
    </row>
    <row r="51528" spans="191:191" x14ac:dyDescent="0.2">
      <c r="GI51528" s="422"/>
    </row>
    <row r="51529" spans="191:191" x14ac:dyDescent="0.2">
      <c r="GI51529" s="422"/>
    </row>
    <row r="51530" spans="191:191" x14ac:dyDescent="0.2">
      <c r="GI51530" s="422"/>
    </row>
    <row r="51531" spans="191:191" x14ac:dyDescent="0.2">
      <c r="GI51531" s="422"/>
    </row>
    <row r="51532" spans="191:191" x14ac:dyDescent="0.2">
      <c r="GI51532" s="422"/>
    </row>
    <row r="51533" spans="191:191" x14ac:dyDescent="0.2">
      <c r="GI51533" s="422"/>
    </row>
    <row r="51534" spans="191:191" x14ac:dyDescent="0.2">
      <c r="GI51534" s="422"/>
    </row>
    <row r="51535" spans="191:191" x14ac:dyDescent="0.2">
      <c r="GI51535" s="422"/>
    </row>
    <row r="51536" spans="191:191" x14ac:dyDescent="0.2">
      <c r="GI51536" s="422"/>
    </row>
    <row r="51537" spans="191:191" x14ac:dyDescent="0.2">
      <c r="GI51537" s="422"/>
    </row>
    <row r="51538" spans="191:191" x14ac:dyDescent="0.2">
      <c r="GI51538" s="422"/>
    </row>
    <row r="51539" spans="191:191" x14ac:dyDescent="0.2">
      <c r="GI51539" s="422"/>
    </row>
    <row r="51540" spans="191:191" x14ac:dyDescent="0.2">
      <c r="GI51540" s="422"/>
    </row>
    <row r="51541" spans="191:191" x14ac:dyDescent="0.2">
      <c r="GI51541" s="422"/>
    </row>
    <row r="51542" spans="191:191" x14ac:dyDescent="0.2">
      <c r="GI51542" s="422"/>
    </row>
    <row r="51543" spans="191:191" x14ac:dyDescent="0.2">
      <c r="GI51543" s="422"/>
    </row>
    <row r="51544" spans="191:191" x14ac:dyDescent="0.2">
      <c r="GI51544" s="422"/>
    </row>
    <row r="51545" spans="191:191" x14ac:dyDescent="0.2">
      <c r="GI51545" s="422"/>
    </row>
    <row r="51546" spans="191:191" x14ac:dyDescent="0.2">
      <c r="GI51546" s="422"/>
    </row>
    <row r="51547" spans="191:191" x14ac:dyDescent="0.2">
      <c r="GI51547" s="422"/>
    </row>
    <row r="51548" spans="191:191" x14ac:dyDescent="0.2">
      <c r="GI51548" s="422"/>
    </row>
    <row r="51549" spans="191:191" x14ac:dyDescent="0.2">
      <c r="GI51549" s="422"/>
    </row>
    <row r="51550" spans="191:191" x14ac:dyDescent="0.2">
      <c r="GI51550" s="422"/>
    </row>
    <row r="51551" spans="191:191" x14ac:dyDescent="0.2">
      <c r="GI51551" s="422"/>
    </row>
    <row r="51552" spans="191:191" x14ac:dyDescent="0.2">
      <c r="GI51552" s="422"/>
    </row>
    <row r="51553" spans="191:191" x14ac:dyDescent="0.2">
      <c r="GI51553" s="422"/>
    </row>
    <row r="51554" spans="191:191" x14ac:dyDescent="0.2">
      <c r="GI51554" s="422"/>
    </row>
    <row r="51555" spans="191:191" x14ac:dyDescent="0.2">
      <c r="GI51555" s="422"/>
    </row>
    <row r="51556" spans="191:191" x14ac:dyDescent="0.2">
      <c r="GI51556" s="422"/>
    </row>
    <row r="51557" spans="191:191" x14ac:dyDescent="0.2">
      <c r="GI51557" s="422"/>
    </row>
    <row r="51558" spans="191:191" x14ac:dyDescent="0.2">
      <c r="GI51558" s="422"/>
    </row>
    <row r="51559" spans="191:191" x14ac:dyDescent="0.2">
      <c r="GI51559" s="422"/>
    </row>
    <row r="51560" spans="191:191" x14ac:dyDescent="0.2">
      <c r="GI51560" s="422"/>
    </row>
    <row r="51561" spans="191:191" x14ac:dyDescent="0.2">
      <c r="GI51561" s="422"/>
    </row>
    <row r="51562" spans="191:191" x14ac:dyDescent="0.2">
      <c r="GI51562" s="422"/>
    </row>
    <row r="51563" spans="191:191" x14ac:dyDescent="0.2">
      <c r="GI51563" s="422"/>
    </row>
    <row r="51564" spans="191:191" x14ac:dyDescent="0.2">
      <c r="GI51564" s="422"/>
    </row>
    <row r="51565" spans="191:191" x14ac:dyDescent="0.2">
      <c r="GI51565" s="422"/>
    </row>
    <row r="51566" spans="191:191" x14ac:dyDescent="0.2">
      <c r="GI51566" s="422"/>
    </row>
    <row r="51567" spans="191:191" x14ac:dyDescent="0.2">
      <c r="GI51567" s="422"/>
    </row>
    <row r="51568" spans="191:191" x14ac:dyDescent="0.2">
      <c r="GI51568" s="422"/>
    </row>
    <row r="51569" spans="191:191" x14ac:dyDescent="0.2">
      <c r="GI51569" s="422"/>
    </row>
    <row r="51570" spans="191:191" x14ac:dyDescent="0.2">
      <c r="GI51570" s="422"/>
    </row>
    <row r="51571" spans="191:191" x14ac:dyDescent="0.2">
      <c r="GI51571" s="422"/>
    </row>
    <row r="51572" spans="191:191" x14ac:dyDescent="0.2">
      <c r="GI51572" s="422"/>
    </row>
    <row r="51573" spans="191:191" x14ac:dyDescent="0.2">
      <c r="GI51573" s="422"/>
    </row>
    <row r="51574" spans="191:191" x14ac:dyDescent="0.2">
      <c r="GI51574" s="422"/>
    </row>
    <row r="51575" spans="191:191" x14ac:dyDescent="0.2">
      <c r="GI51575" s="422"/>
    </row>
    <row r="51576" spans="191:191" x14ac:dyDescent="0.2">
      <c r="GI51576" s="422"/>
    </row>
    <row r="51577" spans="191:191" x14ac:dyDescent="0.2">
      <c r="GI51577" s="422"/>
    </row>
    <row r="51578" spans="191:191" x14ac:dyDescent="0.2">
      <c r="GI51578" s="422"/>
    </row>
    <row r="51579" spans="191:191" x14ac:dyDescent="0.2">
      <c r="GI51579" s="422"/>
    </row>
    <row r="51580" spans="191:191" x14ac:dyDescent="0.2">
      <c r="GI51580" s="422"/>
    </row>
    <row r="51581" spans="191:191" x14ac:dyDescent="0.2">
      <c r="GI51581" s="422"/>
    </row>
    <row r="51582" spans="191:191" x14ac:dyDescent="0.2">
      <c r="GI51582" s="422"/>
    </row>
    <row r="51583" spans="191:191" x14ac:dyDescent="0.2">
      <c r="GI51583" s="422"/>
    </row>
    <row r="51584" spans="191:191" x14ac:dyDescent="0.2">
      <c r="GI51584" s="422"/>
    </row>
    <row r="51585" spans="191:191" x14ac:dyDescent="0.2">
      <c r="GI51585" s="422"/>
    </row>
    <row r="51586" spans="191:191" x14ac:dyDescent="0.2">
      <c r="GI51586" s="422"/>
    </row>
    <row r="51587" spans="191:191" x14ac:dyDescent="0.2">
      <c r="GI51587" s="422"/>
    </row>
    <row r="51588" spans="191:191" x14ac:dyDescent="0.2">
      <c r="GI51588" s="422"/>
    </row>
    <row r="51589" spans="191:191" x14ac:dyDescent="0.2">
      <c r="GI51589" s="422"/>
    </row>
    <row r="51590" spans="191:191" x14ac:dyDescent="0.2">
      <c r="GI51590" s="422"/>
    </row>
    <row r="51591" spans="191:191" x14ac:dyDescent="0.2">
      <c r="GI51591" s="422"/>
    </row>
    <row r="51592" spans="191:191" x14ac:dyDescent="0.2">
      <c r="GI51592" s="422"/>
    </row>
    <row r="51593" spans="191:191" x14ac:dyDescent="0.2">
      <c r="GI51593" s="422"/>
    </row>
    <row r="51594" spans="191:191" x14ac:dyDescent="0.2">
      <c r="GI51594" s="422"/>
    </row>
    <row r="51595" spans="191:191" x14ac:dyDescent="0.2">
      <c r="GI51595" s="422"/>
    </row>
    <row r="51596" spans="191:191" x14ac:dyDescent="0.2">
      <c r="GI51596" s="422"/>
    </row>
    <row r="51597" spans="191:191" x14ac:dyDescent="0.2">
      <c r="GI51597" s="422"/>
    </row>
    <row r="51598" spans="191:191" x14ac:dyDescent="0.2">
      <c r="GI51598" s="422"/>
    </row>
    <row r="51599" spans="191:191" x14ac:dyDescent="0.2">
      <c r="GI51599" s="422"/>
    </row>
    <row r="51600" spans="191:191" x14ac:dyDescent="0.2">
      <c r="GI51600" s="422"/>
    </row>
    <row r="51601" spans="191:191" x14ac:dyDescent="0.2">
      <c r="GI51601" s="422"/>
    </row>
    <row r="51602" spans="191:191" x14ac:dyDescent="0.2">
      <c r="GI51602" s="422"/>
    </row>
    <row r="51603" spans="191:191" x14ac:dyDescent="0.2">
      <c r="GI51603" s="422"/>
    </row>
    <row r="51604" spans="191:191" x14ac:dyDescent="0.2">
      <c r="GI51604" s="422"/>
    </row>
    <row r="51605" spans="191:191" x14ac:dyDescent="0.2">
      <c r="GI51605" s="422"/>
    </row>
    <row r="51606" spans="191:191" x14ac:dyDescent="0.2">
      <c r="GI51606" s="422"/>
    </row>
    <row r="51607" spans="191:191" x14ac:dyDescent="0.2">
      <c r="GI51607" s="422"/>
    </row>
    <row r="51608" spans="191:191" x14ac:dyDescent="0.2">
      <c r="GI51608" s="422"/>
    </row>
    <row r="51609" spans="191:191" x14ac:dyDescent="0.2">
      <c r="GI51609" s="422"/>
    </row>
    <row r="51610" spans="191:191" x14ac:dyDescent="0.2">
      <c r="GI51610" s="422"/>
    </row>
    <row r="51611" spans="191:191" x14ac:dyDescent="0.2">
      <c r="GI51611" s="422"/>
    </row>
    <row r="51612" spans="191:191" x14ac:dyDescent="0.2">
      <c r="GI51612" s="422"/>
    </row>
    <row r="51613" spans="191:191" x14ac:dyDescent="0.2">
      <c r="GI51613" s="422"/>
    </row>
    <row r="51614" spans="191:191" x14ac:dyDescent="0.2">
      <c r="GI51614" s="422"/>
    </row>
    <row r="51615" spans="191:191" x14ac:dyDescent="0.2">
      <c r="GI51615" s="422"/>
    </row>
    <row r="51616" spans="191:191" x14ac:dyDescent="0.2">
      <c r="GI51616" s="422"/>
    </row>
    <row r="51617" spans="191:191" x14ac:dyDescent="0.2">
      <c r="GI51617" s="422"/>
    </row>
    <row r="51618" spans="191:191" x14ac:dyDescent="0.2">
      <c r="GI51618" s="422"/>
    </row>
    <row r="51619" spans="191:191" x14ac:dyDescent="0.2">
      <c r="GI51619" s="422"/>
    </row>
    <row r="51620" spans="191:191" x14ac:dyDescent="0.2">
      <c r="GI51620" s="422"/>
    </row>
    <row r="51621" spans="191:191" x14ac:dyDescent="0.2">
      <c r="GI51621" s="422"/>
    </row>
    <row r="51622" spans="191:191" x14ac:dyDescent="0.2">
      <c r="GI51622" s="422"/>
    </row>
    <row r="51623" spans="191:191" x14ac:dyDescent="0.2">
      <c r="GI51623" s="422"/>
    </row>
    <row r="51624" spans="191:191" x14ac:dyDescent="0.2">
      <c r="GI51624" s="422"/>
    </row>
    <row r="51625" spans="191:191" x14ac:dyDescent="0.2">
      <c r="GI51625" s="422"/>
    </row>
    <row r="51626" spans="191:191" x14ac:dyDescent="0.2">
      <c r="GI51626" s="422"/>
    </row>
    <row r="51627" spans="191:191" x14ac:dyDescent="0.2">
      <c r="GI51627" s="422"/>
    </row>
    <row r="51628" spans="191:191" x14ac:dyDescent="0.2">
      <c r="GI51628" s="422"/>
    </row>
    <row r="51629" spans="191:191" x14ac:dyDescent="0.2">
      <c r="GI51629" s="422"/>
    </row>
    <row r="51630" spans="191:191" x14ac:dyDescent="0.2">
      <c r="GI51630" s="422"/>
    </row>
    <row r="51631" spans="191:191" x14ac:dyDescent="0.2">
      <c r="GI51631" s="422"/>
    </row>
    <row r="51632" spans="191:191" x14ac:dyDescent="0.2">
      <c r="GI51632" s="422"/>
    </row>
    <row r="51633" spans="191:191" x14ac:dyDescent="0.2">
      <c r="GI51633" s="422"/>
    </row>
    <row r="51634" spans="191:191" x14ac:dyDescent="0.2">
      <c r="GI51634" s="422"/>
    </row>
    <row r="51635" spans="191:191" x14ac:dyDescent="0.2">
      <c r="GI51635" s="422"/>
    </row>
    <row r="51636" spans="191:191" x14ac:dyDescent="0.2">
      <c r="GI51636" s="422"/>
    </row>
    <row r="51637" spans="191:191" x14ac:dyDescent="0.2">
      <c r="GI51637" s="422"/>
    </row>
    <row r="51638" spans="191:191" x14ac:dyDescent="0.2">
      <c r="GI51638" s="422"/>
    </row>
    <row r="51639" spans="191:191" x14ac:dyDescent="0.2">
      <c r="GI51639" s="422"/>
    </row>
    <row r="51640" spans="191:191" x14ac:dyDescent="0.2">
      <c r="GI51640" s="422"/>
    </row>
    <row r="51641" spans="191:191" x14ac:dyDescent="0.2">
      <c r="GI51641" s="422"/>
    </row>
    <row r="51642" spans="191:191" x14ac:dyDescent="0.2">
      <c r="GI51642" s="422"/>
    </row>
    <row r="51643" spans="191:191" x14ac:dyDescent="0.2">
      <c r="GI51643" s="422"/>
    </row>
    <row r="51644" spans="191:191" x14ac:dyDescent="0.2">
      <c r="GI51644" s="422"/>
    </row>
    <row r="51645" spans="191:191" x14ac:dyDescent="0.2">
      <c r="GI51645" s="422"/>
    </row>
    <row r="51646" spans="191:191" x14ac:dyDescent="0.2">
      <c r="GI51646" s="422"/>
    </row>
    <row r="51647" spans="191:191" x14ac:dyDescent="0.2">
      <c r="GI51647" s="422"/>
    </row>
    <row r="51648" spans="191:191" x14ac:dyDescent="0.2">
      <c r="GI51648" s="422"/>
    </row>
    <row r="51649" spans="191:191" x14ac:dyDescent="0.2">
      <c r="GI51649" s="422"/>
    </row>
    <row r="51650" spans="191:191" x14ac:dyDescent="0.2">
      <c r="GI51650" s="422"/>
    </row>
    <row r="51651" spans="191:191" x14ac:dyDescent="0.2">
      <c r="GI51651" s="422"/>
    </row>
    <row r="51652" spans="191:191" x14ac:dyDescent="0.2">
      <c r="GI51652" s="422"/>
    </row>
    <row r="51653" spans="191:191" x14ac:dyDescent="0.2">
      <c r="GI51653" s="422"/>
    </row>
    <row r="51654" spans="191:191" x14ac:dyDescent="0.2">
      <c r="GI51654" s="422"/>
    </row>
    <row r="51655" spans="191:191" x14ac:dyDescent="0.2">
      <c r="GI51655" s="422"/>
    </row>
    <row r="51656" spans="191:191" x14ac:dyDescent="0.2">
      <c r="GI51656" s="422"/>
    </row>
    <row r="51657" spans="191:191" x14ac:dyDescent="0.2">
      <c r="GI51657" s="422"/>
    </row>
    <row r="51658" spans="191:191" x14ac:dyDescent="0.2">
      <c r="GI51658" s="422"/>
    </row>
    <row r="51659" spans="191:191" x14ac:dyDescent="0.2">
      <c r="GI51659" s="422"/>
    </row>
    <row r="51660" spans="191:191" x14ac:dyDescent="0.2">
      <c r="GI51660" s="422"/>
    </row>
    <row r="51661" spans="191:191" x14ac:dyDescent="0.2">
      <c r="GI51661" s="422"/>
    </row>
    <row r="51662" spans="191:191" x14ac:dyDescent="0.2">
      <c r="GI51662" s="422"/>
    </row>
    <row r="51663" spans="191:191" x14ac:dyDescent="0.2">
      <c r="GI51663" s="422"/>
    </row>
    <row r="51664" spans="191:191" x14ac:dyDescent="0.2">
      <c r="GI51664" s="422"/>
    </row>
    <row r="51665" spans="191:191" x14ac:dyDescent="0.2">
      <c r="GI51665" s="422"/>
    </row>
    <row r="51666" spans="191:191" x14ac:dyDescent="0.2">
      <c r="GI51666" s="422"/>
    </row>
    <row r="51667" spans="191:191" x14ac:dyDescent="0.2">
      <c r="GI51667" s="422"/>
    </row>
    <row r="51668" spans="191:191" x14ac:dyDescent="0.2">
      <c r="GI51668" s="422"/>
    </row>
    <row r="51669" spans="191:191" x14ac:dyDescent="0.2">
      <c r="GI51669" s="422"/>
    </row>
    <row r="51670" spans="191:191" x14ac:dyDescent="0.2">
      <c r="GI51670" s="422"/>
    </row>
    <row r="51671" spans="191:191" x14ac:dyDescent="0.2">
      <c r="GI51671" s="422"/>
    </row>
    <row r="51672" spans="191:191" x14ac:dyDescent="0.2">
      <c r="GI51672" s="422"/>
    </row>
    <row r="51673" spans="191:191" x14ac:dyDescent="0.2">
      <c r="GI51673" s="422"/>
    </row>
    <row r="51674" spans="191:191" x14ac:dyDescent="0.2">
      <c r="GI51674" s="422"/>
    </row>
    <row r="51675" spans="191:191" x14ac:dyDescent="0.2">
      <c r="GI51675" s="422"/>
    </row>
    <row r="51676" spans="191:191" x14ac:dyDescent="0.2">
      <c r="GI51676" s="422"/>
    </row>
    <row r="51677" spans="191:191" x14ac:dyDescent="0.2">
      <c r="GI51677" s="422"/>
    </row>
    <row r="51678" spans="191:191" x14ac:dyDescent="0.2">
      <c r="GI51678" s="422"/>
    </row>
    <row r="51679" spans="191:191" x14ac:dyDescent="0.2">
      <c r="GI51679" s="422"/>
    </row>
    <row r="51680" spans="191:191" x14ac:dyDescent="0.2">
      <c r="GI51680" s="422"/>
    </row>
    <row r="51681" spans="191:191" x14ac:dyDescent="0.2">
      <c r="GI51681" s="422"/>
    </row>
    <row r="51682" spans="191:191" x14ac:dyDescent="0.2">
      <c r="GI51682" s="422"/>
    </row>
    <row r="51683" spans="191:191" x14ac:dyDescent="0.2">
      <c r="GI51683" s="422"/>
    </row>
    <row r="51684" spans="191:191" x14ac:dyDescent="0.2">
      <c r="GI51684" s="422"/>
    </row>
    <row r="51685" spans="191:191" x14ac:dyDescent="0.2">
      <c r="GI51685" s="422"/>
    </row>
    <row r="51686" spans="191:191" x14ac:dyDescent="0.2">
      <c r="GI51686" s="422"/>
    </row>
    <row r="51687" spans="191:191" x14ac:dyDescent="0.2">
      <c r="GI51687" s="422"/>
    </row>
    <row r="51688" spans="191:191" x14ac:dyDescent="0.2">
      <c r="GI51688" s="422"/>
    </row>
    <row r="51689" spans="191:191" x14ac:dyDescent="0.2">
      <c r="GI51689" s="422"/>
    </row>
    <row r="51690" spans="191:191" x14ac:dyDescent="0.2">
      <c r="GI51690" s="422"/>
    </row>
    <row r="51691" spans="191:191" x14ac:dyDescent="0.2">
      <c r="GI51691" s="422"/>
    </row>
    <row r="51692" spans="191:191" x14ac:dyDescent="0.2">
      <c r="GI51692" s="422"/>
    </row>
    <row r="51693" spans="191:191" x14ac:dyDescent="0.2">
      <c r="GI51693" s="422"/>
    </row>
    <row r="51694" spans="191:191" x14ac:dyDescent="0.2">
      <c r="GI51694" s="422"/>
    </row>
    <row r="51695" spans="191:191" x14ac:dyDescent="0.2">
      <c r="GI51695" s="422"/>
    </row>
    <row r="51696" spans="191:191" x14ac:dyDescent="0.2">
      <c r="GI51696" s="422"/>
    </row>
    <row r="51697" spans="191:191" x14ac:dyDescent="0.2">
      <c r="GI51697" s="422"/>
    </row>
    <row r="51698" spans="191:191" x14ac:dyDescent="0.2">
      <c r="GI51698" s="422"/>
    </row>
    <row r="51699" spans="191:191" x14ac:dyDescent="0.2">
      <c r="GI51699" s="422"/>
    </row>
    <row r="51700" spans="191:191" x14ac:dyDescent="0.2">
      <c r="GI51700" s="422"/>
    </row>
    <row r="51701" spans="191:191" x14ac:dyDescent="0.2">
      <c r="GI51701" s="422"/>
    </row>
    <row r="51702" spans="191:191" x14ac:dyDescent="0.2">
      <c r="GI51702" s="422"/>
    </row>
    <row r="51703" spans="191:191" x14ac:dyDescent="0.2">
      <c r="GI51703" s="422"/>
    </row>
    <row r="51704" spans="191:191" x14ac:dyDescent="0.2">
      <c r="GI51704" s="422"/>
    </row>
    <row r="51705" spans="191:191" x14ac:dyDescent="0.2">
      <c r="GI51705" s="422"/>
    </row>
    <row r="51706" spans="191:191" x14ac:dyDescent="0.2">
      <c r="GI51706" s="422"/>
    </row>
    <row r="51707" spans="191:191" x14ac:dyDescent="0.2">
      <c r="GI51707" s="422"/>
    </row>
    <row r="51708" spans="191:191" x14ac:dyDescent="0.2">
      <c r="GI51708" s="422"/>
    </row>
    <row r="51709" spans="191:191" x14ac:dyDescent="0.2">
      <c r="GI51709" s="422"/>
    </row>
    <row r="51710" spans="191:191" x14ac:dyDescent="0.2">
      <c r="GI51710" s="422"/>
    </row>
    <row r="51711" spans="191:191" x14ac:dyDescent="0.2">
      <c r="GI51711" s="422"/>
    </row>
    <row r="51712" spans="191:191" x14ac:dyDescent="0.2">
      <c r="GI51712" s="422"/>
    </row>
    <row r="51713" spans="191:191" x14ac:dyDescent="0.2">
      <c r="GI51713" s="422"/>
    </row>
    <row r="51714" spans="191:191" x14ac:dyDescent="0.2">
      <c r="GI51714" s="422"/>
    </row>
    <row r="51715" spans="191:191" x14ac:dyDescent="0.2">
      <c r="GI51715" s="422"/>
    </row>
    <row r="51716" spans="191:191" x14ac:dyDescent="0.2">
      <c r="GI51716" s="422"/>
    </row>
    <row r="51717" spans="191:191" x14ac:dyDescent="0.2">
      <c r="GI51717" s="422"/>
    </row>
    <row r="51718" spans="191:191" x14ac:dyDescent="0.2">
      <c r="GI51718" s="422"/>
    </row>
    <row r="51719" spans="191:191" x14ac:dyDescent="0.2">
      <c r="GI51719" s="422"/>
    </row>
    <row r="51720" spans="191:191" x14ac:dyDescent="0.2">
      <c r="GI51720" s="422"/>
    </row>
    <row r="51721" spans="191:191" x14ac:dyDescent="0.2">
      <c r="GI51721" s="422"/>
    </row>
    <row r="51722" spans="191:191" x14ac:dyDescent="0.2">
      <c r="GI51722" s="422"/>
    </row>
    <row r="51723" spans="191:191" x14ac:dyDescent="0.2">
      <c r="GI51723" s="422"/>
    </row>
    <row r="51724" spans="191:191" x14ac:dyDescent="0.2">
      <c r="GI51724" s="422"/>
    </row>
    <row r="51725" spans="191:191" x14ac:dyDescent="0.2">
      <c r="GI51725" s="422"/>
    </row>
    <row r="51726" spans="191:191" x14ac:dyDescent="0.2">
      <c r="GI51726" s="422"/>
    </row>
    <row r="51727" spans="191:191" x14ac:dyDescent="0.2">
      <c r="GI51727" s="422"/>
    </row>
    <row r="51728" spans="191:191" x14ac:dyDescent="0.2">
      <c r="GI51728" s="422"/>
    </row>
    <row r="51729" spans="191:191" x14ac:dyDescent="0.2">
      <c r="GI51729" s="422"/>
    </row>
    <row r="51730" spans="191:191" x14ac:dyDescent="0.2">
      <c r="GI51730" s="422"/>
    </row>
    <row r="51731" spans="191:191" x14ac:dyDescent="0.2">
      <c r="GI51731" s="422"/>
    </row>
    <row r="51732" spans="191:191" x14ac:dyDescent="0.2">
      <c r="GI51732" s="422"/>
    </row>
    <row r="51733" spans="191:191" x14ac:dyDescent="0.2">
      <c r="GI51733" s="422"/>
    </row>
    <row r="51734" spans="191:191" x14ac:dyDescent="0.2">
      <c r="GI51734" s="422"/>
    </row>
    <row r="51735" spans="191:191" x14ac:dyDescent="0.2">
      <c r="GI51735" s="422"/>
    </row>
    <row r="51736" spans="191:191" x14ac:dyDescent="0.2">
      <c r="GI51736" s="422"/>
    </row>
    <row r="51737" spans="191:191" x14ac:dyDescent="0.2">
      <c r="GI51737" s="422"/>
    </row>
    <row r="51738" spans="191:191" x14ac:dyDescent="0.2">
      <c r="GI51738" s="422"/>
    </row>
    <row r="51739" spans="191:191" x14ac:dyDescent="0.2">
      <c r="GI51739" s="422"/>
    </row>
    <row r="51740" spans="191:191" x14ac:dyDescent="0.2">
      <c r="GI51740" s="422"/>
    </row>
    <row r="51741" spans="191:191" x14ac:dyDescent="0.2">
      <c r="GI51741" s="422"/>
    </row>
    <row r="51742" spans="191:191" x14ac:dyDescent="0.2">
      <c r="GI51742" s="422"/>
    </row>
    <row r="51743" spans="191:191" x14ac:dyDescent="0.2">
      <c r="GI51743" s="422"/>
    </row>
    <row r="51744" spans="191:191" x14ac:dyDescent="0.2">
      <c r="GI51744" s="422"/>
    </row>
    <row r="51745" spans="191:191" x14ac:dyDescent="0.2">
      <c r="GI51745" s="422"/>
    </row>
    <row r="51746" spans="191:191" x14ac:dyDescent="0.2">
      <c r="GI51746" s="422"/>
    </row>
    <row r="51747" spans="191:191" x14ac:dyDescent="0.2">
      <c r="GI51747" s="422"/>
    </row>
    <row r="51748" spans="191:191" x14ac:dyDescent="0.2">
      <c r="GI51748" s="422"/>
    </row>
    <row r="51749" spans="191:191" x14ac:dyDescent="0.2">
      <c r="GI51749" s="422"/>
    </row>
    <row r="51750" spans="191:191" x14ac:dyDescent="0.2">
      <c r="GI51750" s="422"/>
    </row>
    <row r="51751" spans="191:191" x14ac:dyDescent="0.2">
      <c r="GI51751" s="422"/>
    </row>
    <row r="51752" spans="191:191" x14ac:dyDescent="0.2">
      <c r="GI51752" s="422"/>
    </row>
    <row r="51753" spans="191:191" x14ac:dyDescent="0.2">
      <c r="GI51753" s="422"/>
    </row>
    <row r="51754" spans="191:191" x14ac:dyDescent="0.2">
      <c r="GI51754" s="422"/>
    </row>
    <row r="51755" spans="191:191" x14ac:dyDescent="0.2">
      <c r="GI51755" s="422"/>
    </row>
    <row r="51756" spans="191:191" x14ac:dyDescent="0.2">
      <c r="GI51756" s="422"/>
    </row>
    <row r="51757" spans="191:191" x14ac:dyDescent="0.2">
      <c r="GI51757" s="422"/>
    </row>
    <row r="51758" spans="191:191" x14ac:dyDescent="0.2">
      <c r="GI51758" s="422"/>
    </row>
    <row r="51759" spans="191:191" x14ac:dyDescent="0.2">
      <c r="GI51759" s="422"/>
    </row>
    <row r="51760" spans="191:191" x14ac:dyDescent="0.2">
      <c r="GI51760" s="422"/>
    </row>
    <row r="51761" spans="191:191" x14ac:dyDescent="0.2">
      <c r="GI51761" s="422"/>
    </row>
    <row r="51762" spans="191:191" x14ac:dyDescent="0.2">
      <c r="GI51762" s="422"/>
    </row>
    <row r="51763" spans="191:191" x14ac:dyDescent="0.2">
      <c r="GI51763" s="422"/>
    </row>
    <row r="51764" spans="191:191" x14ac:dyDescent="0.2">
      <c r="GI51764" s="422"/>
    </row>
    <row r="51765" spans="191:191" x14ac:dyDescent="0.2">
      <c r="GI51765" s="422"/>
    </row>
    <row r="51766" spans="191:191" x14ac:dyDescent="0.2">
      <c r="GI51766" s="422"/>
    </row>
    <row r="51767" spans="191:191" x14ac:dyDescent="0.2">
      <c r="GI51767" s="422"/>
    </row>
    <row r="51768" spans="191:191" x14ac:dyDescent="0.2">
      <c r="GI51768" s="422"/>
    </row>
    <row r="51769" spans="191:191" x14ac:dyDescent="0.2">
      <c r="GI51769" s="422"/>
    </row>
    <row r="51770" spans="191:191" x14ac:dyDescent="0.2">
      <c r="GI51770" s="422"/>
    </row>
    <row r="51771" spans="191:191" x14ac:dyDescent="0.2">
      <c r="GI51771" s="422"/>
    </row>
    <row r="51772" spans="191:191" x14ac:dyDescent="0.2">
      <c r="GI51772" s="422"/>
    </row>
    <row r="51773" spans="191:191" x14ac:dyDescent="0.2">
      <c r="GI51773" s="422"/>
    </row>
    <row r="51774" spans="191:191" x14ac:dyDescent="0.2">
      <c r="GI51774" s="422"/>
    </row>
    <row r="51775" spans="191:191" x14ac:dyDescent="0.2">
      <c r="GI51775" s="422"/>
    </row>
    <row r="51776" spans="191:191" x14ac:dyDescent="0.2">
      <c r="GI51776" s="422"/>
    </row>
    <row r="51777" spans="191:191" x14ac:dyDescent="0.2">
      <c r="GI51777" s="422"/>
    </row>
    <row r="51778" spans="191:191" x14ac:dyDescent="0.2">
      <c r="GI51778" s="422"/>
    </row>
    <row r="51779" spans="191:191" x14ac:dyDescent="0.2">
      <c r="GI51779" s="422"/>
    </row>
    <row r="51780" spans="191:191" x14ac:dyDescent="0.2">
      <c r="GI51780" s="422"/>
    </row>
    <row r="51781" spans="191:191" x14ac:dyDescent="0.2">
      <c r="GI51781" s="422"/>
    </row>
    <row r="51782" spans="191:191" x14ac:dyDescent="0.2">
      <c r="GI51782" s="422"/>
    </row>
    <row r="51783" spans="191:191" x14ac:dyDescent="0.2">
      <c r="GI51783" s="422"/>
    </row>
    <row r="51784" spans="191:191" x14ac:dyDescent="0.2">
      <c r="GI51784" s="422"/>
    </row>
    <row r="51785" spans="191:191" x14ac:dyDescent="0.2">
      <c r="GI51785" s="422"/>
    </row>
    <row r="51786" spans="191:191" x14ac:dyDescent="0.2">
      <c r="GI51786" s="422"/>
    </row>
    <row r="51787" spans="191:191" x14ac:dyDescent="0.2">
      <c r="GI51787" s="422"/>
    </row>
    <row r="51788" spans="191:191" x14ac:dyDescent="0.2">
      <c r="GI51788" s="422"/>
    </row>
    <row r="51789" spans="191:191" x14ac:dyDescent="0.2">
      <c r="GI51789" s="422"/>
    </row>
    <row r="51790" spans="191:191" x14ac:dyDescent="0.2">
      <c r="GI51790" s="422"/>
    </row>
    <row r="51791" spans="191:191" x14ac:dyDescent="0.2">
      <c r="GI51791" s="422"/>
    </row>
    <row r="51792" spans="191:191" x14ac:dyDescent="0.2">
      <c r="GI51792" s="422"/>
    </row>
    <row r="51793" spans="191:191" x14ac:dyDescent="0.2">
      <c r="GI51793" s="422"/>
    </row>
    <row r="51794" spans="191:191" x14ac:dyDescent="0.2">
      <c r="GI51794" s="422"/>
    </row>
    <row r="51795" spans="191:191" x14ac:dyDescent="0.2">
      <c r="GI51795" s="422"/>
    </row>
    <row r="51796" spans="191:191" x14ac:dyDescent="0.2">
      <c r="GI51796" s="422"/>
    </row>
    <row r="51797" spans="191:191" x14ac:dyDescent="0.2">
      <c r="GI51797" s="422"/>
    </row>
    <row r="51798" spans="191:191" x14ac:dyDescent="0.2">
      <c r="GI51798" s="422"/>
    </row>
    <row r="51799" spans="191:191" x14ac:dyDescent="0.2">
      <c r="GI51799" s="422"/>
    </row>
    <row r="51800" spans="191:191" x14ac:dyDescent="0.2">
      <c r="GI51800" s="422"/>
    </row>
    <row r="51801" spans="191:191" x14ac:dyDescent="0.2">
      <c r="GI51801" s="422"/>
    </row>
    <row r="51802" spans="191:191" x14ac:dyDescent="0.2">
      <c r="GI51802" s="422"/>
    </row>
    <row r="51803" spans="191:191" x14ac:dyDescent="0.2">
      <c r="GI51803" s="422"/>
    </row>
    <row r="51804" spans="191:191" x14ac:dyDescent="0.2">
      <c r="GI51804" s="422"/>
    </row>
    <row r="51805" spans="191:191" x14ac:dyDescent="0.2">
      <c r="GI51805" s="422"/>
    </row>
    <row r="51806" spans="191:191" x14ac:dyDescent="0.2">
      <c r="GI51806" s="422"/>
    </row>
    <row r="51807" spans="191:191" x14ac:dyDescent="0.2">
      <c r="GI51807" s="422"/>
    </row>
    <row r="51808" spans="191:191" x14ac:dyDescent="0.2">
      <c r="GI51808" s="422"/>
    </row>
    <row r="51809" spans="191:191" x14ac:dyDescent="0.2">
      <c r="GI51809" s="422"/>
    </row>
    <row r="51810" spans="191:191" x14ac:dyDescent="0.2">
      <c r="GI51810" s="422"/>
    </row>
    <row r="51811" spans="191:191" x14ac:dyDescent="0.2">
      <c r="GI51811" s="422"/>
    </row>
    <row r="51812" spans="191:191" x14ac:dyDescent="0.2">
      <c r="GI51812" s="422"/>
    </row>
    <row r="51813" spans="191:191" x14ac:dyDescent="0.2">
      <c r="GI51813" s="422"/>
    </row>
    <row r="51814" spans="191:191" x14ac:dyDescent="0.2">
      <c r="GI51814" s="422"/>
    </row>
    <row r="51815" spans="191:191" x14ac:dyDescent="0.2">
      <c r="GI51815" s="422"/>
    </row>
    <row r="51816" spans="191:191" x14ac:dyDescent="0.2">
      <c r="GI51816" s="422"/>
    </row>
    <row r="51817" spans="191:191" x14ac:dyDescent="0.2">
      <c r="GI51817" s="422"/>
    </row>
    <row r="51818" spans="191:191" x14ac:dyDescent="0.2">
      <c r="GI51818" s="422"/>
    </row>
    <row r="51819" spans="191:191" x14ac:dyDescent="0.2">
      <c r="GI51819" s="422"/>
    </row>
    <row r="51820" spans="191:191" x14ac:dyDescent="0.2">
      <c r="GI51820" s="422"/>
    </row>
    <row r="51821" spans="191:191" x14ac:dyDescent="0.2">
      <c r="GI51821" s="422"/>
    </row>
    <row r="51822" spans="191:191" x14ac:dyDescent="0.2">
      <c r="GI51822" s="422"/>
    </row>
    <row r="51823" spans="191:191" x14ac:dyDescent="0.2">
      <c r="GI51823" s="422"/>
    </row>
    <row r="51824" spans="191:191" x14ac:dyDescent="0.2">
      <c r="GI51824" s="422"/>
    </row>
    <row r="51825" spans="191:191" x14ac:dyDescent="0.2">
      <c r="GI51825" s="422"/>
    </row>
    <row r="51826" spans="191:191" x14ac:dyDescent="0.2">
      <c r="GI51826" s="422"/>
    </row>
    <row r="51827" spans="191:191" x14ac:dyDescent="0.2">
      <c r="GI51827" s="422"/>
    </row>
    <row r="51828" spans="191:191" x14ac:dyDescent="0.2">
      <c r="GI51828" s="422"/>
    </row>
    <row r="51829" spans="191:191" x14ac:dyDescent="0.2">
      <c r="GI51829" s="422"/>
    </row>
    <row r="51830" spans="191:191" x14ac:dyDescent="0.2">
      <c r="GI51830" s="422"/>
    </row>
    <row r="51831" spans="191:191" x14ac:dyDescent="0.2">
      <c r="GI51831" s="422"/>
    </row>
    <row r="51832" spans="191:191" x14ac:dyDescent="0.2">
      <c r="GI51832" s="422"/>
    </row>
    <row r="51833" spans="191:191" x14ac:dyDescent="0.2">
      <c r="GI51833" s="422"/>
    </row>
    <row r="51834" spans="191:191" x14ac:dyDescent="0.2">
      <c r="GI51834" s="422"/>
    </row>
    <row r="51835" spans="191:191" x14ac:dyDescent="0.2">
      <c r="GI51835" s="422"/>
    </row>
    <row r="51836" spans="191:191" x14ac:dyDescent="0.2">
      <c r="GI51836" s="422"/>
    </row>
    <row r="51837" spans="191:191" x14ac:dyDescent="0.2">
      <c r="GI51837" s="422"/>
    </row>
    <row r="51838" spans="191:191" x14ac:dyDescent="0.2">
      <c r="GI51838" s="422"/>
    </row>
    <row r="51839" spans="191:191" x14ac:dyDescent="0.2">
      <c r="GI51839" s="422"/>
    </row>
    <row r="51840" spans="191:191" x14ac:dyDescent="0.2">
      <c r="GI51840" s="422"/>
    </row>
    <row r="51841" spans="191:191" x14ac:dyDescent="0.2">
      <c r="GI51841" s="422"/>
    </row>
    <row r="51842" spans="191:191" x14ac:dyDescent="0.2">
      <c r="GI51842" s="422"/>
    </row>
    <row r="51843" spans="191:191" x14ac:dyDescent="0.2">
      <c r="GI51843" s="422"/>
    </row>
    <row r="51844" spans="191:191" x14ac:dyDescent="0.2">
      <c r="GI51844" s="422"/>
    </row>
    <row r="51845" spans="191:191" x14ac:dyDescent="0.2">
      <c r="GI51845" s="422"/>
    </row>
    <row r="51846" spans="191:191" x14ac:dyDescent="0.2">
      <c r="GI51846" s="422"/>
    </row>
    <row r="51847" spans="191:191" x14ac:dyDescent="0.2">
      <c r="GI51847" s="422"/>
    </row>
    <row r="51848" spans="191:191" x14ac:dyDescent="0.2">
      <c r="GI51848" s="422"/>
    </row>
    <row r="51849" spans="191:191" x14ac:dyDescent="0.2">
      <c r="GI51849" s="422"/>
    </row>
    <row r="51850" spans="191:191" x14ac:dyDescent="0.2">
      <c r="GI51850" s="422"/>
    </row>
    <row r="51851" spans="191:191" x14ac:dyDescent="0.2">
      <c r="GI51851" s="422"/>
    </row>
    <row r="51852" spans="191:191" x14ac:dyDescent="0.2">
      <c r="GI51852" s="422"/>
    </row>
    <row r="51853" spans="191:191" x14ac:dyDescent="0.2">
      <c r="GI51853" s="422"/>
    </row>
    <row r="51854" spans="191:191" x14ac:dyDescent="0.2">
      <c r="GI51854" s="422"/>
    </row>
    <row r="51855" spans="191:191" x14ac:dyDescent="0.2">
      <c r="GI51855" s="422"/>
    </row>
    <row r="51856" spans="191:191" x14ac:dyDescent="0.2">
      <c r="GI51856" s="422"/>
    </row>
    <row r="51857" spans="191:191" x14ac:dyDescent="0.2">
      <c r="GI51857" s="422"/>
    </row>
    <row r="51858" spans="191:191" x14ac:dyDescent="0.2">
      <c r="GI51858" s="422"/>
    </row>
    <row r="51859" spans="191:191" x14ac:dyDescent="0.2">
      <c r="GI51859" s="422"/>
    </row>
    <row r="51860" spans="191:191" x14ac:dyDescent="0.2">
      <c r="GI51860" s="422"/>
    </row>
    <row r="51861" spans="191:191" x14ac:dyDescent="0.2">
      <c r="GI51861" s="422"/>
    </row>
    <row r="51862" spans="191:191" x14ac:dyDescent="0.2">
      <c r="GI51862" s="422"/>
    </row>
    <row r="51863" spans="191:191" x14ac:dyDescent="0.2">
      <c r="GI51863" s="422"/>
    </row>
    <row r="51864" spans="191:191" x14ac:dyDescent="0.2">
      <c r="GI51864" s="422"/>
    </row>
    <row r="51865" spans="191:191" x14ac:dyDescent="0.2">
      <c r="GI51865" s="422"/>
    </row>
    <row r="51866" spans="191:191" x14ac:dyDescent="0.2">
      <c r="GI51866" s="422"/>
    </row>
    <row r="51867" spans="191:191" x14ac:dyDescent="0.2">
      <c r="GI51867" s="422"/>
    </row>
    <row r="51868" spans="191:191" x14ac:dyDescent="0.2">
      <c r="GI51868" s="422"/>
    </row>
    <row r="51869" spans="191:191" x14ac:dyDescent="0.2">
      <c r="GI51869" s="422"/>
    </row>
    <row r="51870" spans="191:191" x14ac:dyDescent="0.2">
      <c r="GI51870" s="422"/>
    </row>
    <row r="51871" spans="191:191" x14ac:dyDescent="0.2">
      <c r="GI51871" s="422"/>
    </row>
    <row r="51872" spans="191:191" x14ac:dyDescent="0.2">
      <c r="GI51872" s="422"/>
    </row>
    <row r="51873" spans="191:191" x14ac:dyDescent="0.2">
      <c r="GI51873" s="422"/>
    </row>
    <row r="51874" spans="191:191" x14ac:dyDescent="0.2">
      <c r="GI51874" s="422"/>
    </row>
    <row r="51875" spans="191:191" x14ac:dyDescent="0.2">
      <c r="GI51875" s="422"/>
    </row>
    <row r="51876" spans="191:191" x14ac:dyDescent="0.2">
      <c r="GI51876" s="422"/>
    </row>
    <row r="51877" spans="191:191" x14ac:dyDescent="0.2">
      <c r="GI51877" s="422"/>
    </row>
    <row r="51878" spans="191:191" x14ac:dyDescent="0.2">
      <c r="GI51878" s="422"/>
    </row>
    <row r="51879" spans="191:191" x14ac:dyDescent="0.2">
      <c r="GI51879" s="422"/>
    </row>
    <row r="51880" spans="191:191" x14ac:dyDescent="0.2">
      <c r="GI51880" s="422"/>
    </row>
    <row r="51881" spans="191:191" x14ac:dyDescent="0.2">
      <c r="GI51881" s="422"/>
    </row>
    <row r="51882" spans="191:191" x14ac:dyDescent="0.2">
      <c r="GI51882" s="422"/>
    </row>
    <row r="51883" spans="191:191" x14ac:dyDescent="0.2">
      <c r="GI51883" s="422"/>
    </row>
    <row r="51884" spans="191:191" x14ac:dyDescent="0.2">
      <c r="GI51884" s="422"/>
    </row>
    <row r="51885" spans="191:191" x14ac:dyDescent="0.2">
      <c r="GI51885" s="422"/>
    </row>
    <row r="51886" spans="191:191" x14ac:dyDescent="0.2">
      <c r="GI51886" s="422"/>
    </row>
    <row r="51887" spans="191:191" x14ac:dyDescent="0.2">
      <c r="GI51887" s="422"/>
    </row>
    <row r="51888" spans="191:191" x14ac:dyDescent="0.2">
      <c r="GI51888" s="422"/>
    </row>
    <row r="51889" spans="191:191" x14ac:dyDescent="0.2">
      <c r="GI51889" s="422"/>
    </row>
    <row r="51890" spans="191:191" x14ac:dyDescent="0.2">
      <c r="GI51890" s="422"/>
    </row>
    <row r="51891" spans="191:191" x14ac:dyDescent="0.2">
      <c r="GI51891" s="422"/>
    </row>
    <row r="51892" spans="191:191" x14ac:dyDescent="0.2">
      <c r="GI51892" s="422"/>
    </row>
    <row r="51893" spans="191:191" x14ac:dyDescent="0.2">
      <c r="GI51893" s="422"/>
    </row>
    <row r="51894" spans="191:191" x14ac:dyDescent="0.2">
      <c r="GI51894" s="422"/>
    </row>
    <row r="51895" spans="191:191" x14ac:dyDescent="0.2">
      <c r="GI51895" s="422"/>
    </row>
    <row r="51896" spans="191:191" x14ac:dyDescent="0.2">
      <c r="GI51896" s="422"/>
    </row>
    <row r="51897" spans="191:191" x14ac:dyDescent="0.2">
      <c r="GI51897" s="422"/>
    </row>
    <row r="51898" spans="191:191" x14ac:dyDescent="0.2">
      <c r="GI51898" s="422"/>
    </row>
    <row r="51899" spans="191:191" x14ac:dyDescent="0.2">
      <c r="GI51899" s="422"/>
    </row>
    <row r="51900" spans="191:191" x14ac:dyDescent="0.2">
      <c r="GI51900" s="422"/>
    </row>
    <row r="51901" spans="191:191" x14ac:dyDescent="0.2">
      <c r="GI51901" s="422"/>
    </row>
    <row r="51902" spans="191:191" x14ac:dyDescent="0.2">
      <c r="GI51902" s="422"/>
    </row>
    <row r="51903" spans="191:191" x14ac:dyDescent="0.2">
      <c r="GI51903" s="422"/>
    </row>
    <row r="51904" spans="191:191" x14ac:dyDescent="0.2">
      <c r="GI51904" s="422"/>
    </row>
    <row r="51905" spans="191:191" x14ac:dyDescent="0.2">
      <c r="GI51905" s="422"/>
    </row>
    <row r="51906" spans="191:191" x14ac:dyDescent="0.2">
      <c r="GI51906" s="422"/>
    </row>
    <row r="51907" spans="191:191" x14ac:dyDescent="0.2">
      <c r="GI51907" s="422"/>
    </row>
    <row r="51908" spans="191:191" x14ac:dyDescent="0.2">
      <c r="GI51908" s="422"/>
    </row>
    <row r="51909" spans="191:191" x14ac:dyDescent="0.2">
      <c r="GI51909" s="422"/>
    </row>
    <row r="51910" spans="191:191" x14ac:dyDescent="0.2">
      <c r="GI51910" s="422"/>
    </row>
    <row r="51911" spans="191:191" x14ac:dyDescent="0.2">
      <c r="GI51911" s="422"/>
    </row>
    <row r="51912" spans="191:191" x14ac:dyDescent="0.2">
      <c r="GI51912" s="422"/>
    </row>
    <row r="51913" spans="191:191" x14ac:dyDescent="0.2">
      <c r="GI51913" s="422"/>
    </row>
    <row r="51914" spans="191:191" x14ac:dyDescent="0.2">
      <c r="GI51914" s="422"/>
    </row>
    <row r="51915" spans="191:191" x14ac:dyDescent="0.2">
      <c r="GI51915" s="422"/>
    </row>
    <row r="51916" spans="191:191" x14ac:dyDescent="0.2">
      <c r="GI51916" s="422"/>
    </row>
    <row r="51917" spans="191:191" x14ac:dyDescent="0.2">
      <c r="GI51917" s="422"/>
    </row>
    <row r="51918" spans="191:191" x14ac:dyDescent="0.2">
      <c r="GI51918" s="422"/>
    </row>
    <row r="51919" spans="191:191" x14ac:dyDescent="0.2">
      <c r="GI51919" s="422"/>
    </row>
    <row r="51920" spans="191:191" x14ac:dyDescent="0.2">
      <c r="GI51920" s="422"/>
    </row>
    <row r="51921" spans="191:191" x14ac:dyDescent="0.2">
      <c r="GI51921" s="422"/>
    </row>
    <row r="51922" spans="191:191" x14ac:dyDescent="0.2">
      <c r="GI51922" s="422"/>
    </row>
    <row r="51923" spans="191:191" x14ac:dyDescent="0.2">
      <c r="GI51923" s="422"/>
    </row>
    <row r="51924" spans="191:191" x14ac:dyDescent="0.2">
      <c r="GI51924" s="422"/>
    </row>
    <row r="51925" spans="191:191" x14ac:dyDescent="0.2">
      <c r="GI51925" s="422"/>
    </row>
    <row r="51926" spans="191:191" x14ac:dyDescent="0.2">
      <c r="GI51926" s="422"/>
    </row>
    <row r="51927" spans="191:191" x14ac:dyDescent="0.2">
      <c r="GI51927" s="422"/>
    </row>
    <row r="51928" spans="191:191" x14ac:dyDescent="0.2">
      <c r="GI51928" s="422"/>
    </row>
    <row r="51929" spans="191:191" x14ac:dyDescent="0.2">
      <c r="GI51929" s="422"/>
    </row>
    <row r="51930" spans="191:191" x14ac:dyDescent="0.2">
      <c r="GI51930" s="422"/>
    </row>
    <row r="51931" spans="191:191" x14ac:dyDescent="0.2">
      <c r="GI51931" s="422"/>
    </row>
    <row r="51932" spans="191:191" x14ac:dyDescent="0.2">
      <c r="GI51932" s="422"/>
    </row>
    <row r="51933" spans="191:191" x14ac:dyDescent="0.2">
      <c r="GI51933" s="422"/>
    </row>
    <row r="51934" spans="191:191" x14ac:dyDescent="0.2">
      <c r="GI51934" s="422"/>
    </row>
    <row r="51935" spans="191:191" x14ac:dyDescent="0.2">
      <c r="GI51935" s="422"/>
    </row>
    <row r="51936" spans="191:191" x14ac:dyDescent="0.2">
      <c r="GI51936" s="422"/>
    </row>
    <row r="51937" spans="191:191" x14ac:dyDescent="0.2">
      <c r="GI51937" s="422"/>
    </row>
    <row r="51938" spans="191:191" x14ac:dyDescent="0.2">
      <c r="GI51938" s="422"/>
    </row>
    <row r="51939" spans="191:191" x14ac:dyDescent="0.2">
      <c r="GI51939" s="422"/>
    </row>
    <row r="51940" spans="191:191" x14ac:dyDescent="0.2">
      <c r="GI51940" s="422"/>
    </row>
    <row r="51941" spans="191:191" x14ac:dyDescent="0.2">
      <c r="GI51941" s="422"/>
    </row>
    <row r="51942" spans="191:191" x14ac:dyDescent="0.2">
      <c r="GI51942" s="422"/>
    </row>
    <row r="51943" spans="191:191" x14ac:dyDescent="0.2">
      <c r="GI51943" s="422"/>
    </row>
    <row r="51944" spans="191:191" x14ac:dyDescent="0.2">
      <c r="GI51944" s="422"/>
    </row>
    <row r="51945" spans="191:191" x14ac:dyDescent="0.2">
      <c r="GI51945" s="422"/>
    </row>
    <row r="51946" spans="191:191" x14ac:dyDescent="0.2">
      <c r="GI51946" s="422"/>
    </row>
    <row r="51947" spans="191:191" x14ac:dyDescent="0.2">
      <c r="GI51947" s="422"/>
    </row>
    <row r="51948" spans="191:191" x14ac:dyDescent="0.2">
      <c r="GI51948" s="422"/>
    </row>
    <row r="51949" spans="191:191" x14ac:dyDescent="0.2">
      <c r="GI51949" s="422"/>
    </row>
    <row r="51950" spans="191:191" x14ac:dyDescent="0.2">
      <c r="GI51950" s="422"/>
    </row>
    <row r="51951" spans="191:191" x14ac:dyDescent="0.2">
      <c r="GI51951" s="422"/>
    </row>
    <row r="51952" spans="191:191" x14ac:dyDescent="0.2">
      <c r="GI51952" s="422"/>
    </row>
    <row r="51953" spans="191:191" x14ac:dyDescent="0.2">
      <c r="GI51953" s="422"/>
    </row>
    <row r="51954" spans="191:191" x14ac:dyDescent="0.2">
      <c r="GI51954" s="422"/>
    </row>
    <row r="51955" spans="191:191" x14ac:dyDescent="0.2">
      <c r="GI51955" s="422"/>
    </row>
    <row r="51956" spans="191:191" x14ac:dyDescent="0.2">
      <c r="GI51956" s="422"/>
    </row>
    <row r="51957" spans="191:191" x14ac:dyDescent="0.2">
      <c r="GI51957" s="422"/>
    </row>
    <row r="51958" spans="191:191" x14ac:dyDescent="0.2">
      <c r="GI51958" s="422"/>
    </row>
    <row r="51959" spans="191:191" x14ac:dyDescent="0.2">
      <c r="GI51959" s="422"/>
    </row>
    <row r="51960" spans="191:191" x14ac:dyDescent="0.2">
      <c r="GI51960" s="422"/>
    </row>
    <row r="51961" spans="191:191" x14ac:dyDescent="0.2">
      <c r="GI51961" s="422"/>
    </row>
    <row r="51962" spans="191:191" x14ac:dyDescent="0.2">
      <c r="GI51962" s="422"/>
    </row>
    <row r="51963" spans="191:191" x14ac:dyDescent="0.2">
      <c r="GI51963" s="422"/>
    </row>
    <row r="51964" spans="191:191" x14ac:dyDescent="0.2">
      <c r="GI51964" s="422"/>
    </row>
    <row r="51965" spans="191:191" x14ac:dyDescent="0.2">
      <c r="GI51965" s="422"/>
    </row>
    <row r="51966" spans="191:191" x14ac:dyDescent="0.2">
      <c r="GI51966" s="422"/>
    </row>
    <row r="51967" spans="191:191" x14ac:dyDescent="0.2">
      <c r="GI51967" s="422"/>
    </row>
    <row r="51968" spans="191:191" x14ac:dyDescent="0.2">
      <c r="GI51968" s="422"/>
    </row>
    <row r="51969" spans="191:191" x14ac:dyDescent="0.2">
      <c r="GI51969" s="422"/>
    </row>
    <row r="51970" spans="191:191" x14ac:dyDescent="0.2">
      <c r="GI51970" s="422"/>
    </row>
    <row r="51971" spans="191:191" x14ac:dyDescent="0.2">
      <c r="GI51971" s="422"/>
    </row>
    <row r="51972" spans="191:191" x14ac:dyDescent="0.2">
      <c r="GI51972" s="422"/>
    </row>
    <row r="51973" spans="191:191" x14ac:dyDescent="0.2">
      <c r="GI51973" s="422"/>
    </row>
    <row r="51974" spans="191:191" x14ac:dyDescent="0.2">
      <c r="GI51974" s="422"/>
    </row>
    <row r="51975" spans="191:191" x14ac:dyDescent="0.2">
      <c r="GI51975" s="422"/>
    </row>
    <row r="51976" spans="191:191" x14ac:dyDescent="0.2">
      <c r="GI51976" s="422"/>
    </row>
    <row r="51977" spans="191:191" x14ac:dyDescent="0.2">
      <c r="GI51977" s="422"/>
    </row>
    <row r="51978" spans="191:191" x14ac:dyDescent="0.2">
      <c r="GI51978" s="422"/>
    </row>
    <row r="51979" spans="191:191" x14ac:dyDescent="0.2">
      <c r="GI51979" s="422"/>
    </row>
    <row r="51980" spans="191:191" x14ac:dyDescent="0.2">
      <c r="GI51980" s="422"/>
    </row>
    <row r="51981" spans="191:191" x14ac:dyDescent="0.2">
      <c r="GI51981" s="422"/>
    </row>
    <row r="51982" spans="191:191" x14ac:dyDescent="0.2">
      <c r="GI51982" s="422"/>
    </row>
    <row r="51983" spans="191:191" x14ac:dyDescent="0.2">
      <c r="GI51983" s="422"/>
    </row>
    <row r="51984" spans="191:191" x14ac:dyDescent="0.2">
      <c r="GI51984" s="422"/>
    </row>
    <row r="51985" spans="191:191" x14ac:dyDescent="0.2">
      <c r="GI51985" s="422"/>
    </row>
    <row r="51986" spans="191:191" x14ac:dyDescent="0.2">
      <c r="GI51986" s="422"/>
    </row>
    <row r="51987" spans="191:191" x14ac:dyDescent="0.2">
      <c r="GI51987" s="422"/>
    </row>
    <row r="51988" spans="191:191" x14ac:dyDescent="0.2">
      <c r="GI51988" s="422"/>
    </row>
    <row r="51989" spans="191:191" x14ac:dyDescent="0.2">
      <c r="GI51989" s="422"/>
    </row>
    <row r="51990" spans="191:191" x14ac:dyDescent="0.2">
      <c r="GI51990" s="422"/>
    </row>
    <row r="51991" spans="191:191" x14ac:dyDescent="0.2">
      <c r="GI51991" s="422"/>
    </row>
    <row r="51992" spans="191:191" x14ac:dyDescent="0.2">
      <c r="GI51992" s="422"/>
    </row>
    <row r="51993" spans="191:191" x14ac:dyDescent="0.2">
      <c r="GI51993" s="422"/>
    </row>
    <row r="51994" spans="191:191" x14ac:dyDescent="0.2">
      <c r="GI51994" s="422"/>
    </row>
    <row r="51995" spans="191:191" x14ac:dyDescent="0.2">
      <c r="GI51995" s="422"/>
    </row>
    <row r="51996" spans="191:191" x14ac:dyDescent="0.2">
      <c r="GI51996" s="422"/>
    </row>
    <row r="51997" spans="191:191" x14ac:dyDescent="0.2">
      <c r="GI51997" s="422"/>
    </row>
    <row r="51998" spans="191:191" x14ac:dyDescent="0.2">
      <c r="GI51998" s="422"/>
    </row>
    <row r="51999" spans="191:191" x14ac:dyDescent="0.2">
      <c r="GI51999" s="422"/>
    </row>
    <row r="52000" spans="191:191" x14ac:dyDescent="0.2">
      <c r="GI52000" s="422"/>
    </row>
    <row r="52001" spans="191:191" x14ac:dyDescent="0.2">
      <c r="GI52001" s="422"/>
    </row>
    <row r="52002" spans="191:191" x14ac:dyDescent="0.2">
      <c r="GI52002" s="422"/>
    </row>
    <row r="52003" spans="191:191" x14ac:dyDescent="0.2">
      <c r="GI52003" s="422"/>
    </row>
    <row r="52004" spans="191:191" x14ac:dyDescent="0.2">
      <c r="GI52004" s="422"/>
    </row>
    <row r="52005" spans="191:191" x14ac:dyDescent="0.2">
      <c r="GI52005" s="422"/>
    </row>
    <row r="52006" spans="191:191" x14ac:dyDescent="0.2">
      <c r="GI52006" s="422"/>
    </row>
    <row r="52007" spans="191:191" x14ac:dyDescent="0.2">
      <c r="GI52007" s="422"/>
    </row>
    <row r="52008" spans="191:191" x14ac:dyDescent="0.2">
      <c r="GI52008" s="422"/>
    </row>
    <row r="52009" spans="191:191" x14ac:dyDescent="0.2">
      <c r="GI52009" s="422"/>
    </row>
    <row r="52010" spans="191:191" x14ac:dyDescent="0.2">
      <c r="GI52010" s="422"/>
    </row>
    <row r="52011" spans="191:191" x14ac:dyDescent="0.2">
      <c r="GI52011" s="422"/>
    </row>
    <row r="52012" spans="191:191" x14ac:dyDescent="0.2">
      <c r="GI52012" s="422"/>
    </row>
    <row r="52013" spans="191:191" x14ac:dyDescent="0.2">
      <c r="GI52013" s="422"/>
    </row>
    <row r="52014" spans="191:191" x14ac:dyDescent="0.2">
      <c r="GI52014" s="422"/>
    </row>
    <row r="52015" spans="191:191" x14ac:dyDescent="0.2">
      <c r="GI52015" s="422"/>
    </row>
    <row r="52016" spans="191:191" x14ac:dyDescent="0.2">
      <c r="GI52016" s="422"/>
    </row>
    <row r="52017" spans="191:191" x14ac:dyDescent="0.2">
      <c r="GI52017" s="422"/>
    </row>
    <row r="52018" spans="191:191" x14ac:dyDescent="0.2">
      <c r="GI52018" s="422"/>
    </row>
    <row r="52019" spans="191:191" x14ac:dyDescent="0.2">
      <c r="GI52019" s="422"/>
    </row>
    <row r="52020" spans="191:191" x14ac:dyDescent="0.2">
      <c r="GI52020" s="422"/>
    </row>
    <row r="52021" spans="191:191" x14ac:dyDescent="0.2">
      <c r="GI52021" s="422"/>
    </row>
    <row r="52022" spans="191:191" x14ac:dyDescent="0.2">
      <c r="GI52022" s="422"/>
    </row>
    <row r="52023" spans="191:191" x14ac:dyDescent="0.2">
      <c r="GI52023" s="422"/>
    </row>
    <row r="52024" spans="191:191" x14ac:dyDescent="0.2">
      <c r="GI52024" s="422"/>
    </row>
    <row r="52025" spans="191:191" x14ac:dyDescent="0.2">
      <c r="GI52025" s="422"/>
    </row>
    <row r="52026" spans="191:191" x14ac:dyDescent="0.2">
      <c r="GI52026" s="422"/>
    </row>
    <row r="52027" spans="191:191" x14ac:dyDescent="0.2">
      <c r="GI52027" s="422"/>
    </row>
    <row r="52028" spans="191:191" x14ac:dyDescent="0.2">
      <c r="GI52028" s="422"/>
    </row>
    <row r="52029" spans="191:191" x14ac:dyDescent="0.2">
      <c r="GI52029" s="422"/>
    </row>
    <row r="52030" spans="191:191" x14ac:dyDescent="0.2">
      <c r="GI52030" s="422"/>
    </row>
    <row r="52031" spans="191:191" x14ac:dyDescent="0.2">
      <c r="GI52031" s="422"/>
    </row>
    <row r="52032" spans="191:191" x14ac:dyDescent="0.2">
      <c r="GI52032" s="422"/>
    </row>
    <row r="52033" spans="191:191" x14ac:dyDescent="0.2">
      <c r="GI52033" s="422"/>
    </row>
    <row r="52034" spans="191:191" x14ac:dyDescent="0.2">
      <c r="GI52034" s="422"/>
    </row>
    <row r="52035" spans="191:191" x14ac:dyDescent="0.2">
      <c r="GI52035" s="422"/>
    </row>
    <row r="52036" spans="191:191" x14ac:dyDescent="0.2">
      <c r="GI52036" s="422"/>
    </row>
    <row r="52037" spans="191:191" x14ac:dyDescent="0.2">
      <c r="GI52037" s="422"/>
    </row>
    <row r="52038" spans="191:191" x14ac:dyDescent="0.2">
      <c r="GI52038" s="422"/>
    </row>
    <row r="52039" spans="191:191" x14ac:dyDescent="0.2">
      <c r="GI52039" s="422"/>
    </row>
    <row r="52040" spans="191:191" x14ac:dyDescent="0.2">
      <c r="GI52040" s="422"/>
    </row>
    <row r="52041" spans="191:191" x14ac:dyDescent="0.2">
      <c r="GI52041" s="422"/>
    </row>
    <row r="52042" spans="191:191" x14ac:dyDescent="0.2">
      <c r="GI52042" s="422"/>
    </row>
    <row r="52043" spans="191:191" x14ac:dyDescent="0.2">
      <c r="GI52043" s="422"/>
    </row>
    <row r="52044" spans="191:191" x14ac:dyDescent="0.2">
      <c r="GI52044" s="422"/>
    </row>
    <row r="52045" spans="191:191" x14ac:dyDescent="0.2">
      <c r="GI52045" s="422"/>
    </row>
    <row r="52046" spans="191:191" x14ac:dyDescent="0.2">
      <c r="GI52046" s="422"/>
    </row>
    <row r="52047" spans="191:191" x14ac:dyDescent="0.2">
      <c r="GI52047" s="422"/>
    </row>
    <row r="52048" spans="191:191" x14ac:dyDescent="0.2">
      <c r="GI52048" s="422"/>
    </row>
    <row r="52049" spans="191:191" x14ac:dyDescent="0.2">
      <c r="GI52049" s="422"/>
    </row>
    <row r="52050" spans="191:191" x14ac:dyDescent="0.2">
      <c r="GI52050" s="422"/>
    </row>
    <row r="52051" spans="191:191" x14ac:dyDescent="0.2">
      <c r="GI52051" s="422"/>
    </row>
    <row r="52052" spans="191:191" x14ac:dyDescent="0.2">
      <c r="GI52052" s="422"/>
    </row>
    <row r="52053" spans="191:191" x14ac:dyDescent="0.2">
      <c r="GI52053" s="422"/>
    </row>
    <row r="52054" spans="191:191" x14ac:dyDescent="0.2">
      <c r="GI52054" s="422"/>
    </row>
    <row r="52055" spans="191:191" x14ac:dyDescent="0.2">
      <c r="GI52055" s="422"/>
    </row>
    <row r="52056" spans="191:191" x14ac:dyDescent="0.2">
      <c r="GI52056" s="422"/>
    </row>
    <row r="52057" spans="191:191" x14ac:dyDescent="0.2">
      <c r="GI52057" s="422"/>
    </row>
    <row r="52058" spans="191:191" x14ac:dyDescent="0.2">
      <c r="GI52058" s="422"/>
    </row>
    <row r="52059" spans="191:191" x14ac:dyDescent="0.2">
      <c r="GI52059" s="422"/>
    </row>
    <row r="52060" spans="191:191" x14ac:dyDescent="0.2">
      <c r="GI52060" s="422"/>
    </row>
    <row r="52061" spans="191:191" x14ac:dyDescent="0.2">
      <c r="GI52061" s="422"/>
    </row>
    <row r="52062" spans="191:191" x14ac:dyDescent="0.2">
      <c r="GI52062" s="422"/>
    </row>
    <row r="52063" spans="191:191" x14ac:dyDescent="0.2">
      <c r="GI52063" s="422"/>
    </row>
    <row r="52064" spans="191:191" x14ac:dyDescent="0.2">
      <c r="GI52064" s="422"/>
    </row>
    <row r="52065" spans="191:191" x14ac:dyDescent="0.2">
      <c r="GI52065" s="422"/>
    </row>
    <row r="52066" spans="191:191" x14ac:dyDescent="0.2">
      <c r="GI52066" s="422"/>
    </row>
    <row r="52067" spans="191:191" x14ac:dyDescent="0.2">
      <c r="GI52067" s="422"/>
    </row>
    <row r="52068" spans="191:191" x14ac:dyDescent="0.2">
      <c r="GI52068" s="422"/>
    </row>
    <row r="52069" spans="191:191" x14ac:dyDescent="0.2">
      <c r="GI52069" s="422"/>
    </row>
    <row r="52070" spans="191:191" x14ac:dyDescent="0.2">
      <c r="GI52070" s="422"/>
    </row>
    <row r="52071" spans="191:191" x14ac:dyDescent="0.2">
      <c r="GI52071" s="422"/>
    </row>
    <row r="52072" spans="191:191" x14ac:dyDescent="0.2">
      <c r="GI52072" s="422"/>
    </row>
    <row r="52073" spans="191:191" x14ac:dyDescent="0.2">
      <c r="GI52073" s="422"/>
    </row>
    <row r="52074" spans="191:191" x14ac:dyDescent="0.2">
      <c r="GI52074" s="422"/>
    </row>
    <row r="52075" spans="191:191" x14ac:dyDescent="0.2">
      <c r="GI52075" s="422"/>
    </row>
    <row r="52076" spans="191:191" x14ac:dyDescent="0.2">
      <c r="GI52076" s="422"/>
    </row>
    <row r="52077" spans="191:191" x14ac:dyDescent="0.2">
      <c r="GI52077" s="422"/>
    </row>
    <row r="52078" spans="191:191" x14ac:dyDescent="0.2">
      <c r="GI52078" s="422"/>
    </row>
    <row r="52079" spans="191:191" x14ac:dyDescent="0.2">
      <c r="GI52079" s="422"/>
    </row>
    <row r="52080" spans="191:191" x14ac:dyDescent="0.2">
      <c r="GI52080" s="422"/>
    </row>
    <row r="52081" spans="191:191" x14ac:dyDescent="0.2">
      <c r="GI52081" s="422"/>
    </row>
    <row r="52082" spans="191:191" x14ac:dyDescent="0.2">
      <c r="GI52082" s="422"/>
    </row>
    <row r="52083" spans="191:191" x14ac:dyDescent="0.2">
      <c r="GI52083" s="422"/>
    </row>
    <row r="52084" spans="191:191" x14ac:dyDescent="0.2">
      <c r="GI52084" s="422"/>
    </row>
    <row r="52085" spans="191:191" x14ac:dyDescent="0.2">
      <c r="GI52085" s="422"/>
    </row>
    <row r="52086" spans="191:191" x14ac:dyDescent="0.2">
      <c r="GI52086" s="422"/>
    </row>
    <row r="52087" spans="191:191" x14ac:dyDescent="0.2">
      <c r="GI52087" s="422"/>
    </row>
    <row r="52088" spans="191:191" x14ac:dyDescent="0.2">
      <c r="GI52088" s="422"/>
    </row>
    <row r="52089" spans="191:191" x14ac:dyDescent="0.2">
      <c r="GI52089" s="422"/>
    </row>
    <row r="52090" spans="191:191" x14ac:dyDescent="0.2">
      <c r="GI52090" s="422"/>
    </row>
    <row r="52091" spans="191:191" x14ac:dyDescent="0.2">
      <c r="GI52091" s="422"/>
    </row>
    <row r="52092" spans="191:191" x14ac:dyDescent="0.2">
      <c r="GI52092" s="422"/>
    </row>
    <row r="52093" spans="191:191" x14ac:dyDescent="0.2">
      <c r="GI52093" s="422"/>
    </row>
    <row r="52094" spans="191:191" x14ac:dyDescent="0.2">
      <c r="GI52094" s="422"/>
    </row>
    <row r="52095" spans="191:191" x14ac:dyDescent="0.2">
      <c r="GI52095" s="422"/>
    </row>
    <row r="52096" spans="191:191" x14ac:dyDescent="0.2">
      <c r="GI52096" s="422"/>
    </row>
    <row r="52097" spans="191:191" x14ac:dyDescent="0.2">
      <c r="GI52097" s="422"/>
    </row>
    <row r="52098" spans="191:191" x14ac:dyDescent="0.2">
      <c r="GI52098" s="422"/>
    </row>
    <row r="52099" spans="191:191" x14ac:dyDescent="0.2">
      <c r="GI52099" s="422"/>
    </row>
    <row r="52100" spans="191:191" x14ac:dyDescent="0.2">
      <c r="GI52100" s="422"/>
    </row>
    <row r="52101" spans="191:191" x14ac:dyDescent="0.2">
      <c r="GI52101" s="422"/>
    </row>
    <row r="52102" spans="191:191" x14ac:dyDescent="0.2">
      <c r="GI52102" s="422"/>
    </row>
    <row r="52103" spans="191:191" x14ac:dyDescent="0.2">
      <c r="GI52103" s="422"/>
    </row>
    <row r="52104" spans="191:191" x14ac:dyDescent="0.2">
      <c r="GI52104" s="422"/>
    </row>
    <row r="52105" spans="191:191" x14ac:dyDescent="0.2">
      <c r="GI52105" s="422"/>
    </row>
    <row r="52106" spans="191:191" x14ac:dyDescent="0.2">
      <c r="GI52106" s="422"/>
    </row>
    <row r="52107" spans="191:191" x14ac:dyDescent="0.2">
      <c r="GI52107" s="422"/>
    </row>
    <row r="52108" spans="191:191" x14ac:dyDescent="0.2">
      <c r="GI52108" s="422"/>
    </row>
    <row r="52109" spans="191:191" x14ac:dyDescent="0.2">
      <c r="GI52109" s="422"/>
    </row>
    <row r="52110" spans="191:191" x14ac:dyDescent="0.2">
      <c r="GI52110" s="422"/>
    </row>
    <row r="52111" spans="191:191" x14ac:dyDescent="0.2">
      <c r="GI52111" s="422"/>
    </row>
    <row r="52112" spans="191:191" x14ac:dyDescent="0.2">
      <c r="GI52112" s="422"/>
    </row>
    <row r="52113" spans="191:191" x14ac:dyDescent="0.2">
      <c r="GI52113" s="422"/>
    </row>
    <row r="52114" spans="191:191" x14ac:dyDescent="0.2">
      <c r="GI52114" s="422"/>
    </row>
    <row r="52115" spans="191:191" x14ac:dyDescent="0.2">
      <c r="GI52115" s="422"/>
    </row>
    <row r="52116" spans="191:191" x14ac:dyDescent="0.2">
      <c r="GI52116" s="422"/>
    </row>
    <row r="52117" spans="191:191" x14ac:dyDescent="0.2">
      <c r="GI52117" s="422"/>
    </row>
    <row r="52118" spans="191:191" x14ac:dyDescent="0.2">
      <c r="GI52118" s="422"/>
    </row>
    <row r="52119" spans="191:191" x14ac:dyDescent="0.2">
      <c r="GI52119" s="422"/>
    </row>
    <row r="52120" spans="191:191" x14ac:dyDescent="0.2">
      <c r="GI52120" s="422"/>
    </row>
    <row r="52121" spans="191:191" x14ac:dyDescent="0.2">
      <c r="GI52121" s="422"/>
    </row>
    <row r="52122" spans="191:191" x14ac:dyDescent="0.2">
      <c r="GI52122" s="422"/>
    </row>
    <row r="52123" spans="191:191" x14ac:dyDescent="0.2">
      <c r="GI52123" s="422"/>
    </row>
    <row r="52124" spans="191:191" x14ac:dyDescent="0.2">
      <c r="GI52124" s="422"/>
    </row>
    <row r="52125" spans="191:191" x14ac:dyDescent="0.2">
      <c r="GI52125" s="422"/>
    </row>
    <row r="52126" spans="191:191" x14ac:dyDescent="0.2">
      <c r="GI52126" s="422"/>
    </row>
    <row r="52127" spans="191:191" x14ac:dyDescent="0.2">
      <c r="GI52127" s="422"/>
    </row>
    <row r="52128" spans="191:191" x14ac:dyDescent="0.2">
      <c r="GI52128" s="422"/>
    </row>
    <row r="52129" spans="191:191" x14ac:dyDescent="0.2">
      <c r="GI52129" s="422"/>
    </row>
    <row r="52130" spans="191:191" x14ac:dyDescent="0.2">
      <c r="GI52130" s="422"/>
    </row>
    <row r="52131" spans="191:191" x14ac:dyDescent="0.2">
      <c r="GI52131" s="422"/>
    </row>
    <row r="52132" spans="191:191" x14ac:dyDescent="0.2">
      <c r="GI52132" s="422"/>
    </row>
    <row r="52133" spans="191:191" x14ac:dyDescent="0.2">
      <c r="GI52133" s="422"/>
    </row>
    <row r="52134" spans="191:191" x14ac:dyDescent="0.2">
      <c r="GI52134" s="422"/>
    </row>
    <row r="52135" spans="191:191" x14ac:dyDescent="0.2">
      <c r="GI52135" s="422"/>
    </row>
    <row r="52136" spans="191:191" x14ac:dyDescent="0.2">
      <c r="GI52136" s="422"/>
    </row>
    <row r="52137" spans="191:191" x14ac:dyDescent="0.2">
      <c r="GI52137" s="422"/>
    </row>
    <row r="52138" spans="191:191" x14ac:dyDescent="0.2">
      <c r="GI52138" s="422"/>
    </row>
    <row r="52139" spans="191:191" x14ac:dyDescent="0.2">
      <c r="GI52139" s="422"/>
    </row>
    <row r="52140" spans="191:191" x14ac:dyDescent="0.2">
      <c r="GI52140" s="422"/>
    </row>
    <row r="52141" spans="191:191" x14ac:dyDescent="0.2">
      <c r="GI52141" s="422"/>
    </row>
    <row r="52142" spans="191:191" x14ac:dyDescent="0.2">
      <c r="GI52142" s="422"/>
    </row>
    <row r="52143" spans="191:191" x14ac:dyDescent="0.2">
      <c r="GI52143" s="422"/>
    </row>
    <row r="52144" spans="191:191" x14ac:dyDescent="0.2">
      <c r="GI52144" s="422"/>
    </row>
    <row r="52145" spans="191:191" x14ac:dyDescent="0.2">
      <c r="GI52145" s="422"/>
    </row>
    <row r="52146" spans="191:191" x14ac:dyDescent="0.2">
      <c r="GI52146" s="422"/>
    </row>
    <row r="52147" spans="191:191" x14ac:dyDescent="0.2">
      <c r="GI52147" s="422"/>
    </row>
    <row r="52148" spans="191:191" x14ac:dyDescent="0.2">
      <c r="GI52148" s="422"/>
    </row>
    <row r="52149" spans="191:191" x14ac:dyDescent="0.2">
      <c r="GI52149" s="422"/>
    </row>
    <row r="52150" spans="191:191" x14ac:dyDescent="0.2">
      <c r="GI52150" s="422"/>
    </row>
    <row r="52151" spans="191:191" x14ac:dyDescent="0.2">
      <c r="GI52151" s="422"/>
    </row>
    <row r="52152" spans="191:191" x14ac:dyDescent="0.2">
      <c r="GI52152" s="422"/>
    </row>
    <row r="52153" spans="191:191" x14ac:dyDescent="0.2">
      <c r="GI52153" s="422"/>
    </row>
    <row r="52154" spans="191:191" x14ac:dyDescent="0.2">
      <c r="GI52154" s="422"/>
    </row>
    <row r="52155" spans="191:191" x14ac:dyDescent="0.2">
      <c r="GI52155" s="422"/>
    </row>
    <row r="52156" spans="191:191" x14ac:dyDescent="0.2">
      <c r="GI52156" s="422"/>
    </row>
    <row r="52157" spans="191:191" x14ac:dyDescent="0.2">
      <c r="GI52157" s="422"/>
    </row>
    <row r="52158" spans="191:191" x14ac:dyDescent="0.2">
      <c r="GI52158" s="422"/>
    </row>
    <row r="52159" spans="191:191" x14ac:dyDescent="0.2">
      <c r="GI52159" s="422"/>
    </row>
    <row r="52160" spans="191:191" x14ac:dyDescent="0.2">
      <c r="GI52160" s="422"/>
    </row>
    <row r="52161" spans="191:191" x14ac:dyDescent="0.2">
      <c r="GI52161" s="422"/>
    </row>
    <row r="52162" spans="191:191" x14ac:dyDescent="0.2">
      <c r="GI52162" s="422"/>
    </row>
    <row r="52163" spans="191:191" x14ac:dyDescent="0.2">
      <c r="GI52163" s="422"/>
    </row>
    <row r="52164" spans="191:191" x14ac:dyDescent="0.2">
      <c r="GI52164" s="422"/>
    </row>
    <row r="52165" spans="191:191" x14ac:dyDescent="0.2">
      <c r="GI52165" s="422"/>
    </row>
    <row r="52166" spans="191:191" x14ac:dyDescent="0.2">
      <c r="GI52166" s="422"/>
    </row>
    <row r="52167" spans="191:191" x14ac:dyDescent="0.2">
      <c r="GI52167" s="422"/>
    </row>
    <row r="52168" spans="191:191" x14ac:dyDescent="0.2">
      <c r="GI52168" s="422"/>
    </row>
    <row r="52169" spans="191:191" x14ac:dyDescent="0.2">
      <c r="GI52169" s="422"/>
    </row>
    <row r="52170" spans="191:191" x14ac:dyDescent="0.2">
      <c r="GI52170" s="422"/>
    </row>
    <row r="52171" spans="191:191" x14ac:dyDescent="0.2">
      <c r="GI52171" s="422"/>
    </row>
    <row r="52172" spans="191:191" x14ac:dyDescent="0.2">
      <c r="GI52172" s="422"/>
    </row>
    <row r="52173" spans="191:191" x14ac:dyDescent="0.2">
      <c r="GI52173" s="422"/>
    </row>
    <row r="52174" spans="191:191" x14ac:dyDescent="0.2">
      <c r="GI52174" s="422"/>
    </row>
    <row r="52175" spans="191:191" x14ac:dyDescent="0.2">
      <c r="GI52175" s="422"/>
    </row>
    <row r="52176" spans="191:191" x14ac:dyDescent="0.2">
      <c r="GI52176" s="422"/>
    </row>
    <row r="52177" spans="191:191" x14ac:dyDescent="0.2">
      <c r="GI52177" s="422"/>
    </row>
    <row r="52178" spans="191:191" x14ac:dyDescent="0.2">
      <c r="GI52178" s="422"/>
    </row>
    <row r="52179" spans="191:191" x14ac:dyDescent="0.2">
      <c r="GI52179" s="422"/>
    </row>
    <row r="52180" spans="191:191" x14ac:dyDescent="0.2">
      <c r="GI52180" s="422"/>
    </row>
    <row r="52181" spans="191:191" x14ac:dyDescent="0.2">
      <c r="GI52181" s="422"/>
    </row>
    <row r="52182" spans="191:191" x14ac:dyDescent="0.2">
      <c r="GI52182" s="422"/>
    </row>
    <row r="52183" spans="191:191" x14ac:dyDescent="0.2">
      <c r="GI52183" s="422"/>
    </row>
    <row r="52184" spans="191:191" x14ac:dyDescent="0.2">
      <c r="GI52184" s="422"/>
    </row>
    <row r="52185" spans="191:191" x14ac:dyDescent="0.2">
      <c r="GI52185" s="422"/>
    </row>
    <row r="52186" spans="191:191" x14ac:dyDescent="0.2">
      <c r="GI52186" s="422"/>
    </row>
    <row r="52187" spans="191:191" x14ac:dyDescent="0.2">
      <c r="GI52187" s="422"/>
    </row>
    <row r="52188" spans="191:191" x14ac:dyDescent="0.2">
      <c r="GI52188" s="422"/>
    </row>
    <row r="52189" spans="191:191" x14ac:dyDescent="0.2">
      <c r="GI52189" s="422"/>
    </row>
    <row r="52190" spans="191:191" x14ac:dyDescent="0.2">
      <c r="GI52190" s="422"/>
    </row>
    <row r="52191" spans="191:191" x14ac:dyDescent="0.2">
      <c r="GI52191" s="422"/>
    </row>
    <row r="52192" spans="191:191" x14ac:dyDescent="0.2">
      <c r="GI52192" s="422"/>
    </row>
    <row r="52193" spans="191:191" x14ac:dyDescent="0.2">
      <c r="GI52193" s="422"/>
    </row>
    <row r="52194" spans="191:191" x14ac:dyDescent="0.2">
      <c r="GI52194" s="422"/>
    </row>
    <row r="52195" spans="191:191" x14ac:dyDescent="0.2">
      <c r="GI52195" s="422"/>
    </row>
    <row r="52196" spans="191:191" x14ac:dyDescent="0.2">
      <c r="GI52196" s="422"/>
    </row>
    <row r="52197" spans="191:191" x14ac:dyDescent="0.2">
      <c r="GI52197" s="422"/>
    </row>
    <row r="52198" spans="191:191" x14ac:dyDescent="0.2">
      <c r="GI52198" s="422"/>
    </row>
    <row r="52199" spans="191:191" x14ac:dyDescent="0.2">
      <c r="GI52199" s="422"/>
    </row>
    <row r="52200" spans="191:191" x14ac:dyDescent="0.2">
      <c r="GI52200" s="422"/>
    </row>
    <row r="52201" spans="191:191" x14ac:dyDescent="0.2">
      <c r="GI52201" s="422"/>
    </row>
    <row r="52202" spans="191:191" x14ac:dyDescent="0.2">
      <c r="GI52202" s="422"/>
    </row>
    <row r="52203" spans="191:191" x14ac:dyDescent="0.2">
      <c r="GI52203" s="422"/>
    </row>
    <row r="52204" spans="191:191" x14ac:dyDescent="0.2">
      <c r="GI52204" s="422"/>
    </row>
    <row r="52205" spans="191:191" x14ac:dyDescent="0.2">
      <c r="GI52205" s="422"/>
    </row>
    <row r="52206" spans="191:191" x14ac:dyDescent="0.2">
      <c r="GI52206" s="422"/>
    </row>
    <row r="52207" spans="191:191" x14ac:dyDescent="0.2">
      <c r="GI52207" s="422"/>
    </row>
    <row r="52208" spans="191:191" x14ac:dyDescent="0.2">
      <c r="GI52208" s="422"/>
    </row>
    <row r="52209" spans="191:191" x14ac:dyDescent="0.2">
      <c r="GI52209" s="422"/>
    </row>
    <row r="52210" spans="191:191" x14ac:dyDescent="0.2">
      <c r="GI52210" s="422"/>
    </row>
    <row r="52211" spans="191:191" x14ac:dyDescent="0.2">
      <c r="GI52211" s="422"/>
    </row>
    <row r="52212" spans="191:191" x14ac:dyDescent="0.2">
      <c r="GI52212" s="422"/>
    </row>
    <row r="52213" spans="191:191" x14ac:dyDescent="0.2">
      <c r="GI52213" s="422"/>
    </row>
    <row r="52214" spans="191:191" x14ac:dyDescent="0.2">
      <c r="GI52214" s="422"/>
    </row>
    <row r="52215" spans="191:191" x14ac:dyDescent="0.2">
      <c r="GI52215" s="422"/>
    </row>
    <row r="52216" spans="191:191" x14ac:dyDescent="0.2">
      <c r="GI52216" s="422"/>
    </row>
    <row r="52217" spans="191:191" x14ac:dyDescent="0.2">
      <c r="GI52217" s="422"/>
    </row>
    <row r="52218" spans="191:191" x14ac:dyDescent="0.2">
      <c r="GI52218" s="422"/>
    </row>
    <row r="52219" spans="191:191" x14ac:dyDescent="0.2">
      <c r="GI52219" s="422"/>
    </row>
    <row r="52220" spans="191:191" x14ac:dyDescent="0.2">
      <c r="GI52220" s="422"/>
    </row>
    <row r="52221" spans="191:191" x14ac:dyDescent="0.2">
      <c r="GI52221" s="422"/>
    </row>
    <row r="52222" spans="191:191" x14ac:dyDescent="0.2">
      <c r="GI52222" s="422"/>
    </row>
    <row r="52223" spans="191:191" x14ac:dyDescent="0.2">
      <c r="GI52223" s="422"/>
    </row>
    <row r="52224" spans="191:191" x14ac:dyDescent="0.2">
      <c r="GI52224" s="422"/>
    </row>
    <row r="52225" spans="191:191" x14ac:dyDescent="0.2">
      <c r="GI52225" s="422"/>
    </row>
    <row r="52226" spans="191:191" x14ac:dyDescent="0.2">
      <c r="GI52226" s="422"/>
    </row>
    <row r="52227" spans="191:191" x14ac:dyDescent="0.2">
      <c r="GI52227" s="422"/>
    </row>
    <row r="52228" spans="191:191" x14ac:dyDescent="0.2">
      <c r="GI52228" s="422"/>
    </row>
    <row r="52229" spans="191:191" x14ac:dyDescent="0.2">
      <c r="GI52229" s="422"/>
    </row>
    <row r="52230" spans="191:191" x14ac:dyDescent="0.2">
      <c r="GI52230" s="422"/>
    </row>
    <row r="52231" spans="191:191" x14ac:dyDescent="0.2">
      <c r="GI52231" s="422"/>
    </row>
    <row r="52232" spans="191:191" x14ac:dyDescent="0.2">
      <c r="GI52232" s="422"/>
    </row>
    <row r="52233" spans="191:191" x14ac:dyDescent="0.2">
      <c r="GI52233" s="422"/>
    </row>
    <row r="52234" spans="191:191" x14ac:dyDescent="0.2">
      <c r="GI52234" s="422"/>
    </row>
    <row r="52235" spans="191:191" x14ac:dyDescent="0.2">
      <c r="GI52235" s="422"/>
    </row>
    <row r="52236" spans="191:191" x14ac:dyDescent="0.2">
      <c r="GI52236" s="422"/>
    </row>
    <row r="52237" spans="191:191" x14ac:dyDescent="0.2">
      <c r="GI52237" s="422"/>
    </row>
    <row r="52238" spans="191:191" x14ac:dyDescent="0.2">
      <c r="GI52238" s="422"/>
    </row>
    <row r="52239" spans="191:191" x14ac:dyDescent="0.2">
      <c r="GI52239" s="422"/>
    </row>
    <row r="52240" spans="191:191" x14ac:dyDescent="0.2">
      <c r="GI52240" s="422"/>
    </row>
    <row r="52241" spans="191:191" x14ac:dyDescent="0.2">
      <c r="GI52241" s="422"/>
    </row>
    <row r="52242" spans="191:191" x14ac:dyDescent="0.2">
      <c r="GI52242" s="422"/>
    </row>
    <row r="52243" spans="191:191" x14ac:dyDescent="0.2">
      <c r="GI52243" s="422"/>
    </row>
    <row r="52244" spans="191:191" x14ac:dyDescent="0.2">
      <c r="GI52244" s="422"/>
    </row>
    <row r="52245" spans="191:191" x14ac:dyDescent="0.2">
      <c r="GI52245" s="422"/>
    </row>
    <row r="52246" spans="191:191" x14ac:dyDescent="0.2">
      <c r="GI52246" s="422"/>
    </row>
    <row r="52247" spans="191:191" x14ac:dyDescent="0.2">
      <c r="GI52247" s="422"/>
    </row>
    <row r="52248" spans="191:191" x14ac:dyDescent="0.2">
      <c r="GI52248" s="422"/>
    </row>
    <row r="52249" spans="191:191" x14ac:dyDescent="0.2">
      <c r="GI52249" s="422"/>
    </row>
    <row r="52250" spans="191:191" x14ac:dyDescent="0.2">
      <c r="GI52250" s="422"/>
    </row>
    <row r="52251" spans="191:191" x14ac:dyDescent="0.2">
      <c r="GI52251" s="422"/>
    </row>
    <row r="52252" spans="191:191" x14ac:dyDescent="0.2">
      <c r="GI52252" s="422"/>
    </row>
    <row r="52253" spans="191:191" x14ac:dyDescent="0.2">
      <c r="GI52253" s="422"/>
    </row>
    <row r="52254" spans="191:191" x14ac:dyDescent="0.2">
      <c r="GI52254" s="422"/>
    </row>
    <row r="52255" spans="191:191" x14ac:dyDescent="0.2">
      <c r="GI52255" s="422"/>
    </row>
    <row r="52256" spans="191:191" x14ac:dyDescent="0.2">
      <c r="GI52256" s="422"/>
    </row>
    <row r="52257" spans="191:191" x14ac:dyDescent="0.2">
      <c r="GI52257" s="422"/>
    </row>
    <row r="52258" spans="191:191" x14ac:dyDescent="0.2">
      <c r="GI52258" s="422"/>
    </row>
    <row r="52259" spans="191:191" x14ac:dyDescent="0.2">
      <c r="GI52259" s="422"/>
    </row>
    <row r="52260" spans="191:191" x14ac:dyDescent="0.2">
      <c r="GI52260" s="422"/>
    </row>
    <row r="52261" spans="191:191" x14ac:dyDescent="0.2">
      <c r="GI52261" s="422"/>
    </row>
    <row r="52262" spans="191:191" x14ac:dyDescent="0.2">
      <c r="GI52262" s="422"/>
    </row>
    <row r="52263" spans="191:191" x14ac:dyDescent="0.2">
      <c r="GI52263" s="422"/>
    </row>
    <row r="52264" spans="191:191" x14ac:dyDescent="0.2">
      <c r="GI52264" s="422"/>
    </row>
    <row r="52265" spans="191:191" x14ac:dyDescent="0.2">
      <c r="GI52265" s="422"/>
    </row>
    <row r="52266" spans="191:191" x14ac:dyDescent="0.2">
      <c r="GI52266" s="422"/>
    </row>
    <row r="52267" spans="191:191" x14ac:dyDescent="0.2">
      <c r="GI52267" s="422"/>
    </row>
    <row r="52268" spans="191:191" x14ac:dyDescent="0.2">
      <c r="GI52268" s="422"/>
    </row>
    <row r="52269" spans="191:191" x14ac:dyDescent="0.2">
      <c r="GI52269" s="422"/>
    </row>
    <row r="52270" spans="191:191" x14ac:dyDescent="0.2">
      <c r="GI52270" s="422"/>
    </row>
    <row r="52271" spans="191:191" x14ac:dyDescent="0.2">
      <c r="GI52271" s="422"/>
    </row>
    <row r="52272" spans="191:191" x14ac:dyDescent="0.2">
      <c r="GI52272" s="422"/>
    </row>
    <row r="52273" spans="191:191" x14ac:dyDescent="0.2">
      <c r="GI52273" s="422"/>
    </row>
    <row r="52274" spans="191:191" x14ac:dyDescent="0.2">
      <c r="GI52274" s="422"/>
    </row>
    <row r="52275" spans="191:191" x14ac:dyDescent="0.2">
      <c r="GI52275" s="422"/>
    </row>
    <row r="52276" spans="191:191" x14ac:dyDescent="0.2">
      <c r="GI52276" s="422"/>
    </row>
    <row r="52277" spans="191:191" x14ac:dyDescent="0.2">
      <c r="GI52277" s="422"/>
    </row>
    <row r="52278" spans="191:191" x14ac:dyDescent="0.2">
      <c r="GI52278" s="422"/>
    </row>
    <row r="52279" spans="191:191" x14ac:dyDescent="0.2">
      <c r="GI52279" s="422"/>
    </row>
    <row r="52280" spans="191:191" x14ac:dyDescent="0.2">
      <c r="GI52280" s="422"/>
    </row>
    <row r="52281" spans="191:191" x14ac:dyDescent="0.2">
      <c r="GI52281" s="422"/>
    </row>
    <row r="52282" spans="191:191" x14ac:dyDescent="0.2">
      <c r="GI52282" s="422"/>
    </row>
    <row r="52283" spans="191:191" x14ac:dyDescent="0.2">
      <c r="GI52283" s="422"/>
    </row>
    <row r="52284" spans="191:191" x14ac:dyDescent="0.2">
      <c r="GI52284" s="422"/>
    </row>
    <row r="52285" spans="191:191" x14ac:dyDescent="0.2">
      <c r="GI52285" s="422"/>
    </row>
    <row r="52286" spans="191:191" x14ac:dyDescent="0.2">
      <c r="GI52286" s="422"/>
    </row>
    <row r="52287" spans="191:191" x14ac:dyDescent="0.2">
      <c r="GI52287" s="422"/>
    </row>
    <row r="52288" spans="191:191" x14ac:dyDescent="0.2">
      <c r="GI52288" s="422"/>
    </row>
    <row r="52289" spans="191:191" x14ac:dyDescent="0.2">
      <c r="GI52289" s="422"/>
    </row>
    <row r="52290" spans="191:191" x14ac:dyDescent="0.2">
      <c r="GI52290" s="422"/>
    </row>
    <row r="52291" spans="191:191" x14ac:dyDescent="0.2">
      <c r="GI52291" s="422"/>
    </row>
    <row r="52292" spans="191:191" x14ac:dyDescent="0.2">
      <c r="GI52292" s="422"/>
    </row>
    <row r="52293" spans="191:191" x14ac:dyDescent="0.2">
      <c r="GI52293" s="422"/>
    </row>
    <row r="52294" spans="191:191" x14ac:dyDescent="0.2">
      <c r="GI52294" s="422"/>
    </row>
    <row r="52295" spans="191:191" x14ac:dyDescent="0.2">
      <c r="GI52295" s="422"/>
    </row>
    <row r="52296" spans="191:191" x14ac:dyDescent="0.2">
      <c r="GI52296" s="422"/>
    </row>
    <row r="52297" spans="191:191" x14ac:dyDescent="0.2">
      <c r="GI52297" s="422"/>
    </row>
    <row r="52298" spans="191:191" x14ac:dyDescent="0.2">
      <c r="GI52298" s="422"/>
    </row>
    <row r="52299" spans="191:191" x14ac:dyDescent="0.2">
      <c r="GI52299" s="422"/>
    </row>
    <row r="52300" spans="191:191" x14ac:dyDescent="0.2">
      <c r="GI52300" s="422"/>
    </row>
    <row r="52301" spans="191:191" x14ac:dyDescent="0.2">
      <c r="GI52301" s="422"/>
    </row>
    <row r="52302" spans="191:191" x14ac:dyDescent="0.2">
      <c r="GI52302" s="422"/>
    </row>
    <row r="52303" spans="191:191" x14ac:dyDescent="0.2">
      <c r="GI52303" s="422"/>
    </row>
    <row r="52304" spans="191:191" x14ac:dyDescent="0.2">
      <c r="GI52304" s="422"/>
    </row>
    <row r="52305" spans="191:191" x14ac:dyDescent="0.2">
      <c r="GI52305" s="422"/>
    </row>
    <row r="52306" spans="191:191" x14ac:dyDescent="0.2">
      <c r="GI52306" s="422"/>
    </row>
    <row r="52307" spans="191:191" x14ac:dyDescent="0.2">
      <c r="GI52307" s="422"/>
    </row>
    <row r="52308" spans="191:191" x14ac:dyDescent="0.2">
      <c r="GI52308" s="422"/>
    </row>
    <row r="52309" spans="191:191" x14ac:dyDescent="0.2">
      <c r="GI52309" s="422"/>
    </row>
    <row r="52310" spans="191:191" x14ac:dyDescent="0.2">
      <c r="GI52310" s="422"/>
    </row>
    <row r="52311" spans="191:191" x14ac:dyDescent="0.2">
      <c r="GI52311" s="422"/>
    </row>
    <row r="52312" spans="191:191" x14ac:dyDescent="0.2">
      <c r="GI52312" s="422"/>
    </row>
    <row r="52313" spans="191:191" x14ac:dyDescent="0.2">
      <c r="GI52313" s="422"/>
    </row>
    <row r="52314" spans="191:191" x14ac:dyDescent="0.2">
      <c r="GI52314" s="422"/>
    </row>
    <row r="52315" spans="191:191" x14ac:dyDescent="0.2">
      <c r="GI52315" s="422"/>
    </row>
    <row r="52316" spans="191:191" x14ac:dyDescent="0.2">
      <c r="GI52316" s="422"/>
    </row>
    <row r="52317" spans="191:191" x14ac:dyDescent="0.2">
      <c r="GI52317" s="422"/>
    </row>
    <row r="52318" spans="191:191" x14ac:dyDescent="0.2">
      <c r="GI52318" s="422"/>
    </row>
    <row r="52319" spans="191:191" x14ac:dyDescent="0.2">
      <c r="GI52319" s="422"/>
    </row>
    <row r="52320" spans="191:191" x14ac:dyDescent="0.2">
      <c r="GI52320" s="422"/>
    </row>
    <row r="52321" spans="191:191" x14ac:dyDescent="0.2">
      <c r="GI52321" s="422"/>
    </row>
    <row r="52322" spans="191:191" x14ac:dyDescent="0.2">
      <c r="GI52322" s="422"/>
    </row>
    <row r="52323" spans="191:191" x14ac:dyDescent="0.2">
      <c r="GI52323" s="422"/>
    </row>
    <row r="52324" spans="191:191" x14ac:dyDescent="0.2">
      <c r="GI52324" s="422"/>
    </row>
    <row r="52325" spans="191:191" x14ac:dyDescent="0.2">
      <c r="GI52325" s="422"/>
    </row>
    <row r="52326" spans="191:191" x14ac:dyDescent="0.2">
      <c r="GI52326" s="422"/>
    </row>
    <row r="52327" spans="191:191" x14ac:dyDescent="0.2">
      <c r="GI52327" s="422"/>
    </row>
    <row r="52328" spans="191:191" x14ac:dyDescent="0.2">
      <c r="GI52328" s="422"/>
    </row>
    <row r="52329" spans="191:191" x14ac:dyDescent="0.2">
      <c r="GI52329" s="422"/>
    </row>
    <row r="52330" spans="191:191" x14ac:dyDescent="0.2">
      <c r="GI52330" s="422"/>
    </row>
    <row r="52331" spans="191:191" x14ac:dyDescent="0.2">
      <c r="GI52331" s="422"/>
    </row>
    <row r="52332" spans="191:191" x14ac:dyDescent="0.2">
      <c r="GI52332" s="422"/>
    </row>
    <row r="52333" spans="191:191" x14ac:dyDescent="0.2">
      <c r="GI52333" s="422"/>
    </row>
    <row r="52334" spans="191:191" x14ac:dyDescent="0.2">
      <c r="GI52334" s="422"/>
    </row>
    <row r="52335" spans="191:191" x14ac:dyDescent="0.2">
      <c r="GI52335" s="422"/>
    </row>
    <row r="52336" spans="191:191" x14ac:dyDescent="0.2">
      <c r="GI52336" s="422"/>
    </row>
    <row r="52337" spans="191:191" x14ac:dyDescent="0.2">
      <c r="GI52337" s="422"/>
    </row>
    <row r="52338" spans="191:191" x14ac:dyDescent="0.2">
      <c r="GI52338" s="422"/>
    </row>
    <row r="52339" spans="191:191" x14ac:dyDescent="0.2">
      <c r="GI52339" s="422"/>
    </row>
    <row r="52340" spans="191:191" x14ac:dyDescent="0.2">
      <c r="GI52340" s="422"/>
    </row>
    <row r="52341" spans="191:191" x14ac:dyDescent="0.2">
      <c r="GI52341" s="422"/>
    </row>
    <row r="52342" spans="191:191" x14ac:dyDescent="0.2">
      <c r="GI52342" s="422"/>
    </row>
    <row r="52343" spans="191:191" x14ac:dyDescent="0.2">
      <c r="GI52343" s="422"/>
    </row>
    <row r="52344" spans="191:191" x14ac:dyDescent="0.2">
      <c r="GI52344" s="422"/>
    </row>
    <row r="52345" spans="191:191" x14ac:dyDescent="0.2">
      <c r="GI52345" s="422"/>
    </row>
    <row r="52346" spans="191:191" x14ac:dyDescent="0.2">
      <c r="GI52346" s="422"/>
    </row>
    <row r="52347" spans="191:191" x14ac:dyDescent="0.2">
      <c r="GI52347" s="422"/>
    </row>
    <row r="52348" spans="191:191" x14ac:dyDescent="0.2">
      <c r="GI52348" s="422"/>
    </row>
    <row r="52349" spans="191:191" x14ac:dyDescent="0.2">
      <c r="GI52349" s="422"/>
    </row>
    <row r="52350" spans="191:191" x14ac:dyDescent="0.2">
      <c r="GI52350" s="422"/>
    </row>
    <row r="52351" spans="191:191" x14ac:dyDescent="0.2">
      <c r="GI52351" s="422"/>
    </row>
    <row r="52352" spans="191:191" x14ac:dyDescent="0.2">
      <c r="GI52352" s="422"/>
    </row>
    <row r="52353" spans="191:191" x14ac:dyDescent="0.2">
      <c r="GI52353" s="422"/>
    </row>
    <row r="52354" spans="191:191" x14ac:dyDescent="0.2">
      <c r="GI52354" s="422"/>
    </row>
    <row r="52355" spans="191:191" x14ac:dyDescent="0.2">
      <c r="GI52355" s="422"/>
    </row>
    <row r="52356" spans="191:191" x14ac:dyDescent="0.2">
      <c r="GI52356" s="422"/>
    </row>
    <row r="52357" spans="191:191" x14ac:dyDescent="0.2">
      <c r="GI52357" s="422"/>
    </row>
    <row r="52358" spans="191:191" x14ac:dyDescent="0.2">
      <c r="GI52358" s="422"/>
    </row>
    <row r="52359" spans="191:191" x14ac:dyDescent="0.2">
      <c r="GI52359" s="422"/>
    </row>
    <row r="52360" spans="191:191" x14ac:dyDescent="0.2">
      <c r="GI52360" s="422"/>
    </row>
    <row r="52361" spans="191:191" x14ac:dyDescent="0.2">
      <c r="GI52361" s="422"/>
    </row>
    <row r="52362" spans="191:191" x14ac:dyDescent="0.2">
      <c r="GI52362" s="422"/>
    </row>
    <row r="52363" spans="191:191" x14ac:dyDescent="0.2">
      <c r="GI52363" s="422"/>
    </row>
    <row r="52364" spans="191:191" x14ac:dyDescent="0.2">
      <c r="GI52364" s="422"/>
    </row>
    <row r="52365" spans="191:191" x14ac:dyDescent="0.2">
      <c r="GI52365" s="422"/>
    </row>
    <row r="52366" spans="191:191" x14ac:dyDescent="0.2">
      <c r="GI52366" s="422"/>
    </row>
    <row r="52367" spans="191:191" x14ac:dyDescent="0.2">
      <c r="GI52367" s="422"/>
    </row>
    <row r="52368" spans="191:191" x14ac:dyDescent="0.2">
      <c r="GI52368" s="422"/>
    </row>
    <row r="52369" spans="191:191" x14ac:dyDescent="0.2">
      <c r="GI52369" s="422"/>
    </row>
    <row r="52370" spans="191:191" x14ac:dyDescent="0.2">
      <c r="GI52370" s="422"/>
    </row>
    <row r="52371" spans="191:191" x14ac:dyDescent="0.2">
      <c r="GI52371" s="422"/>
    </row>
    <row r="52372" spans="191:191" x14ac:dyDescent="0.2">
      <c r="GI52372" s="422"/>
    </row>
    <row r="52373" spans="191:191" x14ac:dyDescent="0.2">
      <c r="GI52373" s="422"/>
    </row>
    <row r="52374" spans="191:191" x14ac:dyDescent="0.2">
      <c r="GI52374" s="422"/>
    </row>
    <row r="52375" spans="191:191" x14ac:dyDescent="0.2">
      <c r="GI52375" s="422"/>
    </row>
    <row r="52376" spans="191:191" x14ac:dyDescent="0.2">
      <c r="GI52376" s="422"/>
    </row>
    <row r="52377" spans="191:191" x14ac:dyDescent="0.2">
      <c r="GI52377" s="422"/>
    </row>
    <row r="52378" spans="191:191" x14ac:dyDescent="0.2">
      <c r="GI52378" s="422"/>
    </row>
    <row r="52379" spans="191:191" x14ac:dyDescent="0.2">
      <c r="GI52379" s="422"/>
    </row>
    <row r="52380" spans="191:191" x14ac:dyDescent="0.2">
      <c r="GI52380" s="422"/>
    </row>
    <row r="52381" spans="191:191" x14ac:dyDescent="0.2">
      <c r="GI52381" s="422"/>
    </row>
    <row r="52382" spans="191:191" x14ac:dyDescent="0.2">
      <c r="GI52382" s="422"/>
    </row>
    <row r="52383" spans="191:191" x14ac:dyDescent="0.2">
      <c r="GI52383" s="422"/>
    </row>
    <row r="52384" spans="191:191" x14ac:dyDescent="0.2">
      <c r="GI52384" s="422"/>
    </row>
    <row r="52385" spans="191:191" x14ac:dyDescent="0.2">
      <c r="GI52385" s="422"/>
    </row>
    <row r="52386" spans="191:191" x14ac:dyDescent="0.2">
      <c r="GI52386" s="422"/>
    </row>
    <row r="52387" spans="191:191" x14ac:dyDescent="0.2">
      <c r="GI52387" s="422"/>
    </row>
    <row r="52388" spans="191:191" x14ac:dyDescent="0.2">
      <c r="GI52388" s="422"/>
    </row>
    <row r="52389" spans="191:191" x14ac:dyDescent="0.2">
      <c r="GI52389" s="422"/>
    </row>
    <row r="52390" spans="191:191" x14ac:dyDescent="0.2">
      <c r="GI52390" s="422"/>
    </row>
    <row r="52391" spans="191:191" x14ac:dyDescent="0.2">
      <c r="GI52391" s="422"/>
    </row>
    <row r="52392" spans="191:191" x14ac:dyDescent="0.2">
      <c r="GI52392" s="422"/>
    </row>
    <row r="52393" spans="191:191" x14ac:dyDescent="0.2">
      <c r="GI52393" s="422"/>
    </row>
    <row r="52394" spans="191:191" x14ac:dyDescent="0.2">
      <c r="GI52394" s="422"/>
    </row>
    <row r="52395" spans="191:191" x14ac:dyDescent="0.2">
      <c r="GI52395" s="422"/>
    </row>
    <row r="52396" spans="191:191" x14ac:dyDescent="0.2">
      <c r="GI52396" s="422"/>
    </row>
    <row r="52397" spans="191:191" x14ac:dyDescent="0.2">
      <c r="GI52397" s="422"/>
    </row>
    <row r="52398" spans="191:191" x14ac:dyDescent="0.2">
      <c r="GI52398" s="422"/>
    </row>
    <row r="52399" spans="191:191" x14ac:dyDescent="0.2">
      <c r="GI52399" s="422"/>
    </row>
    <row r="52400" spans="191:191" x14ac:dyDescent="0.2">
      <c r="GI52400" s="422"/>
    </row>
    <row r="52401" spans="191:191" x14ac:dyDescent="0.2">
      <c r="GI52401" s="422"/>
    </row>
    <row r="52402" spans="191:191" x14ac:dyDescent="0.2">
      <c r="GI52402" s="422"/>
    </row>
    <row r="52403" spans="191:191" x14ac:dyDescent="0.2">
      <c r="GI52403" s="422"/>
    </row>
    <row r="52404" spans="191:191" x14ac:dyDescent="0.2">
      <c r="GI52404" s="422"/>
    </row>
    <row r="52405" spans="191:191" x14ac:dyDescent="0.2">
      <c r="GI52405" s="422"/>
    </row>
    <row r="52406" spans="191:191" x14ac:dyDescent="0.2">
      <c r="GI52406" s="422"/>
    </row>
    <row r="52407" spans="191:191" x14ac:dyDescent="0.2">
      <c r="GI52407" s="422"/>
    </row>
    <row r="52408" spans="191:191" x14ac:dyDescent="0.2">
      <c r="GI52408" s="422"/>
    </row>
    <row r="52409" spans="191:191" x14ac:dyDescent="0.2">
      <c r="GI52409" s="422"/>
    </row>
    <row r="52410" spans="191:191" x14ac:dyDescent="0.2">
      <c r="GI52410" s="422"/>
    </row>
    <row r="52411" spans="191:191" x14ac:dyDescent="0.2">
      <c r="GI52411" s="422"/>
    </row>
    <row r="52412" spans="191:191" x14ac:dyDescent="0.2">
      <c r="GI52412" s="422"/>
    </row>
    <row r="52413" spans="191:191" x14ac:dyDescent="0.2">
      <c r="GI52413" s="422"/>
    </row>
    <row r="52414" spans="191:191" x14ac:dyDescent="0.2">
      <c r="GI52414" s="422"/>
    </row>
    <row r="52415" spans="191:191" x14ac:dyDescent="0.2">
      <c r="GI52415" s="422"/>
    </row>
    <row r="52416" spans="191:191" x14ac:dyDescent="0.2">
      <c r="GI52416" s="422"/>
    </row>
    <row r="52417" spans="191:191" x14ac:dyDescent="0.2">
      <c r="GI52417" s="422"/>
    </row>
    <row r="52418" spans="191:191" x14ac:dyDescent="0.2">
      <c r="GI52418" s="422"/>
    </row>
    <row r="52419" spans="191:191" x14ac:dyDescent="0.2">
      <c r="GI52419" s="422"/>
    </row>
    <row r="52420" spans="191:191" x14ac:dyDescent="0.2">
      <c r="GI52420" s="422"/>
    </row>
    <row r="52421" spans="191:191" x14ac:dyDescent="0.2">
      <c r="GI52421" s="422"/>
    </row>
    <row r="52422" spans="191:191" x14ac:dyDescent="0.2">
      <c r="GI52422" s="422"/>
    </row>
    <row r="52423" spans="191:191" x14ac:dyDescent="0.2">
      <c r="GI52423" s="422"/>
    </row>
    <row r="52424" spans="191:191" x14ac:dyDescent="0.2">
      <c r="GI52424" s="422"/>
    </row>
    <row r="52425" spans="191:191" x14ac:dyDescent="0.2">
      <c r="GI52425" s="422"/>
    </row>
    <row r="52426" spans="191:191" x14ac:dyDescent="0.2">
      <c r="GI52426" s="422"/>
    </row>
    <row r="52427" spans="191:191" x14ac:dyDescent="0.2">
      <c r="GI52427" s="422"/>
    </row>
    <row r="52428" spans="191:191" x14ac:dyDescent="0.2">
      <c r="GI52428" s="422"/>
    </row>
    <row r="52429" spans="191:191" x14ac:dyDescent="0.2">
      <c r="GI52429" s="422"/>
    </row>
    <row r="52430" spans="191:191" x14ac:dyDescent="0.2">
      <c r="GI52430" s="422"/>
    </row>
    <row r="52431" spans="191:191" x14ac:dyDescent="0.2">
      <c r="GI52431" s="422"/>
    </row>
    <row r="52432" spans="191:191" x14ac:dyDescent="0.2">
      <c r="GI52432" s="422"/>
    </row>
    <row r="52433" spans="191:191" x14ac:dyDescent="0.2">
      <c r="GI52433" s="422"/>
    </row>
    <row r="52434" spans="191:191" x14ac:dyDescent="0.2">
      <c r="GI52434" s="422"/>
    </row>
    <row r="52435" spans="191:191" x14ac:dyDescent="0.2">
      <c r="GI52435" s="422"/>
    </row>
    <row r="52436" spans="191:191" x14ac:dyDescent="0.2">
      <c r="GI52436" s="422"/>
    </row>
    <row r="52437" spans="191:191" x14ac:dyDescent="0.2">
      <c r="GI52437" s="422"/>
    </row>
    <row r="52438" spans="191:191" x14ac:dyDescent="0.2">
      <c r="GI52438" s="422"/>
    </row>
    <row r="52439" spans="191:191" x14ac:dyDescent="0.2">
      <c r="GI52439" s="422"/>
    </row>
    <row r="52440" spans="191:191" x14ac:dyDescent="0.2">
      <c r="GI52440" s="422"/>
    </row>
    <row r="52441" spans="191:191" x14ac:dyDescent="0.2">
      <c r="GI52441" s="422"/>
    </row>
    <row r="52442" spans="191:191" x14ac:dyDescent="0.2">
      <c r="GI52442" s="422"/>
    </row>
    <row r="52443" spans="191:191" x14ac:dyDescent="0.2">
      <c r="GI52443" s="422"/>
    </row>
    <row r="52444" spans="191:191" x14ac:dyDescent="0.2">
      <c r="GI52444" s="422"/>
    </row>
    <row r="52445" spans="191:191" x14ac:dyDescent="0.2">
      <c r="GI52445" s="422"/>
    </row>
    <row r="52446" spans="191:191" x14ac:dyDescent="0.2">
      <c r="GI52446" s="422"/>
    </row>
    <row r="52447" spans="191:191" x14ac:dyDescent="0.2">
      <c r="GI52447" s="422"/>
    </row>
    <row r="52448" spans="191:191" x14ac:dyDescent="0.2">
      <c r="GI52448" s="422"/>
    </row>
    <row r="52449" spans="191:191" x14ac:dyDescent="0.2">
      <c r="GI52449" s="422"/>
    </row>
    <row r="52450" spans="191:191" x14ac:dyDescent="0.2">
      <c r="GI52450" s="422"/>
    </row>
    <row r="52451" spans="191:191" x14ac:dyDescent="0.2">
      <c r="GI52451" s="422"/>
    </row>
    <row r="52452" spans="191:191" x14ac:dyDescent="0.2">
      <c r="GI52452" s="422"/>
    </row>
    <row r="52453" spans="191:191" x14ac:dyDescent="0.2">
      <c r="GI52453" s="422"/>
    </row>
    <row r="52454" spans="191:191" x14ac:dyDescent="0.2">
      <c r="GI52454" s="422"/>
    </row>
    <row r="52455" spans="191:191" x14ac:dyDescent="0.2">
      <c r="GI52455" s="422"/>
    </row>
    <row r="52456" spans="191:191" x14ac:dyDescent="0.2">
      <c r="GI52456" s="422"/>
    </row>
    <row r="52457" spans="191:191" x14ac:dyDescent="0.2">
      <c r="GI52457" s="422"/>
    </row>
    <row r="52458" spans="191:191" x14ac:dyDescent="0.2">
      <c r="GI52458" s="422"/>
    </row>
    <row r="52459" spans="191:191" x14ac:dyDescent="0.2">
      <c r="GI52459" s="422"/>
    </row>
    <row r="52460" spans="191:191" x14ac:dyDescent="0.2">
      <c r="GI52460" s="422"/>
    </row>
    <row r="52461" spans="191:191" x14ac:dyDescent="0.2">
      <c r="GI52461" s="422"/>
    </row>
    <row r="52462" spans="191:191" x14ac:dyDescent="0.2">
      <c r="GI52462" s="422"/>
    </row>
    <row r="52463" spans="191:191" x14ac:dyDescent="0.2">
      <c r="GI52463" s="422"/>
    </row>
    <row r="52464" spans="191:191" x14ac:dyDescent="0.2">
      <c r="GI52464" s="422"/>
    </row>
    <row r="52465" spans="191:191" x14ac:dyDescent="0.2">
      <c r="GI52465" s="422"/>
    </row>
    <row r="52466" spans="191:191" x14ac:dyDescent="0.2">
      <c r="GI52466" s="422"/>
    </row>
    <row r="52467" spans="191:191" x14ac:dyDescent="0.2">
      <c r="GI52467" s="422"/>
    </row>
    <row r="52468" spans="191:191" x14ac:dyDescent="0.2">
      <c r="GI52468" s="422"/>
    </row>
    <row r="52469" spans="191:191" x14ac:dyDescent="0.2">
      <c r="GI52469" s="422"/>
    </row>
    <row r="52470" spans="191:191" x14ac:dyDescent="0.2">
      <c r="GI52470" s="422"/>
    </row>
    <row r="52471" spans="191:191" x14ac:dyDescent="0.2">
      <c r="GI52471" s="422"/>
    </row>
    <row r="52472" spans="191:191" x14ac:dyDescent="0.2">
      <c r="GI52472" s="422"/>
    </row>
    <row r="52473" spans="191:191" x14ac:dyDescent="0.2">
      <c r="GI52473" s="422"/>
    </row>
    <row r="52474" spans="191:191" x14ac:dyDescent="0.2">
      <c r="GI52474" s="422"/>
    </row>
    <row r="52475" spans="191:191" x14ac:dyDescent="0.2">
      <c r="GI52475" s="422"/>
    </row>
    <row r="52476" spans="191:191" x14ac:dyDescent="0.2">
      <c r="GI52476" s="422"/>
    </row>
    <row r="52477" spans="191:191" x14ac:dyDescent="0.2">
      <c r="GI52477" s="422"/>
    </row>
    <row r="52478" spans="191:191" x14ac:dyDescent="0.2">
      <c r="GI52478" s="422"/>
    </row>
    <row r="52479" spans="191:191" x14ac:dyDescent="0.2">
      <c r="GI52479" s="422"/>
    </row>
    <row r="52480" spans="191:191" x14ac:dyDescent="0.2">
      <c r="GI52480" s="422"/>
    </row>
    <row r="52481" spans="191:191" x14ac:dyDescent="0.2">
      <c r="GI52481" s="422"/>
    </row>
    <row r="52482" spans="191:191" x14ac:dyDescent="0.2">
      <c r="GI52482" s="422"/>
    </row>
    <row r="52483" spans="191:191" x14ac:dyDescent="0.2">
      <c r="GI52483" s="422"/>
    </row>
    <row r="52484" spans="191:191" x14ac:dyDescent="0.2">
      <c r="GI52484" s="422"/>
    </row>
    <row r="52485" spans="191:191" x14ac:dyDescent="0.2">
      <c r="GI52485" s="422"/>
    </row>
    <row r="52486" spans="191:191" x14ac:dyDescent="0.2">
      <c r="GI52486" s="422"/>
    </row>
    <row r="52487" spans="191:191" x14ac:dyDescent="0.2">
      <c r="GI52487" s="422"/>
    </row>
    <row r="52488" spans="191:191" x14ac:dyDescent="0.2">
      <c r="GI52488" s="422"/>
    </row>
    <row r="52489" spans="191:191" x14ac:dyDescent="0.2">
      <c r="GI52489" s="422"/>
    </row>
    <row r="52490" spans="191:191" x14ac:dyDescent="0.2">
      <c r="GI52490" s="422"/>
    </row>
    <row r="52491" spans="191:191" x14ac:dyDescent="0.2">
      <c r="GI52491" s="422"/>
    </row>
    <row r="52492" spans="191:191" x14ac:dyDescent="0.2">
      <c r="GI52492" s="422"/>
    </row>
    <row r="52493" spans="191:191" x14ac:dyDescent="0.2">
      <c r="GI52493" s="422"/>
    </row>
    <row r="52494" spans="191:191" x14ac:dyDescent="0.2">
      <c r="GI52494" s="422"/>
    </row>
    <row r="52495" spans="191:191" x14ac:dyDescent="0.2">
      <c r="GI52495" s="422"/>
    </row>
    <row r="52496" spans="191:191" x14ac:dyDescent="0.2">
      <c r="GI52496" s="422"/>
    </row>
    <row r="52497" spans="191:191" x14ac:dyDescent="0.2">
      <c r="GI52497" s="422"/>
    </row>
    <row r="52498" spans="191:191" x14ac:dyDescent="0.2">
      <c r="GI52498" s="422"/>
    </row>
    <row r="52499" spans="191:191" x14ac:dyDescent="0.2">
      <c r="GI52499" s="422"/>
    </row>
    <row r="52500" spans="191:191" x14ac:dyDescent="0.2">
      <c r="GI52500" s="422"/>
    </row>
    <row r="52501" spans="191:191" x14ac:dyDescent="0.2">
      <c r="GI52501" s="422"/>
    </row>
    <row r="52502" spans="191:191" x14ac:dyDescent="0.2">
      <c r="GI52502" s="422"/>
    </row>
    <row r="52503" spans="191:191" x14ac:dyDescent="0.2">
      <c r="GI52503" s="422"/>
    </row>
    <row r="52504" spans="191:191" x14ac:dyDescent="0.2">
      <c r="GI52504" s="422"/>
    </row>
    <row r="52505" spans="191:191" x14ac:dyDescent="0.2">
      <c r="GI52505" s="422"/>
    </row>
    <row r="52506" spans="191:191" x14ac:dyDescent="0.2">
      <c r="GI52506" s="422"/>
    </row>
    <row r="52507" spans="191:191" x14ac:dyDescent="0.2">
      <c r="GI52507" s="422"/>
    </row>
    <row r="52508" spans="191:191" x14ac:dyDescent="0.2">
      <c r="GI52508" s="422"/>
    </row>
    <row r="52509" spans="191:191" x14ac:dyDescent="0.2">
      <c r="GI52509" s="422"/>
    </row>
    <row r="52510" spans="191:191" x14ac:dyDescent="0.2">
      <c r="GI52510" s="422"/>
    </row>
    <row r="52511" spans="191:191" x14ac:dyDescent="0.2">
      <c r="GI52511" s="422"/>
    </row>
    <row r="52512" spans="191:191" x14ac:dyDescent="0.2">
      <c r="GI52512" s="422"/>
    </row>
    <row r="52513" spans="191:191" x14ac:dyDescent="0.2">
      <c r="GI52513" s="422"/>
    </row>
    <row r="52514" spans="191:191" x14ac:dyDescent="0.2">
      <c r="GI52514" s="422"/>
    </row>
    <row r="52515" spans="191:191" x14ac:dyDescent="0.2">
      <c r="GI52515" s="422"/>
    </row>
    <row r="52516" spans="191:191" x14ac:dyDescent="0.2">
      <c r="GI52516" s="422"/>
    </row>
    <row r="52517" spans="191:191" x14ac:dyDescent="0.2">
      <c r="GI52517" s="422"/>
    </row>
    <row r="52518" spans="191:191" x14ac:dyDescent="0.2">
      <c r="GI52518" s="422"/>
    </row>
    <row r="52519" spans="191:191" x14ac:dyDescent="0.2">
      <c r="GI52519" s="422"/>
    </row>
    <row r="52520" spans="191:191" x14ac:dyDescent="0.2">
      <c r="GI52520" s="422"/>
    </row>
    <row r="52521" spans="191:191" x14ac:dyDescent="0.2">
      <c r="GI52521" s="422"/>
    </row>
    <row r="52522" spans="191:191" x14ac:dyDescent="0.2">
      <c r="GI52522" s="422"/>
    </row>
    <row r="52523" spans="191:191" x14ac:dyDescent="0.2">
      <c r="GI52523" s="422"/>
    </row>
    <row r="52524" spans="191:191" x14ac:dyDescent="0.2">
      <c r="GI52524" s="422"/>
    </row>
    <row r="52525" spans="191:191" x14ac:dyDescent="0.2">
      <c r="GI52525" s="422"/>
    </row>
    <row r="52526" spans="191:191" x14ac:dyDescent="0.2">
      <c r="GI52526" s="422"/>
    </row>
    <row r="52527" spans="191:191" x14ac:dyDescent="0.2">
      <c r="GI52527" s="422"/>
    </row>
    <row r="52528" spans="191:191" x14ac:dyDescent="0.2">
      <c r="GI52528" s="422"/>
    </row>
    <row r="52529" spans="191:191" x14ac:dyDescent="0.2">
      <c r="GI52529" s="422"/>
    </row>
    <row r="52530" spans="191:191" x14ac:dyDescent="0.2">
      <c r="GI52530" s="422"/>
    </row>
    <row r="52531" spans="191:191" x14ac:dyDescent="0.2">
      <c r="GI52531" s="422"/>
    </row>
    <row r="52532" spans="191:191" x14ac:dyDescent="0.2">
      <c r="GI52532" s="422"/>
    </row>
    <row r="52533" spans="191:191" x14ac:dyDescent="0.2">
      <c r="GI52533" s="422"/>
    </row>
    <row r="52534" spans="191:191" x14ac:dyDescent="0.2">
      <c r="GI52534" s="422"/>
    </row>
    <row r="52535" spans="191:191" x14ac:dyDescent="0.2">
      <c r="GI52535" s="422"/>
    </row>
    <row r="52536" spans="191:191" x14ac:dyDescent="0.2">
      <c r="GI52536" s="422"/>
    </row>
    <row r="52537" spans="191:191" x14ac:dyDescent="0.2">
      <c r="GI52537" s="422"/>
    </row>
    <row r="52538" spans="191:191" x14ac:dyDescent="0.2">
      <c r="GI52538" s="422"/>
    </row>
    <row r="52539" spans="191:191" x14ac:dyDescent="0.2">
      <c r="GI52539" s="422"/>
    </row>
    <row r="52540" spans="191:191" x14ac:dyDescent="0.2">
      <c r="GI52540" s="422"/>
    </row>
    <row r="52541" spans="191:191" x14ac:dyDescent="0.2">
      <c r="GI52541" s="422"/>
    </row>
    <row r="52542" spans="191:191" x14ac:dyDescent="0.2">
      <c r="GI52542" s="422"/>
    </row>
    <row r="52543" spans="191:191" x14ac:dyDescent="0.2">
      <c r="GI52543" s="422"/>
    </row>
    <row r="52544" spans="191:191" x14ac:dyDescent="0.2">
      <c r="GI52544" s="422"/>
    </row>
    <row r="52545" spans="191:191" x14ac:dyDescent="0.2">
      <c r="GI52545" s="422"/>
    </row>
    <row r="52546" spans="191:191" x14ac:dyDescent="0.2">
      <c r="GI52546" s="422"/>
    </row>
    <row r="52547" spans="191:191" x14ac:dyDescent="0.2">
      <c r="GI52547" s="422"/>
    </row>
    <row r="52548" spans="191:191" x14ac:dyDescent="0.2">
      <c r="GI52548" s="422"/>
    </row>
    <row r="52549" spans="191:191" x14ac:dyDescent="0.2">
      <c r="GI52549" s="422"/>
    </row>
    <row r="52550" spans="191:191" x14ac:dyDescent="0.2">
      <c r="GI52550" s="422"/>
    </row>
    <row r="52551" spans="191:191" x14ac:dyDescent="0.2">
      <c r="GI52551" s="422"/>
    </row>
    <row r="52552" spans="191:191" x14ac:dyDescent="0.2">
      <c r="GI52552" s="422"/>
    </row>
    <row r="52553" spans="191:191" x14ac:dyDescent="0.2">
      <c r="GI52553" s="422"/>
    </row>
    <row r="52554" spans="191:191" x14ac:dyDescent="0.2">
      <c r="GI52554" s="422"/>
    </row>
    <row r="52555" spans="191:191" x14ac:dyDescent="0.2">
      <c r="GI52555" s="422"/>
    </row>
    <row r="52556" spans="191:191" x14ac:dyDescent="0.2">
      <c r="GI52556" s="422"/>
    </row>
    <row r="52557" spans="191:191" x14ac:dyDescent="0.2">
      <c r="GI52557" s="422"/>
    </row>
    <row r="52558" spans="191:191" x14ac:dyDescent="0.2">
      <c r="GI52558" s="422"/>
    </row>
    <row r="52559" spans="191:191" x14ac:dyDescent="0.2">
      <c r="GI52559" s="422"/>
    </row>
    <row r="52560" spans="191:191" x14ac:dyDescent="0.2">
      <c r="GI52560" s="422"/>
    </row>
    <row r="52561" spans="191:191" x14ac:dyDescent="0.2">
      <c r="GI52561" s="422"/>
    </row>
    <row r="52562" spans="191:191" x14ac:dyDescent="0.2">
      <c r="GI52562" s="422"/>
    </row>
    <row r="52563" spans="191:191" x14ac:dyDescent="0.2">
      <c r="GI52563" s="422"/>
    </row>
    <row r="52564" spans="191:191" x14ac:dyDescent="0.2">
      <c r="GI52564" s="422"/>
    </row>
    <row r="52565" spans="191:191" x14ac:dyDescent="0.2">
      <c r="GI52565" s="422"/>
    </row>
    <row r="52566" spans="191:191" x14ac:dyDescent="0.2">
      <c r="GI52566" s="422"/>
    </row>
    <row r="52567" spans="191:191" x14ac:dyDescent="0.2">
      <c r="GI52567" s="422"/>
    </row>
    <row r="52568" spans="191:191" x14ac:dyDescent="0.2">
      <c r="GI52568" s="422"/>
    </row>
    <row r="52569" spans="191:191" x14ac:dyDescent="0.2">
      <c r="GI52569" s="422"/>
    </row>
    <row r="52570" spans="191:191" x14ac:dyDescent="0.2">
      <c r="GI52570" s="422"/>
    </row>
    <row r="52571" spans="191:191" x14ac:dyDescent="0.2">
      <c r="GI52571" s="422"/>
    </row>
    <row r="52572" spans="191:191" x14ac:dyDescent="0.2">
      <c r="GI52572" s="422"/>
    </row>
    <row r="52573" spans="191:191" x14ac:dyDescent="0.2">
      <c r="GI52573" s="422"/>
    </row>
    <row r="52574" spans="191:191" x14ac:dyDescent="0.2">
      <c r="GI52574" s="422"/>
    </row>
    <row r="52575" spans="191:191" x14ac:dyDescent="0.2">
      <c r="GI52575" s="422"/>
    </row>
    <row r="52576" spans="191:191" x14ac:dyDescent="0.2">
      <c r="GI52576" s="422"/>
    </row>
    <row r="52577" spans="191:191" x14ac:dyDescent="0.2">
      <c r="GI52577" s="422"/>
    </row>
    <row r="52578" spans="191:191" x14ac:dyDescent="0.2">
      <c r="GI52578" s="422"/>
    </row>
    <row r="52579" spans="191:191" x14ac:dyDescent="0.2">
      <c r="GI52579" s="422"/>
    </row>
    <row r="52580" spans="191:191" x14ac:dyDescent="0.2">
      <c r="GI52580" s="422"/>
    </row>
    <row r="52581" spans="191:191" x14ac:dyDescent="0.2">
      <c r="GI52581" s="422"/>
    </row>
    <row r="52582" spans="191:191" x14ac:dyDescent="0.2">
      <c r="GI52582" s="422"/>
    </row>
    <row r="52583" spans="191:191" x14ac:dyDescent="0.2">
      <c r="GI52583" s="422"/>
    </row>
    <row r="52584" spans="191:191" x14ac:dyDescent="0.2">
      <c r="GI52584" s="422"/>
    </row>
    <row r="52585" spans="191:191" x14ac:dyDescent="0.2">
      <c r="GI52585" s="422"/>
    </row>
    <row r="52586" spans="191:191" x14ac:dyDescent="0.2">
      <c r="GI52586" s="422"/>
    </row>
    <row r="52587" spans="191:191" x14ac:dyDescent="0.2">
      <c r="GI52587" s="422"/>
    </row>
    <row r="52588" spans="191:191" x14ac:dyDescent="0.2">
      <c r="GI52588" s="422"/>
    </row>
    <row r="52589" spans="191:191" x14ac:dyDescent="0.2">
      <c r="GI52589" s="422"/>
    </row>
    <row r="52590" spans="191:191" x14ac:dyDescent="0.2">
      <c r="GI52590" s="422"/>
    </row>
    <row r="52591" spans="191:191" x14ac:dyDescent="0.2">
      <c r="GI52591" s="422"/>
    </row>
    <row r="52592" spans="191:191" x14ac:dyDescent="0.2">
      <c r="GI52592" s="422"/>
    </row>
    <row r="52593" spans="191:191" x14ac:dyDescent="0.2">
      <c r="GI52593" s="422"/>
    </row>
    <row r="52594" spans="191:191" x14ac:dyDescent="0.2">
      <c r="GI52594" s="422"/>
    </row>
    <row r="52595" spans="191:191" x14ac:dyDescent="0.2">
      <c r="GI52595" s="422"/>
    </row>
    <row r="52596" spans="191:191" x14ac:dyDescent="0.2">
      <c r="GI52596" s="422"/>
    </row>
    <row r="52597" spans="191:191" x14ac:dyDescent="0.2">
      <c r="GI52597" s="422"/>
    </row>
    <row r="52598" spans="191:191" x14ac:dyDescent="0.2">
      <c r="GI52598" s="422"/>
    </row>
    <row r="52599" spans="191:191" x14ac:dyDescent="0.2">
      <c r="GI52599" s="422"/>
    </row>
    <row r="52600" spans="191:191" x14ac:dyDescent="0.2">
      <c r="GI52600" s="422"/>
    </row>
    <row r="52601" spans="191:191" x14ac:dyDescent="0.2">
      <c r="GI52601" s="422"/>
    </row>
    <row r="52602" spans="191:191" x14ac:dyDescent="0.2">
      <c r="GI52602" s="422"/>
    </row>
    <row r="52603" spans="191:191" x14ac:dyDescent="0.2">
      <c r="GI52603" s="422"/>
    </row>
    <row r="52604" spans="191:191" x14ac:dyDescent="0.2">
      <c r="GI52604" s="422"/>
    </row>
    <row r="52605" spans="191:191" x14ac:dyDescent="0.2">
      <c r="GI52605" s="422"/>
    </row>
    <row r="52606" spans="191:191" x14ac:dyDescent="0.2">
      <c r="GI52606" s="422"/>
    </row>
    <row r="52607" spans="191:191" x14ac:dyDescent="0.2">
      <c r="GI52607" s="422"/>
    </row>
    <row r="52608" spans="191:191" x14ac:dyDescent="0.2">
      <c r="GI52608" s="422"/>
    </row>
    <row r="52609" spans="191:191" x14ac:dyDescent="0.2">
      <c r="GI52609" s="422"/>
    </row>
    <row r="52610" spans="191:191" x14ac:dyDescent="0.2">
      <c r="GI52610" s="422"/>
    </row>
    <row r="52611" spans="191:191" x14ac:dyDescent="0.2">
      <c r="GI52611" s="422"/>
    </row>
    <row r="52612" spans="191:191" x14ac:dyDescent="0.2">
      <c r="GI52612" s="422"/>
    </row>
    <row r="52613" spans="191:191" x14ac:dyDescent="0.2">
      <c r="GI52613" s="422"/>
    </row>
    <row r="52614" spans="191:191" x14ac:dyDescent="0.2">
      <c r="GI52614" s="422"/>
    </row>
    <row r="52615" spans="191:191" x14ac:dyDescent="0.2">
      <c r="GI52615" s="422"/>
    </row>
    <row r="52616" spans="191:191" x14ac:dyDescent="0.2">
      <c r="GI52616" s="422"/>
    </row>
    <row r="52617" spans="191:191" x14ac:dyDescent="0.2">
      <c r="GI52617" s="422"/>
    </row>
    <row r="52618" spans="191:191" x14ac:dyDescent="0.2">
      <c r="GI52618" s="422"/>
    </row>
    <row r="52619" spans="191:191" x14ac:dyDescent="0.2">
      <c r="GI52619" s="422"/>
    </row>
    <row r="52620" spans="191:191" x14ac:dyDescent="0.2">
      <c r="GI52620" s="422"/>
    </row>
    <row r="52621" spans="191:191" x14ac:dyDescent="0.2">
      <c r="GI52621" s="422"/>
    </row>
    <row r="52622" spans="191:191" x14ac:dyDescent="0.2">
      <c r="GI52622" s="422"/>
    </row>
    <row r="52623" spans="191:191" x14ac:dyDescent="0.2">
      <c r="GI52623" s="422"/>
    </row>
    <row r="52624" spans="191:191" x14ac:dyDescent="0.2">
      <c r="GI52624" s="422"/>
    </row>
    <row r="52625" spans="191:191" x14ac:dyDescent="0.2">
      <c r="GI52625" s="422"/>
    </row>
    <row r="52626" spans="191:191" x14ac:dyDescent="0.2">
      <c r="GI52626" s="422"/>
    </row>
    <row r="52627" spans="191:191" x14ac:dyDescent="0.2">
      <c r="GI52627" s="422"/>
    </row>
    <row r="52628" spans="191:191" x14ac:dyDescent="0.2">
      <c r="GI52628" s="422"/>
    </row>
    <row r="52629" spans="191:191" x14ac:dyDescent="0.2">
      <c r="GI52629" s="422"/>
    </row>
    <row r="52630" spans="191:191" x14ac:dyDescent="0.2">
      <c r="GI52630" s="422"/>
    </row>
    <row r="52631" spans="191:191" x14ac:dyDescent="0.2">
      <c r="GI52631" s="422"/>
    </row>
    <row r="52632" spans="191:191" x14ac:dyDescent="0.2">
      <c r="GI52632" s="422"/>
    </row>
    <row r="52633" spans="191:191" x14ac:dyDescent="0.2">
      <c r="GI52633" s="422"/>
    </row>
    <row r="52634" spans="191:191" x14ac:dyDescent="0.2">
      <c r="GI52634" s="422"/>
    </row>
    <row r="52635" spans="191:191" x14ac:dyDescent="0.2">
      <c r="GI52635" s="422"/>
    </row>
    <row r="52636" spans="191:191" x14ac:dyDescent="0.2">
      <c r="GI52636" s="422"/>
    </row>
    <row r="52637" spans="191:191" x14ac:dyDescent="0.2">
      <c r="GI52637" s="422"/>
    </row>
    <row r="52638" spans="191:191" x14ac:dyDescent="0.2">
      <c r="GI52638" s="422"/>
    </row>
    <row r="52639" spans="191:191" x14ac:dyDescent="0.2">
      <c r="GI52639" s="422"/>
    </row>
    <row r="52640" spans="191:191" x14ac:dyDescent="0.2">
      <c r="GI52640" s="422"/>
    </row>
    <row r="52641" spans="191:191" x14ac:dyDescent="0.2">
      <c r="GI52641" s="422"/>
    </row>
    <row r="52642" spans="191:191" x14ac:dyDescent="0.2">
      <c r="GI52642" s="422"/>
    </row>
    <row r="52643" spans="191:191" x14ac:dyDescent="0.2">
      <c r="GI52643" s="422"/>
    </row>
    <row r="52644" spans="191:191" x14ac:dyDescent="0.2">
      <c r="GI52644" s="422"/>
    </row>
    <row r="52645" spans="191:191" x14ac:dyDescent="0.2">
      <c r="GI52645" s="422"/>
    </row>
    <row r="52646" spans="191:191" x14ac:dyDescent="0.2">
      <c r="GI52646" s="422"/>
    </row>
    <row r="52647" spans="191:191" x14ac:dyDescent="0.2">
      <c r="GI52647" s="422"/>
    </row>
    <row r="52648" spans="191:191" x14ac:dyDescent="0.2">
      <c r="GI52648" s="422"/>
    </row>
    <row r="52649" spans="191:191" x14ac:dyDescent="0.2">
      <c r="GI52649" s="422"/>
    </row>
    <row r="52650" spans="191:191" x14ac:dyDescent="0.2">
      <c r="GI52650" s="422"/>
    </row>
    <row r="52651" spans="191:191" x14ac:dyDescent="0.2">
      <c r="GI52651" s="422"/>
    </row>
    <row r="52652" spans="191:191" x14ac:dyDescent="0.2">
      <c r="GI52652" s="422"/>
    </row>
    <row r="52653" spans="191:191" x14ac:dyDescent="0.2">
      <c r="GI52653" s="422"/>
    </row>
    <row r="52654" spans="191:191" x14ac:dyDescent="0.2">
      <c r="GI52654" s="422"/>
    </row>
    <row r="52655" spans="191:191" x14ac:dyDescent="0.2">
      <c r="GI52655" s="422"/>
    </row>
    <row r="52656" spans="191:191" x14ac:dyDescent="0.2">
      <c r="GI52656" s="422"/>
    </row>
    <row r="52657" spans="191:191" x14ac:dyDescent="0.2">
      <c r="GI52657" s="422"/>
    </row>
    <row r="52658" spans="191:191" x14ac:dyDescent="0.2">
      <c r="GI52658" s="422"/>
    </row>
    <row r="52659" spans="191:191" x14ac:dyDescent="0.2">
      <c r="GI52659" s="422"/>
    </row>
    <row r="52660" spans="191:191" x14ac:dyDescent="0.2">
      <c r="GI52660" s="422"/>
    </row>
    <row r="52661" spans="191:191" x14ac:dyDescent="0.2">
      <c r="GI52661" s="422"/>
    </row>
    <row r="52662" spans="191:191" x14ac:dyDescent="0.2">
      <c r="GI52662" s="422"/>
    </row>
    <row r="52663" spans="191:191" x14ac:dyDescent="0.2">
      <c r="GI52663" s="422"/>
    </row>
    <row r="52664" spans="191:191" x14ac:dyDescent="0.2">
      <c r="GI52664" s="422"/>
    </row>
    <row r="52665" spans="191:191" x14ac:dyDescent="0.2">
      <c r="GI52665" s="422"/>
    </row>
    <row r="52666" spans="191:191" x14ac:dyDescent="0.2">
      <c r="GI52666" s="422"/>
    </row>
    <row r="52667" spans="191:191" x14ac:dyDescent="0.2">
      <c r="GI52667" s="422"/>
    </row>
    <row r="52668" spans="191:191" x14ac:dyDescent="0.2">
      <c r="GI52668" s="422"/>
    </row>
    <row r="52669" spans="191:191" x14ac:dyDescent="0.2">
      <c r="GI52669" s="422"/>
    </row>
    <row r="52670" spans="191:191" x14ac:dyDescent="0.2">
      <c r="GI52670" s="422"/>
    </row>
    <row r="52671" spans="191:191" x14ac:dyDescent="0.2">
      <c r="GI52671" s="422"/>
    </row>
    <row r="52672" spans="191:191" x14ac:dyDescent="0.2">
      <c r="GI52672" s="422"/>
    </row>
    <row r="52673" spans="191:191" x14ac:dyDescent="0.2">
      <c r="GI52673" s="422"/>
    </row>
    <row r="52674" spans="191:191" x14ac:dyDescent="0.2">
      <c r="GI52674" s="422"/>
    </row>
    <row r="52675" spans="191:191" x14ac:dyDescent="0.2">
      <c r="GI52675" s="422"/>
    </row>
    <row r="52676" spans="191:191" x14ac:dyDescent="0.2">
      <c r="GI52676" s="422"/>
    </row>
    <row r="52677" spans="191:191" x14ac:dyDescent="0.2">
      <c r="GI52677" s="422"/>
    </row>
    <row r="52678" spans="191:191" x14ac:dyDescent="0.2">
      <c r="GI52678" s="422"/>
    </row>
    <row r="52679" spans="191:191" x14ac:dyDescent="0.2">
      <c r="GI52679" s="422"/>
    </row>
    <row r="52680" spans="191:191" x14ac:dyDescent="0.2">
      <c r="GI52680" s="422"/>
    </row>
    <row r="52681" spans="191:191" x14ac:dyDescent="0.2">
      <c r="GI52681" s="422"/>
    </row>
    <row r="52682" spans="191:191" x14ac:dyDescent="0.2">
      <c r="GI52682" s="422"/>
    </row>
    <row r="52683" spans="191:191" x14ac:dyDescent="0.2">
      <c r="GI52683" s="422"/>
    </row>
    <row r="52684" spans="191:191" x14ac:dyDescent="0.2">
      <c r="GI52684" s="422"/>
    </row>
    <row r="52685" spans="191:191" x14ac:dyDescent="0.2">
      <c r="GI52685" s="422"/>
    </row>
    <row r="52686" spans="191:191" x14ac:dyDescent="0.2">
      <c r="GI52686" s="422"/>
    </row>
    <row r="52687" spans="191:191" x14ac:dyDescent="0.2">
      <c r="GI52687" s="422"/>
    </row>
    <row r="52688" spans="191:191" x14ac:dyDescent="0.2">
      <c r="GI52688" s="422"/>
    </row>
    <row r="52689" spans="191:191" x14ac:dyDescent="0.2">
      <c r="GI52689" s="422"/>
    </row>
    <row r="52690" spans="191:191" x14ac:dyDescent="0.2">
      <c r="GI52690" s="422"/>
    </row>
    <row r="52691" spans="191:191" x14ac:dyDescent="0.2">
      <c r="GI52691" s="422"/>
    </row>
    <row r="52692" spans="191:191" x14ac:dyDescent="0.2">
      <c r="GI52692" s="422"/>
    </row>
    <row r="52693" spans="191:191" x14ac:dyDescent="0.2">
      <c r="GI52693" s="422"/>
    </row>
    <row r="52694" spans="191:191" x14ac:dyDescent="0.2">
      <c r="GI52694" s="422"/>
    </row>
    <row r="52695" spans="191:191" x14ac:dyDescent="0.2">
      <c r="GI52695" s="422"/>
    </row>
    <row r="52696" spans="191:191" x14ac:dyDescent="0.2">
      <c r="GI52696" s="422"/>
    </row>
    <row r="52697" spans="191:191" x14ac:dyDescent="0.2">
      <c r="GI52697" s="422"/>
    </row>
    <row r="52698" spans="191:191" x14ac:dyDescent="0.2">
      <c r="GI52698" s="422"/>
    </row>
    <row r="52699" spans="191:191" x14ac:dyDescent="0.2">
      <c r="GI52699" s="422"/>
    </row>
    <row r="52700" spans="191:191" x14ac:dyDescent="0.2">
      <c r="GI52700" s="422"/>
    </row>
    <row r="52701" spans="191:191" x14ac:dyDescent="0.2">
      <c r="GI52701" s="422"/>
    </row>
    <row r="52702" spans="191:191" x14ac:dyDescent="0.2">
      <c r="GI52702" s="422"/>
    </row>
    <row r="52703" spans="191:191" x14ac:dyDescent="0.2">
      <c r="GI52703" s="422"/>
    </row>
    <row r="52704" spans="191:191" x14ac:dyDescent="0.2">
      <c r="GI52704" s="422"/>
    </row>
    <row r="52705" spans="191:191" x14ac:dyDescent="0.2">
      <c r="GI52705" s="422"/>
    </row>
    <row r="52706" spans="191:191" x14ac:dyDescent="0.2">
      <c r="GI52706" s="422"/>
    </row>
    <row r="52707" spans="191:191" x14ac:dyDescent="0.2">
      <c r="GI52707" s="422"/>
    </row>
    <row r="52708" spans="191:191" x14ac:dyDescent="0.2">
      <c r="GI52708" s="422"/>
    </row>
    <row r="52709" spans="191:191" x14ac:dyDescent="0.2">
      <c r="GI52709" s="422"/>
    </row>
    <row r="52710" spans="191:191" x14ac:dyDescent="0.2">
      <c r="GI52710" s="422"/>
    </row>
    <row r="52711" spans="191:191" x14ac:dyDescent="0.2">
      <c r="GI52711" s="422"/>
    </row>
    <row r="52712" spans="191:191" x14ac:dyDescent="0.2">
      <c r="GI52712" s="422"/>
    </row>
    <row r="52713" spans="191:191" x14ac:dyDescent="0.2">
      <c r="GI52713" s="422"/>
    </row>
    <row r="52714" spans="191:191" x14ac:dyDescent="0.2">
      <c r="GI52714" s="422"/>
    </row>
    <row r="52715" spans="191:191" x14ac:dyDescent="0.2">
      <c r="GI52715" s="422"/>
    </row>
    <row r="52716" spans="191:191" x14ac:dyDescent="0.2">
      <c r="GI52716" s="422"/>
    </row>
    <row r="52717" spans="191:191" x14ac:dyDescent="0.2">
      <c r="GI52717" s="422"/>
    </row>
    <row r="52718" spans="191:191" x14ac:dyDescent="0.2">
      <c r="GI52718" s="422"/>
    </row>
    <row r="52719" spans="191:191" x14ac:dyDescent="0.2">
      <c r="GI52719" s="422"/>
    </row>
    <row r="52720" spans="191:191" x14ac:dyDescent="0.2">
      <c r="GI52720" s="422"/>
    </row>
    <row r="52721" spans="191:191" x14ac:dyDescent="0.2">
      <c r="GI52721" s="422"/>
    </row>
    <row r="52722" spans="191:191" x14ac:dyDescent="0.2">
      <c r="GI52722" s="422"/>
    </row>
    <row r="52723" spans="191:191" x14ac:dyDescent="0.2">
      <c r="GI52723" s="422"/>
    </row>
    <row r="52724" spans="191:191" x14ac:dyDescent="0.2">
      <c r="GI52724" s="422"/>
    </row>
    <row r="52725" spans="191:191" x14ac:dyDescent="0.2">
      <c r="GI52725" s="422"/>
    </row>
    <row r="52726" spans="191:191" x14ac:dyDescent="0.2">
      <c r="GI52726" s="422"/>
    </row>
    <row r="52727" spans="191:191" x14ac:dyDescent="0.2">
      <c r="GI52727" s="422"/>
    </row>
    <row r="52728" spans="191:191" x14ac:dyDescent="0.2">
      <c r="GI52728" s="422"/>
    </row>
    <row r="52729" spans="191:191" x14ac:dyDescent="0.2">
      <c r="GI52729" s="422"/>
    </row>
    <row r="52730" spans="191:191" x14ac:dyDescent="0.2">
      <c r="GI52730" s="422"/>
    </row>
    <row r="52731" spans="191:191" x14ac:dyDescent="0.2">
      <c r="GI52731" s="422"/>
    </row>
    <row r="52732" spans="191:191" x14ac:dyDescent="0.2">
      <c r="GI52732" s="422"/>
    </row>
    <row r="52733" spans="191:191" x14ac:dyDescent="0.2">
      <c r="GI52733" s="422"/>
    </row>
    <row r="52734" spans="191:191" x14ac:dyDescent="0.2">
      <c r="GI52734" s="422"/>
    </row>
    <row r="52735" spans="191:191" x14ac:dyDescent="0.2">
      <c r="GI52735" s="422"/>
    </row>
    <row r="52736" spans="191:191" x14ac:dyDescent="0.2">
      <c r="GI52736" s="422"/>
    </row>
    <row r="52737" spans="191:191" x14ac:dyDescent="0.2">
      <c r="GI52737" s="422"/>
    </row>
    <row r="52738" spans="191:191" x14ac:dyDescent="0.2">
      <c r="GI52738" s="422"/>
    </row>
    <row r="52739" spans="191:191" x14ac:dyDescent="0.2">
      <c r="GI52739" s="422"/>
    </row>
    <row r="52740" spans="191:191" x14ac:dyDescent="0.2">
      <c r="GI52740" s="422"/>
    </row>
    <row r="52741" spans="191:191" x14ac:dyDescent="0.2">
      <c r="GI52741" s="422"/>
    </row>
    <row r="52742" spans="191:191" x14ac:dyDescent="0.2">
      <c r="GI52742" s="422"/>
    </row>
    <row r="52743" spans="191:191" x14ac:dyDescent="0.2">
      <c r="GI52743" s="422"/>
    </row>
    <row r="52744" spans="191:191" x14ac:dyDescent="0.2">
      <c r="GI52744" s="422"/>
    </row>
    <row r="52745" spans="191:191" x14ac:dyDescent="0.2">
      <c r="GI52745" s="422"/>
    </row>
    <row r="52746" spans="191:191" x14ac:dyDescent="0.2">
      <c r="GI52746" s="422"/>
    </row>
    <row r="52747" spans="191:191" x14ac:dyDescent="0.2">
      <c r="GI52747" s="422"/>
    </row>
    <row r="52748" spans="191:191" x14ac:dyDescent="0.2">
      <c r="GI52748" s="422"/>
    </row>
    <row r="52749" spans="191:191" x14ac:dyDescent="0.2">
      <c r="GI52749" s="422"/>
    </row>
    <row r="52750" spans="191:191" x14ac:dyDescent="0.2">
      <c r="GI52750" s="422"/>
    </row>
    <row r="52751" spans="191:191" x14ac:dyDescent="0.2">
      <c r="GI52751" s="422"/>
    </row>
    <row r="52752" spans="191:191" x14ac:dyDescent="0.2">
      <c r="GI52752" s="422"/>
    </row>
    <row r="52753" spans="191:191" x14ac:dyDescent="0.2">
      <c r="GI52753" s="422"/>
    </row>
    <row r="52754" spans="191:191" x14ac:dyDescent="0.2">
      <c r="GI52754" s="422"/>
    </row>
    <row r="52755" spans="191:191" x14ac:dyDescent="0.2">
      <c r="GI52755" s="422"/>
    </row>
    <row r="52756" spans="191:191" x14ac:dyDescent="0.2">
      <c r="GI52756" s="422"/>
    </row>
    <row r="52757" spans="191:191" x14ac:dyDescent="0.2">
      <c r="GI52757" s="422"/>
    </row>
    <row r="52758" spans="191:191" x14ac:dyDescent="0.2">
      <c r="GI52758" s="422"/>
    </row>
    <row r="52759" spans="191:191" x14ac:dyDescent="0.2">
      <c r="GI52759" s="422"/>
    </row>
    <row r="52760" spans="191:191" x14ac:dyDescent="0.2">
      <c r="GI52760" s="422"/>
    </row>
    <row r="52761" spans="191:191" x14ac:dyDescent="0.2">
      <c r="GI52761" s="422"/>
    </row>
    <row r="52762" spans="191:191" x14ac:dyDescent="0.2">
      <c r="GI52762" s="422"/>
    </row>
    <row r="52763" spans="191:191" x14ac:dyDescent="0.2">
      <c r="GI52763" s="422"/>
    </row>
    <row r="52764" spans="191:191" x14ac:dyDescent="0.2">
      <c r="GI52764" s="422"/>
    </row>
    <row r="52765" spans="191:191" x14ac:dyDescent="0.2">
      <c r="GI52765" s="422"/>
    </row>
    <row r="52766" spans="191:191" x14ac:dyDescent="0.2">
      <c r="GI52766" s="422"/>
    </row>
    <row r="52767" spans="191:191" x14ac:dyDescent="0.2">
      <c r="GI52767" s="422"/>
    </row>
    <row r="52768" spans="191:191" x14ac:dyDescent="0.2">
      <c r="GI52768" s="422"/>
    </row>
    <row r="52769" spans="191:191" x14ac:dyDescent="0.2">
      <c r="GI52769" s="422"/>
    </row>
    <row r="52770" spans="191:191" x14ac:dyDescent="0.2">
      <c r="GI52770" s="422"/>
    </row>
    <row r="52771" spans="191:191" x14ac:dyDescent="0.2">
      <c r="GI52771" s="422"/>
    </row>
    <row r="52772" spans="191:191" x14ac:dyDescent="0.2">
      <c r="GI52772" s="422"/>
    </row>
    <row r="52773" spans="191:191" x14ac:dyDescent="0.2">
      <c r="GI52773" s="422"/>
    </row>
    <row r="52774" spans="191:191" x14ac:dyDescent="0.2">
      <c r="GI52774" s="422"/>
    </row>
    <row r="52775" spans="191:191" x14ac:dyDescent="0.2">
      <c r="GI52775" s="422"/>
    </row>
    <row r="52776" spans="191:191" x14ac:dyDescent="0.2">
      <c r="GI52776" s="422"/>
    </row>
    <row r="52777" spans="191:191" x14ac:dyDescent="0.2">
      <c r="GI52777" s="422"/>
    </row>
    <row r="52778" spans="191:191" x14ac:dyDescent="0.2">
      <c r="GI52778" s="422"/>
    </row>
    <row r="52779" spans="191:191" x14ac:dyDescent="0.2">
      <c r="GI52779" s="422"/>
    </row>
    <row r="52780" spans="191:191" x14ac:dyDescent="0.2">
      <c r="GI52780" s="422"/>
    </row>
    <row r="52781" spans="191:191" x14ac:dyDescent="0.2">
      <c r="GI52781" s="422"/>
    </row>
    <row r="52782" spans="191:191" x14ac:dyDescent="0.2">
      <c r="GI52782" s="422"/>
    </row>
    <row r="52783" spans="191:191" x14ac:dyDescent="0.2">
      <c r="GI52783" s="422"/>
    </row>
    <row r="52784" spans="191:191" x14ac:dyDescent="0.2">
      <c r="GI52784" s="422"/>
    </row>
    <row r="52785" spans="191:191" x14ac:dyDescent="0.2">
      <c r="GI52785" s="422"/>
    </row>
    <row r="52786" spans="191:191" x14ac:dyDescent="0.2">
      <c r="GI52786" s="422"/>
    </row>
    <row r="52787" spans="191:191" x14ac:dyDescent="0.2">
      <c r="GI52787" s="422"/>
    </row>
    <row r="52788" spans="191:191" x14ac:dyDescent="0.2">
      <c r="GI52788" s="422"/>
    </row>
    <row r="52789" spans="191:191" x14ac:dyDescent="0.2">
      <c r="GI52789" s="422"/>
    </row>
    <row r="52790" spans="191:191" x14ac:dyDescent="0.2">
      <c r="GI52790" s="422"/>
    </row>
    <row r="52791" spans="191:191" x14ac:dyDescent="0.2">
      <c r="GI52791" s="422"/>
    </row>
    <row r="52792" spans="191:191" x14ac:dyDescent="0.2">
      <c r="GI52792" s="422"/>
    </row>
    <row r="52793" spans="191:191" x14ac:dyDescent="0.2">
      <c r="GI52793" s="422"/>
    </row>
    <row r="52794" spans="191:191" x14ac:dyDescent="0.2">
      <c r="GI52794" s="422"/>
    </row>
    <row r="52795" spans="191:191" x14ac:dyDescent="0.2">
      <c r="GI52795" s="422"/>
    </row>
    <row r="52796" spans="191:191" x14ac:dyDescent="0.2">
      <c r="GI52796" s="422"/>
    </row>
    <row r="52797" spans="191:191" x14ac:dyDescent="0.2">
      <c r="GI52797" s="422"/>
    </row>
    <row r="52798" spans="191:191" x14ac:dyDescent="0.2">
      <c r="GI52798" s="422"/>
    </row>
    <row r="52799" spans="191:191" x14ac:dyDescent="0.2">
      <c r="GI52799" s="422"/>
    </row>
    <row r="52800" spans="191:191" x14ac:dyDescent="0.2">
      <c r="GI52800" s="422"/>
    </row>
    <row r="52801" spans="191:191" x14ac:dyDescent="0.2">
      <c r="GI52801" s="422"/>
    </row>
    <row r="52802" spans="191:191" x14ac:dyDescent="0.2">
      <c r="GI52802" s="422"/>
    </row>
    <row r="52803" spans="191:191" x14ac:dyDescent="0.2">
      <c r="GI52803" s="422"/>
    </row>
    <row r="52804" spans="191:191" x14ac:dyDescent="0.2">
      <c r="GI52804" s="422"/>
    </row>
    <row r="52805" spans="191:191" x14ac:dyDescent="0.2">
      <c r="GI52805" s="422"/>
    </row>
    <row r="52806" spans="191:191" x14ac:dyDescent="0.2">
      <c r="GI52806" s="422"/>
    </row>
    <row r="52807" spans="191:191" x14ac:dyDescent="0.2">
      <c r="GI52807" s="422"/>
    </row>
    <row r="52808" spans="191:191" x14ac:dyDescent="0.2">
      <c r="GI52808" s="422"/>
    </row>
    <row r="52809" spans="191:191" x14ac:dyDescent="0.2">
      <c r="GI52809" s="422"/>
    </row>
    <row r="52810" spans="191:191" x14ac:dyDescent="0.2">
      <c r="GI52810" s="422"/>
    </row>
    <row r="52811" spans="191:191" x14ac:dyDescent="0.2">
      <c r="GI52811" s="422"/>
    </row>
    <row r="52812" spans="191:191" x14ac:dyDescent="0.2">
      <c r="GI52812" s="422"/>
    </row>
    <row r="52813" spans="191:191" x14ac:dyDescent="0.2">
      <c r="GI52813" s="422"/>
    </row>
    <row r="52814" spans="191:191" x14ac:dyDescent="0.2">
      <c r="GI52814" s="422"/>
    </row>
    <row r="52815" spans="191:191" x14ac:dyDescent="0.2">
      <c r="GI52815" s="422"/>
    </row>
    <row r="52816" spans="191:191" x14ac:dyDescent="0.2">
      <c r="GI52816" s="422"/>
    </row>
    <row r="52817" spans="191:191" x14ac:dyDescent="0.2">
      <c r="GI52817" s="422"/>
    </row>
    <row r="52818" spans="191:191" x14ac:dyDescent="0.2">
      <c r="GI52818" s="422"/>
    </row>
    <row r="52819" spans="191:191" x14ac:dyDescent="0.2">
      <c r="GI52819" s="422"/>
    </row>
    <row r="52820" spans="191:191" x14ac:dyDescent="0.2">
      <c r="GI52820" s="422"/>
    </row>
    <row r="52821" spans="191:191" x14ac:dyDescent="0.2">
      <c r="GI52821" s="422"/>
    </row>
    <row r="52822" spans="191:191" x14ac:dyDescent="0.2">
      <c r="GI52822" s="422"/>
    </row>
    <row r="52823" spans="191:191" x14ac:dyDescent="0.2">
      <c r="GI52823" s="422"/>
    </row>
    <row r="52824" spans="191:191" x14ac:dyDescent="0.2">
      <c r="GI52824" s="422"/>
    </row>
    <row r="52825" spans="191:191" x14ac:dyDescent="0.2">
      <c r="GI52825" s="422"/>
    </row>
    <row r="52826" spans="191:191" x14ac:dyDescent="0.2">
      <c r="GI52826" s="422"/>
    </row>
    <row r="52827" spans="191:191" x14ac:dyDescent="0.2">
      <c r="GI52827" s="422"/>
    </row>
    <row r="52828" spans="191:191" x14ac:dyDescent="0.2">
      <c r="GI52828" s="422"/>
    </row>
    <row r="52829" spans="191:191" x14ac:dyDescent="0.2">
      <c r="GI52829" s="422"/>
    </row>
    <row r="52830" spans="191:191" x14ac:dyDescent="0.2">
      <c r="GI52830" s="422"/>
    </row>
    <row r="52831" spans="191:191" x14ac:dyDescent="0.2">
      <c r="GI52831" s="422"/>
    </row>
    <row r="52832" spans="191:191" x14ac:dyDescent="0.2">
      <c r="GI52832" s="422"/>
    </row>
    <row r="52833" spans="191:191" x14ac:dyDescent="0.2">
      <c r="GI52833" s="422"/>
    </row>
    <row r="52834" spans="191:191" x14ac:dyDescent="0.2">
      <c r="GI52834" s="422"/>
    </row>
    <row r="52835" spans="191:191" x14ac:dyDescent="0.2">
      <c r="GI52835" s="422"/>
    </row>
    <row r="52836" spans="191:191" x14ac:dyDescent="0.2">
      <c r="GI52836" s="422"/>
    </row>
    <row r="52837" spans="191:191" x14ac:dyDescent="0.2">
      <c r="GI52837" s="422"/>
    </row>
    <row r="52838" spans="191:191" x14ac:dyDescent="0.2">
      <c r="GI52838" s="422"/>
    </row>
    <row r="52839" spans="191:191" x14ac:dyDescent="0.2">
      <c r="GI52839" s="422"/>
    </row>
    <row r="52840" spans="191:191" x14ac:dyDescent="0.2">
      <c r="GI52840" s="422"/>
    </row>
    <row r="52841" spans="191:191" x14ac:dyDescent="0.2">
      <c r="GI52841" s="422"/>
    </row>
    <row r="52842" spans="191:191" x14ac:dyDescent="0.2">
      <c r="GI52842" s="422"/>
    </row>
    <row r="52843" spans="191:191" x14ac:dyDescent="0.2">
      <c r="GI52843" s="422"/>
    </row>
    <row r="52844" spans="191:191" x14ac:dyDescent="0.2">
      <c r="GI52844" s="422"/>
    </row>
    <row r="52845" spans="191:191" x14ac:dyDescent="0.2">
      <c r="GI52845" s="422"/>
    </row>
    <row r="52846" spans="191:191" x14ac:dyDescent="0.2">
      <c r="GI52846" s="422"/>
    </row>
    <row r="52847" spans="191:191" x14ac:dyDescent="0.2">
      <c r="GI52847" s="422"/>
    </row>
    <row r="52848" spans="191:191" x14ac:dyDescent="0.2">
      <c r="GI52848" s="422"/>
    </row>
    <row r="52849" spans="191:191" x14ac:dyDescent="0.2">
      <c r="GI52849" s="422"/>
    </row>
    <row r="52850" spans="191:191" x14ac:dyDescent="0.2">
      <c r="GI52850" s="422"/>
    </row>
    <row r="52851" spans="191:191" x14ac:dyDescent="0.2">
      <c r="GI52851" s="422"/>
    </row>
    <row r="52852" spans="191:191" x14ac:dyDescent="0.2">
      <c r="GI52852" s="422"/>
    </row>
    <row r="52853" spans="191:191" x14ac:dyDescent="0.2">
      <c r="GI52853" s="422"/>
    </row>
    <row r="52854" spans="191:191" x14ac:dyDescent="0.2">
      <c r="GI52854" s="422"/>
    </row>
    <row r="52855" spans="191:191" x14ac:dyDescent="0.2">
      <c r="GI52855" s="422"/>
    </row>
    <row r="52856" spans="191:191" x14ac:dyDescent="0.2">
      <c r="GI52856" s="422"/>
    </row>
    <row r="52857" spans="191:191" x14ac:dyDescent="0.2">
      <c r="GI52857" s="422"/>
    </row>
    <row r="52858" spans="191:191" x14ac:dyDescent="0.2">
      <c r="GI52858" s="422"/>
    </row>
    <row r="52859" spans="191:191" x14ac:dyDescent="0.2">
      <c r="GI52859" s="422"/>
    </row>
    <row r="52860" spans="191:191" x14ac:dyDescent="0.2">
      <c r="GI52860" s="422"/>
    </row>
    <row r="52861" spans="191:191" x14ac:dyDescent="0.2">
      <c r="GI52861" s="422"/>
    </row>
    <row r="52862" spans="191:191" x14ac:dyDescent="0.2">
      <c r="GI52862" s="422"/>
    </row>
    <row r="52863" spans="191:191" x14ac:dyDescent="0.2">
      <c r="GI52863" s="422"/>
    </row>
    <row r="52864" spans="191:191" x14ac:dyDescent="0.2">
      <c r="GI52864" s="422"/>
    </row>
    <row r="52865" spans="191:191" x14ac:dyDescent="0.2">
      <c r="GI52865" s="422"/>
    </row>
    <row r="52866" spans="191:191" x14ac:dyDescent="0.2">
      <c r="GI52866" s="422"/>
    </row>
    <row r="52867" spans="191:191" x14ac:dyDescent="0.2">
      <c r="GI52867" s="422"/>
    </row>
    <row r="52868" spans="191:191" x14ac:dyDescent="0.2">
      <c r="GI52868" s="422"/>
    </row>
    <row r="52869" spans="191:191" x14ac:dyDescent="0.2">
      <c r="GI52869" s="422"/>
    </row>
    <row r="52870" spans="191:191" x14ac:dyDescent="0.2">
      <c r="GI52870" s="422"/>
    </row>
    <row r="52871" spans="191:191" x14ac:dyDescent="0.2">
      <c r="GI52871" s="422"/>
    </row>
    <row r="52872" spans="191:191" x14ac:dyDescent="0.2">
      <c r="GI52872" s="422"/>
    </row>
    <row r="52873" spans="191:191" x14ac:dyDescent="0.2">
      <c r="GI52873" s="422"/>
    </row>
    <row r="52874" spans="191:191" x14ac:dyDescent="0.2">
      <c r="GI52874" s="422"/>
    </row>
    <row r="52875" spans="191:191" x14ac:dyDescent="0.2">
      <c r="GI52875" s="422"/>
    </row>
    <row r="52876" spans="191:191" x14ac:dyDescent="0.2">
      <c r="GI52876" s="422"/>
    </row>
    <row r="52877" spans="191:191" x14ac:dyDescent="0.2">
      <c r="GI52877" s="422"/>
    </row>
    <row r="52878" spans="191:191" x14ac:dyDescent="0.2">
      <c r="GI52878" s="422"/>
    </row>
    <row r="52879" spans="191:191" x14ac:dyDescent="0.2">
      <c r="GI52879" s="422"/>
    </row>
    <row r="52880" spans="191:191" x14ac:dyDescent="0.2">
      <c r="GI52880" s="422"/>
    </row>
    <row r="52881" spans="191:191" x14ac:dyDescent="0.2">
      <c r="GI52881" s="422"/>
    </row>
    <row r="52882" spans="191:191" x14ac:dyDescent="0.2">
      <c r="GI52882" s="422"/>
    </row>
    <row r="52883" spans="191:191" x14ac:dyDescent="0.2">
      <c r="GI52883" s="422"/>
    </row>
    <row r="52884" spans="191:191" x14ac:dyDescent="0.2">
      <c r="GI52884" s="422"/>
    </row>
    <row r="52885" spans="191:191" x14ac:dyDescent="0.2">
      <c r="GI52885" s="422"/>
    </row>
    <row r="52886" spans="191:191" x14ac:dyDescent="0.2">
      <c r="GI52886" s="422"/>
    </row>
    <row r="52887" spans="191:191" x14ac:dyDescent="0.2">
      <c r="GI52887" s="422"/>
    </row>
    <row r="52888" spans="191:191" x14ac:dyDescent="0.2">
      <c r="GI52888" s="422"/>
    </row>
    <row r="52889" spans="191:191" x14ac:dyDescent="0.2">
      <c r="GI52889" s="422"/>
    </row>
    <row r="52890" spans="191:191" x14ac:dyDescent="0.2">
      <c r="GI52890" s="422"/>
    </row>
    <row r="52891" spans="191:191" x14ac:dyDescent="0.2">
      <c r="GI52891" s="422"/>
    </row>
    <row r="52892" spans="191:191" x14ac:dyDescent="0.2">
      <c r="GI52892" s="422"/>
    </row>
    <row r="52893" spans="191:191" x14ac:dyDescent="0.2">
      <c r="GI52893" s="422"/>
    </row>
    <row r="52894" spans="191:191" x14ac:dyDescent="0.2">
      <c r="GI52894" s="422"/>
    </row>
    <row r="52895" spans="191:191" x14ac:dyDescent="0.2">
      <c r="GI52895" s="422"/>
    </row>
    <row r="52896" spans="191:191" x14ac:dyDescent="0.2">
      <c r="GI52896" s="422"/>
    </row>
    <row r="52897" spans="191:191" x14ac:dyDescent="0.2">
      <c r="GI52897" s="422"/>
    </row>
    <row r="52898" spans="191:191" x14ac:dyDescent="0.2">
      <c r="GI52898" s="422"/>
    </row>
    <row r="52899" spans="191:191" x14ac:dyDescent="0.2">
      <c r="GI52899" s="422"/>
    </row>
    <row r="52900" spans="191:191" x14ac:dyDescent="0.2">
      <c r="GI52900" s="422"/>
    </row>
    <row r="52901" spans="191:191" x14ac:dyDescent="0.2">
      <c r="GI52901" s="422"/>
    </row>
    <row r="52902" spans="191:191" x14ac:dyDescent="0.2">
      <c r="GI52902" s="422"/>
    </row>
    <row r="52903" spans="191:191" x14ac:dyDescent="0.2">
      <c r="GI52903" s="422"/>
    </row>
    <row r="52904" spans="191:191" x14ac:dyDescent="0.2">
      <c r="GI52904" s="422"/>
    </row>
    <row r="52905" spans="191:191" x14ac:dyDescent="0.2">
      <c r="GI52905" s="422"/>
    </row>
    <row r="52906" spans="191:191" x14ac:dyDescent="0.2">
      <c r="GI52906" s="422"/>
    </row>
    <row r="52907" spans="191:191" x14ac:dyDescent="0.2">
      <c r="GI52907" s="422"/>
    </row>
    <row r="52908" spans="191:191" x14ac:dyDescent="0.2">
      <c r="GI52908" s="422"/>
    </row>
    <row r="52909" spans="191:191" x14ac:dyDescent="0.2">
      <c r="GI52909" s="422"/>
    </row>
    <row r="52910" spans="191:191" x14ac:dyDescent="0.2">
      <c r="GI52910" s="422"/>
    </row>
    <row r="52911" spans="191:191" x14ac:dyDescent="0.2">
      <c r="GI52911" s="422"/>
    </row>
    <row r="52912" spans="191:191" x14ac:dyDescent="0.2">
      <c r="GI52912" s="422"/>
    </row>
    <row r="52913" spans="191:191" x14ac:dyDescent="0.2">
      <c r="GI52913" s="422"/>
    </row>
    <row r="52914" spans="191:191" x14ac:dyDescent="0.2">
      <c r="GI52914" s="422"/>
    </row>
    <row r="52915" spans="191:191" x14ac:dyDescent="0.2">
      <c r="GI52915" s="422"/>
    </row>
    <row r="52916" spans="191:191" x14ac:dyDescent="0.2">
      <c r="GI52916" s="422"/>
    </row>
    <row r="52917" spans="191:191" x14ac:dyDescent="0.2">
      <c r="GI52917" s="422"/>
    </row>
    <row r="52918" spans="191:191" x14ac:dyDescent="0.2">
      <c r="GI52918" s="422"/>
    </row>
    <row r="52919" spans="191:191" x14ac:dyDescent="0.2">
      <c r="GI52919" s="422"/>
    </row>
    <row r="52920" spans="191:191" x14ac:dyDescent="0.2">
      <c r="GI52920" s="422"/>
    </row>
    <row r="52921" spans="191:191" x14ac:dyDescent="0.2">
      <c r="GI52921" s="422"/>
    </row>
    <row r="52922" spans="191:191" x14ac:dyDescent="0.2">
      <c r="GI52922" s="422"/>
    </row>
    <row r="52923" spans="191:191" x14ac:dyDescent="0.2">
      <c r="GI52923" s="422"/>
    </row>
    <row r="52924" spans="191:191" x14ac:dyDescent="0.2">
      <c r="GI52924" s="422"/>
    </row>
    <row r="52925" spans="191:191" x14ac:dyDescent="0.2">
      <c r="GI52925" s="422"/>
    </row>
    <row r="52926" spans="191:191" x14ac:dyDescent="0.2">
      <c r="GI52926" s="422"/>
    </row>
    <row r="52927" spans="191:191" x14ac:dyDescent="0.2">
      <c r="GI52927" s="422"/>
    </row>
    <row r="52928" spans="191:191" x14ac:dyDescent="0.2">
      <c r="GI52928" s="422"/>
    </row>
    <row r="52929" spans="191:191" x14ac:dyDescent="0.2">
      <c r="GI52929" s="422"/>
    </row>
    <row r="52930" spans="191:191" x14ac:dyDescent="0.2">
      <c r="GI52930" s="422"/>
    </row>
    <row r="52931" spans="191:191" x14ac:dyDescent="0.2">
      <c r="GI52931" s="422"/>
    </row>
    <row r="52932" spans="191:191" x14ac:dyDescent="0.2">
      <c r="GI52932" s="422"/>
    </row>
    <row r="52933" spans="191:191" x14ac:dyDescent="0.2">
      <c r="GI52933" s="422"/>
    </row>
    <row r="52934" spans="191:191" x14ac:dyDescent="0.2">
      <c r="GI52934" s="422"/>
    </row>
    <row r="52935" spans="191:191" x14ac:dyDescent="0.2">
      <c r="GI52935" s="422"/>
    </row>
    <row r="52936" spans="191:191" x14ac:dyDescent="0.2">
      <c r="GI52936" s="422"/>
    </row>
    <row r="52937" spans="191:191" x14ac:dyDescent="0.2">
      <c r="GI52937" s="422"/>
    </row>
    <row r="52938" spans="191:191" x14ac:dyDescent="0.2">
      <c r="GI52938" s="422"/>
    </row>
    <row r="52939" spans="191:191" x14ac:dyDescent="0.2">
      <c r="GI52939" s="422"/>
    </row>
    <row r="52940" spans="191:191" x14ac:dyDescent="0.2">
      <c r="GI52940" s="422"/>
    </row>
    <row r="52941" spans="191:191" x14ac:dyDescent="0.2">
      <c r="GI52941" s="422"/>
    </row>
    <row r="52942" spans="191:191" x14ac:dyDescent="0.2">
      <c r="GI52942" s="422"/>
    </row>
    <row r="52943" spans="191:191" x14ac:dyDescent="0.2">
      <c r="GI52943" s="422"/>
    </row>
    <row r="52944" spans="191:191" x14ac:dyDescent="0.2">
      <c r="GI52944" s="422"/>
    </row>
    <row r="52945" spans="191:191" x14ac:dyDescent="0.2">
      <c r="GI52945" s="422"/>
    </row>
    <row r="52946" spans="191:191" x14ac:dyDescent="0.2">
      <c r="GI52946" s="422"/>
    </row>
    <row r="52947" spans="191:191" x14ac:dyDescent="0.2">
      <c r="GI52947" s="422"/>
    </row>
    <row r="52948" spans="191:191" x14ac:dyDescent="0.2">
      <c r="GI52948" s="422"/>
    </row>
    <row r="52949" spans="191:191" x14ac:dyDescent="0.2">
      <c r="GI52949" s="422"/>
    </row>
    <row r="52950" spans="191:191" x14ac:dyDescent="0.2">
      <c r="GI52950" s="422"/>
    </row>
    <row r="52951" spans="191:191" x14ac:dyDescent="0.2">
      <c r="GI52951" s="422"/>
    </row>
    <row r="52952" spans="191:191" x14ac:dyDescent="0.2">
      <c r="GI52952" s="422"/>
    </row>
    <row r="52953" spans="191:191" x14ac:dyDescent="0.2">
      <c r="GI52953" s="422"/>
    </row>
    <row r="52954" spans="191:191" x14ac:dyDescent="0.2">
      <c r="GI52954" s="422"/>
    </row>
    <row r="52955" spans="191:191" x14ac:dyDescent="0.2">
      <c r="GI52955" s="422"/>
    </row>
    <row r="52956" spans="191:191" x14ac:dyDescent="0.2">
      <c r="GI52956" s="422"/>
    </row>
    <row r="52957" spans="191:191" x14ac:dyDescent="0.2">
      <c r="GI52957" s="422"/>
    </row>
    <row r="52958" spans="191:191" x14ac:dyDescent="0.2">
      <c r="GI52958" s="422"/>
    </row>
    <row r="52959" spans="191:191" x14ac:dyDescent="0.2">
      <c r="GI52959" s="422"/>
    </row>
    <row r="52960" spans="191:191" x14ac:dyDescent="0.2">
      <c r="GI52960" s="422"/>
    </row>
    <row r="52961" spans="191:191" x14ac:dyDescent="0.2">
      <c r="GI52961" s="422"/>
    </row>
    <row r="52962" spans="191:191" x14ac:dyDescent="0.2">
      <c r="GI52962" s="422"/>
    </row>
    <row r="52963" spans="191:191" x14ac:dyDescent="0.2">
      <c r="GI52963" s="422"/>
    </row>
    <row r="52964" spans="191:191" x14ac:dyDescent="0.2">
      <c r="GI52964" s="422"/>
    </row>
    <row r="52965" spans="191:191" x14ac:dyDescent="0.2">
      <c r="GI52965" s="422"/>
    </row>
    <row r="52966" spans="191:191" x14ac:dyDescent="0.2">
      <c r="GI52966" s="422"/>
    </row>
    <row r="52967" spans="191:191" x14ac:dyDescent="0.2">
      <c r="GI52967" s="422"/>
    </row>
    <row r="52968" spans="191:191" x14ac:dyDescent="0.2">
      <c r="GI52968" s="422"/>
    </row>
    <row r="52969" spans="191:191" x14ac:dyDescent="0.2">
      <c r="GI52969" s="422"/>
    </row>
    <row r="52970" spans="191:191" x14ac:dyDescent="0.2">
      <c r="GI52970" s="422"/>
    </row>
    <row r="52971" spans="191:191" x14ac:dyDescent="0.2">
      <c r="GI52971" s="422"/>
    </row>
    <row r="52972" spans="191:191" x14ac:dyDescent="0.2">
      <c r="GI52972" s="422"/>
    </row>
    <row r="52973" spans="191:191" x14ac:dyDescent="0.2">
      <c r="GI52973" s="422"/>
    </row>
    <row r="52974" spans="191:191" x14ac:dyDescent="0.2">
      <c r="GI52974" s="422"/>
    </row>
    <row r="52975" spans="191:191" x14ac:dyDescent="0.2">
      <c r="GI52975" s="422"/>
    </row>
    <row r="52976" spans="191:191" x14ac:dyDescent="0.2">
      <c r="GI52976" s="422"/>
    </row>
    <row r="52977" spans="191:191" x14ac:dyDescent="0.2">
      <c r="GI52977" s="422"/>
    </row>
    <row r="52978" spans="191:191" x14ac:dyDescent="0.2">
      <c r="GI52978" s="422"/>
    </row>
    <row r="52979" spans="191:191" x14ac:dyDescent="0.2">
      <c r="GI52979" s="422"/>
    </row>
    <row r="52980" spans="191:191" x14ac:dyDescent="0.2">
      <c r="GI52980" s="422"/>
    </row>
    <row r="52981" spans="191:191" x14ac:dyDescent="0.2">
      <c r="GI52981" s="422"/>
    </row>
    <row r="52982" spans="191:191" x14ac:dyDescent="0.2">
      <c r="GI52982" s="422"/>
    </row>
    <row r="52983" spans="191:191" x14ac:dyDescent="0.2">
      <c r="GI52983" s="422"/>
    </row>
    <row r="52984" spans="191:191" x14ac:dyDescent="0.2">
      <c r="GI52984" s="422"/>
    </row>
    <row r="52985" spans="191:191" x14ac:dyDescent="0.2">
      <c r="GI52985" s="422"/>
    </row>
    <row r="52986" spans="191:191" x14ac:dyDescent="0.2">
      <c r="GI52986" s="422"/>
    </row>
    <row r="52987" spans="191:191" x14ac:dyDescent="0.2">
      <c r="GI52987" s="422"/>
    </row>
    <row r="52988" spans="191:191" x14ac:dyDescent="0.2">
      <c r="GI52988" s="422"/>
    </row>
    <row r="52989" spans="191:191" x14ac:dyDescent="0.2">
      <c r="GI52989" s="422"/>
    </row>
    <row r="52990" spans="191:191" x14ac:dyDescent="0.2">
      <c r="GI52990" s="422"/>
    </row>
    <row r="52991" spans="191:191" x14ac:dyDescent="0.2">
      <c r="GI52991" s="422"/>
    </row>
    <row r="52992" spans="191:191" x14ac:dyDescent="0.2">
      <c r="GI52992" s="422"/>
    </row>
    <row r="52993" spans="191:191" x14ac:dyDescent="0.2">
      <c r="GI52993" s="422"/>
    </row>
    <row r="52994" spans="191:191" x14ac:dyDescent="0.2">
      <c r="GI52994" s="422"/>
    </row>
    <row r="52995" spans="191:191" x14ac:dyDescent="0.2">
      <c r="GI52995" s="422"/>
    </row>
    <row r="52996" spans="191:191" x14ac:dyDescent="0.2">
      <c r="GI52996" s="422"/>
    </row>
    <row r="52997" spans="191:191" x14ac:dyDescent="0.2">
      <c r="GI52997" s="422"/>
    </row>
    <row r="52998" spans="191:191" x14ac:dyDescent="0.2">
      <c r="GI52998" s="422"/>
    </row>
    <row r="52999" spans="191:191" x14ac:dyDescent="0.2">
      <c r="GI52999" s="422"/>
    </row>
    <row r="53000" spans="191:191" x14ac:dyDescent="0.2">
      <c r="GI53000" s="422"/>
    </row>
    <row r="53001" spans="191:191" x14ac:dyDescent="0.2">
      <c r="GI53001" s="422"/>
    </row>
    <row r="53002" spans="191:191" x14ac:dyDescent="0.2">
      <c r="GI53002" s="422"/>
    </row>
    <row r="53003" spans="191:191" x14ac:dyDescent="0.2">
      <c r="GI53003" s="422"/>
    </row>
    <row r="53004" spans="191:191" x14ac:dyDescent="0.2">
      <c r="GI53004" s="422"/>
    </row>
    <row r="53005" spans="191:191" x14ac:dyDescent="0.2">
      <c r="GI53005" s="422"/>
    </row>
    <row r="53006" spans="191:191" x14ac:dyDescent="0.2">
      <c r="GI53006" s="422"/>
    </row>
    <row r="53007" spans="191:191" x14ac:dyDescent="0.2">
      <c r="GI53007" s="422"/>
    </row>
    <row r="53008" spans="191:191" x14ac:dyDescent="0.2">
      <c r="GI53008" s="422"/>
    </row>
    <row r="53009" spans="191:191" x14ac:dyDescent="0.2">
      <c r="GI53009" s="422"/>
    </row>
    <row r="53010" spans="191:191" x14ac:dyDescent="0.2">
      <c r="GI53010" s="422"/>
    </row>
    <row r="53011" spans="191:191" x14ac:dyDescent="0.2">
      <c r="GI53011" s="422"/>
    </row>
    <row r="53012" spans="191:191" x14ac:dyDescent="0.2">
      <c r="GI53012" s="422"/>
    </row>
    <row r="53013" spans="191:191" x14ac:dyDescent="0.2">
      <c r="GI53013" s="422"/>
    </row>
    <row r="53014" spans="191:191" x14ac:dyDescent="0.2">
      <c r="GI53014" s="422"/>
    </row>
    <row r="53015" spans="191:191" x14ac:dyDescent="0.2">
      <c r="GI53015" s="422"/>
    </row>
    <row r="53016" spans="191:191" x14ac:dyDescent="0.2">
      <c r="GI53016" s="422"/>
    </row>
    <row r="53017" spans="191:191" x14ac:dyDescent="0.2">
      <c r="GI53017" s="422"/>
    </row>
    <row r="53018" spans="191:191" x14ac:dyDescent="0.2">
      <c r="GI53018" s="422"/>
    </row>
    <row r="53019" spans="191:191" x14ac:dyDescent="0.2">
      <c r="GI53019" s="422"/>
    </row>
    <row r="53020" spans="191:191" x14ac:dyDescent="0.2">
      <c r="GI53020" s="422"/>
    </row>
    <row r="53021" spans="191:191" x14ac:dyDescent="0.2">
      <c r="GI53021" s="422"/>
    </row>
    <row r="53022" spans="191:191" x14ac:dyDescent="0.2">
      <c r="GI53022" s="422"/>
    </row>
    <row r="53023" spans="191:191" x14ac:dyDescent="0.2">
      <c r="GI53023" s="422"/>
    </row>
    <row r="53024" spans="191:191" x14ac:dyDescent="0.2">
      <c r="GI53024" s="422"/>
    </row>
    <row r="53025" spans="191:191" x14ac:dyDescent="0.2">
      <c r="GI53025" s="422"/>
    </row>
    <row r="53026" spans="191:191" x14ac:dyDescent="0.2">
      <c r="GI53026" s="422"/>
    </row>
    <row r="53027" spans="191:191" x14ac:dyDescent="0.2">
      <c r="GI53027" s="422"/>
    </row>
    <row r="53028" spans="191:191" x14ac:dyDescent="0.2">
      <c r="GI53028" s="422"/>
    </row>
    <row r="53029" spans="191:191" x14ac:dyDescent="0.2">
      <c r="GI53029" s="422"/>
    </row>
    <row r="53030" spans="191:191" x14ac:dyDescent="0.2">
      <c r="GI53030" s="422"/>
    </row>
    <row r="53031" spans="191:191" x14ac:dyDescent="0.2">
      <c r="GI53031" s="422"/>
    </row>
    <row r="53032" spans="191:191" x14ac:dyDescent="0.2">
      <c r="GI53032" s="422"/>
    </row>
    <row r="53033" spans="191:191" x14ac:dyDescent="0.2">
      <c r="GI53033" s="422"/>
    </row>
    <row r="53034" spans="191:191" x14ac:dyDescent="0.2">
      <c r="GI53034" s="422"/>
    </row>
    <row r="53035" spans="191:191" x14ac:dyDescent="0.2">
      <c r="GI53035" s="422"/>
    </row>
    <row r="53036" spans="191:191" x14ac:dyDescent="0.2">
      <c r="GI53036" s="422"/>
    </row>
    <row r="53037" spans="191:191" x14ac:dyDescent="0.2">
      <c r="GI53037" s="422"/>
    </row>
    <row r="53038" spans="191:191" x14ac:dyDescent="0.2">
      <c r="GI53038" s="422"/>
    </row>
    <row r="53039" spans="191:191" x14ac:dyDescent="0.2">
      <c r="GI53039" s="422"/>
    </row>
    <row r="53040" spans="191:191" x14ac:dyDescent="0.2">
      <c r="GI53040" s="422"/>
    </row>
    <row r="53041" spans="191:191" x14ac:dyDescent="0.2">
      <c r="GI53041" s="422"/>
    </row>
    <row r="53042" spans="191:191" x14ac:dyDescent="0.2">
      <c r="GI53042" s="422"/>
    </row>
    <row r="53043" spans="191:191" x14ac:dyDescent="0.2">
      <c r="GI53043" s="422"/>
    </row>
    <row r="53044" spans="191:191" x14ac:dyDescent="0.2">
      <c r="GI53044" s="422"/>
    </row>
    <row r="53045" spans="191:191" x14ac:dyDescent="0.2">
      <c r="GI53045" s="422"/>
    </row>
    <row r="53046" spans="191:191" x14ac:dyDescent="0.2">
      <c r="GI53046" s="422"/>
    </row>
    <row r="53047" spans="191:191" x14ac:dyDescent="0.2">
      <c r="GI53047" s="422"/>
    </row>
    <row r="53048" spans="191:191" x14ac:dyDescent="0.2">
      <c r="GI53048" s="422"/>
    </row>
    <row r="53049" spans="191:191" x14ac:dyDescent="0.2">
      <c r="GI53049" s="422"/>
    </row>
    <row r="53050" spans="191:191" x14ac:dyDescent="0.2">
      <c r="GI53050" s="422"/>
    </row>
    <row r="53051" spans="191:191" x14ac:dyDescent="0.2">
      <c r="GI53051" s="422"/>
    </row>
    <row r="53052" spans="191:191" x14ac:dyDescent="0.2">
      <c r="GI53052" s="422"/>
    </row>
    <row r="53053" spans="191:191" x14ac:dyDescent="0.2">
      <c r="GI53053" s="422"/>
    </row>
    <row r="53054" spans="191:191" x14ac:dyDescent="0.2">
      <c r="GI53054" s="422"/>
    </row>
    <row r="53055" spans="191:191" x14ac:dyDescent="0.2">
      <c r="GI53055" s="422"/>
    </row>
    <row r="53056" spans="191:191" x14ac:dyDescent="0.2">
      <c r="GI53056" s="422"/>
    </row>
    <row r="53057" spans="191:191" x14ac:dyDescent="0.2">
      <c r="GI53057" s="422"/>
    </row>
    <row r="53058" spans="191:191" x14ac:dyDescent="0.2">
      <c r="GI53058" s="422"/>
    </row>
    <row r="53059" spans="191:191" x14ac:dyDescent="0.2">
      <c r="GI53059" s="422"/>
    </row>
    <row r="53060" spans="191:191" x14ac:dyDescent="0.2">
      <c r="GI53060" s="422"/>
    </row>
    <row r="53061" spans="191:191" x14ac:dyDescent="0.2">
      <c r="GI53061" s="422"/>
    </row>
    <row r="53062" spans="191:191" x14ac:dyDescent="0.2">
      <c r="GI53062" s="422"/>
    </row>
    <row r="53063" spans="191:191" x14ac:dyDescent="0.2">
      <c r="GI53063" s="422"/>
    </row>
    <row r="53064" spans="191:191" x14ac:dyDescent="0.2">
      <c r="GI53064" s="422"/>
    </row>
    <row r="53065" spans="191:191" x14ac:dyDescent="0.2">
      <c r="GI53065" s="422"/>
    </row>
    <row r="53066" spans="191:191" x14ac:dyDescent="0.2">
      <c r="GI53066" s="422"/>
    </row>
    <row r="53067" spans="191:191" x14ac:dyDescent="0.2">
      <c r="GI53067" s="422"/>
    </row>
    <row r="53068" spans="191:191" x14ac:dyDescent="0.2">
      <c r="GI53068" s="422"/>
    </row>
    <row r="53069" spans="191:191" x14ac:dyDescent="0.2">
      <c r="GI53069" s="422"/>
    </row>
    <row r="53070" spans="191:191" x14ac:dyDescent="0.2">
      <c r="GI53070" s="422"/>
    </row>
    <row r="53071" spans="191:191" x14ac:dyDescent="0.2">
      <c r="GI53071" s="422"/>
    </row>
    <row r="53072" spans="191:191" x14ac:dyDescent="0.2">
      <c r="GI53072" s="422"/>
    </row>
    <row r="53073" spans="191:191" x14ac:dyDescent="0.2">
      <c r="GI53073" s="422"/>
    </row>
    <row r="53074" spans="191:191" x14ac:dyDescent="0.2">
      <c r="GI53074" s="422"/>
    </row>
    <row r="53075" spans="191:191" x14ac:dyDescent="0.2">
      <c r="GI53075" s="422"/>
    </row>
    <row r="53076" spans="191:191" x14ac:dyDescent="0.2">
      <c r="GI53076" s="422"/>
    </row>
    <row r="53077" spans="191:191" x14ac:dyDescent="0.2">
      <c r="GI53077" s="422"/>
    </row>
    <row r="53078" spans="191:191" x14ac:dyDescent="0.2">
      <c r="GI53078" s="422"/>
    </row>
    <row r="53079" spans="191:191" x14ac:dyDescent="0.2">
      <c r="GI53079" s="422"/>
    </row>
    <row r="53080" spans="191:191" x14ac:dyDescent="0.2">
      <c r="GI53080" s="422"/>
    </row>
    <row r="53081" spans="191:191" x14ac:dyDescent="0.2">
      <c r="GI53081" s="422"/>
    </row>
    <row r="53082" spans="191:191" x14ac:dyDescent="0.2">
      <c r="GI53082" s="422"/>
    </row>
    <row r="53083" spans="191:191" x14ac:dyDescent="0.2">
      <c r="GI53083" s="422"/>
    </row>
    <row r="53084" spans="191:191" x14ac:dyDescent="0.2">
      <c r="GI53084" s="422"/>
    </row>
    <row r="53085" spans="191:191" x14ac:dyDescent="0.2">
      <c r="GI53085" s="422"/>
    </row>
    <row r="53086" spans="191:191" x14ac:dyDescent="0.2">
      <c r="GI53086" s="422"/>
    </row>
    <row r="53087" spans="191:191" x14ac:dyDescent="0.2">
      <c r="GI53087" s="422"/>
    </row>
    <row r="53088" spans="191:191" x14ac:dyDescent="0.2">
      <c r="GI53088" s="422"/>
    </row>
    <row r="53089" spans="191:191" x14ac:dyDescent="0.2">
      <c r="GI53089" s="422"/>
    </row>
    <row r="53090" spans="191:191" x14ac:dyDescent="0.2">
      <c r="GI53090" s="422"/>
    </row>
    <row r="53091" spans="191:191" x14ac:dyDescent="0.2">
      <c r="GI53091" s="422"/>
    </row>
    <row r="53092" spans="191:191" x14ac:dyDescent="0.2">
      <c r="GI53092" s="422"/>
    </row>
    <row r="53093" spans="191:191" x14ac:dyDescent="0.2">
      <c r="GI53093" s="422"/>
    </row>
    <row r="53094" spans="191:191" x14ac:dyDescent="0.2">
      <c r="GI53094" s="422"/>
    </row>
    <row r="53095" spans="191:191" x14ac:dyDescent="0.2">
      <c r="GI53095" s="422"/>
    </row>
    <row r="53096" spans="191:191" x14ac:dyDescent="0.2">
      <c r="GI53096" s="422"/>
    </row>
    <row r="53097" spans="191:191" x14ac:dyDescent="0.2">
      <c r="GI53097" s="422"/>
    </row>
    <row r="53098" spans="191:191" x14ac:dyDescent="0.2">
      <c r="GI53098" s="422"/>
    </row>
    <row r="53099" spans="191:191" x14ac:dyDescent="0.2">
      <c r="GI53099" s="422"/>
    </row>
    <row r="53100" spans="191:191" x14ac:dyDescent="0.2">
      <c r="GI53100" s="422"/>
    </row>
    <row r="53101" spans="191:191" x14ac:dyDescent="0.2">
      <c r="GI53101" s="422"/>
    </row>
    <row r="53102" spans="191:191" x14ac:dyDescent="0.2">
      <c r="GI53102" s="422"/>
    </row>
    <row r="53103" spans="191:191" x14ac:dyDescent="0.2">
      <c r="GI53103" s="422"/>
    </row>
    <row r="53104" spans="191:191" x14ac:dyDescent="0.2">
      <c r="GI53104" s="422"/>
    </row>
    <row r="53105" spans="191:191" x14ac:dyDescent="0.2">
      <c r="GI53105" s="422"/>
    </row>
    <row r="53106" spans="191:191" x14ac:dyDescent="0.2">
      <c r="GI53106" s="422"/>
    </row>
    <row r="53107" spans="191:191" x14ac:dyDescent="0.2">
      <c r="GI53107" s="422"/>
    </row>
    <row r="53108" spans="191:191" x14ac:dyDescent="0.2">
      <c r="GI53108" s="422"/>
    </row>
    <row r="53109" spans="191:191" x14ac:dyDescent="0.2">
      <c r="GI53109" s="422"/>
    </row>
    <row r="53110" spans="191:191" x14ac:dyDescent="0.2">
      <c r="GI53110" s="422"/>
    </row>
    <row r="53111" spans="191:191" x14ac:dyDescent="0.2">
      <c r="GI53111" s="422"/>
    </row>
    <row r="53112" spans="191:191" x14ac:dyDescent="0.2">
      <c r="GI53112" s="422"/>
    </row>
    <row r="53113" spans="191:191" x14ac:dyDescent="0.2">
      <c r="GI53113" s="422"/>
    </row>
    <row r="53114" spans="191:191" x14ac:dyDescent="0.2">
      <c r="GI53114" s="422"/>
    </row>
    <row r="53115" spans="191:191" x14ac:dyDescent="0.2">
      <c r="GI53115" s="422"/>
    </row>
    <row r="53116" spans="191:191" x14ac:dyDescent="0.2">
      <c r="GI53116" s="422"/>
    </row>
    <row r="53117" spans="191:191" x14ac:dyDescent="0.2">
      <c r="GI53117" s="422"/>
    </row>
    <row r="53118" spans="191:191" x14ac:dyDescent="0.2">
      <c r="GI53118" s="422"/>
    </row>
    <row r="53119" spans="191:191" x14ac:dyDescent="0.2">
      <c r="GI53119" s="422"/>
    </row>
    <row r="53120" spans="191:191" x14ac:dyDescent="0.2">
      <c r="GI53120" s="422"/>
    </row>
    <row r="53121" spans="191:191" x14ac:dyDescent="0.2">
      <c r="GI53121" s="422"/>
    </row>
    <row r="53122" spans="191:191" x14ac:dyDescent="0.2">
      <c r="GI53122" s="422"/>
    </row>
    <row r="53123" spans="191:191" x14ac:dyDescent="0.2">
      <c r="GI53123" s="422"/>
    </row>
    <row r="53124" spans="191:191" x14ac:dyDescent="0.2">
      <c r="GI53124" s="422"/>
    </row>
    <row r="53125" spans="191:191" x14ac:dyDescent="0.2">
      <c r="GI53125" s="422"/>
    </row>
    <row r="53126" spans="191:191" x14ac:dyDescent="0.2">
      <c r="GI53126" s="422"/>
    </row>
    <row r="53127" spans="191:191" x14ac:dyDescent="0.2">
      <c r="GI53127" s="422"/>
    </row>
    <row r="53128" spans="191:191" x14ac:dyDescent="0.2">
      <c r="GI53128" s="422"/>
    </row>
    <row r="53129" spans="191:191" x14ac:dyDescent="0.2">
      <c r="GI53129" s="422"/>
    </row>
    <row r="53130" spans="191:191" x14ac:dyDescent="0.2">
      <c r="GI53130" s="422"/>
    </row>
    <row r="53131" spans="191:191" x14ac:dyDescent="0.2">
      <c r="GI53131" s="422"/>
    </row>
    <row r="53132" spans="191:191" x14ac:dyDescent="0.2">
      <c r="GI53132" s="422"/>
    </row>
    <row r="53133" spans="191:191" x14ac:dyDescent="0.2">
      <c r="GI53133" s="422"/>
    </row>
    <row r="53134" spans="191:191" x14ac:dyDescent="0.2">
      <c r="GI53134" s="422"/>
    </row>
    <row r="53135" spans="191:191" x14ac:dyDescent="0.2">
      <c r="GI53135" s="422"/>
    </row>
    <row r="53136" spans="191:191" x14ac:dyDescent="0.2">
      <c r="GI53136" s="422"/>
    </row>
    <row r="53137" spans="191:191" x14ac:dyDescent="0.2">
      <c r="GI53137" s="422"/>
    </row>
    <row r="53138" spans="191:191" x14ac:dyDescent="0.2">
      <c r="GI53138" s="422"/>
    </row>
    <row r="53139" spans="191:191" x14ac:dyDescent="0.2">
      <c r="GI53139" s="422"/>
    </row>
    <row r="53140" spans="191:191" x14ac:dyDescent="0.2">
      <c r="GI53140" s="422"/>
    </row>
    <row r="53141" spans="191:191" x14ac:dyDescent="0.2">
      <c r="GI53141" s="422"/>
    </row>
    <row r="53142" spans="191:191" x14ac:dyDescent="0.2">
      <c r="GI53142" s="422"/>
    </row>
    <row r="53143" spans="191:191" x14ac:dyDescent="0.2">
      <c r="GI53143" s="422"/>
    </row>
    <row r="53144" spans="191:191" x14ac:dyDescent="0.2">
      <c r="GI53144" s="422"/>
    </row>
    <row r="53145" spans="191:191" x14ac:dyDescent="0.2">
      <c r="GI53145" s="422"/>
    </row>
    <row r="53146" spans="191:191" x14ac:dyDescent="0.2">
      <c r="GI53146" s="422"/>
    </row>
    <row r="53147" spans="191:191" x14ac:dyDescent="0.2">
      <c r="GI53147" s="422"/>
    </row>
    <row r="53148" spans="191:191" x14ac:dyDescent="0.2">
      <c r="GI53148" s="422"/>
    </row>
    <row r="53149" spans="191:191" x14ac:dyDescent="0.2">
      <c r="GI53149" s="422"/>
    </row>
    <row r="53150" spans="191:191" x14ac:dyDescent="0.2">
      <c r="GI53150" s="422"/>
    </row>
    <row r="53151" spans="191:191" x14ac:dyDescent="0.2">
      <c r="GI53151" s="422"/>
    </row>
    <row r="53152" spans="191:191" x14ac:dyDescent="0.2">
      <c r="GI53152" s="422"/>
    </row>
    <row r="53153" spans="191:191" x14ac:dyDescent="0.2">
      <c r="GI53153" s="422"/>
    </row>
    <row r="53154" spans="191:191" x14ac:dyDescent="0.2">
      <c r="GI53154" s="422"/>
    </row>
    <row r="53155" spans="191:191" x14ac:dyDescent="0.2">
      <c r="GI53155" s="422"/>
    </row>
    <row r="53156" spans="191:191" x14ac:dyDescent="0.2">
      <c r="GI53156" s="422"/>
    </row>
    <row r="53157" spans="191:191" x14ac:dyDescent="0.2">
      <c r="GI53157" s="422"/>
    </row>
    <row r="53158" spans="191:191" x14ac:dyDescent="0.2">
      <c r="GI53158" s="422"/>
    </row>
    <row r="53159" spans="191:191" x14ac:dyDescent="0.2">
      <c r="GI53159" s="422"/>
    </row>
    <row r="53160" spans="191:191" x14ac:dyDescent="0.2">
      <c r="GI53160" s="422"/>
    </row>
    <row r="53161" spans="191:191" x14ac:dyDescent="0.2">
      <c r="GI53161" s="422"/>
    </row>
    <row r="53162" spans="191:191" x14ac:dyDescent="0.2">
      <c r="GI53162" s="422"/>
    </row>
    <row r="53163" spans="191:191" x14ac:dyDescent="0.2">
      <c r="GI53163" s="422"/>
    </row>
    <row r="53164" spans="191:191" x14ac:dyDescent="0.2">
      <c r="GI53164" s="422"/>
    </row>
    <row r="53165" spans="191:191" x14ac:dyDescent="0.2">
      <c r="GI53165" s="422"/>
    </row>
    <row r="53166" spans="191:191" x14ac:dyDescent="0.2">
      <c r="GI53166" s="422"/>
    </row>
    <row r="53167" spans="191:191" x14ac:dyDescent="0.2">
      <c r="GI53167" s="422"/>
    </row>
    <row r="53168" spans="191:191" x14ac:dyDescent="0.2">
      <c r="GI53168" s="422"/>
    </row>
    <row r="53169" spans="191:191" x14ac:dyDescent="0.2">
      <c r="GI53169" s="422"/>
    </row>
    <row r="53170" spans="191:191" x14ac:dyDescent="0.2">
      <c r="GI53170" s="422"/>
    </row>
    <row r="53171" spans="191:191" x14ac:dyDescent="0.2">
      <c r="GI53171" s="422"/>
    </row>
    <row r="53172" spans="191:191" x14ac:dyDescent="0.2">
      <c r="GI53172" s="422"/>
    </row>
    <row r="53173" spans="191:191" x14ac:dyDescent="0.2">
      <c r="GI53173" s="422"/>
    </row>
    <row r="53174" spans="191:191" x14ac:dyDescent="0.2">
      <c r="GI53174" s="422"/>
    </row>
    <row r="53175" spans="191:191" x14ac:dyDescent="0.2">
      <c r="GI53175" s="422"/>
    </row>
    <row r="53176" spans="191:191" x14ac:dyDescent="0.2">
      <c r="GI53176" s="422"/>
    </row>
    <row r="53177" spans="191:191" x14ac:dyDescent="0.2">
      <c r="GI53177" s="422"/>
    </row>
    <row r="53178" spans="191:191" x14ac:dyDescent="0.2">
      <c r="GI53178" s="422"/>
    </row>
    <row r="53179" spans="191:191" x14ac:dyDescent="0.2">
      <c r="GI53179" s="422"/>
    </row>
    <row r="53180" spans="191:191" x14ac:dyDescent="0.2">
      <c r="GI53180" s="422"/>
    </row>
    <row r="53181" spans="191:191" x14ac:dyDescent="0.2">
      <c r="GI53181" s="422"/>
    </row>
    <row r="53182" spans="191:191" x14ac:dyDescent="0.2">
      <c r="GI53182" s="422"/>
    </row>
    <row r="53183" spans="191:191" x14ac:dyDescent="0.2">
      <c r="GI53183" s="422"/>
    </row>
    <row r="53184" spans="191:191" x14ac:dyDescent="0.2">
      <c r="GI53184" s="422"/>
    </row>
    <row r="53185" spans="191:191" x14ac:dyDescent="0.2">
      <c r="GI53185" s="422"/>
    </row>
    <row r="53186" spans="191:191" x14ac:dyDescent="0.2">
      <c r="GI53186" s="422"/>
    </row>
    <row r="53187" spans="191:191" x14ac:dyDescent="0.2">
      <c r="GI53187" s="422"/>
    </row>
    <row r="53188" spans="191:191" x14ac:dyDescent="0.2">
      <c r="GI53188" s="422"/>
    </row>
    <row r="53189" spans="191:191" x14ac:dyDescent="0.2">
      <c r="GI53189" s="422"/>
    </row>
    <row r="53190" spans="191:191" x14ac:dyDescent="0.2">
      <c r="GI53190" s="422"/>
    </row>
    <row r="53191" spans="191:191" x14ac:dyDescent="0.2">
      <c r="GI53191" s="422"/>
    </row>
    <row r="53192" spans="191:191" x14ac:dyDescent="0.2">
      <c r="GI53192" s="422"/>
    </row>
    <row r="53193" spans="191:191" x14ac:dyDescent="0.2">
      <c r="GI53193" s="422"/>
    </row>
    <row r="53194" spans="191:191" x14ac:dyDescent="0.2">
      <c r="GI53194" s="422"/>
    </row>
    <row r="53195" spans="191:191" x14ac:dyDescent="0.2">
      <c r="GI53195" s="422"/>
    </row>
    <row r="53196" spans="191:191" x14ac:dyDescent="0.2">
      <c r="GI53196" s="422"/>
    </row>
    <row r="53197" spans="191:191" x14ac:dyDescent="0.2">
      <c r="GI53197" s="422"/>
    </row>
    <row r="53198" spans="191:191" x14ac:dyDescent="0.2">
      <c r="GI53198" s="422"/>
    </row>
    <row r="53199" spans="191:191" x14ac:dyDescent="0.2">
      <c r="GI53199" s="422"/>
    </row>
    <row r="53200" spans="191:191" x14ac:dyDescent="0.2">
      <c r="GI53200" s="422"/>
    </row>
    <row r="53201" spans="191:191" x14ac:dyDescent="0.2">
      <c r="GI53201" s="422"/>
    </row>
    <row r="53202" spans="191:191" x14ac:dyDescent="0.2">
      <c r="GI53202" s="422"/>
    </row>
    <row r="53203" spans="191:191" x14ac:dyDescent="0.2">
      <c r="GI53203" s="422"/>
    </row>
    <row r="53204" spans="191:191" x14ac:dyDescent="0.2">
      <c r="GI53204" s="422"/>
    </row>
    <row r="53205" spans="191:191" x14ac:dyDescent="0.2">
      <c r="GI53205" s="422"/>
    </row>
    <row r="53206" spans="191:191" x14ac:dyDescent="0.2">
      <c r="GI53206" s="422"/>
    </row>
    <row r="53207" spans="191:191" x14ac:dyDescent="0.2">
      <c r="GI53207" s="422"/>
    </row>
    <row r="53208" spans="191:191" x14ac:dyDescent="0.2">
      <c r="GI53208" s="422"/>
    </row>
    <row r="53209" spans="191:191" x14ac:dyDescent="0.2">
      <c r="GI53209" s="422"/>
    </row>
    <row r="53210" spans="191:191" x14ac:dyDescent="0.2">
      <c r="GI53210" s="422"/>
    </row>
    <row r="53211" spans="191:191" x14ac:dyDescent="0.2">
      <c r="GI53211" s="422"/>
    </row>
    <row r="53212" spans="191:191" x14ac:dyDescent="0.2">
      <c r="GI53212" s="422"/>
    </row>
    <row r="53213" spans="191:191" x14ac:dyDescent="0.2">
      <c r="GI53213" s="422"/>
    </row>
    <row r="53214" spans="191:191" x14ac:dyDescent="0.2">
      <c r="GI53214" s="422"/>
    </row>
    <row r="53215" spans="191:191" x14ac:dyDescent="0.2">
      <c r="GI53215" s="422"/>
    </row>
    <row r="53216" spans="191:191" x14ac:dyDescent="0.2">
      <c r="GI53216" s="422"/>
    </row>
    <row r="53217" spans="191:191" x14ac:dyDescent="0.2">
      <c r="GI53217" s="422"/>
    </row>
    <row r="53218" spans="191:191" x14ac:dyDescent="0.2">
      <c r="GI53218" s="422"/>
    </row>
    <row r="53219" spans="191:191" x14ac:dyDescent="0.2">
      <c r="GI53219" s="422"/>
    </row>
    <row r="53220" spans="191:191" x14ac:dyDescent="0.2">
      <c r="GI53220" s="422"/>
    </row>
    <row r="53221" spans="191:191" x14ac:dyDescent="0.2">
      <c r="GI53221" s="422"/>
    </row>
    <row r="53222" spans="191:191" x14ac:dyDescent="0.2">
      <c r="GI53222" s="422"/>
    </row>
    <row r="53223" spans="191:191" x14ac:dyDescent="0.2">
      <c r="GI53223" s="422"/>
    </row>
    <row r="53224" spans="191:191" x14ac:dyDescent="0.2">
      <c r="GI53224" s="422"/>
    </row>
    <row r="53225" spans="191:191" x14ac:dyDescent="0.2">
      <c r="GI53225" s="422"/>
    </row>
    <row r="53226" spans="191:191" x14ac:dyDescent="0.2">
      <c r="GI53226" s="422"/>
    </row>
    <row r="53227" spans="191:191" x14ac:dyDescent="0.2">
      <c r="GI53227" s="422"/>
    </row>
    <row r="53228" spans="191:191" x14ac:dyDescent="0.2">
      <c r="GI53228" s="422"/>
    </row>
    <row r="53229" spans="191:191" x14ac:dyDescent="0.2">
      <c r="GI53229" s="422"/>
    </row>
    <row r="53230" spans="191:191" x14ac:dyDescent="0.2">
      <c r="GI53230" s="422"/>
    </row>
    <row r="53231" spans="191:191" x14ac:dyDescent="0.2">
      <c r="GI53231" s="422"/>
    </row>
    <row r="53232" spans="191:191" x14ac:dyDescent="0.2">
      <c r="GI53232" s="422"/>
    </row>
    <row r="53233" spans="191:191" x14ac:dyDescent="0.2">
      <c r="GI53233" s="422"/>
    </row>
    <row r="53234" spans="191:191" x14ac:dyDescent="0.2">
      <c r="GI53234" s="422"/>
    </row>
    <row r="53235" spans="191:191" x14ac:dyDescent="0.2">
      <c r="GI53235" s="422"/>
    </row>
    <row r="53236" spans="191:191" x14ac:dyDescent="0.2">
      <c r="GI53236" s="422"/>
    </row>
    <row r="53237" spans="191:191" x14ac:dyDescent="0.2">
      <c r="GI53237" s="422"/>
    </row>
    <row r="53238" spans="191:191" x14ac:dyDescent="0.2">
      <c r="GI53238" s="422"/>
    </row>
    <row r="53239" spans="191:191" x14ac:dyDescent="0.2">
      <c r="GI53239" s="422"/>
    </row>
    <row r="53240" spans="191:191" x14ac:dyDescent="0.2">
      <c r="GI53240" s="422"/>
    </row>
    <row r="53241" spans="191:191" x14ac:dyDescent="0.2">
      <c r="GI53241" s="422"/>
    </row>
    <row r="53242" spans="191:191" x14ac:dyDescent="0.2">
      <c r="GI53242" s="422"/>
    </row>
    <row r="53243" spans="191:191" x14ac:dyDescent="0.2">
      <c r="GI53243" s="422"/>
    </row>
    <row r="53244" spans="191:191" x14ac:dyDescent="0.2">
      <c r="GI53244" s="422"/>
    </row>
    <row r="53245" spans="191:191" x14ac:dyDescent="0.2">
      <c r="GI53245" s="422"/>
    </row>
    <row r="53246" spans="191:191" x14ac:dyDescent="0.2">
      <c r="GI53246" s="422"/>
    </row>
    <row r="53247" spans="191:191" x14ac:dyDescent="0.2">
      <c r="GI53247" s="422"/>
    </row>
    <row r="53248" spans="191:191" x14ac:dyDescent="0.2">
      <c r="GI53248" s="422"/>
    </row>
    <row r="53249" spans="191:191" x14ac:dyDescent="0.2">
      <c r="GI53249" s="422"/>
    </row>
    <row r="53250" spans="191:191" x14ac:dyDescent="0.2">
      <c r="GI53250" s="422"/>
    </row>
    <row r="53251" spans="191:191" x14ac:dyDescent="0.2">
      <c r="GI53251" s="422"/>
    </row>
    <row r="53252" spans="191:191" x14ac:dyDescent="0.2">
      <c r="GI53252" s="422"/>
    </row>
    <row r="53253" spans="191:191" x14ac:dyDescent="0.2">
      <c r="GI53253" s="422"/>
    </row>
    <row r="53254" spans="191:191" x14ac:dyDescent="0.2">
      <c r="GI53254" s="422"/>
    </row>
    <row r="53255" spans="191:191" x14ac:dyDescent="0.2">
      <c r="GI53255" s="422"/>
    </row>
    <row r="53256" spans="191:191" x14ac:dyDescent="0.2">
      <c r="GI53256" s="422"/>
    </row>
    <row r="53257" spans="191:191" x14ac:dyDescent="0.2">
      <c r="GI53257" s="422"/>
    </row>
    <row r="53258" spans="191:191" x14ac:dyDescent="0.2">
      <c r="GI53258" s="422"/>
    </row>
    <row r="53259" spans="191:191" x14ac:dyDescent="0.2">
      <c r="GI53259" s="422"/>
    </row>
    <row r="53260" spans="191:191" x14ac:dyDescent="0.2">
      <c r="GI53260" s="422"/>
    </row>
    <row r="53261" spans="191:191" x14ac:dyDescent="0.2">
      <c r="GI53261" s="422"/>
    </row>
    <row r="53262" spans="191:191" x14ac:dyDescent="0.2">
      <c r="GI53262" s="422"/>
    </row>
    <row r="53263" spans="191:191" x14ac:dyDescent="0.2">
      <c r="GI53263" s="422"/>
    </row>
    <row r="53264" spans="191:191" x14ac:dyDescent="0.2">
      <c r="GI53264" s="422"/>
    </row>
    <row r="53265" spans="191:191" x14ac:dyDescent="0.2">
      <c r="GI53265" s="422"/>
    </row>
    <row r="53266" spans="191:191" x14ac:dyDescent="0.2">
      <c r="GI53266" s="422"/>
    </row>
    <row r="53267" spans="191:191" x14ac:dyDescent="0.2">
      <c r="GI53267" s="422"/>
    </row>
    <row r="53268" spans="191:191" x14ac:dyDescent="0.2">
      <c r="GI53268" s="422"/>
    </row>
    <row r="53269" spans="191:191" x14ac:dyDescent="0.2">
      <c r="GI53269" s="422"/>
    </row>
    <row r="53270" spans="191:191" x14ac:dyDescent="0.2">
      <c r="GI53270" s="422"/>
    </row>
    <row r="53271" spans="191:191" x14ac:dyDescent="0.2">
      <c r="GI53271" s="422"/>
    </row>
    <row r="53272" spans="191:191" x14ac:dyDescent="0.2">
      <c r="GI53272" s="422"/>
    </row>
    <row r="53273" spans="191:191" x14ac:dyDescent="0.2">
      <c r="GI53273" s="422"/>
    </row>
    <row r="53274" spans="191:191" x14ac:dyDescent="0.2">
      <c r="GI53274" s="422"/>
    </row>
    <row r="53275" spans="191:191" x14ac:dyDescent="0.2">
      <c r="GI53275" s="422"/>
    </row>
    <row r="53276" spans="191:191" x14ac:dyDescent="0.2">
      <c r="GI53276" s="422"/>
    </row>
    <row r="53277" spans="191:191" x14ac:dyDescent="0.2">
      <c r="GI53277" s="422"/>
    </row>
    <row r="53278" spans="191:191" x14ac:dyDescent="0.2">
      <c r="GI53278" s="422"/>
    </row>
    <row r="53279" spans="191:191" x14ac:dyDescent="0.2">
      <c r="GI53279" s="422"/>
    </row>
    <row r="53280" spans="191:191" x14ac:dyDescent="0.2">
      <c r="GI53280" s="422"/>
    </row>
    <row r="53281" spans="191:191" x14ac:dyDescent="0.2">
      <c r="GI53281" s="422"/>
    </row>
    <row r="53282" spans="191:191" x14ac:dyDescent="0.2">
      <c r="GI53282" s="422"/>
    </row>
    <row r="53283" spans="191:191" x14ac:dyDescent="0.2">
      <c r="GI53283" s="422"/>
    </row>
    <row r="53284" spans="191:191" x14ac:dyDescent="0.2">
      <c r="GI53284" s="422"/>
    </row>
    <row r="53285" spans="191:191" x14ac:dyDescent="0.2">
      <c r="GI53285" s="422"/>
    </row>
    <row r="53286" spans="191:191" x14ac:dyDescent="0.2">
      <c r="GI53286" s="422"/>
    </row>
    <row r="53287" spans="191:191" x14ac:dyDescent="0.2">
      <c r="GI53287" s="422"/>
    </row>
    <row r="53288" spans="191:191" x14ac:dyDescent="0.2">
      <c r="GI53288" s="422"/>
    </row>
    <row r="53289" spans="191:191" x14ac:dyDescent="0.2">
      <c r="GI53289" s="422"/>
    </row>
    <row r="53290" spans="191:191" x14ac:dyDescent="0.2">
      <c r="GI53290" s="422"/>
    </row>
    <row r="53291" spans="191:191" x14ac:dyDescent="0.2">
      <c r="GI53291" s="422"/>
    </row>
    <row r="53292" spans="191:191" x14ac:dyDescent="0.2">
      <c r="GI53292" s="422"/>
    </row>
    <row r="53293" spans="191:191" x14ac:dyDescent="0.2">
      <c r="GI53293" s="422"/>
    </row>
    <row r="53294" spans="191:191" x14ac:dyDescent="0.2">
      <c r="GI53294" s="422"/>
    </row>
    <row r="53295" spans="191:191" x14ac:dyDescent="0.2">
      <c r="GI53295" s="422"/>
    </row>
    <row r="53296" spans="191:191" x14ac:dyDescent="0.2">
      <c r="GI53296" s="422"/>
    </row>
    <row r="53297" spans="191:191" x14ac:dyDescent="0.2">
      <c r="GI53297" s="422"/>
    </row>
    <row r="53298" spans="191:191" x14ac:dyDescent="0.2">
      <c r="GI53298" s="422"/>
    </row>
    <row r="53299" spans="191:191" x14ac:dyDescent="0.2">
      <c r="GI53299" s="422"/>
    </row>
    <row r="53300" spans="191:191" x14ac:dyDescent="0.2">
      <c r="GI53300" s="422"/>
    </row>
    <row r="53301" spans="191:191" x14ac:dyDescent="0.2">
      <c r="GI53301" s="422"/>
    </row>
    <row r="53302" spans="191:191" x14ac:dyDescent="0.2">
      <c r="GI53302" s="422"/>
    </row>
    <row r="53303" spans="191:191" x14ac:dyDescent="0.2">
      <c r="GI53303" s="422"/>
    </row>
    <row r="53304" spans="191:191" x14ac:dyDescent="0.2">
      <c r="GI53304" s="422"/>
    </row>
    <row r="53305" spans="191:191" x14ac:dyDescent="0.2">
      <c r="GI53305" s="422"/>
    </row>
    <row r="53306" spans="191:191" x14ac:dyDescent="0.2">
      <c r="GI53306" s="422"/>
    </row>
    <row r="53307" spans="191:191" x14ac:dyDescent="0.2">
      <c r="GI53307" s="422"/>
    </row>
    <row r="53308" spans="191:191" x14ac:dyDescent="0.2">
      <c r="GI53308" s="422"/>
    </row>
    <row r="53309" spans="191:191" x14ac:dyDescent="0.2">
      <c r="GI53309" s="422"/>
    </row>
    <row r="53310" spans="191:191" x14ac:dyDescent="0.2">
      <c r="GI53310" s="422"/>
    </row>
    <row r="53311" spans="191:191" x14ac:dyDescent="0.2">
      <c r="GI53311" s="422"/>
    </row>
    <row r="53312" spans="191:191" x14ac:dyDescent="0.2">
      <c r="GI53312" s="422"/>
    </row>
    <row r="53313" spans="191:191" x14ac:dyDescent="0.2">
      <c r="GI53313" s="422"/>
    </row>
    <row r="53314" spans="191:191" x14ac:dyDescent="0.2">
      <c r="GI53314" s="422"/>
    </row>
    <row r="53315" spans="191:191" x14ac:dyDescent="0.2">
      <c r="GI53315" s="422"/>
    </row>
    <row r="53316" spans="191:191" x14ac:dyDescent="0.2">
      <c r="GI53316" s="422"/>
    </row>
    <row r="53317" spans="191:191" x14ac:dyDescent="0.2">
      <c r="GI53317" s="422"/>
    </row>
    <row r="53318" spans="191:191" x14ac:dyDescent="0.2">
      <c r="GI53318" s="422"/>
    </row>
    <row r="53319" spans="191:191" x14ac:dyDescent="0.2">
      <c r="GI53319" s="422"/>
    </row>
    <row r="53320" spans="191:191" x14ac:dyDescent="0.2">
      <c r="GI53320" s="422"/>
    </row>
    <row r="53321" spans="191:191" x14ac:dyDescent="0.2">
      <c r="GI53321" s="422"/>
    </row>
    <row r="53322" spans="191:191" x14ac:dyDescent="0.2">
      <c r="GI53322" s="422"/>
    </row>
    <row r="53323" spans="191:191" x14ac:dyDescent="0.2">
      <c r="GI53323" s="422"/>
    </row>
    <row r="53324" spans="191:191" x14ac:dyDescent="0.2">
      <c r="GI53324" s="422"/>
    </row>
    <row r="53325" spans="191:191" x14ac:dyDescent="0.2">
      <c r="GI53325" s="422"/>
    </row>
    <row r="53326" spans="191:191" x14ac:dyDescent="0.2">
      <c r="GI53326" s="422"/>
    </row>
    <row r="53327" spans="191:191" x14ac:dyDescent="0.2">
      <c r="GI53327" s="422"/>
    </row>
    <row r="53328" spans="191:191" x14ac:dyDescent="0.2">
      <c r="GI53328" s="422"/>
    </row>
    <row r="53329" spans="191:191" x14ac:dyDescent="0.2">
      <c r="GI53329" s="422"/>
    </row>
    <row r="53330" spans="191:191" x14ac:dyDescent="0.2">
      <c r="GI53330" s="422"/>
    </row>
    <row r="53331" spans="191:191" x14ac:dyDescent="0.2">
      <c r="GI53331" s="422"/>
    </row>
    <row r="53332" spans="191:191" x14ac:dyDescent="0.2">
      <c r="GI53332" s="422"/>
    </row>
    <row r="53333" spans="191:191" x14ac:dyDescent="0.2">
      <c r="GI53333" s="422"/>
    </row>
    <row r="53334" spans="191:191" x14ac:dyDescent="0.2">
      <c r="GI53334" s="422"/>
    </row>
    <row r="53335" spans="191:191" x14ac:dyDescent="0.2">
      <c r="GI53335" s="422"/>
    </row>
    <row r="53336" spans="191:191" x14ac:dyDescent="0.2">
      <c r="GI53336" s="422"/>
    </row>
    <row r="53337" spans="191:191" x14ac:dyDescent="0.2">
      <c r="GI53337" s="422"/>
    </row>
    <row r="53338" spans="191:191" x14ac:dyDescent="0.2">
      <c r="GI53338" s="422"/>
    </row>
    <row r="53339" spans="191:191" x14ac:dyDescent="0.2">
      <c r="GI53339" s="422"/>
    </row>
    <row r="53340" spans="191:191" x14ac:dyDescent="0.2">
      <c r="GI53340" s="422"/>
    </row>
    <row r="53341" spans="191:191" x14ac:dyDescent="0.2">
      <c r="GI53341" s="422"/>
    </row>
    <row r="53342" spans="191:191" x14ac:dyDescent="0.2">
      <c r="GI53342" s="422"/>
    </row>
    <row r="53343" spans="191:191" x14ac:dyDescent="0.2">
      <c r="GI53343" s="422"/>
    </row>
    <row r="53344" spans="191:191" x14ac:dyDescent="0.2">
      <c r="GI53344" s="422"/>
    </row>
    <row r="53345" spans="191:191" x14ac:dyDescent="0.2">
      <c r="GI53345" s="422"/>
    </row>
    <row r="53346" spans="191:191" x14ac:dyDescent="0.2">
      <c r="GI53346" s="422"/>
    </row>
    <row r="53347" spans="191:191" x14ac:dyDescent="0.2">
      <c r="GI53347" s="422"/>
    </row>
    <row r="53348" spans="191:191" x14ac:dyDescent="0.2">
      <c r="GI53348" s="422"/>
    </row>
    <row r="53349" spans="191:191" x14ac:dyDescent="0.2">
      <c r="GI53349" s="422"/>
    </row>
    <row r="53350" spans="191:191" x14ac:dyDescent="0.2">
      <c r="GI53350" s="422"/>
    </row>
    <row r="53351" spans="191:191" x14ac:dyDescent="0.2">
      <c r="GI53351" s="422"/>
    </row>
    <row r="53352" spans="191:191" x14ac:dyDescent="0.2">
      <c r="GI53352" s="422"/>
    </row>
    <row r="53353" spans="191:191" x14ac:dyDescent="0.2">
      <c r="GI53353" s="422"/>
    </row>
    <row r="53354" spans="191:191" x14ac:dyDescent="0.2">
      <c r="GI53354" s="422"/>
    </row>
    <row r="53355" spans="191:191" x14ac:dyDescent="0.2">
      <c r="GI53355" s="422"/>
    </row>
    <row r="53356" spans="191:191" x14ac:dyDescent="0.2">
      <c r="GI53356" s="422"/>
    </row>
    <row r="53357" spans="191:191" x14ac:dyDescent="0.2">
      <c r="GI53357" s="422"/>
    </row>
    <row r="53358" spans="191:191" x14ac:dyDescent="0.2">
      <c r="GI53358" s="422"/>
    </row>
    <row r="53359" spans="191:191" x14ac:dyDescent="0.2">
      <c r="GI53359" s="422"/>
    </row>
    <row r="53360" spans="191:191" x14ac:dyDescent="0.2">
      <c r="GI53360" s="422"/>
    </row>
    <row r="53361" spans="191:191" x14ac:dyDescent="0.2">
      <c r="GI53361" s="422"/>
    </row>
    <row r="53362" spans="191:191" x14ac:dyDescent="0.2">
      <c r="GI53362" s="422"/>
    </row>
    <row r="53363" spans="191:191" x14ac:dyDescent="0.2">
      <c r="GI53363" s="422"/>
    </row>
    <row r="53364" spans="191:191" x14ac:dyDescent="0.2">
      <c r="GI53364" s="422"/>
    </row>
    <row r="53365" spans="191:191" x14ac:dyDescent="0.2">
      <c r="GI53365" s="422"/>
    </row>
    <row r="53366" spans="191:191" x14ac:dyDescent="0.2">
      <c r="GI53366" s="422"/>
    </row>
    <row r="53367" spans="191:191" x14ac:dyDescent="0.2">
      <c r="GI53367" s="422"/>
    </row>
    <row r="53368" spans="191:191" x14ac:dyDescent="0.2">
      <c r="GI53368" s="422"/>
    </row>
    <row r="53369" spans="191:191" x14ac:dyDescent="0.2">
      <c r="GI53369" s="422"/>
    </row>
    <row r="53370" spans="191:191" x14ac:dyDescent="0.2">
      <c r="GI53370" s="422"/>
    </row>
    <row r="53371" spans="191:191" x14ac:dyDescent="0.2">
      <c r="GI53371" s="422"/>
    </row>
    <row r="53372" spans="191:191" x14ac:dyDescent="0.2">
      <c r="GI53372" s="422"/>
    </row>
    <row r="53373" spans="191:191" x14ac:dyDescent="0.2">
      <c r="GI53373" s="422"/>
    </row>
    <row r="53374" spans="191:191" x14ac:dyDescent="0.2">
      <c r="GI53374" s="422"/>
    </row>
    <row r="53375" spans="191:191" x14ac:dyDescent="0.2">
      <c r="GI53375" s="422"/>
    </row>
    <row r="53376" spans="191:191" x14ac:dyDescent="0.2">
      <c r="GI53376" s="422"/>
    </row>
    <row r="53377" spans="191:191" x14ac:dyDescent="0.2">
      <c r="GI53377" s="422"/>
    </row>
    <row r="53378" spans="191:191" x14ac:dyDescent="0.2">
      <c r="GI53378" s="422"/>
    </row>
    <row r="53379" spans="191:191" x14ac:dyDescent="0.2">
      <c r="GI53379" s="422"/>
    </row>
    <row r="53380" spans="191:191" x14ac:dyDescent="0.2">
      <c r="GI53380" s="422"/>
    </row>
    <row r="53381" spans="191:191" x14ac:dyDescent="0.2">
      <c r="GI53381" s="422"/>
    </row>
    <row r="53382" spans="191:191" x14ac:dyDescent="0.2">
      <c r="GI53382" s="422"/>
    </row>
    <row r="53383" spans="191:191" x14ac:dyDescent="0.2">
      <c r="GI53383" s="422"/>
    </row>
    <row r="53384" spans="191:191" x14ac:dyDescent="0.2">
      <c r="GI53384" s="422"/>
    </row>
    <row r="53385" spans="191:191" x14ac:dyDescent="0.2">
      <c r="GI53385" s="422"/>
    </row>
    <row r="53386" spans="191:191" x14ac:dyDescent="0.2">
      <c r="GI53386" s="422"/>
    </row>
    <row r="53387" spans="191:191" x14ac:dyDescent="0.2">
      <c r="GI53387" s="422"/>
    </row>
    <row r="53388" spans="191:191" x14ac:dyDescent="0.2">
      <c r="GI53388" s="422"/>
    </row>
    <row r="53389" spans="191:191" x14ac:dyDescent="0.2">
      <c r="GI53389" s="422"/>
    </row>
    <row r="53390" spans="191:191" x14ac:dyDescent="0.2">
      <c r="GI53390" s="422"/>
    </row>
    <row r="53391" spans="191:191" x14ac:dyDescent="0.2">
      <c r="GI53391" s="422"/>
    </row>
    <row r="53392" spans="191:191" x14ac:dyDescent="0.2">
      <c r="GI53392" s="422"/>
    </row>
    <row r="53393" spans="191:191" x14ac:dyDescent="0.2">
      <c r="GI53393" s="422"/>
    </row>
    <row r="53394" spans="191:191" x14ac:dyDescent="0.2">
      <c r="GI53394" s="422"/>
    </row>
    <row r="53395" spans="191:191" x14ac:dyDescent="0.2">
      <c r="GI53395" s="422"/>
    </row>
    <row r="53396" spans="191:191" x14ac:dyDescent="0.2">
      <c r="GI53396" s="422"/>
    </row>
    <row r="53397" spans="191:191" x14ac:dyDescent="0.2">
      <c r="GI53397" s="422"/>
    </row>
    <row r="53398" spans="191:191" x14ac:dyDescent="0.2">
      <c r="GI53398" s="422"/>
    </row>
    <row r="53399" spans="191:191" x14ac:dyDescent="0.2">
      <c r="GI53399" s="422"/>
    </row>
    <row r="53400" spans="191:191" x14ac:dyDescent="0.2">
      <c r="GI53400" s="422"/>
    </row>
    <row r="53401" spans="191:191" x14ac:dyDescent="0.2">
      <c r="GI53401" s="422"/>
    </row>
    <row r="53402" spans="191:191" x14ac:dyDescent="0.2">
      <c r="GI53402" s="422"/>
    </row>
    <row r="53403" spans="191:191" x14ac:dyDescent="0.2">
      <c r="GI53403" s="422"/>
    </row>
    <row r="53404" spans="191:191" x14ac:dyDescent="0.2">
      <c r="GI53404" s="422"/>
    </row>
    <row r="53405" spans="191:191" x14ac:dyDescent="0.2">
      <c r="GI53405" s="422"/>
    </row>
    <row r="53406" spans="191:191" x14ac:dyDescent="0.2">
      <c r="GI53406" s="422"/>
    </row>
    <row r="53407" spans="191:191" x14ac:dyDescent="0.2">
      <c r="GI53407" s="422"/>
    </row>
    <row r="53408" spans="191:191" x14ac:dyDescent="0.2">
      <c r="GI53408" s="422"/>
    </row>
    <row r="53409" spans="191:191" x14ac:dyDescent="0.2">
      <c r="GI53409" s="422"/>
    </row>
    <row r="53410" spans="191:191" x14ac:dyDescent="0.2">
      <c r="GI53410" s="422"/>
    </row>
    <row r="53411" spans="191:191" x14ac:dyDescent="0.2">
      <c r="GI53411" s="422"/>
    </row>
    <row r="53412" spans="191:191" x14ac:dyDescent="0.2">
      <c r="GI53412" s="422"/>
    </row>
    <row r="53413" spans="191:191" x14ac:dyDescent="0.2">
      <c r="GI53413" s="422"/>
    </row>
    <row r="53414" spans="191:191" x14ac:dyDescent="0.2">
      <c r="GI53414" s="422"/>
    </row>
    <row r="53415" spans="191:191" x14ac:dyDescent="0.2">
      <c r="GI53415" s="422"/>
    </row>
    <row r="53416" spans="191:191" x14ac:dyDescent="0.2">
      <c r="GI53416" s="422"/>
    </row>
    <row r="53417" spans="191:191" x14ac:dyDescent="0.2">
      <c r="GI53417" s="422"/>
    </row>
    <row r="53418" spans="191:191" x14ac:dyDescent="0.2">
      <c r="GI53418" s="422"/>
    </row>
    <row r="53419" spans="191:191" x14ac:dyDescent="0.2">
      <c r="GI53419" s="422"/>
    </row>
    <row r="53420" spans="191:191" x14ac:dyDescent="0.2">
      <c r="GI53420" s="422"/>
    </row>
    <row r="53421" spans="191:191" x14ac:dyDescent="0.2">
      <c r="GI53421" s="422"/>
    </row>
    <row r="53422" spans="191:191" x14ac:dyDescent="0.2">
      <c r="GI53422" s="422"/>
    </row>
    <row r="53423" spans="191:191" x14ac:dyDescent="0.2">
      <c r="GI53423" s="422"/>
    </row>
    <row r="53424" spans="191:191" x14ac:dyDescent="0.2">
      <c r="GI53424" s="422"/>
    </row>
    <row r="53425" spans="191:191" x14ac:dyDescent="0.2">
      <c r="GI53425" s="422"/>
    </row>
    <row r="53426" spans="191:191" x14ac:dyDescent="0.2">
      <c r="GI53426" s="422"/>
    </row>
    <row r="53427" spans="191:191" x14ac:dyDescent="0.2">
      <c r="GI53427" s="422"/>
    </row>
    <row r="53428" spans="191:191" x14ac:dyDescent="0.2">
      <c r="GI53428" s="422"/>
    </row>
    <row r="53429" spans="191:191" x14ac:dyDescent="0.2">
      <c r="GI53429" s="422"/>
    </row>
    <row r="53430" spans="191:191" x14ac:dyDescent="0.2">
      <c r="GI53430" s="422"/>
    </row>
    <row r="53431" spans="191:191" x14ac:dyDescent="0.2">
      <c r="GI53431" s="422"/>
    </row>
    <row r="53432" spans="191:191" x14ac:dyDescent="0.2">
      <c r="GI53432" s="422"/>
    </row>
    <row r="53433" spans="191:191" x14ac:dyDescent="0.2">
      <c r="GI53433" s="422"/>
    </row>
    <row r="53434" spans="191:191" x14ac:dyDescent="0.2">
      <c r="GI53434" s="422"/>
    </row>
    <row r="53435" spans="191:191" x14ac:dyDescent="0.2">
      <c r="GI53435" s="422"/>
    </row>
    <row r="53436" spans="191:191" x14ac:dyDescent="0.2">
      <c r="GI53436" s="422"/>
    </row>
    <row r="53437" spans="191:191" x14ac:dyDescent="0.2">
      <c r="GI53437" s="422"/>
    </row>
    <row r="53438" spans="191:191" x14ac:dyDescent="0.2">
      <c r="GI53438" s="422"/>
    </row>
    <row r="53439" spans="191:191" x14ac:dyDescent="0.2">
      <c r="GI53439" s="422"/>
    </row>
    <row r="53440" spans="191:191" x14ac:dyDescent="0.2">
      <c r="GI53440" s="422"/>
    </row>
    <row r="53441" spans="191:191" x14ac:dyDescent="0.2">
      <c r="GI53441" s="422"/>
    </row>
    <row r="53442" spans="191:191" x14ac:dyDescent="0.2">
      <c r="GI53442" s="422"/>
    </row>
    <row r="53443" spans="191:191" x14ac:dyDescent="0.2">
      <c r="GI53443" s="422"/>
    </row>
    <row r="53444" spans="191:191" x14ac:dyDescent="0.2">
      <c r="GI53444" s="422"/>
    </row>
    <row r="53445" spans="191:191" x14ac:dyDescent="0.2">
      <c r="GI53445" s="422"/>
    </row>
    <row r="53446" spans="191:191" x14ac:dyDescent="0.2">
      <c r="GI53446" s="422"/>
    </row>
    <row r="53447" spans="191:191" x14ac:dyDescent="0.2">
      <c r="GI53447" s="422"/>
    </row>
    <row r="53448" spans="191:191" x14ac:dyDescent="0.2">
      <c r="GI53448" s="422"/>
    </row>
    <row r="53449" spans="191:191" x14ac:dyDescent="0.2">
      <c r="GI53449" s="422"/>
    </row>
    <row r="53450" spans="191:191" x14ac:dyDescent="0.2">
      <c r="GI53450" s="422"/>
    </row>
    <row r="53451" spans="191:191" x14ac:dyDescent="0.2">
      <c r="GI53451" s="422"/>
    </row>
    <row r="53452" spans="191:191" x14ac:dyDescent="0.2">
      <c r="GI53452" s="422"/>
    </row>
    <row r="53453" spans="191:191" x14ac:dyDescent="0.2">
      <c r="GI53453" s="422"/>
    </row>
    <row r="53454" spans="191:191" x14ac:dyDescent="0.2">
      <c r="GI53454" s="422"/>
    </row>
    <row r="53455" spans="191:191" x14ac:dyDescent="0.2">
      <c r="GI53455" s="422"/>
    </row>
    <row r="53456" spans="191:191" x14ac:dyDescent="0.2">
      <c r="GI53456" s="422"/>
    </row>
    <row r="53457" spans="191:191" x14ac:dyDescent="0.2">
      <c r="GI53457" s="422"/>
    </row>
    <row r="53458" spans="191:191" x14ac:dyDescent="0.2">
      <c r="GI53458" s="422"/>
    </row>
    <row r="53459" spans="191:191" x14ac:dyDescent="0.2">
      <c r="GI53459" s="422"/>
    </row>
    <row r="53460" spans="191:191" x14ac:dyDescent="0.2">
      <c r="GI53460" s="422"/>
    </row>
    <row r="53461" spans="191:191" x14ac:dyDescent="0.2">
      <c r="GI53461" s="422"/>
    </row>
    <row r="53462" spans="191:191" x14ac:dyDescent="0.2">
      <c r="GI53462" s="422"/>
    </row>
    <row r="53463" spans="191:191" x14ac:dyDescent="0.2">
      <c r="GI53463" s="422"/>
    </row>
    <row r="53464" spans="191:191" x14ac:dyDescent="0.2">
      <c r="GI53464" s="422"/>
    </row>
    <row r="53465" spans="191:191" x14ac:dyDescent="0.2">
      <c r="GI53465" s="422"/>
    </row>
    <row r="53466" spans="191:191" x14ac:dyDescent="0.2">
      <c r="GI53466" s="422"/>
    </row>
    <row r="53467" spans="191:191" x14ac:dyDescent="0.2">
      <c r="GI53467" s="422"/>
    </row>
    <row r="53468" spans="191:191" x14ac:dyDescent="0.2">
      <c r="GI53468" s="422"/>
    </row>
    <row r="53469" spans="191:191" x14ac:dyDescent="0.2">
      <c r="GI53469" s="422"/>
    </row>
    <row r="53470" spans="191:191" x14ac:dyDescent="0.2">
      <c r="GI53470" s="422"/>
    </row>
    <row r="53471" spans="191:191" x14ac:dyDescent="0.2">
      <c r="GI53471" s="422"/>
    </row>
    <row r="53472" spans="191:191" x14ac:dyDescent="0.2">
      <c r="GI53472" s="422"/>
    </row>
    <row r="53473" spans="191:191" x14ac:dyDescent="0.2">
      <c r="GI53473" s="422"/>
    </row>
    <row r="53474" spans="191:191" x14ac:dyDescent="0.2">
      <c r="GI53474" s="422"/>
    </row>
    <row r="53475" spans="191:191" x14ac:dyDescent="0.2">
      <c r="GI53475" s="422"/>
    </row>
    <row r="53476" spans="191:191" x14ac:dyDescent="0.2">
      <c r="GI53476" s="422"/>
    </row>
    <row r="53477" spans="191:191" x14ac:dyDescent="0.2">
      <c r="GI53477" s="422"/>
    </row>
    <row r="53478" spans="191:191" x14ac:dyDescent="0.2">
      <c r="GI53478" s="422"/>
    </row>
    <row r="53479" spans="191:191" x14ac:dyDescent="0.2">
      <c r="GI53479" s="422"/>
    </row>
    <row r="53480" spans="191:191" x14ac:dyDescent="0.2">
      <c r="GI53480" s="422"/>
    </row>
    <row r="53481" spans="191:191" x14ac:dyDescent="0.2">
      <c r="GI53481" s="422"/>
    </row>
    <row r="53482" spans="191:191" x14ac:dyDescent="0.2">
      <c r="GI53482" s="422"/>
    </row>
    <row r="53483" spans="191:191" x14ac:dyDescent="0.2">
      <c r="GI53483" s="422"/>
    </row>
    <row r="53484" spans="191:191" x14ac:dyDescent="0.2">
      <c r="GI53484" s="422"/>
    </row>
    <row r="53485" spans="191:191" x14ac:dyDescent="0.2">
      <c r="GI53485" s="422"/>
    </row>
    <row r="53486" spans="191:191" x14ac:dyDescent="0.2">
      <c r="GI53486" s="422"/>
    </row>
    <row r="53487" spans="191:191" x14ac:dyDescent="0.2">
      <c r="GI53487" s="422"/>
    </row>
    <row r="53488" spans="191:191" x14ac:dyDescent="0.2">
      <c r="GI53488" s="422"/>
    </row>
    <row r="53489" spans="191:191" x14ac:dyDescent="0.2">
      <c r="GI53489" s="422"/>
    </row>
    <row r="53490" spans="191:191" x14ac:dyDescent="0.2">
      <c r="GI53490" s="422"/>
    </row>
    <row r="53491" spans="191:191" x14ac:dyDescent="0.2">
      <c r="GI53491" s="422"/>
    </row>
    <row r="53492" spans="191:191" x14ac:dyDescent="0.2">
      <c r="GI53492" s="422"/>
    </row>
    <row r="53493" spans="191:191" x14ac:dyDescent="0.2">
      <c r="GI53493" s="422"/>
    </row>
    <row r="53494" spans="191:191" x14ac:dyDescent="0.2">
      <c r="GI53494" s="422"/>
    </row>
    <row r="53495" spans="191:191" x14ac:dyDescent="0.2">
      <c r="GI53495" s="422"/>
    </row>
    <row r="53496" spans="191:191" x14ac:dyDescent="0.2">
      <c r="GI53496" s="422"/>
    </row>
    <row r="53497" spans="191:191" x14ac:dyDescent="0.2">
      <c r="GI53497" s="422"/>
    </row>
    <row r="53498" spans="191:191" x14ac:dyDescent="0.2">
      <c r="GI53498" s="422"/>
    </row>
    <row r="53499" spans="191:191" x14ac:dyDescent="0.2">
      <c r="GI53499" s="422"/>
    </row>
    <row r="53500" spans="191:191" x14ac:dyDescent="0.2">
      <c r="GI53500" s="422"/>
    </row>
    <row r="53501" spans="191:191" x14ac:dyDescent="0.2">
      <c r="GI53501" s="422"/>
    </row>
    <row r="53502" spans="191:191" x14ac:dyDescent="0.2">
      <c r="GI53502" s="422"/>
    </row>
    <row r="53503" spans="191:191" x14ac:dyDescent="0.2">
      <c r="GI53503" s="422"/>
    </row>
    <row r="53504" spans="191:191" x14ac:dyDescent="0.2">
      <c r="GI53504" s="422"/>
    </row>
    <row r="53505" spans="191:191" x14ac:dyDescent="0.2">
      <c r="GI53505" s="422"/>
    </row>
    <row r="53506" spans="191:191" x14ac:dyDescent="0.2">
      <c r="GI53506" s="422"/>
    </row>
    <row r="53507" spans="191:191" x14ac:dyDescent="0.2">
      <c r="GI53507" s="422"/>
    </row>
    <row r="53508" spans="191:191" x14ac:dyDescent="0.2">
      <c r="GI53508" s="422"/>
    </row>
    <row r="53509" spans="191:191" x14ac:dyDescent="0.2">
      <c r="GI53509" s="422"/>
    </row>
    <row r="53510" spans="191:191" x14ac:dyDescent="0.2">
      <c r="GI53510" s="422"/>
    </row>
    <row r="53511" spans="191:191" x14ac:dyDescent="0.2">
      <c r="GI53511" s="422"/>
    </row>
    <row r="53512" spans="191:191" x14ac:dyDescent="0.2">
      <c r="GI53512" s="422"/>
    </row>
    <row r="53513" spans="191:191" x14ac:dyDescent="0.2">
      <c r="GI53513" s="422"/>
    </row>
    <row r="53514" spans="191:191" x14ac:dyDescent="0.2">
      <c r="GI53514" s="422"/>
    </row>
    <row r="53515" spans="191:191" x14ac:dyDescent="0.2">
      <c r="GI53515" s="422"/>
    </row>
    <row r="53516" spans="191:191" x14ac:dyDescent="0.2">
      <c r="GI53516" s="422"/>
    </row>
    <row r="53517" spans="191:191" x14ac:dyDescent="0.2">
      <c r="GI53517" s="422"/>
    </row>
    <row r="53518" spans="191:191" x14ac:dyDescent="0.2">
      <c r="GI53518" s="422"/>
    </row>
    <row r="53519" spans="191:191" x14ac:dyDescent="0.2">
      <c r="GI53519" s="422"/>
    </row>
    <row r="53520" spans="191:191" x14ac:dyDescent="0.2">
      <c r="GI53520" s="422"/>
    </row>
    <row r="53521" spans="191:191" x14ac:dyDescent="0.2">
      <c r="GI53521" s="422"/>
    </row>
    <row r="53522" spans="191:191" x14ac:dyDescent="0.2">
      <c r="GI53522" s="422"/>
    </row>
    <row r="53523" spans="191:191" x14ac:dyDescent="0.2">
      <c r="GI53523" s="422"/>
    </row>
    <row r="53524" spans="191:191" x14ac:dyDescent="0.2">
      <c r="GI53524" s="422"/>
    </row>
    <row r="53525" spans="191:191" x14ac:dyDescent="0.2">
      <c r="GI53525" s="422"/>
    </row>
    <row r="53526" spans="191:191" x14ac:dyDescent="0.2">
      <c r="GI53526" s="422"/>
    </row>
    <row r="53527" spans="191:191" x14ac:dyDescent="0.2">
      <c r="GI53527" s="422"/>
    </row>
    <row r="53528" spans="191:191" x14ac:dyDescent="0.2">
      <c r="GI53528" s="422"/>
    </row>
    <row r="53529" spans="191:191" x14ac:dyDescent="0.2">
      <c r="GI53529" s="422"/>
    </row>
    <row r="53530" spans="191:191" x14ac:dyDescent="0.2">
      <c r="GI53530" s="422"/>
    </row>
    <row r="53531" spans="191:191" x14ac:dyDescent="0.2">
      <c r="GI53531" s="422"/>
    </row>
    <row r="53532" spans="191:191" x14ac:dyDescent="0.2">
      <c r="GI53532" s="422"/>
    </row>
    <row r="53533" spans="191:191" x14ac:dyDescent="0.2">
      <c r="GI53533" s="422"/>
    </row>
    <row r="53534" spans="191:191" x14ac:dyDescent="0.2">
      <c r="GI53534" s="422"/>
    </row>
    <row r="53535" spans="191:191" x14ac:dyDescent="0.2">
      <c r="GI53535" s="422"/>
    </row>
    <row r="53536" spans="191:191" x14ac:dyDescent="0.2">
      <c r="GI53536" s="422"/>
    </row>
    <row r="53537" spans="191:191" x14ac:dyDescent="0.2">
      <c r="GI53537" s="422"/>
    </row>
    <row r="53538" spans="191:191" x14ac:dyDescent="0.2">
      <c r="GI53538" s="422"/>
    </row>
    <row r="53539" spans="191:191" x14ac:dyDescent="0.2">
      <c r="GI53539" s="422"/>
    </row>
    <row r="53540" spans="191:191" x14ac:dyDescent="0.2">
      <c r="GI53540" s="422"/>
    </row>
    <row r="53541" spans="191:191" x14ac:dyDescent="0.2">
      <c r="GI53541" s="422"/>
    </row>
    <row r="53542" spans="191:191" x14ac:dyDescent="0.2">
      <c r="GI53542" s="422"/>
    </row>
    <row r="53543" spans="191:191" x14ac:dyDescent="0.2">
      <c r="GI53543" s="422"/>
    </row>
    <row r="53544" spans="191:191" x14ac:dyDescent="0.2">
      <c r="GI53544" s="422"/>
    </row>
    <row r="53545" spans="191:191" x14ac:dyDescent="0.2">
      <c r="GI53545" s="422"/>
    </row>
    <row r="53546" spans="191:191" x14ac:dyDescent="0.2">
      <c r="GI53546" s="422"/>
    </row>
    <row r="53547" spans="191:191" x14ac:dyDescent="0.2">
      <c r="GI53547" s="422"/>
    </row>
    <row r="53548" spans="191:191" x14ac:dyDescent="0.2">
      <c r="GI53548" s="422"/>
    </row>
    <row r="53549" spans="191:191" x14ac:dyDescent="0.2">
      <c r="GI53549" s="422"/>
    </row>
    <row r="53550" spans="191:191" x14ac:dyDescent="0.2">
      <c r="GI53550" s="422"/>
    </row>
    <row r="53551" spans="191:191" x14ac:dyDescent="0.2">
      <c r="GI53551" s="422"/>
    </row>
    <row r="53552" spans="191:191" x14ac:dyDescent="0.2">
      <c r="GI53552" s="422"/>
    </row>
    <row r="53553" spans="191:191" x14ac:dyDescent="0.2">
      <c r="GI53553" s="422"/>
    </row>
    <row r="53554" spans="191:191" x14ac:dyDescent="0.2">
      <c r="GI53554" s="422"/>
    </row>
    <row r="53555" spans="191:191" x14ac:dyDescent="0.2">
      <c r="GI53555" s="422"/>
    </row>
    <row r="53556" spans="191:191" x14ac:dyDescent="0.2">
      <c r="GI53556" s="422"/>
    </row>
    <row r="53557" spans="191:191" x14ac:dyDescent="0.2">
      <c r="GI53557" s="422"/>
    </row>
    <row r="53558" spans="191:191" x14ac:dyDescent="0.2">
      <c r="GI53558" s="422"/>
    </row>
    <row r="53559" spans="191:191" x14ac:dyDescent="0.2">
      <c r="GI53559" s="422"/>
    </row>
    <row r="53560" spans="191:191" x14ac:dyDescent="0.2">
      <c r="GI53560" s="422"/>
    </row>
    <row r="53561" spans="191:191" x14ac:dyDescent="0.2">
      <c r="GI53561" s="422"/>
    </row>
    <row r="53562" spans="191:191" x14ac:dyDescent="0.2">
      <c r="GI53562" s="422"/>
    </row>
    <row r="53563" spans="191:191" x14ac:dyDescent="0.2">
      <c r="GI53563" s="422"/>
    </row>
    <row r="53564" spans="191:191" x14ac:dyDescent="0.2">
      <c r="GI53564" s="422"/>
    </row>
    <row r="53565" spans="191:191" x14ac:dyDescent="0.2">
      <c r="GI53565" s="422"/>
    </row>
    <row r="53566" spans="191:191" x14ac:dyDescent="0.2">
      <c r="GI53566" s="422"/>
    </row>
    <row r="53567" spans="191:191" x14ac:dyDescent="0.2">
      <c r="GI53567" s="422"/>
    </row>
    <row r="53568" spans="191:191" x14ac:dyDescent="0.2">
      <c r="GI53568" s="422"/>
    </row>
    <row r="53569" spans="191:191" x14ac:dyDescent="0.2">
      <c r="GI53569" s="422"/>
    </row>
    <row r="53570" spans="191:191" x14ac:dyDescent="0.2">
      <c r="GI53570" s="422"/>
    </row>
    <row r="53571" spans="191:191" x14ac:dyDescent="0.2">
      <c r="GI53571" s="422"/>
    </row>
    <row r="53572" spans="191:191" x14ac:dyDescent="0.2">
      <c r="GI53572" s="422"/>
    </row>
    <row r="53573" spans="191:191" x14ac:dyDescent="0.2">
      <c r="GI53573" s="422"/>
    </row>
    <row r="53574" spans="191:191" x14ac:dyDescent="0.2">
      <c r="GI53574" s="422"/>
    </row>
    <row r="53575" spans="191:191" x14ac:dyDescent="0.2">
      <c r="GI53575" s="422"/>
    </row>
    <row r="53576" spans="191:191" x14ac:dyDescent="0.2">
      <c r="GI53576" s="422"/>
    </row>
    <row r="53577" spans="191:191" x14ac:dyDescent="0.2">
      <c r="GI53577" s="422"/>
    </row>
    <row r="53578" spans="191:191" x14ac:dyDescent="0.2">
      <c r="GI53578" s="422"/>
    </row>
    <row r="53579" spans="191:191" x14ac:dyDescent="0.2">
      <c r="GI53579" s="422"/>
    </row>
    <row r="53580" spans="191:191" x14ac:dyDescent="0.2">
      <c r="GI53580" s="422"/>
    </row>
    <row r="53581" spans="191:191" x14ac:dyDescent="0.2">
      <c r="GI53581" s="422"/>
    </row>
    <row r="53582" spans="191:191" x14ac:dyDescent="0.2">
      <c r="GI53582" s="422"/>
    </row>
    <row r="53583" spans="191:191" x14ac:dyDescent="0.2">
      <c r="GI53583" s="422"/>
    </row>
    <row r="53584" spans="191:191" x14ac:dyDescent="0.2">
      <c r="GI53584" s="422"/>
    </row>
    <row r="53585" spans="191:191" x14ac:dyDescent="0.2">
      <c r="GI53585" s="422"/>
    </row>
    <row r="53586" spans="191:191" x14ac:dyDescent="0.2">
      <c r="GI53586" s="422"/>
    </row>
    <row r="53587" spans="191:191" x14ac:dyDescent="0.2">
      <c r="GI53587" s="422"/>
    </row>
    <row r="53588" spans="191:191" x14ac:dyDescent="0.2">
      <c r="GI53588" s="422"/>
    </row>
    <row r="53589" spans="191:191" x14ac:dyDescent="0.2">
      <c r="GI53589" s="422"/>
    </row>
    <row r="53590" spans="191:191" x14ac:dyDescent="0.2">
      <c r="GI53590" s="422"/>
    </row>
    <row r="53591" spans="191:191" x14ac:dyDescent="0.2">
      <c r="GI53591" s="422"/>
    </row>
    <row r="53592" spans="191:191" x14ac:dyDescent="0.2">
      <c r="GI53592" s="422"/>
    </row>
    <row r="53593" spans="191:191" x14ac:dyDescent="0.2">
      <c r="GI53593" s="422"/>
    </row>
    <row r="53594" spans="191:191" x14ac:dyDescent="0.2">
      <c r="GI53594" s="422"/>
    </row>
    <row r="53595" spans="191:191" x14ac:dyDescent="0.2">
      <c r="GI53595" s="422"/>
    </row>
    <row r="53596" spans="191:191" x14ac:dyDescent="0.2">
      <c r="GI53596" s="422"/>
    </row>
    <row r="53597" spans="191:191" x14ac:dyDescent="0.2">
      <c r="GI53597" s="422"/>
    </row>
    <row r="53598" spans="191:191" x14ac:dyDescent="0.2">
      <c r="GI53598" s="422"/>
    </row>
    <row r="53599" spans="191:191" x14ac:dyDescent="0.2">
      <c r="GI53599" s="422"/>
    </row>
    <row r="53600" spans="191:191" x14ac:dyDescent="0.2">
      <c r="GI53600" s="422"/>
    </row>
    <row r="53601" spans="191:191" x14ac:dyDescent="0.2">
      <c r="GI53601" s="422"/>
    </row>
    <row r="53602" spans="191:191" x14ac:dyDescent="0.2">
      <c r="GI53602" s="422"/>
    </row>
    <row r="53603" spans="191:191" x14ac:dyDescent="0.2">
      <c r="GI53603" s="422"/>
    </row>
    <row r="53604" spans="191:191" x14ac:dyDescent="0.2">
      <c r="GI53604" s="422"/>
    </row>
    <row r="53605" spans="191:191" x14ac:dyDescent="0.2">
      <c r="GI53605" s="422"/>
    </row>
    <row r="53606" spans="191:191" x14ac:dyDescent="0.2">
      <c r="GI53606" s="422"/>
    </row>
    <row r="53607" spans="191:191" x14ac:dyDescent="0.2">
      <c r="GI53607" s="422"/>
    </row>
    <row r="53608" spans="191:191" x14ac:dyDescent="0.2">
      <c r="GI53608" s="422"/>
    </row>
    <row r="53609" spans="191:191" x14ac:dyDescent="0.2">
      <c r="GI53609" s="422"/>
    </row>
    <row r="53610" spans="191:191" x14ac:dyDescent="0.2">
      <c r="GI53610" s="422"/>
    </row>
    <row r="53611" spans="191:191" x14ac:dyDescent="0.2">
      <c r="GI53611" s="422"/>
    </row>
    <row r="53612" spans="191:191" x14ac:dyDescent="0.2">
      <c r="GI53612" s="422"/>
    </row>
    <row r="53613" spans="191:191" x14ac:dyDescent="0.2">
      <c r="GI53613" s="422"/>
    </row>
    <row r="53614" spans="191:191" x14ac:dyDescent="0.2">
      <c r="GI53614" s="422"/>
    </row>
    <row r="53615" spans="191:191" x14ac:dyDescent="0.2">
      <c r="GI53615" s="422"/>
    </row>
    <row r="53616" spans="191:191" x14ac:dyDescent="0.2">
      <c r="GI53616" s="422"/>
    </row>
    <row r="53617" spans="191:191" x14ac:dyDescent="0.2">
      <c r="GI53617" s="422"/>
    </row>
    <row r="53618" spans="191:191" x14ac:dyDescent="0.2">
      <c r="GI53618" s="422"/>
    </row>
    <row r="53619" spans="191:191" x14ac:dyDescent="0.2">
      <c r="GI53619" s="422"/>
    </row>
    <row r="53620" spans="191:191" x14ac:dyDescent="0.2">
      <c r="GI53620" s="422"/>
    </row>
    <row r="53621" spans="191:191" x14ac:dyDescent="0.2">
      <c r="GI53621" s="422"/>
    </row>
    <row r="53622" spans="191:191" x14ac:dyDescent="0.2">
      <c r="GI53622" s="422"/>
    </row>
    <row r="53623" spans="191:191" x14ac:dyDescent="0.2">
      <c r="GI53623" s="422"/>
    </row>
    <row r="53624" spans="191:191" x14ac:dyDescent="0.2">
      <c r="GI53624" s="422"/>
    </row>
    <row r="53625" spans="191:191" x14ac:dyDescent="0.2">
      <c r="GI53625" s="422"/>
    </row>
    <row r="53626" spans="191:191" x14ac:dyDescent="0.2">
      <c r="GI53626" s="422"/>
    </row>
    <row r="53627" spans="191:191" x14ac:dyDescent="0.2">
      <c r="GI53627" s="422"/>
    </row>
    <row r="53628" spans="191:191" x14ac:dyDescent="0.2">
      <c r="GI53628" s="422"/>
    </row>
    <row r="53629" spans="191:191" x14ac:dyDescent="0.2">
      <c r="GI53629" s="422"/>
    </row>
    <row r="53630" spans="191:191" x14ac:dyDescent="0.2">
      <c r="GI53630" s="422"/>
    </row>
    <row r="53631" spans="191:191" x14ac:dyDescent="0.2">
      <c r="GI53631" s="422"/>
    </row>
    <row r="53632" spans="191:191" x14ac:dyDescent="0.2">
      <c r="GI53632" s="422"/>
    </row>
    <row r="53633" spans="191:191" x14ac:dyDescent="0.2">
      <c r="GI53633" s="422"/>
    </row>
    <row r="53634" spans="191:191" x14ac:dyDescent="0.2">
      <c r="GI53634" s="422"/>
    </row>
    <row r="53635" spans="191:191" x14ac:dyDescent="0.2">
      <c r="GI53635" s="422"/>
    </row>
    <row r="53636" spans="191:191" x14ac:dyDescent="0.2">
      <c r="GI53636" s="422"/>
    </row>
    <row r="53637" spans="191:191" x14ac:dyDescent="0.2">
      <c r="GI53637" s="422"/>
    </row>
    <row r="53638" spans="191:191" x14ac:dyDescent="0.2">
      <c r="GI53638" s="422"/>
    </row>
    <row r="53639" spans="191:191" x14ac:dyDescent="0.2">
      <c r="GI53639" s="422"/>
    </row>
    <row r="53640" spans="191:191" x14ac:dyDescent="0.2">
      <c r="GI53640" s="422"/>
    </row>
    <row r="53641" spans="191:191" x14ac:dyDescent="0.2">
      <c r="GI53641" s="422"/>
    </row>
    <row r="53642" spans="191:191" x14ac:dyDescent="0.2">
      <c r="GI53642" s="422"/>
    </row>
    <row r="53643" spans="191:191" x14ac:dyDescent="0.2">
      <c r="GI53643" s="422"/>
    </row>
    <row r="53644" spans="191:191" x14ac:dyDescent="0.2">
      <c r="GI53644" s="422"/>
    </row>
    <row r="53645" spans="191:191" x14ac:dyDescent="0.2">
      <c r="GI53645" s="422"/>
    </row>
    <row r="53646" spans="191:191" x14ac:dyDescent="0.2">
      <c r="GI53646" s="422"/>
    </row>
    <row r="53647" spans="191:191" x14ac:dyDescent="0.2">
      <c r="GI53647" s="422"/>
    </row>
    <row r="53648" spans="191:191" x14ac:dyDescent="0.2">
      <c r="GI53648" s="422"/>
    </row>
    <row r="53649" spans="191:191" x14ac:dyDescent="0.2">
      <c r="GI53649" s="422"/>
    </row>
    <row r="53650" spans="191:191" x14ac:dyDescent="0.2">
      <c r="GI53650" s="422"/>
    </row>
    <row r="53651" spans="191:191" x14ac:dyDescent="0.2">
      <c r="GI53651" s="422"/>
    </row>
    <row r="53652" spans="191:191" x14ac:dyDescent="0.2">
      <c r="GI53652" s="422"/>
    </row>
    <row r="53653" spans="191:191" x14ac:dyDescent="0.2">
      <c r="GI53653" s="422"/>
    </row>
    <row r="53654" spans="191:191" x14ac:dyDescent="0.2">
      <c r="GI53654" s="422"/>
    </row>
    <row r="53655" spans="191:191" x14ac:dyDescent="0.2">
      <c r="GI53655" s="422"/>
    </row>
    <row r="53656" spans="191:191" x14ac:dyDescent="0.2">
      <c r="GI53656" s="422"/>
    </row>
    <row r="53657" spans="191:191" x14ac:dyDescent="0.2">
      <c r="GI53657" s="422"/>
    </row>
    <row r="53658" spans="191:191" x14ac:dyDescent="0.2">
      <c r="GI53658" s="422"/>
    </row>
    <row r="53659" spans="191:191" x14ac:dyDescent="0.2">
      <c r="GI53659" s="422"/>
    </row>
    <row r="53660" spans="191:191" x14ac:dyDescent="0.2">
      <c r="GI53660" s="422"/>
    </row>
    <row r="53661" spans="191:191" x14ac:dyDescent="0.2">
      <c r="GI53661" s="422"/>
    </row>
    <row r="53662" spans="191:191" x14ac:dyDescent="0.2">
      <c r="GI53662" s="422"/>
    </row>
    <row r="53663" spans="191:191" x14ac:dyDescent="0.2">
      <c r="GI53663" s="422"/>
    </row>
    <row r="53664" spans="191:191" x14ac:dyDescent="0.2">
      <c r="GI53664" s="422"/>
    </row>
    <row r="53665" spans="191:191" x14ac:dyDescent="0.2">
      <c r="GI53665" s="422"/>
    </row>
    <row r="53666" spans="191:191" x14ac:dyDescent="0.2">
      <c r="GI53666" s="422"/>
    </row>
    <row r="53667" spans="191:191" x14ac:dyDescent="0.2">
      <c r="GI53667" s="422"/>
    </row>
    <row r="53668" spans="191:191" x14ac:dyDescent="0.2">
      <c r="GI53668" s="422"/>
    </row>
    <row r="53669" spans="191:191" x14ac:dyDescent="0.2">
      <c r="GI53669" s="422"/>
    </row>
    <row r="53670" spans="191:191" x14ac:dyDescent="0.2">
      <c r="GI53670" s="422"/>
    </row>
    <row r="53671" spans="191:191" x14ac:dyDescent="0.2">
      <c r="GI53671" s="422"/>
    </row>
    <row r="53672" spans="191:191" x14ac:dyDescent="0.2">
      <c r="GI53672" s="422"/>
    </row>
    <row r="53673" spans="191:191" x14ac:dyDescent="0.2">
      <c r="GI53673" s="422"/>
    </row>
    <row r="53674" spans="191:191" x14ac:dyDescent="0.2">
      <c r="GI53674" s="422"/>
    </row>
    <row r="53675" spans="191:191" x14ac:dyDescent="0.2">
      <c r="GI53675" s="422"/>
    </row>
    <row r="53676" spans="191:191" x14ac:dyDescent="0.2">
      <c r="GI53676" s="422"/>
    </row>
    <row r="53677" spans="191:191" x14ac:dyDescent="0.2">
      <c r="GI53677" s="422"/>
    </row>
    <row r="53678" spans="191:191" x14ac:dyDescent="0.2">
      <c r="GI53678" s="422"/>
    </row>
    <row r="53679" spans="191:191" x14ac:dyDescent="0.2">
      <c r="GI53679" s="422"/>
    </row>
    <row r="53680" spans="191:191" x14ac:dyDescent="0.2">
      <c r="GI53680" s="422"/>
    </row>
    <row r="53681" spans="191:191" x14ac:dyDescent="0.2">
      <c r="GI53681" s="422"/>
    </row>
    <row r="53682" spans="191:191" x14ac:dyDescent="0.2">
      <c r="GI53682" s="422"/>
    </row>
    <row r="53683" spans="191:191" x14ac:dyDescent="0.2">
      <c r="GI53683" s="422"/>
    </row>
    <row r="53684" spans="191:191" x14ac:dyDescent="0.2">
      <c r="GI53684" s="422"/>
    </row>
    <row r="53685" spans="191:191" x14ac:dyDescent="0.2">
      <c r="GI53685" s="422"/>
    </row>
    <row r="53686" spans="191:191" x14ac:dyDescent="0.2">
      <c r="GI53686" s="422"/>
    </row>
    <row r="53687" spans="191:191" x14ac:dyDescent="0.2">
      <c r="GI53687" s="422"/>
    </row>
    <row r="53688" spans="191:191" x14ac:dyDescent="0.2">
      <c r="GI53688" s="422"/>
    </row>
    <row r="53689" spans="191:191" x14ac:dyDescent="0.2">
      <c r="GI53689" s="422"/>
    </row>
    <row r="53690" spans="191:191" x14ac:dyDescent="0.2">
      <c r="GI53690" s="422"/>
    </row>
    <row r="53691" spans="191:191" x14ac:dyDescent="0.2">
      <c r="GI53691" s="422"/>
    </row>
    <row r="53692" spans="191:191" x14ac:dyDescent="0.2">
      <c r="GI53692" s="422"/>
    </row>
    <row r="53693" spans="191:191" x14ac:dyDescent="0.2">
      <c r="GI53693" s="422"/>
    </row>
    <row r="53694" spans="191:191" x14ac:dyDescent="0.2">
      <c r="GI53694" s="422"/>
    </row>
    <row r="53695" spans="191:191" x14ac:dyDescent="0.2">
      <c r="GI53695" s="422"/>
    </row>
    <row r="53696" spans="191:191" x14ac:dyDescent="0.2">
      <c r="GI53696" s="422"/>
    </row>
    <row r="53697" spans="191:191" x14ac:dyDescent="0.2">
      <c r="GI53697" s="422"/>
    </row>
    <row r="53698" spans="191:191" x14ac:dyDescent="0.2">
      <c r="GI53698" s="422"/>
    </row>
    <row r="53699" spans="191:191" x14ac:dyDescent="0.2">
      <c r="GI53699" s="422"/>
    </row>
    <row r="53700" spans="191:191" x14ac:dyDescent="0.2">
      <c r="GI53700" s="422"/>
    </row>
    <row r="53701" spans="191:191" x14ac:dyDescent="0.2">
      <c r="GI53701" s="422"/>
    </row>
    <row r="53702" spans="191:191" x14ac:dyDescent="0.2">
      <c r="GI53702" s="422"/>
    </row>
    <row r="53703" spans="191:191" x14ac:dyDescent="0.2">
      <c r="GI53703" s="422"/>
    </row>
    <row r="53704" spans="191:191" x14ac:dyDescent="0.2">
      <c r="GI53704" s="422"/>
    </row>
    <row r="53705" spans="191:191" x14ac:dyDescent="0.2">
      <c r="GI53705" s="422"/>
    </row>
    <row r="53706" spans="191:191" x14ac:dyDescent="0.2">
      <c r="GI53706" s="422"/>
    </row>
    <row r="53707" spans="191:191" x14ac:dyDescent="0.2">
      <c r="GI53707" s="422"/>
    </row>
    <row r="53708" spans="191:191" x14ac:dyDescent="0.2">
      <c r="GI53708" s="422"/>
    </row>
    <row r="53709" spans="191:191" x14ac:dyDescent="0.2">
      <c r="GI53709" s="422"/>
    </row>
    <row r="53710" spans="191:191" x14ac:dyDescent="0.2">
      <c r="GI53710" s="422"/>
    </row>
    <row r="53711" spans="191:191" x14ac:dyDescent="0.2">
      <c r="GI53711" s="422"/>
    </row>
    <row r="53712" spans="191:191" x14ac:dyDescent="0.2">
      <c r="GI53712" s="422"/>
    </row>
    <row r="53713" spans="191:191" x14ac:dyDescent="0.2">
      <c r="GI53713" s="422"/>
    </row>
    <row r="53714" spans="191:191" x14ac:dyDescent="0.2">
      <c r="GI53714" s="422"/>
    </row>
    <row r="53715" spans="191:191" x14ac:dyDescent="0.2">
      <c r="GI53715" s="422"/>
    </row>
    <row r="53716" spans="191:191" x14ac:dyDescent="0.2">
      <c r="GI53716" s="422"/>
    </row>
    <row r="53717" spans="191:191" x14ac:dyDescent="0.2">
      <c r="GI53717" s="422"/>
    </row>
    <row r="53718" spans="191:191" x14ac:dyDescent="0.2">
      <c r="GI53718" s="422"/>
    </row>
    <row r="53719" spans="191:191" x14ac:dyDescent="0.2">
      <c r="GI53719" s="422"/>
    </row>
    <row r="53720" spans="191:191" x14ac:dyDescent="0.2">
      <c r="GI53720" s="422"/>
    </row>
    <row r="53721" spans="191:191" x14ac:dyDescent="0.2">
      <c r="GI53721" s="422"/>
    </row>
    <row r="53722" spans="191:191" x14ac:dyDescent="0.2">
      <c r="GI53722" s="422"/>
    </row>
    <row r="53723" spans="191:191" x14ac:dyDescent="0.2">
      <c r="GI53723" s="422"/>
    </row>
    <row r="53724" spans="191:191" x14ac:dyDescent="0.2">
      <c r="GI53724" s="422"/>
    </row>
    <row r="53725" spans="191:191" x14ac:dyDescent="0.2">
      <c r="GI53725" s="422"/>
    </row>
    <row r="53726" spans="191:191" x14ac:dyDescent="0.2">
      <c r="GI53726" s="422"/>
    </row>
    <row r="53727" spans="191:191" x14ac:dyDescent="0.2">
      <c r="GI53727" s="422"/>
    </row>
    <row r="53728" spans="191:191" x14ac:dyDescent="0.2">
      <c r="GI53728" s="422"/>
    </row>
    <row r="53729" spans="191:191" x14ac:dyDescent="0.2">
      <c r="GI53729" s="422"/>
    </row>
    <row r="53730" spans="191:191" x14ac:dyDescent="0.2">
      <c r="GI53730" s="422"/>
    </row>
    <row r="53731" spans="191:191" x14ac:dyDescent="0.2">
      <c r="GI53731" s="422"/>
    </row>
    <row r="53732" spans="191:191" x14ac:dyDescent="0.2">
      <c r="GI53732" s="422"/>
    </row>
    <row r="53733" spans="191:191" x14ac:dyDescent="0.2">
      <c r="GI53733" s="422"/>
    </row>
    <row r="53734" spans="191:191" x14ac:dyDescent="0.2">
      <c r="GI53734" s="422"/>
    </row>
    <row r="53735" spans="191:191" x14ac:dyDescent="0.2">
      <c r="GI53735" s="422"/>
    </row>
    <row r="53736" spans="191:191" x14ac:dyDescent="0.2">
      <c r="GI53736" s="422"/>
    </row>
    <row r="53737" spans="191:191" x14ac:dyDescent="0.2">
      <c r="GI53737" s="422"/>
    </row>
    <row r="53738" spans="191:191" x14ac:dyDescent="0.2">
      <c r="GI53738" s="422"/>
    </row>
    <row r="53739" spans="191:191" x14ac:dyDescent="0.2">
      <c r="GI53739" s="422"/>
    </row>
    <row r="53740" spans="191:191" x14ac:dyDescent="0.2">
      <c r="GI53740" s="422"/>
    </row>
    <row r="53741" spans="191:191" x14ac:dyDescent="0.2">
      <c r="GI53741" s="422"/>
    </row>
    <row r="53742" spans="191:191" x14ac:dyDescent="0.2">
      <c r="GI53742" s="422"/>
    </row>
    <row r="53743" spans="191:191" x14ac:dyDescent="0.2">
      <c r="GI53743" s="422"/>
    </row>
    <row r="53744" spans="191:191" x14ac:dyDescent="0.2">
      <c r="GI53744" s="422"/>
    </row>
    <row r="53745" spans="191:191" x14ac:dyDescent="0.2">
      <c r="GI53745" s="422"/>
    </row>
    <row r="53746" spans="191:191" x14ac:dyDescent="0.2">
      <c r="GI53746" s="422"/>
    </row>
    <row r="53747" spans="191:191" x14ac:dyDescent="0.2">
      <c r="GI53747" s="422"/>
    </row>
    <row r="53748" spans="191:191" x14ac:dyDescent="0.2">
      <c r="GI53748" s="422"/>
    </row>
    <row r="53749" spans="191:191" x14ac:dyDescent="0.2">
      <c r="GI53749" s="422"/>
    </row>
    <row r="53750" spans="191:191" x14ac:dyDescent="0.2">
      <c r="GI53750" s="422"/>
    </row>
    <row r="53751" spans="191:191" x14ac:dyDescent="0.2">
      <c r="GI53751" s="422"/>
    </row>
    <row r="53752" spans="191:191" x14ac:dyDescent="0.2">
      <c r="GI53752" s="422"/>
    </row>
    <row r="53753" spans="191:191" x14ac:dyDescent="0.2">
      <c r="GI53753" s="422"/>
    </row>
    <row r="53754" spans="191:191" x14ac:dyDescent="0.2">
      <c r="GI53754" s="422"/>
    </row>
    <row r="53755" spans="191:191" x14ac:dyDescent="0.2">
      <c r="GI53755" s="422"/>
    </row>
    <row r="53756" spans="191:191" x14ac:dyDescent="0.2">
      <c r="GI53756" s="422"/>
    </row>
    <row r="53757" spans="191:191" x14ac:dyDescent="0.2">
      <c r="GI53757" s="422"/>
    </row>
    <row r="53758" spans="191:191" x14ac:dyDescent="0.2">
      <c r="GI53758" s="422"/>
    </row>
    <row r="53759" spans="191:191" x14ac:dyDescent="0.2">
      <c r="GI53759" s="422"/>
    </row>
    <row r="53760" spans="191:191" x14ac:dyDescent="0.2">
      <c r="GI53760" s="422"/>
    </row>
    <row r="53761" spans="191:191" x14ac:dyDescent="0.2">
      <c r="GI53761" s="422"/>
    </row>
    <row r="53762" spans="191:191" x14ac:dyDescent="0.2">
      <c r="GI53762" s="422"/>
    </row>
    <row r="53763" spans="191:191" x14ac:dyDescent="0.2">
      <c r="GI53763" s="422"/>
    </row>
    <row r="53764" spans="191:191" x14ac:dyDescent="0.2">
      <c r="GI53764" s="422"/>
    </row>
    <row r="53765" spans="191:191" x14ac:dyDescent="0.2">
      <c r="GI53765" s="422"/>
    </row>
    <row r="53766" spans="191:191" x14ac:dyDescent="0.2">
      <c r="GI53766" s="422"/>
    </row>
    <row r="53767" spans="191:191" x14ac:dyDescent="0.2">
      <c r="GI53767" s="422"/>
    </row>
    <row r="53768" spans="191:191" x14ac:dyDescent="0.2">
      <c r="GI53768" s="422"/>
    </row>
    <row r="53769" spans="191:191" x14ac:dyDescent="0.2">
      <c r="GI53769" s="422"/>
    </row>
    <row r="53770" spans="191:191" x14ac:dyDescent="0.2">
      <c r="GI53770" s="422"/>
    </row>
    <row r="53771" spans="191:191" x14ac:dyDescent="0.2">
      <c r="GI53771" s="422"/>
    </row>
    <row r="53772" spans="191:191" x14ac:dyDescent="0.2">
      <c r="GI53772" s="422"/>
    </row>
    <row r="53773" spans="191:191" x14ac:dyDescent="0.2">
      <c r="GI53773" s="422"/>
    </row>
    <row r="53774" spans="191:191" x14ac:dyDescent="0.2">
      <c r="GI53774" s="422"/>
    </row>
    <row r="53775" spans="191:191" x14ac:dyDescent="0.2">
      <c r="GI53775" s="422"/>
    </row>
    <row r="53776" spans="191:191" x14ac:dyDescent="0.2">
      <c r="GI53776" s="422"/>
    </row>
    <row r="53777" spans="191:191" x14ac:dyDescent="0.2">
      <c r="GI53777" s="422"/>
    </row>
    <row r="53778" spans="191:191" x14ac:dyDescent="0.2">
      <c r="GI53778" s="422"/>
    </row>
    <row r="53779" spans="191:191" x14ac:dyDescent="0.2">
      <c r="GI53779" s="422"/>
    </row>
    <row r="53780" spans="191:191" x14ac:dyDescent="0.2">
      <c r="GI53780" s="422"/>
    </row>
    <row r="53781" spans="191:191" x14ac:dyDescent="0.2">
      <c r="GI53781" s="422"/>
    </row>
    <row r="53782" spans="191:191" x14ac:dyDescent="0.2">
      <c r="GI53782" s="422"/>
    </row>
    <row r="53783" spans="191:191" x14ac:dyDescent="0.2">
      <c r="GI53783" s="422"/>
    </row>
    <row r="53784" spans="191:191" x14ac:dyDescent="0.2">
      <c r="GI53784" s="422"/>
    </row>
    <row r="53785" spans="191:191" x14ac:dyDescent="0.2">
      <c r="GI53785" s="422"/>
    </row>
    <row r="53786" spans="191:191" x14ac:dyDescent="0.2">
      <c r="GI53786" s="422"/>
    </row>
    <row r="53787" spans="191:191" x14ac:dyDescent="0.2">
      <c r="GI53787" s="422"/>
    </row>
    <row r="53788" spans="191:191" x14ac:dyDescent="0.2">
      <c r="GI53788" s="422"/>
    </row>
    <row r="53789" spans="191:191" x14ac:dyDescent="0.2">
      <c r="GI53789" s="422"/>
    </row>
    <row r="53790" spans="191:191" x14ac:dyDescent="0.2">
      <c r="GI53790" s="422"/>
    </row>
    <row r="53791" spans="191:191" x14ac:dyDescent="0.2">
      <c r="GI53791" s="422"/>
    </row>
    <row r="53792" spans="191:191" x14ac:dyDescent="0.2">
      <c r="GI53792" s="422"/>
    </row>
    <row r="53793" spans="191:191" x14ac:dyDescent="0.2">
      <c r="GI53793" s="422"/>
    </row>
    <row r="53794" spans="191:191" x14ac:dyDescent="0.2">
      <c r="GI53794" s="422"/>
    </row>
    <row r="53795" spans="191:191" x14ac:dyDescent="0.2">
      <c r="GI53795" s="422"/>
    </row>
    <row r="53796" spans="191:191" x14ac:dyDescent="0.2">
      <c r="GI53796" s="422"/>
    </row>
    <row r="53797" spans="191:191" x14ac:dyDescent="0.2">
      <c r="GI53797" s="422"/>
    </row>
    <row r="53798" spans="191:191" x14ac:dyDescent="0.2">
      <c r="GI53798" s="422"/>
    </row>
    <row r="53799" spans="191:191" x14ac:dyDescent="0.2">
      <c r="GI53799" s="422"/>
    </row>
    <row r="53800" spans="191:191" x14ac:dyDescent="0.2">
      <c r="GI53800" s="422"/>
    </row>
    <row r="53801" spans="191:191" x14ac:dyDescent="0.2">
      <c r="GI53801" s="422"/>
    </row>
    <row r="53802" spans="191:191" x14ac:dyDescent="0.2">
      <c r="GI53802" s="422"/>
    </row>
    <row r="53803" spans="191:191" x14ac:dyDescent="0.2">
      <c r="GI53803" s="422"/>
    </row>
    <row r="53804" spans="191:191" x14ac:dyDescent="0.2">
      <c r="GI53804" s="422"/>
    </row>
    <row r="53805" spans="191:191" x14ac:dyDescent="0.2">
      <c r="GI53805" s="422"/>
    </row>
    <row r="53806" spans="191:191" x14ac:dyDescent="0.2">
      <c r="GI53806" s="422"/>
    </row>
    <row r="53807" spans="191:191" x14ac:dyDescent="0.2">
      <c r="GI53807" s="422"/>
    </row>
    <row r="53808" spans="191:191" x14ac:dyDescent="0.2">
      <c r="GI53808" s="422"/>
    </row>
    <row r="53809" spans="191:191" x14ac:dyDescent="0.2">
      <c r="GI53809" s="422"/>
    </row>
    <row r="53810" spans="191:191" x14ac:dyDescent="0.2">
      <c r="GI53810" s="422"/>
    </row>
    <row r="53811" spans="191:191" x14ac:dyDescent="0.2">
      <c r="GI53811" s="422"/>
    </row>
    <row r="53812" spans="191:191" x14ac:dyDescent="0.2">
      <c r="GI53812" s="422"/>
    </row>
    <row r="53813" spans="191:191" x14ac:dyDescent="0.2">
      <c r="GI53813" s="422"/>
    </row>
    <row r="53814" spans="191:191" x14ac:dyDescent="0.2">
      <c r="GI53814" s="422"/>
    </row>
    <row r="53815" spans="191:191" x14ac:dyDescent="0.2">
      <c r="GI53815" s="422"/>
    </row>
    <row r="53816" spans="191:191" x14ac:dyDescent="0.2">
      <c r="GI53816" s="422"/>
    </row>
    <row r="53817" spans="191:191" x14ac:dyDescent="0.2">
      <c r="GI53817" s="422"/>
    </row>
    <row r="53818" spans="191:191" x14ac:dyDescent="0.2">
      <c r="GI53818" s="422"/>
    </row>
    <row r="53819" spans="191:191" x14ac:dyDescent="0.2">
      <c r="GI53819" s="422"/>
    </row>
    <row r="53820" spans="191:191" x14ac:dyDescent="0.2">
      <c r="GI53820" s="422"/>
    </row>
    <row r="53821" spans="191:191" x14ac:dyDescent="0.2">
      <c r="GI53821" s="422"/>
    </row>
    <row r="53822" spans="191:191" x14ac:dyDescent="0.2">
      <c r="GI53822" s="422"/>
    </row>
    <row r="53823" spans="191:191" x14ac:dyDescent="0.2">
      <c r="GI53823" s="422"/>
    </row>
    <row r="53824" spans="191:191" x14ac:dyDescent="0.2">
      <c r="GI53824" s="422"/>
    </row>
    <row r="53825" spans="191:191" x14ac:dyDescent="0.2">
      <c r="GI53825" s="422"/>
    </row>
    <row r="53826" spans="191:191" x14ac:dyDescent="0.2">
      <c r="GI53826" s="422"/>
    </row>
    <row r="53827" spans="191:191" x14ac:dyDescent="0.2">
      <c r="GI53827" s="422"/>
    </row>
    <row r="53828" spans="191:191" x14ac:dyDescent="0.2">
      <c r="GI53828" s="422"/>
    </row>
    <row r="53829" spans="191:191" x14ac:dyDescent="0.2">
      <c r="GI53829" s="422"/>
    </row>
    <row r="53830" spans="191:191" x14ac:dyDescent="0.2">
      <c r="GI53830" s="422"/>
    </row>
    <row r="53831" spans="191:191" x14ac:dyDescent="0.2">
      <c r="GI53831" s="422"/>
    </row>
    <row r="53832" spans="191:191" x14ac:dyDescent="0.2">
      <c r="GI53832" s="422"/>
    </row>
    <row r="53833" spans="191:191" x14ac:dyDescent="0.2">
      <c r="GI53833" s="422"/>
    </row>
    <row r="53834" spans="191:191" x14ac:dyDescent="0.2">
      <c r="GI53834" s="422"/>
    </row>
    <row r="53835" spans="191:191" x14ac:dyDescent="0.2">
      <c r="GI53835" s="422"/>
    </row>
    <row r="53836" spans="191:191" x14ac:dyDescent="0.2">
      <c r="GI53836" s="422"/>
    </row>
    <row r="53837" spans="191:191" x14ac:dyDescent="0.2">
      <c r="GI53837" s="422"/>
    </row>
    <row r="53838" spans="191:191" x14ac:dyDescent="0.2">
      <c r="GI53838" s="422"/>
    </row>
    <row r="53839" spans="191:191" x14ac:dyDescent="0.2">
      <c r="GI53839" s="422"/>
    </row>
    <row r="53840" spans="191:191" x14ac:dyDescent="0.2">
      <c r="GI53840" s="422"/>
    </row>
    <row r="53841" spans="191:191" x14ac:dyDescent="0.2">
      <c r="GI53841" s="422"/>
    </row>
    <row r="53842" spans="191:191" x14ac:dyDescent="0.2">
      <c r="GI53842" s="422"/>
    </row>
    <row r="53843" spans="191:191" x14ac:dyDescent="0.2">
      <c r="GI53843" s="422"/>
    </row>
    <row r="53844" spans="191:191" x14ac:dyDescent="0.2">
      <c r="GI53844" s="422"/>
    </row>
    <row r="53845" spans="191:191" x14ac:dyDescent="0.2">
      <c r="GI53845" s="422"/>
    </row>
    <row r="53846" spans="191:191" x14ac:dyDescent="0.2">
      <c r="GI53846" s="422"/>
    </row>
    <row r="53847" spans="191:191" x14ac:dyDescent="0.2">
      <c r="GI53847" s="422"/>
    </row>
    <row r="53848" spans="191:191" x14ac:dyDescent="0.2">
      <c r="GI53848" s="422"/>
    </row>
    <row r="53849" spans="191:191" x14ac:dyDescent="0.2">
      <c r="GI53849" s="422"/>
    </row>
    <row r="53850" spans="191:191" x14ac:dyDescent="0.2">
      <c r="GI53850" s="422"/>
    </row>
    <row r="53851" spans="191:191" x14ac:dyDescent="0.2">
      <c r="GI53851" s="422"/>
    </row>
    <row r="53852" spans="191:191" x14ac:dyDescent="0.2">
      <c r="GI53852" s="422"/>
    </row>
    <row r="53853" spans="191:191" x14ac:dyDescent="0.2">
      <c r="GI53853" s="422"/>
    </row>
    <row r="53854" spans="191:191" x14ac:dyDescent="0.2">
      <c r="GI53854" s="422"/>
    </row>
    <row r="53855" spans="191:191" x14ac:dyDescent="0.2">
      <c r="GI53855" s="422"/>
    </row>
    <row r="53856" spans="191:191" x14ac:dyDescent="0.2">
      <c r="GI53856" s="422"/>
    </row>
    <row r="53857" spans="191:191" x14ac:dyDescent="0.2">
      <c r="GI53857" s="422"/>
    </row>
    <row r="53858" spans="191:191" x14ac:dyDescent="0.2">
      <c r="GI53858" s="422"/>
    </row>
    <row r="53859" spans="191:191" x14ac:dyDescent="0.2">
      <c r="GI53859" s="422"/>
    </row>
    <row r="53860" spans="191:191" x14ac:dyDescent="0.2">
      <c r="GI53860" s="422"/>
    </row>
    <row r="53861" spans="191:191" x14ac:dyDescent="0.2">
      <c r="GI53861" s="422"/>
    </row>
    <row r="53862" spans="191:191" x14ac:dyDescent="0.2">
      <c r="GI53862" s="422"/>
    </row>
    <row r="53863" spans="191:191" x14ac:dyDescent="0.2">
      <c r="GI53863" s="422"/>
    </row>
    <row r="53864" spans="191:191" x14ac:dyDescent="0.2">
      <c r="GI53864" s="422"/>
    </row>
    <row r="53865" spans="191:191" x14ac:dyDescent="0.2">
      <c r="GI53865" s="422"/>
    </row>
    <row r="53866" spans="191:191" x14ac:dyDescent="0.2">
      <c r="GI53866" s="422"/>
    </row>
    <row r="53867" spans="191:191" x14ac:dyDescent="0.2">
      <c r="GI53867" s="422"/>
    </row>
    <row r="53868" spans="191:191" x14ac:dyDescent="0.2">
      <c r="GI53868" s="422"/>
    </row>
    <row r="53869" spans="191:191" x14ac:dyDescent="0.2">
      <c r="GI53869" s="422"/>
    </row>
    <row r="53870" spans="191:191" x14ac:dyDescent="0.2">
      <c r="GI53870" s="422"/>
    </row>
    <row r="53871" spans="191:191" x14ac:dyDescent="0.2">
      <c r="GI53871" s="422"/>
    </row>
    <row r="53872" spans="191:191" x14ac:dyDescent="0.2">
      <c r="GI53872" s="422"/>
    </row>
    <row r="53873" spans="191:191" x14ac:dyDescent="0.2">
      <c r="GI53873" s="422"/>
    </row>
    <row r="53874" spans="191:191" x14ac:dyDescent="0.2">
      <c r="GI53874" s="422"/>
    </row>
    <row r="53875" spans="191:191" x14ac:dyDescent="0.2">
      <c r="GI53875" s="422"/>
    </row>
    <row r="53876" spans="191:191" x14ac:dyDescent="0.2">
      <c r="GI53876" s="422"/>
    </row>
    <row r="53877" spans="191:191" x14ac:dyDescent="0.2">
      <c r="GI53877" s="422"/>
    </row>
    <row r="53878" spans="191:191" x14ac:dyDescent="0.2">
      <c r="GI53878" s="422"/>
    </row>
    <row r="53879" spans="191:191" x14ac:dyDescent="0.2">
      <c r="GI53879" s="422"/>
    </row>
    <row r="53880" spans="191:191" x14ac:dyDescent="0.2">
      <c r="GI53880" s="422"/>
    </row>
    <row r="53881" spans="191:191" x14ac:dyDescent="0.2">
      <c r="GI53881" s="422"/>
    </row>
    <row r="53882" spans="191:191" x14ac:dyDescent="0.2">
      <c r="GI53882" s="422"/>
    </row>
    <row r="53883" spans="191:191" x14ac:dyDescent="0.2">
      <c r="GI53883" s="422"/>
    </row>
    <row r="53884" spans="191:191" x14ac:dyDescent="0.2">
      <c r="GI53884" s="422"/>
    </row>
    <row r="53885" spans="191:191" x14ac:dyDescent="0.2">
      <c r="GI53885" s="422"/>
    </row>
    <row r="53886" spans="191:191" x14ac:dyDescent="0.2">
      <c r="GI53886" s="422"/>
    </row>
    <row r="53887" spans="191:191" x14ac:dyDescent="0.2">
      <c r="GI53887" s="422"/>
    </row>
    <row r="53888" spans="191:191" x14ac:dyDescent="0.2">
      <c r="GI53888" s="422"/>
    </row>
    <row r="53889" spans="191:191" x14ac:dyDescent="0.2">
      <c r="GI53889" s="422"/>
    </row>
    <row r="53890" spans="191:191" x14ac:dyDescent="0.2">
      <c r="GI53890" s="422"/>
    </row>
    <row r="53891" spans="191:191" x14ac:dyDescent="0.2">
      <c r="GI53891" s="422"/>
    </row>
    <row r="53892" spans="191:191" x14ac:dyDescent="0.2">
      <c r="GI53892" s="422"/>
    </row>
    <row r="53893" spans="191:191" x14ac:dyDescent="0.2">
      <c r="GI53893" s="422"/>
    </row>
    <row r="53894" spans="191:191" x14ac:dyDescent="0.2">
      <c r="GI53894" s="422"/>
    </row>
    <row r="53895" spans="191:191" x14ac:dyDescent="0.2">
      <c r="GI53895" s="422"/>
    </row>
    <row r="53896" spans="191:191" x14ac:dyDescent="0.2">
      <c r="GI53896" s="422"/>
    </row>
    <row r="53897" spans="191:191" x14ac:dyDescent="0.2">
      <c r="GI53897" s="422"/>
    </row>
    <row r="53898" spans="191:191" x14ac:dyDescent="0.2">
      <c r="GI53898" s="422"/>
    </row>
    <row r="53899" spans="191:191" x14ac:dyDescent="0.2">
      <c r="GI53899" s="422"/>
    </row>
    <row r="53900" spans="191:191" x14ac:dyDescent="0.2">
      <c r="GI53900" s="422"/>
    </row>
    <row r="53901" spans="191:191" x14ac:dyDescent="0.2">
      <c r="GI53901" s="422"/>
    </row>
    <row r="53902" spans="191:191" x14ac:dyDescent="0.2">
      <c r="GI53902" s="422"/>
    </row>
    <row r="53903" spans="191:191" x14ac:dyDescent="0.2">
      <c r="GI53903" s="422"/>
    </row>
    <row r="53904" spans="191:191" x14ac:dyDescent="0.2">
      <c r="GI53904" s="422"/>
    </row>
    <row r="53905" spans="191:191" x14ac:dyDescent="0.2">
      <c r="GI53905" s="422"/>
    </row>
    <row r="53906" spans="191:191" x14ac:dyDescent="0.2">
      <c r="GI53906" s="422"/>
    </row>
    <row r="53907" spans="191:191" x14ac:dyDescent="0.2">
      <c r="GI53907" s="422"/>
    </row>
    <row r="53908" spans="191:191" x14ac:dyDescent="0.2">
      <c r="GI53908" s="422"/>
    </row>
    <row r="53909" spans="191:191" x14ac:dyDescent="0.2">
      <c r="GI53909" s="422"/>
    </row>
    <row r="53910" spans="191:191" x14ac:dyDescent="0.2">
      <c r="GI53910" s="422"/>
    </row>
    <row r="53911" spans="191:191" x14ac:dyDescent="0.2">
      <c r="GI53911" s="422"/>
    </row>
    <row r="53912" spans="191:191" x14ac:dyDescent="0.2">
      <c r="GI53912" s="422"/>
    </row>
    <row r="53913" spans="191:191" x14ac:dyDescent="0.2">
      <c r="GI53913" s="422"/>
    </row>
    <row r="53914" spans="191:191" x14ac:dyDescent="0.2">
      <c r="GI53914" s="422"/>
    </row>
    <row r="53915" spans="191:191" x14ac:dyDescent="0.2">
      <c r="GI53915" s="422"/>
    </row>
    <row r="53916" spans="191:191" x14ac:dyDescent="0.2">
      <c r="GI53916" s="422"/>
    </row>
    <row r="53917" spans="191:191" x14ac:dyDescent="0.2">
      <c r="GI53917" s="422"/>
    </row>
    <row r="53918" spans="191:191" x14ac:dyDescent="0.2">
      <c r="GI53918" s="422"/>
    </row>
    <row r="53919" spans="191:191" x14ac:dyDescent="0.2">
      <c r="GI53919" s="422"/>
    </row>
    <row r="53920" spans="191:191" x14ac:dyDescent="0.2">
      <c r="GI53920" s="422"/>
    </row>
    <row r="53921" spans="191:191" x14ac:dyDescent="0.2">
      <c r="GI53921" s="422"/>
    </row>
    <row r="53922" spans="191:191" x14ac:dyDescent="0.2">
      <c r="GI53922" s="422"/>
    </row>
    <row r="53923" spans="191:191" x14ac:dyDescent="0.2">
      <c r="GI53923" s="422"/>
    </row>
    <row r="53924" spans="191:191" x14ac:dyDescent="0.2">
      <c r="GI53924" s="422"/>
    </row>
    <row r="53925" spans="191:191" x14ac:dyDescent="0.2">
      <c r="GI53925" s="422"/>
    </row>
    <row r="53926" spans="191:191" x14ac:dyDescent="0.2">
      <c r="GI53926" s="422"/>
    </row>
    <row r="53927" spans="191:191" x14ac:dyDescent="0.2">
      <c r="GI53927" s="422"/>
    </row>
    <row r="53928" spans="191:191" x14ac:dyDescent="0.2">
      <c r="GI53928" s="422"/>
    </row>
    <row r="53929" spans="191:191" x14ac:dyDescent="0.2">
      <c r="GI53929" s="422"/>
    </row>
    <row r="53930" spans="191:191" x14ac:dyDescent="0.2">
      <c r="GI53930" s="422"/>
    </row>
    <row r="53931" spans="191:191" x14ac:dyDescent="0.2">
      <c r="GI53931" s="422"/>
    </row>
    <row r="53932" spans="191:191" x14ac:dyDescent="0.2">
      <c r="GI53932" s="422"/>
    </row>
    <row r="53933" spans="191:191" x14ac:dyDescent="0.2">
      <c r="GI53933" s="422"/>
    </row>
    <row r="53934" spans="191:191" x14ac:dyDescent="0.2">
      <c r="GI53934" s="422"/>
    </row>
    <row r="53935" spans="191:191" x14ac:dyDescent="0.2">
      <c r="GI53935" s="422"/>
    </row>
    <row r="53936" spans="191:191" x14ac:dyDescent="0.2">
      <c r="GI53936" s="422"/>
    </row>
    <row r="53937" spans="191:191" x14ac:dyDescent="0.2">
      <c r="GI53937" s="422"/>
    </row>
    <row r="53938" spans="191:191" x14ac:dyDescent="0.2">
      <c r="GI53938" s="422"/>
    </row>
    <row r="53939" spans="191:191" x14ac:dyDescent="0.2">
      <c r="GI53939" s="422"/>
    </row>
    <row r="53940" spans="191:191" x14ac:dyDescent="0.2">
      <c r="GI53940" s="422"/>
    </row>
    <row r="53941" spans="191:191" x14ac:dyDescent="0.2">
      <c r="GI53941" s="422"/>
    </row>
    <row r="53942" spans="191:191" x14ac:dyDescent="0.2">
      <c r="GI53942" s="422"/>
    </row>
    <row r="53943" spans="191:191" x14ac:dyDescent="0.2">
      <c r="GI53943" s="422"/>
    </row>
    <row r="53944" spans="191:191" x14ac:dyDescent="0.2">
      <c r="GI53944" s="422"/>
    </row>
    <row r="53945" spans="191:191" x14ac:dyDescent="0.2">
      <c r="GI53945" s="422"/>
    </row>
    <row r="53946" spans="191:191" x14ac:dyDescent="0.2">
      <c r="GI53946" s="422"/>
    </row>
    <row r="53947" spans="191:191" x14ac:dyDescent="0.2">
      <c r="GI53947" s="422"/>
    </row>
    <row r="53948" spans="191:191" x14ac:dyDescent="0.2">
      <c r="GI53948" s="422"/>
    </row>
    <row r="53949" spans="191:191" x14ac:dyDescent="0.2">
      <c r="GI53949" s="422"/>
    </row>
    <row r="53950" spans="191:191" x14ac:dyDescent="0.2">
      <c r="GI53950" s="422"/>
    </row>
    <row r="53951" spans="191:191" x14ac:dyDescent="0.2">
      <c r="GI53951" s="422"/>
    </row>
    <row r="53952" spans="191:191" x14ac:dyDescent="0.2">
      <c r="GI53952" s="422"/>
    </row>
    <row r="53953" spans="191:191" x14ac:dyDescent="0.2">
      <c r="GI53953" s="422"/>
    </row>
    <row r="53954" spans="191:191" x14ac:dyDescent="0.2">
      <c r="GI53954" s="422"/>
    </row>
    <row r="53955" spans="191:191" x14ac:dyDescent="0.2">
      <c r="GI53955" s="422"/>
    </row>
    <row r="53956" spans="191:191" x14ac:dyDescent="0.2">
      <c r="GI53956" s="422"/>
    </row>
    <row r="53957" spans="191:191" x14ac:dyDescent="0.2">
      <c r="GI53957" s="422"/>
    </row>
    <row r="53958" spans="191:191" x14ac:dyDescent="0.2">
      <c r="GI53958" s="422"/>
    </row>
    <row r="53959" spans="191:191" x14ac:dyDescent="0.2">
      <c r="GI53959" s="422"/>
    </row>
    <row r="53960" spans="191:191" x14ac:dyDescent="0.2">
      <c r="GI53960" s="422"/>
    </row>
    <row r="53961" spans="191:191" x14ac:dyDescent="0.2">
      <c r="GI53961" s="422"/>
    </row>
    <row r="53962" spans="191:191" x14ac:dyDescent="0.2">
      <c r="GI53962" s="422"/>
    </row>
    <row r="53963" spans="191:191" x14ac:dyDescent="0.2">
      <c r="GI53963" s="422"/>
    </row>
    <row r="53964" spans="191:191" x14ac:dyDescent="0.2">
      <c r="GI53964" s="422"/>
    </row>
    <row r="53965" spans="191:191" x14ac:dyDescent="0.2">
      <c r="GI53965" s="422"/>
    </row>
    <row r="53966" spans="191:191" x14ac:dyDescent="0.2">
      <c r="GI53966" s="422"/>
    </row>
    <row r="53967" spans="191:191" x14ac:dyDescent="0.2">
      <c r="GI53967" s="422"/>
    </row>
    <row r="53968" spans="191:191" x14ac:dyDescent="0.2">
      <c r="GI53968" s="422"/>
    </row>
    <row r="53969" spans="191:191" x14ac:dyDescent="0.2">
      <c r="GI53969" s="422"/>
    </row>
    <row r="53970" spans="191:191" x14ac:dyDescent="0.2">
      <c r="GI53970" s="422"/>
    </row>
    <row r="53971" spans="191:191" x14ac:dyDescent="0.2">
      <c r="GI53971" s="422"/>
    </row>
    <row r="53972" spans="191:191" x14ac:dyDescent="0.2">
      <c r="GI53972" s="422"/>
    </row>
    <row r="53973" spans="191:191" x14ac:dyDescent="0.2">
      <c r="GI53973" s="422"/>
    </row>
    <row r="53974" spans="191:191" x14ac:dyDescent="0.2">
      <c r="GI53974" s="422"/>
    </row>
    <row r="53975" spans="191:191" x14ac:dyDescent="0.2">
      <c r="GI53975" s="422"/>
    </row>
    <row r="53976" spans="191:191" x14ac:dyDescent="0.2">
      <c r="GI53976" s="422"/>
    </row>
    <row r="53977" spans="191:191" x14ac:dyDescent="0.2">
      <c r="GI53977" s="422"/>
    </row>
    <row r="53978" spans="191:191" x14ac:dyDescent="0.2">
      <c r="GI53978" s="422"/>
    </row>
    <row r="53979" spans="191:191" x14ac:dyDescent="0.2">
      <c r="GI53979" s="422"/>
    </row>
    <row r="53980" spans="191:191" x14ac:dyDescent="0.2">
      <c r="GI53980" s="422"/>
    </row>
    <row r="53981" spans="191:191" x14ac:dyDescent="0.2">
      <c r="GI53981" s="422"/>
    </row>
    <row r="53982" spans="191:191" x14ac:dyDescent="0.2">
      <c r="GI53982" s="422"/>
    </row>
    <row r="53983" spans="191:191" x14ac:dyDescent="0.2">
      <c r="GI53983" s="422"/>
    </row>
    <row r="53984" spans="191:191" x14ac:dyDescent="0.2">
      <c r="GI53984" s="422"/>
    </row>
    <row r="53985" spans="191:191" x14ac:dyDescent="0.2">
      <c r="GI53985" s="422"/>
    </row>
    <row r="53986" spans="191:191" x14ac:dyDescent="0.2">
      <c r="GI53986" s="422"/>
    </row>
    <row r="53987" spans="191:191" x14ac:dyDescent="0.2">
      <c r="GI53987" s="422"/>
    </row>
    <row r="53988" spans="191:191" x14ac:dyDescent="0.2">
      <c r="GI53988" s="422"/>
    </row>
    <row r="53989" spans="191:191" x14ac:dyDescent="0.2">
      <c r="GI53989" s="422"/>
    </row>
    <row r="53990" spans="191:191" x14ac:dyDescent="0.2">
      <c r="GI53990" s="422"/>
    </row>
    <row r="53991" spans="191:191" x14ac:dyDescent="0.2">
      <c r="GI53991" s="422"/>
    </row>
    <row r="53992" spans="191:191" x14ac:dyDescent="0.2">
      <c r="GI53992" s="422"/>
    </row>
    <row r="53993" spans="191:191" x14ac:dyDescent="0.2">
      <c r="GI53993" s="422"/>
    </row>
    <row r="53994" spans="191:191" x14ac:dyDescent="0.2">
      <c r="GI53994" s="422"/>
    </row>
    <row r="53995" spans="191:191" x14ac:dyDescent="0.2">
      <c r="GI53995" s="422"/>
    </row>
    <row r="53996" spans="191:191" x14ac:dyDescent="0.2">
      <c r="GI53996" s="422"/>
    </row>
    <row r="53997" spans="191:191" x14ac:dyDescent="0.2">
      <c r="GI53997" s="422"/>
    </row>
    <row r="53998" spans="191:191" x14ac:dyDescent="0.2">
      <c r="GI53998" s="422"/>
    </row>
    <row r="53999" spans="191:191" x14ac:dyDescent="0.2">
      <c r="GI53999" s="422"/>
    </row>
    <row r="54000" spans="191:191" x14ac:dyDescent="0.2">
      <c r="GI54000" s="422"/>
    </row>
    <row r="54001" spans="191:191" x14ac:dyDescent="0.2">
      <c r="GI54001" s="422"/>
    </row>
    <row r="54002" spans="191:191" x14ac:dyDescent="0.2">
      <c r="GI54002" s="422"/>
    </row>
    <row r="54003" spans="191:191" x14ac:dyDescent="0.2">
      <c r="GI54003" s="422"/>
    </row>
    <row r="54004" spans="191:191" x14ac:dyDescent="0.2">
      <c r="GI54004" s="422"/>
    </row>
    <row r="54005" spans="191:191" x14ac:dyDescent="0.2">
      <c r="GI54005" s="422"/>
    </row>
    <row r="54006" spans="191:191" x14ac:dyDescent="0.2">
      <c r="GI54006" s="422"/>
    </row>
    <row r="54007" spans="191:191" x14ac:dyDescent="0.2">
      <c r="GI54007" s="422"/>
    </row>
    <row r="54008" spans="191:191" x14ac:dyDescent="0.2">
      <c r="GI54008" s="422"/>
    </row>
    <row r="54009" spans="191:191" x14ac:dyDescent="0.2">
      <c r="GI54009" s="422"/>
    </row>
    <row r="54010" spans="191:191" x14ac:dyDescent="0.2">
      <c r="GI54010" s="422"/>
    </row>
    <row r="54011" spans="191:191" x14ac:dyDescent="0.2">
      <c r="GI54011" s="422"/>
    </row>
    <row r="54012" spans="191:191" x14ac:dyDescent="0.2">
      <c r="GI54012" s="422"/>
    </row>
    <row r="54013" spans="191:191" x14ac:dyDescent="0.2">
      <c r="GI54013" s="422"/>
    </row>
    <row r="54014" spans="191:191" x14ac:dyDescent="0.2">
      <c r="GI54014" s="422"/>
    </row>
    <row r="54015" spans="191:191" x14ac:dyDescent="0.2">
      <c r="GI54015" s="422"/>
    </row>
    <row r="54016" spans="191:191" x14ac:dyDescent="0.2">
      <c r="GI54016" s="422"/>
    </row>
    <row r="54017" spans="191:191" x14ac:dyDescent="0.2">
      <c r="GI54017" s="422"/>
    </row>
    <row r="54018" spans="191:191" x14ac:dyDescent="0.2">
      <c r="GI54018" s="422"/>
    </row>
    <row r="54019" spans="191:191" x14ac:dyDescent="0.2">
      <c r="GI54019" s="422"/>
    </row>
    <row r="54020" spans="191:191" x14ac:dyDescent="0.2">
      <c r="GI54020" s="422"/>
    </row>
    <row r="54021" spans="191:191" x14ac:dyDescent="0.2">
      <c r="GI54021" s="422"/>
    </row>
    <row r="54022" spans="191:191" x14ac:dyDescent="0.2">
      <c r="GI54022" s="422"/>
    </row>
    <row r="54023" spans="191:191" x14ac:dyDescent="0.2">
      <c r="GI54023" s="422"/>
    </row>
    <row r="54024" spans="191:191" x14ac:dyDescent="0.2">
      <c r="GI54024" s="422"/>
    </row>
    <row r="54025" spans="191:191" x14ac:dyDescent="0.2">
      <c r="GI54025" s="422"/>
    </row>
    <row r="54026" spans="191:191" x14ac:dyDescent="0.2">
      <c r="GI54026" s="422"/>
    </row>
    <row r="54027" spans="191:191" x14ac:dyDescent="0.2">
      <c r="GI54027" s="422"/>
    </row>
    <row r="54028" spans="191:191" x14ac:dyDescent="0.2">
      <c r="GI54028" s="422"/>
    </row>
    <row r="54029" spans="191:191" x14ac:dyDescent="0.2">
      <c r="GI54029" s="422"/>
    </row>
    <row r="54030" spans="191:191" x14ac:dyDescent="0.2">
      <c r="GI54030" s="422"/>
    </row>
    <row r="54031" spans="191:191" x14ac:dyDescent="0.2">
      <c r="GI54031" s="422"/>
    </row>
    <row r="54032" spans="191:191" x14ac:dyDescent="0.2">
      <c r="GI54032" s="422"/>
    </row>
    <row r="54033" spans="191:191" x14ac:dyDescent="0.2">
      <c r="GI54033" s="422"/>
    </row>
    <row r="54034" spans="191:191" x14ac:dyDescent="0.2">
      <c r="GI54034" s="422"/>
    </row>
    <row r="54035" spans="191:191" x14ac:dyDescent="0.2">
      <c r="GI54035" s="422"/>
    </row>
    <row r="54036" spans="191:191" x14ac:dyDescent="0.2">
      <c r="GI54036" s="422"/>
    </row>
    <row r="54037" spans="191:191" x14ac:dyDescent="0.2">
      <c r="GI54037" s="422"/>
    </row>
    <row r="54038" spans="191:191" x14ac:dyDescent="0.2">
      <c r="GI54038" s="422"/>
    </row>
    <row r="54039" spans="191:191" x14ac:dyDescent="0.2">
      <c r="GI54039" s="422"/>
    </row>
    <row r="54040" spans="191:191" x14ac:dyDescent="0.2">
      <c r="GI54040" s="422"/>
    </row>
    <row r="54041" spans="191:191" x14ac:dyDescent="0.2">
      <c r="GI54041" s="422"/>
    </row>
    <row r="54042" spans="191:191" x14ac:dyDescent="0.2">
      <c r="GI54042" s="422"/>
    </row>
    <row r="54043" spans="191:191" x14ac:dyDescent="0.2">
      <c r="GI54043" s="422"/>
    </row>
    <row r="54044" spans="191:191" x14ac:dyDescent="0.2">
      <c r="GI54044" s="422"/>
    </row>
    <row r="54045" spans="191:191" x14ac:dyDescent="0.2">
      <c r="GI54045" s="422"/>
    </row>
    <row r="54046" spans="191:191" x14ac:dyDescent="0.2">
      <c r="GI54046" s="422"/>
    </row>
    <row r="54047" spans="191:191" x14ac:dyDescent="0.2">
      <c r="GI54047" s="422"/>
    </row>
    <row r="54048" spans="191:191" x14ac:dyDescent="0.2">
      <c r="GI54048" s="422"/>
    </row>
    <row r="54049" spans="191:191" x14ac:dyDescent="0.2">
      <c r="GI54049" s="422"/>
    </row>
    <row r="54050" spans="191:191" x14ac:dyDescent="0.2">
      <c r="GI54050" s="422"/>
    </row>
    <row r="54051" spans="191:191" x14ac:dyDescent="0.2">
      <c r="GI54051" s="422"/>
    </row>
    <row r="54052" spans="191:191" x14ac:dyDescent="0.2">
      <c r="GI54052" s="422"/>
    </row>
    <row r="54053" spans="191:191" x14ac:dyDescent="0.2">
      <c r="GI54053" s="422"/>
    </row>
    <row r="54054" spans="191:191" x14ac:dyDescent="0.2">
      <c r="GI54054" s="422"/>
    </row>
    <row r="54055" spans="191:191" x14ac:dyDescent="0.2">
      <c r="GI54055" s="422"/>
    </row>
    <row r="54056" spans="191:191" x14ac:dyDescent="0.2">
      <c r="GI54056" s="422"/>
    </row>
    <row r="54057" spans="191:191" x14ac:dyDescent="0.2">
      <c r="GI54057" s="422"/>
    </row>
    <row r="54058" spans="191:191" x14ac:dyDescent="0.2">
      <c r="GI54058" s="422"/>
    </row>
    <row r="54059" spans="191:191" x14ac:dyDescent="0.2">
      <c r="GI54059" s="422"/>
    </row>
    <row r="54060" spans="191:191" x14ac:dyDescent="0.2">
      <c r="GI54060" s="422"/>
    </row>
    <row r="54061" spans="191:191" x14ac:dyDescent="0.2">
      <c r="GI54061" s="422"/>
    </row>
    <row r="54062" spans="191:191" x14ac:dyDescent="0.2">
      <c r="GI54062" s="422"/>
    </row>
    <row r="54063" spans="191:191" x14ac:dyDescent="0.2">
      <c r="GI54063" s="422"/>
    </row>
    <row r="54064" spans="191:191" x14ac:dyDescent="0.2">
      <c r="GI54064" s="422"/>
    </row>
    <row r="54065" spans="191:191" x14ac:dyDescent="0.2">
      <c r="GI54065" s="422"/>
    </row>
    <row r="54066" spans="191:191" x14ac:dyDescent="0.2">
      <c r="GI54066" s="422"/>
    </row>
    <row r="54067" spans="191:191" x14ac:dyDescent="0.2">
      <c r="GI54067" s="422"/>
    </row>
    <row r="54068" spans="191:191" x14ac:dyDescent="0.2">
      <c r="GI54068" s="422"/>
    </row>
    <row r="54069" spans="191:191" x14ac:dyDescent="0.2">
      <c r="GI54069" s="422"/>
    </row>
    <row r="54070" spans="191:191" x14ac:dyDescent="0.2">
      <c r="GI54070" s="422"/>
    </row>
    <row r="54071" spans="191:191" x14ac:dyDescent="0.2">
      <c r="GI54071" s="422"/>
    </row>
    <row r="54072" spans="191:191" x14ac:dyDescent="0.2">
      <c r="GI54072" s="422"/>
    </row>
    <row r="54073" spans="191:191" x14ac:dyDescent="0.2">
      <c r="GI54073" s="422"/>
    </row>
    <row r="54074" spans="191:191" x14ac:dyDescent="0.2">
      <c r="GI54074" s="422"/>
    </row>
    <row r="54075" spans="191:191" x14ac:dyDescent="0.2">
      <c r="GI54075" s="422"/>
    </row>
    <row r="54076" spans="191:191" x14ac:dyDescent="0.2">
      <c r="GI54076" s="422"/>
    </row>
    <row r="54077" spans="191:191" x14ac:dyDescent="0.2">
      <c r="GI54077" s="422"/>
    </row>
    <row r="54078" spans="191:191" x14ac:dyDescent="0.2">
      <c r="GI54078" s="422"/>
    </row>
    <row r="54079" spans="191:191" x14ac:dyDescent="0.2">
      <c r="GI54079" s="422"/>
    </row>
    <row r="54080" spans="191:191" x14ac:dyDescent="0.2">
      <c r="GI54080" s="422"/>
    </row>
    <row r="54081" spans="191:191" x14ac:dyDescent="0.2">
      <c r="GI54081" s="422"/>
    </row>
    <row r="54082" spans="191:191" x14ac:dyDescent="0.2">
      <c r="GI54082" s="422"/>
    </row>
    <row r="54083" spans="191:191" x14ac:dyDescent="0.2">
      <c r="GI54083" s="422"/>
    </row>
    <row r="54084" spans="191:191" x14ac:dyDescent="0.2">
      <c r="GI54084" s="422"/>
    </row>
    <row r="54085" spans="191:191" x14ac:dyDescent="0.2">
      <c r="GI54085" s="422"/>
    </row>
    <row r="54086" spans="191:191" x14ac:dyDescent="0.2">
      <c r="GI54086" s="422"/>
    </row>
    <row r="54087" spans="191:191" x14ac:dyDescent="0.2">
      <c r="GI54087" s="422"/>
    </row>
    <row r="54088" spans="191:191" x14ac:dyDescent="0.2">
      <c r="GI54088" s="422"/>
    </row>
    <row r="54089" spans="191:191" x14ac:dyDescent="0.2">
      <c r="GI54089" s="422"/>
    </row>
    <row r="54090" spans="191:191" x14ac:dyDescent="0.2">
      <c r="GI54090" s="422"/>
    </row>
    <row r="54091" spans="191:191" x14ac:dyDescent="0.2">
      <c r="GI54091" s="422"/>
    </row>
    <row r="54092" spans="191:191" x14ac:dyDescent="0.2">
      <c r="GI54092" s="422"/>
    </row>
    <row r="54093" spans="191:191" x14ac:dyDescent="0.2">
      <c r="GI54093" s="422"/>
    </row>
    <row r="54094" spans="191:191" x14ac:dyDescent="0.2">
      <c r="GI54094" s="422"/>
    </row>
    <row r="54095" spans="191:191" x14ac:dyDescent="0.2">
      <c r="GI54095" s="422"/>
    </row>
    <row r="54096" spans="191:191" x14ac:dyDescent="0.2">
      <c r="GI54096" s="422"/>
    </row>
    <row r="54097" spans="191:191" x14ac:dyDescent="0.2">
      <c r="GI54097" s="422"/>
    </row>
    <row r="54098" spans="191:191" x14ac:dyDescent="0.2">
      <c r="GI54098" s="422"/>
    </row>
    <row r="54099" spans="191:191" x14ac:dyDescent="0.2">
      <c r="GI54099" s="422"/>
    </row>
    <row r="54100" spans="191:191" x14ac:dyDescent="0.2">
      <c r="GI54100" s="422"/>
    </row>
    <row r="54101" spans="191:191" x14ac:dyDescent="0.2">
      <c r="GI54101" s="422"/>
    </row>
    <row r="54102" spans="191:191" x14ac:dyDescent="0.2">
      <c r="GI54102" s="422"/>
    </row>
    <row r="54103" spans="191:191" x14ac:dyDescent="0.2">
      <c r="GI54103" s="422"/>
    </row>
    <row r="54104" spans="191:191" x14ac:dyDescent="0.2">
      <c r="GI54104" s="422"/>
    </row>
    <row r="54105" spans="191:191" x14ac:dyDescent="0.2">
      <c r="GI54105" s="422"/>
    </row>
    <row r="54106" spans="191:191" x14ac:dyDescent="0.2">
      <c r="GI54106" s="422"/>
    </row>
    <row r="54107" spans="191:191" x14ac:dyDescent="0.2">
      <c r="GI54107" s="422"/>
    </row>
    <row r="54108" spans="191:191" x14ac:dyDescent="0.2">
      <c r="GI54108" s="422"/>
    </row>
    <row r="54109" spans="191:191" x14ac:dyDescent="0.2">
      <c r="GI54109" s="422"/>
    </row>
    <row r="54110" spans="191:191" x14ac:dyDescent="0.2">
      <c r="GI54110" s="422"/>
    </row>
    <row r="54111" spans="191:191" x14ac:dyDescent="0.2">
      <c r="GI54111" s="422"/>
    </row>
    <row r="54112" spans="191:191" x14ac:dyDescent="0.2">
      <c r="GI54112" s="422"/>
    </row>
    <row r="54113" spans="191:191" x14ac:dyDescent="0.2">
      <c r="GI54113" s="422"/>
    </row>
    <row r="54114" spans="191:191" x14ac:dyDescent="0.2">
      <c r="GI54114" s="422"/>
    </row>
    <row r="54115" spans="191:191" x14ac:dyDescent="0.2">
      <c r="GI54115" s="422"/>
    </row>
    <row r="54116" spans="191:191" x14ac:dyDescent="0.2">
      <c r="GI54116" s="422"/>
    </row>
    <row r="54117" spans="191:191" x14ac:dyDescent="0.2">
      <c r="GI54117" s="422"/>
    </row>
    <row r="54118" spans="191:191" x14ac:dyDescent="0.2">
      <c r="GI54118" s="422"/>
    </row>
    <row r="54119" spans="191:191" x14ac:dyDescent="0.2">
      <c r="GI54119" s="422"/>
    </row>
    <row r="54120" spans="191:191" x14ac:dyDescent="0.2">
      <c r="GI54120" s="422"/>
    </row>
    <row r="54121" spans="191:191" x14ac:dyDescent="0.2">
      <c r="GI54121" s="422"/>
    </row>
    <row r="54122" spans="191:191" x14ac:dyDescent="0.2">
      <c r="GI54122" s="422"/>
    </row>
    <row r="54123" spans="191:191" x14ac:dyDescent="0.2">
      <c r="GI54123" s="422"/>
    </row>
    <row r="54124" spans="191:191" x14ac:dyDescent="0.2">
      <c r="GI54124" s="422"/>
    </row>
    <row r="54125" spans="191:191" x14ac:dyDescent="0.2">
      <c r="GI54125" s="422"/>
    </row>
    <row r="54126" spans="191:191" x14ac:dyDescent="0.2">
      <c r="GI54126" s="422"/>
    </row>
    <row r="54127" spans="191:191" x14ac:dyDescent="0.2">
      <c r="GI54127" s="422"/>
    </row>
    <row r="54128" spans="191:191" x14ac:dyDescent="0.2">
      <c r="GI54128" s="422"/>
    </row>
    <row r="54129" spans="191:191" x14ac:dyDescent="0.2">
      <c r="GI54129" s="422"/>
    </row>
    <row r="54130" spans="191:191" x14ac:dyDescent="0.2">
      <c r="GI54130" s="422"/>
    </row>
    <row r="54131" spans="191:191" x14ac:dyDescent="0.2">
      <c r="GI54131" s="422"/>
    </row>
    <row r="54132" spans="191:191" x14ac:dyDescent="0.2">
      <c r="GI54132" s="422"/>
    </row>
    <row r="54133" spans="191:191" x14ac:dyDescent="0.2">
      <c r="GI54133" s="422"/>
    </row>
    <row r="54134" spans="191:191" x14ac:dyDescent="0.2">
      <c r="GI54134" s="422"/>
    </row>
    <row r="54135" spans="191:191" x14ac:dyDescent="0.2">
      <c r="GI54135" s="422"/>
    </row>
    <row r="54136" spans="191:191" x14ac:dyDescent="0.2">
      <c r="GI54136" s="422"/>
    </row>
    <row r="54137" spans="191:191" x14ac:dyDescent="0.2">
      <c r="GI54137" s="422"/>
    </row>
    <row r="54138" spans="191:191" x14ac:dyDescent="0.2">
      <c r="GI54138" s="422"/>
    </row>
    <row r="54139" spans="191:191" x14ac:dyDescent="0.2">
      <c r="GI54139" s="422"/>
    </row>
    <row r="54140" spans="191:191" x14ac:dyDescent="0.2">
      <c r="GI54140" s="422"/>
    </row>
    <row r="54141" spans="191:191" x14ac:dyDescent="0.2">
      <c r="GI54141" s="422"/>
    </row>
    <row r="54142" spans="191:191" x14ac:dyDescent="0.2">
      <c r="GI54142" s="422"/>
    </row>
    <row r="54143" spans="191:191" x14ac:dyDescent="0.2">
      <c r="GI54143" s="422"/>
    </row>
    <row r="54144" spans="191:191" x14ac:dyDescent="0.2">
      <c r="GI54144" s="422"/>
    </row>
    <row r="54145" spans="191:191" x14ac:dyDescent="0.2">
      <c r="GI54145" s="422"/>
    </row>
    <row r="54146" spans="191:191" x14ac:dyDescent="0.2">
      <c r="GI54146" s="422"/>
    </row>
    <row r="54147" spans="191:191" x14ac:dyDescent="0.2">
      <c r="GI54147" s="422"/>
    </row>
    <row r="54148" spans="191:191" x14ac:dyDescent="0.2">
      <c r="GI54148" s="422"/>
    </row>
    <row r="54149" spans="191:191" x14ac:dyDescent="0.2">
      <c r="GI54149" s="422"/>
    </row>
    <row r="54150" spans="191:191" x14ac:dyDescent="0.2">
      <c r="GI54150" s="422"/>
    </row>
    <row r="54151" spans="191:191" x14ac:dyDescent="0.2">
      <c r="GI54151" s="422"/>
    </row>
    <row r="54152" spans="191:191" x14ac:dyDescent="0.2">
      <c r="GI54152" s="422"/>
    </row>
    <row r="54153" spans="191:191" x14ac:dyDescent="0.2">
      <c r="GI54153" s="422"/>
    </row>
    <row r="54154" spans="191:191" x14ac:dyDescent="0.2">
      <c r="GI54154" s="422"/>
    </row>
    <row r="54155" spans="191:191" x14ac:dyDescent="0.2">
      <c r="GI54155" s="422"/>
    </row>
    <row r="54156" spans="191:191" x14ac:dyDescent="0.2">
      <c r="GI54156" s="422"/>
    </row>
    <row r="54157" spans="191:191" x14ac:dyDescent="0.2">
      <c r="GI54157" s="422"/>
    </row>
    <row r="54158" spans="191:191" x14ac:dyDescent="0.2">
      <c r="GI54158" s="422"/>
    </row>
    <row r="54159" spans="191:191" x14ac:dyDescent="0.2">
      <c r="GI54159" s="422"/>
    </row>
    <row r="54160" spans="191:191" x14ac:dyDescent="0.2">
      <c r="GI54160" s="422"/>
    </row>
    <row r="54161" spans="191:191" x14ac:dyDescent="0.2">
      <c r="GI54161" s="422"/>
    </row>
    <row r="54162" spans="191:191" x14ac:dyDescent="0.2">
      <c r="GI54162" s="422"/>
    </row>
    <row r="54163" spans="191:191" x14ac:dyDescent="0.2">
      <c r="GI54163" s="422"/>
    </row>
    <row r="54164" spans="191:191" x14ac:dyDescent="0.2">
      <c r="GI54164" s="422"/>
    </row>
    <row r="54165" spans="191:191" x14ac:dyDescent="0.2">
      <c r="GI54165" s="422"/>
    </row>
    <row r="54166" spans="191:191" x14ac:dyDescent="0.2">
      <c r="GI54166" s="422"/>
    </row>
    <row r="54167" spans="191:191" x14ac:dyDescent="0.2">
      <c r="GI54167" s="422"/>
    </row>
    <row r="54168" spans="191:191" x14ac:dyDescent="0.2">
      <c r="GI54168" s="422"/>
    </row>
    <row r="54169" spans="191:191" x14ac:dyDescent="0.2">
      <c r="GI54169" s="422"/>
    </row>
    <row r="54170" spans="191:191" x14ac:dyDescent="0.2">
      <c r="GI54170" s="422"/>
    </row>
    <row r="54171" spans="191:191" x14ac:dyDescent="0.2">
      <c r="GI54171" s="422"/>
    </row>
    <row r="54172" spans="191:191" x14ac:dyDescent="0.2">
      <c r="GI54172" s="422"/>
    </row>
    <row r="54173" spans="191:191" x14ac:dyDescent="0.2">
      <c r="GI54173" s="422"/>
    </row>
    <row r="54174" spans="191:191" x14ac:dyDescent="0.2">
      <c r="GI54174" s="422"/>
    </row>
    <row r="54175" spans="191:191" x14ac:dyDescent="0.2">
      <c r="GI54175" s="422"/>
    </row>
    <row r="54176" spans="191:191" x14ac:dyDescent="0.2">
      <c r="GI54176" s="422"/>
    </row>
    <row r="54177" spans="191:191" x14ac:dyDescent="0.2">
      <c r="GI54177" s="422"/>
    </row>
    <row r="54178" spans="191:191" x14ac:dyDescent="0.2">
      <c r="GI54178" s="422"/>
    </row>
    <row r="54179" spans="191:191" x14ac:dyDescent="0.2">
      <c r="GI54179" s="422"/>
    </row>
    <row r="54180" spans="191:191" x14ac:dyDescent="0.2">
      <c r="GI54180" s="422"/>
    </row>
    <row r="54181" spans="191:191" x14ac:dyDescent="0.2">
      <c r="GI54181" s="422"/>
    </row>
    <row r="54182" spans="191:191" x14ac:dyDescent="0.2">
      <c r="GI54182" s="422"/>
    </row>
    <row r="54183" spans="191:191" x14ac:dyDescent="0.2">
      <c r="GI54183" s="422"/>
    </row>
    <row r="54184" spans="191:191" x14ac:dyDescent="0.2">
      <c r="GI54184" s="422"/>
    </row>
    <row r="54185" spans="191:191" x14ac:dyDescent="0.2">
      <c r="GI54185" s="422"/>
    </row>
    <row r="54186" spans="191:191" x14ac:dyDescent="0.2">
      <c r="GI54186" s="422"/>
    </row>
    <row r="54187" spans="191:191" x14ac:dyDescent="0.2">
      <c r="GI54187" s="422"/>
    </row>
    <row r="54188" spans="191:191" x14ac:dyDescent="0.2">
      <c r="GI54188" s="422"/>
    </row>
    <row r="54189" spans="191:191" x14ac:dyDescent="0.2">
      <c r="GI54189" s="422"/>
    </row>
    <row r="54190" spans="191:191" x14ac:dyDescent="0.2">
      <c r="GI54190" s="422"/>
    </row>
    <row r="54191" spans="191:191" x14ac:dyDescent="0.2">
      <c r="GI54191" s="422"/>
    </row>
    <row r="54192" spans="191:191" x14ac:dyDescent="0.2">
      <c r="GI54192" s="422"/>
    </row>
    <row r="54193" spans="191:191" x14ac:dyDescent="0.2">
      <c r="GI54193" s="422"/>
    </row>
    <row r="54194" spans="191:191" x14ac:dyDescent="0.2">
      <c r="GI54194" s="422"/>
    </row>
    <row r="54195" spans="191:191" x14ac:dyDescent="0.2">
      <c r="GI54195" s="422"/>
    </row>
    <row r="54196" spans="191:191" x14ac:dyDescent="0.2">
      <c r="GI54196" s="422"/>
    </row>
    <row r="54197" spans="191:191" x14ac:dyDescent="0.2">
      <c r="GI54197" s="422"/>
    </row>
    <row r="54198" spans="191:191" x14ac:dyDescent="0.2">
      <c r="GI54198" s="422"/>
    </row>
    <row r="54199" spans="191:191" x14ac:dyDescent="0.2">
      <c r="GI54199" s="422"/>
    </row>
    <row r="54200" spans="191:191" x14ac:dyDescent="0.2">
      <c r="GI54200" s="422"/>
    </row>
    <row r="54201" spans="191:191" x14ac:dyDescent="0.2">
      <c r="GI54201" s="422"/>
    </row>
    <row r="54202" spans="191:191" x14ac:dyDescent="0.2">
      <c r="GI54202" s="422"/>
    </row>
    <row r="54203" spans="191:191" x14ac:dyDescent="0.2">
      <c r="GI54203" s="422"/>
    </row>
    <row r="54204" spans="191:191" x14ac:dyDescent="0.2">
      <c r="GI54204" s="422"/>
    </row>
    <row r="54205" spans="191:191" x14ac:dyDescent="0.2">
      <c r="GI54205" s="422"/>
    </row>
    <row r="54206" spans="191:191" x14ac:dyDescent="0.2">
      <c r="GI54206" s="422"/>
    </row>
    <row r="54207" spans="191:191" x14ac:dyDescent="0.2">
      <c r="GI54207" s="422"/>
    </row>
    <row r="54208" spans="191:191" x14ac:dyDescent="0.2">
      <c r="GI54208" s="422"/>
    </row>
    <row r="54209" spans="191:191" x14ac:dyDescent="0.2">
      <c r="GI54209" s="422"/>
    </row>
    <row r="54210" spans="191:191" x14ac:dyDescent="0.2">
      <c r="GI54210" s="422"/>
    </row>
    <row r="54211" spans="191:191" x14ac:dyDescent="0.2">
      <c r="GI54211" s="422"/>
    </row>
    <row r="54212" spans="191:191" x14ac:dyDescent="0.2">
      <c r="GI54212" s="422"/>
    </row>
    <row r="54213" spans="191:191" x14ac:dyDescent="0.2">
      <c r="GI54213" s="422"/>
    </row>
    <row r="54214" spans="191:191" x14ac:dyDescent="0.2">
      <c r="GI54214" s="422"/>
    </row>
    <row r="54215" spans="191:191" x14ac:dyDescent="0.2">
      <c r="GI54215" s="422"/>
    </row>
    <row r="54216" spans="191:191" x14ac:dyDescent="0.2">
      <c r="GI54216" s="422"/>
    </row>
    <row r="54217" spans="191:191" x14ac:dyDescent="0.2">
      <c r="GI54217" s="422"/>
    </row>
    <row r="54218" spans="191:191" x14ac:dyDescent="0.2">
      <c r="GI54218" s="422"/>
    </row>
    <row r="54219" spans="191:191" x14ac:dyDescent="0.2">
      <c r="GI54219" s="422"/>
    </row>
    <row r="54220" spans="191:191" x14ac:dyDescent="0.2">
      <c r="GI54220" s="422"/>
    </row>
    <row r="54221" spans="191:191" x14ac:dyDescent="0.2">
      <c r="GI54221" s="422"/>
    </row>
    <row r="54222" spans="191:191" x14ac:dyDescent="0.2">
      <c r="GI54222" s="422"/>
    </row>
    <row r="54223" spans="191:191" x14ac:dyDescent="0.2">
      <c r="GI54223" s="422"/>
    </row>
    <row r="54224" spans="191:191" x14ac:dyDescent="0.2">
      <c r="GI54224" s="422"/>
    </row>
    <row r="54225" spans="191:191" x14ac:dyDescent="0.2">
      <c r="GI54225" s="422"/>
    </row>
    <row r="54226" spans="191:191" x14ac:dyDescent="0.2">
      <c r="GI54226" s="422"/>
    </row>
    <row r="54227" spans="191:191" x14ac:dyDescent="0.2">
      <c r="GI54227" s="422"/>
    </row>
    <row r="54228" spans="191:191" x14ac:dyDescent="0.2">
      <c r="GI54228" s="422"/>
    </row>
    <row r="54229" spans="191:191" x14ac:dyDescent="0.2">
      <c r="GI54229" s="422"/>
    </row>
    <row r="54230" spans="191:191" x14ac:dyDescent="0.2">
      <c r="GI54230" s="422"/>
    </row>
    <row r="54231" spans="191:191" x14ac:dyDescent="0.2">
      <c r="GI54231" s="422"/>
    </row>
    <row r="54232" spans="191:191" x14ac:dyDescent="0.2">
      <c r="GI54232" s="422"/>
    </row>
    <row r="54233" spans="191:191" x14ac:dyDescent="0.2">
      <c r="GI54233" s="422"/>
    </row>
    <row r="54234" spans="191:191" x14ac:dyDescent="0.2">
      <c r="GI54234" s="422"/>
    </row>
    <row r="54235" spans="191:191" x14ac:dyDescent="0.2">
      <c r="GI54235" s="422"/>
    </row>
    <row r="54236" spans="191:191" x14ac:dyDescent="0.2">
      <c r="GI54236" s="422"/>
    </row>
    <row r="54237" spans="191:191" x14ac:dyDescent="0.2">
      <c r="GI54237" s="422"/>
    </row>
    <row r="54238" spans="191:191" x14ac:dyDescent="0.2">
      <c r="GI54238" s="422"/>
    </row>
    <row r="54239" spans="191:191" x14ac:dyDescent="0.2">
      <c r="GI54239" s="422"/>
    </row>
    <row r="54240" spans="191:191" x14ac:dyDescent="0.2">
      <c r="GI54240" s="422"/>
    </row>
    <row r="54241" spans="191:191" x14ac:dyDescent="0.2">
      <c r="GI54241" s="422"/>
    </row>
    <row r="54242" spans="191:191" x14ac:dyDescent="0.2">
      <c r="GI54242" s="422"/>
    </row>
    <row r="54243" spans="191:191" x14ac:dyDescent="0.2">
      <c r="GI54243" s="422"/>
    </row>
    <row r="54244" spans="191:191" x14ac:dyDescent="0.2">
      <c r="GI54244" s="422"/>
    </row>
    <row r="54245" spans="191:191" x14ac:dyDescent="0.2">
      <c r="GI54245" s="422"/>
    </row>
    <row r="54246" spans="191:191" x14ac:dyDescent="0.2">
      <c r="GI54246" s="422"/>
    </row>
    <row r="54247" spans="191:191" x14ac:dyDescent="0.2">
      <c r="GI54247" s="422"/>
    </row>
    <row r="54248" spans="191:191" x14ac:dyDescent="0.2">
      <c r="GI54248" s="422"/>
    </row>
    <row r="54249" spans="191:191" x14ac:dyDescent="0.2">
      <c r="GI54249" s="422"/>
    </row>
    <row r="54250" spans="191:191" x14ac:dyDescent="0.2">
      <c r="GI54250" s="422"/>
    </row>
    <row r="54251" spans="191:191" x14ac:dyDescent="0.2">
      <c r="GI54251" s="422"/>
    </row>
    <row r="54252" spans="191:191" x14ac:dyDescent="0.2">
      <c r="GI54252" s="422"/>
    </row>
    <row r="54253" spans="191:191" x14ac:dyDescent="0.2">
      <c r="GI54253" s="422"/>
    </row>
    <row r="54254" spans="191:191" x14ac:dyDescent="0.2">
      <c r="GI54254" s="422"/>
    </row>
    <row r="54255" spans="191:191" x14ac:dyDescent="0.2">
      <c r="GI54255" s="422"/>
    </row>
    <row r="54256" spans="191:191" x14ac:dyDescent="0.2">
      <c r="GI54256" s="422"/>
    </row>
    <row r="54257" spans="191:191" x14ac:dyDescent="0.2">
      <c r="GI54257" s="422"/>
    </row>
    <row r="54258" spans="191:191" x14ac:dyDescent="0.2">
      <c r="GI54258" s="422"/>
    </row>
    <row r="54259" spans="191:191" x14ac:dyDescent="0.2">
      <c r="GI54259" s="422"/>
    </row>
    <row r="54260" spans="191:191" x14ac:dyDescent="0.2">
      <c r="GI54260" s="422"/>
    </row>
    <row r="54261" spans="191:191" x14ac:dyDescent="0.2">
      <c r="GI54261" s="422"/>
    </row>
    <row r="54262" spans="191:191" x14ac:dyDescent="0.2">
      <c r="GI54262" s="422"/>
    </row>
    <row r="54263" spans="191:191" x14ac:dyDescent="0.2">
      <c r="GI54263" s="422"/>
    </row>
    <row r="54264" spans="191:191" x14ac:dyDescent="0.2">
      <c r="GI54264" s="422"/>
    </row>
    <row r="54265" spans="191:191" x14ac:dyDescent="0.2">
      <c r="GI54265" s="422"/>
    </row>
    <row r="54266" spans="191:191" x14ac:dyDescent="0.2">
      <c r="GI54266" s="422"/>
    </row>
    <row r="54267" spans="191:191" x14ac:dyDescent="0.2">
      <c r="GI54267" s="422"/>
    </row>
    <row r="54268" spans="191:191" x14ac:dyDescent="0.2">
      <c r="GI54268" s="422"/>
    </row>
    <row r="54269" spans="191:191" x14ac:dyDescent="0.2">
      <c r="GI54269" s="422"/>
    </row>
    <row r="54270" spans="191:191" x14ac:dyDescent="0.2">
      <c r="GI54270" s="422"/>
    </row>
    <row r="54271" spans="191:191" x14ac:dyDescent="0.2">
      <c r="GI54271" s="422"/>
    </row>
    <row r="54272" spans="191:191" x14ac:dyDescent="0.2">
      <c r="GI54272" s="422"/>
    </row>
    <row r="54273" spans="191:191" x14ac:dyDescent="0.2">
      <c r="GI54273" s="422"/>
    </row>
    <row r="54274" spans="191:191" x14ac:dyDescent="0.2">
      <c r="GI54274" s="422"/>
    </row>
    <row r="54275" spans="191:191" x14ac:dyDescent="0.2">
      <c r="GI54275" s="422"/>
    </row>
    <row r="54276" spans="191:191" x14ac:dyDescent="0.2">
      <c r="GI54276" s="422"/>
    </row>
    <row r="54277" spans="191:191" x14ac:dyDescent="0.2">
      <c r="GI54277" s="422"/>
    </row>
    <row r="54278" spans="191:191" x14ac:dyDescent="0.2">
      <c r="GI54278" s="422"/>
    </row>
    <row r="54279" spans="191:191" x14ac:dyDescent="0.2">
      <c r="GI54279" s="422"/>
    </row>
    <row r="54280" spans="191:191" x14ac:dyDescent="0.2">
      <c r="GI54280" s="422"/>
    </row>
    <row r="54281" spans="191:191" x14ac:dyDescent="0.2">
      <c r="GI54281" s="422"/>
    </row>
    <row r="54282" spans="191:191" x14ac:dyDescent="0.2">
      <c r="GI54282" s="422"/>
    </row>
    <row r="54283" spans="191:191" x14ac:dyDescent="0.2">
      <c r="GI54283" s="422"/>
    </row>
    <row r="54284" spans="191:191" x14ac:dyDescent="0.2">
      <c r="GI54284" s="422"/>
    </row>
    <row r="54285" spans="191:191" x14ac:dyDescent="0.2">
      <c r="GI54285" s="422"/>
    </row>
    <row r="54286" spans="191:191" x14ac:dyDescent="0.2">
      <c r="GI54286" s="422"/>
    </row>
    <row r="54287" spans="191:191" x14ac:dyDescent="0.2">
      <c r="GI54287" s="422"/>
    </row>
    <row r="54288" spans="191:191" x14ac:dyDescent="0.2">
      <c r="GI54288" s="422"/>
    </row>
    <row r="54289" spans="191:191" x14ac:dyDescent="0.2">
      <c r="GI54289" s="422"/>
    </row>
    <row r="54290" spans="191:191" x14ac:dyDescent="0.2">
      <c r="GI54290" s="422"/>
    </row>
    <row r="54291" spans="191:191" x14ac:dyDescent="0.2">
      <c r="GI54291" s="422"/>
    </row>
    <row r="54292" spans="191:191" x14ac:dyDescent="0.2">
      <c r="GI54292" s="422"/>
    </row>
    <row r="54293" spans="191:191" x14ac:dyDescent="0.2">
      <c r="GI54293" s="422"/>
    </row>
    <row r="54294" spans="191:191" x14ac:dyDescent="0.2">
      <c r="GI54294" s="422"/>
    </row>
    <row r="54295" spans="191:191" x14ac:dyDescent="0.2">
      <c r="GI54295" s="422"/>
    </row>
    <row r="54296" spans="191:191" x14ac:dyDescent="0.2">
      <c r="GI54296" s="422"/>
    </row>
    <row r="54297" spans="191:191" x14ac:dyDescent="0.2">
      <c r="GI54297" s="422"/>
    </row>
    <row r="54298" spans="191:191" x14ac:dyDescent="0.2">
      <c r="GI54298" s="422"/>
    </row>
    <row r="54299" spans="191:191" x14ac:dyDescent="0.2">
      <c r="GI54299" s="422"/>
    </row>
    <row r="54300" spans="191:191" x14ac:dyDescent="0.2">
      <c r="GI54300" s="422"/>
    </row>
    <row r="54301" spans="191:191" x14ac:dyDescent="0.2">
      <c r="GI54301" s="422"/>
    </row>
    <row r="54302" spans="191:191" x14ac:dyDescent="0.2">
      <c r="GI54302" s="422"/>
    </row>
    <row r="54303" spans="191:191" x14ac:dyDescent="0.2">
      <c r="GI54303" s="422"/>
    </row>
    <row r="54304" spans="191:191" x14ac:dyDescent="0.2">
      <c r="GI54304" s="422"/>
    </row>
    <row r="54305" spans="191:191" x14ac:dyDescent="0.2">
      <c r="GI54305" s="422"/>
    </row>
    <row r="54306" spans="191:191" x14ac:dyDescent="0.2">
      <c r="GI54306" s="422"/>
    </row>
    <row r="54307" spans="191:191" x14ac:dyDescent="0.2">
      <c r="GI54307" s="422"/>
    </row>
    <row r="54308" spans="191:191" x14ac:dyDescent="0.2">
      <c r="GI54308" s="422"/>
    </row>
    <row r="54309" spans="191:191" x14ac:dyDescent="0.2">
      <c r="GI54309" s="422"/>
    </row>
    <row r="54310" spans="191:191" x14ac:dyDescent="0.2">
      <c r="GI54310" s="422"/>
    </row>
    <row r="54311" spans="191:191" x14ac:dyDescent="0.2">
      <c r="GI54311" s="422"/>
    </row>
    <row r="54312" spans="191:191" x14ac:dyDescent="0.2">
      <c r="GI54312" s="422"/>
    </row>
    <row r="54313" spans="191:191" x14ac:dyDescent="0.2">
      <c r="GI54313" s="422"/>
    </row>
    <row r="54314" spans="191:191" x14ac:dyDescent="0.2">
      <c r="GI54314" s="422"/>
    </row>
    <row r="54315" spans="191:191" x14ac:dyDescent="0.2">
      <c r="GI54315" s="422"/>
    </row>
    <row r="54316" spans="191:191" x14ac:dyDescent="0.2">
      <c r="GI54316" s="422"/>
    </row>
    <row r="54317" spans="191:191" x14ac:dyDescent="0.2">
      <c r="GI54317" s="422"/>
    </row>
    <row r="54318" spans="191:191" x14ac:dyDescent="0.2">
      <c r="GI54318" s="422"/>
    </row>
    <row r="54319" spans="191:191" x14ac:dyDescent="0.2">
      <c r="GI54319" s="422"/>
    </row>
    <row r="54320" spans="191:191" x14ac:dyDescent="0.2">
      <c r="GI54320" s="422"/>
    </row>
    <row r="54321" spans="191:191" x14ac:dyDescent="0.2">
      <c r="GI54321" s="422"/>
    </row>
    <row r="54322" spans="191:191" x14ac:dyDescent="0.2">
      <c r="GI54322" s="422"/>
    </row>
    <row r="54323" spans="191:191" x14ac:dyDescent="0.2">
      <c r="GI54323" s="422"/>
    </row>
    <row r="54324" spans="191:191" x14ac:dyDescent="0.2">
      <c r="GI54324" s="422"/>
    </row>
    <row r="54325" spans="191:191" x14ac:dyDescent="0.2">
      <c r="GI54325" s="422"/>
    </row>
    <row r="54326" spans="191:191" x14ac:dyDescent="0.2">
      <c r="GI54326" s="422"/>
    </row>
    <row r="54327" spans="191:191" x14ac:dyDescent="0.2">
      <c r="GI54327" s="422"/>
    </row>
    <row r="54328" spans="191:191" x14ac:dyDescent="0.2">
      <c r="GI54328" s="422"/>
    </row>
    <row r="54329" spans="191:191" x14ac:dyDescent="0.2">
      <c r="GI54329" s="422"/>
    </row>
    <row r="54330" spans="191:191" x14ac:dyDescent="0.2">
      <c r="GI54330" s="422"/>
    </row>
    <row r="54331" spans="191:191" x14ac:dyDescent="0.2">
      <c r="GI54331" s="422"/>
    </row>
    <row r="54332" spans="191:191" x14ac:dyDescent="0.2">
      <c r="GI54332" s="422"/>
    </row>
    <row r="54333" spans="191:191" x14ac:dyDescent="0.2">
      <c r="GI54333" s="422"/>
    </row>
    <row r="54334" spans="191:191" x14ac:dyDescent="0.2">
      <c r="GI54334" s="422"/>
    </row>
    <row r="54335" spans="191:191" x14ac:dyDescent="0.2">
      <c r="GI54335" s="422"/>
    </row>
    <row r="54336" spans="191:191" x14ac:dyDescent="0.2">
      <c r="GI54336" s="422"/>
    </row>
    <row r="54337" spans="191:191" x14ac:dyDescent="0.2">
      <c r="GI54337" s="422"/>
    </row>
    <row r="54338" spans="191:191" x14ac:dyDescent="0.2">
      <c r="GI54338" s="422"/>
    </row>
    <row r="54339" spans="191:191" x14ac:dyDescent="0.2">
      <c r="GI54339" s="422"/>
    </row>
    <row r="54340" spans="191:191" x14ac:dyDescent="0.2">
      <c r="GI54340" s="422"/>
    </row>
    <row r="54341" spans="191:191" x14ac:dyDescent="0.2">
      <c r="GI54341" s="422"/>
    </row>
    <row r="54342" spans="191:191" x14ac:dyDescent="0.2">
      <c r="GI54342" s="422"/>
    </row>
    <row r="54343" spans="191:191" x14ac:dyDescent="0.2">
      <c r="GI54343" s="422"/>
    </row>
    <row r="54344" spans="191:191" x14ac:dyDescent="0.2">
      <c r="GI54344" s="422"/>
    </row>
    <row r="54345" spans="191:191" x14ac:dyDescent="0.2">
      <c r="GI54345" s="422"/>
    </row>
    <row r="54346" spans="191:191" x14ac:dyDescent="0.2">
      <c r="GI54346" s="422"/>
    </row>
    <row r="54347" spans="191:191" x14ac:dyDescent="0.2">
      <c r="GI54347" s="422"/>
    </row>
    <row r="54348" spans="191:191" x14ac:dyDescent="0.2">
      <c r="GI54348" s="422"/>
    </row>
    <row r="54349" spans="191:191" x14ac:dyDescent="0.2">
      <c r="GI54349" s="422"/>
    </row>
    <row r="54350" spans="191:191" x14ac:dyDescent="0.2">
      <c r="GI54350" s="422"/>
    </row>
    <row r="54351" spans="191:191" x14ac:dyDescent="0.2">
      <c r="GI54351" s="422"/>
    </row>
    <row r="54352" spans="191:191" x14ac:dyDescent="0.2">
      <c r="GI54352" s="422"/>
    </row>
    <row r="54353" spans="191:191" x14ac:dyDescent="0.2">
      <c r="GI54353" s="422"/>
    </row>
    <row r="54354" spans="191:191" x14ac:dyDescent="0.2">
      <c r="GI54354" s="422"/>
    </row>
    <row r="54355" spans="191:191" x14ac:dyDescent="0.2">
      <c r="GI54355" s="422"/>
    </row>
    <row r="54356" spans="191:191" x14ac:dyDescent="0.2">
      <c r="GI54356" s="422"/>
    </row>
    <row r="54357" spans="191:191" x14ac:dyDescent="0.2">
      <c r="GI54357" s="422"/>
    </row>
    <row r="54358" spans="191:191" x14ac:dyDescent="0.2">
      <c r="GI54358" s="422"/>
    </row>
    <row r="54359" spans="191:191" x14ac:dyDescent="0.2">
      <c r="GI54359" s="422"/>
    </row>
    <row r="54360" spans="191:191" x14ac:dyDescent="0.2">
      <c r="GI54360" s="422"/>
    </row>
    <row r="54361" spans="191:191" x14ac:dyDescent="0.2">
      <c r="GI54361" s="422"/>
    </row>
    <row r="54362" spans="191:191" x14ac:dyDescent="0.2">
      <c r="GI54362" s="422"/>
    </row>
    <row r="54363" spans="191:191" x14ac:dyDescent="0.2">
      <c r="GI54363" s="422"/>
    </row>
    <row r="54364" spans="191:191" x14ac:dyDescent="0.2">
      <c r="GI54364" s="422"/>
    </row>
    <row r="54365" spans="191:191" x14ac:dyDescent="0.2">
      <c r="GI54365" s="422"/>
    </row>
    <row r="54366" spans="191:191" x14ac:dyDescent="0.2">
      <c r="GI54366" s="422"/>
    </row>
    <row r="54367" spans="191:191" x14ac:dyDescent="0.2">
      <c r="GI54367" s="422"/>
    </row>
    <row r="54368" spans="191:191" x14ac:dyDescent="0.2">
      <c r="GI54368" s="422"/>
    </row>
    <row r="54369" spans="191:191" x14ac:dyDescent="0.2">
      <c r="GI54369" s="422"/>
    </row>
    <row r="54370" spans="191:191" x14ac:dyDescent="0.2">
      <c r="GI54370" s="422"/>
    </row>
    <row r="54371" spans="191:191" x14ac:dyDescent="0.2">
      <c r="GI54371" s="422"/>
    </row>
    <row r="54372" spans="191:191" x14ac:dyDescent="0.2">
      <c r="GI54372" s="422"/>
    </row>
    <row r="54373" spans="191:191" x14ac:dyDescent="0.2">
      <c r="GI54373" s="422"/>
    </row>
    <row r="54374" spans="191:191" x14ac:dyDescent="0.2">
      <c r="GI54374" s="422"/>
    </row>
    <row r="54375" spans="191:191" x14ac:dyDescent="0.2">
      <c r="GI54375" s="422"/>
    </row>
    <row r="54376" spans="191:191" x14ac:dyDescent="0.2">
      <c r="GI54376" s="422"/>
    </row>
    <row r="54377" spans="191:191" x14ac:dyDescent="0.2">
      <c r="GI54377" s="422"/>
    </row>
    <row r="54378" spans="191:191" x14ac:dyDescent="0.2">
      <c r="GI54378" s="422"/>
    </row>
    <row r="54379" spans="191:191" x14ac:dyDescent="0.2">
      <c r="GI54379" s="422"/>
    </row>
    <row r="54380" spans="191:191" x14ac:dyDescent="0.2">
      <c r="GI54380" s="422"/>
    </row>
    <row r="54381" spans="191:191" x14ac:dyDescent="0.2">
      <c r="GI54381" s="422"/>
    </row>
    <row r="54382" spans="191:191" x14ac:dyDescent="0.2">
      <c r="GI54382" s="422"/>
    </row>
    <row r="54383" spans="191:191" x14ac:dyDescent="0.2">
      <c r="GI54383" s="422"/>
    </row>
    <row r="54384" spans="191:191" x14ac:dyDescent="0.2">
      <c r="GI54384" s="422"/>
    </row>
    <row r="54385" spans="191:191" x14ac:dyDescent="0.2">
      <c r="GI54385" s="422"/>
    </row>
    <row r="54386" spans="191:191" x14ac:dyDescent="0.2">
      <c r="GI54386" s="422"/>
    </row>
    <row r="54387" spans="191:191" x14ac:dyDescent="0.2">
      <c r="GI54387" s="422"/>
    </row>
    <row r="54388" spans="191:191" x14ac:dyDescent="0.2">
      <c r="GI54388" s="422"/>
    </row>
    <row r="54389" spans="191:191" x14ac:dyDescent="0.2">
      <c r="GI54389" s="422"/>
    </row>
    <row r="54390" spans="191:191" x14ac:dyDescent="0.2">
      <c r="GI54390" s="422"/>
    </row>
    <row r="54391" spans="191:191" x14ac:dyDescent="0.2">
      <c r="GI54391" s="422"/>
    </row>
    <row r="54392" spans="191:191" x14ac:dyDescent="0.2">
      <c r="GI54392" s="422"/>
    </row>
    <row r="54393" spans="191:191" x14ac:dyDescent="0.2">
      <c r="GI54393" s="422"/>
    </row>
    <row r="54394" spans="191:191" x14ac:dyDescent="0.2">
      <c r="GI54394" s="422"/>
    </row>
    <row r="54395" spans="191:191" x14ac:dyDescent="0.2">
      <c r="GI54395" s="422"/>
    </row>
    <row r="54396" spans="191:191" x14ac:dyDescent="0.2">
      <c r="GI54396" s="422"/>
    </row>
    <row r="54397" spans="191:191" x14ac:dyDescent="0.2">
      <c r="GI54397" s="422"/>
    </row>
    <row r="54398" spans="191:191" x14ac:dyDescent="0.2">
      <c r="GI54398" s="422"/>
    </row>
    <row r="54399" spans="191:191" x14ac:dyDescent="0.2">
      <c r="GI54399" s="422"/>
    </row>
    <row r="54400" spans="191:191" x14ac:dyDescent="0.2">
      <c r="GI54400" s="422"/>
    </row>
    <row r="54401" spans="191:191" x14ac:dyDescent="0.2">
      <c r="GI54401" s="422"/>
    </row>
    <row r="54402" spans="191:191" x14ac:dyDescent="0.2">
      <c r="GI54402" s="422"/>
    </row>
    <row r="54403" spans="191:191" x14ac:dyDescent="0.2">
      <c r="GI54403" s="422"/>
    </row>
    <row r="54404" spans="191:191" x14ac:dyDescent="0.2">
      <c r="GI54404" s="422"/>
    </row>
    <row r="54405" spans="191:191" x14ac:dyDescent="0.2">
      <c r="GI54405" s="422"/>
    </row>
    <row r="54406" spans="191:191" x14ac:dyDescent="0.2">
      <c r="GI54406" s="422"/>
    </row>
    <row r="54407" spans="191:191" x14ac:dyDescent="0.2">
      <c r="GI54407" s="422"/>
    </row>
    <row r="54408" spans="191:191" x14ac:dyDescent="0.2">
      <c r="GI54408" s="422"/>
    </row>
    <row r="54409" spans="191:191" x14ac:dyDescent="0.2">
      <c r="GI54409" s="422"/>
    </row>
    <row r="54410" spans="191:191" x14ac:dyDescent="0.2">
      <c r="GI54410" s="422"/>
    </row>
    <row r="54411" spans="191:191" x14ac:dyDescent="0.2">
      <c r="GI54411" s="422"/>
    </row>
    <row r="54412" spans="191:191" x14ac:dyDescent="0.2">
      <c r="GI54412" s="422"/>
    </row>
    <row r="54413" spans="191:191" x14ac:dyDescent="0.2">
      <c r="GI54413" s="422"/>
    </row>
    <row r="54414" spans="191:191" x14ac:dyDescent="0.2">
      <c r="GI54414" s="422"/>
    </row>
    <row r="54415" spans="191:191" x14ac:dyDescent="0.2">
      <c r="GI54415" s="422"/>
    </row>
    <row r="54416" spans="191:191" x14ac:dyDescent="0.2">
      <c r="GI54416" s="422"/>
    </row>
    <row r="54417" spans="191:191" x14ac:dyDescent="0.2">
      <c r="GI54417" s="422"/>
    </row>
    <row r="54418" spans="191:191" x14ac:dyDescent="0.2">
      <c r="GI54418" s="422"/>
    </row>
    <row r="54419" spans="191:191" x14ac:dyDescent="0.2">
      <c r="GI54419" s="422"/>
    </row>
    <row r="54420" spans="191:191" x14ac:dyDescent="0.2">
      <c r="GI54420" s="422"/>
    </row>
    <row r="54421" spans="191:191" x14ac:dyDescent="0.2">
      <c r="GI54421" s="422"/>
    </row>
    <row r="54422" spans="191:191" x14ac:dyDescent="0.2">
      <c r="GI54422" s="422"/>
    </row>
    <row r="54423" spans="191:191" x14ac:dyDescent="0.2">
      <c r="GI54423" s="422"/>
    </row>
    <row r="54424" spans="191:191" x14ac:dyDescent="0.2">
      <c r="GI54424" s="422"/>
    </row>
    <row r="54425" spans="191:191" x14ac:dyDescent="0.2">
      <c r="GI54425" s="422"/>
    </row>
    <row r="54426" spans="191:191" x14ac:dyDescent="0.2">
      <c r="GI54426" s="422"/>
    </row>
    <row r="54427" spans="191:191" x14ac:dyDescent="0.2">
      <c r="GI54427" s="422"/>
    </row>
    <row r="54428" spans="191:191" x14ac:dyDescent="0.2">
      <c r="GI54428" s="422"/>
    </row>
    <row r="54429" spans="191:191" x14ac:dyDescent="0.2">
      <c r="GI54429" s="422"/>
    </row>
    <row r="54430" spans="191:191" x14ac:dyDescent="0.2">
      <c r="GI54430" s="422"/>
    </row>
    <row r="54431" spans="191:191" x14ac:dyDescent="0.2">
      <c r="GI54431" s="422"/>
    </row>
    <row r="54432" spans="191:191" x14ac:dyDescent="0.2">
      <c r="GI54432" s="422"/>
    </row>
    <row r="54433" spans="191:191" x14ac:dyDescent="0.2">
      <c r="GI54433" s="422"/>
    </row>
    <row r="54434" spans="191:191" x14ac:dyDescent="0.2">
      <c r="GI54434" s="422"/>
    </row>
    <row r="54435" spans="191:191" x14ac:dyDescent="0.2">
      <c r="GI54435" s="422"/>
    </row>
    <row r="54436" spans="191:191" x14ac:dyDescent="0.2">
      <c r="GI54436" s="422"/>
    </row>
    <row r="54437" spans="191:191" x14ac:dyDescent="0.2">
      <c r="GI54437" s="422"/>
    </row>
    <row r="54438" spans="191:191" x14ac:dyDescent="0.2">
      <c r="GI54438" s="422"/>
    </row>
    <row r="54439" spans="191:191" x14ac:dyDescent="0.2">
      <c r="GI54439" s="422"/>
    </row>
    <row r="54440" spans="191:191" x14ac:dyDescent="0.2">
      <c r="GI54440" s="422"/>
    </row>
    <row r="54441" spans="191:191" x14ac:dyDescent="0.2">
      <c r="GI54441" s="422"/>
    </row>
    <row r="54442" spans="191:191" x14ac:dyDescent="0.2">
      <c r="GI54442" s="422"/>
    </row>
    <row r="54443" spans="191:191" x14ac:dyDescent="0.2">
      <c r="GI54443" s="422"/>
    </row>
    <row r="54444" spans="191:191" x14ac:dyDescent="0.2">
      <c r="GI54444" s="422"/>
    </row>
    <row r="54445" spans="191:191" x14ac:dyDescent="0.2">
      <c r="GI54445" s="422"/>
    </row>
    <row r="54446" spans="191:191" x14ac:dyDescent="0.2">
      <c r="GI54446" s="422"/>
    </row>
    <row r="54447" spans="191:191" x14ac:dyDescent="0.2">
      <c r="GI54447" s="422"/>
    </row>
    <row r="54448" spans="191:191" x14ac:dyDescent="0.2">
      <c r="GI54448" s="422"/>
    </row>
    <row r="54449" spans="191:191" x14ac:dyDescent="0.2">
      <c r="GI54449" s="422"/>
    </row>
    <row r="54450" spans="191:191" x14ac:dyDescent="0.2">
      <c r="GI54450" s="422"/>
    </row>
    <row r="54451" spans="191:191" x14ac:dyDescent="0.2">
      <c r="GI54451" s="422"/>
    </row>
    <row r="54452" spans="191:191" x14ac:dyDescent="0.2">
      <c r="GI54452" s="422"/>
    </row>
    <row r="54453" spans="191:191" x14ac:dyDescent="0.2">
      <c r="GI54453" s="422"/>
    </row>
    <row r="54454" spans="191:191" x14ac:dyDescent="0.2">
      <c r="GI54454" s="422"/>
    </row>
    <row r="54455" spans="191:191" x14ac:dyDescent="0.2">
      <c r="GI54455" s="422"/>
    </row>
    <row r="54456" spans="191:191" x14ac:dyDescent="0.2">
      <c r="GI54456" s="422"/>
    </row>
    <row r="54457" spans="191:191" x14ac:dyDescent="0.2">
      <c r="GI54457" s="422"/>
    </row>
    <row r="54458" spans="191:191" x14ac:dyDescent="0.2">
      <c r="GI54458" s="422"/>
    </row>
    <row r="54459" spans="191:191" x14ac:dyDescent="0.2">
      <c r="GI54459" s="422"/>
    </row>
    <row r="54460" spans="191:191" x14ac:dyDescent="0.2">
      <c r="GI54460" s="422"/>
    </row>
    <row r="54461" spans="191:191" x14ac:dyDescent="0.2">
      <c r="GI54461" s="422"/>
    </row>
    <row r="54462" spans="191:191" x14ac:dyDescent="0.2">
      <c r="GI54462" s="422"/>
    </row>
    <row r="54463" spans="191:191" x14ac:dyDescent="0.2">
      <c r="GI54463" s="422"/>
    </row>
    <row r="54464" spans="191:191" x14ac:dyDescent="0.2">
      <c r="GI54464" s="422"/>
    </row>
    <row r="54465" spans="191:191" x14ac:dyDescent="0.2">
      <c r="GI54465" s="422"/>
    </row>
    <row r="54466" spans="191:191" x14ac:dyDescent="0.2">
      <c r="GI54466" s="422"/>
    </row>
    <row r="54467" spans="191:191" x14ac:dyDescent="0.2">
      <c r="GI54467" s="422"/>
    </row>
    <row r="54468" spans="191:191" x14ac:dyDescent="0.2">
      <c r="GI54468" s="422"/>
    </row>
    <row r="54469" spans="191:191" x14ac:dyDescent="0.2">
      <c r="GI54469" s="422"/>
    </row>
    <row r="54470" spans="191:191" x14ac:dyDescent="0.2">
      <c r="GI54470" s="422"/>
    </row>
    <row r="54471" spans="191:191" x14ac:dyDescent="0.2">
      <c r="GI54471" s="422"/>
    </row>
    <row r="54472" spans="191:191" x14ac:dyDescent="0.2">
      <c r="GI54472" s="422"/>
    </row>
    <row r="54473" spans="191:191" x14ac:dyDescent="0.2">
      <c r="GI54473" s="422"/>
    </row>
    <row r="54474" spans="191:191" x14ac:dyDescent="0.2">
      <c r="GI54474" s="422"/>
    </row>
    <row r="54475" spans="191:191" x14ac:dyDescent="0.2">
      <c r="GI54475" s="422"/>
    </row>
    <row r="54476" spans="191:191" x14ac:dyDescent="0.2">
      <c r="GI54476" s="422"/>
    </row>
    <row r="54477" spans="191:191" x14ac:dyDescent="0.2">
      <c r="GI54477" s="422"/>
    </row>
    <row r="54478" spans="191:191" x14ac:dyDescent="0.2">
      <c r="GI54478" s="422"/>
    </row>
    <row r="54479" spans="191:191" x14ac:dyDescent="0.2">
      <c r="GI54479" s="422"/>
    </row>
    <row r="54480" spans="191:191" x14ac:dyDescent="0.2">
      <c r="GI54480" s="422"/>
    </row>
    <row r="54481" spans="191:191" x14ac:dyDescent="0.2">
      <c r="GI54481" s="422"/>
    </row>
    <row r="54482" spans="191:191" x14ac:dyDescent="0.2">
      <c r="GI54482" s="422"/>
    </row>
    <row r="54483" spans="191:191" x14ac:dyDescent="0.2">
      <c r="GI54483" s="422"/>
    </row>
    <row r="54484" spans="191:191" x14ac:dyDescent="0.2">
      <c r="GI54484" s="422"/>
    </row>
    <row r="54485" spans="191:191" x14ac:dyDescent="0.2">
      <c r="GI54485" s="422"/>
    </row>
    <row r="54486" spans="191:191" x14ac:dyDescent="0.2">
      <c r="GI54486" s="422"/>
    </row>
    <row r="54487" spans="191:191" x14ac:dyDescent="0.2">
      <c r="GI54487" s="422"/>
    </row>
    <row r="54488" spans="191:191" x14ac:dyDescent="0.2">
      <c r="GI54488" s="422"/>
    </row>
    <row r="54489" spans="191:191" x14ac:dyDescent="0.2">
      <c r="GI54489" s="422"/>
    </row>
    <row r="54490" spans="191:191" x14ac:dyDescent="0.2">
      <c r="GI54490" s="422"/>
    </row>
    <row r="54491" spans="191:191" x14ac:dyDescent="0.2">
      <c r="GI54491" s="422"/>
    </row>
    <row r="54492" spans="191:191" x14ac:dyDescent="0.2">
      <c r="GI54492" s="422"/>
    </row>
    <row r="54493" spans="191:191" x14ac:dyDescent="0.2">
      <c r="GI54493" s="422"/>
    </row>
    <row r="54494" spans="191:191" x14ac:dyDescent="0.2">
      <c r="GI54494" s="422"/>
    </row>
    <row r="54495" spans="191:191" x14ac:dyDescent="0.2">
      <c r="GI54495" s="422"/>
    </row>
    <row r="54496" spans="191:191" x14ac:dyDescent="0.2">
      <c r="GI54496" s="422"/>
    </row>
    <row r="54497" spans="191:191" x14ac:dyDescent="0.2">
      <c r="GI54497" s="422"/>
    </row>
    <row r="54498" spans="191:191" x14ac:dyDescent="0.2">
      <c r="GI54498" s="422"/>
    </row>
    <row r="54499" spans="191:191" x14ac:dyDescent="0.2">
      <c r="GI54499" s="422"/>
    </row>
    <row r="54500" spans="191:191" x14ac:dyDescent="0.2">
      <c r="GI54500" s="422"/>
    </row>
    <row r="54501" spans="191:191" x14ac:dyDescent="0.2">
      <c r="GI54501" s="422"/>
    </row>
    <row r="54502" spans="191:191" x14ac:dyDescent="0.2">
      <c r="GI54502" s="422"/>
    </row>
    <row r="54503" spans="191:191" x14ac:dyDescent="0.2">
      <c r="GI54503" s="422"/>
    </row>
    <row r="54504" spans="191:191" x14ac:dyDescent="0.2">
      <c r="GI54504" s="422"/>
    </row>
    <row r="54505" spans="191:191" x14ac:dyDescent="0.2">
      <c r="GI54505" s="422"/>
    </row>
    <row r="54506" spans="191:191" x14ac:dyDescent="0.2">
      <c r="GI54506" s="422"/>
    </row>
    <row r="54507" spans="191:191" x14ac:dyDescent="0.2">
      <c r="GI54507" s="422"/>
    </row>
    <row r="54508" spans="191:191" x14ac:dyDescent="0.2">
      <c r="GI54508" s="422"/>
    </row>
    <row r="54509" spans="191:191" x14ac:dyDescent="0.2">
      <c r="GI54509" s="422"/>
    </row>
    <row r="54510" spans="191:191" x14ac:dyDescent="0.2">
      <c r="GI54510" s="422"/>
    </row>
    <row r="54511" spans="191:191" x14ac:dyDescent="0.2">
      <c r="GI54511" s="422"/>
    </row>
    <row r="54512" spans="191:191" x14ac:dyDescent="0.2">
      <c r="GI54512" s="422"/>
    </row>
    <row r="54513" spans="191:191" x14ac:dyDescent="0.2">
      <c r="GI54513" s="422"/>
    </row>
    <row r="54514" spans="191:191" x14ac:dyDescent="0.2">
      <c r="GI54514" s="422"/>
    </row>
    <row r="54515" spans="191:191" x14ac:dyDescent="0.2">
      <c r="GI54515" s="422"/>
    </row>
    <row r="54516" spans="191:191" x14ac:dyDescent="0.2">
      <c r="GI54516" s="422"/>
    </row>
    <row r="54517" spans="191:191" x14ac:dyDescent="0.2">
      <c r="GI54517" s="422"/>
    </row>
    <row r="54518" spans="191:191" x14ac:dyDescent="0.2">
      <c r="GI54518" s="422"/>
    </row>
    <row r="54519" spans="191:191" x14ac:dyDescent="0.2">
      <c r="GI54519" s="422"/>
    </row>
    <row r="54520" spans="191:191" x14ac:dyDescent="0.2">
      <c r="GI54520" s="422"/>
    </row>
    <row r="54521" spans="191:191" x14ac:dyDescent="0.2">
      <c r="GI54521" s="422"/>
    </row>
    <row r="54522" spans="191:191" x14ac:dyDescent="0.2">
      <c r="GI54522" s="422"/>
    </row>
    <row r="54523" spans="191:191" x14ac:dyDescent="0.2">
      <c r="GI54523" s="422"/>
    </row>
    <row r="54524" spans="191:191" x14ac:dyDescent="0.2">
      <c r="GI54524" s="422"/>
    </row>
    <row r="54525" spans="191:191" x14ac:dyDescent="0.2">
      <c r="GI54525" s="422"/>
    </row>
    <row r="54526" spans="191:191" x14ac:dyDescent="0.2">
      <c r="GI54526" s="422"/>
    </row>
    <row r="54527" spans="191:191" x14ac:dyDescent="0.2">
      <c r="GI54527" s="422"/>
    </row>
    <row r="54528" spans="191:191" x14ac:dyDescent="0.2">
      <c r="GI54528" s="422"/>
    </row>
    <row r="54529" spans="191:191" x14ac:dyDescent="0.2">
      <c r="GI54529" s="422"/>
    </row>
    <row r="54530" spans="191:191" x14ac:dyDescent="0.2">
      <c r="GI54530" s="422"/>
    </row>
    <row r="54531" spans="191:191" x14ac:dyDescent="0.2">
      <c r="GI54531" s="422"/>
    </row>
    <row r="54532" spans="191:191" x14ac:dyDescent="0.2">
      <c r="GI54532" s="422"/>
    </row>
    <row r="54533" spans="191:191" x14ac:dyDescent="0.2">
      <c r="GI54533" s="422"/>
    </row>
    <row r="54534" spans="191:191" x14ac:dyDescent="0.2">
      <c r="GI54534" s="422"/>
    </row>
    <row r="54535" spans="191:191" x14ac:dyDescent="0.2">
      <c r="GI54535" s="422"/>
    </row>
    <row r="54536" spans="191:191" x14ac:dyDescent="0.2">
      <c r="GI54536" s="422"/>
    </row>
    <row r="54537" spans="191:191" x14ac:dyDescent="0.2">
      <c r="GI54537" s="422"/>
    </row>
    <row r="54538" spans="191:191" x14ac:dyDescent="0.2">
      <c r="GI54538" s="422"/>
    </row>
    <row r="54539" spans="191:191" x14ac:dyDescent="0.2">
      <c r="GI54539" s="422"/>
    </row>
    <row r="54540" spans="191:191" x14ac:dyDescent="0.2">
      <c r="GI54540" s="422"/>
    </row>
    <row r="54541" spans="191:191" x14ac:dyDescent="0.2">
      <c r="GI54541" s="422"/>
    </row>
    <row r="54542" spans="191:191" x14ac:dyDescent="0.2">
      <c r="GI54542" s="422"/>
    </row>
    <row r="54543" spans="191:191" x14ac:dyDescent="0.2">
      <c r="GI54543" s="422"/>
    </row>
    <row r="54544" spans="191:191" x14ac:dyDescent="0.2">
      <c r="GI54544" s="422"/>
    </row>
    <row r="54545" spans="191:191" x14ac:dyDescent="0.2">
      <c r="GI54545" s="422"/>
    </row>
    <row r="54546" spans="191:191" x14ac:dyDescent="0.2">
      <c r="GI54546" s="422"/>
    </row>
    <row r="54547" spans="191:191" x14ac:dyDescent="0.2">
      <c r="GI54547" s="422"/>
    </row>
    <row r="54548" spans="191:191" x14ac:dyDescent="0.2">
      <c r="GI54548" s="422"/>
    </row>
    <row r="54549" spans="191:191" x14ac:dyDescent="0.2">
      <c r="GI54549" s="422"/>
    </row>
    <row r="54550" spans="191:191" x14ac:dyDescent="0.2">
      <c r="GI54550" s="422"/>
    </row>
    <row r="54551" spans="191:191" x14ac:dyDescent="0.2">
      <c r="GI54551" s="422"/>
    </row>
    <row r="54552" spans="191:191" x14ac:dyDescent="0.2">
      <c r="GI54552" s="422"/>
    </row>
    <row r="54553" spans="191:191" x14ac:dyDescent="0.2">
      <c r="GI54553" s="422"/>
    </row>
    <row r="54554" spans="191:191" x14ac:dyDescent="0.2">
      <c r="GI54554" s="422"/>
    </row>
    <row r="54555" spans="191:191" x14ac:dyDescent="0.2">
      <c r="GI54555" s="422"/>
    </row>
    <row r="54556" spans="191:191" x14ac:dyDescent="0.2">
      <c r="GI54556" s="422"/>
    </row>
    <row r="54557" spans="191:191" x14ac:dyDescent="0.2">
      <c r="GI54557" s="422"/>
    </row>
    <row r="54558" spans="191:191" x14ac:dyDescent="0.2">
      <c r="GI54558" s="422"/>
    </row>
    <row r="54559" spans="191:191" x14ac:dyDescent="0.2">
      <c r="GI54559" s="422"/>
    </row>
    <row r="54560" spans="191:191" x14ac:dyDescent="0.2">
      <c r="GI54560" s="422"/>
    </row>
    <row r="54561" spans="191:191" x14ac:dyDescent="0.2">
      <c r="GI54561" s="422"/>
    </row>
    <row r="54562" spans="191:191" x14ac:dyDescent="0.2">
      <c r="GI54562" s="422"/>
    </row>
    <row r="54563" spans="191:191" x14ac:dyDescent="0.2">
      <c r="GI54563" s="422"/>
    </row>
    <row r="54564" spans="191:191" x14ac:dyDescent="0.2">
      <c r="GI54564" s="422"/>
    </row>
    <row r="54565" spans="191:191" x14ac:dyDescent="0.2">
      <c r="GI54565" s="422"/>
    </row>
    <row r="54566" spans="191:191" x14ac:dyDescent="0.2">
      <c r="GI54566" s="422"/>
    </row>
    <row r="54567" spans="191:191" x14ac:dyDescent="0.2">
      <c r="GI54567" s="422"/>
    </row>
    <row r="54568" spans="191:191" x14ac:dyDescent="0.2">
      <c r="GI54568" s="422"/>
    </row>
    <row r="54569" spans="191:191" x14ac:dyDescent="0.2">
      <c r="GI54569" s="422"/>
    </row>
    <row r="54570" spans="191:191" x14ac:dyDescent="0.2">
      <c r="GI54570" s="422"/>
    </row>
    <row r="54571" spans="191:191" x14ac:dyDescent="0.2">
      <c r="GI54571" s="422"/>
    </row>
    <row r="54572" spans="191:191" x14ac:dyDescent="0.2">
      <c r="GI54572" s="422"/>
    </row>
    <row r="54573" spans="191:191" x14ac:dyDescent="0.2">
      <c r="GI54573" s="422"/>
    </row>
    <row r="54574" spans="191:191" x14ac:dyDescent="0.2">
      <c r="GI54574" s="422"/>
    </row>
    <row r="54575" spans="191:191" x14ac:dyDescent="0.2">
      <c r="GI54575" s="422"/>
    </row>
    <row r="54576" spans="191:191" x14ac:dyDescent="0.2">
      <c r="GI54576" s="422"/>
    </row>
    <row r="54577" spans="191:191" x14ac:dyDescent="0.2">
      <c r="GI54577" s="422"/>
    </row>
    <row r="54578" spans="191:191" x14ac:dyDescent="0.2">
      <c r="GI54578" s="422"/>
    </row>
    <row r="54579" spans="191:191" x14ac:dyDescent="0.2">
      <c r="GI54579" s="422"/>
    </row>
    <row r="54580" spans="191:191" x14ac:dyDescent="0.2">
      <c r="GI54580" s="422"/>
    </row>
    <row r="54581" spans="191:191" x14ac:dyDescent="0.2">
      <c r="GI54581" s="422"/>
    </row>
    <row r="54582" spans="191:191" x14ac:dyDescent="0.2">
      <c r="GI54582" s="422"/>
    </row>
    <row r="54583" spans="191:191" x14ac:dyDescent="0.2">
      <c r="GI54583" s="422"/>
    </row>
    <row r="54584" spans="191:191" x14ac:dyDescent="0.2">
      <c r="GI54584" s="422"/>
    </row>
    <row r="54585" spans="191:191" x14ac:dyDescent="0.2">
      <c r="GI54585" s="422"/>
    </row>
    <row r="54586" spans="191:191" x14ac:dyDescent="0.2">
      <c r="GI54586" s="422"/>
    </row>
    <row r="54587" spans="191:191" x14ac:dyDescent="0.2">
      <c r="GI54587" s="422"/>
    </row>
    <row r="54588" spans="191:191" x14ac:dyDescent="0.2">
      <c r="GI54588" s="422"/>
    </row>
    <row r="54589" spans="191:191" x14ac:dyDescent="0.2">
      <c r="GI54589" s="422"/>
    </row>
    <row r="54590" spans="191:191" x14ac:dyDescent="0.2">
      <c r="GI54590" s="422"/>
    </row>
    <row r="54591" spans="191:191" x14ac:dyDescent="0.2">
      <c r="GI54591" s="422"/>
    </row>
    <row r="54592" spans="191:191" x14ac:dyDescent="0.2">
      <c r="GI54592" s="422"/>
    </row>
    <row r="54593" spans="191:191" x14ac:dyDescent="0.2">
      <c r="GI54593" s="422"/>
    </row>
    <row r="54594" spans="191:191" x14ac:dyDescent="0.2">
      <c r="GI54594" s="422"/>
    </row>
    <row r="54595" spans="191:191" x14ac:dyDescent="0.2">
      <c r="GI54595" s="422"/>
    </row>
    <row r="54596" spans="191:191" x14ac:dyDescent="0.2">
      <c r="GI54596" s="422"/>
    </row>
    <row r="54597" spans="191:191" x14ac:dyDescent="0.2">
      <c r="GI54597" s="422"/>
    </row>
    <row r="54598" spans="191:191" x14ac:dyDescent="0.2">
      <c r="GI54598" s="422"/>
    </row>
    <row r="54599" spans="191:191" x14ac:dyDescent="0.2">
      <c r="GI54599" s="422"/>
    </row>
    <row r="54600" spans="191:191" x14ac:dyDescent="0.2">
      <c r="GI54600" s="422"/>
    </row>
    <row r="54601" spans="191:191" x14ac:dyDescent="0.2">
      <c r="GI54601" s="422"/>
    </row>
    <row r="54602" spans="191:191" x14ac:dyDescent="0.2">
      <c r="GI54602" s="422"/>
    </row>
    <row r="54603" spans="191:191" x14ac:dyDescent="0.2">
      <c r="GI54603" s="422"/>
    </row>
    <row r="54604" spans="191:191" x14ac:dyDescent="0.2">
      <c r="GI54604" s="422"/>
    </row>
    <row r="54605" spans="191:191" x14ac:dyDescent="0.2">
      <c r="GI54605" s="422"/>
    </row>
    <row r="54606" spans="191:191" x14ac:dyDescent="0.2">
      <c r="GI54606" s="422"/>
    </row>
    <row r="54607" spans="191:191" x14ac:dyDescent="0.2">
      <c r="GI54607" s="422"/>
    </row>
    <row r="54608" spans="191:191" x14ac:dyDescent="0.2">
      <c r="GI54608" s="422"/>
    </row>
    <row r="54609" spans="191:191" x14ac:dyDescent="0.2">
      <c r="GI54609" s="422"/>
    </row>
    <row r="54610" spans="191:191" x14ac:dyDescent="0.2">
      <c r="GI54610" s="422"/>
    </row>
    <row r="54611" spans="191:191" x14ac:dyDescent="0.2">
      <c r="GI54611" s="422"/>
    </row>
    <row r="54612" spans="191:191" x14ac:dyDescent="0.2">
      <c r="GI54612" s="422"/>
    </row>
    <row r="54613" spans="191:191" x14ac:dyDescent="0.2">
      <c r="GI54613" s="422"/>
    </row>
    <row r="54614" spans="191:191" x14ac:dyDescent="0.2">
      <c r="GI54614" s="422"/>
    </row>
    <row r="54615" spans="191:191" x14ac:dyDescent="0.2">
      <c r="GI54615" s="422"/>
    </row>
    <row r="54616" spans="191:191" x14ac:dyDescent="0.2">
      <c r="GI54616" s="422"/>
    </row>
    <row r="54617" spans="191:191" x14ac:dyDescent="0.2">
      <c r="GI54617" s="422"/>
    </row>
    <row r="54618" spans="191:191" x14ac:dyDescent="0.2">
      <c r="GI54618" s="422"/>
    </row>
    <row r="54619" spans="191:191" x14ac:dyDescent="0.2">
      <c r="GI54619" s="422"/>
    </row>
    <row r="54620" spans="191:191" x14ac:dyDescent="0.2">
      <c r="GI54620" s="422"/>
    </row>
    <row r="54621" spans="191:191" x14ac:dyDescent="0.2">
      <c r="GI54621" s="422"/>
    </row>
    <row r="54622" spans="191:191" x14ac:dyDescent="0.2">
      <c r="GI54622" s="422"/>
    </row>
    <row r="54623" spans="191:191" x14ac:dyDescent="0.2">
      <c r="GI54623" s="422"/>
    </row>
    <row r="54624" spans="191:191" x14ac:dyDescent="0.2">
      <c r="GI54624" s="422"/>
    </row>
    <row r="54625" spans="191:191" x14ac:dyDescent="0.2">
      <c r="GI54625" s="422"/>
    </row>
    <row r="54626" spans="191:191" x14ac:dyDescent="0.2">
      <c r="GI54626" s="422"/>
    </row>
    <row r="54627" spans="191:191" x14ac:dyDescent="0.2">
      <c r="GI54627" s="422"/>
    </row>
    <row r="54628" spans="191:191" x14ac:dyDescent="0.2">
      <c r="GI54628" s="422"/>
    </row>
    <row r="54629" spans="191:191" x14ac:dyDescent="0.2">
      <c r="GI54629" s="422"/>
    </row>
    <row r="54630" spans="191:191" x14ac:dyDescent="0.2">
      <c r="GI54630" s="422"/>
    </row>
    <row r="54631" spans="191:191" x14ac:dyDescent="0.2">
      <c r="GI54631" s="422"/>
    </row>
    <row r="54632" spans="191:191" x14ac:dyDescent="0.2">
      <c r="GI54632" s="422"/>
    </row>
    <row r="54633" spans="191:191" x14ac:dyDescent="0.2">
      <c r="GI54633" s="422"/>
    </row>
    <row r="54634" spans="191:191" x14ac:dyDescent="0.2">
      <c r="GI54634" s="422"/>
    </row>
    <row r="54635" spans="191:191" x14ac:dyDescent="0.2">
      <c r="GI54635" s="422"/>
    </row>
    <row r="54636" spans="191:191" x14ac:dyDescent="0.2">
      <c r="GI54636" s="422"/>
    </row>
    <row r="54637" spans="191:191" x14ac:dyDescent="0.2">
      <c r="GI54637" s="422"/>
    </row>
    <row r="54638" spans="191:191" x14ac:dyDescent="0.2">
      <c r="GI54638" s="422"/>
    </row>
    <row r="54639" spans="191:191" x14ac:dyDescent="0.2">
      <c r="GI54639" s="422"/>
    </row>
    <row r="54640" spans="191:191" x14ac:dyDescent="0.2">
      <c r="GI54640" s="422"/>
    </row>
    <row r="54641" spans="191:191" x14ac:dyDescent="0.2">
      <c r="GI54641" s="422"/>
    </row>
    <row r="54642" spans="191:191" x14ac:dyDescent="0.2">
      <c r="GI54642" s="422"/>
    </row>
    <row r="54643" spans="191:191" x14ac:dyDescent="0.2">
      <c r="GI54643" s="422"/>
    </row>
    <row r="54644" spans="191:191" x14ac:dyDescent="0.2">
      <c r="GI54644" s="422"/>
    </row>
    <row r="54645" spans="191:191" x14ac:dyDescent="0.2">
      <c r="GI54645" s="422"/>
    </row>
    <row r="54646" spans="191:191" x14ac:dyDescent="0.2">
      <c r="GI54646" s="422"/>
    </row>
    <row r="54647" spans="191:191" x14ac:dyDescent="0.2">
      <c r="GI54647" s="422"/>
    </row>
    <row r="54648" spans="191:191" x14ac:dyDescent="0.2">
      <c r="GI54648" s="422"/>
    </row>
    <row r="54649" spans="191:191" x14ac:dyDescent="0.2">
      <c r="GI54649" s="422"/>
    </row>
    <row r="54650" spans="191:191" x14ac:dyDescent="0.2">
      <c r="GI54650" s="422"/>
    </row>
    <row r="54651" spans="191:191" x14ac:dyDescent="0.2">
      <c r="GI54651" s="422"/>
    </row>
    <row r="54652" spans="191:191" x14ac:dyDescent="0.2">
      <c r="GI54652" s="422"/>
    </row>
    <row r="54653" spans="191:191" x14ac:dyDescent="0.2">
      <c r="GI54653" s="422"/>
    </row>
    <row r="54654" spans="191:191" x14ac:dyDescent="0.2">
      <c r="GI54654" s="422"/>
    </row>
    <row r="54655" spans="191:191" x14ac:dyDescent="0.2">
      <c r="GI54655" s="422"/>
    </row>
    <row r="54656" spans="191:191" x14ac:dyDescent="0.2">
      <c r="GI54656" s="422"/>
    </row>
    <row r="54657" spans="191:191" x14ac:dyDescent="0.2">
      <c r="GI54657" s="422"/>
    </row>
    <row r="54658" spans="191:191" x14ac:dyDescent="0.2">
      <c r="GI54658" s="422"/>
    </row>
    <row r="54659" spans="191:191" x14ac:dyDescent="0.2">
      <c r="GI54659" s="422"/>
    </row>
    <row r="54660" spans="191:191" x14ac:dyDescent="0.2">
      <c r="GI54660" s="422"/>
    </row>
    <row r="54661" spans="191:191" x14ac:dyDescent="0.2">
      <c r="GI54661" s="422"/>
    </row>
    <row r="54662" spans="191:191" x14ac:dyDescent="0.2">
      <c r="GI54662" s="422"/>
    </row>
    <row r="54663" spans="191:191" x14ac:dyDescent="0.2">
      <c r="GI54663" s="422"/>
    </row>
    <row r="54664" spans="191:191" x14ac:dyDescent="0.2">
      <c r="GI54664" s="422"/>
    </row>
    <row r="54665" spans="191:191" x14ac:dyDescent="0.2">
      <c r="GI54665" s="422"/>
    </row>
    <row r="54666" spans="191:191" x14ac:dyDescent="0.2">
      <c r="GI54666" s="422"/>
    </row>
    <row r="54667" spans="191:191" x14ac:dyDescent="0.2">
      <c r="GI54667" s="422"/>
    </row>
    <row r="54668" spans="191:191" x14ac:dyDescent="0.2">
      <c r="GI54668" s="422"/>
    </row>
    <row r="54669" spans="191:191" x14ac:dyDescent="0.2">
      <c r="GI54669" s="422"/>
    </row>
    <row r="54670" spans="191:191" x14ac:dyDescent="0.2">
      <c r="GI54670" s="422"/>
    </row>
    <row r="54671" spans="191:191" x14ac:dyDescent="0.2">
      <c r="GI54671" s="422"/>
    </row>
    <row r="54672" spans="191:191" x14ac:dyDescent="0.2">
      <c r="GI54672" s="422"/>
    </row>
    <row r="54673" spans="191:191" x14ac:dyDescent="0.2">
      <c r="GI54673" s="422"/>
    </row>
    <row r="54674" spans="191:191" x14ac:dyDescent="0.2">
      <c r="GI54674" s="422"/>
    </row>
    <row r="54675" spans="191:191" x14ac:dyDescent="0.2">
      <c r="GI54675" s="422"/>
    </row>
    <row r="54676" spans="191:191" x14ac:dyDescent="0.2">
      <c r="GI54676" s="422"/>
    </row>
    <row r="54677" spans="191:191" x14ac:dyDescent="0.2">
      <c r="GI54677" s="422"/>
    </row>
    <row r="54678" spans="191:191" x14ac:dyDescent="0.2">
      <c r="GI54678" s="422"/>
    </row>
    <row r="54679" spans="191:191" x14ac:dyDescent="0.2">
      <c r="GI54679" s="422"/>
    </row>
    <row r="54680" spans="191:191" x14ac:dyDescent="0.2">
      <c r="GI54680" s="422"/>
    </row>
    <row r="54681" spans="191:191" x14ac:dyDescent="0.2">
      <c r="GI54681" s="422"/>
    </row>
    <row r="54682" spans="191:191" x14ac:dyDescent="0.2">
      <c r="GI54682" s="422"/>
    </row>
    <row r="54683" spans="191:191" x14ac:dyDescent="0.2">
      <c r="GI54683" s="422"/>
    </row>
    <row r="54684" spans="191:191" x14ac:dyDescent="0.2">
      <c r="GI54684" s="422"/>
    </row>
    <row r="54685" spans="191:191" x14ac:dyDescent="0.2">
      <c r="GI54685" s="422"/>
    </row>
    <row r="54686" spans="191:191" x14ac:dyDescent="0.2">
      <c r="GI54686" s="422"/>
    </row>
    <row r="54687" spans="191:191" x14ac:dyDescent="0.2">
      <c r="GI54687" s="422"/>
    </row>
    <row r="54688" spans="191:191" x14ac:dyDescent="0.2">
      <c r="GI54688" s="422"/>
    </row>
    <row r="54689" spans="191:191" x14ac:dyDescent="0.2">
      <c r="GI54689" s="422"/>
    </row>
    <row r="54690" spans="191:191" x14ac:dyDescent="0.2">
      <c r="GI54690" s="422"/>
    </row>
    <row r="54691" spans="191:191" x14ac:dyDescent="0.2">
      <c r="GI54691" s="422"/>
    </row>
    <row r="54692" spans="191:191" x14ac:dyDescent="0.2">
      <c r="GI54692" s="422"/>
    </row>
    <row r="54693" spans="191:191" x14ac:dyDescent="0.2">
      <c r="GI54693" s="422"/>
    </row>
    <row r="54694" spans="191:191" x14ac:dyDescent="0.2">
      <c r="GI54694" s="422"/>
    </row>
    <row r="54695" spans="191:191" x14ac:dyDescent="0.2">
      <c r="GI54695" s="422"/>
    </row>
    <row r="54696" spans="191:191" x14ac:dyDescent="0.2">
      <c r="GI54696" s="422"/>
    </row>
    <row r="54697" spans="191:191" x14ac:dyDescent="0.2">
      <c r="GI54697" s="422"/>
    </row>
    <row r="54698" spans="191:191" x14ac:dyDescent="0.2">
      <c r="GI54698" s="422"/>
    </row>
    <row r="54699" spans="191:191" x14ac:dyDescent="0.2">
      <c r="GI54699" s="422"/>
    </row>
    <row r="54700" spans="191:191" x14ac:dyDescent="0.2">
      <c r="GI54700" s="422"/>
    </row>
    <row r="54701" spans="191:191" x14ac:dyDescent="0.2">
      <c r="GI54701" s="422"/>
    </row>
    <row r="54702" spans="191:191" x14ac:dyDescent="0.2">
      <c r="GI54702" s="422"/>
    </row>
    <row r="54703" spans="191:191" x14ac:dyDescent="0.2">
      <c r="GI54703" s="422"/>
    </row>
    <row r="54704" spans="191:191" x14ac:dyDescent="0.2">
      <c r="GI54704" s="422"/>
    </row>
    <row r="54705" spans="191:191" x14ac:dyDescent="0.2">
      <c r="GI54705" s="422"/>
    </row>
    <row r="54706" spans="191:191" x14ac:dyDescent="0.2">
      <c r="GI54706" s="422"/>
    </row>
    <row r="54707" spans="191:191" x14ac:dyDescent="0.2">
      <c r="GI54707" s="422"/>
    </row>
    <row r="54708" spans="191:191" x14ac:dyDescent="0.2">
      <c r="GI54708" s="422"/>
    </row>
    <row r="54709" spans="191:191" x14ac:dyDescent="0.2">
      <c r="GI54709" s="422"/>
    </row>
    <row r="54710" spans="191:191" x14ac:dyDescent="0.2">
      <c r="GI54710" s="422"/>
    </row>
    <row r="54711" spans="191:191" x14ac:dyDescent="0.2">
      <c r="GI54711" s="422"/>
    </row>
    <row r="54712" spans="191:191" x14ac:dyDescent="0.2">
      <c r="GI54712" s="422"/>
    </row>
    <row r="54713" spans="191:191" x14ac:dyDescent="0.2">
      <c r="GI54713" s="422"/>
    </row>
    <row r="54714" spans="191:191" x14ac:dyDescent="0.2">
      <c r="GI54714" s="422"/>
    </row>
    <row r="54715" spans="191:191" x14ac:dyDescent="0.2">
      <c r="GI54715" s="422"/>
    </row>
    <row r="54716" spans="191:191" x14ac:dyDescent="0.2">
      <c r="GI54716" s="422"/>
    </row>
    <row r="54717" spans="191:191" x14ac:dyDescent="0.2">
      <c r="GI54717" s="422"/>
    </row>
    <row r="54718" spans="191:191" x14ac:dyDescent="0.2">
      <c r="GI54718" s="422"/>
    </row>
    <row r="54719" spans="191:191" x14ac:dyDescent="0.2">
      <c r="GI54719" s="422"/>
    </row>
    <row r="54720" spans="191:191" x14ac:dyDescent="0.2">
      <c r="GI54720" s="422"/>
    </row>
    <row r="54721" spans="191:191" x14ac:dyDescent="0.2">
      <c r="GI54721" s="422"/>
    </row>
    <row r="54722" spans="191:191" x14ac:dyDescent="0.2">
      <c r="GI54722" s="422"/>
    </row>
    <row r="54723" spans="191:191" x14ac:dyDescent="0.2">
      <c r="GI54723" s="422"/>
    </row>
    <row r="54724" spans="191:191" x14ac:dyDescent="0.2">
      <c r="GI54724" s="422"/>
    </row>
    <row r="54725" spans="191:191" x14ac:dyDescent="0.2">
      <c r="GI54725" s="422"/>
    </row>
    <row r="54726" spans="191:191" x14ac:dyDescent="0.2">
      <c r="GI54726" s="422"/>
    </row>
    <row r="54727" spans="191:191" x14ac:dyDescent="0.2">
      <c r="GI54727" s="422"/>
    </row>
    <row r="54728" spans="191:191" x14ac:dyDescent="0.2">
      <c r="GI54728" s="422"/>
    </row>
    <row r="54729" spans="191:191" x14ac:dyDescent="0.2">
      <c r="GI54729" s="422"/>
    </row>
    <row r="54730" spans="191:191" x14ac:dyDescent="0.2">
      <c r="GI54730" s="422"/>
    </row>
    <row r="54731" spans="191:191" x14ac:dyDescent="0.2">
      <c r="GI54731" s="422"/>
    </row>
    <row r="54732" spans="191:191" x14ac:dyDescent="0.2">
      <c r="GI54732" s="422"/>
    </row>
    <row r="54733" spans="191:191" x14ac:dyDescent="0.2">
      <c r="GI54733" s="422"/>
    </row>
    <row r="54734" spans="191:191" x14ac:dyDescent="0.2">
      <c r="GI54734" s="422"/>
    </row>
    <row r="54735" spans="191:191" x14ac:dyDescent="0.2">
      <c r="GI54735" s="422"/>
    </row>
    <row r="54736" spans="191:191" x14ac:dyDescent="0.2">
      <c r="GI54736" s="422"/>
    </row>
    <row r="54737" spans="191:191" x14ac:dyDescent="0.2">
      <c r="GI54737" s="422"/>
    </row>
    <row r="54738" spans="191:191" x14ac:dyDescent="0.2">
      <c r="GI54738" s="422"/>
    </row>
    <row r="54739" spans="191:191" x14ac:dyDescent="0.2">
      <c r="GI54739" s="422"/>
    </row>
    <row r="54740" spans="191:191" x14ac:dyDescent="0.2">
      <c r="GI54740" s="422"/>
    </row>
    <row r="54741" spans="191:191" x14ac:dyDescent="0.2">
      <c r="GI54741" s="422"/>
    </row>
    <row r="54742" spans="191:191" x14ac:dyDescent="0.2">
      <c r="GI54742" s="422"/>
    </row>
    <row r="54743" spans="191:191" x14ac:dyDescent="0.2">
      <c r="GI54743" s="422"/>
    </row>
    <row r="54744" spans="191:191" x14ac:dyDescent="0.2">
      <c r="GI54744" s="422"/>
    </row>
    <row r="54745" spans="191:191" x14ac:dyDescent="0.2">
      <c r="GI54745" s="422"/>
    </row>
    <row r="54746" spans="191:191" x14ac:dyDescent="0.2">
      <c r="GI54746" s="422"/>
    </row>
    <row r="54747" spans="191:191" x14ac:dyDescent="0.2">
      <c r="GI54747" s="422"/>
    </row>
    <row r="54748" spans="191:191" x14ac:dyDescent="0.2">
      <c r="GI54748" s="422"/>
    </row>
    <row r="54749" spans="191:191" x14ac:dyDescent="0.2">
      <c r="GI54749" s="422"/>
    </row>
    <row r="54750" spans="191:191" x14ac:dyDescent="0.2">
      <c r="GI54750" s="422"/>
    </row>
    <row r="54751" spans="191:191" x14ac:dyDescent="0.2">
      <c r="GI54751" s="422"/>
    </row>
    <row r="54752" spans="191:191" x14ac:dyDescent="0.2">
      <c r="GI54752" s="422"/>
    </row>
    <row r="54753" spans="191:191" x14ac:dyDescent="0.2">
      <c r="GI54753" s="422"/>
    </row>
    <row r="54754" spans="191:191" x14ac:dyDescent="0.2">
      <c r="GI54754" s="422"/>
    </row>
    <row r="54755" spans="191:191" x14ac:dyDescent="0.2">
      <c r="GI54755" s="422"/>
    </row>
    <row r="54756" spans="191:191" x14ac:dyDescent="0.2">
      <c r="GI54756" s="422"/>
    </row>
    <row r="54757" spans="191:191" x14ac:dyDescent="0.2">
      <c r="GI54757" s="422"/>
    </row>
    <row r="54758" spans="191:191" x14ac:dyDescent="0.2">
      <c r="GI54758" s="422"/>
    </row>
    <row r="54759" spans="191:191" x14ac:dyDescent="0.2">
      <c r="GI54759" s="422"/>
    </row>
    <row r="54760" spans="191:191" x14ac:dyDescent="0.2">
      <c r="GI54760" s="422"/>
    </row>
    <row r="54761" spans="191:191" x14ac:dyDescent="0.2">
      <c r="GI54761" s="422"/>
    </row>
    <row r="54762" spans="191:191" x14ac:dyDescent="0.2">
      <c r="GI54762" s="422"/>
    </row>
    <row r="54763" spans="191:191" x14ac:dyDescent="0.2">
      <c r="GI54763" s="422"/>
    </row>
    <row r="54764" spans="191:191" x14ac:dyDescent="0.2">
      <c r="GI54764" s="422"/>
    </row>
    <row r="54765" spans="191:191" x14ac:dyDescent="0.2">
      <c r="GI54765" s="422"/>
    </row>
    <row r="54766" spans="191:191" x14ac:dyDescent="0.2">
      <c r="GI54766" s="422"/>
    </row>
    <row r="54767" spans="191:191" x14ac:dyDescent="0.2">
      <c r="GI54767" s="422"/>
    </row>
    <row r="54768" spans="191:191" x14ac:dyDescent="0.2">
      <c r="GI54768" s="422"/>
    </row>
    <row r="54769" spans="191:191" x14ac:dyDescent="0.2">
      <c r="GI54769" s="422"/>
    </row>
    <row r="54770" spans="191:191" x14ac:dyDescent="0.2">
      <c r="GI54770" s="422"/>
    </row>
    <row r="54771" spans="191:191" x14ac:dyDescent="0.2">
      <c r="GI54771" s="422"/>
    </row>
    <row r="54772" spans="191:191" x14ac:dyDescent="0.2">
      <c r="GI54772" s="422"/>
    </row>
    <row r="54773" spans="191:191" x14ac:dyDescent="0.2">
      <c r="GI54773" s="422"/>
    </row>
    <row r="54774" spans="191:191" x14ac:dyDescent="0.2">
      <c r="GI54774" s="422"/>
    </row>
    <row r="54775" spans="191:191" x14ac:dyDescent="0.2">
      <c r="GI54775" s="422"/>
    </row>
    <row r="54776" spans="191:191" x14ac:dyDescent="0.2">
      <c r="GI54776" s="422"/>
    </row>
    <row r="54777" spans="191:191" x14ac:dyDescent="0.2">
      <c r="GI54777" s="422"/>
    </row>
    <row r="54778" spans="191:191" x14ac:dyDescent="0.2">
      <c r="GI54778" s="422"/>
    </row>
    <row r="54779" spans="191:191" x14ac:dyDescent="0.2">
      <c r="GI54779" s="422"/>
    </row>
    <row r="54780" spans="191:191" x14ac:dyDescent="0.2">
      <c r="GI54780" s="422"/>
    </row>
    <row r="54781" spans="191:191" x14ac:dyDescent="0.2">
      <c r="GI54781" s="422"/>
    </row>
    <row r="54782" spans="191:191" x14ac:dyDescent="0.2">
      <c r="GI54782" s="422"/>
    </row>
    <row r="54783" spans="191:191" x14ac:dyDescent="0.2">
      <c r="GI54783" s="422"/>
    </row>
    <row r="54784" spans="191:191" x14ac:dyDescent="0.2">
      <c r="GI54784" s="422"/>
    </row>
    <row r="54785" spans="191:191" x14ac:dyDescent="0.2">
      <c r="GI54785" s="422"/>
    </row>
    <row r="54786" spans="191:191" x14ac:dyDescent="0.2">
      <c r="GI54786" s="422"/>
    </row>
    <row r="54787" spans="191:191" x14ac:dyDescent="0.2">
      <c r="GI54787" s="422"/>
    </row>
    <row r="54788" spans="191:191" x14ac:dyDescent="0.2">
      <c r="GI54788" s="422"/>
    </row>
    <row r="54789" spans="191:191" x14ac:dyDescent="0.2">
      <c r="GI54789" s="422"/>
    </row>
    <row r="54790" spans="191:191" x14ac:dyDescent="0.2">
      <c r="GI54790" s="422"/>
    </row>
    <row r="54791" spans="191:191" x14ac:dyDescent="0.2">
      <c r="GI54791" s="422"/>
    </row>
    <row r="54792" spans="191:191" x14ac:dyDescent="0.2">
      <c r="GI54792" s="422"/>
    </row>
    <row r="54793" spans="191:191" x14ac:dyDescent="0.2">
      <c r="GI54793" s="422"/>
    </row>
    <row r="54794" spans="191:191" x14ac:dyDescent="0.2">
      <c r="GI54794" s="422"/>
    </row>
    <row r="54795" spans="191:191" x14ac:dyDescent="0.2">
      <c r="GI54795" s="422"/>
    </row>
    <row r="54796" spans="191:191" x14ac:dyDescent="0.2">
      <c r="GI54796" s="422"/>
    </row>
    <row r="54797" spans="191:191" x14ac:dyDescent="0.2">
      <c r="GI54797" s="422"/>
    </row>
    <row r="54798" spans="191:191" x14ac:dyDescent="0.2">
      <c r="GI54798" s="422"/>
    </row>
    <row r="54799" spans="191:191" x14ac:dyDescent="0.2">
      <c r="GI54799" s="422"/>
    </row>
    <row r="54800" spans="191:191" x14ac:dyDescent="0.2">
      <c r="GI54800" s="422"/>
    </row>
    <row r="54801" spans="191:191" x14ac:dyDescent="0.2">
      <c r="GI54801" s="422"/>
    </row>
    <row r="54802" spans="191:191" x14ac:dyDescent="0.2">
      <c r="GI54802" s="422"/>
    </row>
    <row r="54803" spans="191:191" x14ac:dyDescent="0.2">
      <c r="GI54803" s="422"/>
    </row>
    <row r="54804" spans="191:191" x14ac:dyDescent="0.2">
      <c r="GI54804" s="422"/>
    </row>
    <row r="54805" spans="191:191" x14ac:dyDescent="0.2">
      <c r="GI54805" s="422"/>
    </row>
    <row r="54806" spans="191:191" x14ac:dyDescent="0.2">
      <c r="GI54806" s="422"/>
    </row>
    <row r="54807" spans="191:191" x14ac:dyDescent="0.2">
      <c r="GI54807" s="422"/>
    </row>
    <row r="54808" spans="191:191" x14ac:dyDescent="0.2">
      <c r="GI54808" s="422"/>
    </row>
    <row r="54809" spans="191:191" x14ac:dyDescent="0.2">
      <c r="GI54809" s="422"/>
    </row>
    <row r="54810" spans="191:191" x14ac:dyDescent="0.2">
      <c r="GI54810" s="422"/>
    </row>
    <row r="54811" spans="191:191" x14ac:dyDescent="0.2">
      <c r="GI54811" s="422"/>
    </row>
    <row r="54812" spans="191:191" x14ac:dyDescent="0.2">
      <c r="GI54812" s="422"/>
    </row>
    <row r="54813" spans="191:191" x14ac:dyDescent="0.2">
      <c r="GI54813" s="422"/>
    </row>
    <row r="54814" spans="191:191" x14ac:dyDescent="0.2">
      <c r="GI54814" s="422"/>
    </row>
    <row r="54815" spans="191:191" x14ac:dyDescent="0.2">
      <c r="GI54815" s="422"/>
    </row>
    <row r="54816" spans="191:191" x14ac:dyDescent="0.2">
      <c r="GI54816" s="422"/>
    </row>
    <row r="54817" spans="191:191" x14ac:dyDescent="0.2">
      <c r="GI54817" s="422"/>
    </row>
    <row r="54818" spans="191:191" x14ac:dyDescent="0.2">
      <c r="GI54818" s="422"/>
    </row>
    <row r="54819" spans="191:191" x14ac:dyDescent="0.2">
      <c r="GI54819" s="422"/>
    </row>
    <row r="54820" spans="191:191" x14ac:dyDescent="0.2">
      <c r="GI54820" s="422"/>
    </row>
    <row r="54821" spans="191:191" x14ac:dyDescent="0.2">
      <c r="GI54821" s="422"/>
    </row>
    <row r="54822" spans="191:191" x14ac:dyDescent="0.2">
      <c r="GI54822" s="422"/>
    </row>
    <row r="54823" spans="191:191" x14ac:dyDescent="0.2">
      <c r="GI54823" s="422"/>
    </row>
    <row r="54824" spans="191:191" x14ac:dyDescent="0.2">
      <c r="GI54824" s="422"/>
    </row>
    <row r="54825" spans="191:191" x14ac:dyDescent="0.2">
      <c r="GI54825" s="422"/>
    </row>
    <row r="54826" spans="191:191" x14ac:dyDescent="0.2">
      <c r="GI54826" s="422"/>
    </row>
    <row r="54827" spans="191:191" x14ac:dyDescent="0.2">
      <c r="GI54827" s="422"/>
    </row>
    <row r="54828" spans="191:191" x14ac:dyDescent="0.2">
      <c r="GI54828" s="422"/>
    </row>
    <row r="54829" spans="191:191" x14ac:dyDescent="0.2">
      <c r="GI54829" s="422"/>
    </row>
    <row r="54830" spans="191:191" x14ac:dyDescent="0.2">
      <c r="GI54830" s="422"/>
    </row>
    <row r="54831" spans="191:191" x14ac:dyDescent="0.2">
      <c r="GI54831" s="422"/>
    </row>
    <row r="54832" spans="191:191" x14ac:dyDescent="0.2">
      <c r="GI54832" s="422"/>
    </row>
    <row r="54833" spans="191:191" x14ac:dyDescent="0.2">
      <c r="GI54833" s="422"/>
    </row>
    <row r="54834" spans="191:191" x14ac:dyDescent="0.2">
      <c r="GI54834" s="422"/>
    </row>
    <row r="54835" spans="191:191" x14ac:dyDescent="0.2">
      <c r="GI54835" s="422"/>
    </row>
    <row r="54836" spans="191:191" x14ac:dyDescent="0.2">
      <c r="GI54836" s="422"/>
    </row>
    <row r="54837" spans="191:191" x14ac:dyDescent="0.2">
      <c r="GI54837" s="422"/>
    </row>
    <row r="54838" spans="191:191" x14ac:dyDescent="0.2">
      <c r="GI54838" s="422"/>
    </row>
    <row r="54839" spans="191:191" x14ac:dyDescent="0.2">
      <c r="GI54839" s="422"/>
    </row>
    <row r="54840" spans="191:191" x14ac:dyDescent="0.2">
      <c r="GI54840" s="422"/>
    </row>
    <row r="54841" spans="191:191" x14ac:dyDescent="0.2">
      <c r="GI54841" s="422"/>
    </row>
    <row r="54842" spans="191:191" x14ac:dyDescent="0.2">
      <c r="GI54842" s="422"/>
    </row>
    <row r="54843" spans="191:191" x14ac:dyDescent="0.2">
      <c r="GI54843" s="422"/>
    </row>
    <row r="54844" spans="191:191" x14ac:dyDescent="0.2">
      <c r="GI54844" s="422"/>
    </row>
    <row r="54845" spans="191:191" x14ac:dyDescent="0.2">
      <c r="GI54845" s="422"/>
    </row>
    <row r="54846" spans="191:191" x14ac:dyDescent="0.2">
      <c r="GI54846" s="422"/>
    </row>
    <row r="54847" spans="191:191" x14ac:dyDescent="0.2">
      <c r="GI54847" s="422"/>
    </row>
    <row r="54848" spans="191:191" x14ac:dyDescent="0.2">
      <c r="GI54848" s="422"/>
    </row>
    <row r="54849" spans="191:191" x14ac:dyDescent="0.2">
      <c r="GI54849" s="422"/>
    </row>
    <row r="54850" spans="191:191" x14ac:dyDescent="0.2">
      <c r="GI54850" s="422"/>
    </row>
    <row r="54851" spans="191:191" x14ac:dyDescent="0.2">
      <c r="GI54851" s="422"/>
    </row>
    <row r="54852" spans="191:191" x14ac:dyDescent="0.2">
      <c r="GI54852" s="422"/>
    </row>
    <row r="54853" spans="191:191" x14ac:dyDescent="0.2">
      <c r="GI54853" s="422"/>
    </row>
    <row r="54854" spans="191:191" x14ac:dyDescent="0.2">
      <c r="GI54854" s="422"/>
    </row>
    <row r="54855" spans="191:191" x14ac:dyDescent="0.2">
      <c r="GI54855" s="422"/>
    </row>
    <row r="54856" spans="191:191" x14ac:dyDescent="0.2">
      <c r="GI54856" s="422"/>
    </row>
    <row r="54857" spans="191:191" x14ac:dyDescent="0.2">
      <c r="GI54857" s="422"/>
    </row>
    <row r="54858" spans="191:191" x14ac:dyDescent="0.2">
      <c r="GI54858" s="422"/>
    </row>
    <row r="54859" spans="191:191" x14ac:dyDescent="0.2">
      <c r="GI54859" s="422"/>
    </row>
    <row r="54860" spans="191:191" x14ac:dyDescent="0.2">
      <c r="GI54860" s="422"/>
    </row>
    <row r="54861" spans="191:191" x14ac:dyDescent="0.2">
      <c r="GI54861" s="422"/>
    </row>
    <row r="54862" spans="191:191" x14ac:dyDescent="0.2">
      <c r="GI54862" s="422"/>
    </row>
    <row r="54863" spans="191:191" x14ac:dyDescent="0.2">
      <c r="GI54863" s="422"/>
    </row>
    <row r="54864" spans="191:191" x14ac:dyDescent="0.2">
      <c r="GI54864" s="422"/>
    </row>
    <row r="54865" spans="191:191" x14ac:dyDescent="0.2">
      <c r="GI54865" s="422"/>
    </row>
    <row r="54866" spans="191:191" x14ac:dyDescent="0.2">
      <c r="GI54866" s="422"/>
    </row>
    <row r="54867" spans="191:191" x14ac:dyDescent="0.2">
      <c r="GI54867" s="422"/>
    </row>
    <row r="54868" spans="191:191" x14ac:dyDescent="0.2">
      <c r="GI54868" s="422"/>
    </row>
    <row r="54869" spans="191:191" x14ac:dyDescent="0.2">
      <c r="GI54869" s="422"/>
    </row>
    <row r="54870" spans="191:191" x14ac:dyDescent="0.2">
      <c r="GI54870" s="422"/>
    </row>
    <row r="54871" spans="191:191" x14ac:dyDescent="0.2">
      <c r="GI54871" s="422"/>
    </row>
    <row r="54872" spans="191:191" x14ac:dyDescent="0.2">
      <c r="GI54872" s="422"/>
    </row>
    <row r="54873" spans="191:191" x14ac:dyDescent="0.2">
      <c r="GI54873" s="422"/>
    </row>
    <row r="54874" spans="191:191" x14ac:dyDescent="0.2">
      <c r="GI54874" s="422"/>
    </row>
    <row r="54875" spans="191:191" x14ac:dyDescent="0.2">
      <c r="GI54875" s="422"/>
    </row>
    <row r="54876" spans="191:191" x14ac:dyDescent="0.2">
      <c r="GI54876" s="422"/>
    </row>
    <row r="54877" spans="191:191" x14ac:dyDescent="0.2">
      <c r="GI54877" s="422"/>
    </row>
    <row r="54878" spans="191:191" x14ac:dyDescent="0.2">
      <c r="GI54878" s="422"/>
    </row>
    <row r="54879" spans="191:191" x14ac:dyDescent="0.2">
      <c r="GI54879" s="422"/>
    </row>
    <row r="54880" spans="191:191" x14ac:dyDescent="0.2">
      <c r="GI54880" s="422"/>
    </row>
    <row r="54881" spans="191:191" x14ac:dyDescent="0.2">
      <c r="GI54881" s="422"/>
    </row>
    <row r="54882" spans="191:191" x14ac:dyDescent="0.2">
      <c r="GI54882" s="422"/>
    </row>
    <row r="54883" spans="191:191" x14ac:dyDescent="0.2">
      <c r="GI54883" s="422"/>
    </row>
    <row r="54884" spans="191:191" x14ac:dyDescent="0.2">
      <c r="GI54884" s="422"/>
    </row>
    <row r="54885" spans="191:191" x14ac:dyDescent="0.2">
      <c r="GI54885" s="422"/>
    </row>
    <row r="54886" spans="191:191" x14ac:dyDescent="0.2">
      <c r="GI54886" s="422"/>
    </row>
    <row r="54887" spans="191:191" x14ac:dyDescent="0.2">
      <c r="GI54887" s="422"/>
    </row>
    <row r="54888" spans="191:191" x14ac:dyDescent="0.2">
      <c r="GI54888" s="422"/>
    </row>
    <row r="54889" spans="191:191" x14ac:dyDescent="0.2">
      <c r="GI54889" s="422"/>
    </row>
    <row r="54890" spans="191:191" x14ac:dyDescent="0.2">
      <c r="GI54890" s="422"/>
    </row>
    <row r="54891" spans="191:191" x14ac:dyDescent="0.2">
      <c r="GI54891" s="422"/>
    </row>
    <row r="54892" spans="191:191" x14ac:dyDescent="0.2">
      <c r="GI54892" s="422"/>
    </row>
    <row r="54893" spans="191:191" x14ac:dyDescent="0.2">
      <c r="GI54893" s="422"/>
    </row>
    <row r="54894" spans="191:191" x14ac:dyDescent="0.2">
      <c r="GI54894" s="422"/>
    </row>
    <row r="54895" spans="191:191" x14ac:dyDescent="0.2">
      <c r="GI54895" s="422"/>
    </row>
    <row r="54896" spans="191:191" x14ac:dyDescent="0.2">
      <c r="GI54896" s="422"/>
    </row>
    <row r="54897" spans="191:191" x14ac:dyDescent="0.2">
      <c r="GI54897" s="422"/>
    </row>
    <row r="54898" spans="191:191" x14ac:dyDescent="0.2">
      <c r="GI54898" s="422"/>
    </row>
    <row r="54899" spans="191:191" x14ac:dyDescent="0.2">
      <c r="GI54899" s="422"/>
    </row>
    <row r="54900" spans="191:191" x14ac:dyDescent="0.2">
      <c r="GI54900" s="422"/>
    </row>
    <row r="54901" spans="191:191" x14ac:dyDescent="0.2">
      <c r="GI54901" s="422"/>
    </row>
    <row r="54902" spans="191:191" x14ac:dyDescent="0.2">
      <c r="GI54902" s="422"/>
    </row>
    <row r="54903" spans="191:191" x14ac:dyDescent="0.2">
      <c r="GI54903" s="422"/>
    </row>
    <row r="54904" spans="191:191" x14ac:dyDescent="0.2">
      <c r="GI54904" s="422"/>
    </row>
    <row r="54905" spans="191:191" x14ac:dyDescent="0.2">
      <c r="GI54905" s="422"/>
    </row>
    <row r="54906" spans="191:191" x14ac:dyDescent="0.2">
      <c r="GI54906" s="422"/>
    </row>
    <row r="54907" spans="191:191" x14ac:dyDescent="0.2">
      <c r="GI54907" s="422"/>
    </row>
    <row r="54908" spans="191:191" x14ac:dyDescent="0.2">
      <c r="GI54908" s="422"/>
    </row>
    <row r="54909" spans="191:191" x14ac:dyDescent="0.2">
      <c r="GI54909" s="422"/>
    </row>
    <row r="54910" spans="191:191" x14ac:dyDescent="0.2">
      <c r="GI54910" s="422"/>
    </row>
    <row r="54911" spans="191:191" x14ac:dyDescent="0.2">
      <c r="GI54911" s="422"/>
    </row>
    <row r="54912" spans="191:191" x14ac:dyDescent="0.2">
      <c r="GI54912" s="422"/>
    </row>
    <row r="54913" spans="191:191" x14ac:dyDescent="0.2">
      <c r="GI54913" s="422"/>
    </row>
    <row r="54914" spans="191:191" x14ac:dyDescent="0.2">
      <c r="GI54914" s="422"/>
    </row>
    <row r="54915" spans="191:191" x14ac:dyDescent="0.2">
      <c r="GI54915" s="422"/>
    </row>
    <row r="54916" spans="191:191" x14ac:dyDescent="0.2">
      <c r="GI54916" s="422"/>
    </row>
    <row r="54917" spans="191:191" x14ac:dyDescent="0.2">
      <c r="GI54917" s="422"/>
    </row>
    <row r="54918" spans="191:191" x14ac:dyDescent="0.2">
      <c r="GI54918" s="422"/>
    </row>
    <row r="54919" spans="191:191" x14ac:dyDescent="0.2">
      <c r="GI54919" s="422"/>
    </row>
    <row r="54920" spans="191:191" x14ac:dyDescent="0.2">
      <c r="GI54920" s="422"/>
    </row>
    <row r="54921" spans="191:191" x14ac:dyDescent="0.2">
      <c r="GI54921" s="422"/>
    </row>
    <row r="54922" spans="191:191" x14ac:dyDescent="0.2">
      <c r="GI54922" s="422"/>
    </row>
    <row r="54923" spans="191:191" x14ac:dyDescent="0.2">
      <c r="GI54923" s="422"/>
    </row>
    <row r="54924" spans="191:191" x14ac:dyDescent="0.2">
      <c r="GI54924" s="422"/>
    </row>
    <row r="54925" spans="191:191" x14ac:dyDescent="0.2">
      <c r="GI54925" s="422"/>
    </row>
    <row r="54926" spans="191:191" x14ac:dyDescent="0.2">
      <c r="GI54926" s="422"/>
    </row>
    <row r="54927" spans="191:191" x14ac:dyDescent="0.2">
      <c r="GI54927" s="422"/>
    </row>
    <row r="54928" spans="191:191" x14ac:dyDescent="0.2">
      <c r="GI54928" s="422"/>
    </row>
    <row r="54929" spans="191:191" x14ac:dyDescent="0.2">
      <c r="GI54929" s="422"/>
    </row>
    <row r="54930" spans="191:191" x14ac:dyDescent="0.2">
      <c r="GI54930" s="422"/>
    </row>
    <row r="54931" spans="191:191" x14ac:dyDescent="0.2">
      <c r="GI54931" s="422"/>
    </row>
    <row r="54932" spans="191:191" x14ac:dyDescent="0.2">
      <c r="GI54932" s="422"/>
    </row>
    <row r="54933" spans="191:191" x14ac:dyDescent="0.2">
      <c r="GI54933" s="422"/>
    </row>
    <row r="54934" spans="191:191" x14ac:dyDescent="0.2">
      <c r="GI54934" s="422"/>
    </row>
    <row r="54935" spans="191:191" x14ac:dyDescent="0.2">
      <c r="GI54935" s="422"/>
    </row>
    <row r="54936" spans="191:191" x14ac:dyDescent="0.2">
      <c r="GI54936" s="422"/>
    </row>
    <row r="54937" spans="191:191" x14ac:dyDescent="0.2">
      <c r="GI54937" s="422"/>
    </row>
    <row r="54938" spans="191:191" x14ac:dyDescent="0.2">
      <c r="GI54938" s="422"/>
    </row>
    <row r="54939" spans="191:191" x14ac:dyDescent="0.2">
      <c r="GI54939" s="422"/>
    </row>
    <row r="54940" spans="191:191" x14ac:dyDescent="0.2">
      <c r="GI54940" s="422"/>
    </row>
    <row r="54941" spans="191:191" x14ac:dyDescent="0.2">
      <c r="GI54941" s="422"/>
    </row>
    <row r="54942" spans="191:191" x14ac:dyDescent="0.2">
      <c r="GI54942" s="422"/>
    </row>
    <row r="54943" spans="191:191" x14ac:dyDescent="0.2">
      <c r="GI54943" s="422"/>
    </row>
    <row r="54944" spans="191:191" x14ac:dyDescent="0.2">
      <c r="GI54944" s="422"/>
    </row>
    <row r="54945" spans="191:191" x14ac:dyDescent="0.2">
      <c r="GI54945" s="422"/>
    </row>
    <row r="54946" spans="191:191" x14ac:dyDescent="0.2">
      <c r="GI54946" s="422"/>
    </row>
    <row r="54947" spans="191:191" x14ac:dyDescent="0.2">
      <c r="GI54947" s="422"/>
    </row>
    <row r="54948" spans="191:191" x14ac:dyDescent="0.2">
      <c r="GI54948" s="422"/>
    </row>
    <row r="54949" spans="191:191" x14ac:dyDescent="0.2">
      <c r="GI54949" s="422"/>
    </row>
    <row r="54950" spans="191:191" x14ac:dyDescent="0.2">
      <c r="GI54950" s="422"/>
    </row>
    <row r="54951" spans="191:191" x14ac:dyDescent="0.2">
      <c r="GI54951" s="422"/>
    </row>
    <row r="54952" spans="191:191" x14ac:dyDescent="0.2">
      <c r="GI54952" s="422"/>
    </row>
    <row r="54953" spans="191:191" x14ac:dyDescent="0.2">
      <c r="GI54953" s="422"/>
    </row>
    <row r="54954" spans="191:191" x14ac:dyDescent="0.2">
      <c r="GI54954" s="422"/>
    </row>
    <row r="54955" spans="191:191" x14ac:dyDescent="0.2">
      <c r="GI54955" s="422"/>
    </row>
    <row r="54956" spans="191:191" x14ac:dyDescent="0.2">
      <c r="GI54956" s="422"/>
    </row>
    <row r="54957" spans="191:191" x14ac:dyDescent="0.2">
      <c r="GI54957" s="422"/>
    </row>
    <row r="54958" spans="191:191" x14ac:dyDescent="0.2">
      <c r="GI54958" s="422"/>
    </row>
    <row r="54959" spans="191:191" x14ac:dyDescent="0.2">
      <c r="GI54959" s="422"/>
    </row>
    <row r="54960" spans="191:191" x14ac:dyDescent="0.2">
      <c r="GI54960" s="422"/>
    </row>
    <row r="54961" spans="191:191" x14ac:dyDescent="0.2">
      <c r="GI54961" s="422"/>
    </row>
    <row r="54962" spans="191:191" x14ac:dyDescent="0.2">
      <c r="GI54962" s="422"/>
    </row>
    <row r="54963" spans="191:191" x14ac:dyDescent="0.2">
      <c r="GI54963" s="422"/>
    </row>
    <row r="54964" spans="191:191" x14ac:dyDescent="0.2">
      <c r="GI54964" s="422"/>
    </row>
    <row r="54965" spans="191:191" x14ac:dyDescent="0.2">
      <c r="GI54965" s="422"/>
    </row>
    <row r="54966" spans="191:191" x14ac:dyDescent="0.2">
      <c r="GI54966" s="422"/>
    </row>
    <row r="54967" spans="191:191" x14ac:dyDescent="0.2">
      <c r="GI54967" s="422"/>
    </row>
    <row r="54968" spans="191:191" x14ac:dyDescent="0.2">
      <c r="GI54968" s="422"/>
    </row>
    <row r="54969" spans="191:191" x14ac:dyDescent="0.2">
      <c r="GI54969" s="422"/>
    </row>
    <row r="54970" spans="191:191" x14ac:dyDescent="0.2">
      <c r="GI54970" s="422"/>
    </row>
    <row r="54971" spans="191:191" x14ac:dyDescent="0.2">
      <c r="GI54971" s="422"/>
    </row>
    <row r="54972" spans="191:191" x14ac:dyDescent="0.2">
      <c r="GI54972" s="422"/>
    </row>
    <row r="54973" spans="191:191" x14ac:dyDescent="0.2">
      <c r="GI54973" s="422"/>
    </row>
    <row r="54974" spans="191:191" x14ac:dyDescent="0.2">
      <c r="GI54974" s="422"/>
    </row>
    <row r="54975" spans="191:191" x14ac:dyDescent="0.2">
      <c r="GI54975" s="422"/>
    </row>
    <row r="54976" spans="191:191" x14ac:dyDescent="0.2">
      <c r="GI54976" s="422"/>
    </row>
    <row r="54977" spans="191:191" x14ac:dyDescent="0.2">
      <c r="GI54977" s="422"/>
    </row>
    <row r="54978" spans="191:191" x14ac:dyDescent="0.2">
      <c r="GI54978" s="422"/>
    </row>
    <row r="54979" spans="191:191" x14ac:dyDescent="0.2">
      <c r="GI54979" s="422"/>
    </row>
    <row r="54980" spans="191:191" x14ac:dyDescent="0.2">
      <c r="GI54980" s="422"/>
    </row>
    <row r="54981" spans="191:191" x14ac:dyDescent="0.2">
      <c r="GI54981" s="422"/>
    </row>
    <row r="54982" spans="191:191" x14ac:dyDescent="0.2">
      <c r="GI54982" s="422"/>
    </row>
    <row r="54983" spans="191:191" x14ac:dyDescent="0.2">
      <c r="GI54983" s="422"/>
    </row>
    <row r="54984" spans="191:191" x14ac:dyDescent="0.2">
      <c r="GI54984" s="422"/>
    </row>
    <row r="54985" spans="191:191" x14ac:dyDescent="0.2">
      <c r="GI54985" s="422"/>
    </row>
    <row r="54986" spans="191:191" x14ac:dyDescent="0.2">
      <c r="GI54986" s="422"/>
    </row>
    <row r="54987" spans="191:191" x14ac:dyDescent="0.2">
      <c r="GI54987" s="422"/>
    </row>
    <row r="54988" spans="191:191" x14ac:dyDescent="0.2">
      <c r="GI54988" s="422"/>
    </row>
    <row r="54989" spans="191:191" x14ac:dyDescent="0.2">
      <c r="GI54989" s="422"/>
    </row>
    <row r="54990" spans="191:191" x14ac:dyDescent="0.2">
      <c r="GI54990" s="422"/>
    </row>
    <row r="54991" spans="191:191" x14ac:dyDescent="0.2">
      <c r="GI54991" s="422"/>
    </row>
    <row r="54992" spans="191:191" x14ac:dyDescent="0.2">
      <c r="GI54992" s="422"/>
    </row>
    <row r="54993" spans="191:191" x14ac:dyDescent="0.2">
      <c r="GI54993" s="422"/>
    </row>
    <row r="54994" spans="191:191" x14ac:dyDescent="0.2">
      <c r="GI54994" s="422"/>
    </row>
    <row r="54995" spans="191:191" x14ac:dyDescent="0.2">
      <c r="GI54995" s="422"/>
    </row>
    <row r="54996" spans="191:191" x14ac:dyDescent="0.2">
      <c r="GI54996" s="422"/>
    </row>
    <row r="54997" spans="191:191" x14ac:dyDescent="0.2">
      <c r="GI54997" s="422"/>
    </row>
    <row r="54998" spans="191:191" x14ac:dyDescent="0.2">
      <c r="GI54998" s="422"/>
    </row>
    <row r="54999" spans="191:191" x14ac:dyDescent="0.2">
      <c r="GI54999" s="422"/>
    </row>
    <row r="55000" spans="191:191" x14ac:dyDescent="0.2">
      <c r="GI55000" s="422"/>
    </row>
    <row r="55001" spans="191:191" x14ac:dyDescent="0.2">
      <c r="GI55001" s="422"/>
    </row>
    <row r="55002" spans="191:191" x14ac:dyDescent="0.2">
      <c r="GI55002" s="422"/>
    </row>
    <row r="55003" spans="191:191" x14ac:dyDescent="0.2">
      <c r="GI55003" s="422"/>
    </row>
    <row r="55004" spans="191:191" x14ac:dyDescent="0.2">
      <c r="GI55004" s="422"/>
    </row>
    <row r="55005" spans="191:191" x14ac:dyDescent="0.2">
      <c r="GI55005" s="422"/>
    </row>
    <row r="55006" spans="191:191" x14ac:dyDescent="0.2">
      <c r="GI55006" s="422"/>
    </row>
    <row r="55007" spans="191:191" x14ac:dyDescent="0.2">
      <c r="GI55007" s="422"/>
    </row>
    <row r="55008" spans="191:191" x14ac:dyDescent="0.2">
      <c r="GI55008" s="422"/>
    </row>
    <row r="55009" spans="191:191" x14ac:dyDescent="0.2">
      <c r="GI55009" s="422"/>
    </row>
    <row r="55010" spans="191:191" x14ac:dyDescent="0.2">
      <c r="GI55010" s="422"/>
    </row>
    <row r="55011" spans="191:191" x14ac:dyDescent="0.2">
      <c r="GI55011" s="422"/>
    </row>
    <row r="55012" spans="191:191" x14ac:dyDescent="0.2">
      <c r="GI55012" s="422"/>
    </row>
    <row r="55013" spans="191:191" x14ac:dyDescent="0.2">
      <c r="GI55013" s="422"/>
    </row>
    <row r="55014" spans="191:191" x14ac:dyDescent="0.2">
      <c r="GI55014" s="422"/>
    </row>
    <row r="55015" spans="191:191" x14ac:dyDescent="0.2">
      <c r="GI55015" s="422"/>
    </row>
    <row r="55016" spans="191:191" x14ac:dyDescent="0.2">
      <c r="GI55016" s="422"/>
    </row>
    <row r="55017" spans="191:191" x14ac:dyDescent="0.2">
      <c r="GI55017" s="422"/>
    </row>
    <row r="55018" spans="191:191" x14ac:dyDescent="0.2">
      <c r="GI55018" s="422"/>
    </row>
    <row r="55019" spans="191:191" x14ac:dyDescent="0.2">
      <c r="GI55019" s="422"/>
    </row>
    <row r="55020" spans="191:191" x14ac:dyDescent="0.2">
      <c r="GI55020" s="422"/>
    </row>
    <row r="55021" spans="191:191" x14ac:dyDescent="0.2">
      <c r="GI55021" s="422"/>
    </row>
    <row r="55022" spans="191:191" x14ac:dyDescent="0.2">
      <c r="GI55022" s="422"/>
    </row>
    <row r="55023" spans="191:191" x14ac:dyDescent="0.2">
      <c r="GI55023" s="422"/>
    </row>
    <row r="55024" spans="191:191" x14ac:dyDescent="0.2">
      <c r="GI55024" s="422"/>
    </row>
    <row r="55025" spans="191:191" x14ac:dyDescent="0.2">
      <c r="GI55025" s="422"/>
    </row>
    <row r="55026" spans="191:191" x14ac:dyDescent="0.2">
      <c r="GI55026" s="422"/>
    </row>
    <row r="55027" spans="191:191" x14ac:dyDescent="0.2">
      <c r="GI55027" s="422"/>
    </row>
    <row r="55028" spans="191:191" x14ac:dyDescent="0.2">
      <c r="GI55028" s="422"/>
    </row>
    <row r="55029" spans="191:191" x14ac:dyDescent="0.2">
      <c r="GI55029" s="422"/>
    </row>
    <row r="55030" spans="191:191" x14ac:dyDescent="0.2">
      <c r="GI55030" s="422"/>
    </row>
    <row r="55031" spans="191:191" x14ac:dyDescent="0.2">
      <c r="GI55031" s="422"/>
    </row>
    <row r="55032" spans="191:191" x14ac:dyDescent="0.2">
      <c r="GI55032" s="422"/>
    </row>
    <row r="55033" spans="191:191" x14ac:dyDescent="0.2">
      <c r="GI55033" s="422"/>
    </row>
    <row r="55034" spans="191:191" x14ac:dyDescent="0.2">
      <c r="GI55034" s="422"/>
    </row>
    <row r="55035" spans="191:191" x14ac:dyDescent="0.2">
      <c r="GI55035" s="422"/>
    </row>
    <row r="55036" spans="191:191" x14ac:dyDescent="0.2">
      <c r="GI55036" s="422"/>
    </row>
    <row r="55037" spans="191:191" x14ac:dyDescent="0.2">
      <c r="GI55037" s="422"/>
    </row>
    <row r="55038" spans="191:191" x14ac:dyDescent="0.2">
      <c r="GI55038" s="422"/>
    </row>
    <row r="55039" spans="191:191" x14ac:dyDescent="0.2">
      <c r="GI55039" s="422"/>
    </row>
    <row r="55040" spans="191:191" x14ac:dyDescent="0.2">
      <c r="GI55040" s="422"/>
    </row>
    <row r="55041" spans="191:191" x14ac:dyDescent="0.2">
      <c r="GI55041" s="422"/>
    </row>
    <row r="55042" spans="191:191" x14ac:dyDescent="0.2">
      <c r="GI55042" s="422"/>
    </row>
    <row r="55043" spans="191:191" x14ac:dyDescent="0.2">
      <c r="GI55043" s="422"/>
    </row>
    <row r="55044" spans="191:191" x14ac:dyDescent="0.2">
      <c r="GI55044" s="422"/>
    </row>
    <row r="55045" spans="191:191" x14ac:dyDescent="0.2">
      <c r="GI55045" s="422"/>
    </row>
    <row r="55046" spans="191:191" x14ac:dyDescent="0.2">
      <c r="GI55046" s="422"/>
    </row>
    <row r="55047" spans="191:191" x14ac:dyDescent="0.2">
      <c r="GI55047" s="422"/>
    </row>
    <row r="55048" spans="191:191" x14ac:dyDescent="0.2">
      <c r="GI55048" s="422"/>
    </row>
    <row r="55049" spans="191:191" x14ac:dyDescent="0.2">
      <c r="GI55049" s="422"/>
    </row>
    <row r="55050" spans="191:191" x14ac:dyDescent="0.2">
      <c r="GI55050" s="422"/>
    </row>
    <row r="55051" spans="191:191" x14ac:dyDescent="0.2">
      <c r="GI55051" s="422"/>
    </row>
    <row r="55052" spans="191:191" x14ac:dyDescent="0.2">
      <c r="GI55052" s="422"/>
    </row>
    <row r="55053" spans="191:191" x14ac:dyDescent="0.2">
      <c r="GI55053" s="422"/>
    </row>
    <row r="55054" spans="191:191" x14ac:dyDescent="0.2">
      <c r="GI55054" s="422"/>
    </row>
    <row r="55055" spans="191:191" x14ac:dyDescent="0.2">
      <c r="GI55055" s="422"/>
    </row>
    <row r="55056" spans="191:191" x14ac:dyDescent="0.2">
      <c r="GI55056" s="422"/>
    </row>
    <row r="55057" spans="191:191" x14ac:dyDescent="0.2">
      <c r="GI55057" s="422"/>
    </row>
    <row r="55058" spans="191:191" x14ac:dyDescent="0.2">
      <c r="GI55058" s="422"/>
    </row>
    <row r="55059" spans="191:191" x14ac:dyDescent="0.2">
      <c r="GI55059" s="422"/>
    </row>
    <row r="55060" spans="191:191" x14ac:dyDescent="0.2">
      <c r="GI55060" s="422"/>
    </row>
    <row r="55061" spans="191:191" x14ac:dyDescent="0.2">
      <c r="GI55061" s="422"/>
    </row>
    <row r="55062" spans="191:191" x14ac:dyDescent="0.2">
      <c r="GI55062" s="422"/>
    </row>
    <row r="55063" spans="191:191" x14ac:dyDescent="0.2">
      <c r="GI55063" s="422"/>
    </row>
    <row r="55064" spans="191:191" x14ac:dyDescent="0.2">
      <c r="GI55064" s="422"/>
    </row>
    <row r="55065" spans="191:191" x14ac:dyDescent="0.2">
      <c r="GI55065" s="422"/>
    </row>
    <row r="55066" spans="191:191" x14ac:dyDescent="0.2">
      <c r="GI55066" s="422"/>
    </row>
    <row r="55067" spans="191:191" x14ac:dyDescent="0.2">
      <c r="GI55067" s="422"/>
    </row>
    <row r="55068" spans="191:191" x14ac:dyDescent="0.2">
      <c r="GI55068" s="422"/>
    </row>
    <row r="55069" spans="191:191" x14ac:dyDescent="0.2">
      <c r="GI55069" s="422"/>
    </row>
    <row r="55070" spans="191:191" x14ac:dyDescent="0.2">
      <c r="GI55070" s="422"/>
    </row>
    <row r="55071" spans="191:191" x14ac:dyDescent="0.2">
      <c r="GI55071" s="422"/>
    </row>
    <row r="55072" spans="191:191" x14ac:dyDescent="0.2">
      <c r="GI55072" s="422"/>
    </row>
    <row r="55073" spans="191:191" x14ac:dyDescent="0.2">
      <c r="GI55073" s="422"/>
    </row>
    <row r="55074" spans="191:191" x14ac:dyDescent="0.2">
      <c r="GI55074" s="422"/>
    </row>
    <row r="55075" spans="191:191" x14ac:dyDescent="0.2">
      <c r="GI55075" s="422"/>
    </row>
    <row r="55076" spans="191:191" x14ac:dyDescent="0.2">
      <c r="GI55076" s="422"/>
    </row>
    <row r="55077" spans="191:191" x14ac:dyDescent="0.2">
      <c r="GI55077" s="422"/>
    </row>
    <row r="55078" spans="191:191" x14ac:dyDescent="0.2">
      <c r="GI55078" s="422"/>
    </row>
    <row r="55079" spans="191:191" x14ac:dyDescent="0.2">
      <c r="GI55079" s="422"/>
    </row>
    <row r="55080" spans="191:191" x14ac:dyDescent="0.2">
      <c r="GI55080" s="422"/>
    </row>
    <row r="55081" spans="191:191" x14ac:dyDescent="0.2">
      <c r="GI55081" s="422"/>
    </row>
    <row r="55082" spans="191:191" x14ac:dyDescent="0.2">
      <c r="GI55082" s="422"/>
    </row>
    <row r="55083" spans="191:191" x14ac:dyDescent="0.2">
      <c r="GI55083" s="422"/>
    </row>
    <row r="55084" spans="191:191" x14ac:dyDescent="0.2">
      <c r="GI55084" s="422"/>
    </row>
    <row r="55085" spans="191:191" x14ac:dyDescent="0.2">
      <c r="GI55085" s="422"/>
    </row>
    <row r="55086" spans="191:191" x14ac:dyDescent="0.2">
      <c r="GI55086" s="422"/>
    </row>
    <row r="55087" spans="191:191" x14ac:dyDescent="0.2">
      <c r="GI55087" s="422"/>
    </row>
    <row r="55088" spans="191:191" x14ac:dyDescent="0.2">
      <c r="GI55088" s="422"/>
    </row>
    <row r="55089" spans="191:191" x14ac:dyDescent="0.2">
      <c r="GI55089" s="422"/>
    </row>
    <row r="55090" spans="191:191" x14ac:dyDescent="0.2">
      <c r="GI55090" s="422"/>
    </row>
    <row r="55091" spans="191:191" x14ac:dyDescent="0.2">
      <c r="GI55091" s="422"/>
    </row>
    <row r="55092" spans="191:191" x14ac:dyDescent="0.2">
      <c r="GI55092" s="422"/>
    </row>
    <row r="55093" spans="191:191" x14ac:dyDescent="0.2">
      <c r="GI55093" s="422"/>
    </row>
    <row r="55094" spans="191:191" x14ac:dyDescent="0.2">
      <c r="GI55094" s="422"/>
    </row>
    <row r="55095" spans="191:191" x14ac:dyDescent="0.2">
      <c r="GI55095" s="422"/>
    </row>
    <row r="55096" spans="191:191" x14ac:dyDescent="0.2">
      <c r="GI55096" s="422"/>
    </row>
    <row r="55097" spans="191:191" x14ac:dyDescent="0.2">
      <c r="GI55097" s="422"/>
    </row>
    <row r="55098" spans="191:191" x14ac:dyDescent="0.2">
      <c r="GI55098" s="422"/>
    </row>
    <row r="55099" spans="191:191" x14ac:dyDescent="0.2">
      <c r="GI55099" s="422"/>
    </row>
    <row r="55100" spans="191:191" x14ac:dyDescent="0.2">
      <c r="GI55100" s="422"/>
    </row>
    <row r="55101" spans="191:191" x14ac:dyDescent="0.2">
      <c r="GI55101" s="422"/>
    </row>
    <row r="55102" spans="191:191" x14ac:dyDescent="0.2">
      <c r="GI55102" s="422"/>
    </row>
    <row r="55103" spans="191:191" x14ac:dyDescent="0.2">
      <c r="GI55103" s="422"/>
    </row>
    <row r="55104" spans="191:191" x14ac:dyDescent="0.2">
      <c r="GI55104" s="422"/>
    </row>
    <row r="55105" spans="191:191" x14ac:dyDescent="0.2">
      <c r="GI55105" s="422"/>
    </row>
    <row r="55106" spans="191:191" x14ac:dyDescent="0.2">
      <c r="GI55106" s="422"/>
    </row>
    <row r="55107" spans="191:191" x14ac:dyDescent="0.2">
      <c r="GI55107" s="422"/>
    </row>
    <row r="55108" spans="191:191" x14ac:dyDescent="0.2">
      <c r="GI55108" s="422"/>
    </row>
    <row r="55109" spans="191:191" x14ac:dyDescent="0.2">
      <c r="GI55109" s="422"/>
    </row>
    <row r="55110" spans="191:191" x14ac:dyDescent="0.2">
      <c r="GI55110" s="422"/>
    </row>
    <row r="55111" spans="191:191" x14ac:dyDescent="0.2">
      <c r="GI55111" s="422"/>
    </row>
    <row r="55112" spans="191:191" x14ac:dyDescent="0.2">
      <c r="GI55112" s="422"/>
    </row>
    <row r="55113" spans="191:191" x14ac:dyDescent="0.2">
      <c r="GI55113" s="422"/>
    </row>
    <row r="55114" spans="191:191" x14ac:dyDescent="0.2">
      <c r="GI55114" s="422"/>
    </row>
    <row r="55115" spans="191:191" x14ac:dyDescent="0.2">
      <c r="GI55115" s="422"/>
    </row>
    <row r="55116" spans="191:191" x14ac:dyDescent="0.2">
      <c r="GI55116" s="422"/>
    </row>
    <row r="55117" spans="191:191" x14ac:dyDescent="0.2">
      <c r="GI55117" s="422"/>
    </row>
    <row r="55118" spans="191:191" x14ac:dyDescent="0.2">
      <c r="GI55118" s="422"/>
    </row>
    <row r="55119" spans="191:191" x14ac:dyDescent="0.2">
      <c r="GI55119" s="422"/>
    </row>
    <row r="55120" spans="191:191" x14ac:dyDescent="0.2">
      <c r="GI55120" s="422"/>
    </row>
    <row r="55121" spans="191:191" x14ac:dyDescent="0.2">
      <c r="GI55121" s="422"/>
    </row>
    <row r="55122" spans="191:191" x14ac:dyDescent="0.2">
      <c r="GI55122" s="422"/>
    </row>
    <row r="55123" spans="191:191" x14ac:dyDescent="0.2">
      <c r="GI55123" s="422"/>
    </row>
    <row r="55124" spans="191:191" x14ac:dyDescent="0.2">
      <c r="GI55124" s="422"/>
    </row>
    <row r="55125" spans="191:191" x14ac:dyDescent="0.2">
      <c r="GI55125" s="422"/>
    </row>
    <row r="55126" spans="191:191" x14ac:dyDescent="0.2">
      <c r="GI55126" s="422"/>
    </row>
    <row r="55127" spans="191:191" x14ac:dyDescent="0.2">
      <c r="GI55127" s="422"/>
    </row>
    <row r="55128" spans="191:191" x14ac:dyDescent="0.2">
      <c r="GI55128" s="422"/>
    </row>
    <row r="55129" spans="191:191" x14ac:dyDescent="0.2">
      <c r="GI55129" s="422"/>
    </row>
    <row r="55130" spans="191:191" x14ac:dyDescent="0.2">
      <c r="GI55130" s="422"/>
    </row>
    <row r="55131" spans="191:191" x14ac:dyDescent="0.2">
      <c r="GI55131" s="422"/>
    </row>
    <row r="55132" spans="191:191" x14ac:dyDescent="0.2">
      <c r="GI55132" s="422"/>
    </row>
    <row r="55133" spans="191:191" x14ac:dyDescent="0.2">
      <c r="GI55133" s="422"/>
    </row>
    <row r="55134" spans="191:191" x14ac:dyDescent="0.2">
      <c r="GI55134" s="422"/>
    </row>
    <row r="55135" spans="191:191" x14ac:dyDescent="0.2">
      <c r="GI55135" s="422"/>
    </row>
    <row r="55136" spans="191:191" x14ac:dyDescent="0.2">
      <c r="GI55136" s="422"/>
    </row>
    <row r="55137" spans="191:191" x14ac:dyDescent="0.2">
      <c r="GI55137" s="422"/>
    </row>
    <row r="55138" spans="191:191" x14ac:dyDescent="0.2">
      <c r="GI55138" s="422"/>
    </row>
    <row r="55139" spans="191:191" x14ac:dyDescent="0.2">
      <c r="GI55139" s="422"/>
    </row>
    <row r="55140" spans="191:191" x14ac:dyDescent="0.2">
      <c r="GI55140" s="422"/>
    </row>
    <row r="55141" spans="191:191" x14ac:dyDescent="0.2">
      <c r="GI55141" s="422"/>
    </row>
    <row r="55142" spans="191:191" x14ac:dyDescent="0.2">
      <c r="GI55142" s="422"/>
    </row>
    <row r="55143" spans="191:191" x14ac:dyDescent="0.2">
      <c r="GI55143" s="422"/>
    </row>
    <row r="55144" spans="191:191" x14ac:dyDescent="0.2">
      <c r="GI55144" s="422"/>
    </row>
    <row r="55145" spans="191:191" x14ac:dyDescent="0.2">
      <c r="GI55145" s="422"/>
    </row>
    <row r="55146" spans="191:191" x14ac:dyDescent="0.2">
      <c r="GI55146" s="422"/>
    </row>
    <row r="55147" spans="191:191" x14ac:dyDescent="0.2">
      <c r="GI55147" s="422"/>
    </row>
    <row r="55148" spans="191:191" x14ac:dyDescent="0.2">
      <c r="GI55148" s="422"/>
    </row>
    <row r="55149" spans="191:191" x14ac:dyDescent="0.2">
      <c r="GI55149" s="422"/>
    </row>
    <row r="55150" spans="191:191" x14ac:dyDescent="0.2">
      <c r="GI55150" s="422"/>
    </row>
    <row r="55151" spans="191:191" x14ac:dyDescent="0.2">
      <c r="GI55151" s="422"/>
    </row>
    <row r="55152" spans="191:191" x14ac:dyDescent="0.2">
      <c r="GI55152" s="422"/>
    </row>
    <row r="55153" spans="191:191" x14ac:dyDescent="0.2">
      <c r="GI55153" s="422"/>
    </row>
    <row r="55154" spans="191:191" x14ac:dyDescent="0.2">
      <c r="GI55154" s="422"/>
    </row>
    <row r="55155" spans="191:191" x14ac:dyDescent="0.2">
      <c r="GI55155" s="422"/>
    </row>
    <row r="55156" spans="191:191" x14ac:dyDescent="0.2">
      <c r="GI55156" s="422"/>
    </row>
    <row r="55157" spans="191:191" x14ac:dyDescent="0.2">
      <c r="GI55157" s="422"/>
    </row>
    <row r="55158" spans="191:191" x14ac:dyDescent="0.2">
      <c r="GI55158" s="422"/>
    </row>
    <row r="55159" spans="191:191" x14ac:dyDescent="0.2">
      <c r="GI55159" s="422"/>
    </row>
    <row r="55160" spans="191:191" x14ac:dyDescent="0.2">
      <c r="GI55160" s="422"/>
    </row>
    <row r="55161" spans="191:191" x14ac:dyDescent="0.2">
      <c r="GI55161" s="422"/>
    </row>
    <row r="55162" spans="191:191" x14ac:dyDescent="0.2">
      <c r="GI55162" s="422"/>
    </row>
    <row r="55163" spans="191:191" x14ac:dyDescent="0.2">
      <c r="GI55163" s="422"/>
    </row>
    <row r="55164" spans="191:191" x14ac:dyDescent="0.2">
      <c r="GI55164" s="422"/>
    </row>
    <row r="55165" spans="191:191" x14ac:dyDescent="0.2">
      <c r="GI55165" s="422"/>
    </row>
    <row r="55166" spans="191:191" x14ac:dyDescent="0.2">
      <c r="GI55166" s="422"/>
    </row>
    <row r="55167" spans="191:191" x14ac:dyDescent="0.2">
      <c r="GI55167" s="422"/>
    </row>
    <row r="55168" spans="191:191" x14ac:dyDescent="0.2">
      <c r="GI55168" s="422"/>
    </row>
    <row r="55169" spans="191:191" x14ac:dyDescent="0.2">
      <c r="GI55169" s="422"/>
    </row>
    <row r="55170" spans="191:191" x14ac:dyDescent="0.2">
      <c r="GI55170" s="422"/>
    </row>
    <row r="55171" spans="191:191" x14ac:dyDescent="0.2">
      <c r="GI55171" s="422"/>
    </row>
    <row r="55172" spans="191:191" x14ac:dyDescent="0.2">
      <c r="GI55172" s="422"/>
    </row>
    <row r="55173" spans="191:191" x14ac:dyDescent="0.2">
      <c r="GI55173" s="422"/>
    </row>
    <row r="55174" spans="191:191" x14ac:dyDescent="0.2">
      <c r="GI55174" s="422"/>
    </row>
    <row r="55175" spans="191:191" x14ac:dyDescent="0.2">
      <c r="GI55175" s="422"/>
    </row>
    <row r="55176" spans="191:191" x14ac:dyDescent="0.2">
      <c r="GI55176" s="422"/>
    </row>
    <row r="55177" spans="191:191" x14ac:dyDescent="0.2">
      <c r="GI55177" s="422"/>
    </row>
    <row r="55178" spans="191:191" x14ac:dyDescent="0.2">
      <c r="GI55178" s="422"/>
    </row>
    <row r="55179" spans="191:191" x14ac:dyDescent="0.2">
      <c r="GI55179" s="422"/>
    </row>
    <row r="55180" spans="191:191" x14ac:dyDescent="0.2">
      <c r="GI55180" s="422"/>
    </row>
    <row r="55181" spans="191:191" x14ac:dyDescent="0.2">
      <c r="GI55181" s="422"/>
    </row>
    <row r="55182" spans="191:191" x14ac:dyDescent="0.2">
      <c r="GI55182" s="422"/>
    </row>
    <row r="55183" spans="191:191" x14ac:dyDescent="0.2">
      <c r="GI55183" s="422"/>
    </row>
    <row r="55184" spans="191:191" x14ac:dyDescent="0.2">
      <c r="GI55184" s="422"/>
    </row>
    <row r="55185" spans="191:191" x14ac:dyDescent="0.2">
      <c r="GI55185" s="422"/>
    </row>
    <row r="55186" spans="191:191" x14ac:dyDescent="0.2">
      <c r="GI55186" s="422"/>
    </row>
    <row r="55187" spans="191:191" x14ac:dyDescent="0.2">
      <c r="GI55187" s="422"/>
    </row>
    <row r="55188" spans="191:191" x14ac:dyDescent="0.2">
      <c r="GI55188" s="422"/>
    </row>
    <row r="55189" spans="191:191" x14ac:dyDescent="0.2">
      <c r="GI55189" s="422"/>
    </row>
    <row r="55190" spans="191:191" x14ac:dyDescent="0.2">
      <c r="GI55190" s="422"/>
    </row>
    <row r="55191" spans="191:191" x14ac:dyDescent="0.2">
      <c r="GI55191" s="422"/>
    </row>
    <row r="55192" spans="191:191" x14ac:dyDescent="0.2">
      <c r="GI55192" s="422"/>
    </row>
    <row r="55193" spans="191:191" x14ac:dyDescent="0.2">
      <c r="GI55193" s="422"/>
    </row>
    <row r="55194" spans="191:191" x14ac:dyDescent="0.2">
      <c r="GI55194" s="422"/>
    </row>
    <row r="55195" spans="191:191" x14ac:dyDescent="0.2">
      <c r="GI55195" s="422"/>
    </row>
    <row r="55196" spans="191:191" x14ac:dyDescent="0.2">
      <c r="GI55196" s="422"/>
    </row>
    <row r="55197" spans="191:191" x14ac:dyDescent="0.2">
      <c r="GI55197" s="422"/>
    </row>
    <row r="55198" spans="191:191" x14ac:dyDescent="0.2">
      <c r="GI55198" s="422"/>
    </row>
    <row r="55199" spans="191:191" x14ac:dyDescent="0.2">
      <c r="GI55199" s="422"/>
    </row>
    <row r="55200" spans="191:191" x14ac:dyDescent="0.2">
      <c r="GI55200" s="422"/>
    </row>
    <row r="55201" spans="191:191" x14ac:dyDescent="0.2">
      <c r="GI55201" s="422"/>
    </row>
    <row r="55202" spans="191:191" x14ac:dyDescent="0.2">
      <c r="GI55202" s="422"/>
    </row>
    <row r="55203" spans="191:191" x14ac:dyDescent="0.2">
      <c r="GI55203" s="422"/>
    </row>
    <row r="55204" spans="191:191" x14ac:dyDescent="0.2">
      <c r="GI55204" s="422"/>
    </row>
    <row r="55205" spans="191:191" x14ac:dyDescent="0.2">
      <c r="GI55205" s="422"/>
    </row>
    <row r="55206" spans="191:191" x14ac:dyDescent="0.2">
      <c r="GI55206" s="422"/>
    </row>
    <row r="55207" spans="191:191" x14ac:dyDescent="0.2">
      <c r="GI55207" s="422"/>
    </row>
    <row r="55208" spans="191:191" x14ac:dyDescent="0.2">
      <c r="GI55208" s="422"/>
    </row>
    <row r="55209" spans="191:191" x14ac:dyDescent="0.2">
      <c r="GI55209" s="422"/>
    </row>
    <row r="55210" spans="191:191" x14ac:dyDescent="0.2">
      <c r="GI55210" s="422"/>
    </row>
    <row r="55211" spans="191:191" x14ac:dyDescent="0.2">
      <c r="GI55211" s="422"/>
    </row>
    <row r="55212" spans="191:191" x14ac:dyDescent="0.2">
      <c r="GI55212" s="422"/>
    </row>
    <row r="55213" spans="191:191" x14ac:dyDescent="0.2">
      <c r="GI55213" s="422"/>
    </row>
    <row r="55214" spans="191:191" x14ac:dyDescent="0.2">
      <c r="GI55214" s="422"/>
    </row>
    <row r="55215" spans="191:191" x14ac:dyDescent="0.2">
      <c r="GI55215" s="422"/>
    </row>
    <row r="55216" spans="191:191" x14ac:dyDescent="0.2">
      <c r="GI55216" s="422"/>
    </row>
    <row r="55217" spans="191:191" x14ac:dyDescent="0.2">
      <c r="GI55217" s="422"/>
    </row>
    <row r="55218" spans="191:191" x14ac:dyDescent="0.2">
      <c r="GI55218" s="422"/>
    </row>
    <row r="55219" spans="191:191" x14ac:dyDescent="0.2">
      <c r="GI55219" s="422"/>
    </row>
    <row r="55220" spans="191:191" x14ac:dyDescent="0.2">
      <c r="GI55220" s="422"/>
    </row>
    <row r="55221" spans="191:191" x14ac:dyDescent="0.2">
      <c r="GI55221" s="422"/>
    </row>
    <row r="55222" spans="191:191" x14ac:dyDescent="0.2">
      <c r="GI55222" s="422"/>
    </row>
    <row r="55223" spans="191:191" x14ac:dyDescent="0.2">
      <c r="GI55223" s="422"/>
    </row>
    <row r="55224" spans="191:191" x14ac:dyDescent="0.2">
      <c r="GI55224" s="422"/>
    </row>
    <row r="55225" spans="191:191" x14ac:dyDescent="0.2">
      <c r="GI55225" s="422"/>
    </row>
    <row r="55226" spans="191:191" x14ac:dyDescent="0.2">
      <c r="GI55226" s="422"/>
    </row>
    <row r="55227" spans="191:191" x14ac:dyDescent="0.2">
      <c r="GI55227" s="422"/>
    </row>
    <row r="55228" spans="191:191" x14ac:dyDescent="0.2">
      <c r="GI55228" s="422"/>
    </row>
    <row r="55229" spans="191:191" x14ac:dyDescent="0.2">
      <c r="GI55229" s="422"/>
    </row>
    <row r="55230" spans="191:191" x14ac:dyDescent="0.2">
      <c r="GI55230" s="422"/>
    </row>
    <row r="55231" spans="191:191" x14ac:dyDescent="0.2">
      <c r="GI55231" s="422"/>
    </row>
    <row r="55232" spans="191:191" x14ac:dyDescent="0.2">
      <c r="GI55232" s="422"/>
    </row>
    <row r="55233" spans="191:191" x14ac:dyDescent="0.2">
      <c r="GI55233" s="422"/>
    </row>
    <row r="55234" spans="191:191" x14ac:dyDescent="0.2">
      <c r="GI55234" s="422"/>
    </row>
    <row r="55235" spans="191:191" x14ac:dyDescent="0.2">
      <c r="GI55235" s="422"/>
    </row>
    <row r="55236" spans="191:191" x14ac:dyDescent="0.2">
      <c r="GI55236" s="422"/>
    </row>
    <row r="55237" spans="191:191" x14ac:dyDescent="0.2">
      <c r="GI55237" s="422"/>
    </row>
    <row r="55238" spans="191:191" x14ac:dyDescent="0.2">
      <c r="GI55238" s="422"/>
    </row>
    <row r="55239" spans="191:191" x14ac:dyDescent="0.2">
      <c r="GI55239" s="422"/>
    </row>
    <row r="55240" spans="191:191" x14ac:dyDescent="0.2">
      <c r="GI55240" s="422"/>
    </row>
    <row r="55241" spans="191:191" x14ac:dyDescent="0.2">
      <c r="GI55241" s="422"/>
    </row>
    <row r="55242" spans="191:191" x14ac:dyDescent="0.2">
      <c r="GI55242" s="422"/>
    </row>
    <row r="55243" spans="191:191" x14ac:dyDescent="0.2">
      <c r="GI55243" s="422"/>
    </row>
    <row r="55244" spans="191:191" x14ac:dyDescent="0.2">
      <c r="GI55244" s="422"/>
    </row>
    <row r="55245" spans="191:191" x14ac:dyDescent="0.2">
      <c r="GI55245" s="422"/>
    </row>
    <row r="55246" spans="191:191" x14ac:dyDescent="0.2">
      <c r="GI55246" s="422"/>
    </row>
    <row r="55247" spans="191:191" x14ac:dyDescent="0.2">
      <c r="GI55247" s="422"/>
    </row>
    <row r="55248" spans="191:191" x14ac:dyDescent="0.2">
      <c r="GI55248" s="422"/>
    </row>
    <row r="55249" spans="191:191" x14ac:dyDescent="0.2">
      <c r="GI55249" s="422"/>
    </row>
    <row r="55250" spans="191:191" x14ac:dyDescent="0.2">
      <c r="GI55250" s="422"/>
    </row>
    <row r="55251" spans="191:191" x14ac:dyDescent="0.2">
      <c r="GI55251" s="422"/>
    </row>
    <row r="55252" spans="191:191" x14ac:dyDescent="0.2">
      <c r="GI55252" s="422"/>
    </row>
    <row r="55253" spans="191:191" x14ac:dyDescent="0.2">
      <c r="GI55253" s="422"/>
    </row>
    <row r="55254" spans="191:191" x14ac:dyDescent="0.2">
      <c r="GI55254" s="422"/>
    </row>
    <row r="55255" spans="191:191" x14ac:dyDescent="0.2">
      <c r="GI55255" s="422"/>
    </row>
    <row r="55256" spans="191:191" x14ac:dyDescent="0.2">
      <c r="GI55256" s="422"/>
    </row>
    <row r="55257" spans="191:191" x14ac:dyDescent="0.2">
      <c r="GI55257" s="422"/>
    </row>
    <row r="55258" spans="191:191" x14ac:dyDescent="0.2">
      <c r="GI55258" s="422"/>
    </row>
    <row r="55259" spans="191:191" x14ac:dyDescent="0.2">
      <c r="GI55259" s="422"/>
    </row>
    <row r="55260" spans="191:191" x14ac:dyDescent="0.2">
      <c r="GI55260" s="422"/>
    </row>
    <row r="55261" spans="191:191" x14ac:dyDescent="0.2">
      <c r="GI55261" s="422"/>
    </row>
    <row r="55262" spans="191:191" x14ac:dyDescent="0.2">
      <c r="GI55262" s="422"/>
    </row>
    <row r="55263" spans="191:191" x14ac:dyDescent="0.2">
      <c r="GI55263" s="422"/>
    </row>
    <row r="55264" spans="191:191" x14ac:dyDescent="0.2">
      <c r="GI55264" s="422"/>
    </row>
    <row r="55265" spans="191:191" x14ac:dyDescent="0.2">
      <c r="GI55265" s="422"/>
    </row>
    <row r="55266" spans="191:191" x14ac:dyDescent="0.2">
      <c r="GI55266" s="422"/>
    </row>
    <row r="55267" spans="191:191" x14ac:dyDescent="0.2">
      <c r="GI55267" s="422"/>
    </row>
    <row r="55268" spans="191:191" x14ac:dyDescent="0.2">
      <c r="GI55268" s="422"/>
    </row>
    <row r="55269" spans="191:191" x14ac:dyDescent="0.2">
      <c r="GI55269" s="422"/>
    </row>
    <row r="55270" spans="191:191" x14ac:dyDescent="0.2">
      <c r="GI55270" s="422"/>
    </row>
    <row r="55271" spans="191:191" x14ac:dyDescent="0.2">
      <c r="GI55271" s="422"/>
    </row>
    <row r="55272" spans="191:191" x14ac:dyDescent="0.2">
      <c r="GI55272" s="422"/>
    </row>
    <row r="55273" spans="191:191" x14ac:dyDescent="0.2">
      <c r="GI55273" s="422"/>
    </row>
    <row r="55274" spans="191:191" x14ac:dyDescent="0.2">
      <c r="GI55274" s="422"/>
    </row>
    <row r="55275" spans="191:191" x14ac:dyDescent="0.2">
      <c r="GI55275" s="422"/>
    </row>
    <row r="55276" spans="191:191" x14ac:dyDescent="0.2">
      <c r="GI55276" s="422"/>
    </row>
    <row r="55277" spans="191:191" x14ac:dyDescent="0.2">
      <c r="GI55277" s="422"/>
    </row>
    <row r="55278" spans="191:191" x14ac:dyDescent="0.2">
      <c r="GI55278" s="422"/>
    </row>
    <row r="55279" spans="191:191" x14ac:dyDescent="0.2">
      <c r="GI55279" s="422"/>
    </row>
    <row r="55280" spans="191:191" x14ac:dyDescent="0.2">
      <c r="GI55280" s="422"/>
    </row>
    <row r="55281" spans="191:191" x14ac:dyDescent="0.2">
      <c r="GI55281" s="422"/>
    </row>
    <row r="55282" spans="191:191" x14ac:dyDescent="0.2">
      <c r="GI55282" s="422"/>
    </row>
    <row r="55283" spans="191:191" x14ac:dyDescent="0.2">
      <c r="GI55283" s="422"/>
    </row>
    <row r="55284" spans="191:191" x14ac:dyDescent="0.2">
      <c r="GI55284" s="422"/>
    </row>
    <row r="55285" spans="191:191" x14ac:dyDescent="0.2">
      <c r="GI55285" s="422"/>
    </row>
    <row r="55286" spans="191:191" x14ac:dyDescent="0.2">
      <c r="GI55286" s="422"/>
    </row>
    <row r="55287" spans="191:191" x14ac:dyDescent="0.2">
      <c r="GI55287" s="422"/>
    </row>
    <row r="55288" spans="191:191" x14ac:dyDescent="0.2">
      <c r="GI55288" s="422"/>
    </row>
    <row r="55289" spans="191:191" x14ac:dyDescent="0.2">
      <c r="GI55289" s="422"/>
    </row>
    <row r="55290" spans="191:191" x14ac:dyDescent="0.2">
      <c r="GI55290" s="422"/>
    </row>
    <row r="55291" spans="191:191" x14ac:dyDescent="0.2">
      <c r="GI55291" s="422"/>
    </row>
    <row r="55292" spans="191:191" x14ac:dyDescent="0.2">
      <c r="GI55292" s="422"/>
    </row>
    <row r="55293" spans="191:191" x14ac:dyDescent="0.2">
      <c r="GI55293" s="422"/>
    </row>
    <row r="55294" spans="191:191" x14ac:dyDescent="0.2">
      <c r="GI55294" s="422"/>
    </row>
    <row r="55295" spans="191:191" x14ac:dyDescent="0.2">
      <c r="GI55295" s="422"/>
    </row>
    <row r="55296" spans="191:191" x14ac:dyDescent="0.2">
      <c r="GI55296" s="422"/>
    </row>
    <row r="55297" spans="191:191" x14ac:dyDescent="0.2">
      <c r="GI55297" s="422"/>
    </row>
    <row r="55298" spans="191:191" x14ac:dyDescent="0.2">
      <c r="GI55298" s="422"/>
    </row>
    <row r="55299" spans="191:191" x14ac:dyDescent="0.2">
      <c r="GI55299" s="422"/>
    </row>
    <row r="55300" spans="191:191" x14ac:dyDescent="0.2">
      <c r="GI55300" s="422"/>
    </row>
    <row r="55301" spans="191:191" x14ac:dyDescent="0.2">
      <c r="GI55301" s="422"/>
    </row>
    <row r="55302" spans="191:191" x14ac:dyDescent="0.2">
      <c r="GI55302" s="422"/>
    </row>
    <row r="55303" spans="191:191" x14ac:dyDescent="0.2">
      <c r="GI55303" s="422"/>
    </row>
    <row r="55304" spans="191:191" x14ac:dyDescent="0.2">
      <c r="GI55304" s="422"/>
    </row>
    <row r="55305" spans="191:191" x14ac:dyDescent="0.2">
      <c r="GI55305" s="422"/>
    </row>
    <row r="55306" spans="191:191" x14ac:dyDescent="0.2">
      <c r="GI55306" s="422"/>
    </row>
    <row r="55307" spans="191:191" x14ac:dyDescent="0.2">
      <c r="GI55307" s="422"/>
    </row>
    <row r="55308" spans="191:191" x14ac:dyDescent="0.2">
      <c r="GI55308" s="422"/>
    </row>
    <row r="55309" spans="191:191" x14ac:dyDescent="0.2">
      <c r="GI55309" s="422"/>
    </row>
    <row r="55310" spans="191:191" x14ac:dyDescent="0.2">
      <c r="GI55310" s="422"/>
    </row>
    <row r="55311" spans="191:191" x14ac:dyDescent="0.2">
      <c r="GI55311" s="422"/>
    </row>
    <row r="55312" spans="191:191" x14ac:dyDescent="0.2">
      <c r="GI55312" s="422"/>
    </row>
    <row r="55313" spans="191:191" x14ac:dyDescent="0.2">
      <c r="GI55313" s="422"/>
    </row>
    <row r="55314" spans="191:191" x14ac:dyDescent="0.2">
      <c r="GI55314" s="422"/>
    </row>
    <row r="55315" spans="191:191" x14ac:dyDescent="0.2">
      <c r="GI55315" s="422"/>
    </row>
    <row r="55316" spans="191:191" x14ac:dyDescent="0.2">
      <c r="GI55316" s="422"/>
    </row>
    <row r="55317" spans="191:191" x14ac:dyDescent="0.2">
      <c r="GI55317" s="422"/>
    </row>
    <row r="55318" spans="191:191" x14ac:dyDescent="0.2">
      <c r="GI55318" s="422"/>
    </row>
    <row r="55319" spans="191:191" x14ac:dyDescent="0.2">
      <c r="GI55319" s="422"/>
    </row>
    <row r="55320" spans="191:191" x14ac:dyDescent="0.2">
      <c r="GI55320" s="422"/>
    </row>
    <row r="55321" spans="191:191" x14ac:dyDescent="0.2">
      <c r="GI55321" s="422"/>
    </row>
    <row r="55322" spans="191:191" x14ac:dyDescent="0.2">
      <c r="GI55322" s="422"/>
    </row>
    <row r="55323" spans="191:191" x14ac:dyDescent="0.2">
      <c r="GI55323" s="422"/>
    </row>
    <row r="55324" spans="191:191" x14ac:dyDescent="0.2">
      <c r="GI55324" s="422"/>
    </row>
    <row r="55325" spans="191:191" x14ac:dyDescent="0.2">
      <c r="GI55325" s="422"/>
    </row>
    <row r="55326" spans="191:191" x14ac:dyDescent="0.2">
      <c r="GI55326" s="422"/>
    </row>
    <row r="55327" spans="191:191" x14ac:dyDescent="0.2">
      <c r="GI55327" s="422"/>
    </row>
    <row r="55328" spans="191:191" x14ac:dyDescent="0.2">
      <c r="GI55328" s="422"/>
    </row>
    <row r="55329" spans="191:191" x14ac:dyDescent="0.2">
      <c r="GI55329" s="422"/>
    </row>
    <row r="55330" spans="191:191" x14ac:dyDescent="0.2">
      <c r="GI55330" s="422"/>
    </row>
    <row r="55331" spans="191:191" x14ac:dyDescent="0.2">
      <c r="GI55331" s="422"/>
    </row>
    <row r="55332" spans="191:191" x14ac:dyDescent="0.2">
      <c r="GI55332" s="422"/>
    </row>
    <row r="55333" spans="191:191" x14ac:dyDescent="0.2">
      <c r="GI55333" s="422"/>
    </row>
    <row r="55334" spans="191:191" x14ac:dyDescent="0.2">
      <c r="GI55334" s="422"/>
    </row>
    <row r="55335" spans="191:191" x14ac:dyDescent="0.2">
      <c r="GI55335" s="422"/>
    </row>
    <row r="55336" spans="191:191" x14ac:dyDescent="0.2">
      <c r="GI55336" s="422"/>
    </row>
    <row r="55337" spans="191:191" x14ac:dyDescent="0.2">
      <c r="GI55337" s="422"/>
    </row>
    <row r="55338" spans="191:191" x14ac:dyDescent="0.2">
      <c r="GI55338" s="422"/>
    </row>
    <row r="55339" spans="191:191" x14ac:dyDescent="0.2">
      <c r="GI55339" s="422"/>
    </row>
    <row r="55340" spans="191:191" x14ac:dyDescent="0.2">
      <c r="GI55340" s="422"/>
    </row>
    <row r="55341" spans="191:191" x14ac:dyDescent="0.2">
      <c r="GI55341" s="422"/>
    </row>
    <row r="55342" spans="191:191" x14ac:dyDescent="0.2">
      <c r="GI55342" s="422"/>
    </row>
    <row r="55343" spans="191:191" x14ac:dyDescent="0.2">
      <c r="GI55343" s="422"/>
    </row>
    <row r="55344" spans="191:191" x14ac:dyDescent="0.2">
      <c r="GI55344" s="422"/>
    </row>
    <row r="55345" spans="191:191" x14ac:dyDescent="0.2">
      <c r="GI55345" s="422"/>
    </row>
    <row r="55346" spans="191:191" x14ac:dyDescent="0.2">
      <c r="GI55346" s="422"/>
    </row>
    <row r="55347" spans="191:191" x14ac:dyDescent="0.2">
      <c r="GI55347" s="422"/>
    </row>
    <row r="55348" spans="191:191" x14ac:dyDescent="0.2">
      <c r="GI55348" s="422"/>
    </row>
    <row r="55349" spans="191:191" x14ac:dyDescent="0.2">
      <c r="GI55349" s="422"/>
    </row>
    <row r="55350" spans="191:191" x14ac:dyDescent="0.2">
      <c r="GI55350" s="422"/>
    </row>
    <row r="55351" spans="191:191" x14ac:dyDescent="0.2">
      <c r="GI55351" s="422"/>
    </row>
    <row r="55352" spans="191:191" x14ac:dyDescent="0.2">
      <c r="GI55352" s="422"/>
    </row>
    <row r="55353" spans="191:191" x14ac:dyDescent="0.2">
      <c r="GI55353" s="422"/>
    </row>
    <row r="55354" spans="191:191" x14ac:dyDescent="0.2">
      <c r="GI55354" s="422"/>
    </row>
    <row r="55355" spans="191:191" x14ac:dyDescent="0.2">
      <c r="GI55355" s="422"/>
    </row>
    <row r="55356" spans="191:191" x14ac:dyDescent="0.2">
      <c r="GI55356" s="422"/>
    </row>
    <row r="55357" spans="191:191" x14ac:dyDescent="0.2">
      <c r="GI55357" s="422"/>
    </row>
    <row r="55358" spans="191:191" x14ac:dyDescent="0.2">
      <c r="GI55358" s="422"/>
    </row>
    <row r="55359" spans="191:191" x14ac:dyDescent="0.2">
      <c r="GI55359" s="422"/>
    </row>
    <row r="55360" spans="191:191" x14ac:dyDescent="0.2">
      <c r="GI55360" s="422"/>
    </row>
    <row r="55361" spans="191:191" x14ac:dyDescent="0.2">
      <c r="GI55361" s="422"/>
    </row>
    <row r="55362" spans="191:191" x14ac:dyDescent="0.2">
      <c r="GI55362" s="422"/>
    </row>
    <row r="55363" spans="191:191" x14ac:dyDescent="0.2">
      <c r="GI55363" s="422"/>
    </row>
    <row r="55364" spans="191:191" x14ac:dyDescent="0.2">
      <c r="GI55364" s="422"/>
    </row>
    <row r="55365" spans="191:191" x14ac:dyDescent="0.2">
      <c r="GI55365" s="422"/>
    </row>
    <row r="55366" spans="191:191" x14ac:dyDescent="0.2">
      <c r="GI55366" s="422"/>
    </row>
    <row r="55367" spans="191:191" x14ac:dyDescent="0.2">
      <c r="GI55367" s="422"/>
    </row>
    <row r="55368" spans="191:191" x14ac:dyDescent="0.2">
      <c r="GI55368" s="422"/>
    </row>
    <row r="55369" spans="191:191" x14ac:dyDescent="0.2">
      <c r="GI55369" s="422"/>
    </row>
    <row r="55370" spans="191:191" x14ac:dyDescent="0.2">
      <c r="GI55370" s="422"/>
    </row>
    <row r="55371" spans="191:191" x14ac:dyDescent="0.2">
      <c r="GI55371" s="422"/>
    </row>
    <row r="55372" spans="191:191" x14ac:dyDescent="0.2">
      <c r="GI55372" s="422"/>
    </row>
    <row r="55373" spans="191:191" x14ac:dyDescent="0.2">
      <c r="GI55373" s="422"/>
    </row>
    <row r="55374" spans="191:191" x14ac:dyDescent="0.2">
      <c r="GI55374" s="422"/>
    </row>
    <row r="55375" spans="191:191" x14ac:dyDescent="0.2">
      <c r="GI55375" s="422"/>
    </row>
    <row r="55376" spans="191:191" x14ac:dyDescent="0.2">
      <c r="GI55376" s="422"/>
    </row>
    <row r="55377" spans="191:191" x14ac:dyDescent="0.2">
      <c r="GI55377" s="422"/>
    </row>
    <row r="55378" spans="191:191" x14ac:dyDescent="0.2">
      <c r="GI55378" s="422"/>
    </row>
    <row r="55379" spans="191:191" x14ac:dyDescent="0.2">
      <c r="GI55379" s="422"/>
    </row>
    <row r="55380" spans="191:191" x14ac:dyDescent="0.2">
      <c r="GI55380" s="422"/>
    </row>
    <row r="55381" spans="191:191" x14ac:dyDescent="0.2">
      <c r="GI55381" s="422"/>
    </row>
    <row r="55382" spans="191:191" x14ac:dyDescent="0.2">
      <c r="GI55382" s="422"/>
    </row>
    <row r="55383" spans="191:191" x14ac:dyDescent="0.2">
      <c r="GI55383" s="422"/>
    </row>
    <row r="55384" spans="191:191" x14ac:dyDescent="0.2">
      <c r="GI55384" s="422"/>
    </row>
    <row r="55385" spans="191:191" x14ac:dyDescent="0.2">
      <c r="GI55385" s="422"/>
    </row>
    <row r="55386" spans="191:191" x14ac:dyDescent="0.2">
      <c r="GI55386" s="422"/>
    </row>
    <row r="55387" spans="191:191" x14ac:dyDescent="0.2">
      <c r="GI55387" s="422"/>
    </row>
    <row r="55388" spans="191:191" x14ac:dyDescent="0.2">
      <c r="GI55388" s="422"/>
    </row>
    <row r="55389" spans="191:191" x14ac:dyDescent="0.2">
      <c r="GI55389" s="422"/>
    </row>
    <row r="55390" spans="191:191" x14ac:dyDescent="0.2">
      <c r="GI55390" s="422"/>
    </row>
    <row r="55391" spans="191:191" x14ac:dyDescent="0.2">
      <c r="GI55391" s="422"/>
    </row>
    <row r="55392" spans="191:191" x14ac:dyDescent="0.2">
      <c r="GI55392" s="422"/>
    </row>
    <row r="55393" spans="191:191" x14ac:dyDescent="0.2">
      <c r="GI55393" s="422"/>
    </row>
    <row r="55394" spans="191:191" x14ac:dyDescent="0.2">
      <c r="GI55394" s="422"/>
    </row>
    <row r="55395" spans="191:191" x14ac:dyDescent="0.2">
      <c r="GI55395" s="422"/>
    </row>
    <row r="55396" spans="191:191" x14ac:dyDescent="0.2">
      <c r="GI55396" s="422"/>
    </row>
    <row r="55397" spans="191:191" x14ac:dyDescent="0.2">
      <c r="GI55397" s="422"/>
    </row>
    <row r="55398" spans="191:191" x14ac:dyDescent="0.2">
      <c r="GI55398" s="422"/>
    </row>
    <row r="55399" spans="191:191" x14ac:dyDescent="0.2">
      <c r="GI55399" s="422"/>
    </row>
    <row r="55400" spans="191:191" x14ac:dyDescent="0.2">
      <c r="GI55400" s="422"/>
    </row>
    <row r="55401" spans="191:191" x14ac:dyDescent="0.2">
      <c r="GI55401" s="422"/>
    </row>
    <row r="55402" spans="191:191" x14ac:dyDescent="0.2">
      <c r="GI55402" s="422"/>
    </row>
    <row r="55403" spans="191:191" x14ac:dyDescent="0.2">
      <c r="GI55403" s="422"/>
    </row>
    <row r="55404" spans="191:191" x14ac:dyDescent="0.2">
      <c r="GI55404" s="422"/>
    </row>
    <row r="55405" spans="191:191" x14ac:dyDescent="0.2">
      <c r="GI55405" s="422"/>
    </row>
    <row r="55406" spans="191:191" x14ac:dyDescent="0.2">
      <c r="GI55406" s="422"/>
    </row>
    <row r="55407" spans="191:191" x14ac:dyDescent="0.2">
      <c r="GI55407" s="422"/>
    </row>
    <row r="55408" spans="191:191" x14ac:dyDescent="0.2">
      <c r="GI55408" s="422"/>
    </row>
    <row r="55409" spans="191:191" x14ac:dyDescent="0.2">
      <c r="GI55409" s="422"/>
    </row>
    <row r="55410" spans="191:191" x14ac:dyDescent="0.2">
      <c r="GI55410" s="422"/>
    </row>
    <row r="55411" spans="191:191" x14ac:dyDescent="0.2">
      <c r="GI55411" s="422"/>
    </row>
    <row r="55412" spans="191:191" x14ac:dyDescent="0.2">
      <c r="GI55412" s="422"/>
    </row>
    <row r="55413" spans="191:191" x14ac:dyDescent="0.2">
      <c r="GI55413" s="422"/>
    </row>
    <row r="55414" spans="191:191" x14ac:dyDescent="0.2">
      <c r="GI55414" s="422"/>
    </row>
    <row r="55415" spans="191:191" x14ac:dyDescent="0.2">
      <c r="GI55415" s="422"/>
    </row>
    <row r="55416" spans="191:191" x14ac:dyDescent="0.2">
      <c r="GI55416" s="422"/>
    </row>
    <row r="55417" spans="191:191" x14ac:dyDescent="0.2">
      <c r="GI55417" s="422"/>
    </row>
    <row r="55418" spans="191:191" x14ac:dyDescent="0.2">
      <c r="GI55418" s="422"/>
    </row>
    <row r="55419" spans="191:191" x14ac:dyDescent="0.2">
      <c r="GI55419" s="422"/>
    </row>
    <row r="55420" spans="191:191" x14ac:dyDescent="0.2">
      <c r="GI55420" s="422"/>
    </row>
    <row r="55421" spans="191:191" x14ac:dyDescent="0.2">
      <c r="GI55421" s="422"/>
    </row>
    <row r="55422" spans="191:191" x14ac:dyDescent="0.2">
      <c r="GI55422" s="422"/>
    </row>
    <row r="55423" spans="191:191" x14ac:dyDescent="0.2">
      <c r="GI55423" s="422"/>
    </row>
    <row r="55424" spans="191:191" x14ac:dyDescent="0.2">
      <c r="GI55424" s="422"/>
    </row>
    <row r="55425" spans="191:191" x14ac:dyDescent="0.2">
      <c r="GI55425" s="422"/>
    </row>
    <row r="55426" spans="191:191" x14ac:dyDescent="0.2">
      <c r="GI55426" s="422"/>
    </row>
    <row r="55427" spans="191:191" x14ac:dyDescent="0.2">
      <c r="GI55427" s="422"/>
    </row>
    <row r="55428" spans="191:191" x14ac:dyDescent="0.2">
      <c r="GI55428" s="422"/>
    </row>
    <row r="55429" spans="191:191" x14ac:dyDescent="0.2">
      <c r="GI55429" s="422"/>
    </row>
    <row r="55430" spans="191:191" x14ac:dyDescent="0.2">
      <c r="GI55430" s="422"/>
    </row>
    <row r="55431" spans="191:191" x14ac:dyDescent="0.2">
      <c r="GI55431" s="422"/>
    </row>
    <row r="55432" spans="191:191" x14ac:dyDescent="0.2">
      <c r="GI55432" s="422"/>
    </row>
    <row r="55433" spans="191:191" x14ac:dyDescent="0.2">
      <c r="GI55433" s="422"/>
    </row>
    <row r="55434" spans="191:191" x14ac:dyDescent="0.2">
      <c r="GI55434" s="422"/>
    </row>
    <row r="55435" spans="191:191" x14ac:dyDescent="0.2">
      <c r="GI55435" s="422"/>
    </row>
    <row r="55436" spans="191:191" x14ac:dyDescent="0.2">
      <c r="GI55436" s="422"/>
    </row>
    <row r="55437" spans="191:191" x14ac:dyDescent="0.2">
      <c r="GI55437" s="422"/>
    </row>
    <row r="55438" spans="191:191" x14ac:dyDescent="0.2">
      <c r="GI55438" s="422"/>
    </row>
    <row r="55439" spans="191:191" x14ac:dyDescent="0.2">
      <c r="GI55439" s="422"/>
    </row>
    <row r="55440" spans="191:191" x14ac:dyDescent="0.2">
      <c r="GI55440" s="422"/>
    </row>
    <row r="55441" spans="191:191" x14ac:dyDescent="0.2">
      <c r="GI55441" s="422"/>
    </row>
    <row r="55442" spans="191:191" x14ac:dyDescent="0.2">
      <c r="GI55442" s="422"/>
    </row>
    <row r="55443" spans="191:191" x14ac:dyDescent="0.2">
      <c r="GI55443" s="422"/>
    </row>
    <row r="55444" spans="191:191" x14ac:dyDescent="0.2">
      <c r="GI55444" s="422"/>
    </row>
    <row r="55445" spans="191:191" x14ac:dyDescent="0.2">
      <c r="GI55445" s="422"/>
    </row>
    <row r="55446" spans="191:191" x14ac:dyDescent="0.2">
      <c r="GI55446" s="422"/>
    </row>
    <row r="55447" spans="191:191" x14ac:dyDescent="0.2">
      <c r="GI55447" s="422"/>
    </row>
    <row r="55448" spans="191:191" x14ac:dyDescent="0.2">
      <c r="GI55448" s="422"/>
    </row>
    <row r="55449" spans="191:191" x14ac:dyDescent="0.2">
      <c r="GI55449" s="422"/>
    </row>
    <row r="55450" spans="191:191" x14ac:dyDescent="0.2">
      <c r="GI55450" s="422"/>
    </row>
    <row r="55451" spans="191:191" x14ac:dyDescent="0.2">
      <c r="GI55451" s="422"/>
    </row>
    <row r="55452" spans="191:191" x14ac:dyDescent="0.2">
      <c r="GI55452" s="422"/>
    </row>
    <row r="55453" spans="191:191" x14ac:dyDescent="0.2">
      <c r="GI55453" s="422"/>
    </row>
    <row r="55454" spans="191:191" x14ac:dyDescent="0.2">
      <c r="GI55454" s="422"/>
    </row>
    <row r="55455" spans="191:191" x14ac:dyDescent="0.2">
      <c r="GI55455" s="422"/>
    </row>
    <row r="55456" spans="191:191" x14ac:dyDescent="0.2">
      <c r="GI55456" s="422"/>
    </row>
    <row r="55457" spans="191:191" x14ac:dyDescent="0.2">
      <c r="GI55457" s="422"/>
    </row>
    <row r="55458" spans="191:191" x14ac:dyDescent="0.2">
      <c r="GI55458" s="422"/>
    </row>
    <row r="55459" spans="191:191" x14ac:dyDescent="0.2">
      <c r="GI55459" s="422"/>
    </row>
    <row r="55460" spans="191:191" x14ac:dyDescent="0.2">
      <c r="GI55460" s="422"/>
    </row>
    <row r="55461" spans="191:191" x14ac:dyDescent="0.2">
      <c r="GI55461" s="422"/>
    </row>
    <row r="55462" spans="191:191" x14ac:dyDescent="0.2">
      <c r="GI55462" s="422"/>
    </row>
    <row r="55463" spans="191:191" x14ac:dyDescent="0.2">
      <c r="GI55463" s="422"/>
    </row>
    <row r="55464" spans="191:191" x14ac:dyDescent="0.2">
      <c r="GI55464" s="422"/>
    </row>
    <row r="55465" spans="191:191" x14ac:dyDescent="0.2">
      <c r="GI55465" s="422"/>
    </row>
    <row r="55466" spans="191:191" x14ac:dyDescent="0.2">
      <c r="GI55466" s="422"/>
    </row>
    <row r="55467" spans="191:191" x14ac:dyDescent="0.2">
      <c r="GI55467" s="422"/>
    </row>
    <row r="55468" spans="191:191" x14ac:dyDescent="0.2">
      <c r="GI55468" s="422"/>
    </row>
    <row r="55469" spans="191:191" x14ac:dyDescent="0.2">
      <c r="GI55469" s="422"/>
    </row>
    <row r="55470" spans="191:191" x14ac:dyDescent="0.2">
      <c r="GI55470" s="422"/>
    </row>
    <row r="55471" spans="191:191" x14ac:dyDescent="0.2">
      <c r="GI55471" s="422"/>
    </row>
    <row r="55472" spans="191:191" x14ac:dyDescent="0.2">
      <c r="GI55472" s="422"/>
    </row>
    <row r="55473" spans="191:191" x14ac:dyDescent="0.2">
      <c r="GI55473" s="422"/>
    </row>
    <row r="55474" spans="191:191" x14ac:dyDescent="0.2">
      <c r="GI55474" s="422"/>
    </row>
    <row r="55475" spans="191:191" x14ac:dyDescent="0.2">
      <c r="GI55475" s="422"/>
    </row>
    <row r="55476" spans="191:191" x14ac:dyDescent="0.2">
      <c r="GI55476" s="422"/>
    </row>
    <row r="55477" spans="191:191" x14ac:dyDescent="0.2">
      <c r="GI55477" s="422"/>
    </row>
    <row r="55478" spans="191:191" x14ac:dyDescent="0.2">
      <c r="GI55478" s="422"/>
    </row>
    <row r="55479" spans="191:191" x14ac:dyDescent="0.2">
      <c r="GI55479" s="422"/>
    </row>
    <row r="55480" spans="191:191" x14ac:dyDescent="0.2">
      <c r="GI55480" s="422"/>
    </row>
    <row r="55481" spans="191:191" x14ac:dyDescent="0.2">
      <c r="GI55481" s="422"/>
    </row>
    <row r="55482" spans="191:191" x14ac:dyDescent="0.2">
      <c r="GI55482" s="422"/>
    </row>
    <row r="55483" spans="191:191" x14ac:dyDescent="0.2">
      <c r="GI55483" s="422"/>
    </row>
    <row r="55484" spans="191:191" x14ac:dyDescent="0.2">
      <c r="GI55484" s="422"/>
    </row>
    <row r="55485" spans="191:191" x14ac:dyDescent="0.2">
      <c r="GI55485" s="422"/>
    </row>
    <row r="55486" spans="191:191" x14ac:dyDescent="0.2">
      <c r="GI55486" s="422"/>
    </row>
    <row r="55487" spans="191:191" x14ac:dyDescent="0.2">
      <c r="GI55487" s="422"/>
    </row>
    <row r="55488" spans="191:191" x14ac:dyDescent="0.2">
      <c r="GI55488" s="422"/>
    </row>
    <row r="55489" spans="191:191" x14ac:dyDescent="0.2">
      <c r="GI55489" s="422"/>
    </row>
    <row r="55490" spans="191:191" x14ac:dyDescent="0.2">
      <c r="GI55490" s="422"/>
    </row>
    <row r="55491" spans="191:191" x14ac:dyDescent="0.2">
      <c r="GI55491" s="422"/>
    </row>
    <row r="55492" spans="191:191" x14ac:dyDescent="0.2">
      <c r="GI55492" s="422"/>
    </row>
    <row r="55493" spans="191:191" x14ac:dyDescent="0.2">
      <c r="GI55493" s="422"/>
    </row>
    <row r="55494" spans="191:191" x14ac:dyDescent="0.2">
      <c r="GI55494" s="422"/>
    </row>
    <row r="55495" spans="191:191" x14ac:dyDescent="0.2">
      <c r="GI55495" s="422"/>
    </row>
    <row r="55496" spans="191:191" x14ac:dyDescent="0.2">
      <c r="GI55496" s="422"/>
    </row>
    <row r="55497" spans="191:191" x14ac:dyDescent="0.2">
      <c r="GI55497" s="422"/>
    </row>
    <row r="55498" spans="191:191" x14ac:dyDescent="0.2">
      <c r="GI55498" s="422"/>
    </row>
    <row r="55499" spans="191:191" x14ac:dyDescent="0.2">
      <c r="GI55499" s="422"/>
    </row>
    <row r="55500" spans="191:191" x14ac:dyDescent="0.2">
      <c r="GI55500" s="422"/>
    </row>
    <row r="55501" spans="191:191" x14ac:dyDescent="0.2">
      <c r="GI55501" s="422"/>
    </row>
    <row r="55502" spans="191:191" x14ac:dyDescent="0.2">
      <c r="GI55502" s="422"/>
    </row>
    <row r="55503" spans="191:191" x14ac:dyDescent="0.2">
      <c r="GI55503" s="422"/>
    </row>
    <row r="55504" spans="191:191" x14ac:dyDescent="0.2">
      <c r="GI55504" s="422"/>
    </row>
    <row r="55505" spans="191:191" x14ac:dyDescent="0.2">
      <c r="GI55505" s="422"/>
    </row>
    <row r="55506" spans="191:191" x14ac:dyDescent="0.2">
      <c r="GI55506" s="422"/>
    </row>
    <row r="55507" spans="191:191" x14ac:dyDescent="0.2">
      <c r="GI55507" s="422"/>
    </row>
    <row r="55508" spans="191:191" x14ac:dyDescent="0.2">
      <c r="GI55508" s="422"/>
    </row>
    <row r="55509" spans="191:191" x14ac:dyDescent="0.2">
      <c r="GI55509" s="422"/>
    </row>
    <row r="55510" spans="191:191" x14ac:dyDescent="0.2">
      <c r="GI55510" s="422"/>
    </row>
    <row r="55511" spans="191:191" x14ac:dyDescent="0.2">
      <c r="GI55511" s="422"/>
    </row>
    <row r="55512" spans="191:191" x14ac:dyDescent="0.2">
      <c r="GI55512" s="422"/>
    </row>
    <row r="55513" spans="191:191" x14ac:dyDescent="0.2">
      <c r="GI55513" s="422"/>
    </row>
    <row r="55514" spans="191:191" x14ac:dyDescent="0.2">
      <c r="GI55514" s="422"/>
    </row>
    <row r="55515" spans="191:191" x14ac:dyDescent="0.2">
      <c r="GI55515" s="422"/>
    </row>
    <row r="55516" spans="191:191" x14ac:dyDescent="0.2">
      <c r="GI55516" s="422"/>
    </row>
    <row r="55517" spans="191:191" x14ac:dyDescent="0.2">
      <c r="GI55517" s="422"/>
    </row>
    <row r="55518" spans="191:191" x14ac:dyDescent="0.2">
      <c r="GI55518" s="422"/>
    </row>
    <row r="55519" spans="191:191" x14ac:dyDescent="0.2">
      <c r="GI55519" s="422"/>
    </row>
    <row r="55520" spans="191:191" x14ac:dyDescent="0.2">
      <c r="GI55520" s="422"/>
    </row>
    <row r="55521" spans="191:191" x14ac:dyDescent="0.2">
      <c r="GI55521" s="422"/>
    </row>
    <row r="55522" spans="191:191" x14ac:dyDescent="0.2">
      <c r="GI55522" s="422"/>
    </row>
    <row r="55523" spans="191:191" x14ac:dyDescent="0.2">
      <c r="GI55523" s="422"/>
    </row>
    <row r="55524" spans="191:191" x14ac:dyDescent="0.2">
      <c r="GI55524" s="422"/>
    </row>
    <row r="55525" spans="191:191" x14ac:dyDescent="0.2">
      <c r="GI55525" s="422"/>
    </row>
    <row r="55526" spans="191:191" x14ac:dyDescent="0.2">
      <c r="GI55526" s="422"/>
    </row>
    <row r="55527" spans="191:191" x14ac:dyDescent="0.2">
      <c r="GI55527" s="422"/>
    </row>
    <row r="55528" spans="191:191" x14ac:dyDescent="0.2">
      <c r="GI55528" s="422"/>
    </row>
    <row r="55529" spans="191:191" x14ac:dyDescent="0.2">
      <c r="GI55529" s="422"/>
    </row>
    <row r="55530" spans="191:191" x14ac:dyDescent="0.2">
      <c r="GI55530" s="422"/>
    </row>
    <row r="55531" spans="191:191" x14ac:dyDescent="0.2">
      <c r="GI55531" s="422"/>
    </row>
    <row r="55532" spans="191:191" x14ac:dyDescent="0.2">
      <c r="GI55532" s="422"/>
    </row>
    <row r="55533" spans="191:191" x14ac:dyDescent="0.2">
      <c r="GI55533" s="422"/>
    </row>
    <row r="55534" spans="191:191" x14ac:dyDescent="0.2">
      <c r="GI55534" s="422"/>
    </row>
    <row r="55535" spans="191:191" x14ac:dyDescent="0.2">
      <c r="GI55535" s="422"/>
    </row>
    <row r="55536" spans="191:191" x14ac:dyDescent="0.2">
      <c r="GI55536" s="422"/>
    </row>
    <row r="55537" spans="191:191" x14ac:dyDescent="0.2">
      <c r="GI55537" s="422"/>
    </row>
    <row r="55538" spans="191:191" x14ac:dyDescent="0.2">
      <c r="GI55538" s="422"/>
    </row>
    <row r="55539" spans="191:191" x14ac:dyDescent="0.2">
      <c r="GI55539" s="422"/>
    </row>
    <row r="55540" spans="191:191" x14ac:dyDescent="0.2">
      <c r="GI55540" s="422"/>
    </row>
    <row r="55541" spans="191:191" x14ac:dyDescent="0.2">
      <c r="GI55541" s="422"/>
    </row>
    <row r="55542" spans="191:191" x14ac:dyDescent="0.2">
      <c r="GI55542" s="422"/>
    </row>
    <row r="55543" spans="191:191" x14ac:dyDescent="0.2">
      <c r="GI55543" s="422"/>
    </row>
    <row r="55544" spans="191:191" x14ac:dyDescent="0.2">
      <c r="GI55544" s="422"/>
    </row>
    <row r="55545" spans="191:191" x14ac:dyDescent="0.2">
      <c r="GI55545" s="422"/>
    </row>
    <row r="55546" spans="191:191" x14ac:dyDescent="0.2">
      <c r="GI55546" s="422"/>
    </row>
    <row r="55547" spans="191:191" x14ac:dyDescent="0.2">
      <c r="GI55547" s="422"/>
    </row>
    <row r="55548" spans="191:191" x14ac:dyDescent="0.2">
      <c r="GI55548" s="422"/>
    </row>
    <row r="55549" spans="191:191" x14ac:dyDescent="0.2">
      <c r="GI55549" s="422"/>
    </row>
    <row r="55550" spans="191:191" x14ac:dyDescent="0.2">
      <c r="GI55550" s="422"/>
    </row>
    <row r="55551" spans="191:191" x14ac:dyDescent="0.2">
      <c r="GI55551" s="422"/>
    </row>
    <row r="55552" spans="191:191" x14ac:dyDescent="0.2">
      <c r="GI55552" s="422"/>
    </row>
    <row r="55553" spans="191:191" x14ac:dyDescent="0.2">
      <c r="GI55553" s="422"/>
    </row>
    <row r="55554" spans="191:191" x14ac:dyDescent="0.2">
      <c r="GI55554" s="422"/>
    </row>
    <row r="55555" spans="191:191" x14ac:dyDescent="0.2">
      <c r="GI55555" s="422"/>
    </row>
    <row r="55556" spans="191:191" x14ac:dyDescent="0.2">
      <c r="GI55556" s="422"/>
    </row>
    <row r="55557" spans="191:191" x14ac:dyDescent="0.2">
      <c r="GI55557" s="422"/>
    </row>
    <row r="55558" spans="191:191" x14ac:dyDescent="0.2">
      <c r="GI55558" s="422"/>
    </row>
    <row r="55559" spans="191:191" x14ac:dyDescent="0.2">
      <c r="GI55559" s="422"/>
    </row>
    <row r="55560" spans="191:191" x14ac:dyDescent="0.2">
      <c r="GI55560" s="422"/>
    </row>
    <row r="55561" spans="191:191" x14ac:dyDescent="0.2">
      <c r="GI55561" s="422"/>
    </row>
    <row r="55562" spans="191:191" x14ac:dyDescent="0.2">
      <c r="GI55562" s="422"/>
    </row>
    <row r="55563" spans="191:191" x14ac:dyDescent="0.2">
      <c r="GI55563" s="422"/>
    </row>
    <row r="55564" spans="191:191" x14ac:dyDescent="0.2">
      <c r="GI55564" s="422"/>
    </row>
    <row r="55565" spans="191:191" x14ac:dyDescent="0.2">
      <c r="GI55565" s="422"/>
    </row>
    <row r="55566" spans="191:191" x14ac:dyDescent="0.2">
      <c r="GI55566" s="422"/>
    </row>
    <row r="55567" spans="191:191" x14ac:dyDescent="0.2">
      <c r="GI55567" s="422"/>
    </row>
    <row r="55568" spans="191:191" x14ac:dyDescent="0.2">
      <c r="GI55568" s="422"/>
    </row>
    <row r="55569" spans="191:191" x14ac:dyDescent="0.2">
      <c r="GI55569" s="422"/>
    </row>
    <row r="55570" spans="191:191" x14ac:dyDescent="0.2">
      <c r="GI55570" s="422"/>
    </row>
    <row r="55571" spans="191:191" x14ac:dyDescent="0.2">
      <c r="GI55571" s="422"/>
    </row>
    <row r="55572" spans="191:191" x14ac:dyDescent="0.2">
      <c r="GI55572" s="422"/>
    </row>
    <row r="55573" spans="191:191" x14ac:dyDescent="0.2">
      <c r="GI55573" s="422"/>
    </row>
    <row r="55574" spans="191:191" x14ac:dyDescent="0.2">
      <c r="GI55574" s="422"/>
    </row>
    <row r="55575" spans="191:191" x14ac:dyDescent="0.2">
      <c r="GI55575" s="422"/>
    </row>
    <row r="55576" spans="191:191" x14ac:dyDescent="0.2">
      <c r="GI55576" s="422"/>
    </row>
    <row r="55577" spans="191:191" x14ac:dyDescent="0.2">
      <c r="GI55577" s="422"/>
    </row>
    <row r="55578" spans="191:191" x14ac:dyDescent="0.2">
      <c r="GI55578" s="422"/>
    </row>
    <row r="55579" spans="191:191" x14ac:dyDescent="0.2">
      <c r="GI55579" s="422"/>
    </row>
    <row r="55580" spans="191:191" x14ac:dyDescent="0.2">
      <c r="GI55580" s="422"/>
    </row>
    <row r="55581" spans="191:191" x14ac:dyDescent="0.2">
      <c r="GI55581" s="422"/>
    </row>
    <row r="55582" spans="191:191" x14ac:dyDescent="0.2">
      <c r="GI55582" s="422"/>
    </row>
    <row r="55583" spans="191:191" x14ac:dyDescent="0.2">
      <c r="GI55583" s="422"/>
    </row>
    <row r="55584" spans="191:191" x14ac:dyDescent="0.2">
      <c r="GI55584" s="422"/>
    </row>
    <row r="55585" spans="191:191" x14ac:dyDescent="0.2">
      <c r="GI55585" s="422"/>
    </row>
    <row r="55586" spans="191:191" x14ac:dyDescent="0.2">
      <c r="GI55586" s="422"/>
    </row>
    <row r="55587" spans="191:191" x14ac:dyDescent="0.2">
      <c r="GI55587" s="422"/>
    </row>
    <row r="55588" spans="191:191" x14ac:dyDescent="0.2">
      <c r="GI55588" s="422"/>
    </row>
    <row r="55589" spans="191:191" x14ac:dyDescent="0.2">
      <c r="GI55589" s="422"/>
    </row>
    <row r="55590" spans="191:191" x14ac:dyDescent="0.2">
      <c r="GI55590" s="422"/>
    </row>
    <row r="55591" spans="191:191" x14ac:dyDescent="0.2">
      <c r="GI55591" s="422"/>
    </row>
    <row r="55592" spans="191:191" x14ac:dyDescent="0.2">
      <c r="GI55592" s="422"/>
    </row>
    <row r="55593" spans="191:191" x14ac:dyDescent="0.2">
      <c r="GI55593" s="422"/>
    </row>
    <row r="55594" spans="191:191" x14ac:dyDescent="0.2">
      <c r="GI55594" s="422"/>
    </row>
    <row r="55595" spans="191:191" x14ac:dyDescent="0.2">
      <c r="GI55595" s="422"/>
    </row>
    <row r="55596" spans="191:191" x14ac:dyDescent="0.2">
      <c r="GI55596" s="422"/>
    </row>
    <row r="55597" spans="191:191" x14ac:dyDescent="0.2">
      <c r="GI55597" s="422"/>
    </row>
    <row r="55598" spans="191:191" x14ac:dyDescent="0.2">
      <c r="GI55598" s="422"/>
    </row>
    <row r="55599" spans="191:191" x14ac:dyDescent="0.2">
      <c r="GI55599" s="422"/>
    </row>
    <row r="55600" spans="191:191" x14ac:dyDescent="0.2">
      <c r="GI55600" s="422"/>
    </row>
    <row r="55601" spans="191:191" x14ac:dyDescent="0.2">
      <c r="GI55601" s="422"/>
    </row>
    <row r="55602" spans="191:191" x14ac:dyDescent="0.2">
      <c r="GI55602" s="422"/>
    </row>
    <row r="55603" spans="191:191" x14ac:dyDescent="0.2">
      <c r="GI55603" s="422"/>
    </row>
    <row r="55604" spans="191:191" x14ac:dyDescent="0.2">
      <c r="GI55604" s="422"/>
    </row>
    <row r="55605" spans="191:191" x14ac:dyDescent="0.2">
      <c r="GI55605" s="422"/>
    </row>
    <row r="55606" spans="191:191" x14ac:dyDescent="0.2">
      <c r="GI55606" s="422"/>
    </row>
    <row r="55607" spans="191:191" x14ac:dyDescent="0.2">
      <c r="GI55607" s="422"/>
    </row>
    <row r="55608" spans="191:191" x14ac:dyDescent="0.2">
      <c r="GI55608" s="422"/>
    </row>
    <row r="55609" spans="191:191" x14ac:dyDescent="0.2">
      <c r="GI55609" s="422"/>
    </row>
    <row r="55610" spans="191:191" x14ac:dyDescent="0.2">
      <c r="GI55610" s="422"/>
    </row>
    <row r="55611" spans="191:191" x14ac:dyDescent="0.2">
      <c r="GI55611" s="422"/>
    </row>
    <row r="55612" spans="191:191" x14ac:dyDescent="0.2">
      <c r="GI55612" s="422"/>
    </row>
    <row r="55613" spans="191:191" x14ac:dyDescent="0.2">
      <c r="GI55613" s="422"/>
    </row>
    <row r="55614" spans="191:191" x14ac:dyDescent="0.2">
      <c r="GI55614" s="422"/>
    </row>
    <row r="55615" spans="191:191" x14ac:dyDescent="0.2">
      <c r="GI55615" s="422"/>
    </row>
    <row r="55616" spans="191:191" x14ac:dyDescent="0.2">
      <c r="GI55616" s="422"/>
    </row>
    <row r="55617" spans="191:191" x14ac:dyDescent="0.2">
      <c r="GI55617" s="422"/>
    </row>
    <row r="55618" spans="191:191" x14ac:dyDescent="0.2">
      <c r="GI55618" s="422"/>
    </row>
    <row r="55619" spans="191:191" x14ac:dyDescent="0.2">
      <c r="GI55619" s="422"/>
    </row>
    <row r="55620" spans="191:191" x14ac:dyDescent="0.2">
      <c r="GI55620" s="422"/>
    </row>
    <row r="55621" spans="191:191" x14ac:dyDescent="0.2">
      <c r="GI55621" s="422"/>
    </row>
    <row r="55622" spans="191:191" x14ac:dyDescent="0.2">
      <c r="GI55622" s="422"/>
    </row>
    <row r="55623" spans="191:191" x14ac:dyDescent="0.2">
      <c r="GI55623" s="422"/>
    </row>
    <row r="55624" spans="191:191" x14ac:dyDescent="0.2">
      <c r="GI55624" s="422"/>
    </row>
    <row r="55625" spans="191:191" x14ac:dyDescent="0.2">
      <c r="GI55625" s="422"/>
    </row>
    <row r="55626" spans="191:191" x14ac:dyDescent="0.2">
      <c r="GI55626" s="422"/>
    </row>
    <row r="55627" spans="191:191" x14ac:dyDescent="0.2">
      <c r="GI55627" s="422"/>
    </row>
    <row r="55628" spans="191:191" x14ac:dyDescent="0.2">
      <c r="GI55628" s="422"/>
    </row>
    <row r="55629" spans="191:191" x14ac:dyDescent="0.2">
      <c r="GI55629" s="422"/>
    </row>
    <row r="55630" spans="191:191" x14ac:dyDescent="0.2">
      <c r="GI55630" s="422"/>
    </row>
    <row r="55631" spans="191:191" x14ac:dyDescent="0.2">
      <c r="GI55631" s="422"/>
    </row>
    <row r="55632" spans="191:191" x14ac:dyDescent="0.2">
      <c r="GI55632" s="422"/>
    </row>
    <row r="55633" spans="191:191" x14ac:dyDescent="0.2">
      <c r="GI55633" s="422"/>
    </row>
    <row r="55634" spans="191:191" x14ac:dyDescent="0.2">
      <c r="GI55634" s="422"/>
    </row>
    <row r="55635" spans="191:191" x14ac:dyDescent="0.2">
      <c r="GI55635" s="422"/>
    </row>
    <row r="55636" spans="191:191" x14ac:dyDescent="0.2">
      <c r="GI55636" s="422"/>
    </row>
    <row r="55637" spans="191:191" x14ac:dyDescent="0.2">
      <c r="GI55637" s="422"/>
    </row>
    <row r="55638" spans="191:191" x14ac:dyDescent="0.2">
      <c r="GI55638" s="422"/>
    </row>
    <row r="55639" spans="191:191" x14ac:dyDescent="0.2">
      <c r="GI55639" s="422"/>
    </row>
    <row r="55640" spans="191:191" x14ac:dyDescent="0.2">
      <c r="GI55640" s="422"/>
    </row>
    <row r="55641" spans="191:191" x14ac:dyDescent="0.2">
      <c r="GI55641" s="422"/>
    </row>
    <row r="55642" spans="191:191" x14ac:dyDescent="0.2">
      <c r="GI55642" s="422"/>
    </row>
    <row r="55643" spans="191:191" x14ac:dyDescent="0.2">
      <c r="GI55643" s="422"/>
    </row>
    <row r="55644" spans="191:191" x14ac:dyDescent="0.2">
      <c r="GI55644" s="422"/>
    </row>
    <row r="55645" spans="191:191" x14ac:dyDescent="0.2">
      <c r="GI55645" s="422"/>
    </row>
    <row r="55646" spans="191:191" x14ac:dyDescent="0.2">
      <c r="GI55646" s="422"/>
    </row>
    <row r="55647" spans="191:191" x14ac:dyDescent="0.2">
      <c r="GI55647" s="422"/>
    </row>
    <row r="55648" spans="191:191" x14ac:dyDescent="0.2">
      <c r="GI55648" s="422"/>
    </row>
    <row r="55649" spans="191:191" x14ac:dyDescent="0.2">
      <c r="GI55649" s="422"/>
    </row>
    <row r="55650" spans="191:191" x14ac:dyDescent="0.2">
      <c r="GI55650" s="422"/>
    </row>
    <row r="55651" spans="191:191" x14ac:dyDescent="0.2">
      <c r="GI55651" s="422"/>
    </row>
    <row r="55652" spans="191:191" x14ac:dyDescent="0.2">
      <c r="GI55652" s="422"/>
    </row>
    <row r="55653" spans="191:191" x14ac:dyDescent="0.2">
      <c r="GI55653" s="422"/>
    </row>
    <row r="55654" spans="191:191" x14ac:dyDescent="0.2">
      <c r="GI55654" s="422"/>
    </row>
    <row r="55655" spans="191:191" x14ac:dyDescent="0.2">
      <c r="GI55655" s="422"/>
    </row>
    <row r="55656" spans="191:191" x14ac:dyDescent="0.2">
      <c r="GI55656" s="422"/>
    </row>
    <row r="55657" spans="191:191" x14ac:dyDescent="0.2">
      <c r="GI55657" s="422"/>
    </row>
    <row r="55658" spans="191:191" x14ac:dyDescent="0.2">
      <c r="GI55658" s="422"/>
    </row>
    <row r="55659" spans="191:191" x14ac:dyDescent="0.2">
      <c r="GI55659" s="422"/>
    </row>
    <row r="55660" spans="191:191" x14ac:dyDescent="0.2">
      <c r="GI55660" s="422"/>
    </row>
    <row r="55661" spans="191:191" x14ac:dyDescent="0.2">
      <c r="GI55661" s="422"/>
    </row>
    <row r="55662" spans="191:191" x14ac:dyDescent="0.2">
      <c r="GI55662" s="422"/>
    </row>
    <row r="55663" spans="191:191" x14ac:dyDescent="0.2">
      <c r="GI55663" s="422"/>
    </row>
    <row r="55664" spans="191:191" x14ac:dyDescent="0.2">
      <c r="GI55664" s="422"/>
    </row>
    <row r="55665" spans="191:191" x14ac:dyDescent="0.2">
      <c r="GI55665" s="422"/>
    </row>
    <row r="55666" spans="191:191" x14ac:dyDescent="0.2">
      <c r="GI55666" s="422"/>
    </row>
    <row r="55667" spans="191:191" x14ac:dyDescent="0.2">
      <c r="GI55667" s="422"/>
    </row>
    <row r="55668" spans="191:191" x14ac:dyDescent="0.2">
      <c r="GI55668" s="422"/>
    </row>
    <row r="55669" spans="191:191" x14ac:dyDescent="0.2">
      <c r="GI55669" s="422"/>
    </row>
    <row r="55670" spans="191:191" x14ac:dyDescent="0.2">
      <c r="GI55670" s="422"/>
    </row>
    <row r="55671" spans="191:191" x14ac:dyDescent="0.2">
      <c r="GI55671" s="422"/>
    </row>
    <row r="55672" spans="191:191" x14ac:dyDescent="0.2">
      <c r="GI55672" s="422"/>
    </row>
    <row r="55673" spans="191:191" x14ac:dyDescent="0.2">
      <c r="GI55673" s="422"/>
    </row>
    <row r="55674" spans="191:191" x14ac:dyDescent="0.2">
      <c r="GI55674" s="422"/>
    </row>
    <row r="55675" spans="191:191" x14ac:dyDescent="0.2">
      <c r="GI55675" s="422"/>
    </row>
    <row r="55676" spans="191:191" x14ac:dyDescent="0.2">
      <c r="GI55676" s="422"/>
    </row>
    <row r="55677" spans="191:191" x14ac:dyDescent="0.2">
      <c r="GI55677" s="422"/>
    </row>
    <row r="55678" spans="191:191" x14ac:dyDescent="0.2">
      <c r="GI55678" s="422"/>
    </row>
    <row r="55679" spans="191:191" x14ac:dyDescent="0.2">
      <c r="GI55679" s="422"/>
    </row>
    <row r="55680" spans="191:191" x14ac:dyDescent="0.2">
      <c r="GI55680" s="422"/>
    </row>
    <row r="55681" spans="191:191" x14ac:dyDescent="0.2">
      <c r="GI55681" s="422"/>
    </row>
    <row r="55682" spans="191:191" x14ac:dyDescent="0.2">
      <c r="GI55682" s="422"/>
    </row>
    <row r="55683" spans="191:191" x14ac:dyDescent="0.2">
      <c r="GI55683" s="422"/>
    </row>
    <row r="55684" spans="191:191" x14ac:dyDescent="0.2">
      <c r="GI55684" s="422"/>
    </row>
    <row r="55685" spans="191:191" x14ac:dyDescent="0.2">
      <c r="GI55685" s="422"/>
    </row>
    <row r="55686" spans="191:191" x14ac:dyDescent="0.2">
      <c r="GI55686" s="422"/>
    </row>
    <row r="55687" spans="191:191" x14ac:dyDescent="0.2">
      <c r="GI55687" s="422"/>
    </row>
    <row r="55688" spans="191:191" x14ac:dyDescent="0.2">
      <c r="GI55688" s="422"/>
    </row>
    <row r="55689" spans="191:191" x14ac:dyDescent="0.2">
      <c r="GI55689" s="422"/>
    </row>
    <row r="55690" spans="191:191" x14ac:dyDescent="0.2">
      <c r="GI55690" s="422"/>
    </row>
    <row r="55691" spans="191:191" x14ac:dyDescent="0.2">
      <c r="GI55691" s="422"/>
    </row>
    <row r="55692" spans="191:191" x14ac:dyDescent="0.2">
      <c r="GI55692" s="422"/>
    </row>
    <row r="55693" spans="191:191" x14ac:dyDescent="0.2">
      <c r="GI55693" s="422"/>
    </row>
    <row r="55694" spans="191:191" x14ac:dyDescent="0.2">
      <c r="GI55694" s="422"/>
    </row>
    <row r="55695" spans="191:191" x14ac:dyDescent="0.2">
      <c r="GI55695" s="422"/>
    </row>
    <row r="55696" spans="191:191" x14ac:dyDescent="0.2">
      <c r="GI55696" s="422"/>
    </row>
    <row r="55697" spans="191:191" x14ac:dyDescent="0.2">
      <c r="GI55697" s="422"/>
    </row>
    <row r="55698" spans="191:191" x14ac:dyDescent="0.2">
      <c r="GI55698" s="422"/>
    </row>
    <row r="55699" spans="191:191" x14ac:dyDescent="0.2">
      <c r="GI55699" s="422"/>
    </row>
    <row r="55700" spans="191:191" x14ac:dyDescent="0.2">
      <c r="GI55700" s="422"/>
    </row>
    <row r="55701" spans="191:191" x14ac:dyDescent="0.2">
      <c r="GI55701" s="422"/>
    </row>
    <row r="55702" spans="191:191" x14ac:dyDescent="0.2">
      <c r="GI55702" s="422"/>
    </row>
    <row r="55703" spans="191:191" x14ac:dyDescent="0.2">
      <c r="GI55703" s="422"/>
    </row>
    <row r="55704" spans="191:191" x14ac:dyDescent="0.2">
      <c r="GI55704" s="422"/>
    </row>
    <row r="55705" spans="191:191" x14ac:dyDescent="0.2">
      <c r="GI55705" s="422"/>
    </row>
    <row r="55706" spans="191:191" x14ac:dyDescent="0.2">
      <c r="GI55706" s="422"/>
    </row>
    <row r="55707" spans="191:191" x14ac:dyDescent="0.2">
      <c r="GI55707" s="422"/>
    </row>
    <row r="55708" spans="191:191" x14ac:dyDescent="0.2">
      <c r="GI55708" s="422"/>
    </row>
    <row r="55709" spans="191:191" x14ac:dyDescent="0.2">
      <c r="GI55709" s="422"/>
    </row>
    <row r="55710" spans="191:191" x14ac:dyDescent="0.2">
      <c r="GI55710" s="422"/>
    </row>
    <row r="55711" spans="191:191" x14ac:dyDescent="0.2">
      <c r="GI55711" s="422"/>
    </row>
    <row r="55712" spans="191:191" x14ac:dyDescent="0.2">
      <c r="GI55712" s="422"/>
    </row>
    <row r="55713" spans="191:191" x14ac:dyDescent="0.2">
      <c r="GI55713" s="422"/>
    </row>
    <row r="55714" spans="191:191" x14ac:dyDescent="0.2">
      <c r="GI55714" s="422"/>
    </row>
    <row r="55715" spans="191:191" x14ac:dyDescent="0.2">
      <c r="GI55715" s="422"/>
    </row>
    <row r="55716" spans="191:191" x14ac:dyDescent="0.2">
      <c r="GI55716" s="422"/>
    </row>
    <row r="55717" spans="191:191" x14ac:dyDescent="0.2">
      <c r="GI55717" s="422"/>
    </row>
    <row r="55718" spans="191:191" x14ac:dyDescent="0.2">
      <c r="GI55718" s="422"/>
    </row>
    <row r="55719" spans="191:191" x14ac:dyDescent="0.2">
      <c r="GI55719" s="422"/>
    </row>
    <row r="55720" spans="191:191" x14ac:dyDescent="0.2">
      <c r="GI55720" s="422"/>
    </row>
    <row r="55721" spans="191:191" x14ac:dyDescent="0.2">
      <c r="GI55721" s="422"/>
    </row>
    <row r="55722" spans="191:191" x14ac:dyDescent="0.2">
      <c r="GI55722" s="422"/>
    </row>
    <row r="55723" spans="191:191" x14ac:dyDescent="0.2">
      <c r="GI55723" s="422"/>
    </row>
    <row r="55724" spans="191:191" x14ac:dyDescent="0.2">
      <c r="GI55724" s="422"/>
    </row>
    <row r="55725" spans="191:191" x14ac:dyDescent="0.2">
      <c r="GI55725" s="422"/>
    </row>
    <row r="55726" spans="191:191" x14ac:dyDescent="0.2">
      <c r="GI55726" s="422"/>
    </row>
    <row r="55727" spans="191:191" x14ac:dyDescent="0.2">
      <c r="GI55727" s="422"/>
    </row>
    <row r="55728" spans="191:191" x14ac:dyDescent="0.2">
      <c r="GI55728" s="422"/>
    </row>
    <row r="55729" spans="191:191" x14ac:dyDescent="0.2">
      <c r="GI55729" s="422"/>
    </row>
    <row r="55730" spans="191:191" x14ac:dyDescent="0.2">
      <c r="GI55730" s="422"/>
    </row>
    <row r="55731" spans="191:191" x14ac:dyDescent="0.2">
      <c r="GI55731" s="422"/>
    </row>
    <row r="55732" spans="191:191" x14ac:dyDescent="0.2">
      <c r="GI55732" s="422"/>
    </row>
    <row r="55733" spans="191:191" x14ac:dyDescent="0.2">
      <c r="GI55733" s="422"/>
    </row>
    <row r="55734" spans="191:191" x14ac:dyDescent="0.2">
      <c r="GI55734" s="422"/>
    </row>
    <row r="55735" spans="191:191" x14ac:dyDescent="0.2">
      <c r="GI55735" s="422"/>
    </row>
    <row r="55736" spans="191:191" x14ac:dyDescent="0.2">
      <c r="GI55736" s="422"/>
    </row>
    <row r="55737" spans="191:191" x14ac:dyDescent="0.2">
      <c r="GI55737" s="422"/>
    </row>
    <row r="55738" spans="191:191" x14ac:dyDescent="0.2">
      <c r="GI55738" s="422"/>
    </row>
    <row r="55739" spans="191:191" x14ac:dyDescent="0.2">
      <c r="GI55739" s="422"/>
    </row>
    <row r="55740" spans="191:191" x14ac:dyDescent="0.2">
      <c r="GI55740" s="422"/>
    </row>
    <row r="55741" spans="191:191" x14ac:dyDescent="0.2">
      <c r="GI55741" s="422"/>
    </row>
    <row r="55742" spans="191:191" x14ac:dyDescent="0.2">
      <c r="GI55742" s="422"/>
    </row>
    <row r="55743" spans="191:191" x14ac:dyDescent="0.2">
      <c r="GI55743" s="422"/>
    </row>
    <row r="55744" spans="191:191" x14ac:dyDescent="0.2">
      <c r="GI55744" s="422"/>
    </row>
    <row r="55745" spans="191:191" x14ac:dyDescent="0.2">
      <c r="GI55745" s="422"/>
    </row>
    <row r="55746" spans="191:191" x14ac:dyDescent="0.2">
      <c r="GI55746" s="422"/>
    </row>
    <row r="55747" spans="191:191" x14ac:dyDescent="0.2">
      <c r="GI55747" s="422"/>
    </row>
    <row r="55748" spans="191:191" x14ac:dyDescent="0.2">
      <c r="GI55748" s="422"/>
    </row>
    <row r="55749" spans="191:191" x14ac:dyDescent="0.2">
      <c r="GI55749" s="422"/>
    </row>
    <row r="55750" spans="191:191" x14ac:dyDescent="0.2">
      <c r="GI55750" s="422"/>
    </row>
    <row r="55751" spans="191:191" x14ac:dyDescent="0.2">
      <c r="GI55751" s="422"/>
    </row>
    <row r="55752" spans="191:191" x14ac:dyDescent="0.2">
      <c r="GI55752" s="422"/>
    </row>
    <row r="55753" spans="191:191" x14ac:dyDescent="0.2">
      <c r="GI55753" s="422"/>
    </row>
    <row r="55754" spans="191:191" x14ac:dyDescent="0.2">
      <c r="GI55754" s="422"/>
    </row>
    <row r="55755" spans="191:191" x14ac:dyDescent="0.2">
      <c r="GI55755" s="422"/>
    </row>
    <row r="55756" spans="191:191" x14ac:dyDescent="0.2">
      <c r="GI55756" s="422"/>
    </row>
    <row r="55757" spans="191:191" x14ac:dyDescent="0.2">
      <c r="GI55757" s="422"/>
    </row>
    <row r="55758" spans="191:191" x14ac:dyDescent="0.2">
      <c r="GI55758" s="422"/>
    </row>
    <row r="55759" spans="191:191" x14ac:dyDescent="0.2">
      <c r="GI55759" s="422"/>
    </row>
    <row r="55760" spans="191:191" x14ac:dyDescent="0.2">
      <c r="GI55760" s="422"/>
    </row>
    <row r="55761" spans="191:191" x14ac:dyDescent="0.2">
      <c r="GI55761" s="422"/>
    </row>
    <row r="55762" spans="191:191" x14ac:dyDescent="0.2">
      <c r="GI55762" s="422"/>
    </row>
    <row r="55763" spans="191:191" x14ac:dyDescent="0.2">
      <c r="GI55763" s="422"/>
    </row>
    <row r="55764" spans="191:191" x14ac:dyDescent="0.2">
      <c r="GI55764" s="422"/>
    </row>
    <row r="55765" spans="191:191" x14ac:dyDescent="0.2">
      <c r="GI55765" s="422"/>
    </row>
    <row r="55766" spans="191:191" x14ac:dyDescent="0.2">
      <c r="GI55766" s="422"/>
    </row>
    <row r="55767" spans="191:191" x14ac:dyDescent="0.2">
      <c r="GI55767" s="422"/>
    </row>
    <row r="55768" spans="191:191" x14ac:dyDescent="0.2">
      <c r="GI55768" s="422"/>
    </row>
    <row r="55769" spans="191:191" x14ac:dyDescent="0.2">
      <c r="GI55769" s="422"/>
    </row>
    <row r="55770" spans="191:191" x14ac:dyDescent="0.2">
      <c r="GI55770" s="422"/>
    </row>
    <row r="55771" spans="191:191" x14ac:dyDescent="0.2">
      <c r="GI55771" s="422"/>
    </row>
    <row r="55772" spans="191:191" x14ac:dyDescent="0.2">
      <c r="GI55772" s="422"/>
    </row>
    <row r="55773" spans="191:191" x14ac:dyDescent="0.2">
      <c r="GI55773" s="422"/>
    </row>
    <row r="55774" spans="191:191" x14ac:dyDescent="0.2">
      <c r="GI55774" s="422"/>
    </row>
    <row r="55775" spans="191:191" x14ac:dyDescent="0.2">
      <c r="GI55775" s="422"/>
    </row>
    <row r="55776" spans="191:191" x14ac:dyDescent="0.2">
      <c r="GI55776" s="422"/>
    </row>
    <row r="55777" spans="191:191" x14ac:dyDescent="0.2">
      <c r="GI55777" s="422"/>
    </row>
    <row r="55778" spans="191:191" x14ac:dyDescent="0.2">
      <c r="GI55778" s="422"/>
    </row>
    <row r="55779" spans="191:191" x14ac:dyDescent="0.2">
      <c r="GI55779" s="422"/>
    </row>
    <row r="55780" spans="191:191" x14ac:dyDescent="0.2">
      <c r="GI55780" s="422"/>
    </row>
    <row r="55781" spans="191:191" x14ac:dyDescent="0.2">
      <c r="GI55781" s="422"/>
    </row>
    <row r="55782" spans="191:191" x14ac:dyDescent="0.2">
      <c r="GI55782" s="422"/>
    </row>
    <row r="55783" spans="191:191" x14ac:dyDescent="0.2">
      <c r="GI55783" s="422"/>
    </row>
    <row r="55784" spans="191:191" x14ac:dyDescent="0.2">
      <c r="GI55784" s="422"/>
    </row>
    <row r="55785" spans="191:191" x14ac:dyDescent="0.2">
      <c r="GI55785" s="422"/>
    </row>
    <row r="55786" spans="191:191" x14ac:dyDescent="0.2">
      <c r="GI55786" s="422"/>
    </row>
    <row r="55787" spans="191:191" x14ac:dyDescent="0.2">
      <c r="GI55787" s="422"/>
    </row>
    <row r="55788" spans="191:191" x14ac:dyDescent="0.2">
      <c r="GI55788" s="422"/>
    </row>
    <row r="55789" spans="191:191" x14ac:dyDescent="0.2">
      <c r="GI55789" s="422"/>
    </row>
    <row r="55790" spans="191:191" x14ac:dyDescent="0.2">
      <c r="GI55790" s="422"/>
    </row>
    <row r="55791" spans="191:191" x14ac:dyDescent="0.2">
      <c r="GI55791" s="422"/>
    </row>
    <row r="55792" spans="191:191" x14ac:dyDescent="0.2">
      <c r="GI55792" s="422"/>
    </row>
    <row r="55793" spans="191:191" x14ac:dyDescent="0.2">
      <c r="GI55793" s="422"/>
    </row>
    <row r="55794" spans="191:191" x14ac:dyDescent="0.2">
      <c r="GI55794" s="422"/>
    </row>
    <row r="55795" spans="191:191" x14ac:dyDescent="0.2">
      <c r="GI55795" s="422"/>
    </row>
    <row r="55796" spans="191:191" x14ac:dyDescent="0.2">
      <c r="GI55796" s="422"/>
    </row>
    <row r="55797" spans="191:191" x14ac:dyDescent="0.2">
      <c r="GI55797" s="422"/>
    </row>
    <row r="55798" spans="191:191" x14ac:dyDescent="0.2">
      <c r="GI55798" s="422"/>
    </row>
    <row r="55799" spans="191:191" x14ac:dyDescent="0.2">
      <c r="GI55799" s="422"/>
    </row>
    <row r="55800" spans="191:191" x14ac:dyDescent="0.2">
      <c r="GI55800" s="422"/>
    </row>
    <row r="55801" spans="191:191" x14ac:dyDescent="0.2">
      <c r="GI55801" s="422"/>
    </row>
    <row r="55802" spans="191:191" x14ac:dyDescent="0.2">
      <c r="GI55802" s="422"/>
    </row>
    <row r="55803" spans="191:191" x14ac:dyDescent="0.2">
      <c r="GI55803" s="422"/>
    </row>
    <row r="55804" spans="191:191" x14ac:dyDescent="0.2">
      <c r="GI55804" s="422"/>
    </row>
    <row r="55805" spans="191:191" x14ac:dyDescent="0.2">
      <c r="GI55805" s="422"/>
    </row>
    <row r="55806" spans="191:191" x14ac:dyDescent="0.2">
      <c r="GI55806" s="422"/>
    </row>
    <row r="55807" spans="191:191" x14ac:dyDescent="0.2">
      <c r="GI55807" s="422"/>
    </row>
    <row r="55808" spans="191:191" x14ac:dyDescent="0.2">
      <c r="GI55808" s="422"/>
    </row>
    <row r="55809" spans="191:191" x14ac:dyDescent="0.2">
      <c r="GI55809" s="422"/>
    </row>
    <row r="55810" spans="191:191" x14ac:dyDescent="0.2">
      <c r="GI55810" s="422"/>
    </row>
    <row r="55811" spans="191:191" x14ac:dyDescent="0.2">
      <c r="GI55811" s="422"/>
    </row>
    <row r="55812" spans="191:191" x14ac:dyDescent="0.2">
      <c r="GI55812" s="422"/>
    </row>
    <row r="55813" spans="191:191" x14ac:dyDescent="0.2">
      <c r="GI55813" s="422"/>
    </row>
    <row r="55814" spans="191:191" x14ac:dyDescent="0.2">
      <c r="GI55814" s="422"/>
    </row>
    <row r="55815" spans="191:191" x14ac:dyDescent="0.2">
      <c r="GI55815" s="422"/>
    </row>
    <row r="55816" spans="191:191" x14ac:dyDescent="0.2">
      <c r="GI55816" s="422"/>
    </row>
    <row r="55817" spans="191:191" x14ac:dyDescent="0.2">
      <c r="GI55817" s="422"/>
    </row>
    <row r="55818" spans="191:191" x14ac:dyDescent="0.2">
      <c r="GI55818" s="422"/>
    </row>
    <row r="55819" spans="191:191" x14ac:dyDescent="0.2">
      <c r="GI55819" s="422"/>
    </row>
    <row r="55820" spans="191:191" x14ac:dyDescent="0.2">
      <c r="GI55820" s="422"/>
    </row>
    <row r="55821" spans="191:191" x14ac:dyDescent="0.2">
      <c r="GI55821" s="422"/>
    </row>
    <row r="55822" spans="191:191" x14ac:dyDescent="0.2">
      <c r="GI55822" s="422"/>
    </row>
    <row r="55823" spans="191:191" x14ac:dyDescent="0.2">
      <c r="GI55823" s="422"/>
    </row>
    <row r="55824" spans="191:191" x14ac:dyDescent="0.2">
      <c r="GI55824" s="422"/>
    </row>
    <row r="55825" spans="191:191" x14ac:dyDescent="0.2">
      <c r="GI55825" s="422"/>
    </row>
    <row r="55826" spans="191:191" x14ac:dyDescent="0.2">
      <c r="GI55826" s="422"/>
    </row>
    <row r="55827" spans="191:191" x14ac:dyDescent="0.2">
      <c r="GI55827" s="422"/>
    </row>
    <row r="55828" spans="191:191" x14ac:dyDescent="0.2">
      <c r="GI55828" s="422"/>
    </row>
    <row r="55829" spans="191:191" x14ac:dyDescent="0.2">
      <c r="GI55829" s="422"/>
    </row>
    <row r="55830" spans="191:191" x14ac:dyDescent="0.2">
      <c r="GI55830" s="422"/>
    </row>
    <row r="55831" spans="191:191" x14ac:dyDescent="0.2">
      <c r="GI55831" s="422"/>
    </row>
    <row r="55832" spans="191:191" x14ac:dyDescent="0.2">
      <c r="GI55832" s="422"/>
    </row>
    <row r="55833" spans="191:191" x14ac:dyDescent="0.2">
      <c r="GI55833" s="422"/>
    </row>
    <row r="55834" spans="191:191" x14ac:dyDescent="0.2">
      <c r="GI55834" s="422"/>
    </row>
    <row r="55835" spans="191:191" x14ac:dyDescent="0.2">
      <c r="GI55835" s="422"/>
    </row>
    <row r="55836" spans="191:191" x14ac:dyDescent="0.2">
      <c r="GI55836" s="422"/>
    </row>
    <row r="55837" spans="191:191" x14ac:dyDescent="0.2">
      <c r="GI55837" s="422"/>
    </row>
    <row r="55838" spans="191:191" x14ac:dyDescent="0.2">
      <c r="GI55838" s="422"/>
    </row>
    <row r="55839" spans="191:191" x14ac:dyDescent="0.2">
      <c r="GI55839" s="422"/>
    </row>
    <row r="55840" spans="191:191" x14ac:dyDescent="0.2">
      <c r="GI55840" s="422"/>
    </row>
    <row r="55841" spans="191:191" x14ac:dyDescent="0.2">
      <c r="GI55841" s="422"/>
    </row>
    <row r="55842" spans="191:191" x14ac:dyDescent="0.2">
      <c r="GI55842" s="422"/>
    </row>
    <row r="55843" spans="191:191" x14ac:dyDescent="0.2">
      <c r="GI55843" s="422"/>
    </row>
    <row r="55844" spans="191:191" x14ac:dyDescent="0.2">
      <c r="GI55844" s="422"/>
    </row>
    <row r="55845" spans="191:191" x14ac:dyDescent="0.2">
      <c r="GI55845" s="422"/>
    </row>
    <row r="55846" spans="191:191" x14ac:dyDescent="0.2">
      <c r="GI55846" s="422"/>
    </row>
    <row r="55847" spans="191:191" x14ac:dyDescent="0.2">
      <c r="GI55847" s="422"/>
    </row>
    <row r="55848" spans="191:191" x14ac:dyDescent="0.2">
      <c r="GI55848" s="422"/>
    </row>
    <row r="55849" spans="191:191" x14ac:dyDescent="0.2">
      <c r="GI55849" s="422"/>
    </row>
    <row r="55850" spans="191:191" x14ac:dyDescent="0.2">
      <c r="GI55850" s="422"/>
    </row>
    <row r="55851" spans="191:191" x14ac:dyDescent="0.2">
      <c r="GI55851" s="422"/>
    </row>
    <row r="55852" spans="191:191" x14ac:dyDescent="0.2">
      <c r="GI55852" s="422"/>
    </row>
    <row r="55853" spans="191:191" x14ac:dyDescent="0.2">
      <c r="GI55853" s="422"/>
    </row>
    <row r="55854" spans="191:191" x14ac:dyDescent="0.2">
      <c r="GI55854" s="422"/>
    </row>
    <row r="55855" spans="191:191" x14ac:dyDescent="0.2">
      <c r="GI55855" s="422"/>
    </row>
    <row r="55856" spans="191:191" x14ac:dyDescent="0.2">
      <c r="GI55856" s="422"/>
    </row>
    <row r="55857" spans="191:191" x14ac:dyDescent="0.2">
      <c r="GI55857" s="422"/>
    </row>
    <row r="55858" spans="191:191" x14ac:dyDescent="0.2">
      <c r="GI55858" s="422"/>
    </row>
    <row r="55859" spans="191:191" x14ac:dyDescent="0.2">
      <c r="GI55859" s="422"/>
    </row>
    <row r="55860" spans="191:191" x14ac:dyDescent="0.2">
      <c r="GI55860" s="422"/>
    </row>
    <row r="55861" spans="191:191" x14ac:dyDescent="0.2">
      <c r="GI55861" s="422"/>
    </row>
    <row r="55862" spans="191:191" x14ac:dyDescent="0.2">
      <c r="GI55862" s="422"/>
    </row>
    <row r="55863" spans="191:191" x14ac:dyDescent="0.2">
      <c r="GI55863" s="422"/>
    </row>
    <row r="55864" spans="191:191" x14ac:dyDescent="0.2">
      <c r="GI55864" s="422"/>
    </row>
    <row r="55865" spans="191:191" x14ac:dyDescent="0.2">
      <c r="GI55865" s="422"/>
    </row>
    <row r="55866" spans="191:191" x14ac:dyDescent="0.2">
      <c r="GI55866" s="422"/>
    </row>
    <row r="55867" spans="191:191" x14ac:dyDescent="0.2">
      <c r="GI55867" s="422"/>
    </row>
    <row r="55868" spans="191:191" x14ac:dyDescent="0.2">
      <c r="GI55868" s="422"/>
    </row>
    <row r="55869" spans="191:191" x14ac:dyDescent="0.2">
      <c r="GI55869" s="422"/>
    </row>
    <row r="55870" spans="191:191" x14ac:dyDescent="0.2">
      <c r="GI55870" s="422"/>
    </row>
    <row r="55871" spans="191:191" x14ac:dyDescent="0.2">
      <c r="GI55871" s="422"/>
    </row>
    <row r="55872" spans="191:191" x14ac:dyDescent="0.2">
      <c r="GI55872" s="422"/>
    </row>
    <row r="55873" spans="191:191" x14ac:dyDescent="0.2">
      <c r="GI55873" s="422"/>
    </row>
    <row r="55874" spans="191:191" x14ac:dyDescent="0.2">
      <c r="GI55874" s="422"/>
    </row>
    <row r="55875" spans="191:191" x14ac:dyDescent="0.2">
      <c r="GI55875" s="422"/>
    </row>
    <row r="55876" spans="191:191" x14ac:dyDescent="0.2">
      <c r="GI55876" s="422"/>
    </row>
    <row r="55877" spans="191:191" x14ac:dyDescent="0.2">
      <c r="GI55877" s="422"/>
    </row>
    <row r="55878" spans="191:191" x14ac:dyDescent="0.2">
      <c r="GI55878" s="422"/>
    </row>
    <row r="55879" spans="191:191" x14ac:dyDescent="0.2">
      <c r="GI55879" s="422"/>
    </row>
    <row r="55880" spans="191:191" x14ac:dyDescent="0.2">
      <c r="GI55880" s="422"/>
    </row>
    <row r="55881" spans="191:191" x14ac:dyDescent="0.2">
      <c r="GI55881" s="422"/>
    </row>
    <row r="55882" spans="191:191" x14ac:dyDescent="0.2">
      <c r="GI55882" s="422"/>
    </row>
    <row r="55883" spans="191:191" x14ac:dyDescent="0.2">
      <c r="GI55883" s="422"/>
    </row>
    <row r="55884" spans="191:191" x14ac:dyDescent="0.2">
      <c r="GI55884" s="422"/>
    </row>
    <row r="55885" spans="191:191" x14ac:dyDescent="0.2">
      <c r="GI55885" s="422"/>
    </row>
    <row r="55886" spans="191:191" x14ac:dyDescent="0.2">
      <c r="GI55886" s="422"/>
    </row>
    <row r="55887" spans="191:191" x14ac:dyDescent="0.2">
      <c r="GI55887" s="422"/>
    </row>
    <row r="55888" spans="191:191" x14ac:dyDescent="0.2">
      <c r="GI55888" s="422"/>
    </row>
    <row r="55889" spans="191:191" x14ac:dyDescent="0.2">
      <c r="GI55889" s="422"/>
    </row>
    <row r="55890" spans="191:191" x14ac:dyDescent="0.2">
      <c r="GI55890" s="422"/>
    </row>
    <row r="55891" spans="191:191" x14ac:dyDescent="0.2">
      <c r="GI55891" s="422"/>
    </row>
    <row r="55892" spans="191:191" x14ac:dyDescent="0.2">
      <c r="GI55892" s="422"/>
    </row>
    <row r="55893" spans="191:191" x14ac:dyDescent="0.2">
      <c r="GI55893" s="422"/>
    </row>
    <row r="55894" spans="191:191" x14ac:dyDescent="0.2">
      <c r="GI55894" s="422"/>
    </row>
    <row r="55895" spans="191:191" x14ac:dyDescent="0.2">
      <c r="GI55895" s="422"/>
    </row>
    <row r="55896" spans="191:191" x14ac:dyDescent="0.2">
      <c r="GI55896" s="422"/>
    </row>
    <row r="55897" spans="191:191" x14ac:dyDescent="0.2">
      <c r="GI55897" s="422"/>
    </row>
    <row r="55898" spans="191:191" x14ac:dyDescent="0.2">
      <c r="GI55898" s="422"/>
    </row>
    <row r="55899" spans="191:191" x14ac:dyDescent="0.2">
      <c r="GI55899" s="422"/>
    </row>
    <row r="55900" spans="191:191" x14ac:dyDescent="0.2">
      <c r="GI55900" s="422"/>
    </row>
    <row r="55901" spans="191:191" x14ac:dyDescent="0.2">
      <c r="GI55901" s="422"/>
    </row>
    <row r="55902" spans="191:191" x14ac:dyDescent="0.2">
      <c r="GI55902" s="422"/>
    </row>
    <row r="55903" spans="191:191" x14ac:dyDescent="0.2">
      <c r="GI55903" s="422"/>
    </row>
    <row r="55904" spans="191:191" x14ac:dyDescent="0.2">
      <c r="GI55904" s="422"/>
    </row>
    <row r="55905" spans="191:191" x14ac:dyDescent="0.2">
      <c r="GI55905" s="422"/>
    </row>
    <row r="55906" spans="191:191" x14ac:dyDescent="0.2">
      <c r="GI55906" s="422"/>
    </row>
    <row r="55907" spans="191:191" x14ac:dyDescent="0.2">
      <c r="GI55907" s="422"/>
    </row>
    <row r="55908" spans="191:191" x14ac:dyDescent="0.2">
      <c r="GI55908" s="422"/>
    </row>
    <row r="55909" spans="191:191" x14ac:dyDescent="0.2">
      <c r="GI55909" s="422"/>
    </row>
    <row r="55910" spans="191:191" x14ac:dyDescent="0.2">
      <c r="GI55910" s="422"/>
    </row>
    <row r="55911" spans="191:191" x14ac:dyDescent="0.2">
      <c r="GI55911" s="422"/>
    </row>
    <row r="55912" spans="191:191" x14ac:dyDescent="0.2">
      <c r="GI55912" s="422"/>
    </row>
    <row r="55913" spans="191:191" x14ac:dyDescent="0.2">
      <c r="GI55913" s="422"/>
    </row>
    <row r="55914" spans="191:191" x14ac:dyDescent="0.2">
      <c r="GI55914" s="422"/>
    </row>
    <row r="55915" spans="191:191" x14ac:dyDescent="0.2">
      <c r="GI55915" s="422"/>
    </row>
    <row r="55916" spans="191:191" x14ac:dyDescent="0.2">
      <c r="GI55916" s="422"/>
    </row>
    <row r="55917" spans="191:191" x14ac:dyDescent="0.2">
      <c r="GI55917" s="422"/>
    </row>
    <row r="55918" spans="191:191" x14ac:dyDescent="0.2">
      <c r="GI55918" s="422"/>
    </row>
    <row r="55919" spans="191:191" x14ac:dyDescent="0.2">
      <c r="GI55919" s="422"/>
    </row>
    <row r="55920" spans="191:191" x14ac:dyDescent="0.2">
      <c r="GI55920" s="422"/>
    </row>
    <row r="55921" spans="191:191" x14ac:dyDescent="0.2">
      <c r="GI55921" s="422"/>
    </row>
    <row r="55922" spans="191:191" x14ac:dyDescent="0.2">
      <c r="GI55922" s="422"/>
    </row>
    <row r="55923" spans="191:191" x14ac:dyDescent="0.2">
      <c r="GI55923" s="422"/>
    </row>
    <row r="55924" spans="191:191" x14ac:dyDescent="0.2">
      <c r="GI55924" s="422"/>
    </row>
    <row r="55925" spans="191:191" x14ac:dyDescent="0.2">
      <c r="GI55925" s="422"/>
    </row>
    <row r="55926" spans="191:191" x14ac:dyDescent="0.2">
      <c r="GI55926" s="422"/>
    </row>
    <row r="55927" spans="191:191" x14ac:dyDescent="0.2">
      <c r="GI55927" s="422"/>
    </row>
    <row r="55928" spans="191:191" x14ac:dyDescent="0.2">
      <c r="GI55928" s="422"/>
    </row>
    <row r="55929" spans="191:191" x14ac:dyDescent="0.2">
      <c r="GI55929" s="422"/>
    </row>
    <row r="55930" spans="191:191" x14ac:dyDescent="0.2">
      <c r="GI55930" s="422"/>
    </row>
    <row r="55931" spans="191:191" x14ac:dyDescent="0.2">
      <c r="GI55931" s="422"/>
    </row>
    <row r="55932" spans="191:191" x14ac:dyDescent="0.2">
      <c r="GI55932" s="422"/>
    </row>
    <row r="55933" spans="191:191" x14ac:dyDescent="0.2">
      <c r="GI55933" s="422"/>
    </row>
    <row r="55934" spans="191:191" x14ac:dyDescent="0.2">
      <c r="GI55934" s="422"/>
    </row>
    <row r="55935" spans="191:191" x14ac:dyDescent="0.2">
      <c r="GI55935" s="422"/>
    </row>
    <row r="55936" spans="191:191" x14ac:dyDescent="0.2">
      <c r="GI55936" s="422"/>
    </row>
    <row r="55937" spans="191:191" x14ac:dyDescent="0.2">
      <c r="GI55937" s="422"/>
    </row>
    <row r="55938" spans="191:191" x14ac:dyDescent="0.2">
      <c r="GI55938" s="422"/>
    </row>
    <row r="55939" spans="191:191" x14ac:dyDescent="0.2">
      <c r="GI55939" s="422"/>
    </row>
    <row r="55940" spans="191:191" x14ac:dyDescent="0.2">
      <c r="GI55940" s="422"/>
    </row>
    <row r="55941" spans="191:191" x14ac:dyDescent="0.2">
      <c r="GI55941" s="422"/>
    </row>
    <row r="55942" spans="191:191" x14ac:dyDescent="0.2">
      <c r="GI55942" s="422"/>
    </row>
    <row r="55943" spans="191:191" x14ac:dyDescent="0.2">
      <c r="GI55943" s="422"/>
    </row>
    <row r="55944" spans="191:191" x14ac:dyDescent="0.2">
      <c r="GI55944" s="422"/>
    </row>
    <row r="55945" spans="191:191" x14ac:dyDescent="0.2">
      <c r="GI55945" s="422"/>
    </row>
    <row r="55946" spans="191:191" x14ac:dyDescent="0.2">
      <c r="GI55946" s="422"/>
    </row>
    <row r="55947" spans="191:191" x14ac:dyDescent="0.2">
      <c r="GI55947" s="422"/>
    </row>
    <row r="55948" spans="191:191" x14ac:dyDescent="0.2">
      <c r="GI55948" s="422"/>
    </row>
    <row r="55949" spans="191:191" x14ac:dyDescent="0.2">
      <c r="GI55949" s="422"/>
    </row>
    <row r="55950" spans="191:191" x14ac:dyDescent="0.2">
      <c r="GI55950" s="422"/>
    </row>
    <row r="55951" spans="191:191" x14ac:dyDescent="0.2">
      <c r="GI55951" s="422"/>
    </row>
    <row r="55952" spans="191:191" x14ac:dyDescent="0.2">
      <c r="GI55952" s="422"/>
    </row>
    <row r="55953" spans="191:191" x14ac:dyDescent="0.2">
      <c r="GI55953" s="422"/>
    </row>
    <row r="55954" spans="191:191" x14ac:dyDescent="0.2">
      <c r="GI55954" s="422"/>
    </row>
    <row r="55955" spans="191:191" x14ac:dyDescent="0.2">
      <c r="GI55955" s="422"/>
    </row>
    <row r="55956" spans="191:191" x14ac:dyDescent="0.2">
      <c r="GI55956" s="422"/>
    </row>
    <row r="55957" spans="191:191" x14ac:dyDescent="0.2">
      <c r="GI55957" s="422"/>
    </row>
    <row r="55958" spans="191:191" x14ac:dyDescent="0.2">
      <c r="GI55958" s="422"/>
    </row>
    <row r="55959" spans="191:191" x14ac:dyDescent="0.2">
      <c r="GI55959" s="422"/>
    </row>
    <row r="55960" spans="191:191" x14ac:dyDescent="0.2">
      <c r="GI55960" s="422"/>
    </row>
    <row r="55961" spans="191:191" x14ac:dyDescent="0.2">
      <c r="GI55961" s="422"/>
    </row>
    <row r="55962" spans="191:191" x14ac:dyDescent="0.2">
      <c r="GI55962" s="422"/>
    </row>
    <row r="55963" spans="191:191" x14ac:dyDescent="0.2">
      <c r="GI55963" s="422"/>
    </row>
    <row r="55964" spans="191:191" x14ac:dyDescent="0.2">
      <c r="GI55964" s="422"/>
    </row>
    <row r="55965" spans="191:191" x14ac:dyDescent="0.2">
      <c r="GI55965" s="422"/>
    </row>
    <row r="55966" spans="191:191" x14ac:dyDescent="0.2">
      <c r="GI55966" s="422"/>
    </row>
    <row r="55967" spans="191:191" x14ac:dyDescent="0.2">
      <c r="GI55967" s="422"/>
    </row>
    <row r="55968" spans="191:191" x14ac:dyDescent="0.2">
      <c r="GI55968" s="422"/>
    </row>
    <row r="55969" spans="191:191" x14ac:dyDescent="0.2">
      <c r="GI55969" s="422"/>
    </row>
    <row r="55970" spans="191:191" x14ac:dyDescent="0.2">
      <c r="GI55970" s="422"/>
    </row>
    <row r="55971" spans="191:191" x14ac:dyDescent="0.2">
      <c r="GI55971" s="422"/>
    </row>
    <row r="55972" spans="191:191" x14ac:dyDescent="0.2">
      <c r="GI55972" s="422"/>
    </row>
    <row r="55973" spans="191:191" x14ac:dyDescent="0.2">
      <c r="GI55973" s="422"/>
    </row>
    <row r="55974" spans="191:191" x14ac:dyDescent="0.2">
      <c r="GI55974" s="422"/>
    </row>
    <row r="55975" spans="191:191" x14ac:dyDescent="0.2">
      <c r="GI55975" s="422"/>
    </row>
    <row r="55976" spans="191:191" x14ac:dyDescent="0.2">
      <c r="GI55976" s="422"/>
    </row>
    <row r="55977" spans="191:191" x14ac:dyDescent="0.2">
      <c r="GI55977" s="422"/>
    </row>
    <row r="55978" spans="191:191" x14ac:dyDescent="0.2">
      <c r="GI55978" s="422"/>
    </row>
    <row r="55979" spans="191:191" x14ac:dyDescent="0.2">
      <c r="GI55979" s="422"/>
    </row>
    <row r="55980" spans="191:191" x14ac:dyDescent="0.2">
      <c r="GI55980" s="422"/>
    </row>
    <row r="55981" spans="191:191" x14ac:dyDescent="0.2">
      <c r="GI55981" s="422"/>
    </row>
    <row r="55982" spans="191:191" x14ac:dyDescent="0.2">
      <c r="GI55982" s="422"/>
    </row>
    <row r="55983" spans="191:191" x14ac:dyDescent="0.2">
      <c r="GI55983" s="422"/>
    </row>
    <row r="55984" spans="191:191" x14ac:dyDescent="0.2">
      <c r="GI55984" s="422"/>
    </row>
    <row r="55985" spans="191:191" x14ac:dyDescent="0.2">
      <c r="GI55985" s="422"/>
    </row>
    <row r="55986" spans="191:191" x14ac:dyDescent="0.2">
      <c r="GI55986" s="422"/>
    </row>
    <row r="55987" spans="191:191" x14ac:dyDescent="0.2">
      <c r="GI55987" s="422"/>
    </row>
    <row r="55988" spans="191:191" x14ac:dyDescent="0.2">
      <c r="GI55988" s="422"/>
    </row>
    <row r="55989" spans="191:191" x14ac:dyDescent="0.2">
      <c r="GI55989" s="422"/>
    </row>
    <row r="55990" spans="191:191" x14ac:dyDescent="0.2">
      <c r="GI55990" s="422"/>
    </row>
    <row r="55991" spans="191:191" x14ac:dyDescent="0.2">
      <c r="GI55991" s="422"/>
    </row>
    <row r="55992" spans="191:191" x14ac:dyDescent="0.2">
      <c r="GI55992" s="422"/>
    </row>
    <row r="55993" spans="191:191" x14ac:dyDescent="0.2">
      <c r="GI55993" s="422"/>
    </row>
    <row r="55994" spans="191:191" x14ac:dyDescent="0.2">
      <c r="GI55994" s="422"/>
    </row>
    <row r="55995" spans="191:191" x14ac:dyDescent="0.2">
      <c r="GI55995" s="422"/>
    </row>
    <row r="55996" spans="191:191" x14ac:dyDescent="0.2">
      <c r="GI55996" s="422"/>
    </row>
    <row r="55997" spans="191:191" x14ac:dyDescent="0.2">
      <c r="GI55997" s="422"/>
    </row>
    <row r="55998" spans="191:191" x14ac:dyDescent="0.2">
      <c r="GI55998" s="422"/>
    </row>
    <row r="55999" spans="191:191" x14ac:dyDescent="0.2">
      <c r="GI55999" s="422"/>
    </row>
    <row r="56000" spans="191:191" x14ac:dyDescent="0.2">
      <c r="GI56000" s="422"/>
    </row>
    <row r="56001" spans="191:191" x14ac:dyDescent="0.2">
      <c r="GI56001" s="422"/>
    </row>
    <row r="56002" spans="191:191" x14ac:dyDescent="0.2">
      <c r="GI56002" s="422"/>
    </row>
    <row r="56003" spans="191:191" x14ac:dyDescent="0.2">
      <c r="GI56003" s="422"/>
    </row>
    <row r="56004" spans="191:191" x14ac:dyDescent="0.2">
      <c r="GI56004" s="422"/>
    </row>
    <row r="56005" spans="191:191" x14ac:dyDescent="0.2">
      <c r="GI56005" s="422"/>
    </row>
    <row r="56006" spans="191:191" x14ac:dyDescent="0.2">
      <c r="GI56006" s="422"/>
    </row>
    <row r="56007" spans="191:191" x14ac:dyDescent="0.2">
      <c r="GI56007" s="422"/>
    </row>
    <row r="56008" spans="191:191" x14ac:dyDescent="0.2">
      <c r="GI56008" s="422"/>
    </row>
    <row r="56009" spans="191:191" x14ac:dyDescent="0.2">
      <c r="GI56009" s="422"/>
    </row>
    <row r="56010" spans="191:191" x14ac:dyDescent="0.2">
      <c r="GI56010" s="422"/>
    </row>
    <row r="56011" spans="191:191" x14ac:dyDescent="0.2">
      <c r="GI56011" s="422"/>
    </row>
    <row r="56012" spans="191:191" x14ac:dyDescent="0.2">
      <c r="GI56012" s="422"/>
    </row>
    <row r="56013" spans="191:191" x14ac:dyDescent="0.2">
      <c r="GI56013" s="422"/>
    </row>
    <row r="56014" spans="191:191" x14ac:dyDescent="0.2">
      <c r="GI56014" s="422"/>
    </row>
    <row r="56015" spans="191:191" x14ac:dyDescent="0.2">
      <c r="GI56015" s="422"/>
    </row>
    <row r="56016" spans="191:191" x14ac:dyDescent="0.2">
      <c r="GI56016" s="422"/>
    </row>
    <row r="56017" spans="191:191" x14ac:dyDescent="0.2">
      <c r="GI56017" s="422"/>
    </row>
    <row r="56018" spans="191:191" x14ac:dyDescent="0.2">
      <c r="GI56018" s="422"/>
    </row>
    <row r="56019" spans="191:191" x14ac:dyDescent="0.2">
      <c r="GI56019" s="422"/>
    </row>
    <row r="56020" spans="191:191" x14ac:dyDescent="0.2">
      <c r="GI56020" s="422"/>
    </row>
    <row r="56021" spans="191:191" x14ac:dyDescent="0.2">
      <c r="GI56021" s="422"/>
    </row>
    <row r="56022" spans="191:191" x14ac:dyDescent="0.2">
      <c r="GI56022" s="422"/>
    </row>
    <row r="56023" spans="191:191" x14ac:dyDescent="0.2">
      <c r="GI56023" s="422"/>
    </row>
    <row r="56024" spans="191:191" x14ac:dyDescent="0.2">
      <c r="GI56024" s="422"/>
    </row>
    <row r="56025" spans="191:191" x14ac:dyDescent="0.2">
      <c r="GI56025" s="422"/>
    </row>
    <row r="56026" spans="191:191" x14ac:dyDescent="0.2">
      <c r="GI56026" s="422"/>
    </row>
    <row r="56027" spans="191:191" x14ac:dyDescent="0.2">
      <c r="GI56027" s="422"/>
    </row>
    <row r="56028" spans="191:191" x14ac:dyDescent="0.2">
      <c r="GI56028" s="422"/>
    </row>
    <row r="56029" spans="191:191" x14ac:dyDescent="0.2">
      <c r="GI56029" s="422"/>
    </row>
    <row r="56030" spans="191:191" x14ac:dyDescent="0.2">
      <c r="GI56030" s="422"/>
    </row>
    <row r="56031" spans="191:191" x14ac:dyDescent="0.2">
      <c r="GI56031" s="422"/>
    </row>
    <row r="56032" spans="191:191" x14ac:dyDescent="0.2">
      <c r="GI56032" s="422"/>
    </row>
    <row r="56033" spans="191:191" x14ac:dyDescent="0.2">
      <c r="GI56033" s="422"/>
    </row>
    <row r="56034" spans="191:191" x14ac:dyDescent="0.2">
      <c r="GI56034" s="422"/>
    </row>
    <row r="56035" spans="191:191" x14ac:dyDescent="0.2">
      <c r="GI56035" s="422"/>
    </row>
    <row r="56036" spans="191:191" x14ac:dyDescent="0.2">
      <c r="GI56036" s="422"/>
    </row>
    <row r="56037" spans="191:191" x14ac:dyDescent="0.2">
      <c r="GI56037" s="422"/>
    </row>
    <row r="56038" spans="191:191" x14ac:dyDescent="0.2">
      <c r="GI56038" s="422"/>
    </row>
    <row r="56039" spans="191:191" x14ac:dyDescent="0.2">
      <c r="GI56039" s="422"/>
    </row>
    <row r="56040" spans="191:191" x14ac:dyDescent="0.2">
      <c r="GI56040" s="422"/>
    </row>
    <row r="56041" spans="191:191" x14ac:dyDescent="0.2">
      <c r="GI56041" s="422"/>
    </row>
    <row r="56042" spans="191:191" x14ac:dyDescent="0.2">
      <c r="GI56042" s="422"/>
    </row>
    <row r="56043" spans="191:191" x14ac:dyDescent="0.2">
      <c r="GI56043" s="422"/>
    </row>
    <row r="56044" spans="191:191" x14ac:dyDescent="0.2">
      <c r="GI56044" s="422"/>
    </row>
    <row r="56045" spans="191:191" x14ac:dyDescent="0.2">
      <c r="GI56045" s="422"/>
    </row>
    <row r="56046" spans="191:191" x14ac:dyDescent="0.2">
      <c r="GI56046" s="422"/>
    </row>
    <row r="56047" spans="191:191" x14ac:dyDescent="0.2">
      <c r="GI56047" s="422"/>
    </row>
    <row r="56048" spans="191:191" x14ac:dyDescent="0.2">
      <c r="GI56048" s="422"/>
    </row>
    <row r="56049" spans="191:191" x14ac:dyDescent="0.2">
      <c r="GI56049" s="422"/>
    </row>
    <row r="56050" spans="191:191" x14ac:dyDescent="0.2">
      <c r="GI56050" s="422"/>
    </row>
    <row r="56051" spans="191:191" x14ac:dyDescent="0.2">
      <c r="GI56051" s="422"/>
    </row>
    <row r="56052" spans="191:191" x14ac:dyDescent="0.2">
      <c r="GI56052" s="422"/>
    </row>
    <row r="56053" spans="191:191" x14ac:dyDescent="0.2">
      <c r="GI56053" s="422"/>
    </row>
    <row r="56054" spans="191:191" x14ac:dyDescent="0.2">
      <c r="GI56054" s="422"/>
    </row>
    <row r="56055" spans="191:191" x14ac:dyDescent="0.2">
      <c r="GI56055" s="422"/>
    </row>
    <row r="56056" spans="191:191" x14ac:dyDescent="0.2">
      <c r="GI56056" s="422"/>
    </row>
    <row r="56057" spans="191:191" x14ac:dyDescent="0.2">
      <c r="GI56057" s="422"/>
    </row>
    <row r="56058" spans="191:191" x14ac:dyDescent="0.2">
      <c r="GI56058" s="422"/>
    </row>
    <row r="56059" spans="191:191" x14ac:dyDescent="0.2">
      <c r="GI56059" s="422"/>
    </row>
    <row r="56060" spans="191:191" x14ac:dyDescent="0.2">
      <c r="GI56060" s="422"/>
    </row>
    <row r="56061" spans="191:191" x14ac:dyDescent="0.2">
      <c r="GI56061" s="422"/>
    </row>
    <row r="56062" spans="191:191" x14ac:dyDescent="0.2">
      <c r="GI56062" s="422"/>
    </row>
    <row r="56063" spans="191:191" x14ac:dyDescent="0.2">
      <c r="GI56063" s="422"/>
    </row>
    <row r="56064" spans="191:191" x14ac:dyDescent="0.2">
      <c r="GI56064" s="422"/>
    </row>
    <row r="56065" spans="191:191" x14ac:dyDescent="0.2">
      <c r="GI56065" s="422"/>
    </row>
    <row r="56066" spans="191:191" x14ac:dyDescent="0.2">
      <c r="GI56066" s="422"/>
    </row>
    <row r="56067" spans="191:191" x14ac:dyDescent="0.2">
      <c r="GI56067" s="422"/>
    </row>
    <row r="56068" spans="191:191" x14ac:dyDescent="0.2">
      <c r="GI56068" s="422"/>
    </row>
    <row r="56069" spans="191:191" x14ac:dyDescent="0.2">
      <c r="GI56069" s="422"/>
    </row>
    <row r="56070" spans="191:191" x14ac:dyDescent="0.2">
      <c r="GI56070" s="422"/>
    </row>
    <row r="56071" spans="191:191" x14ac:dyDescent="0.2">
      <c r="GI56071" s="422"/>
    </row>
    <row r="56072" spans="191:191" x14ac:dyDescent="0.2">
      <c r="GI56072" s="422"/>
    </row>
    <row r="56073" spans="191:191" x14ac:dyDescent="0.2">
      <c r="GI56073" s="422"/>
    </row>
    <row r="56074" spans="191:191" x14ac:dyDescent="0.2">
      <c r="GI56074" s="422"/>
    </row>
    <row r="56075" spans="191:191" x14ac:dyDescent="0.2">
      <c r="GI56075" s="422"/>
    </row>
    <row r="56076" spans="191:191" x14ac:dyDescent="0.2">
      <c r="GI56076" s="422"/>
    </row>
    <row r="56077" spans="191:191" x14ac:dyDescent="0.2">
      <c r="GI56077" s="422"/>
    </row>
    <row r="56078" spans="191:191" x14ac:dyDescent="0.2">
      <c r="GI56078" s="422"/>
    </row>
    <row r="56079" spans="191:191" x14ac:dyDescent="0.2">
      <c r="GI56079" s="422"/>
    </row>
    <row r="56080" spans="191:191" x14ac:dyDescent="0.2">
      <c r="GI56080" s="422"/>
    </row>
    <row r="56081" spans="191:191" x14ac:dyDescent="0.2">
      <c r="GI56081" s="422"/>
    </row>
    <row r="56082" spans="191:191" x14ac:dyDescent="0.2">
      <c r="GI56082" s="422"/>
    </row>
    <row r="56083" spans="191:191" x14ac:dyDescent="0.2">
      <c r="GI56083" s="422"/>
    </row>
    <row r="56084" spans="191:191" x14ac:dyDescent="0.2">
      <c r="GI56084" s="422"/>
    </row>
    <row r="56085" spans="191:191" x14ac:dyDescent="0.2">
      <c r="GI56085" s="422"/>
    </row>
    <row r="56086" spans="191:191" x14ac:dyDescent="0.2">
      <c r="GI56086" s="422"/>
    </row>
    <row r="56087" spans="191:191" x14ac:dyDescent="0.2">
      <c r="GI56087" s="422"/>
    </row>
    <row r="56088" spans="191:191" x14ac:dyDescent="0.2">
      <c r="GI56088" s="422"/>
    </row>
    <row r="56089" spans="191:191" x14ac:dyDescent="0.2">
      <c r="GI56089" s="422"/>
    </row>
    <row r="56090" spans="191:191" x14ac:dyDescent="0.2">
      <c r="GI56090" s="422"/>
    </row>
    <row r="56091" spans="191:191" x14ac:dyDescent="0.2">
      <c r="GI56091" s="422"/>
    </row>
    <row r="56092" spans="191:191" x14ac:dyDescent="0.2">
      <c r="GI56092" s="422"/>
    </row>
    <row r="56093" spans="191:191" x14ac:dyDescent="0.2">
      <c r="GI56093" s="422"/>
    </row>
    <row r="56094" spans="191:191" x14ac:dyDescent="0.2">
      <c r="GI56094" s="422"/>
    </row>
    <row r="56095" spans="191:191" x14ac:dyDescent="0.2">
      <c r="GI56095" s="422"/>
    </row>
    <row r="56096" spans="191:191" x14ac:dyDescent="0.2">
      <c r="GI56096" s="422"/>
    </row>
    <row r="56097" spans="191:191" x14ac:dyDescent="0.2">
      <c r="GI56097" s="422"/>
    </row>
    <row r="56098" spans="191:191" x14ac:dyDescent="0.2">
      <c r="GI56098" s="422"/>
    </row>
    <row r="56099" spans="191:191" x14ac:dyDescent="0.2">
      <c r="GI56099" s="422"/>
    </row>
    <row r="56100" spans="191:191" x14ac:dyDescent="0.2">
      <c r="GI56100" s="422"/>
    </row>
    <row r="56101" spans="191:191" x14ac:dyDescent="0.2">
      <c r="GI56101" s="422"/>
    </row>
    <row r="56102" spans="191:191" x14ac:dyDescent="0.2">
      <c r="GI56102" s="422"/>
    </row>
    <row r="56103" spans="191:191" x14ac:dyDescent="0.2">
      <c r="GI56103" s="422"/>
    </row>
    <row r="56104" spans="191:191" x14ac:dyDescent="0.2">
      <c r="GI56104" s="422"/>
    </row>
    <row r="56105" spans="191:191" x14ac:dyDescent="0.2">
      <c r="GI56105" s="422"/>
    </row>
    <row r="56106" spans="191:191" x14ac:dyDescent="0.2">
      <c r="GI56106" s="422"/>
    </row>
    <row r="56107" spans="191:191" x14ac:dyDescent="0.2">
      <c r="GI56107" s="422"/>
    </row>
    <row r="56108" spans="191:191" x14ac:dyDescent="0.2">
      <c r="GI56108" s="422"/>
    </row>
    <row r="56109" spans="191:191" x14ac:dyDescent="0.2">
      <c r="GI56109" s="422"/>
    </row>
    <row r="56110" spans="191:191" x14ac:dyDescent="0.2">
      <c r="GI56110" s="422"/>
    </row>
    <row r="56111" spans="191:191" x14ac:dyDescent="0.2">
      <c r="GI56111" s="422"/>
    </row>
    <row r="56112" spans="191:191" x14ac:dyDescent="0.2">
      <c r="GI56112" s="422"/>
    </row>
    <row r="56113" spans="191:191" x14ac:dyDescent="0.2">
      <c r="GI56113" s="422"/>
    </row>
    <row r="56114" spans="191:191" x14ac:dyDescent="0.2">
      <c r="GI56114" s="422"/>
    </row>
    <row r="56115" spans="191:191" x14ac:dyDescent="0.2">
      <c r="GI56115" s="422"/>
    </row>
    <row r="56116" spans="191:191" x14ac:dyDescent="0.2">
      <c r="GI56116" s="422"/>
    </row>
    <row r="56117" spans="191:191" x14ac:dyDescent="0.2">
      <c r="GI56117" s="422"/>
    </row>
    <row r="56118" spans="191:191" x14ac:dyDescent="0.2">
      <c r="GI56118" s="422"/>
    </row>
    <row r="56119" spans="191:191" x14ac:dyDescent="0.2">
      <c r="GI56119" s="422"/>
    </row>
    <row r="56120" spans="191:191" x14ac:dyDescent="0.2">
      <c r="GI56120" s="422"/>
    </row>
    <row r="56121" spans="191:191" x14ac:dyDescent="0.2">
      <c r="GI56121" s="422"/>
    </row>
    <row r="56122" spans="191:191" x14ac:dyDescent="0.2">
      <c r="GI56122" s="422"/>
    </row>
    <row r="56123" spans="191:191" x14ac:dyDescent="0.2">
      <c r="GI56123" s="422"/>
    </row>
    <row r="56124" spans="191:191" x14ac:dyDescent="0.2">
      <c r="GI56124" s="422"/>
    </row>
    <row r="56125" spans="191:191" x14ac:dyDescent="0.2">
      <c r="GI56125" s="422"/>
    </row>
    <row r="56126" spans="191:191" x14ac:dyDescent="0.2">
      <c r="GI56126" s="422"/>
    </row>
    <row r="56127" spans="191:191" x14ac:dyDescent="0.2">
      <c r="GI56127" s="422"/>
    </row>
    <row r="56128" spans="191:191" x14ac:dyDescent="0.2">
      <c r="GI56128" s="422"/>
    </row>
    <row r="56129" spans="191:191" x14ac:dyDescent="0.2">
      <c r="GI56129" s="422"/>
    </row>
    <row r="56130" spans="191:191" x14ac:dyDescent="0.2">
      <c r="GI56130" s="422"/>
    </row>
    <row r="56131" spans="191:191" x14ac:dyDescent="0.2">
      <c r="GI56131" s="422"/>
    </row>
    <row r="56132" spans="191:191" x14ac:dyDescent="0.2">
      <c r="GI56132" s="422"/>
    </row>
    <row r="56133" spans="191:191" x14ac:dyDescent="0.2">
      <c r="GI56133" s="422"/>
    </row>
    <row r="56134" spans="191:191" x14ac:dyDescent="0.2">
      <c r="GI56134" s="422"/>
    </row>
    <row r="56135" spans="191:191" x14ac:dyDescent="0.2">
      <c r="GI56135" s="422"/>
    </row>
    <row r="56136" spans="191:191" x14ac:dyDescent="0.2">
      <c r="GI56136" s="422"/>
    </row>
    <row r="56137" spans="191:191" x14ac:dyDescent="0.2">
      <c r="GI56137" s="422"/>
    </row>
    <row r="56138" spans="191:191" x14ac:dyDescent="0.2">
      <c r="GI56138" s="422"/>
    </row>
    <row r="56139" spans="191:191" x14ac:dyDescent="0.2">
      <c r="GI56139" s="422"/>
    </row>
    <row r="56140" spans="191:191" x14ac:dyDescent="0.2">
      <c r="GI56140" s="422"/>
    </row>
    <row r="56141" spans="191:191" x14ac:dyDescent="0.2">
      <c r="GI56141" s="422"/>
    </row>
    <row r="56142" spans="191:191" x14ac:dyDescent="0.2">
      <c r="GI56142" s="422"/>
    </row>
    <row r="56143" spans="191:191" x14ac:dyDescent="0.2">
      <c r="GI56143" s="422"/>
    </row>
    <row r="56144" spans="191:191" x14ac:dyDescent="0.2">
      <c r="GI56144" s="422"/>
    </row>
    <row r="56145" spans="191:191" x14ac:dyDescent="0.2">
      <c r="GI56145" s="422"/>
    </row>
    <row r="56146" spans="191:191" x14ac:dyDescent="0.2">
      <c r="GI56146" s="422"/>
    </row>
    <row r="56147" spans="191:191" x14ac:dyDescent="0.2">
      <c r="GI56147" s="422"/>
    </row>
    <row r="56148" spans="191:191" x14ac:dyDescent="0.2">
      <c r="GI56148" s="422"/>
    </row>
    <row r="56149" spans="191:191" x14ac:dyDescent="0.2">
      <c r="GI56149" s="422"/>
    </row>
    <row r="56150" spans="191:191" x14ac:dyDescent="0.2">
      <c r="GI56150" s="422"/>
    </row>
    <row r="56151" spans="191:191" x14ac:dyDescent="0.2">
      <c r="GI56151" s="422"/>
    </row>
    <row r="56152" spans="191:191" x14ac:dyDescent="0.2">
      <c r="GI56152" s="422"/>
    </row>
    <row r="56153" spans="191:191" x14ac:dyDescent="0.2">
      <c r="GI56153" s="422"/>
    </row>
    <row r="56154" spans="191:191" x14ac:dyDescent="0.2">
      <c r="GI56154" s="422"/>
    </row>
    <row r="56155" spans="191:191" x14ac:dyDescent="0.2">
      <c r="GI56155" s="422"/>
    </row>
    <row r="56156" spans="191:191" x14ac:dyDescent="0.2">
      <c r="GI56156" s="422"/>
    </row>
    <row r="56157" spans="191:191" x14ac:dyDescent="0.2">
      <c r="GI56157" s="422"/>
    </row>
    <row r="56158" spans="191:191" x14ac:dyDescent="0.2">
      <c r="GI56158" s="422"/>
    </row>
    <row r="56159" spans="191:191" x14ac:dyDescent="0.2">
      <c r="GI56159" s="422"/>
    </row>
    <row r="56160" spans="191:191" x14ac:dyDescent="0.2">
      <c r="GI56160" s="422"/>
    </row>
    <row r="56161" spans="191:191" x14ac:dyDescent="0.2">
      <c r="GI56161" s="422"/>
    </row>
    <row r="56162" spans="191:191" x14ac:dyDescent="0.2">
      <c r="GI56162" s="422"/>
    </row>
    <row r="56163" spans="191:191" x14ac:dyDescent="0.2">
      <c r="GI56163" s="422"/>
    </row>
    <row r="56164" spans="191:191" x14ac:dyDescent="0.2">
      <c r="GI56164" s="422"/>
    </row>
    <row r="56165" spans="191:191" x14ac:dyDescent="0.2">
      <c r="GI56165" s="422"/>
    </row>
    <row r="56166" spans="191:191" x14ac:dyDescent="0.2">
      <c r="GI56166" s="422"/>
    </row>
    <row r="56167" spans="191:191" x14ac:dyDescent="0.2">
      <c r="GI56167" s="422"/>
    </row>
    <row r="56168" spans="191:191" x14ac:dyDescent="0.2">
      <c r="GI56168" s="422"/>
    </row>
    <row r="56169" spans="191:191" x14ac:dyDescent="0.2">
      <c r="GI56169" s="422"/>
    </row>
    <row r="56170" spans="191:191" x14ac:dyDescent="0.2">
      <c r="GI56170" s="422"/>
    </row>
    <row r="56171" spans="191:191" x14ac:dyDescent="0.2">
      <c r="GI56171" s="422"/>
    </row>
    <row r="56172" spans="191:191" x14ac:dyDescent="0.2">
      <c r="GI56172" s="422"/>
    </row>
    <row r="56173" spans="191:191" x14ac:dyDescent="0.2">
      <c r="GI56173" s="422"/>
    </row>
    <row r="56174" spans="191:191" x14ac:dyDescent="0.2">
      <c r="GI56174" s="422"/>
    </row>
    <row r="56175" spans="191:191" x14ac:dyDescent="0.2">
      <c r="GI56175" s="422"/>
    </row>
    <row r="56176" spans="191:191" x14ac:dyDescent="0.2">
      <c r="GI56176" s="422"/>
    </row>
    <row r="56177" spans="191:191" x14ac:dyDescent="0.2">
      <c r="GI56177" s="422"/>
    </row>
    <row r="56178" spans="191:191" x14ac:dyDescent="0.2">
      <c r="GI56178" s="422"/>
    </row>
    <row r="56179" spans="191:191" x14ac:dyDescent="0.2">
      <c r="GI56179" s="422"/>
    </row>
    <row r="56180" spans="191:191" x14ac:dyDescent="0.2">
      <c r="GI56180" s="422"/>
    </row>
    <row r="56181" spans="191:191" x14ac:dyDescent="0.2">
      <c r="GI56181" s="422"/>
    </row>
    <row r="56182" spans="191:191" x14ac:dyDescent="0.2">
      <c r="GI56182" s="422"/>
    </row>
    <row r="56183" spans="191:191" x14ac:dyDescent="0.2">
      <c r="GI56183" s="422"/>
    </row>
    <row r="56184" spans="191:191" x14ac:dyDescent="0.2">
      <c r="GI56184" s="422"/>
    </row>
    <row r="56185" spans="191:191" x14ac:dyDescent="0.2">
      <c r="GI56185" s="422"/>
    </row>
    <row r="56186" spans="191:191" x14ac:dyDescent="0.2">
      <c r="GI56186" s="422"/>
    </row>
    <row r="56187" spans="191:191" x14ac:dyDescent="0.2">
      <c r="GI56187" s="422"/>
    </row>
    <row r="56188" spans="191:191" x14ac:dyDescent="0.2">
      <c r="GI56188" s="422"/>
    </row>
    <row r="56189" spans="191:191" x14ac:dyDescent="0.2">
      <c r="GI56189" s="422"/>
    </row>
    <row r="56190" spans="191:191" x14ac:dyDescent="0.2">
      <c r="GI56190" s="422"/>
    </row>
    <row r="56191" spans="191:191" x14ac:dyDescent="0.2">
      <c r="GI56191" s="422"/>
    </row>
    <row r="56192" spans="191:191" x14ac:dyDescent="0.2">
      <c r="GI56192" s="422"/>
    </row>
    <row r="56193" spans="191:191" x14ac:dyDescent="0.2">
      <c r="GI56193" s="422"/>
    </row>
    <row r="56194" spans="191:191" x14ac:dyDescent="0.2">
      <c r="GI56194" s="422"/>
    </row>
    <row r="56195" spans="191:191" x14ac:dyDescent="0.2">
      <c r="GI56195" s="422"/>
    </row>
    <row r="56196" spans="191:191" x14ac:dyDescent="0.2">
      <c r="GI56196" s="422"/>
    </row>
    <row r="56197" spans="191:191" x14ac:dyDescent="0.2">
      <c r="GI56197" s="422"/>
    </row>
    <row r="56198" spans="191:191" x14ac:dyDescent="0.2">
      <c r="GI56198" s="422"/>
    </row>
    <row r="56199" spans="191:191" x14ac:dyDescent="0.2">
      <c r="GI56199" s="422"/>
    </row>
    <row r="56200" spans="191:191" x14ac:dyDescent="0.2">
      <c r="GI56200" s="422"/>
    </row>
    <row r="56201" spans="191:191" x14ac:dyDescent="0.2">
      <c r="GI56201" s="422"/>
    </row>
    <row r="56202" spans="191:191" x14ac:dyDescent="0.2">
      <c r="GI56202" s="422"/>
    </row>
    <row r="56203" spans="191:191" x14ac:dyDescent="0.2">
      <c r="GI56203" s="422"/>
    </row>
    <row r="56204" spans="191:191" x14ac:dyDescent="0.2">
      <c r="GI56204" s="422"/>
    </row>
    <row r="56205" spans="191:191" x14ac:dyDescent="0.2">
      <c r="GI56205" s="422"/>
    </row>
    <row r="56206" spans="191:191" x14ac:dyDescent="0.2">
      <c r="GI56206" s="422"/>
    </row>
    <row r="56207" spans="191:191" x14ac:dyDescent="0.2">
      <c r="GI56207" s="422"/>
    </row>
    <row r="56208" spans="191:191" x14ac:dyDescent="0.2">
      <c r="GI56208" s="422"/>
    </row>
    <row r="56209" spans="191:191" x14ac:dyDescent="0.2">
      <c r="GI56209" s="422"/>
    </row>
    <row r="56210" spans="191:191" x14ac:dyDescent="0.2">
      <c r="GI56210" s="422"/>
    </row>
    <row r="56211" spans="191:191" x14ac:dyDescent="0.2">
      <c r="GI56211" s="422"/>
    </row>
    <row r="56212" spans="191:191" x14ac:dyDescent="0.2">
      <c r="GI56212" s="422"/>
    </row>
    <row r="56213" spans="191:191" x14ac:dyDescent="0.2">
      <c r="GI56213" s="422"/>
    </row>
    <row r="56214" spans="191:191" x14ac:dyDescent="0.2">
      <c r="GI56214" s="422"/>
    </row>
    <row r="56215" spans="191:191" x14ac:dyDescent="0.2">
      <c r="GI56215" s="422"/>
    </row>
    <row r="56216" spans="191:191" x14ac:dyDescent="0.2">
      <c r="GI56216" s="422"/>
    </row>
    <row r="56217" spans="191:191" x14ac:dyDescent="0.2">
      <c r="GI56217" s="422"/>
    </row>
    <row r="56218" spans="191:191" x14ac:dyDescent="0.2">
      <c r="GI56218" s="422"/>
    </row>
    <row r="56219" spans="191:191" x14ac:dyDescent="0.2">
      <c r="GI56219" s="422"/>
    </row>
    <row r="56220" spans="191:191" x14ac:dyDescent="0.2">
      <c r="GI56220" s="422"/>
    </row>
    <row r="56221" spans="191:191" x14ac:dyDescent="0.2">
      <c r="GI56221" s="422"/>
    </row>
    <row r="56222" spans="191:191" x14ac:dyDescent="0.2">
      <c r="GI56222" s="422"/>
    </row>
    <row r="56223" spans="191:191" x14ac:dyDescent="0.2">
      <c r="GI56223" s="422"/>
    </row>
    <row r="56224" spans="191:191" x14ac:dyDescent="0.2">
      <c r="GI56224" s="422"/>
    </row>
    <row r="56225" spans="191:191" x14ac:dyDescent="0.2">
      <c r="GI56225" s="422"/>
    </row>
    <row r="56226" spans="191:191" x14ac:dyDescent="0.2">
      <c r="GI56226" s="422"/>
    </row>
    <row r="56227" spans="191:191" x14ac:dyDescent="0.2">
      <c r="GI56227" s="422"/>
    </row>
    <row r="56228" spans="191:191" x14ac:dyDescent="0.2">
      <c r="GI56228" s="422"/>
    </row>
    <row r="56229" spans="191:191" x14ac:dyDescent="0.2">
      <c r="GI56229" s="422"/>
    </row>
    <row r="56230" spans="191:191" x14ac:dyDescent="0.2">
      <c r="GI56230" s="422"/>
    </row>
    <row r="56231" spans="191:191" x14ac:dyDescent="0.2">
      <c r="GI56231" s="422"/>
    </row>
    <row r="56232" spans="191:191" x14ac:dyDescent="0.2">
      <c r="GI56232" s="422"/>
    </row>
    <row r="56233" spans="191:191" x14ac:dyDescent="0.2">
      <c r="GI56233" s="422"/>
    </row>
    <row r="56234" spans="191:191" x14ac:dyDescent="0.2">
      <c r="GI56234" s="422"/>
    </row>
    <row r="56235" spans="191:191" x14ac:dyDescent="0.2">
      <c r="GI56235" s="422"/>
    </row>
    <row r="56236" spans="191:191" x14ac:dyDescent="0.2">
      <c r="GI56236" s="422"/>
    </row>
    <row r="56237" spans="191:191" x14ac:dyDescent="0.2">
      <c r="GI56237" s="422"/>
    </row>
    <row r="56238" spans="191:191" x14ac:dyDescent="0.2">
      <c r="GI56238" s="422"/>
    </row>
    <row r="56239" spans="191:191" x14ac:dyDescent="0.2">
      <c r="GI56239" s="422"/>
    </row>
    <row r="56240" spans="191:191" x14ac:dyDescent="0.2">
      <c r="GI56240" s="422"/>
    </row>
    <row r="56241" spans="191:191" x14ac:dyDescent="0.2">
      <c r="GI56241" s="422"/>
    </row>
    <row r="56242" spans="191:191" x14ac:dyDescent="0.2">
      <c r="GI56242" s="422"/>
    </row>
    <row r="56243" spans="191:191" x14ac:dyDescent="0.2">
      <c r="GI56243" s="422"/>
    </row>
    <row r="56244" spans="191:191" x14ac:dyDescent="0.2">
      <c r="GI56244" s="422"/>
    </row>
    <row r="56245" spans="191:191" x14ac:dyDescent="0.2">
      <c r="GI56245" s="422"/>
    </row>
    <row r="56246" spans="191:191" x14ac:dyDescent="0.2">
      <c r="GI56246" s="422"/>
    </row>
    <row r="56247" spans="191:191" x14ac:dyDescent="0.2">
      <c r="GI56247" s="422"/>
    </row>
    <row r="56248" spans="191:191" x14ac:dyDescent="0.2">
      <c r="GI56248" s="422"/>
    </row>
    <row r="56249" spans="191:191" x14ac:dyDescent="0.2">
      <c r="GI56249" s="422"/>
    </row>
    <row r="56250" spans="191:191" x14ac:dyDescent="0.2">
      <c r="GI56250" s="422"/>
    </row>
    <row r="56251" spans="191:191" x14ac:dyDescent="0.2">
      <c r="GI56251" s="422"/>
    </row>
    <row r="56252" spans="191:191" x14ac:dyDescent="0.2">
      <c r="GI56252" s="422"/>
    </row>
    <row r="56253" spans="191:191" x14ac:dyDescent="0.2">
      <c r="GI56253" s="422"/>
    </row>
    <row r="56254" spans="191:191" x14ac:dyDescent="0.2">
      <c r="GI56254" s="422"/>
    </row>
    <row r="56255" spans="191:191" x14ac:dyDescent="0.2">
      <c r="GI56255" s="422"/>
    </row>
    <row r="56256" spans="191:191" x14ac:dyDescent="0.2">
      <c r="GI56256" s="422"/>
    </row>
    <row r="56257" spans="191:191" x14ac:dyDescent="0.2">
      <c r="GI56257" s="422"/>
    </row>
    <row r="56258" spans="191:191" x14ac:dyDescent="0.2">
      <c r="GI56258" s="422"/>
    </row>
    <row r="56259" spans="191:191" x14ac:dyDescent="0.2">
      <c r="GI56259" s="422"/>
    </row>
    <row r="56260" spans="191:191" x14ac:dyDescent="0.2">
      <c r="GI56260" s="422"/>
    </row>
    <row r="56261" spans="191:191" x14ac:dyDescent="0.2">
      <c r="GI56261" s="422"/>
    </row>
    <row r="56262" spans="191:191" x14ac:dyDescent="0.2">
      <c r="GI56262" s="422"/>
    </row>
    <row r="56263" spans="191:191" x14ac:dyDescent="0.2">
      <c r="GI56263" s="422"/>
    </row>
    <row r="56264" spans="191:191" x14ac:dyDescent="0.2">
      <c r="GI56264" s="422"/>
    </row>
    <row r="56265" spans="191:191" x14ac:dyDescent="0.2">
      <c r="GI56265" s="422"/>
    </row>
    <row r="56266" spans="191:191" x14ac:dyDescent="0.2">
      <c r="GI56266" s="422"/>
    </row>
    <row r="56267" spans="191:191" x14ac:dyDescent="0.2">
      <c r="GI56267" s="422"/>
    </row>
    <row r="56268" spans="191:191" x14ac:dyDescent="0.2">
      <c r="GI56268" s="422"/>
    </row>
    <row r="56269" spans="191:191" x14ac:dyDescent="0.2">
      <c r="GI56269" s="422"/>
    </row>
    <row r="56270" spans="191:191" x14ac:dyDescent="0.2">
      <c r="GI56270" s="422"/>
    </row>
    <row r="56271" spans="191:191" x14ac:dyDescent="0.2">
      <c r="GI56271" s="422"/>
    </row>
    <row r="56272" spans="191:191" x14ac:dyDescent="0.2">
      <c r="GI56272" s="422"/>
    </row>
    <row r="56273" spans="191:191" x14ac:dyDescent="0.2">
      <c r="GI56273" s="422"/>
    </row>
    <row r="56274" spans="191:191" x14ac:dyDescent="0.2">
      <c r="GI56274" s="422"/>
    </row>
    <row r="56275" spans="191:191" x14ac:dyDescent="0.2">
      <c r="GI56275" s="422"/>
    </row>
    <row r="56276" spans="191:191" x14ac:dyDescent="0.2">
      <c r="GI56276" s="422"/>
    </row>
    <row r="56277" spans="191:191" x14ac:dyDescent="0.2">
      <c r="GI56277" s="422"/>
    </row>
    <row r="56278" spans="191:191" x14ac:dyDescent="0.2">
      <c r="GI56278" s="422"/>
    </row>
    <row r="56279" spans="191:191" x14ac:dyDescent="0.2">
      <c r="GI56279" s="422"/>
    </row>
    <row r="56280" spans="191:191" x14ac:dyDescent="0.2">
      <c r="GI56280" s="422"/>
    </row>
    <row r="56281" spans="191:191" x14ac:dyDescent="0.2">
      <c r="GI56281" s="422"/>
    </row>
    <row r="56282" spans="191:191" x14ac:dyDescent="0.2">
      <c r="GI56282" s="422"/>
    </row>
    <row r="56283" spans="191:191" x14ac:dyDescent="0.2">
      <c r="GI56283" s="422"/>
    </row>
    <row r="56284" spans="191:191" x14ac:dyDescent="0.2">
      <c r="GI56284" s="422"/>
    </row>
    <row r="56285" spans="191:191" x14ac:dyDescent="0.2">
      <c r="GI56285" s="422"/>
    </row>
    <row r="56286" spans="191:191" x14ac:dyDescent="0.2">
      <c r="GI56286" s="422"/>
    </row>
    <row r="56287" spans="191:191" x14ac:dyDescent="0.2">
      <c r="GI56287" s="422"/>
    </row>
    <row r="56288" spans="191:191" x14ac:dyDescent="0.2">
      <c r="GI56288" s="422"/>
    </row>
    <row r="56289" spans="191:191" x14ac:dyDescent="0.2">
      <c r="GI56289" s="422"/>
    </row>
    <row r="56290" spans="191:191" x14ac:dyDescent="0.2">
      <c r="GI56290" s="422"/>
    </row>
    <row r="56291" spans="191:191" x14ac:dyDescent="0.2">
      <c r="GI56291" s="422"/>
    </row>
    <row r="56292" spans="191:191" x14ac:dyDescent="0.2">
      <c r="GI56292" s="422"/>
    </row>
    <row r="56293" spans="191:191" x14ac:dyDescent="0.2">
      <c r="GI56293" s="422"/>
    </row>
    <row r="56294" spans="191:191" x14ac:dyDescent="0.2">
      <c r="GI56294" s="422"/>
    </row>
    <row r="56295" spans="191:191" x14ac:dyDescent="0.2">
      <c r="GI56295" s="422"/>
    </row>
    <row r="56296" spans="191:191" x14ac:dyDescent="0.2">
      <c r="GI56296" s="422"/>
    </row>
    <row r="56297" spans="191:191" x14ac:dyDescent="0.2">
      <c r="GI56297" s="422"/>
    </row>
    <row r="56298" spans="191:191" x14ac:dyDescent="0.2">
      <c r="GI56298" s="422"/>
    </row>
    <row r="56299" spans="191:191" x14ac:dyDescent="0.2">
      <c r="GI56299" s="422"/>
    </row>
    <row r="56300" spans="191:191" x14ac:dyDescent="0.2">
      <c r="GI56300" s="422"/>
    </row>
    <row r="56301" spans="191:191" x14ac:dyDescent="0.2">
      <c r="GI56301" s="422"/>
    </row>
    <row r="56302" spans="191:191" x14ac:dyDescent="0.2">
      <c r="GI56302" s="422"/>
    </row>
    <row r="56303" spans="191:191" x14ac:dyDescent="0.2">
      <c r="GI56303" s="422"/>
    </row>
    <row r="56304" spans="191:191" x14ac:dyDescent="0.2">
      <c r="GI56304" s="422"/>
    </row>
    <row r="56305" spans="191:191" x14ac:dyDescent="0.2">
      <c r="GI56305" s="422"/>
    </row>
    <row r="56306" spans="191:191" x14ac:dyDescent="0.2">
      <c r="GI56306" s="422"/>
    </row>
    <row r="56307" spans="191:191" x14ac:dyDescent="0.2">
      <c r="GI56307" s="422"/>
    </row>
    <row r="56308" spans="191:191" x14ac:dyDescent="0.2">
      <c r="GI56308" s="422"/>
    </row>
    <row r="56309" spans="191:191" x14ac:dyDescent="0.2">
      <c r="GI56309" s="422"/>
    </row>
    <row r="56310" spans="191:191" x14ac:dyDescent="0.2">
      <c r="GI56310" s="422"/>
    </row>
    <row r="56311" spans="191:191" x14ac:dyDescent="0.2">
      <c r="GI56311" s="422"/>
    </row>
    <row r="56312" spans="191:191" x14ac:dyDescent="0.2">
      <c r="GI56312" s="422"/>
    </row>
    <row r="56313" spans="191:191" x14ac:dyDescent="0.2">
      <c r="GI56313" s="422"/>
    </row>
    <row r="56314" spans="191:191" x14ac:dyDescent="0.2">
      <c r="GI56314" s="422"/>
    </row>
    <row r="56315" spans="191:191" x14ac:dyDescent="0.2">
      <c r="GI56315" s="422"/>
    </row>
    <row r="56316" spans="191:191" x14ac:dyDescent="0.2">
      <c r="GI56316" s="422"/>
    </row>
    <row r="56317" spans="191:191" x14ac:dyDescent="0.2">
      <c r="GI56317" s="422"/>
    </row>
    <row r="56318" spans="191:191" x14ac:dyDescent="0.2">
      <c r="GI56318" s="422"/>
    </row>
    <row r="56319" spans="191:191" x14ac:dyDescent="0.2">
      <c r="GI56319" s="422"/>
    </row>
    <row r="56320" spans="191:191" x14ac:dyDescent="0.2">
      <c r="GI56320" s="422"/>
    </row>
    <row r="56321" spans="191:191" x14ac:dyDescent="0.2">
      <c r="GI56321" s="422"/>
    </row>
    <row r="56322" spans="191:191" x14ac:dyDescent="0.2">
      <c r="GI56322" s="422"/>
    </row>
    <row r="56323" spans="191:191" x14ac:dyDescent="0.2">
      <c r="GI56323" s="422"/>
    </row>
    <row r="56324" spans="191:191" x14ac:dyDescent="0.2">
      <c r="GI56324" s="422"/>
    </row>
    <row r="56325" spans="191:191" x14ac:dyDescent="0.2">
      <c r="GI56325" s="422"/>
    </row>
    <row r="56326" spans="191:191" x14ac:dyDescent="0.2">
      <c r="GI56326" s="422"/>
    </row>
    <row r="56327" spans="191:191" x14ac:dyDescent="0.2">
      <c r="GI56327" s="422"/>
    </row>
    <row r="56328" spans="191:191" x14ac:dyDescent="0.2">
      <c r="GI56328" s="422"/>
    </row>
    <row r="56329" spans="191:191" x14ac:dyDescent="0.2">
      <c r="GI56329" s="422"/>
    </row>
    <row r="56330" spans="191:191" x14ac:dyDescent="0.2">
      <c r="GI56330" s="422"/>
    </row>
    <row r="56331" spans="191:191" x14ac:dyDescent="0.2">
      <c r="GI56331" s="422"/>
    </row>
    <row r="56332" spans="191:191" x14ac:dyDescent="0.2">
      <c r="GI56332" s="422"/>
    </row>
    <row r="56333" spans="191:191" x14ac:dyDescent="0.2">
      <c r="GI56333" s="422"/>
    </row>
    <row r="56334" spans="191:191" x14ac:dyDescent="0.2">
      <c r="GI56334" s="422"/>
    </row>
    <row r="56335" spans="191:191" x14ac:dyDescent="0.2">
      <c r="GI56335" s="422"/>
    </row>
    <row r="56336" spans="191:191" x14ac:dyDescent="0.2">
      <c r="GI56336" s="422"/>
    </row>
    <row r="56337" spans="191:191" x14ac:dyDescent="0.2">
      <c r="GI56337" s="422"/>
    </row>
    <row r="56338" spans="191:191" x14ac:dyDescent="0.2">
      <c r="GI56338" s="422"/>
    </row>
    <row r="56339" spans="191:191" x14ac:dyDescent="0.2">
      <c r="GI56339" s="422"/>
    </row>
    <row r="56340" spans="191:191" x14ac:dyDescent="0.2">
      <c r="GI56340" s="422"/>
    </row>
    <row r="56341" spans="191:191" x14ac:dyDescent="0.2">
      <c r="GI56341" s="422"/>
    </row>
    <row r="56342" spans="191:191" x14ac:dyDescent="0.2">
      <c r="GI56342" s="422"/>
    </row>
    <row r="56343" spans="191:191" x14ac:dyDescent="0.2">
      <c r="GI56343" s="422"/>
    </row>
    <row r="56344" spans="191:191" x14ac:dyDescent="0.2">
      <c r="GI56344" s="422"/>
    </row>
    <row r="56345" spans="191:191" x14ac:dyDescent="0.2">
      <c r="GI56345" s="422"/>
    </row>
    <row r="56346" spans="191:191" x14ac:dyDescent="0.2">
      <c r="GI56346" s="422"/>
    </row>
    <row r="56347" spans="191:191" x14ac:dyDescent="0.2">
      <c r="GI56347" s="422"/>
    </row>
    <row r="56348" spans="191:191" x14ac:dyDescent="0.2">
      <c r="GI56348" s="422"/>
    </row>
    <row r="56349" spans="191:191" x14ac:dyDescent="0.2">
      <c r="GI56349" s="422"/>
    </row>
    <row r="56350" spans="191:191" x14ac:dyDescent="0.2">
      <c r="GI56350" s="422"/>
    </row>
    <row r="56351" spans="191:191" x14ac:dyDescent="0.2">
      <c r="GI56351" s="422"/>
    </row>
    <row r="56352" spans="191:191" x14ac:dyDescent="0.2">
      <c r="GI56352" s="422"/>
    </row>
    <row r="56353" spans="191:191" x14ac:dyDescent="0.2">
      <c r="GI56353" s="422"/>
    </row>
    <row r="56354" spans="191:191" x14ac:dyDescent="0.2">
      <c r="GI56354" s="422"/>
    </row>
    <row r="56355" spans="191:191" x14ac:dyDescent="0.2">
      <c r="GI56355" s="422"/>
    </row>
    <row r="56356" spans="191:191" x14ac:dyDescent="0.2">
      <c r="GI56356" s="422"/>
    </row>
    <row r="56357" spans="191:191" x14ac:dyDescent="0.2">
      <c r="GI56357" s="422"/>
    </row>
    <row r="56358" spans="191:191" x14ac:dyDescent="0.2">
      <c r="GI56358" s="422"/>
    </row>
    <row r="56359" spans="191:191" x14ac:dyDescent="0.2">
      <c r="GI56359" s="422"/>
    </row>
    <row r="56360" spans="191:191" x14ac:dyDescent="0.2">
      <c r="GI56360" s="422"/>
    </row>
    <row r="56361" spans="191:191" x14ac:dyDescent="0.2">
      <c r="GI56361" s="422"/>
    </row>
    <row r="56362" spans="191:191" x14ac:dyDescent="0.2">
      <c r="GI56362" s="422"/>
    </row>
    <row r="56363" spans="191:191" x14ac:dyDescent="0.2">
      <c r="GI56363" s="422"/>
    </row>
    <row r="56364" spans="191:191" x14ac:dyDescent="0.2">
      <c r="GI56364" s="422"/>
    </row>
    <row r="56365" spans="191:191" x14ac:dyDescent="0.2">
      <c r="GI56365" s="422"/>
    </row>
    <row r="56366" spans="191:191" x14ac:dyDescent="0.2">
      <c r="GI56366" s="422"/>
    </row>
    <row r="56367" spans="191:191" x14ac:dyDescent="0.2">
      <c r="GI56367" s="422"/>
    </row>
    <row r="56368" spans="191:191" x14ac:dyDescent="0.2">
      <c r="GI56368" s="422"/>
    </row>
    <row r="56369" spans="191:191" x14ac:dyDescent="0.2">
      <c r="GI56369" s="422"/>
    </row>
    <row r="56370" spans="191:191" x14ac:dyDescent="0.2">
      <c r="GI56370" s="422"/>
    </row>
    <row r="56371" spans="191:191" x14ac:dyDescent="0.2">
      <c r="GI56371" s="422"/>
    </row>
    <row r="56372" spans="191:191" x14ac:dyDescent="0.2">
      <c r="GI56372" s="422"/>
    </row>
    <row r="56373" spans="191:191" x14ac:dyDescent="0.2">
      <c r="GI56373" s="422"/>
    </row>
    <row r="56374" spans="191:191" x14ac:dyDescent="0.2">
      <c r="GI56374" s="422"/>
    </row>
    <row r="56375" spans="191:191" x14ac:dyDescent="0.2">
      <c r="GI56375" s="422"/>
    </row>
    <row r="56376" spans="191:191" x14ac:dyDescent="0.2">
      <c r="GI56376" s="422"/>
    </row>
    <row r="56377" spans="191:191" x14ac:dyDescent="0.2">
      <c r="GI56377" s="422"/>
    </row>
    <row r="56378" spans="191:191" x14ac:dyDescent="0.2">
      <c r="GI56378" s="422"/>
    </row>
    <row r="56379" spans="191:191" x14ac:dyDescent="0.2">
      <c r="GI56379" s="422"/>
    </row>
    <row r="56380" spans="191:191" x14ac:dyDescent="0.2">
      <c r="GI56380" s="422"/>
    </row>
    <row r="56381" spans="191:191" x14ac:dyDescent="0.2">
      <c r="GI56381" s="422"/>
    </row>
    <row r="56382" spans="191:191" x14ac:dyDescent="0.2">
      <c r="GI56382" s="422"/>
    </row>
    <row r="56383" spans="191:191" x14ac:dyDescent="0.2">
      <c r="GI56383" s="422"/>
    </row>
    <row r="56384" spans="191:191" x14ac:dyDescent="0.2">
      <c r="GI56384" s="422"/>
    </row>
    <row r="56385" spans="191:191" x14ac:dyDescent="0.2">
      <c r="GI56385" s="422"/>
    </row>
    <row r="56386" spans="191:191" x14ac:dyDescent="0.2">
      <c r="GI56386" s="422"/>
    </row>
    <row r="56387" spans="191:191" x14ac:dyDescent="0.2">
      <c r="GI56387" s="422"/>
    </row>
    <row r="56388" spans="191:191" x14ac:dyDescent="0.2">
      <c r="GI56388" s="422"/>
    </row>
    <row r="56389" spans="191:191" x14ac:dyDescent="0.2">
      <c r="GI56389" s="422"/>
    </row>
    <row r="56390" spans="191:191" x14ac:dyDescent="0.2">
      <c r="GI56390" s="422"/>
    </row>
    <row r="56391" spans="191:191" x14ac:dyDescent="0.2">
      <c r="GI56391" s="422"/>
    </row>
    <row r="56392" spans="191:191" x14ac:dyDescent="0.2">
      <c r="GI56392" s="422"/>
    </row>
    <row r="56393" spans="191:191" x14ac:dyDescent="0.2">
      <c r="GI56393" s="422"/>
    </row>
    <row r="56394" spans="191:191" x14ac:dyDescent="0.2">
      <c r="GI56394" s="422"/>
    </row>
    <row r="56395" spans="191:191" x14ac:dyDescent="0.2">
      <c r="GI56395" s="422"/>
    </row>
    <row r="56396" spans="191:191" x14ac:dyDescent="0.2">
      <c r="GI56396" s="422"/>
    </row>
    <row r="56397" spans="191:191" x14ac:dyDescent="0.2">
      <c r="GI56397" s="422"/>
    </row>
    <row r="56398" spans="191:191" x14ac:dyDescent="0.2">
      <c r="GI56398" s="422"/>
    </row>
    <row r="56399" spans="191:191" x14ac:dyDescent="0.2">
      <c r="GI56399" s="422"/>
    </row>
    <row r="56400" spans="191:191" x14ac:dyDescent="0.2">
      <c r="GI56400" s="422"/>
    </row>
    <row r="56401" spans="191:191" x14ac:dyDescent="0.2">
      <c r="GI56401" s="422"/>
    </row>
    <row r="56402" spans="191:191" x14ac:dyDescent="0.2">
      <c r="GI56402" s="422"/>
    </row>
    <row r="56403" spans="191:191" x14ac:dyDescent="0.2">
      <c r="GI56403" s="422"/>
    </row>
    <row r="56404" spans="191:191" x14ac:dyDescent="0.2">
      <c r="GI56404" s="422"/>
    </row>
    <row r="56405" spans="191:191" x14ac:dyDescent="0.2">
      <c r="GI56405" s="422"/>
    </row>
    <row r="56406" spans="191:191" x14ac:dyDescent="0.2">
      <c r="GI56406" s="422"/>
    </row>
    <row r="56407" spans="191:191" x14ac:dyDescent="0.2">
      <c r="GI56407" s="422"/>
    </row>
    <row r="56408" spans="191:191" x14ac:dyDescent="0.2">
      <c r="GI56408" s="422"/>
    </row>
    <row r="56409" spans="191:191" x14ac:dyDescent="0.2">
      <c r="GI56409" s="422"/>
    </row>
    <row r="56410" spans="191:191" x14ac:dyDescent="0.2">
      <c r="GI56410" s="422"/>
    </row>
    <row r="56411" spans="191:191" x14ac:dyDescent="0.2">
      <c r="GI56411" s="422"/>
    </row>
    <row r="56412" spans="191:191" x14ac:dyDescent="0.2">
      <c r="GI56412" s="422"/>
    </row>
    <row r="56413" spans="191:191" x14ac:dyDescent="0.2">
      <c r="GI56413" s="422"/>
    </row>
    <row r="56414" spans="191:191" x14ac:dyDescent="0.2">
      <c r="GI56414" s="422"/>
    </row>
    <row r="56415" spans="191:191" x14ac:dyDescent="0.2">
      <c r="GI56415" s="422"/>
    </row>
    <row r="56416" spans="191:191" x14ac:dyDescent="0.2">
      <c r="GI56416" s="422"/>
    </row>
    <row r="56417" spans="191:191" x14ac:dyDescent="0.2">
      <c r="GI56417" s="422"/>
    </row>
    <row r="56418" spans="191:191" x14ac:dyDescent="0.2">
      <c r="GI56418" s="422"/>
    </row>
    <row r="56419" spans="191:191" x14ac:dyDescent="0.2">
      <c r="GI56419" s="422"/>
    </row>
    <row r="56420" spans="191:191" x14ac:dyDescent="0.2">
      <c r="GI56420" s="422"/>
    </row>
    <row r="56421" spans="191:191" x14ac:dyDescent="0.2">
      <c r="GI56421" s="422"/>
    </row>
    <row r="56422" spans="191:191" x14ac:dyDescent="0.2">
      <c r="GI56422" s="422"/>
    </row>
    <row r="56423" spans="191:191" x14ac:dyDescent="0.2">
      <c r="GI56423" s="422"/>
    </row>
    <row r="56424" spans="191:191" x14ac:dyDescent="0.2">
      <c r="GI56424" s="422"/>
    </row>
    <row r="56425" spans="191:191" x14ac:dyDescent="0.2">
      <c r="GI56425" s="422"/>
    </row>
    <row r="56426" spans="191:191" x14ac:dyDescent="0.2">
      <c r="GI56426" s="422"/>
    </row>
    <row r="56427" spans="191:191" x14ac:dyDescent="0.2">
      <c r="GI56427" s="422"/>
    </row>
    <row r="56428" spans="191:191" x14ac:dyDescent="0.2">
      <c r="GI56428" s="422"/>
    </row>
    <row r="56429" spans="191:191" x14ac:dyDescent="0.2">
      <c r="GI56429" s="422"/>
    </row>
    <row r="56430" spans="191:191" x14ac:dyDescent="0.2">
      <c r="GI56430" s="422"/>
    </row>
    <row r="56431" spans="191:191" x14ac:dyDescent="0.2">
      <c r="GI56431" s="422"/>
    </row>
    <row r="56432" spans="191:191" x14ac:dyDescent="0.2">
      <c r="GI56432" s="422"/>
    </row>
    <row r="56433" spans="191:191" x14ac:dyDescent="0.2">
      <c r="GI56433" s="422"/>
    </row>
    <row r="56434" spans="191:191" x14ac:dyDescent="0.2">
      <c r="GI56434" s="422"/>
    </row>
    <row r="56435" spans="191:191" x14ac:dyDescent="0.2">
      <c r="GI56435" s="422"/>
    </row>
    <row r="56436" spans="191:191" x14ac:dyDescent="0.2">
      <c r="GI56436" s="422"/>
    </row>
    <row r="56437" spans="191:191" x14ac:dyDescent="0.2">
      <c r="GI56437" s="422"/>
    </row>
    <row r="56438" spans="191:191" x14ac:dyDescent="0.2">
      <c r="GI56438" s="422"/>
    </row>
    <row r="56439" spans="191:191" x14ac:dyDescent="0.2">
      <c r="GI56439" s="422"/>
    </row>
    <row r="56440" spans="191:191" x14ac:dyDescent="0.2">
      <c r="GI56440" s="422"/>
    </row>
    <row r="56441" spans="191:191" x14ac:dyDescent="0.2">
      <c r="GI56441" s="422"/>
    </row>
    <row r="56442" spans="191:191" x14ac:dyDescent="0.2">
      <c r="GI56442" s="422"/>
    </row>
    <row r="56443" spans="191:191" x14ac:dyDescent="0.2">
      <c r="GI56443" s="422"/>
    </row>
    <row r="56444" spans="191:191" x14ac:dyDescent="0.2">
      <c r="GI56444" s="422"/>
    </row>
    <row r="56445" spans="191:191" x14ac:dyDescent="0.2">
      <c r="GI56445" s="422"/>
    </row>
    <row r="56446" spans="191:191" x14ac:dyDescent="0.2">
      <c r="GI56446" s="422"/>
    </row>
    <row r="56447" spans="191:191" x14ac:dyDescent="0.2">
      <c r="GI56447" s="422"/>
    </row>
    <row r="56448" spans="191:191" x14ac:dyDescent="0.2">
      <c r="GI56448" s="422"/>
    </row>
    <row r="56449" spans="191:191" x14ac:dyDescent="0.2">
      <c r="GI56449" s="422"/>
    </row>
    <row r="56450" spans="191:191" x14ac:dyDescent="0.2">
      <c r="GI56450" s="422"/>
    </row>
    <row r="56451" spans="191:191" x14ac:dyDescent="0.2">
      <c r="GI56451" s="422"/>
    </row>
    <row r="56452" spans="191:191" x14ac:dyDescent="0.2">
      <c r="GI56452" s="422"/>
    </row>
    <row r="56453" spans="191:191" x14ac:dyDescent="0.2">
      <c r="GI56453" s="422"/>
    </row>
    <row r="56454" spans="191:191" x14ac:dyDescent="0.2">
      <c r="GI56454" s="422"/>
    </row>
    <row r="56455" spans="191:191" x14ac:dyDescent="0.2">
      <c r="GI56455" s="422"/>
    </row>
    <row r="56456" spans="191:191" x14ac:dyDescent="0.2">
      <c r="GI56456" s="422"/>
    </row>
    <row r="56457" spans="191:191" x14ac:dyDescent="0.2">
      <c r="GI56457" s="422"/>
    </row>
    <row r="56458" spans="191:191" x14ac:dyDescent="0.2">
      <c r="GI56458" s="422"/>
    </row>
    <row r="56459" spans="191:191" x14ac:dyDescent="0.2">
      <c r="GI56459" s="422"/>
    </row>
    <row r="56460" spans="191:191" x14ac:dyDescent="0.2">
      <c r="GI56460" s="422"/>
    </row>
    <row r="56461" spans="191:191" x14ac:dyDescent="0.2">
      <c r="GI56461" s="422"/>
    </row>
    <row r="56462" spans="191:191" x14ac:dyDescent="0.2">
      <c r="GI56462" s="422"/>
    </row>
    <row r="56463" spans="191:191" x14ac:dyDescent="0.2">
      <c r="GI56463" s="422"/>
    </row>
    <row r="56464" spans="191:191" x14ac:dyDescent="0.2">
      <c r="GI56464" s="422"/>
    </row>
    <row r="56465" spans="191:191" x14ac:dyDescent="0.2">
      <c r="GI56465" s="422"/>
    </row>
    <row r="56466" spans="191:191" x14ac:dyDescent="0.2">
      <c r="GI56466" s="422"/>
    </row>
    <row r="56467" spans="191:191" x14ac:dyDescent="0.2">
      <c r="GI56467" s="422"/>
    </row>
    <row r="56468" spans="191:191" x14ac:dyDescent="0.2">
      <c r="GI56468" s="422"/>
    </row>
    <row r="56469" spans="191:191" x14ac:dyDescent="0.2">
      <c r="GI56469" s="422"/>
    </row>
    <row r="56470" spans="191:191" x14ac:dyDescent="0.2">
      <c r="GI56470" s="422"/>
    </row>
    <row r="56471" spans="191:191" x14ac:dyDescent="0.2">
      <c r="GI56471" s="422"/>
    </row>
    <row r="56472" spans="191:191" x14ac:dyDescent="0.2">
      <c r="GI56472" s="422"/>
    </row>
    <row r="56473" spans="191:191" x14ac:dyDescent="0.2">
      <c r="GI56473" s="422"/>
    </row>
    <row r="56474" spans="191:191" x14ac:dyDescent="0.2">
      <c r="GI56474" s="422"/>
    </row>
    <row r="56475" spans="191:191" x14ac:dyDescent="0.2">
      <c r="GI56475" s="422"/>
    </row>
    <row r="56476" spans="191:191" x14ac:dyDescent="0.2">
      <c r="GI56476" s="422"/>
    </row>
    <row r="56477" spans="191:191" x14ac:dyDescent="0.2">
      <c r="GI56477" s="422"/>
    </row>
    <row r="56478" spans="191:191" x14ac:dyDescent="0.2">
      <c r="GI56478" s="422"/>
    </row>
    <row r="56479" spans="191:191" x14ac:dyDescent="0.2">
      <c r="GI56479" s="422"/>
    </row>
    <row r="56480" spans="191:191" x14ac:dyDescent="0.2">
      <c r="GI56480" s="422"/>
    </row>
    <row r="56481" spans="191:191" x14ac:dyDescent="0.2">
      <c r="GI56481" s="422"/>
    </row>
    <row r="56482" spans="191:191" x14ac:dyDescent="0.2">
      <c r="GI56482" s="422"/>
    </row>
    <row r="56483" spans="191:191" x14ac:dyDescent="0.2">
      <c r="GI56483" s="422"/>
    </row>
    <row r="56484" spans="191:191" x14ac:dyDescent="0.2">
      <c r="GI56484" s="422"/>
    </row>
    <row r="56485" spans="191:191" x14ac:dyDescent="0.2">
      <c r="GI56485" s="422"/>
    </row>
    <row r="56486" spans="191:191" x14ac:dyDescent="0.2">
      <c r="GI56486" s="422"/>
    </row>
    <row r="56487" spans="191:191" x14ac:dyDescent="0.2">
      <c r="GI56487" s="422"/>
    </row>
    <row r="56488" spans="191:191" x14ac:dyDescent="0.2">
      <c r="GI56488" s="422"/>
    </row>
    <row r="56489" spans="191:191" x14ac:dyDescent="0.2">
      <c r="GI56489" s="422"/>
    </row>
    <row r="56490" spans="191:191" x14ac:dyDescent="0.2">
      <c r="GI56490" s="422"/>
    </row>
    <row r="56491" spans="191:191" x14ac:dyDescent="0.2">
      <c r="GI56491" s="422"/>
    </row>
    <row r="56492" spans="191:191" x14ac:dyDescent="0.2">
      <c r="GI56492" s="422"/>
    </row>
    <row r="56493" spans="191:191" x14ac:dyDescent="0.2">
      <c r="GI56493" s="422"/>
    </row>
    <row r="56494" spans="191:191" x14ac:dyDescent="0.2">
      <c r="GI56494" s="422"/>
    </row>
    <row r="56495" spans="191:191" x14ac:dyDescent="0.2">
      <c r="GI56495" s="422"/>
    </row>
    <row r="56496" spans="191:191" x14ac:dyDescent="0.2">
      <c r="GI56496" s="422"/>
    </row>
    <row r="56497" spans="191:191" x14ac:dyDescent="0.2">
      <c r="GI56497" s="422"/>
    </row>
    <row r="56498" spans="191:191" x14ac:dyDescent="0.2">
      <c r="GI56498" s="422"/>
    </row>
    <row r="56499" spans="191:191" x14ac:dyDescent="0.2">
      <c r="GI56499" s="422"/>
    </row>
    <row r="56500" spans="191:191" x14ac:dyDescent="0.2">
      <c r="GI56500" s="422"/>
    </row>
    <row r="56501" spans="191:191" x14ac:dyDescent="0.2">
      <c r="GI56501" s="422"/>
    </row>
    <row r="56502" spans="191:191" x14ac:dyDescent="0.2">
      <c r="GI56502" s="422"/>
    </row>
    <row r="56503" spans="191:191" x14ac:dyDescent="0.2">
      <c r="GI56503" s="422"/>
    </row>
    <row r="56504" spans="191:191" x14ac:dyDescent="0.2">
      <c r="GI56504" s="422"/>
    </row>
    <row r="56505" spans="191:191" x14ac:dyDescent="0.2">
      <c r="GI56505" s="422"/>
    </row>
    <row r="56506" spans="191:191" x14ac:dyDescent="0.2">
      <c r="GI56506" s="422"/>
    </row>
    <row r="56507" spans="191:191" x14ac:dyDescent="0.2">
      <c r="GI56507" s="422"/>
    </row>
    <row r="56508" spans="191:191" x14ac:dyDescent="0.2">
      <c r="GI56508" s="422"/>
    </row>
    <row r="56509" spans="191:191" x14ac:dyDescent="0.2">
      <c r="GI56509" s="422"/>
    </row>
    <row r="56510" spans="191:191" x14ac:dyDescent="0.2">
      <c r="GI56510" s="422"/>
    </row>
    <row r="56511" spans="191:191" x14ac:dyDescent="0.2">
      <c r="GI56511" s="422"/>
    </row>
    <row r="56512" spans="191:191" x14ac:dyDescent="0.2">
      <c r="GI56512" s="422"/>
    </row>
    <row r="56513" spans="191:191" x14ac:dyDescent="0.2">
      <c r="GI56513" s="422"/>
    </row>
    <row r="56514" spans="191:191" x14ac:dyDescent="0.2">
      <c r="GI56514" s="422"/>
    </row>
    <row r="56515" spans="191:191" x14ac:dyDescent="0.2">
      <c r="GI56515" s="422"/>
    </row>
    <row r="56516" spans="191:191" x14ac:dyDescent="0.2">
      <c r="GI56516" s="422"/>
    </row>
    <row r="56517" spans="191:191" x14ac:dyDescent="0.2">
      <c r="GI56517" s="422"/>
    </row>
    <row r="56518" spans="191:191" x14ac:dyDescent="0.2">
      <c r="GI56518" s="422"/>
    </row>
    <row r="56519" spans="191:191" x14ac:dyDescent="0.2">
      <c r="GI56519" s="422"/>
    </row>
    <row r="56520" spans="191:191" x14ac:dyDescent="0.2">
      <c r="GI56520" s="422"/>
    </row>
    <row r="56521" spans="191:191" x14ac:dyDescent="0.2">
      <c r="GI56521" s="422"/>
    </row>
    <row r="56522" spans="191:191" x14ac:dyDescent="0.2">
      <c r="GI56522" s="422"/>
    </row>
    <row r="56523" spans="191:191" x14ac:dyDescent="0.2">
      <c r="GI56523" s="422"/>
    </row>
    <row r="56524" spans="191:191" x14ac:dyDescent="0.2">
      <c r="GI56524" s="422"/>
    </row>
    <row r="56525" spans="191:191" x14ac:dyDescent="0.2">
      <c r="GI56525" s="422"/>
    </row>
    <row r="56526" spans="191:191" x14ac:dyDescent="0.2">
      <c r="GI56526" s="422"/>
    </row>
    <row r="56527" spans="191:191" x14ac:dyDescent="0.2">
      <c r="GI56527" s="422"/>
    </row>
    <row r="56528" spans="191:191" x14ac:dyDescent="0.2">
      <c r="GI56528" s="422"/>
    </row>
    <row r="56529" spans="191:191" x14ac:dyDescent="0.2">
      <c r="GI56529" s="422"/>
    </row>
    <row r="56530" spans="191:191" x14ac:dyDescent="0.2">
      <c r="GI56530" s="422"/>
    </row>
    <row r="56531" spans="191:191" x14ac:dyDescent="0.2">
      <c r="GI56531" s="422"/>
    </row>
    <row r="56532" spans="191:191" x14ac:dyDescent="0.2">
      <c r="GI56532" s="422"/>
    </row>
    <row r="56533" spans="191:191" x14ac:dyDescent="0.2">
      <c r="GI56533" s="422"/>
    </row>
    <row r="56534" spans="191:191" x14ac:dyDescent="0.2">
      <c r="GI56534" s="422"/>
    </row>
    <row r="56535" spans="191:191" x14ac:dyDescent="0.2">
      <c r="GI56535" s="422"/>
    </row>
    <row r="56536" spans="191:191" x14ac:dyDescent="0.2">
      <c r="GI56536" s="422"/>
    </row>
    <row r="56537" spans="191:191" x14ac:dyDescent="0.2">
      <c r="GI56537" s="422"/>
    </row>
    <row r="56538" spans="191:191" x14ac:dyDescent="0.2">
      <c r="GI56538" s="422"/>
    </row>
    <row r="56539" spans="191:191" x14ac:dyDescent="0.2">
      <c r="GI56539" s="422"/>
    </row>
    <row r="56540" spans="191:191" x14ac:dyDescent="0.2">
      <c r="GI56540" s="422"/>
    </row>
    <row r="56541" spans="191:191" x14ac:dyDescent="0.2">
      <c r="GI56541" s="422"/>
    </row>
    <row r="56542" spans="191:191" x14ac:dyDescent="0.2">
      <c r="GI56542" s="422"/>
    </row>
    <row r="56543" spans="191:191" x14ac:dyDescent="0.2">
      <c r="GI56543" s="422"/>
    </row>
    <row r="56544" spans="191:191" x14ac:dyDescent="0.2">
      <c r="GI56544" s="422"/>
    </row>
    <row r="56545" spans="191:191" x14ac:dyDescent="0.2">
      <c r="GI56545" s="422"/>
    </row>
    <row r="56546" spans="191:191" x14ac:dyDescent="0.2">
      <c r="GI56546" s="422"/>
    </row>
    <row r="56547" spans="191:191" x14ac:dyDescent="0.2">
      <c r="GI56547" s="422"/>
    </row>
    <row r="56548" spans="191:191" x14ac:dyDescent="0.2">
      <c r="GI56548" s="422"/>
    </row>
    <row r="56549" spans="191:191" x14ac:dyDescent="0.2">
      <c r="GI56549" s="422"/>
    </row>
    <row r="56550" spans="191:191" x14ac:dyDescent="0.2">
      <c r="GI56550" s="422"/>
    </row>
    <row r="56551" spans="191:191" x14ac:dyDescent="0.2">
      <c r="GI56551" s="422"/>
    </row>
    <row r="56552" spans="191:191" x14ac:dyDescent="0.2">
      <c r="GI56552" s="422"/>
    </row>
    <row r="56553" spans="191:191" x14ac:dyDescent="0.2">
      <c r="GI56553" s="422"/>
    </row>
    <row r="56554" spans="191:191" x14ac:dyDescent="0.2">
      <c r="GI56554" s="422"/>
    </row>
    <row r="56555" spans="191:191" x14ac:dyDescent="0.2">
      <c r="GI56555" s="422"/>
    </row>
    <row r="56556" spans="191:191" x14ac:dyDescent="0.2">
      <c r="GI56556" s="422"/>
    </row>
    <row r="56557" spans="191:191" x14ac:dyDescent="0.2">
      <c r="GI56557" s="422"/>
    </row>
    <row r="56558" spans="191:191" x14ac:dyDescent="0.2">
      <c r="GI56558" s="422"/>
    </row>
    <row r="56559" spans="191:191" x14ac:dyDescent="0.2">
      <c r="GI56559" s="422"/>
    </row>
    <row r="56560" spans="191:191" x14ac:dyDescent="0.2">
      <c r="GI56560" s="422"/>
    </row>
    <row r="56561" spans="191:191" x14ac:dyDescent="0.2">
      <c r="GI56561" s="422"/>
    </row>
    <row r="56562" spans="191:191" x14ac:dyDescent="0.2">
      <c r="GI56562" s="422"/>
    </row>
    <row r="56563" spans="191:191" x14ac:dyDescent="0.2">
      <c r="GI56563" s="422"/>
    </row>
    <row r="56564" spans="191:191" x14ac:dyDescent="0.2">
      <c r="GI56564" s="422"/>
    </row>
    <row r="56565" spans="191:191" x14ac:dyDescent="0.2">
      <c r="GI56565" s="422"/>
    </row>
    <row r="56566" spans="191:191" x14ac:dyDescent="0.2">
      <c r="GI56566" s="422"/>
    </row>
    <row r="56567" spans="191:191" x14ac:dyDescent="0.2">
      <c r="GI56567" s="422"/>
    </row>
    <row r="56568" spans="191:191" x14ac:dyDescent="0.2">
      <c r="GI56568" s="422"/>
    </row>
    <row r="56569" spans="191:191" x14ac:dyDescent="0.2">
      <c r="GI56569" s="422"/>
    </row>
    <row r="56570" spans="191:191" x14ac:dyDescent="0.2">
      <c r="GI56570" s="422"/>
    </row>
    <row r="56571" spans="191:191" x14ac:dyDescent="0.2">
      <c r="GI56571" s="422"/>
    </row>
    <row r="56572" spans="191:191" x14ac:dyDescent="0.2">
      <c r="GI56572" s="422"/>
    </row>
    <row r="56573" spans="191:191" x14ac:dyDescent="0.2">
      <c r="GI56573" s="422"/>
    </row>
    <row r="56574" spans="191:191" x14ac:dyDescent="0.2">
      <c r="GI56574" s="422"/>
    </row>
    <row r="56575" spans="191:191" x14ac:dyDescent="0.2">
      <c r="GI56575" s="422"/>
    </row>
    <row r="56576" spans="191:191" x14ac:dyDescent="0.2">
      <c r="GI56576" s="422"/>
    </row>
    <row r="56577" spans="191:191" x14ac:dyDescent="0.2">
      <c r="GI56577" s="422"/>
    </row>
    <row r="56578" spans="191:191" x14ac:dyDescent="0.2">
      <c r="GI56578" s="422"/>
    </row>
    <row r="56579" spans="191:191" x14ac:dyDescent="0.2">
      <c r="GI56579" s="422"/>
    </row>
    <row r="56580" spans="191:191" x14ac:dyDescent="0.2">
      <c r="GI56580" s="422"/>
    </row>
    <row r="56581" spans="191:191" x14ac:dyDescent="0.2">
      <c r="GI56581" s="422"/>
    </row>
    <row r="56582" spans="191:191" x14ac:dyDescent="0.2">
      <c r="GI56582" s="422"/>
    </row>
    <row r="56583" spans="191:191" x14ac:dyDescent="0.2">
      <c r="GI56583" s="422"/>
    </row>
    <row r="56584" spans="191:191" x14ac:dyDescent="0.2">
      <c r="GI56584" s="422"/>
    </row>
    <row r="56585" spans="191:191" x14ac:dyDescent="0.2">
      <c r="GI56585" s="422"/>
    </row>
    <row r="56586" spans="191:191" x14ac:dyDescent="0.2">
      <c r="GI56586" s="422"/>
    </row>
    <row r="56587" spans="191:191" x14ac:dyDescent="0.2">
      <c r="GI56587" s="422"/>
    </row>
    <row r="56588" spans="191:191" x14ac:dyDescent="0.2">
      <c r="GI56588" s="422"/>
    </row>
    <row r="56589" spans="191:191" x14ac:dyDescent="0.2">
      <c r="GI56589" s="422"/>
    </row>
    <row r="56590" spans="191:191" x14ac:dyDescent="0.2">
      <c r="GI56590" s="422"/>
    </row>
    <row r="56591" spans="191:191" x14ac:dyDescent="0.2">
      <c r="GI56591" s="422"/>
    </row>
    <row r="56592" spans="191:191" x14ac:dyDescent="0.2">
      <c r="GI56592" s="422"/>
    </row>
    <row r="56593" spans="191:191" x14ac:dyDescent="0.2">
      <c r="GI56593" s="422"/>
    </row>
    <row r="56594" spans="191:191" x14ac:dyDescent="0.2">
      <c r="GI56594" s="422"/>
    </row>
    <row r="56595" spans="191:191" x14ac:dyDescent="0.2">
      <c r="GI56595" s="422"/>
    </row>
    <row r="56596" spans="191:191" x14ac:dyDescent="0.2">
      <c r="GI56596" s="422"/>
    </row>
    <row r="56597" spans="191:191" x14ac:dyDescent="0.2">
      <c r="GI56597" s="422"/>
    </row>
    <row r="56598" spans="191:191" x14ac:dyDescent="0.2">
      <c r="GI56598" s="422"/>
    </row>
    <row r="56599" spans="191:191" x14ac:dyDescent="0.2">
      <c r="GI56599" s="422"/>
    </row>
    <row r="56600" spans="191:191" x14ac:dyDescent="0.2">
      <c r="GI56600" s="422"/>
    </row>
    <row r="56601" spans="191:191" x14ac:dyDescent="0.2">
      <c r="GI56601" s="422"/>
    </row>
    <row r="56602" spans="191:191" x14ac:dyDescent="0.2">
      <c r="GI56602" s="422"/>
    </row>
    <row r="56603" spans="191:191" x14ac:dyDescent="0.2">
      <c r="GI56603" s="422"/>
    </row>
    <row r="56604" spans="191:191" x14ac:dyDescent="0.2">
      <c r="GI56604" s="422"/>
    </row>
    <row r="56605" spans="191:191" x14ac:dyDescent="0.2">
      <c r="GI56605" s="422"/>
    </row>
    <row r="56606" spans="191:191" x14ac:dyDescent="0.2">
      <c r="GI56606" s="422"/>
    </row>
    <row r="56607" spans="191:191" x14ac:dyDescent="0.2">
      <c r="GI56607" s="422"/>
    </row>
    <row r="56608" spans="191:191" x14ac:dyDescent="0.2">
      <c r="GI56608" s="422"/>
    </row>
    <row r="56609" spans="191:191" x14ac:dyDescent="0.2">
      <c r="GI56609" s="422"/>
    </row>
    <row r="56610" spans="191:191" x14ac:dyDescent="0.2">
      <c r="GI56610" s="422"/>
    </row>
    <row r="56611" spans="191:191" x14ac:dyDescent="0.2">
      <c r="GI56611" s="422"/>
    </row>
    <row r="56612" spans="191:191" x14ac:dyDescent="0.2">
      <c r="GI56612" s="422"/>
    </row>
    <row r="56613" spans="191:191" x14ac:dyDescent="0.2">
      <c r="GI56613" s="422"/>
    </row>
    <row r="56614" spans="191:191" x14ac:dyDescent="0.2">
      <c r="GI56614" s="422"/>
    </row>
    <row r="56615" spans="191:191" x14ac:dyDescent="0.2">
      <c r="GI56615" s="422"/>
    </row>
    <row r="56616" spans="191:191" x14ac:dyDescent="0.2">
      <c r="GI56616" s="422"/>
    </row>
    <row r="56617" spans="191:191" x14ac:dyDescent="0.2">
      <c r="GI56617" s="422"/>
    </row>
    <row r="56618" spans="191:191" x14ac:dyDescent="0.2">
      <c r="GI56618" s="422"/>
    </row>
    <row r="56619" spans="191:191" x14ac:dyDescent="0.2">
      <c r="GI56619" s="422"/>
    </row>
    <row r="56620" spans="191:191" x14ac:dyDescent="0.2">
      <c r="GI56620" s="422"/>
    </row>
    <row r="56621" spans="191:191" x14ac:dyDescent="0.2">
      <c r="GI56621" s="422"/>
    </row>
    <row r="56622" spans="191:191" x14ac:dyDescent="0.2">
      <c r="GI56622" s="422"/>
    </row>
    <row r="56623" spans="191:191" x14ac:dyDescent="0.2">
      <c r="GI56623" s="422"/>
    </row>
    <row r="56624" spans="191:191" x14ac:dyDescent="0.2">
      <c r="GI56624" s="422"/>
    </row>
    <row r="56625" spans="191:191" x14ac:dyDescent="0.2">
      <c r="GI56625" s="422"/>
    </row>
    <row r="56626" spans="191:191" x14ac:dyDescent="0.2">
      <c r="GI56626" s="422"/>
    </row>
    <row r="56627" spans="191:191" x14ac:dyDescent="0.2">
      <c r="GI56627" s="422"/>
    </row>
    <row r="56628" spans="191:191" x14ac:dyDescent="0.2">
      <c r="GI56628" s="422"/>
    </row>
    <row r="56629" spans="191:191" x14ac:dyDescent="0.2">
      <c r="GI56629" s="422"/>
    </row>
    <row r="56630" spans="191:191" x14ac:dyDescent="0.2">
      <c r="GI56630" s="422"/>
    </row>
    <row r="56631" spans="191:191" x14ac:dyDescent="0.2">
      <c r="GI56631" s="422"/>
    </row>
    <row r="56632" spans="191:191" x14ac:dyDescent="0.2">
      <c r="GI56632" s="422"/>
    </row>
    <row r="56633" spans="191:191" x14ac:dyDescent="0.2">
      <c r="GI56633" s="422"/>
    </row>
    <row r="56634" spans="191:191" x14ac:dyDescent="0.2">
      <c r="GI56634" s="422"/>
    </row>
    <row r="56635" spans="191:191" x14ac:dyDescent="0.2">
      <c r="GI56635" s="422"/>
    </row>
    <row r="56636" spans="191:191" x14ac:dyDescent="0.2">
      <c r="GI56636" s="422"/>
    </row>
    <row r="56637" spans="191:191" x14ac:dyDescent="0.2">
      <c r="GI56637" s="422"/>
    </row>
    <row r="56638" spans="191:191" x14ac:dyDescent="0.2">
      <c r="GI56638" s="422"/>
    </row>
    <row r="56639" spans="191:191" x14ac:dyDescent="0.2">
      <c r="GI56639" s="422"/>
    </row>
    <row r="56640" spans="191:191" x14ac:dyDescent="0.2">
      <c r="GI56640" s="422"/>
    </row>
    <row r="56641" spans="191:191" x14ac:dyDescent="0.2">
      <c r="GI56641" s="422"/>
    </row>
    <row r="56642" spans="191:191" x14ac:dyDescent="0.2">
      <c r="GI56642" s="422"/>
    </row>
    <row r="56643" spans="191:191" x14ac:dyDescent="0.2">
      <c r="GI56643" s="422"/>
    </row>
    <row r="56644" spans="191:191" x14ac:dyDescent="0.2">
      <c r="GI56644" s="422"/>
    </row>
    <row r="56645" spans="191:191" x14ac:dyDescent="0.2">
      <c r="GI56645" s="422"/>
    </row>
    <row r="56646" spans="191:191" x14ac:dyDescent="0.2">
      <c r="GI56646" s="422"/>
    </row>
    <row r="56647" spans="191:191" x14ac:dyDescent="0.2">
      <c r="GI56647" s="422"/>
    </row>
    <row r="56648" spans="191:191" x14ac:dyDescent="0.2">
      <c r="GI56648" s="422"/>
    </row>
    <row r="56649" spans="191:191" x14ac:dyDescent="0.2">
      <c r="GI56649" s="422"/>
    </row>
    <row r="56650" spans="191:191" x14ac:dyDescent="0.2">
      <c r="GI56650" s="422"/>
    </row>
    <row r="56651" spans="191:191" x14ac:dyDescent="0.2">
      <c r="GI56651" s="422"/>
    </row>
    <row r="56652" spans="191:191" x14ac:dyDescent="0.2">
      <c r="GI56652" s="422"/>
    </row>
    <row r="56653" spans="191:191" x14ac:dyDescent="0.2">
      <c r="GI56653" s="422"/>
    </row>
    <row r="56654" spans="191:191" x14ac:dyDescent="0.2">
      <c r="GI56654" s="422"/>
    </row>
    <row r="56655" spans="191:191" x14ac:dyDescent="0.2">
      <c r="GI56655" s="422"/>
    </row>
    <row r="56656" spans="191:191" x14ac:dyDescent="0.2">
      <c r="GI56656" s="422"/>
    </row>
    <row r="56657" spans="191:191" x14ac:dyDescent="0.2">
      <c r="GI56657" s="422"/>
    </row>
    <row r="56658" spans="191:191" x14ac:dyDescent="0.2">
      <c r="GI56658" s="422"/>
    </row>
    <row r="56659" spans="191:191" x14ac:dyDescent="0.2">
      <c r="GI56659" s="422"/>
    </row>
    <row r="56660" spans="191:191" x14ac:dyDescent="0.2">
      <c r="GI56660" s="422"/>
    </row>
    <row r="56661" spans="191:191" x14ac:dyDescent="0.2">
      <c r="GI56661" s="422"/>
    </row>
    <row r="56662" spans="191:191" x14ac:dyDescent="0.2">
      <c r="GI56662" s="422"/>
    </row>
    <row r="56663" spans="191:191" x14ac:dyDescent="0.2">
      <c r="GI56663" s="422"/>
    </row>
    <row r="56664" spans="191:191" x14ac:dyDescent="0.2">
      <c r="GI56664" s="422"/>
    </row>
    <row r="56665" spans="191:191" x14ac:dyDescent="0.2">
      <c r="GI56665" s="422"/>
    </row>
    <row r="56666" spans="191:191" x14ac:dyDescent="0.2">
      <c r="GI56666" s="422"/>
    </row>
    <row r="56667" spans="191:191" x14ac:dyDescent="0.2">
      <c r="GI56667" s="422"/>
    </row>
    <row r="56668" spans="191:191" x14ac:dyDescent="0.2">
      <c r="GI56668" s="422"/>
    </row>
    <row r="56669" spans="191:191" x14ac:dyDescent="0.2">
      <c r="GI56669" s="422"/>
    </row>
    <row r="56670" spans="191:191" x14ac:dyDescent="0.2">
      <c r="GI56670" s="422"/>
    </row>
    <row r="56671" spans="191:191" x14ac:dyDescent="0.2">
      <c r="GI56671" s="422"/>
    </row>
    <row r="56672" spans="191:191" x14ac:dyDescent="0.2">
      <c r="GI56672" s="422"/>
    </row>
    <row r="56673" spans="191:191" x14ac:dyDescent="0.2">
      <c r="GI56673" s="422"/>
    </row>
    <row r="56674" spans="191:191" x14ac:dyDescent="0.2">
      <c r="GI56674" s="422"/>
    </row>
    <row r="56675" spans="191:191" x14ac:dyDescent="0.2">
      <c r="GI56675" s="422"/>
    </row>
    <row r="56676" spans="191:191" x14ac:dyDescent="0.2">
      <c r="GI56676" s="422"/>
    </row>
    <row r="56677" spans="191:191" x14ac:dyDescent="0.2">
      <c r="GI56677" s="422"/>
    </row>
    <row r="56678" spans="191:191" x14ac:dyDescent="0.2">
      <c r="GI56678" s="422"/>
    </row>
    <row r="56679" spans="191:191" x14ac:dyDescent="0.2">
      <c r="GI56679" s="422"/>
    </row>
    <row r="56680" spans="191:191" x14ac:dyDescent="0.2">
      <c r="GI56680" s="422"/>
    </row>
    <row r="56681" spans="191:191" x14ac:dyDescent="0.2">
      <c r="GI56681" s="422"/>
    </row>
    <row r="56682" spans="191:191" x14ac:dyDescent="0.2">
      <c r="GI56682" s="422"/>
    </row>
    <row r="56683" spans="191:191" x14ac:dyDescent="0.2">
      <c r="GI56683" s="422"/>
    </row>
    <row r="56684" spans="191:191" x14ac:dyDescent="0.2">
      <c r="GI56684" s="422"/>
    </row>
    <row r="56685" spans="191:191" x14ac:dyDescent="0.2">
      <c r="GI56685" s="422"/>
    </row>
    <row r="56686" spans="191:191" x14ac:dyDescent="0.2">
      <c r="GI56686" s="422"/>
    </row>
    <row r="56687" spans="191:191" x14ac:dyDescent="0.2">
      <c r="GI56687" s="422"/>
    </row>
    <row r="56688" spans="191:191" x14ac:dyDescent="0.2">
      <c r="GI56688" s="422"/>
    </row>
    <row r="56689" spans="191:191" x14ac:dyDescent="0.2">
      <c r="GI56689" s="422"/>
    </row>
    <row r="56690" spans="191:191" x14ac:dyDescent="0.2">
      <c r="GI56690" s="422"/>
    </row>
    <row r="56691" spans="191:191" x14ac:dyDescent="0.2">
      <c r="GI56691" s="422"/>
    </row>
    <row r="56692" spans="191:191" x14ac:dyDescent="0.2">
      <c r="GI56692" s="422"/>
    </row>
    <row r="56693" spans="191:191" x14ac:dyDescent="0.2">
      <c r="GI56693" s="422"/>
    </row>
    <row r="56694" spans="191:191" x14ac:dyDescent="0.2">
      <c r="GI56694" s="422"/>
    </row>
    <row r="56695" spans="191:191" x14ac:dyDescent="0.2">
      <c r="GI56695" s="422"/>
    </row>
    <row r="56696" spans="191:191" x14ac:dyDescent="0.2">
      <c r="GI56696" s="422"/>
    </row>
    <row r="56697" spans="191:191" x14ac:dyDescent="0.2">
      <c r="GI56697" s="422"/>
    </row>
    <row r="56698" spans="191:191" x14ac:dyDescent="0.2">
      <c r="GI56698" s="422"/>
    </row>
    <row r="56699" spans="191:191" x14ac:dyDescent="0.2">
      <c r="GI56699" s="422"/>
    </row>
    <row r="56700" spans="191:191" x14ac:dyDescent="0.2">
      <c r="GI56700" s="422"/>
    </row>
    <row r="56701" spans="191:191" x14ac:dyDescent="0.2">
      <c r="GI56701" s="422"/>
    </row>
    <row r="56702" spans="191:191" x14ac:dyDescent="0.2">
      <c r="GI56702" s="422"/>
    </row>
    <row r="56703" spans="191:191" x14ac:dyDescent="0.2">
      <c r="GI56703" s="422"/>
    </row>
    <row r="56704" spans="191:191" x14ac:dyDescent="0.2">
      <c r="GI56704" s="422"/>
    </row>
    <row r="56705" spans="191:191" x14ac:dyDescent="0.2">
      <c r="GI56705" s="422"/>
    </row>
    <row r="56706" spans="191:191" x14ac:dyDescent="0.2">
      <c r="GI56706" s="422"/>
    </row>
    <row r="56707" spans="191:191" x14ac:dyDescent="0.2">
      <c r="GI56707" s="422"/>
    </row>
    <row r="56708" spans="191:191" x14ac:dyDescent="0.2">
      <c r="GI56708" s="422"/>
    </row>
    <row r="56709" spans="191:191" x14ac:dyDescent="0.2">
      <c r="GI56709" s="422"/>
    </row>
    <row r="56710" spans="191:191" x14ac:dyDescent="0.2">
      <c r="GI56710" s="422"/>
    </row>
    <row r="56711" spans="191:191" x14ac:dyDescent="0.2">
      <c r="GI56711" s="422"/>
    </row>
    <row r="56712" spans="191:191" x14ac:dyDescent="0.2">
      <c r="GI56712" s="422"/>
    </row>
    <row r="56713" spans="191:191" x14ac:dyDescent="0.2">
      <c r="GI56713" s="422"/>
    </row>
    <row r="56714" spans="191:191" x14ac:dyDescent="0.2">
      <c r="GI56714" s="422"/>
    </row>
    <row r="56715" spans="191:191" x14ac:dyDescent="0.2">
      <c r="GI56715" s="422"/>
    </row>
    <row r="56716" spans="191:191" x14ac:dyDescent="0.2">
      <c r="GI56716" s="422"/>
    </row>
    <row r="56717" spans="191:191" x14ac:dyDescent="0.2">
      <c r="GI56717" s="422"/>
    </row>
    <row r="56718" spans="191:191" x14ac:dyDescent="0.2">
      <c r="GI56718" s="422"/>
    </row>
    <row r="56719" spans="191:191" x14ac:dyDescent="0.2">
      <c r="GI56719" s="422"/>
    </row>
    <row r="56720" spans="191:191" x14ac:dyDescent="0.2">
      <c r="GI56720" s="422"/>
    </row>
    <row r="56721" spans="191:191" x14ac:dyDescent="0.2">
      <c r="GI56721" s="422"/>
    </row>
    <row r="56722" spans="191:191" x14ac:dyDescent="0.2">
      <c r="GI56722" s="422"/>
    </row>
    <row r="56723" spans="191:191" x14ac:dyDescent="0.2">
      <c r="GI56723" s="422"/>
    </row>
    <row r="56724" spans="191:191" x14ac:dyDescent="0.2">
      <c r="GI56724" s="422"/>
    </row>
    <row r="56725" spans="191:191" x14ac:dyDescent="0.2">
      <c r="GI56725" s="422"/>
    </row>
    <row r="56726" spans="191:191" x14ac:dyDescent="0.2">
      <c r="GI56726" s="422"/>
    </row>
    <row r="56727" spans="191:191" x14ac:dyDescent="0.2">
      <c r="GI56727" s="422"/>
    </row>
    <row r="56728" spans="191:191" x14ac:dyDescent="0.2">
      <c r="GI56728" s="422"/>
    </row>
    <row r="56729" spans="191:191" x14ac:dyDescent="0.2">
      <c r="GI56729" s="422"/>
    </row>
    <row r="56730" spans="191:191" x14ac:dyDescent="0.2">
      <c r="GI56730" s="422"/>
    </row>
    <row r="56731" spans="191:191" x14ac:dyDescent="0.2">
      <c r="GI56731" s="422"/>
    </row>
    <row r="56732" spans="191:191" x14ac:dyDescent="0.2">
      <c r="GI56732" s="422"/>
    </row>
    <row r="56733" spans="191:191" x14ac:dyDescent="0.2">
      <c r="GI56733" s="422"/>
    </row>
    <row r="56734" spans="191:191" x14ac:dyDescent="0.2">
      <c r="GI56734" s="422"/>
    </row>
    <row r="56735" spans="191:191" x14ac:dyDescent="0.2">
      <c r="GI56735" s="422"/>
    </row>
    <row r="56736" spans="191:191" x14ac:dyDescent="0.2">
      <c r="GI56736" s="422"/>
    </row>
    <row r="56737" spans="191:191" x14ac:dyDescent="0.2">
      <c r="GI56737" s="422"/>
    </row>
    <row r="56738" spans="191:191" x14ac:dyDescent="0.2">
      <c r="GI56738" s="422"/>
    </row>
    <row r="56739" spans="191:191" x14ac:dyDescent="0.2">
      <c r="GI56739" s="422"/>
    </row>
    <row r="56740" spans="191:191" x14ac:dyDescent="0.2">
      <c r="GI56740" s="422"/>
    </row>
    <row r="56741" spans="191:191" x14ac:dyDescent="0.2">
      <c r="GI56741" s="422"/>
    </row>
    <row r="56742" spans="191:191" x14ac:dyDescent="0.2">
      <c r="GI56742" s="422"/>
    </row>
    <row r="56743" spans="191:191" x14ac:dyDescent="0.2">
      <c r="GI56743" s="422"/>
    </row>
    <row r="56744" spans="191:191" x14ac:dyDescent="0.2">
      <c r="GI56744" s="422"/>
    </row>
    <row r="56745" spans="191:191" x14ac:dyDescent="0.2">
      <c r="GI56745" s="422"/>
    </row>
    <row r="56746" spans="191:191" x14ac:dyDescent="0.2">
      <c r="GI56746" s="422"/>
    </row>
    <row r="56747" spans="191:191" x14ac:dyDescent="0.2">
      <c r="GI56747" s="422"/>
    </row>
    <row r="56748" spans="191:191" x14ac:dyDescent="0.2">
      <c r="GI56748" s="422"/>
    </row>
    <row r="56749" spans="191:191" x14ac:dyDescent="0.2">
      <c r="GI56749" s="422"/>
    </row>
    <row r="56750" spans="191:191" x14ac:dyDescent="0.2">
      <c r="GI56750" s="422"/>
    </row>
    <row r="56751" spans="191:191" x14ac:dyDescent="0.2">
      <c r="GI56751" s="422"/>
    </row>
    <row r="56752" spans="191:191" x14ac:dyDescent="0.2">
      <c r="GI56752" s="422"/>
    </row>
    <row r="56753" spans="191:191" x14ac:dyDescent="0.2">
      <c r="GI56753" s="422"/>
    </row>
    <row r="56754" spans="191:191" x14ac:dyDescent="0.2">
      <c r="GI56754" s="422"/>
    </row>
    <row r="56755" spans="191:191" x14ac:dyDescent="0.2">
      <c r="GI56755" s="422"/>
    </row>
    <row r="56756" spans="191:191" x14ac:dyDescent="0.2">
      <c r="GI56756" s="422"/>
    </row>
    <row r="56757" spans="191:191" x14ac:dyDescent="0.2">
      <c r="GI56757" s="422"/>
    </row>
    <row r="56758" spans="191:191" x14ac:dyDescent="0.2">
      <c r="GI56758" s="422"/>
    </row>
    <row r="56759" spans="191:191" x14ac:dyDescent="0.2">
      <c r="GI56759" s="422"/>
    </row>
    <row r="56760" spans="191:191" x14ac:dyDescent="0.2">
      <c r="GI56760" s="422"/>
    </row>
    <row r="56761" spans="191:191" x14ac:dyDescent="0.2">
      <c r="GI56761" s="422"/>
    </row>
    <row r="56762" spans="191:191" x14ac:dyDescent="0.2">
      <c r="GI56762" s="422"/>
    </row>
    <row r="56763" spans="191:191" x14ac:dyDescent="0.2">
      <c r="GI56763" s="422"/>
    </row>
    <row r="56764" spans="191:191" x14ac:dyDescent="0.2">
      <c r="GI56764" s="422"/>
    </row>
    <row r="56765" spans="191:191" x14ac:dyDescent="0.2">
      <c r="GI56765" s="422"/>
    </row>
    <row r="56766" spans="191:191" x14ac:dyDescent="0.2">
      <c r="GI56766" s="422"/>
    </row>
    <row r="56767" spans="191:191" x14ac:dyDescent="0.2">
      <c r="GI56767" s="422"/>
    </row>
    <row r="56768" spans="191:191" x14ac:dyDescent="0.2">
      <c r="GI56768" s="422"/>
    </row>
    <row r="56769" spans="191:191" x14ac:dyDescent="0.2">
      <c r="GI56769" s="422"/>
    </row>
    <row r="56770" spans="191:191" x14ac:dyDescent="0.2">
      <c r="GI56770" s="422"/>
    </row>
    <row r="56771" spans="191:191" x14ac:dyDescent="0.2">
      <c r="GI56771" s="422"/>
    </row>
    <row r="56772" spans="191:191" x14ac:dyDescent="0.2">
      <c r="GI56772" s="422"/>
    </row>
    <row r="56773" spans="191:191" x14ac:dyDescent="0.2">
      <c r="GI56773" s="422"/>
    </row>
    <row r="56774" spans="191:191" x14ac:dyDescent="0.2">
      <c r="GI56774" s="422"/>
    </row>
    <row r="56775" spans="191:191" x14ac:dyDescent="0.2">
      <c r="GI56775" s="422"/>
    </row>
    <row r="56776" spans="191:191" x14ac:dyDescent="0.2">
      <c r="GI56776" s="422"/>
    </row>
    <row r="56777" spans="191:191" x14ac:dyDescent="0.2">
      <c r="GI56777" s="422"/>
    </row>
    <row r="56778" spans="191:191" x14ac:dyDescent="0.2">
      <c r="GI56778" s="422"/>
    </row>
    <row r="56779" spans="191:191" x14ac:dyDescent="0.2">
      <c r="GI56779" s="422"/>
    </row>
    <row r="56780" spans="191:191" x14ac:dyDescent="0.2">
      <c r="GI56780" s="422"/>
    </row>
    <row r="56781" spans="191:191" x14ac:dyDescent="0.2">
      <c r="GI56781" s="422"/>
    </row>
    <row r="56782" spans="191:191" x14ac:dyDescent="0.2">
      <c r="GI56782" s="422"/>
    </row>
    <row r="56783" spans="191:191" x14ac:dyDescent="0.2">
      <c r="GI56783" s="422"/>
    </row>
    <row r="56784" spans="191:191" x14ac:dyDescent="0.2">
      <c r="GI56784" s="422"/>
    </row>
    <row r="56785" spans="191:191" x14ac:dyDescent="0.2">
      <c r="GI56785" s="422"/>
    </row>
    <row r="56786" spans="191:191" x14ac:dyDescent="0.2">
      <c r="GI56786" s="422"/>
    </row>
    <row r="56787" spans="191:191" x14ac:dyDescent="0.2">
      <c r="GI56787" s="422"/>
    </row>
    <row r="56788" spans="191:191" x14ac:dyDescent="0.2">
      <c r="GI56788" s="422"/>
    </row>
    <row r="56789" spans="191:191" x14ac:dyDescent="0.2">
      <c r="GI56789" s="422"/>
    </row>
    <row r="56790" spans="191:191" x14ac:dyDescent="0.2">
      <c r="GI56790" s="422"/>
    </row>
    <row r="56791" spans="191:191" x14ac:dyDescent="0.2">
      <c r="GI56791" s="422"/>
    </row>
    <row r="56792" spans="191:191" x14ac:dyDescent="0.2">
      <c r="GI56792" s="422"/>
    </row>
    <row r="56793" spans="191:191" x14ac:dyDescent="0.2">
      <c r="GI56793" s="422"/>
    </row>
    <row r="56794" spans="191:191" x14ac:dyDescent="0.2">
      <c r="GI56794" s="422"/>
    </row>
    <row r="56795" spans="191:191" x14ac:dyDescent="0.2">
      <c r="GI56795" s="422"/>
    </row>
    <row r="56796" spans="191:191" x14ac:dyDescent="0.2">
      <c r="GI56796" s="422"/>
    </row>
    <row r="56797" spans="191:191" x14ac:dyDescent="0.2">
      <c r="GI56797" s="422"/>
    </row>
    <row r="56798" spans="191:191" x14ac:dyDescent="0.2">
      <c r="GI56798" s="422"/>
    </row>
    <row r="56799" spans="191:191" x14ac:dyDescent="0.2">
      <c r="GI56799" s="422"/>
    </row>
    <row r="56800" spans="191:191" x14ac:dyDescent="0.2">
      <c r="GI56800" s="422"/>
    </row>
    <row r="56801" spans="191:191" x14ac:dyDescent="0.2">
      <c r="GI56801" s="422"/>
    </row>
    <row r="56802" spans="191:191" x14ac:dyDescent="0.2">
      <c r="GI56802" s="422"/>
    </row>
    <row r="56803" spans="191:191" x14ac:dyDescent="0.2">
      <c r="GI56803" s="422"/>
    </row>
    <row r="56804" spans="191:191" x14ac:dyDescent="0.2">
      <c r="GI56804" s="422"/>
    </row>
    <row r="56805" spans="191:191" x14ac:dyDescent="0.2">
      <c r="GI56805" s="422"/>
    </row>
    <row r="56806" spans="191:191" x14ac:dyDescent="0.2">
      <c r="GI56806" s="422"/>
    </row>
    <row r="56807" spans="191:191" x14ac:dyDescent="0.2">
      <c r="GI56807" s="422"/>
    </row>
    <row r="56808" spans="191:191" x14ac:dyDescent="0.2">
      <c r="GI56808" s="422"/>
    </row>
    <row r="56809" spans="191:191" x14ac:dyDescent="0.2">
      <c r="GI56809" s="422"/>
    </row>
    <row r="56810" spans="191:191" x14ac:dyDescent="0.2">
      <c r="GI56810" s="422"/>
    </row>
    <row r="56811" spans="191:191" x14ac:dyDescent="0.2">
      <c r="GI56811" s="422"/>
    </row>
    <row r="56812" spans="191:191" x14ac:dyDescent="0.2">
      <c r="GI56812" s="422"/>
    </row>
    <row r="56813" spans="191:191" x14ac:dyDescent="0.2">
      <c r="GI56813" s="422"/>
    </row>
    <row r="56814" spans="191:191" x14ac:dyDescent="0.2">
      <c r="GI56814" s="422"/>
    </row>
    <row r="56815" spans="191:191" x14ac:dyDescent="0.2">
      <c r="GI56815" s="422"/>
    </row>
    <row r="56816" spans="191:191" x14ac:dyDescent="0.2">
      <c r="GI56816" s="422"/>
    </row>
    <row r="56817" spans="191:191" x14ac:dyDescent="0.2">
      <c r="GI56817" s="422"/>
    </row>
    <row r="56818" spans="191:191" x14ac:dyDescent="0.2">
      <c r="GI56818" s="422"/>
    </row>
    <row r="56819" spans="191:191" x14ac:dyDescent="0.2">
      <c r="GI56819" s="422"/>
    </row>
    <row r="56820" spans="191:191" x14ac:dyDescent="0.2">
      <c r="GI56820" s="422"/>
    </row>
    <row r="56821" spans="191:191" x14ac:dyDescent="0.2">
      <c r="GI56821" s="422"/>
    </row>
    <row r="56822" spans="191:191" x14ac:dyDescent="0.2">
      <c r="GI56822" s="422"/>
    </row>
    <row r="56823" spans="191:191" x14ac:dyDescent="0.2">
      <c r="GI56823" s="422"/>
    </row>
    <row r="56824" spans="191:191" x14ac:dyDescent="0.2">
      <c r="GI56824" s="422"/>
    </row>
    <row r="56825" spans="191:191" x14ac:dyDescent="0.2">
      <c r="GI56825" s="422"/>
    </row>
    <row r="56826" spans="191:191" x14ac:dyDescent="0.2">
      <c r="GI56826" s="422"/>
    </row>
    <row r="56827" spans="191:191" x14ac:dyDescent="0.2">
      <c r="GI56827" s="422"/>
    </row>
    <row r="56828" spans="191:191" x14ac:dyDescent="0.2">
      <c r="GI56828" s="422"/>
    </row>
    <row r="56829" spans="191:191" x14ac:dyDescent="0.2">
      <c r="GI56829" s="422"/>
    </row>
    <row r="56830" spans="191:191" x14ac:dyDescent="0.2">
      <c r="GI56830" s="422"/>
    </row>
    <row r="56831" spans="191:191" x14ac:dyDescent="0.2">
      <c r="GI56831" s="422"/>
    </row>
    <row r="56832" spans="191:191" x14ac:dyDescent="0.2">
      <c r="GI56832" s="422"/>
    </row>
    <row r="56833" spans="191:191" x14ac:dyDescent="0.2">
      <c r="GI56833" s="422"/>
    </row>
    <row r="56834" spans="191:191" x14ac:dyDescent="0.2">
      <c r="GI56834" s="422"/>
    </row>
    <row r="56835" spans="191:191" x14ac:dyDescent="0.2">
      <c r="GI56835" s="422"/>
    </row>
    <row r="56836" spans="191:191" x14ac:dyDescent="0.2">
      <c r="GI56836" s="422"/>
    </row>
    <row r="56837" spans="191:191" x14ac:dyDescent="0.2">
      <c r="GI56837" s="422"/>
    </row>
    <row r="56838" spans="191:191" x14ac:dyDescent="0.2">
      <c r="GI56838" s="422"/>
    </row>
    <row r="56839" spans="191:191" x14ac:dyDescent="0.2">
      <c r="GI56839" s="422"/>
    </row>
    <row r="56840" spans="191:191" x14ac:dyDescent="0.2">
      <c r="GI56840" s="422"/>
    </row>
    <row r="56841" spans="191:191" x14ac:dyDescent="0.2">
      <c r="GI56841" s="422"/>
    </row>
    <row r="56842" spans="191:191" x14ac:dyDescent="0.2">
      <c r="GI56842" s="422"/>
    </row>
    <row r="56843" spans="191:191" x14ac:dyDescent="0.2">
      <c r="GI56843" s="422"/>
    </row>
    <row r="56844" spans="191:191" x14ac:dyDescent="0.2">
      <c r="GI56844" s="422"/>
    </row>
    <row r="56845" spans="191:191" x14ac:dyDescent="0.2">
      <c r="GI56845" s="422"/>
    </row>
    <row r="56846" spans="191:191" x14ac:dyDescent="0.2">
      <c r="GI56846" s="422"/>
    </row>
    <row r="56847" spans="191:191" x14ac:dyDescent="0.2">
      <c r="GI56847" s="422"/>
    </row>
    <row r="56848" spans="191:191" x14ac:dyDescent="0.2">
      <c r="GI56848" s="422"/>
    </row>
    <row r="56849" spans="191:191" x14ac:dyDescent="0.2">
      <c r="GI56849" s="422"/>
    </row>
    <row r="56850" spans="191:191" x14ac:dyDescent="0.2">
      <c r="GI56850" s="422"/>
    </row>
    <row r="56851" spans="191:191" x14ac:dyDescent="0.2">
      <c r="GI56851" s="422"/>
    </row>
    <row r="56852" spans="191:191" x14ac:dyDescent="0.2">
      <c r="GI56852" s="422"/>
    </row>
    <row r="56853" spans="191:191" x14ac:dyDescent="0.2">
      <c r="GI56853" s="422"/>
    </row>
    <row r="56854" spans="191:191" x14ac:dyDescent="0.2">
      <c r="GI56854" s="422"/>
    </row>
    <row r="56855" spans="191:191" x14ac:dyDescent="0.2">
      <c r="GI56855" s="422"/>
    </row>
    <row r="56856" spans="191:191" x14ac:dyDescent="0.2">
      <c r="GI56856" s="422"/>
    </row>
    <row r="56857" spans="191:191" x14ac:dyDescent="0.2">
      <c r="GI56857" s="422"/>
    </row>
    <row r="56858" spans="191:191" x14ac:dyDescent="0.2">
      <c r="GI56858" s="422"/>
    </row>
    <row r="56859" spans="191:191" x14ac:dyDescent="0.2">
      <c r="GI56859" s="422"/>
    </row>
    <row r="56860" spans="191:191" x14ac:dyDescent="0.2">
      <c r="GI56860" s="422"/>
    </row>
    <row r="56861" spans="191:191" x14ac:dyDescent="0.2">
      <c r="GI56861" s="422"/>
    </row>
    <row r="56862" spans="191:191" x14ac:dyDescent="0.2">
      <c r="GI56862" s="422"/>
    </row>
    <row r="56863" spans="191:191" x14ac:dyDescent="0.2">
      <c r="GI56863" s="422"/>
    </row>
    <row r="56864" spans="191:191" x14ac:dyDescent="0.2">
      <c r="GI56864" s="422"/>
    </row>
    <row r="56865" spans="191:191" x14ac:dyDescent="0.2">
      <c r="GI56865" s="422"/>
    </row>
    <row r="56866" spans="191:191" x14ac:dyDescent="0.2">
      <c r="GI56866" s="422"/>
    </row>
    <row r="56867" spans="191:191" x14ac:dyDescent="0.2">
      <c r="GI56867" s="422"/>
    </row>
    <row r="56868" spans="191:191" x14ac:dyDescent="0.2">
      <c r="GI56868" s="422"/>
    </row>
    <row r="56869" spans="191:191" x14ac:dyDescent="0.2">
      <c r="GI56869" s="422"/>
    </row>
    <row r="56870" spans="191:191" x14ac:dyDescent="0.2">
      <c r="GI56870" s="422"/>
    </row>
    <row r="56871" spans="191:191" x14ac:dyDescent="0.2">
      <c r="GI56871" s="422"/>
    </row>
    <row r="56872" spans="191:191" x14ac:dyDescent="0.2">
      <c r="GI56872" s="422"/>
    </row>
    <row r="56873" spans="191:191" x14ac:dyDescent="0.2">
      <c r="GI56873" s="422"/>
    </row>
    <row r="56874" spans="191:191" x14ac:dyDescent="0.2">
      <c r="GI56874" s="422"/>
    </row>
    <row r="56875" spans="191:191" x14ac:dyDescent="0.2">
      <c r="GI56875" s="422"/>
    </row>
    <row r="56876" spans="191:191" x14ac:dyDescent="0.2">
      <c r="GI56876" s="422"/>
    </row>
    <row r="56877" spans="191:191" x14ac:dyDescent="0.2">
      <c r="GI56877" s="422"/>
    </row>
    <row r="56878" spans="191:191" x14ac:dyDescent="0.2">
      <c r="GI56878" s="422"/>
    </row>
    <row r="56879" spans="191:191" x14ac:dyDescent="0.2">
      <c r="GI56879" s="422"/>
    </row>
    <row r="56880" spans="191:191" x14ac:dyDescent="0.2">
      <c r="GI56880" s="422"/>
    </row>
    <row r="56881" spans="191:191" x14ac:dyDescent="0.2">
      <c r="GI56881" s="422"/>
    </row>
    <row r="56882" spans="191:191" x14ac:dyDescent="0.2">
      <c r="GI56882" s="422"/>
    </row>
    <row r="56883" spans="191:191" x14ac:dyDescent="0.2">
      <c r="GI56883" s="422"/>
    </row>
    <row r="56884" spans="191:191" x14ac:dyDescent="0.2">
      <c r="GI56884" s="422"/>
    </row>
    <row r="56885" spans="191:191" x14ac:dyDescent="0.2">
      <c r="GI56885" s="422"/>
    </row>
    <row r="56886" spans="191:191" x14ac:dyDescent="0.2">
      <c r="GI56886" s="422"/>
    </row>
    <row r="56887" spans="191:191" x14ac:dyDescent="0.2">
      <c r="GI56887" s="422"/>
    </row>
    <row r="56888" spans="191:191" x14ac:dyDescent="0.2">
      <c r="GI56888" s="422"/>
    </row>
    <row r="56889" spans="191:191" x14ac:dyDescent="0.2">
      <c r="GI56889" s="422"/>
    </row>
    <row r="56890" spans="191:191" x14ac:dyDescent="0.2">
      <c r="GI56890" s="422"/>
    </row>
    <row r="56891" spans="191:191" x14ac:dyDescent="0.2">
      <c r="GI56891" s="422"/>
    </row>
    <row r="56892" spans="191:191" x14ac:dyDescent="0.2">
      <c r="GI56892" s="422"/>
    </row>
    <row r="56893" spans="191:191" x14ac:dyDescent="0.2">
      <c r="GI56893" s="422"/>
    </row>
    <row r="56894" spans="191:191" x14ac:dyDescent="0.2">
      <c r="GI56894" s="422"/>
    </row>
    <row r="56895" spans="191:191" x14ac:dyDescent="0.2">
      <c r="GI56895" s="422"/>
    </row>
    <row r="56896" spans="191:191" x14ac:dyDescent="0.2">
      <c r="GI56896" s="422"/>
    </row>
    <row r="56897" spans="191:191" x14ac:dyDescent="0.2">
      <c r="GI56897" s="422"/>
    </row>
    <row r="56898" spans="191:191" x14ac:dyDescent="0.2">
      <c r="GI56898" s="422"/>
    </row>
    <row r="56899" spans="191:191" x14ac:dyDescent="0.2">
      <c r="GI56899" s="422"/>
    </row>
    <row r="56900" spans="191:191" x14ac:dyDescent="0.2">
      <c r="GI56900" s="422"/>
    </row>
    <row r="56901" spans="191:191" x14ac:dyDescent="0.2">
      <c r="GI56901" s="422"/>
    </row>
    <row r="56902" spans="191:191" x14ac:dyDescent="0.2">
      <c r="GI56902" s="422"/>
    </row>
    <row r="56903" spans="191:191" x14ac:dyDescent="0.2">
      <c r="GI56903" s="422"/>
    </row>
    <row r="56904" spans="191:191" x14ac:dyDescent="0.2">
      <c r="GI56904" s="422"/>
    </row>
    <row r="56905" spans="191:191" x14ac:dyDescent="0.2">
      <c r="GI56905" s="422"/>
    </row>
    <row r="56906" spans="191:191" x14ac:dyDescent="0.2">
      <c r="GI56906" s="422"/>
    </row>
    <row r="56907" spans="191:191" x14ac:dyDescent="0.2">
      <c r="GI56907" s="422"/>
    </row>
    <row r="56908" spans="191:191" x14ac:dyDescent="0.2">
      <c r="GI56908" s="422"/>
    </row>
    <row r="56909" spans="191:191" x14ac:dyDescent="0.2">
      <c r="GI56909" s="422"/>
    </row>
    <row r="56910" spans="191:191" x14ac:dyDescent="0.2">
      <c r="GI56910" s="422"/>
    </row>
    <row r="56911" spans="191:191" x14ac:dyDescent="0.2">
      <c r="GI56911" s="422"/>
    </row>
    <row r="56912" spans="191:191" x14ac:dyDescent="0.2">
      <c r="GI56912" s="422"/>
    </row>
    <row r="56913" spans="191:191" x14ac:dyDescent="0.2">
      <c r="GI56913" s="422"/>
    </row>
    <row r="56914" spans="191:191" x14ac:dyDescent="0.2">
      <c r="GI56914" s="422"/>
    </row>
    <row r="56915" spans="191:191" x14ac:dyDescent="0.2">
      <c r="GI56915" s="422"/>
    </row>
    <row r="56916" spans="191:191" x14ac:dyDescent="0.2">
      <c r="GI56916" s="422"/>
    </row>
    <row r="56917" spans="191:191" x14ac:dyDescent="0.2">
      <c r="GI56917" s="422"/>
    </row>
    <row r="56918" spans="191:191" x14ac:dyDescent="0.2">
      <c r="GI56918" s="422"/>
    </row>
    <row r="56919" spans="191:191" x14ac:dyDescent="0.2">
      <c r="GI56919" s="422"/>
    </row>
    <row r="56920" spans="191:191" x14ac:dyDescent="0.2">
      <c r="GI56920" s="422"/>
    </row>
    <row r="56921" spans="191:191" x14ac:dyDescent="0.2">
      <c r="GI56921" s="422"/>
    </row>
    <row r="56922" spans="191:191" x14ac:dyDescent="0.2">
      <c r="GI56922" s="422"/>
    </row>
    <row r="56923" spans="191:191" x14ac:dyDescent="0.2">
      <c r="GI56923" s="422"/>
    </row>
    <row r="56924" spans="191:191" x14ac:dyDescent="0.2">
      <c r="GI56924" s="422"/>
    </row>
    <row r="56925" spans="191:191" x14ac:dyDescent="0.2">
      <c r="GI56925" s="422"/>
    </row>
    <row r="56926" spans="191:191" x14ac:dyDescent="0.2">
      <c r="GI56926" s="422"/>
    </row>
    <row r="56927" spans="191:191" x14ac:dyDescent="0.2">
      <c r="GI56927" s="422"/>
    </row>
    <row r="56928" spans="191:191" x14ac:dyDescent="0.2">
      <c r="GI56928" s="422"/>
    </row>
    <row r="56929" spans="191:191" x14ac:dyDescent="0.2">
      <c r="GI56929" s="422"/>
    </row>
    <row r="56930" spans="191:191" x14ac:dyDescent="0.2">
      <c r="GI56930" s="422"/>
    </row>
    <row r="56931" spans="191:191" x14ac:dyDescent="0.2">
      <c r="GI56931" s="422"/>
    </row>
    <row r="56932" spans="191:191" x14ac:dyDescent="0.2">
      <c r="GI56932" s="422"/>
    </row>
    <row r="56933" spans="191:191" x14ac:dyDescent="0.2">
      <c r="GI56933" s="422"/>
    </row>
    <row r="56934" spans="191:191" x14ac:dyDescent="0.2">
      <c r="GI56934" s="422"/>
    </row>
    <row r="56935" spans="191:191" x14ac:dyDescent="0.2">
      <c r="GI56935" s="422"/>
    </row>
    <row r="56936" spans="191:191" x14ac:dyDescent="0.2">
      <c r="GI56936" s="422"/>
    </row>
    <row r="56937" spans="191:191" x14ac:dyDescent="0.2">
      <c r="GI56937" s="422"/>
    </row>
    <row r="56938" spans="191:191" x14ac:dyDescent="0.2">
      <c r="GI56938" s="422"/>
    </row>
    <row r="56939" spans="191:191" x14ac:dyDescent="0.2">
      <c r="GI56939" s="422"/>
    </row>
    <row r="56940" spans="191:191" x14ac:dyDescent="0.2">
      <c r="GI56940" s="422"/>
    </row>
    <row r="56941" spans="191:191" x14ac:dyDescent="0.2">
      <c r="GI56941" s="422"/>
    </row>
    <row r="56942" spans="191:191" x14ac:dyDescent="0.2">
      <c r="GI56942" s="422"/>
    </row>
    <row r="56943" spans="191:191" x14ac:dyDescent="0.2">
      <c r="GI56943" s="422"/>
    </row>
    <row r="56944" spans="191:191" x14ac:dyDescent="0.2">
      <c r="GI56944" s="422"/>
    </row>
    <row r="56945" spans="191:191" x14ac:dyDescent="0.2">
      <c r="GI56945" s="422"/>
    </row>
    <row r="56946" spans="191:191" x14ac:dyDescent="0.2">
      <c r="GI56946" s="422"/>
    </row>
    <row r="56947" spans="191:191" x14ac:dyDescent="0.2">
      <c r="GI56947" s="422"/>
    </row>
    <row r="56948" spans="191:191" x14ac:dyDescent="0.2">
      <c r="GI56948" s="422"/>
    </row>
    <row r="56949" spans="191:191" x14ac:dyDescent="0.2">
      <c r="GI56949" s="422"/>
    </row>
    <row r="56950" spans="191:191" x14ac:dyDescent="0.2">
      <c r="GI56950" s="422"/>
    </row>
    <row r="56951" spans="191:191" x14ac:dyDescent="0.2">
      <c r="GI56951" s="422"/>
    </row>
    <row r="56952" spans="191:191" x14ac:dyDescent="0.2">
      <c r="GI56952" s="422"/>
    </row>
    <row r="56953" spans="191:191" x14ac:dyDescent="0.2">
      <c r="GI56953" s="422"/>
    </row>
    <row r="56954" spans="191:191" x14ac:dyDescent="0.2">
      <c r="GI56954" s="422"/>
    </row>
    <row r="56955" spans="191:191" x14ac:dyDescent="0.2">
      <c r="GI56955" s="422"/>
    </row>
    <row r="56956" spans="191:191" x14ac:dyDescent="0.2">
      <c r="GI56956" s="422"/>
    </row>
    <row r="56957" spans="191:191" x14ac:dyDescent="0.2">
      <c r="GI56957" s="422"/>
    </row>
    <row r="56958" spans="191:191" x14ac:dyDescent="0.2">
      <c r="GI56958" s="422"/>
    </row>
    <row r="56959" spans="191:191" x14ac:dyDescent="0.2">
      <c r="GI56959" s="422"/>
    </row>
    <row r="56960" spans="191:191" x14ac:dyDescent="0.2">
      <c r="GI56960" s="422"/>
    </row>
    <row r="56961" spans="191:191" x14ac:dyDescent="0.2">
      <c r="GI56961" s="422"/>
    </row>
    <row r="56962" spans="191:191" x14ac:dyDescent="0.2">
      <c r="GI56962" s="422"/>
    </row>
    <row r="56963" spans="191:191" x14ac:dyDescent="0.2">
      <c r="GI56963" s="422"/>
    </row>
    <row r="56964" spans="191:191" x14ac:dyDescent="0.2">
      <c r="GI56964" s="422"/>
    </row>
    <row r="56965" spans="191:191" x14ac:dyDescent="0.2">
      <c r="GI56965" s="422"/>
    </row>
    <row r="56966" spans="191:191" x14ac:dyDescent="0.2">
      <c r="GI56966" s="422"/>
    </row>
    <row r="56967" spans="191:191" x14ac:dyDescent="0.2">
      <c r="GI56967" s="422"/>
    </row>
    <row r="56968" spans="191:191" x14ac:dyDescent="0.2">
      <c r="GI56968" s="422"/>
    </row>
    <row r="56969" spans="191:191" x14ac:dyDescent="0.2">
      <c r="GI56969" s="422"/>
    </row>
    <row r="56970" spans="191:191" x14ac:dyDescent="0.2">
      <c r="GI56970" s="422"/>
    </row>
    <row r="56971" spans="191:191" x14ac:dyDescent="0.2">
      <c r="GI56971" s="422"/>
    </row>
    <row r="56972" spans="191:191" x14ac:dyDescent="0.2">
      <c r="GI56972" s="422"/>
    </row>
    <row r="56973" spans="191:191" x14ac:dyDescent="0.2">
      <c r="GI56973" s="422"/>
    </row>
    <row r="56974" spans="191:191" x14ac:dyDescent="0.2">
      <c r="GI56974" s="422"/>
    </row>
    <row r="56975" spans="191:191" x14ac:dyDescent="0.2">
      <c r="GI56975" s="422"/>
    </row>
    <row r="56976" spans="191:191" x14ac:dyDescent="0.2">
      <c r="GI56976" s="422"/>
    </row>
    <row r="56977" spans="191:191" x14ac:dyDescent="0.2">
      <c r="GI56977" s="422"/>
    </row>
    <row r="56978" spans="191:191" x14ac:dyDescent="0.2">
      <c r="GI56978" s="422"/>
    </row>
    <row r="56979" spans="191:191" x14ac:dyDescent="0.2">
      <c r="GI56979" s="422"/>
    </row>
    <row r="56980" spans="191:191" x14ac:dyDescent="0.2">
      <c r="GI56980" s="422"/>
    </row>
    <row r="56981" spans="191:191" x14ac:dyDescent="0.2">
      <c r="GI56981" s="422"/>
    </row>
    <row r="56982" spans="191:191" x14ac:dyDescent="0.2">
      <c r="GI56982" s="422"/>
    </row>
    <row r="56983" spans="191:191" x14ac:dyDescent="0.2">
      <c r="GI56983" s="422"/>
    </row>
    <row r="56984" spans="191:191" x14ac:dyDescent="0.2">
      <c r="GI56984" s="422"/>
    </row>
    <row r="56985" spans="191:191" x14ac:dyDescent="0.2">
      <c r="GI56985" s="422"/>
    </row>
    <row r="56986" spans="191:191" x14ac:dyDescent="0.2">
      <c r="GI56986" s="422"/>
    </row>
    <row r="56987" spans="191:191" x14ac:dyDescent="0.2">
      <c r="GI56987" s="422"/>
    </row>
    <row r="56988" spans="191:191" x14ac:dyDescent="0.2">
      <c r="GI56988" s="422"/>
    </row>
    <row r="56989" spans="191:191" x14ac:dyDescent="0.2">
      <c r="GI56989" s="422"/>
    </row>
    <row r="56990" spans="191:191" x14ac:dyDescent="0.2">
      <c r="GI56990" s="422"/>
    </row>
    <row r="56991" spans="191:191" x14ac:dyDescent="0.2">
      <c r="GI56991" s="422"/>
    </row>
    <row r="56992" spans="191:191" x14ac:dyDescent="0.2">
      <c r="GI56992" s="422"/>
    </row>
    <row r="56993" spans="191:191" x14ac:dyDescent="0.2">
      <c r="GI56993" s="422"/>
    </row>
    <row r="56994" spans="191:191" x14ac:dyDescent="0.2">
      <c r="GI56994" s="422"/>
    </row>
    <row r="56995" spans="191:191" x14ac:dyDescent="0.2">
      <c r="GI56995" s="422"/>
    </row>
    <row r="56996" spans="191:191" x14ac:dyDescent="0.2">
      <c r="GI56996" s="422"/>
    </row>
    <row r="56997" spans="191:191" x14ac:dyDescent="0.2">
      <c r="GI56997" s="422"/>
    </row>
    <row r="56998" spans="191:191" x14ac:dyDescent="0.2">
      <c r="GI56998" s="422"/>
    </row>
    <row r="56999" spans="191:191" x14ac:dyDescent="0.2">
      <c r="GI56999" s="422"/>
    </row>
    <row r="57000" spans="191:191" x14ac:dyDescent="0.2">
      <c r="GI57000" s="422"/>
    </row>
    <row r="57001" spans="191:191" x14ac:dyDescent="0.2">
      <c r="GI57001" s="422"/>
    </row>
    <row r="57002" spans="191:191" x14ac:dyDescent="0.2">
      <c r="GI57002" s="422"/>
    </row>
    <row r="57003" spans="191:191" x14ac:dyDescent="0.2">
      <c r="GI57003" s="422"/>
    </row>
    <row r="57004" spans="191:191" x14ac:dyDescent="0.2">
      <c r="GI57004" s="422"/>
    </row>
    <row r="57005" spans="191:191" x14ac:dyDescent="0.2">
      <c r="GI57005" s="422"/>
    </row>
    <row r="57006" spans="191:191" x14ac:dyDescent="0.2">
      <c r="GI57006" s="422"/>
    </row>
    <row r="57007" spans="191:191" x14ac:dyDescent="0.2">
      <c r="GI57007" s="422"/>
    </row>
    <row r="57008" spans="191:191" x14ac:dyDescent="0.2">
      <c r="GI57008" s="422"/>
    </row>
    <row r="57009" spans="191:191" x14ac:dyDescent="0.2">
      <c r="GI57009" s="422"/>
    </row>
    <row r="57010" spans="191:191" x14ac:dyDescent="0.2">
      <c r="GI57010" s="422"/>
    </row>
    <row r="57011" spans="191:191" x14ac:dyDescent="0.2">
      <c r="GI57011" s="422"/>
    </row>
    <row r="57012" spans="191:191" x14ac:dyDescent="0.2">
      <c r="GI57012" s="422"/>
    </row>
    <row r="57013" spans="191:191" x14ac:dyDescent="0.2">
      <c r="GI57013" s="422"/>
    </row>
    <row r="57014" spans="191:191" x14ac:dyDescent="0.2">
      <c r="GI57014" s="422"/>
    </row>
    <row r="57015" spans="191:191" x14ac:dyDescent="0.2">
      <c r="GI57015" s="422"/>
    </row>
    <row r="57016" spans="191:191" x14ac:dyDescent="0.2">
      <c r="GI57016" s="422"/>
    </row>
    <row r="57017" spans="191:191" x14ac:dyDescent="0.2">
      <c r="GI57017" s="422"/>
    </row>
    <row r="57018" spans="191:191" x14ac:dyDescent="0.2">
      <c r="GI57018" s="422"/>
    </row>
    <row r="57019" spans="191:191" x14ac:dyDescent="0.2">
      <c r="GI57019" s="422"/>
    </row>
    <row r="57020" spans="191:191" x14ac:dyDescent="0.2">
      <c r="GI57020" s="422"/>
    </row>
    <row r="57021" spans="191:191" x14ac:dyDescent="0.2">
      <c r="GI57021" s="422"/>
    </row>
    <row r="57022" spans="191:191" x14ac:dyDescent="0.2">
      <c r="GI57022" s="422"/>
    </row>
    <row r="57023" spans="191:191" x14ac:dyDescent="0.2">
      <c r="GI57023" s="422"/>
    </row>
    <row r="57024" spans="191:191" x14ac:dyDescent="0.2">
      <c r="GI57024" s="422"/>
    </row>
    <row r="57025" spans="191:191" x14ac:dyDescent="0.2">
      <c r="GI57025" s="422"/>
    </row>
    <row r="57026" spans="191:191" x14ac:dyDescent="0.2">
      <c r="GI57026" s="422"/>
    </row>
    <row r="57027" spans="191:191" x14ac:dyDescent="0.2">
      <c r="GI57027" s="422"/>
    </row>
    <row r="57028" spans="191:191" x14ac:dyDescent="0.2">
      <c r="GI57028" s="422"/>
    </row>
    <row r="57029" spans="191:191" x14ac:dyDescent="0.2">
      <c r="GI57029" s="422"/>
    </row>
    <row r="57030" spans="191:191" x14ac:dyDescent="0.2">
      <c r="GI57030" s="422"/>
    </row>
    <row r="57031" spans="191:191" x14ac:dyDescent="0.2">
      <c r="GI57031" s="422"/>
    </row>
    <row r="57032" spans="191:191" x14ac:dyDescent="0.2">
      <c r="GI57032" s="422"/>
    </row>
    <row r="57033" spans="191:191" x14ac:dyDescent="0.2">
      <c r="GI57033" s="422"/>
    </row>
    <row r="57034" spans="191:191" x14ac:dyDescent="0.2">
      <c r="GI57034" s="422"/>
    </row>
    <row r="57035" spans="191:191" x14ac:dyDescent="0.2">
      <c r="GI57035" s="422"/>
    </row>
    <row r="57036" spans="191:191" x14ac:dyDescent="0.2">
      <c r="GI57036" s="422"/>
    </row>
    <row r="57037" spans="191:191" x14ac:dyDescent="0.2">
      <c r="GI57037" s="422"/>
    </row>
    <row r="57038" spans="191:191" x14ac:dyDescent="0.2">
      <c r="GI57038" s="422"/>
    </row>
    <row r="57039" spans="191:191" x14ac:dyDescent="0.2">
      <c r="GI57039" s="422"/>
    </row>
    <row r="57040" spans="191:191" x14ac:dyDescent="0.2">
      <c r="GI57040" s="422"/>
    </row>
    <row r="57041" spans="191:191" x14ac:dyDescent="0.2">
      <c r="GI57041" s="422"/>
    </row>
    <row r="57042" spans="191:191" x14ac:dyDescent="0.2">
      <c r="GI57042" s="422"/>
    </row>
    <row r="57043" spans="191:191" x14ac:dyDescent="0.2">
      <c r="GI57043" s="422"/>
    </row>
    <row r="57044" spans="191:191" x14ac:dyDescent="0.2">
      <c r="GI57044" s="422"/>
    </row>
    <row r="57045" spans="191:191" x14ac:dyDescent="0.2">
      <c r="GI57045" s="422"/>
    </row>
    <row r="57046" spans="191:191" x14ac:dyDescent="0.2">
      <c r="GI57046" s="422"/>
    </row>
    <row r="57047" spans="191:191" x14ac:dyDescent="0.2">
      <c r="GI57047" s="422"/>
    </row>
    <row r="57048" spans="191:191" x14ac:dyDescent="0.2">
      <c r="GI57048" s="422"/>
    </row>
    <row r="57049" spans="191:191" x14ac:dyDescent="0.2">
      <c r="GI57049" s="422"/>
    </row>
    <row r="57050" spans="191:191" x14ac:dyDescent="0.2">
      <c r="GI57050" s="422"/>
    </row>
    <row r="57051" spans="191:191" x14ac:dyDescent="0.2">
      <c r="GI57051" s="422"/>
    </row>
    <row r="57052" spans="191:191" x14ac:dyDescent="0.2">
      <c r="GI57052" s="422"/>
    </row>
    <row r="57053" spans="191:191" x14ac:dyDescent="0.2">
      <c r="GI57053" s="422"/>
    </row>
    <row r="57054" spans="191:191" x14ac:dyDescent="0.2">
      <c r="GI57054" s="422"/>
    </row>
    <row r="57055" spans="191:191" x14ac:dyDescent="0.2">
      <c r="GI57055" s="422"/>
    </row>
    <row r="57056" spans="191:191" x14ac:dyDescent="0.2">
      <c r="GI57056" s="422"/>
    </row>
    <row r="57057" spans="191:191" x14ac:dyDescent="0.2">
      <c r="GI57057" s="422"/>
    </row>
    <row r="57058" spans="191:191" x14ac:dyDescent="0.2">
      <c r="GI57058" s="422"/>
    </row>
    <row r="57059" spans="191:191" x14ac:dyDescent="0.2">
      <c r="GI57059" s="422"/>
    </row>
    <row r="57060" spans="191:191" x14ac:dyDescent="0.2">
      <c r="GI57060" s="422"/>
    </row>
    <row r="57061" spans="191:191" x14ac:dyDescent="0.2">
      <c r="GI57061" s="422"/>
    </row>
    <row r="57062" spans="191:191" x14ac:dyDescent="0.2">
      <c r="GI57062" s="422"/>
    </row>
    <row r="57063" spans="191:191" x14ac:dyDescent="0.2">
      <c r="GI57063" s="422"/>
    </row>
    <row r="57064" spans="191:191" x14ac:dyDescent="0.2">
      <c r="GI57064" s="422"/>
    </row>
    <row r="57065" spans="191:191" x14ac:dyDescent="0.2">
      <c r="GI57065" s="422"/>
    </row>
    <row r="57066" spans="191:191" x14ac:dyDescent="0.2">
      <c r="GI57066" s="422"/>
    </row>
    <row r="57067" spans="191:191" x14ac:dyDescent="0.2">
      <c r="GI57067" s="422"/>
    </row>
    <row r="57068" spans="191:191" x14ac:dyDescent="0.2">
      <c r="GI57068" s="422"/>
    </row>
    <row r="57069" spans="191:191" x14ac:dyDescent="0.2">
      <c r="GI57069" s="422"/>
    </row>
    <row r="57070" spans="191:191" x14ac:dyDescent="0.2">
      <c r="GI57070" s="422"/>
    </row>
    <row r="57071" spans="191:191" x14ac:dyDescent="0.2">
      <c r="GI57071" s="422"/>
    </row>
    <row r="57072" spans="191:191" x14ac:dyDescent="0.2">
      <c r="GI57072" s="422"/>
    </row>
    <row r="57073" spans="191:191" x14ac:dyDescent="0.2">
      <c r="GI57073" s="422"/>
    </row>
    <row r="57074" spans="191:191" x14ac:dyDescent="0.2">
      <c r="GI57074" s="422"/>
    </row>
    <row r="57075" spans="191:191" x14ac:dyDescent="0.2">
      <c r="GI57075" s="422"/>
    </row>
    <row r="57076" spans="191:191" x14ac:dyDescent="0.2">
      <c r="GI57076" s="422"/>
    </row>
    <row r="57077" spans="191:191" x14ac:dyDescent="0.2">
      <c r="GI57077" s="422"/>
    </row>
    <row r="57078" spans="191:191" x14ac:dyDescent="0.2">
      <c r="GI57078" s="422"/>
    </row>
    <row r="57079" spans="191:191" x14ac:dyDescent="0.2">
      <c r="GI57079" s="422"/>
    </row>
    <row r="57080" spans="191:191" x14ac:dyDescent="0.2">
      <c r="GI57080" s="422"/>
    </row>
    <row r="57081" spans="191:191" x14ac:dyDescent="0.2">
      <c r="GI57081" s="422"/>
    </row>
    <row r="57082" spans="191:191" x14ac:dyDescent="0.2">
      <c r="GI57082" s="422"/>
    </row>
    <row r="57083" spans="191:191" x14ac:dyDescent="0.2">
      <c r="GI57083" s="422"/>
    </row>
    <row r="57084" spans="191:191" x14ac:dyDescent="0.2">
      <c r="GI57084" s="422"/>
    </row>
    <row r="57085" spans="191:191" x14ac:dyDescent="0.2">
      <c r="GI57085" s="422"/>
    </row>
    <row r="57086" spans="191:191" x14ac:dyDescent="0.2">
      <c r="GI57086" s="422"/>
    </row>
    <row r="57087" spans="191:191" x14ac:dyDescent="0.2">
      <c r="GI57087" s="422"/>
    </row>
    <row r="57088" spans="191:191" x14ac:dyDescent="0.2">
      <c r="GI57088" s="422"/>
    </row>
    <row r="57089" spans="191:191" x14ac:dyDescent="0.2">
      <c r="GI57089" s="422"/>
    </row>
    <row r="57090" spans="191:191" x14ac:dyDescent="0.2">
      <c r="GI57090" s="422"/>
    </row>
    <row r="57091" spans="191:191" x14ac:dyDescent="0.2">
      <c r="GI57091" s="422"/>
    </row>
    <row r="57092" spans="191:191" x14ac:dyDescent="0.2">
      <c r="GI57092" s="422"/>
    </row>
    <row r="57093" spans="191:191" x14ac:dyDescent="0.2">
      <c r="GI57093" s="422"/>
    </row>
    <row r="57094" spans="191:191" x14ac:dyDescent="0.2">
      <c r="GI57094" s="422"/>
    </row>
    <row r="57095" spans="191:191" x14ac:dyDescent="0.2">
      <c r="GI57095" s="422"/>
    </row>
    <row r="57096" spans="191:191" x14ac:dyDescent="0.2">
      <c r="GI57096" s="422"/>
    </row>
    <row r="57097" spans="191:191" x14ac:dyDescent="0.2">
      <c r="GI57097" s="422"/>
    </row>
    <row r="57098" spans="191:191" x14ac:dyDescent="0.2">
      <c r="GI57098" s="422"/>
    </row>
    <row r="57099" spans="191:191" x14ac:dyDescent="0.2">
      <c r="GI57099" s="422"/>
    </row>
    <row r="57100" spans="191:191" x14ac:dyDescent="0.2">
      <c r="GI57100" s="422"/>
    </row>
    <row r="57101" spans="191:191" x14ac:dyDescent="0.2">
      <c r="GI57101" s="422"/>
    </row>
    <row r="57102" spans="191:191" x14ac:dyDescent="0.2">
      <c r="GI57102" s="422"/>
    </row>
    <row r="57103" spans="191:191" x14ac:dyDescent="0.2">
      <c r="GI57103" s="422"/>
    </row>
    <row r="57104" spans="191:191" x14ac:dyDescent="0.2">
      <c r="GI57104" s="422"/>
    </row>
    <row r="57105" spans="191:191" x14ac:dyDescent="0.2">
      <c r="GI57105" s="422"/>
    </row>
    <row r="57106" spans="191:191" x14ac:dyDescent="0.2">
      <c r="GI57106" s="422"/>
    </row>
    <row r="57107" spans="191:191" x14ac:dyDescent="0.2">
      <c r="GI57107" s="422"/>
    </row>
    <row r="57108" spans="191:191" x14ac:dyDescent="0.2">
      <c r="GI57108" s="422"/>
    </row>
    <row r="57109" spans="191:191" x14ac:dyDescent="0.2">
      <c r="GI57109" s="422"/>
    </row>
    <row r="57110" spans="191:191" x14ac:dyDescent="0.2">
      <c r="GI57110" s="422"/>
    </row>
    <row r="57111" spans="191:191" x14ac:dyDescent="0.2">
      <c r="GI57111" s="422"/>
    </row>
    <row r="57112" spans="191:191" x14ac:dyDescent="0.2">
      <c r="GI57112" s="422"/>
    </row>
    <row r="57113" spans="191:191" x14ac:dyDescent="0.2">
      <c r="GI57113" s="422"/>
    </row>
    <row r="57114" spans="191:191" x14ac:dyDescent="0.2">
      <c r="GI57114" s="422"/>
    </row>
    <row r="57115" spans="191:191" x14ac:dyDescent="0.2">
      <c r="GI57115" s="422"/>
    </row>
    <row r="57116" spans="191:191" x14ac:dyDescent="0.2">
      <c r="GI57116" s="422"/>
    </row>
    <row r="57117" spans="191:191" x14ac:dyDescent="0.2">
      <c r="GI57117" s="422"/>
    </row>
    <row r="57118" spans="191:191" x14ac:dyDescent="0.2">
      <c r="GI57118" s="422"/>
    </row>
    <row r="57119" spans="191:191" x14ac:dyDescent="0.2">
      <c r="GI57119" s="422"/>
    </row>
    <row r="57120" spans="191:191" x14ac:dyDescent="0.2">
      <c r="GI57120" s="422"/>
    </row>
    <row r="57121" spans="191:191" x14ac:dyDescent="0.2">
      <c r="GI57121" s="422"/>
    </row>
    <row r="57122" spans="191:191" x14ac:dyDescent="0.2">
      <c r="GI57122" s="422"/>
    </row>
    <row r="57123" spans="191:191" x14ac:dyDescent="0.2">
      <c r="GI57123" s="422"/>
    </row>
    <row r="57124" spans="191:191" x14ac:dyDescent="0.2">
      <c r="GI57124" s="422"/>
    </row>
    <row r="57125" spans="191:191" x14ac:dyDescent="0.2">
      <c r="GI57125" s="422"/>
    </row>
    <row r="57126" spans="191:191" x14ac:dyDescent="0.2">
      <c r="GI57126" s="422"/>
    </row>
    <row r="57127" spans="191:191" x14ac:dyDescent="0.2">
      <c r="GI57127" s="422"/>
    </row>
    <row r="57128" spans="191:191" x14ac:dyDescent="0.2">
      <c r="GI57128" s="422"/>
    </row>
    <row r="57129" spans="191:191" x14ac:dyDescent="0.2">
      <c r="GI57129" s="422"/>
    </row>
    <row r="57130" spans="191:191" x14ac:dyDescent="0.2">
      <c r="GI57130" s="422"/>
    </row>
    <row r="57131" spans="191:191" x14ac:dyDescent="0.2">
      <c r="GI57131" s="422"/>
    </row>
    <row r="57132" spans="191:191" x14ac:dyDescent="0.2">
      <c r="GI57132" s="422"/>
    </row>
    <row r="57133" spans="191:191" x14ac:dyDescent="0.2">
      <c r="GI57133" s="422"/>
    </row>
    <row r="57134" spans="191:191" x14ac:dyDescent="0.2">
      <c r="GI57134" s="422"/>
    </row>
    <row r="57135" spans="191:191" x14ac:dyDescent="0.2">
      <c r="GI57135" s="422"/>
    </row>
    <row r="57136" spans="191:191" x14ac:dyDescent="0.2">
      <c r="GI57136" s="422"/>
    </row>
    <row r="57137" spans="191:191" x14ac:dyDescent="0.2">
      <c r="GI57137" s="422"/>
    </row>
    <row r="57138" spans="191:191" x14ac:dyDescent="0.2">
      <c r="GI57138" s="422"/>
    </row>
    <row r="57139" spans="191:191" x14ac:dyDescent="0.2">
      <c r="GI57139" s="422"/>
    </row>
    <row r="57140" spans="191:191" x14ac:dyDescent="0.2">
      <c r="GI57140" s="422"/>
    </row>
    <row r="57141" spans="191:191" x14ac:dyDescent="0.2">
      <c r="GI57141" s="422"/>
    </row>
    <row r="57142" spans="191:191" x14ac:dyDescent="0.2">
      <c r="GI57142" s="422"/>
    </row>
    <row r="57143" spans="191:191" x14ac:dyDescent="0.2">
      <c r="GI57143" s="422"/>
    </row>
    <row r="57144" spans="191:191" x14ac:dyDescent="0.2">
      <c r="GI57144" s="422"/>
    </row>
    <row r="57145" spans="191:191" x14ac:dyDescent="0.2">
      <c r="GI57145" s="422"/>
    </row>
    <row r="57146" spans="191:191" x14ac:dyDescent="0.2">
      <c r="GI57146" s="422"/>
    </row>
    <row r="57147" spans="191:191" x14ac:dyDescent="0.2">
      <c r="GI57147" s="422"/>
    </row>
    <row r="57148" spans="191:191" x14ac:dyDescent="0.2">
      <c r="GI57148" s="422"/>
    </row>
    <row r="57149" spans="191:191" x14ac:dyDescent="0.2">
      <c r="GI57149" s="422"/>
    </row>
    <row r="57150" spans="191:191" x14ac:dyDescent="0.2">
      <c r="GI57150" s="422"/>
    </row>
    <row r="57151" spans="191:191" x14ac:dyDescent="0.2">
      <c r="GI57151" s="422"/>
    </row>
    <row r="57152" spans="191:191" x14ac:dyDescent="0.2">
      <c r="GI57152" s="422"/>
    </row>
    <row r="57153" spans="191:191" x14ac:dyDescent="0.2">
      <c r="GI57153" s="422"/>
    </row>
    <row r="57154" spans="191:191" x14ac:dyDescent="0.2">
      <c r="GI57154" s="422"/>
    </row>
    <row r="57155" spans="191:191" x14ac:dyDescent="0.2">
      <c r="GI57155" s="422"/>
    </row>
    <row r="57156" spans="191:191" x14ac:dyDescent="0.2">
      <c r="GI57156" s="422"/>
    </row>
    <row r="57157" spans="191:191" x14ac:dyDescent="0.2">
      <c r="GI57157" s="422"/>
    </row>
    <row r="57158" spans="191:191" x14ac:dyDescent="0.2">
      <c r="GI57158" s="422"/>
    </row>
    <row r="57159" spans="191:191" x14ac:dyDescent="0.2">
      <c r="GI57159" s="422"/>
    </row>
    <row r="57160" spans="191:191" x14ac:dyDescent="0.2">
      <c r="GI57160" s="422"/>
    </row>
    <row r="57161" spans="191:191" x14ac:dyDescent="0.2">
      <c r="GI57161" s="422"/>
    </row>
    <row r="57162" spans="191:191" x14ac:dyDescent="0.2">
      <c r="GI57162" s="422"/>
    </row>
    <row r="57163" spans="191:191" x14ac:dyDescent="0.2">
      <c r="GI57163" s="422"/>
    </row>
    <row r="57164" spans="191:191" x14ac:dyDescent="0.2">
      <c r="GI57164" s="422"/>
    </row>
    <row r="57165" spans="191:191" x14ac:dyDescent="0.2">
      <c r="GI57165" s="422"/>
    </row>
    <row r="57166" spans="191:191" x14ac:dyDescent="0.2">
      <c r="GI57166" s="422"/>
    </row>
    <row r="57167" spans="191:191" x14ac:dyDescent="0.2">
      <c r="GI57167" s="422"/>
    </row>
    <row r="57168" spans="191:191" x14ac:dyDescent="0.2">
      <c r="GI57168" s="422"/>
    </row>
    <row r="57169" spans="191:191" x14ac:dyDescent="0.2">
      <c r="GI57169" s="422"/>
    </row>
    <row r="57170" spans="191:191" x14ac:dyDescent="0.2">
      <c r="GI57170" s="422"/>
    </row>
    <row r="57171" spans="191:191" x14ac:dyDescent="0.2">
      <c r="GI57171" s="422"/>
    </row>
    <row r="57172" spans="191:191" x14ac:dyDescent="0.2">
      <c r="GI57172" s="422"/>
    </row>
    <row r="57173" spans="191:191" x14ac:dyDescent="0.2">
      <c r="GI57173" s="422"/>
    </row>
    <row r="57174" spans="191:191" x14ac:dyDescent="0.2">
      <c r="GI57174" s="422"/>
    </row>
    <row r="57175" spans="191:191" x14ac:dyDescent="0.2">
      <c r="GI57175" s="422"/>
    </row>
    <row r="57176" spans="191:191" x14ac:dyDescent="0.2">
      <c r="GI57176" s="422"/>
    </row>
    <row r="57177" spans="191:191" x14ac:dyDescent="0.2">
      <c r="GI57177" s="422"/>
    </row>
    <row r="57178" spans="191:191" x14ac:dyDescent="0.2">
      <c r="GI57178" s="422"/>
    </row>
    <row r="57179" spans="191:191" x14ac:dyDescent="0.2">
      <c r="GI57179" s="422"/>
    </row>
    <row r="57180" spans="191:191" x14ac:dyDescent="0.2">
      <c r="GI57180" s="422"/>
    </row>
    <row r="57181" spans="191:191" x14ac:dyDescent="0.2">
      <c r="GI57181" s="422"/>
    </row>
    <row r="57182" spans="191:191" x14ac:dyDescent="0.2">
      <c r="GI57182" s="422"/>
    </row>
    <row r="57183" spans="191:191" x14ac:dyDescent="0.2">
      <c r="GI57183" s="422"/>
    </row>
    <row r="57184" spans="191:191" x14ac:dyDescent="0.2">
      <c r="GI57184" s="422"/>
    </row>
    <row r="57185" spans="191:191" x14ac:dyDescent="0.2">
      <c r="GI57185" s="422"/>
    </row>
    <row r="57186" spans="191:191" x14ac:dyDescent="0.2">
      <c r="GI57186" s="422"/>
    </row>
    <row r="57187" spans="191:191" x14ac:dyDescent="0.2">
      <c r="GI57187" s="422"/>
    </row>
    <row r="57188" spans="191:191" x14ac:dyDescent="0.2">
      <c r="GI57188" s="422"/>
    </row>
    <row r="57189" spans="191:191" x14ac:dyDescent="0.2">
      <c r="GI57189" s="422"/>
    </row>
    <row r="57190" spans="191:191" x14ac:dyDescent="0.2">
      <c r="GI57190" s="422"/>
    </row>
    <row r="57191" spans="191:191" x14ac:dyDescent="0.2">
      <c r="GI57191" s="422"/>
    </row>
    <row r="57192" spans="191:191" x14ac:dyDescent="0.2">
      <c r="GI57192" s="422"/>
    </row>
    <row r="57193" spans="191:191" x14ac:dyDescent="0.2">
      <c r="GI57193" s="422"/>
    </row>
    <row r="57194" spans="191:191" x14ac:dyDescent="0.2">
      <c r="GI57194" s="422"/>
    </row>
    <row r="57195" spans="191:191" x14ac:dyDescent="0.2">
      <c r="GI57195" s="422"/>
    </row>
    <row r="57196" spans="191:191" x14ac:dyDescent="0.2">
      <c r="GI57196" s="422"/>
    </row>
    <row r="57197" spans="191:191" x14ac:dyDescent="0.2">
      <c r="GI57197" s="422"/>
    </row>
    <row r="57198" spans="191:191" x14ac:dyDescent="0.2">
      <c r="GI57198" s="422"/>
    </row>
    <row r="57199" spans="191:191" x14ac:dyDescent="0.2">
      <c r="GI57199" s="422"/>
    </row>
    <row r="57200" spans="191:191" x14ac:dyDescent="0.2">
      <c r="GI57200" s="422"/>
    </row>
    <row r="57201" spans="191:191" x14ac:dyDescent="0.2">
      <c r="GI57201" s="422"/>
    </row>
    <row r="57202" spans="191:191" x14ac:dyDescent="0.2">
      <c r="GI57202" s="422"/>
    </row>
    <row r="57203" spans="191:191" x14ac:dyDescent="0.2">
      <c r="GI57203" s="422"/>
    </row>
    <row r="57204" spans="191:191" x14ac:dyDescent="0.2">
      <c r="GI57204" s="422"/>
    </row>
    <row r="57205" spans="191:191" x14ac:dyDescent="0.2">
      <c r="GI57205" s="422"/>
    </row>
    <row r="57206" spans="191:191" x14ac:dyDescent="0.2">
      <c r="GI57206" s="422"/>
    </row>
    <row r="57207" spans="191:191" x14ac:dyDescent="0.2">
      <c r="GI57207" s="422"/>
    </row>
    <row r="57208" spans="191:191" x14ac:dyDescent="0.2">
      <c r="GI57208" s="422"/>
    </row>
    <row r="57209" spans="191:191" x14ac:dyDescent="0.2">
      <c r="GI57209" s="422"/>
    </row>
    <row r="57210" spans="191:191" x14ac:dyDescent="0.2">
      <c r="GI57210" s="422"/>
    </row>
    <row r="57211" spans="191:191" x14ac:dyDescent="0.2">
      <c r="GI57211" s="422"/>
    </row>
    <row r="57212" spans="191:191" x14ac:dyDescent="0.2">
      <c r="GI57212" s="422"/>
    </row>
    <row r="57213" spans="191:191" x14ac:dyDescent="0.2">
      <c r="GI57213" s="422"/>
    </row>
    <row r="57214" spans="191:191" x14ac:dyDescent="0.2">
      <c r="GI57214" s="422"/>
    </row>
    <row r="57215" spans="191:191" x14ac:dyDescent="0.2">
      <c r="GI57215" s="422"/>
    </row>
    <row r="57216" spans="191:191" x14ac:dyDescent="0.2">
      <c r="GI57216" s="422"/>
    </row>
    <row r="57217" spans="191:191" x14ac:dyDescent="0.2">
      <c r="GI57217" s="422"/>
    </row>
    <row r="57218" spans="191:191" x14ac:dyDescent="0.2">
      <c r="GI57218" s="422"/>
    </row>
    <row r="57219" spans="191:191" x14ac:dyDescent="0.2">
      <c r="GI57219" s="422"/>
    </row>
    <row r="57220" spans="191:191" x14ac:dyDescent="0.2">
      <c r="GI57220" s="422"/>
    </row>
    <row r="57221" spans="191:191" x14ac:dyDescent="0.2">
      <c r="GI57221" s="422"/>
    </row>
    <row r="57222" spans="191:191" x14ac:dyDescent="0.2">
      <c r="GI57222" s="422"/>
    </row>
    <row r="57223" spans="191:191" x14ac:dyDescent="0.2">
      <c r="GI57223" s="422"/>
    </row>
    <row r="57224" spans="191:191" x14ac:dyDescent="0.2">
      <c r="GI57224" s="422"/>
    </row>
    <row r="57225" spans="191:191" x14ac:dyDescent="0.2">
      <c r="GI57225" s="422"/>
    </row>
    <row r="57226" spans="191:191" x14ac:dyDescent="0.2">
      <c r="GI57226" s="422"/>
    </row>
    <row r="57227" spans="191:191" x14ac:dyDescent="0.2">
      <c r="GI57227" s="422"/>
    </row>
    <row r="57228" spans="191:191" x14ac:dyDescent="0.2">
      <c r="GI57228" s="422"/>
    </row>
    <row r="57229" spans="191:191" x14ac:dyDescent="0.2">
      <c r="GI57229" s="422"/>
    </row>
    <row r="57230" spans="191:191" x14ac:dyDescent="0.2">
      <c r="GI57230" s="422"/>
    </row>
    <row r="57231" spans="191:191" x14ac:dyDescent="0.2">
      <c r="GI57231" s="422"/>
    </row>
    <row r="57232" spans="191:191" x14ac:dyDescent="0.2">
      <c r="GI57232" s="422"/>
    </row>
    <row r="57233" spans="191:191" x14ac:dyDescent="0.2">
      <c r="GI57233" s="422"/>
    </row>
    <row r="57234" spans="191:191" x14ac:dyDescent="0.2">
      <c r="GI57234" s="422"/>
    </row>
    <row r="57235" spans="191:191" x14ac:dyDescent="0.2">
      <c r="GI57235" s="422"/>
    </row>
    <row r="57236" spans="191:191" x14ac:dyDescent="0.2">
      <c r="GI57236" s="422"/>
    </row>
    <row r="57237" spans="191:191" x14ac:dyDescent="0.2">
      <c r="GI57237" s="422"/>
    </row>
    <row r="57238" spans="191:191" x14ac:dyDescent="0.2">
      <c r="GI57238" s="422"/>
    </row>
    <row r="57239" spans="191:191" x14ac:dyDescent="0.2">
      <c r="GI57239" s="422"/>
    </row>
    <row r="57240" spans="191:191" x14ac:dyDescent="0.2">
      <c r="GI57240" s="422"/>
    </row>
    <row r="57241" spans="191:191" x14ac:dyDescent="0.2">
      <c r="GI57241" s="422"/>
    </row>
    <row r="57242" spans="191:191" x14ac:dyDescent="0.2">
      <c r="GI57242" s="422"/>
    </row>
    <row r="57243" spans="191:191" x14ac:dyDescent="0.2">
      <c r="GI57243" s="422"/>
    </row>
    <row r="57244" spans="191:191" x14ac:dyDescent="0.2">
      <c r="GI57244" s="422"/>
    </row>
    <row r="57245" spans="191:191" x14ac:dyDescent="0.2">
      <c r="GI57245" s="422"/>
    </row>
    <row r="57246" spans="191:191" x14ac:dyDescent="0.2">
      <c r="GI57246" s="422"/>
    </row>
    <row r="57247" spans="191:191" x14ac:dyDescent="0.2">
      <c r="GI57247" s="422"/>
    </row>
    <row r="57248" spans="191:191" x14ac:dyDescent="0.2">
      <c r="GI57248" s="422"/>
    </row>
    <row r="57249" spans="191:191" x14ac:dyDescent="0.2">
      <c r="GI57249" s="422"/>
    </row>
    <row r="57250" spans="191:191" x14ac:dyDescent="0.2">
      <c r="GI57250" s="422"/>
    </row>
    <row r="57251" spans="191:191" x14ac:dyDescent="0.2">
      <c r="GI57251" s="422"/>
    </row>
    <row r="57252" spans="191:191" x14ac:dyDescent="0.2">
      <c r="GI57252" s="422"/>
    </row>
    <row r="57253" spans="191:191" x14ac:dyDescent="0.2">
      <c r="GI57253" s="422"/>
    </row>
    <row r="57254" spans="191:191" x14ac:dyDescent="0.2">
      <c r="GI57254" s="422"/>
    </row>
    <row r="57255" spans="191:191" x14ac:dyDescent="0.2">
      <c r="GI57255" s="422"/>
    </row>
    <row r="57256" spans="191:191" x14ac:dyDescent="0.2">
      <c r="GI57256" s="422"/>
    </row>
    <row r="57257" spans="191:191" x14ac:dyDescent="0.2">
      <c r="GI57257" s="422"/>
    </row>
    <row r="57258" spans="191:191" x14ac:dyDescent="0.2">
      <c r="GI57258" s="422"/>
    </row>
    <row r="57259" spans="191:191" x14ac:dyDescent="0.2">
      <c r="GI57259" s="422"/>
    </row>
    <row r="57260" spans="191:191" x14ac:dyDescent="0.2">
      <c r="GI57260" s="422"/>
    </row>
    <row r="57261" spans="191:191" x14ac:dyDescent="0.2">
      <c r="GI57261" s="422"/>
    </row>
    <row r="57262" spans="191:191" x14ac:dyDescent="0.2">
      <c r="GI57262" s="422"/>
    </row>
    <row r="57263" spans="191:191" x14ac:dyDescent="0.2">
      <c r="GI57263" s="422"/>
    </row>
    <row r="57264" spans="191:191" x14ac:dyDescent="0.2">
      <c r="GI57264" s="422"/>
    </row>
    <row r="57265" spans="191:191" x14ac:dyDescent="0.2">
      <c r="GI57265" s="422"/>
    </row>
    <row r="57266" spans="191:191" x14ac:dyDescent="0.2">
      <c r="GI57266" s="422"/>
    </row>
    <row r="57267" spans="191:191" x14ac:dyDescent="0.2">
      <c r="GI57267" s="422"/>
    </row>
    <row r="57268" spans="191:191" x14ac:dyDescent="0.2">
      <c r="GI57268" s="422"/>
    </row>
    <row r="57269" spans="191:191" x14ac:dyDescent="0.2">
      <c r="GI57269" s="422"/>
    </row>
    <row r="57270" spans="191:191" x14ac:dyDescent="0.2">
      <c r="GI57270" s="422"/>
    </row>
    <row r="57271" spans="191:191" x14ac:dyDescent="0.2">
      <c r="GI57271" s="422"/>
    </row>
    <row r="57272" spans="191:191" x14ac:dyDescent="0.2">
      <c r="GI57272" s="422"/>
    </row>
    <row r="57273" spans="191:191" x14ac:dyDescent="0.2">
      <c r="GI57273" s="422"/>
    </row>
    <row r="57274" spans="191:191" x14ac:dyDescent="0.2">
      <c r="GI57274" s="422"/>
    </row>
    <row r="57275" spans="191:191" x14ac:dyDescent="0.2">
      <c r="GI57275" s="422"/>
    </row>
    <row r="57276" spans="191:191" x14ac:dyDescent="0.2">
      <c r="GI57276" s="422"/>
    </row>
    <row r="57277" spans="191:191" x14ac:dyDescent="0.2">
      <c r="GI57277" s="422"/>
    </row>
    <row r="57278" spans="191:191" x14ac:dyDescent="0.2">
      <c r="GI57278" s="422"/>
    </row>
    <row r="57279" spans="191:191" x14ac:dyDescent="0.2">
      <c r="GI57279" s="422"/>
    </row>
    <row r="57280" spans="191:191" x14ac:dyDescent="0.2">
      <c r="GI57280" s="422"/>
    </row>
    <row r="57281" spans="191:191" x14ac:dyDescent="0.2">
      <c r="GI57281" s="422"/>
    </row>
    <row r="57282" spans="191:191" x14ac:dyDescent="0.2">
      <c r="GI57282" s="422"/>
    </row>
    <row r="57283" spans="191:191" x14ac:dyDescent="0.2">
      <c r="GI57283" s="422"/>
    </row>
    <row r="57284" spans="191:191" x14ac:dyDescent="0.2">
      <c r="GI57284" s="422"/>
    </row>
    <row r="57285" spans="191:191" x14ac:dyDescent="0.2">
      <c r="GI57285" s="422"/>
    </row>
    <row r="57286" spans="191:191" x14ac:dyDescent="0.2">
      <c r="GI57286" s="422"/>
    </row>
    <row r="57287" spans="191:191" x14ac:dyDescent="0.2">
      <c r="GI57287" s="422"/>
    </row>
    <row r="57288" spans="191:191" x14ac:dyDescent="0.2">
      <c r="GI57288" s="422"/>
    </row>
    <row r="57289" spans="191:191" x14ac:dyDescent="0.2">
      <c r="GI57289" s="422"/>
    </row>
    <row r="57290" spans="191:191" x14ac:dyDescent="0.2">
      <c r="GI57290" s="422"/>
    </row>
    <row r="57291" spans="191:191" x14ac:dyDescent="0.2">
      <c r="GI57291" s="422"/>
    </row>
    <row r="57292" spans="191:191" x14ac:dyDescent="0.2">
      <c r="GI57292" s="422"/>
    </row>
    <row r="57293" spans="191:191" x14ac:dyDescent="0.2">
      <c r="GI57293" s="422"/>
    </row>
    <row r="57294" spans="191:191" x14ac:dyDescent="0.2">
      <c r="GI57294" s="422"/>
    </row>
    <row r="57295" spans="191:191" x14ac:dyDescent="0.2">
      <c r="GI57295" s="422"/>
    </row>
    <row r="57296" spans="191:191" x14ac:dyDescent="0.2">
      <c r="GI57296" s="422"/>
    </row>
    <row r="57297" spans="191:191" x14ac:dyDescent="0.2">
      <c r="GI57297" s="422"/>
    </row>
    <row r="57298" spans="191:191" x14ac:dyDescent="0.2">
      <c r="GI57298" s="422"/>
    </row>
    <row r="57299" spans="191:191" x14ac:dyDescent="0.2">
      <c r="GI57299" s="422"/>
    </row>
    <row r="57300" spans="191:191" x14ac:dyDescent="0.2">
      <c r="GI57300" s="422"/>
    </row>
    <row r="57301" spans="191:191" x14ac:dyDescent="0.2">
      <c r="GI57301" s="422"/>
    </row>
    <row r="57302" spans="191:191" x14ac:dyDescent="0.2">
      <c r="GI57302" s="422"/>
    </row>
    <row r="57303" spans="191:191" x14ac:dyDescent="0.2">
      <c r="GI57303" s="422"/>
    </row>
    <row r="57304" spans="191:191" x14ac:dyDescent="0.2">
      <c r="GI57304" s="422"/>
    </row>
    <row r="57305" spans="191:191" x14ac:dyDescent="0.2">
      <c r="GI57305" s="422"/>
    </row>
    <row r="57306" spans="191:191" x14ac:dyDescent="0.2">
      <c r="GI57306" s="422"/>
    </row>
    <row r="57307" spans="191:191" x14ac:dyDescent="0.2">
      <c r="GI57307" s="422"/>
    </row>
    <row r="57308" spans="191:191" x14ac:dyDescent="0.2">
      <c r="GI57308" s="422"/>
    </row>
    <row r="57309" spans="191:191" x14ac:dyDescent="0.2">
      <c r="GI57309" s="422"/>
    </row>
    <row r="57310" spans="191:191" x14ac:dyDescent="0.2">
      <c r="GI57310" s="422"/>
    </row>
    <row r="57311" spans="191:191" x14ac:dyDescent="0.2">
      <c r="GI57311" s="422"/>
    </row>
    <row r="57312" spans="191:191" x14ac:dyDescent="0.2">
      <c r="GI57312" s="422"/>
    </row>
    <row r="57313" spans="191:191" x14ac:dyDescent="0.2">
      <c r="GI57313" s="422"/>
    </row>
    <row r="57314" spans="191:191" x14ac:dyDescent="0.2">
      <c r="GI57314" s="422"/>
    </row>
    <row r="57315" spans="191:191" x14ac:dyDescent="0.2">
      <c r="GI57315" s="422"/>
    </row>
    <row r="57316" spans="191:191" x14ac:dyDescent="0.2">
      <c r="GI57316" s="422"/>
    </row>
    <row r="57317" spans="191:191" x14ac:dyDescent="0.2">
      <c r="GI57317" s="422"/>
    </row>
    <row r="57318" spans="191:191" x14ac:dyDescent="0.2">
      <c r="GI57318" s="422"/>
    </row>
    <row r="57319" spans="191:191" x14ac:dyDescent="0.2">
      <c r="GI57319" s="422"/>
    </row>
    <row r="57320" spans="191:191" x14ac:dyDescent="0.2">
      <c r="GI57320" s="422"/>
    </row>
    <row r="57321" spans="191:191" x14ac:dyDescent="0.2">
      <c r="GI57321" s="422"/>
    </row>
    <row r="57322" spans="191:191" x14ac:dyDescent="0.2">
      <c r="GI57322" s="422"/>
    </row>
    <row r="57323" spans="191:191" x14ac:dyDescent="0.2">
      <c r="GI57323" s="422"/>
    </row>
    <row r="57324" spans="191:191" x14ac:dyDescent="0.2">
      <c r="GI57324" s="422"/>
    </row>
    <row r="57325" spans="191:191" x14ac:dyDescent="0.2">
      <c r="GI57325" s="422"/>
    </row>
    <row r="57326" spans="191:191" x14ac:dyDescent="0.2">
      <c r="GI57326" s="422"/>
    </row>
    <row r="57327" spans="191:191" x14ac:dyDescent="0.2">
      <c r="GI57327" s="422"/>
    </row>
    <row r="57328" spans="191:191" x14ac:dyDescent="0.2">
      <c r="GI57328" s="422"/>
    </row>
    <row r="57329" spans="191:191" x14ac:dyDescent="0.2">
      <c r="GI57329" s="422"/>
    </row>
    <row r="57330" spans="191:191" x14ac:dyDescent="0.2">
      <c r="GI57330" s="422"/>
    </row>
    <row r="57331" spans="191:191" x14ac:dyDescent="0.2">
      <c r="GI57331" s="422"/>
    </row>
    <row r="57332" spans="191:191" x14ac:dyDescent="0.2">
      <c r="GI57332" s="422"/>
    </row>
    <row r="57333" spans="191:191" x14ac:dyDescent="0.2">
      <c r="GI57333" s="422"/>
    </row>
    <row r="57334" spans="191:191" x14ac:dyDescent="0.2">
      <c r="GI57334" s="422"/>
    </row>
    <row r="57335" spans="191:191" x14ac:dyDescent="0.2">
      <c r="GI57335" s="422"/>
    </row>
    <row r="57336" spans="191:191" x14ac:dyDescent="0.2">
      <c r="GI57336" s="422"/>
    </row>
    <row r="57337" spans="191:191" x14ac:dyDescent="0.2">
      <c r="GI57337" s="422"/>
    </row>
    <row r="57338" spans="191:191" x14ac:dyDescent="0.2">
      <c r="GI57338" s="422"/>
    </row>
    <row r="57339" spans="191:191" x14ac:dyDescent="0.2">
      <c r="GI57339" s="422"/>
    </row>
    <row r="57340" spans="191:191" x14ac:dyDescent="0.2">
      <c r="GI57340" s="422"/>
    </row>
    <row r="57341" spans="191:191" x14ac:dyDescent="0.2">
      <c r="GI57341" s="422"/>
    </row>
    <row r="57342" spans="191:191" x14ac:dyDescent="0.2">
      <c r="GI57342" s="422"/>
    </row>
    <row r="57343" spans="191:191" x14ac:dyDescent="0.2">
      <c r="GI57343" s="422"/>
    </row>
    <row r="57344" spans="191:191" x14ac:dyDescent="0.2">
      <c r="GI57344" s="422"/>
    </row>
    <row r="57345" spans="191:191" x14ac:dyDescent="0.2">
      <c r="GI57345" s="422"/>
    </row>
    <row r="57346" spans="191:191" x14ac:dyDescent="0.2">
      <c r="GI57346" s="422"/>
    </row>
    <row r="57347" spans="191:191" x14ac:dyDescent="0.2">
      <c r="GI57347" s="422"/>
    </row>
    <row r="57348" spans="191:191" x14ac:dyDescent="0.2">
      <c r="GI57348" s="422"/>
    </row>
    <row r="57349" spans="191:191" x14ac:dyDescent="0.2">
      <c r="GI57349" s="422"/>
    </row>
    <row r="57350" spans="191:191" x14ac:dyDescent="0.2">
      <c r="GI57350" s="422"/>
    </row>
    <row r="57351" spans="191:191" x14ac:dyDescent="0.2">
      <c r="GI57351" s="422"/>
    </row>
    <row r="57352" spans="191:191" x14ac:dyDescent="0.2">
      <c r="GI57352" s="422"/>
    </row>
    <row r="57353" spans="191:191" x14ac:dyDescent="0.2">
      <c r="GI57353" s="422"/>
    </row>
    <row r="57354" spans="191:191" x14ac:dyDescent="0.2">
      <c r="GI57354" s="422"/>
    </row>
    <row r="57355" spans="191:191" x14ac:dyDescent="0.2">
      <c r="GI57355" s="422"/>
    </row>
    <row r="57356" spans="191:191" x14ac:dyDescent="0.2">
      <c r="GI57356" s="422"/>
    </row>
    <row r="57357" spans="191:191" x14ac:dyDescent="0.2">
      <c r="GI57357" s="422"/>
    </row>
    <row r="57358" spans="191:191" x14ac:dyDescent="0.2">
      <c r="GI57358" s="422"/>
    </row>
    <row r="57359" spans="191:191" x14ac:dyDescent="0.2">
      <c r="GI57359" s="422"/>
    </row>
    <row r="57360" spans="191:191" x14ac:dyDescent="0.2">
      <c r="GI57360" s="422"/>
    </row>
    <row r="57361" spans="191:191" x14ac:dyDescent="0.2">
      <c r="GI57361" s="422"/>
    </row>
    <row r="57362" spans="191:191" x14ac:dyDescent="0.2">
      <c r="GI57362" s="422"/>
    </row>
    <row r="57363" spans="191:191" x14ac:dyDescent="0.2">
      <c r="GI57363" s="422"/>
    </row>
    <row r="57364" spans="191:191" x14ac:dyDescent="0.2">
      <c r="GI57364" s="422"/>
    </row>
    <row r="57365" spans="191:191" x14ac:dyDescent="0.2">
      <c r="GI57365" s="422"/>
    </row>
    <row r="57366" spans="191:191" x14ac:dyDescent="0.2">
      <c r="GI57366" s="422"/>
    </row>
    <row r="57367" spans="191:191" x14ac:dyDescent="0.2">
      <c r="GI57367" s="422"/>
    </row>
    <row r="57368" spans="191:191" x14ac:dyDescent="0.2">
      <c r="GI57368" s="422"/>
    </row>
    <row r="57369" spans="191:191" x14ac:dyDescent="0.2">
      <c r="GI57369" s="422"/>
    </row>
    <row r="57370" spans="191:191" x14ac:dyDescent="0.2">
      <c r="GI57370" s="422"/>
    </row>
    <row r="57371" spans="191:191" x14ac:dyDescent="0.2">
      <c r="GI57371" s="422"/>
    </row>
    <row r="57372" spans="191:191" x14ac:dyDescent="0.2">
      <c r="GI57372" s="422"/>
    </row>
    <row r="57373" spans="191:191" x14ac:dyDescent="0.2">
      <c r="GI57373" s="422"/>
    </row>
    <row r="57374" spans="191:191" x14ac:dyDescent="0.2">
      <c r="GI57374" s="422"/>
    </row>
    <row r="57375" spans="191:191" x14ac:dyDescent="0.2">
      <c r="GI57375" s="422"/>
    </row>
    <row r="57376" spans="191:191" x14ac:dyDescent="0.2">
      <c r="GI57376" s="422"/>
    </row>
    <row r="57377" spans="191:191" x14ac:dyDescent="0.2">
      <c r="GI57377" s="422"/>
    </row>
    <row r="57378" spans="191:191" x14ac:dyDescent="0.2">
      <c r="GI57378" s="422"/>
    </row>
    <row r="57379" spans="191:191" x14ac:dyDescent="0.2">
      <c r="GI57379" s="422"/>
    </row>
    <row r="57380" spans="191:191" x14ac:dyDescent="0.2">
      <c r="GI57380" s="422"/>
    </row>
    <row r="57381" spans="191:191" x14ac:dyDescent="0.2">
      <c r="GI57381" s="422"/>
    </row>
    <row r="57382" spans="191:191" x14ac:dyDescent="0.2">
      <c r="GI57382" s="422"/>
    </row>
    <row r="57383" spans="191:191" x14ac:dyDescent="0.2">
      <c r="GI57383" s="422"/>
    </row>
    <row r="57384" spans="191:191" x14ac:dyDescent="0.2">
      <c r="GI57384" s="422"/>
    </row>
    <row r="57385" spans="191:191" x14ac:dyDescent="0.2">
      <c r="GI57385" s="422"/>
    </row>
    <row r="57386" spans="191:191" x14ac:dyDescent="0.2">
      <c r="GI57386" s="422"/>
    </row>
    <row r="57387" spans="191:191" x14ac:dyDescent="0.2">
      <c r="GI57387" s="422"/>
    </row>
    <row r="57388" spans="191:191" x14ac:dyDescent="0.2">
      <c r="GI57388" s="422"/>
    </row>
    <row r="57389" spans="191:191" x14ac:dyDescent="0.2">
      <c r="GI57389" s="422"/>
    </row>
    <row r="57390" spans="191:191" x14ac:dyDescent="0.2">
      <c r="GI57390" s="422"/>
    </row>
    <row r="57391" spans="191:191" x14ac:dyDescent="0.2">
      <c r="GI57391" s="422"/>
    </row>
    <row r="57392" spans="191:191" x14ac:dyDescent="0.2">
      <c r="GI57392" s="422"/>
    </row>
    <row r="57393" spans="191:191" x14ac:dyDescent="0.2">
      <c r="GI57393" s="422"/>
    </row>
    <row r="57394" spans="191:191" x14ac:dyDescent="0.2">
      <c r="GI57394" s="422"/>
    </row>
    <row r="57395" spans="191:191" x14ac:dyDescent="0.2">
      <c r="GI57395" s="422"/>
    </row>
    <row r="57396" spans="191:191" x14ac:dyDescent="0.2">
      <c r="GI57396" s="422"/>
    </row>
    <row r="57397" spans="191:191" x14ac:dyDescent="0.2">
      <c r="GI57397" s="422"/>
    </row>
    <row r="57398" spans="191:191" x14ac:dyDescent="0.2">
      <c r="GI57398" s="422"/>
    </row>
    <row r="57399" spans="191:191" x14ac:dyDescent="0.2">
      <c r="GI57399" s="422"/>
    </row>
    <row r="57400" spans="191:191" x14ac:dyDescent="0.2">
      <c r="GI57400" s="422"/>
    </row>
    <row r="57401" spans="191:191" x14ac:dyDescent="0.2">
      <c r="GI57401" s="422"/>
    </row>
    <row r="57402" spans="191:191" x14ac:dyDescent="0.2">
      <c r="GI57402" s="422"/>
    </row>
    <row r="57403" spans="191:191" x14ac:dyDescent="0.2">
      <c r="GI57403" s="422"/>
    </row>
    <row r="57404" spans="191:191" x14ac:dyDescent="0.2">
      <c r="GI57404" s="422"/>
    </row>
    <row r="57405" spans="191:191" x14ac:dyDescent="0.2">
      <c r="GI57405" s="422"/>
    </row>
    <row r="57406" spans="191:191" x14ac:dyDescent="0.2">
      <c r="GI57406" s="422"/>
    </row>
    <row r="57407" spans="191:191" x14ac:dyDescent="0.2">
      <c r="GI57407" s="422"/>
    </row>
    <row r="57408" spans="191:191" x14ac:dyDescent="0.2">
      <c r="GI57408" s="422"/>
    </row>
    <row r="57409" spans="191:191" x14ac:dyDescent="0.2">
      <c r="GI57409" s="422"/>
    </row>
    <row r="57410" spans="191:191" x14ac:dyDescent="0.2">
      <c r="GI57410" s="422"/>
    </row>
    <row r="57411" spans="191:191" x14ac:dyDescent="0.2">
      <c r="GI57411" s="422"/>
    </row>
    <row r="57412" spans="191:191" x14ac:dyDescent="0.2">
      <c r="GI57412" s="422"/>
    </row>
    <row r="57413" spans="191:191" x14ac:dyDescent="0.2">
      <c r="GI57413" s="422"/>
    </row>
    <row r="57414" spans="191:191" x14ac:dyDescent="0.2">
      <c r="GI57414" s="422"/>
    </row>
    <row r="57415" spans="191:191" x14ac:dyDescent="0.2">
      <c r="GI57415" s="422"/>
    </row>
    <row r="57416" spans="191:191" x14ac:dyDescent="0.2">
      <c r="GI57416" s="422"/>
    </row>
    <row r="57417" spans="191:191" x14ac:dyDescent="0.2">
      <c r="GI57417" s="422"/>
    </row>
    <row r="57418" spans="191:191" x14ac:dyDescent="0.2">
      <c r="GI57418" s="422"/>
    </row>
    <row r="57419" spans="191:191" x14ac:dyDescent="0.2">
      <c r="GI57419" s="422"/>
    </row>
    <row r="57420" spans="191:191" x14ac:dyDescent="0.2">
      <c r="GI57420" s="422"/>
    </row>
    <row r="57421" spans="191:191" x14ac:dyDescent="0.2">
      <c r="GI57421" s="422"/>
    </row>
    <row r="57422" spans="191:191" x14ac:dyDescent="0.2">
      <c r="GI57422" s="422"/>
    </row>
    <row r="57423" spans="191:191" x14ac:dyDescent="0.2">
      <c r="GI57423" s="422"/>
    </row>
    <row r="57424" spans="191:191" x14ac:dyDescent="0.2">
      <c r="GI57424" s="422"/>
    </row>
    <row r="57425" spans="191:191" x14ac:dyDescent="0.2">
      <c r="GI57425" s="422"/>
    </row>
    <row r="57426" spans="191:191" x14ac:dyDescent="0.2">
      <c r="GI57426" s="422"/>
    </row>
    <row r="57427" spans="191:191" x14ac:dyDescent="0.2">
      <c r="GI57427" s="422"/>
    </row>
    <row r="57428" spans="191:191" x14ac:dyDescent="0.2">
      <c r="GI57428" s="422"/>
    </row>
    <row r="57429" spans="191:191" x14ac:dyDescent="0.2">
      <c r="GI57429" s="422"/>
    </row>
    <row r="57430" spans="191:191" x14ac:dyDescent="0.2">
      <c r="GI57430" s="422"/>
    </row>
    <row r="57431" spans="191:191" x14ac:dyDescent="0.2">
      <c r="GI57431" s="422"/>
    </row>
    <row r="57432" spans="191:191" x14ac:dyDescent="0.2">
      <c r="GI57432" s="422"/>
    </row>
    <row r="57433" spans="191:191" x14ac:dyDescent="0.2">
      <c r="GI57433" s="422"/>
    </row>
    <row r="57434" spans="191:191" x14ac:dyDescent="0.2">
      <c r="GI57434" s="422"/>
    </row>
    <row r="57435" spans="191:191" x14ac:dyDescent="0.2">
      <c r="GI57435" s="422"/>
    </row>
    <row r="57436" spans="191:191" x14ac:dyDescent="0.2">
      <c r="GI57436" s="422"/>
    </row>
    <row r="57437" spans="191:191" x14ac:dyDescent="0.2">
      <c r="GI57437" s="422"/>
    </row>
    <row r="57438" spans="191:191" x14ac:dyDescent="0.2">
      <c r="GI57438" s="422"/>
    </row>
    <row r="57439" spans="191:191" x14ac:dyDescent="0.2">
      <c r="GI57439" s="422"/>
    </row>
    <row r="57440" spans="191:191" x14ac:dyDescent="0.2">
      <c r="GI57440" s="422"/>
    </row>
    <row r="57441" spans="191:191" x14ac:dyDescent="0.2">
      <c r="GI57441" s="422"/>
    </row>
    <row r="57442" spans="191:191" x14ac:dyDescent="0.2">
      <c r="GI57442" s="422"/>
    </row>
    <row r="57443" spans="191:191" x14ac:dyDescent="0.2">
      <c r="GI57443" s="422"/>
    </row>
    <row r="57444" spans="191:191" x14ac:dyDescent="0.2">
      <c r="GI57444" s="422"/>
    </row>
    <row r="57445" spans="191:191" x14ac:dyDescent="0.2">
      <c r="GI57445" s="422"/>
    </row>
    <row r="57446" spans="191:191" x14ac:dyDescent="0.2">
      <c r="GI57446" s="422"/>
    </row>
    <row r="57447" spans="191:191" x14ac:dyDescent="0.2">
      <c r="GI57447" s="422"/>
    </row>
    <row r="57448" spans="191:191" x14ac:dyDescent="0.2">
      <c r="GI57448" s="422"/>
    </row>
    <row r="57449" spans="191:191" x14ac:dyDescent="0.2">
      <c r="GI57449" s="422"/>
    </row>
    <row r="57450" spans="191:191" x14ac:dyDescent="0.2">
      <c r="GI57450" s="422"/>
    </row>
    <row r="57451" spans="191:191" x14ac:dyDescent="0.2">
      <c r="GI57451" s="422"/>
    </row>
    <row r="57452" spans="191:191" x14ac:dyDescent="0.2">
      <c r="GI57452" s="422"/>
    </row>
    <row r="57453" spans="191:191" x14ac:dyDescent="0.2">
      <c r="GI57453" s="422"/>
    </row>
    <row r="57454" spans="191:191" x14ac:dyDescent="0.2">
      <c r="GI57454" s="422"/>
    </row>
    <row r="57455" spans="191:191" x14ac:dyDescent="0.2">
      <c r="GI57455" s="422"/>
    </row>
    <row r="57456" spans="191:191" x14ac:dyDescent="0.2">
      <c r="GI57456" s="422"/>
    </row>
    <row r="57457" spans="191:191" x14ac:dyDescent="0.2">
      <c r="GI57457" s="422"/>
    </row>
    <row r="57458" spans="191:191" x14ac:dyDescent="0.2">
      <c r="GI57458" s="422"/>
    </row>
    <row r="57459" spans="191:191" x14ac:dyDescent="0.2">
      <c r="GI57459" s="422"/>
    </row>
    <row r="57460" spans="191:191" x14ac:dyDescent="0.2">
      <c r="GI57460" s="422"/>
    </row>
    <row r="57461" spans="191:191" x14ac:dyDescent="0.2">
      <c r="GI57461" s="422"/>
    </row>
    <row r="57462" spans="191:191" x14ac:dyDescent="0.2">
      <c r="GI57462" s="422"/>
    </row>
    <row r="57463" spans="191:191" x14ac:dyDescent="0.2">
      <c r="GI57463" s="422"/>
    </row>
    <row r="57464" spans="191:191" x14ac:dyDescent="0.2">
      <c r="GI57464" s="422"/>
    </row>
    <row r="57465" spans="191:191" x14ac:dyDescent="0.2">
      <c r="GI57465" s="422"/>
    </row>
    <row r="57466" spans="191:191" x14ac:dyDescent="0.2">
      <c r="GI57466" s="422"/>
    </row>
    <row r="57467" spans="191:191" x14ac:dyDescent="0.2">
      <c r="GI57467" s="422"/>
    </row>
    <row r="57468" spans="191:191" x14ac:dyDescent="0.2">
      <c r="GI57468" s="422"/>
    </row>
    <row r="57469" spans="191:191" x14ac:dyDescent="0.2">
      <c r="GI57469" s="422"/>
    </row>
    <row r="57470" spans="191:191" x14ac:dyDescent="0.2">
      <c r="GI57470" s="422"/>
    </row>
    <row r="57471" spans="191:191" x14ac:dyDescent="0.2">
      <c r="GI57471" s="422"/>
    </row>
    <row r="57472" spans="191:191" x14ac:dyDescent="0.2">
      <c r="GI57472" s="422"/>
    </row>
    <row r="57473" spans="191:191" x14ac:dyDescent="0.2">
      <c r="GI57473" s="422"/>
    </row>
    <row r="57474" spans="191:191" x14ac:dyDescent="0.2">
      <c r="GI57474" s="422"/>
    </row>
    <row r="57475" spans="191:191" x14ac:dyDescent="0.2">
      <c r="GI57475" s="422"/>
    </row>
    <row r="57476" spans="191:191" x14ac:dyDescent="0.2">
      <c r="GI57476" s="422"/>
    </row>
    <row r="57477" spans="191:191" x14ac:dyDescent="0.2">
      <c r="GI57477" s="422"/>
    </row>
    <row r="57478" spans="191:191" x14ac:dyDescent="0.2">
      <c r="GI57478" s="422"/>
    </row>
    <row r="57479" spans="191:191" x14ac:dyDescent="0.2">
      <c r="GI57479" s="422"/>
    </row>
    <row r="57480" spans="191:191" x14ac:dyDescent="0.2">
      <c r="GI57480" s="422"/>
    </row>
    <row r="57481" spans="191:191" x14ac:dyDescent="0.2">
      <c r="GI57481" s="422"/>
    </row>
    <row r="57482" spans="191:191" x14ac:dyDescent="0.2">
      <c r="GI57482" s="422"/>
    </row>
    <row r="57483" spans="191:191" x14ac:dyDescent="0.2">
      <c r="GI57483" s="422"/>
    </row>
    <row r="57484" spans="191:191" x14ac:dyDescent="0.2">
      <c r="GI57484" s="422"/>
    </row>
    <row r="57485" spans="191:191" x14ac:dyDescent="0.2">
      <c r="GI57485" s="422"/>
    </row>
    <row r="57486" spans="191:191" x14ac:dyDescent="0.2">
      <c r="GI57486" s="422"/>
    </row>
    <row r="57487" spans="191:191" x14ac:dyDescent="0.2">
      <c r="GI57487" s="422"/>
    </row>
    <row r="57488" spans="191:191" x14ac:dyDescent="0.2">
      <c r="GI57488" s="422"/>
    </row>
    <row r="57489" spans="191:191" x14ac:dyDescent="0.2">
      <c r="GI57489" s="422"/>
    </row>
    <row r="57490" spans="191:191" x14ac:dyDescent="0.2">
      <c r="GI57490" s="422"/>
    </row>
    <row r="57491" spans="191:191" x14ac:dyDescent="0.2">
      <c r="GI57491" s="422"/>
    </row>
    <row r="57492" spans="191:191" x14ac:dyDescent="0.2">
      <c r="GI57492" s="422"/>
    </row>
    <row r="57493" spans="191:191" x14ac:dyDescent="0.2">
      <c r="GI57493" s="422"/>
    </row>
    <row r="57494" spans="191:191" x14ac:dyDescent="0.2">
      <c r="GI57494" s="422"/>
    </row>
    <row r="57495" spans="191:191" x14ac:dyDescent="0.2">
      <c r="GI57495" s="422"/>
    </row>
    <row r="57496" spans="191:191" x14ac:dyDescent="0.2">
      <c r="GI57496" s="422"/>
    </row>
    <row r="57497" spans="191:191" x14ac:dyDescent="0.2">
      <c r="GI57497" s="422"/>
    </row>
    <row r="57498" spans="191:191" x14ac:dyDescent="0.2">
      <c r="GI57498" s="422"/>
    </row>
    <row r="57499" spans="191:191" x14ac:dyDescent="0.2">
      <c r="GI57499" s="422"/>
    </row>
    <row r="57500" spans="191:191" x14ac:dyDescent="0.2">
      <c r="GI57500" s="422"/>
    </row>
    <row r="57501" spans="191:191" x14ac:dyDescent="0.2">
      <c r="GI57501" s="422"/>
    </row>
    <row r="57502" spans="191:191" x14ac:dyDescent="0.2">
      <c r="GI57502" s="422"/>
    </row>
    <row r="57503" spans="191:191" x14ac:dyDescent="0.2">
      <c r="GI57503" s="422"/>
    </row>
    <row r="57504" spans="191:191" x14ac:dyDescent="0.2">
      <c r="GI57504" s="422"/>
    </row>
    <row r="57505" spans="191:191" x14ac:dyDescent="0.2">
      <c r="GI57505" s="422"/>
    </row>
    <row r="57506" spans="191:191" x14ac:dyDescent="0.2">
      <c r="GI57506" s="422"/>
    </row>
    <row r="57507" spans="191:191" x14ac:dyDescent="0.2">
      <c r="GI57507" s="422"/>
    </row>
    <row r="57508" spans="191:191" x14ac:dyDescent="0.2">
      <c r="GI57508" s="422"/>
    </row>
    <row r="57509" spans="191:191" x14ac:dyDescent="0.2">
      <c r="GI57509" s="422"/>
    </row>
    <row r="57510" spans="191:191" x14ac:dyDescent="0.2">
      <c r="GI57510" s="422"/>
    </row>
    <row r="57511" spans="191:191" x14ac:dyDescent="0.2">
      <c r="GI57511" s="422"/>
    </row>
    <row r="57512" spans="191:191" x14ac:dyDescent="0.2">
      <c r="GI57512" s="422"/>
    </row>
    <row r="57513" spans="191:191" x14ac:dyDescent="0.2">
      <c r="GI57513" s="422"/>
    </row>
    <row r="57514" spans="191:191" x14ac:dyDescent="0.2">
      <c r="GI57514" s="422"/>
    </row>
    <row r="57515" spans="191:191" x14ac:dyDescent="0.2">
      <c r="GI57515" s="422"/>
    </row>
    <row r="57516" spans="191:191" x14ac:dyDescent="0.2">
      <c r="GI57516" s="422"/>
    </row>
    <row r="57517" spans="191:191" x14ac:dyDescent="0.2">
      <c r="GI57517" s="422"/>
    </row>
    <row r="57518" spans="191:191" x14ac:dyDescent="0.2">
      <c r="GI57518" s="422"/>
    </row>
    <row r="57519" spans="191:191" x14ac:dyDescent="0.2">
      <c r="GI57519" s="422"/>
    </row>
    <row r="57520" spans="191:191" x14ac:dyDescent="0.2">
      <c r="GI57520" s="422"/>
    </row>
    <row r="57521" spans="191:191" x14ac:dyDescent="0.2">
      <c r="GI57521" s="422"/>
    </row>
    <row r="57522" spans="191:191" x14ac:dyDescent="0.2">
      <c r="GI57522" s="422"/>
    </row>
    <row r="57523" spans="191:191" x14ac:dyDescent="0.2">
      <c r="GI57523" s="422"/>
    </row>
    <row r="57524" spans="191:191" x14ac:dyDescent="0.2">
      <c r="GI57524" s="422"/>
    </row>
    <row r="57525" spans="191:191" x14ac:dyDescent="0.2">
      <c r="GI57525" s="422"/>
    </row>
    <row r="57526" spans="191:191" x14ac:dyDescent="0.2">
      <c r="GI57526" s="422"/>
    </row>
    <row r="57527" spans="191:191" x14ac:dyDescent="0.2">
      <c r="GI57527" s="422"/>
    </row>
    <row r="57528" spans="191:191" x14ac:dyDescent="0.2">
      <c r="GI57528" s="422"/>
    </row>
    <row r="57529" spans="191:191" x14ac:dyDescent="0.2">
      <c r="GI57529" s="422"/>
    </row>
    <row r="57530" spans="191:191" x14ac:dyDescent="0.2">
      <c r="GI57530" s="422"/>
    </row>
    <row r="57531" spans="191:191" x14ac:dyDescent="0.2">
      <c r="GI57531" s="422"/>
    </row>
    <row r="57532" spans="191:191" x14ac:dyDescent="0.2">
      <c r="GI57532" s="422"/>
    </row>
    <row r="57533" spans="191:191" x14ac:dyDescent="0.2">
      <c r="GI57533" s="422"/>
    </row>
    <row r="57534" spans="191:191" x14ac:dyDescent="0.2">
      <c r="GI57534" s="422"/>
    </row>
    <row r="57535" spans="191:191" x14ac:dyDescent="0.2">
      <c r="GI57535" s="422"/>
    </row>
    <row r="57536" spans="191:191" x14ac:dyDescent="0.2">
      <c r="GI57536" s="422"/>
    </row>
    <row r="57537" spans="191:191" x14ac:dyDescent="0.2">
      <c r="GI57537" s="422"/>
    </row>
    <row r="57538" spans="191:191" x14ac:dyDescent="0.2">
      <c r="GI57538" s="422"/>
    </row>
    <row r="57539" spans="191:191" x14ac:dyDescent="0.2">
      <c r="GI57539" s="422"/>
    </row>
    <row r="57540" spans="191:191" x14ac:dyDescent="0.2">
      <c r="GI57540" s="422"/>
    </row>
    <row r="57541" spans="191:191" x14ac:dyDescent="0.2">
      <c r="GI57541" s="422"/>
    </row>
    <row r="57542" spans="191:191" x14ac:dyDescent="0.2">
      <c r="GI57542" s="422"/>
    </row>
    <row r="57543" spans="191:191" x14ac:dyDescent="0.2">
      <c r="GI57543" s="422"/>
    </row>
    <row r="57544" spans="191:191" x14ac:dyDescent="0.2">
      <c r="GI57544" s="422"/>
    </row>
    <row r="57545" spans="191:191" x14ac:dyDescent="0.2">
      <c r="GI57545" s="422"/>
    </row>
    <row r="57546" spans="191:191" x14ac:dyDescent="0.2">
      <c r="GI57546" s="422"/>
    </row>
    <row r="57547" spans="191:191" x14ac:dyDescent="0.2">
      <c r="GI57547" s="422"/>
    </row>
    <row r="57548" spans="191:191" x14ac:dyDescent="0.2">
      <c r="GI57548" s="422"/>
    </row>
    <row r="57549" spans="191:191" x14ac:dyDescent="0.2">
      <c r="GI57549" s="422"/>
    </row>
    <row r="57550" spans="191:191" x14ac:dyDescent="0.2">
      <c r="GI57550" s="422"/>
    </row>
    <row r="57551" spans="191:191" x14ac:dyDescent="0.2">
      <c r="GI57551" s="422"/>
    </row>
    <row r="57552" spans="191:191" x14ac:dyDescent="0.2">
      <c r="GI57552" s="422"/>
    </row>
    <row r="57553" spans="191:191" x14ac:dyDescent="0.2">
      <c r="GI57553" s="422"/>
    </row>
    <row r="57554" spans="191:191" x14ac:dyDescent="0.2">
      <c r="GI57554" s="422"/>
    </row>
    <row r="57555" spans="191:191" x14ac:dyDescent="0.2">
      <c r="GI57555" s="422"/>
    </row>
    <row r="57556" spans="191:191" x14ac:dyDescent="0.2">
      <c r="GI57556" s="422"/>
    </row>
    <row r="57557" spans="191:191" x14ac:dyDescent="0.2">
      <c r="GI57557" s="422"/>
    </row>
    <row r="57558" spans="191:191" x14ac:dyDescent="0.2">
      <c r="GI57558" s="422"/>
    </row>
    <row r="57559" spans="191:191" x14ac:dyDescent="0.2">
      <c r="GI57559" s="422"/>
    </row>
    <row r="57560" spans="191:191" x14ac:dyDescent="0.2">
      <c r="GI57560" s="422"/>
    </row>
    <row r="57561" spans="191:191" x14ac:dyDescent="0.2">
      <c r="GI57561" s="422"/>
    </row>
    <row r="57562" spans="191:191" x14ac:dyDescent="0.2">
      <c r="GI57562" s="422"/>
    </row>
    <row r="57563" spans="191:191" x14ac:dyDescent="0.2">
      <c r="GI57563" s="422"/>
    </row>
    <row r="57564" spans="191:191" x14ac:dyDescent="0.2">
      <c r="GI57564" s="422"/>
    </row>
    <row r="57565" spans="191:191" x14ac:dyDescent="0.2">
      <c r="GI57565" s="422"/>
    </row>
    <row r="57566" spans="191:191" x14ac:dyDescent="0.2">
      <c r="GI57566" s="422"/>
    </row>
    <row r="57567" spans="191:191" x14ac:dyDescent="0.2">
      <c r="GI57567" s="422"/>
    </row>
    <row r="57568" spans="191:191" x14ac:dyDescent="0.2">
      <c r="GI57568" s="422"/>
    </row>
    <row r="57569" spans="191:191" x14ac:dyDescent="0.2">
      <c r="GI57569" s="422"/>
    </row>
    <row r="57570" spans="191:191" x14ac:dyDescent="0.2">
      <c r="GI57570" s="422"/>
    </row>
    <row r="57571" spans="191:191" x14ac:dyDescent="0.2">
      <c r="GI57571" s="422"/>
    </row>
    <row r="57572" spans="191:191" x14ac:dyDescent="0.2">
      <c r="GI57572" s="422"/>
    </row>
    <row r="57573" spans="191:191" x14ac:dyDescent="0.2">
      <c r="GI57573" s="422"/>
    </row>
    <row r="57574" spans="191:191" x14ac:dyDescent="0.2">
      <c r="GI57574" s="422"/>
    </row>
    <row r="57575" spans="191:191" x14ac:dyDescent="0.2">
      <c r="GI57575" s="422"/>
    </row>
    <row r="57576" spans="191:191" x14ac:dyDescent="0.2">
      <c r="GI57576" s="422"/>
    </row>
    <row r="57577" spans="191:191" x14ac:dyDescent="0.2">
      <c r="GI57577" s="422"/>
    </row>
    <row r="57578" spans="191:191" x14ac:dyDescent="0.2">
      <c r="GI57578" s="422"/>
    </row>
    <row r="57579" spans="191:191" x14ac:dyDescent="0.2">
      <c r="GI57579" s="422"/>
    </row>
    <row r="57580" spans="191:191" x14ac:dyDescent="0.2">
      <c r="GI57580" s="422"/>
    </row>
    <row r="57581" spans="191:191" x14ac:dyDescent="0.2">
      <c r="GI57581" s="422"/>
    </row>
    <row r="57582" spans="191:191" x14ac:dyDescent="0.2">
      <c r="GI57582" s="422"/>
    </row>
    <row r="57583" spans="191:191" x14ac:dyDescent="0.2">
      <c r="GI57583" s="422"/>
    </row>
    <row r="57584" spans="191:191" x14ac:dyDescent="0.2">
      <c r="GI57584" s="422"/>
    </row>
    <row r="57585" spans="191:191" x14ac:dyDescent="0.2">
      <c r="GI57585" s="422"/>
    </row>
    <row r="57586" spans="191:191" x14ac:dyDescent="0.2">
      <c r="GI57586" s="422"/>
    </row>
    <row r="57587" spans="191:191" x14ac:dyDescent="0.2">
      <c r="GI57587" s="422"/>
    </row>
    <row r="57588" spans="191:191" x14ac:dyDescent="0.2">
      <c r="GI57588" s="422"/>
    </row>
    <row r="57589" spans="191:191" x14ac:dyDescent="0.2">
      <c r="GI57589" s="422"/>
    </row>
    <row r="57590" spans="191:191" x14ac:dyDescent="0.2">
      <c r="GI57590" s="422"/>
    </row>
    <row r="57591" spans="191:191" x14ac:dyDescent="0.2">
      <c r="GI57591" s="422"/>
    </row>
    <row r="57592" spans="191:191" x14ac:dyDescent="0.2">
      <c r="GI57592" s="422"/>
    </row>
    <row r="57593" spans="191:191" x14ac:dyDescent="0.2">
      <c r="GI57593" s="422"/>
    </row>
    <row r="57594" spans="191:191" x14ac:dyDescent="0.2">
      <c r="GI57594" s="422"/>
    </row>
    <row r="57595" spans="191:191" x14ac:dyDescent="0.2">
      <c r="GI57595" s="422"/>
    </row>
    <row r="57596" spans="191:191" x14ac:dyDescent="0.2">
      <c r="GI57596" s="422"/>
    </row>
    <row r="57597" spans="191:191" x14ac:dyDescent="0.2">
      <c r="GI57597" s="422"/>
    </row>
    <row r="57598" spans="191:191" x14ac:dyDescent="0.2">
      <c r="GI57598" s="422"/>
    </row>
    <row r="57599" spans="191:191" x14ac:dyDescent="0.2">
      <c r="GI57599" s="422"/>
    </row>
    <row r="57600" spans="191:191" x14ac:dyDescent="0.2">
      <c r="GI57600" s="422"/>
    </row>
    <row r="57601" spans="191:191" x14ac:dyDescent="0.2">
      <c r="GI57601" s="422"/>
    </row>
    <row r="57602" spans="191:191" x14ac:dyDescent="0.2">
      <c r="GI57602" s="422"/>
    </row>
    <row r="57603" spans="191:191" x14ac:dyDescent="0.2">
      <c r="GI57603" s="422"/>
    </row>
    <row r="57604" spans="191:191" x14ac:dyDescent="0.2">
      <c r="GI57604" s="422"/>
    </row>
    <row r="57605" spans="191:191" x14ac:dyDescent="0.2">
      <c r="GI57605" s="422"/>
    </row>
    <row r="57606" spans="191:191" x14ac:dyDescent="0.2">
      <c r="GI57606" s="422"/>
    </row>
    <row r="57607" spans="191:191" x14ac:dyDescent="0.2">
      <c r="GI57607" s="422"/>
    </row>
    <row r="57608" spans="191:191" x14ac:dyDescent="0.2">
      <c r="GI57608" s="422"/>
    </row>
    <row r="57609" spans="191:191" x14ac:dyDescent="0.2">
      <c r="GI57609" s="422"/>
    </row>
    <row r="57610" spans="191:191" x14ac:dyDescent="0.2">
      <c r="GI57610" s="422"/>
    </row>
    <row r="57611" spans="191:191" x14ac:dyDescent="0.2">
      <c r="GI57611" s="422"/>
    </row>
    <row r="57612" spans="191:191" x14ac:dyDescent="0.2">
      <c r="GI57612" s="422"/>
    </row>
    <row r="57613" spans="191:191" x14ac:dyDescent="0.2">
      <c r="GI57613" s="422"/>
    </row>
    <row r="57614" spans="191:191" x14ac:dyDescent="0.2">
      <c r="GI57614" s="422"/>
    </row>
    <row r="57615" spans="191:191" x14ac:dyDescent="0.2">
      <c r="GI57615" s="422"/>
    </row>
    <row r="57616" spans="191:191" x14ac:dyDescent="0.2">
      <c r="GI57616" s="422"/>
    </row>
    <row r="57617" spans="191:191" x14ac:dyDescent="0.2">
      <c r="GI57617" s="422"/>
    </row>
    <row r="57618" spans="191:191" x14ac:dyDescent="0.2">
      <c r="GI57618" s="422"/>
    </row>
    <row r="57619" spans="191:191" x14ac:dyDescent="0.2">
      <c r="GI57619" s="422"/>
    </row>
    <row r="57620" spans="191:191" x14ac:dyDescent="0.2">
      <c r="GI57620" s="422"/>
    </row>
    <row r="57621" spans="191:191" x14ac:dyDescent="0.2">
      <c r="GI57621" s="422"/>
    </row>
    <row r="57622" spans="191:191" x14ac:dyDescent="0.2">
      <c r="GI57622" s="422"/>
    </row>
    <row r="57623" spans="191:191" x14ac:dyDescent="0.2">
      <c r="GI57623" s="422"/>
    </row>
    <row r="57624" spans="191:191" x14ac:dyDescent="0.2">
      <c r="GI57624" s="422"/>
    </row>
    <row r="57625" spans="191:191" x14ac:dyDescent="0.2">
      <c r="GI57625" s="422"/>
    </row>
    <row r="57626" spans="191:191" x14ac:dyDescent="0.2">
      <c r="GI57626" s="422"/>
    </row>
    <row r="57627" spans="191:191" x14ac:dyDescent="0.2">
      <c r="GI57627" s="422"/>
    </row>
    <row r="57628" spans="191:191" x14ac:dyDescent="0.2">
      <c r="GI57628" s="422"/>
    </row>
    <row r="57629" spans="191:191" x14ac:dyDescent="0.2">
      <c r="GI57629" s="422"/>
    </row>
    <row r="57630" spans="191:191" x14ac:dyDescent="0.2">
      <c r="GI57630" s="422"/>
    </row>
    <row r="57631" spans="191:191" x14ac:dyDescent="0.2">
      <c r="GI57631" s="422"/>
    </row>
    <row r="57632" spans="191:191" x14ac:dyDescent="0.2">
      <c r="GI57632" s="422"/>
    </row>
    <row r="57633" spans="191:191" x14ac:dyDescent="0.2">
      <c r="GI57633" s="422"/>
    </row>
    <row r="57634" spans="191:191" x14ac:dyDescent="0.2">
      <c r="GI57634" s="422"/>
    </row>
    <row r="57635" spans="191:191" x14ac:dyDescent="0.2">
      <c r="GI57635" s="422"/>
    </row>
    <row r="57636" spans="191:191" x14ac:dyDescent="0.2">
      <c r="GI57636" s="422"/>
    </row>
    <row r="57637" spans="191:191" x14ac:dyDescent="0.2">
      <c r="GI57637" s="422"/>
    </row>
    <row r="57638" spans="191:191" x14ac:dyDescent="0.2">
      <c r="GI57638" s="422"/>
    </row>
    <row r="57639" spans="191:191" x14ac:dyDescent="0.2">
      <c r="GI57639" s="422"/>
    </row>
    <row r="57640" spans="191:191" x14ac:dyDescent="0.2">
      <c r="GI57640" s="422"/>
    </row>
    <row r="57641" spans="191:191" x14ac:dyDescent="0.2">
      <c r="GI57641" s="422"/>
    </row>
    <row r="57642" spans="191:191" x14ac:dyDescent="0.2">
      <c r="GI57642" s="422"/>
    </row>
    <row r="57643" spans="191:191" x14ac:dyDescent="0.2">
      <c r="GI57643" s="422"/>
    </row>
    <row r="57644" spans="191:191" x14ac:dyDescent="0.2">
      <c r="GI57644" s="422"/>
    </row>
    <row r="57645" spans="191:191" x14ac:dyDescent="0.2">
      <c r="GI57645" s="422"/>
    </row>
    <row r="57646" spans="191:191" x14ac:dyDescent="0.2">
      <c r="GI57646" s="422"/>
    </row>
    <row r="57647" spans="191:191" x14ac:dyDescent="0.2">
      <c r="GI57647" s="422"/>
    </row>
    <row r="57648" spans="191:191" x14ac:dyDescent="0.2">
      <c r="GI57648" s="422"/>
    </row>
    <row r="57649" spans="191:191" x14ac:dyDescent="0.2">
      <c r="GI57649" s="422"/>
    </row>
    <row r="57650" spans="191:191" x14ac:dyDescent="0.2">
      <c r="GI57650" s="422"/>
    </row>
    <row r="57651" spans="191:191" x14ac:dyDescent="0.2">
      <c r="GI57651" s="422"/>
    </row>
    <row r="57652" spans="191:191" x14ac:dyDescent="0.2">
      <c r="GI57652" s="422"/>
    </row>
    <row r="57653" spans="191:191" x14ac:dyDescent="0.2">
      <c r="GI57653" s="422"/>
    </row>
    <row r="57654" spans="191:191" x14ac:dyDescent="0.2">
      <c r="GI57654" s="422"/>
    </row>
    <row r="57655" spans="191:191" x14ac:dyDescent="0.2">
      <c r="GI57655" s="422"/>
    </row>
    <row r="57656" spans="191:191" x14ac:dyDescent="0.2">
      <c r="GI57656" s="422"/>
    </row>
    <row r="57657" spans="191:191" x14ac:dyDescent="0.2">
      <c r="GI57657" s="422"/>
    </row>
    <row r="57658" spans="191:191" x14ac:dyDescent="0.2">
      <c r="GI57658" s="422"/>
    </row>
    <row r="57659" spans="191:191" x14ac:dyDescent="0.2">
      <c r="GI57659" s="422"/>
    </row>
    <row r="57660" spans="191:191" x14ac:dyDescent="0.2">
      <c r="GI57660" s="422"/>
    </row>
    <row r="57661" spans="191:191" x14ac:dyDescent="0.2">
      <c r="GI57661" s="422"/>
    </row>
    <row r="57662" spans="191:191" x14ac:dyDescent="0.2">
      <c r="GI57662" s="422"/>
    </row>
    <row r="57663" spans="191:191" x14ac:dyDescent="0.2">
      <c r="GI57663" s="422"/>
    </row>
    <row r="57664" spans="191:191" x14ac:dyDescent="0.2">
      <c r="GI57664" s="422"/>
    </row>
    <row r="57665" spans="191:191" x14ac:dyDescent="0.2">
      <c r="GI57665" s="422"/>
    </row>
    <row r="57666" spans="191:191" x14ac:dyDescent="0.2">
      <c r="GI57666" s="422"/>
    </row>
    <row r="57667" spans="191:191" x14ac:dyDescent="0.2">
      <c r="GI57667" s="422"/>
    </row>
    <row r="57668" spans="191:191" x14ac:dyDescent="0.2">
      <c r="GI57668" s="422"/>
    </row>
    <row r="57669" spans="191:191" x14ac:dyDescent="0.2">
      <c r="GI57669" s="422"/>
    </row>
    <row r="57670" spans="191:191" x14ac:dyDescent="0.2">
      <c r="GI57670" s="422"/>
    </row>
    <row r="57671" spans="191:191" x14ac:dyDescent="0.2">
      <c r="GI57671" s="422"/>
    </row>
    <row r="57672" spans="191:191" x14ac:dyDescent="0.2">
      <c r="GI57672" s="422"/>
    </row>
    <row r="57673" spans="191:191" x14ac:dyDescent="0.2">
      <c r="GI57673" s="422"/>
    </row>
    <row r="57674" spans="191:191" x14ac:dyDescent="0.2">
      <c r="GI57674" s="422"/>
    </row>
    <row r="57675" spans="191:191" x14ac:dyDescent="0.2">
      <c r="GI57675" s="422"/>
    </row>
    <row r="57676" spans="191:191" x14ac:dyDescent="0.2">
      <c r="GI57676" s="422"/>
    </row>
    <row r="57677" spans="191:191" x14ac:dyDescent="0.2">
      <c r="GI57677" s="422"/>
    </row>
    <row r="57678" spans="191:191" x14ac:dyDescent="0.2">
      <c r="GI57678" s="422"/>
    </row>
    <row r="57679" spans="191:191" x14ac:dyDescent="0.2">
      <c r="GI57679" s="422"/>
    </row>
    <row r="57680" spans="191:191" x14ac:dyDescent="0.2">
      <c r="GI57680" s="422"/>
    </row>
    <row r="57681" spans="191:191" x14ac:dyDescent="0.2">
      <c r="GI57681" s="422"/>
    </row>
    <row r="57682" spans="191:191" x14ac:dyDescent="0.2">
      <c r="GI57682" s="422"/>
    </row>
    <row r="57683" spans="191:191" x14ac:dyDescent="0.2">
      <c r="GI57683" s="422"/>
    </row>
    <row r="57684" spans="191:191" x14ac:dyDescent="0.2">
      <c r="GI57684" s="422"/>
    </row>
    <row r="57685" spans="191:191" x14ac:dyDescent="0.2">
      <c r="GI57685" s="422"/>
    </row>
    <row r="57686" spans="191:191" x14ac:dyDescent="0.2">
      <c r="GI57686" s="422"/>
    </row>
    <row r="57687" spans="191:191" x14ac:dyDescent="0.2">
      <c r="GI57687" s="422"/>
    </row>
    <row r="57688" spans="191:191" x14ac:dyDescent="0.2">
      <c r="GI57688" s="422"/>
    </row>
    <row r="57689" spans="191:191" x14ac:dyDescent="0.2">
      <c r="GI57689" s="422"/>
    </row>
    <row r="57690" spans="191:191" x14ac:dyDescent="0.2">
      <c r="GI57690" s="422"/>
    </row>
    <row r="57691" spans="191:191" x14ac:dyDescent="0.2">
      <c r="GI57691" s="422"/>
    </row>
    <row r="57692" spans="191:191" x14ac:dyDescent="0.2">
      <c r="GI57692" s="422"/>
    </row>
    <row r="57693" spans="191:191" x14ac:dyDescent="0.2">
      <c r="GI57693" s="422"/>
    </row>
    <row r="57694" spans="191:191" x14ac:dyDescent="0.2">
      <c r="GI57694" s="422"/>
    </row>
    <row r="57695" spans="191:191" x14ac:dyDescent="0.2">
      <c r="GI57695" s="422"/>
    </row>
    <row r="57696" spans="191:191" x14ac:dyDescent="0.2">
      <c r="GI57696" s="422"/>
    </row>
    <row r="57697" spans="191:191" x14ac:dyDescent="0.2">
      <c r="GI57697" s="422"/>
    </row>
    <row r="57698" spans="191:191" x14ac:dyDescent="0.2">
      <c r="GI57698" s="422"/>
    </row>
    <row r="57699" spans="191:191" x14ac:dyDescent="0.2">
      <c r="GI57699" s="422"/>
    </row>
    <row r="57700" spans="191:191" x14ac:dyDescent="0.2">
      <c r="GI57700" s="422"/>
    </row>
    <row r="57701" spans="191:191" x14ac:dyDescent="0.2">
      <c r="GI57701" s="422"/>
    </row>
    <row r="57702" spans="191:191" x14ac:dyDescent="0.2">
      <c r="GI57702" s="422"/>
    </row>
    <row r="57703" spans="191:191" x14ac:dyDescent="0.2">
      <c r="GI57703" s="422"/>
    </row>
    <row r="57704" spans="191:191" x14ac:dyDescent="0.2">
      <c r="GI57704" s="422"/>
    </row>
    <row r="57705" spans="191:191" x14ac:dyDescent="0.2">
      <c r="GI57705" s="422"/>
    </row>
    <row r="57706" spans="191:191" x14ac:dyDescent="0.2">
      <c r="GI57706" s="422"/>
    </row>
    <row r="57707" spans="191:191" x14ac:dyDescent="0.2">
      <c r="GI57707" s="422"/>
    </row>
    <row r="57708" spans="191:191" x14ac:dyDescent="0.2">
      <c r="GI57708" s="422"/>
    </row>
    <row r="57709" spans="191:191" x14ac:dyDescent="0.2">
      <c r="GI57709" s="422"/>
    </row>
    <row r="57710" spans="191:191" x14ac:dyDescent="0.2">
      <c r="GI57710" s="422"/>
    </row>
    <row r="57711" spans="191:191" x14ac:dyDescent="0.2">
      <c r="GI57711" s="422"/>
    </row>
    <row r="57712" spans="191:191" x14ac:dyDescent="0.2">
      <c r="GI57712" s="422"/>
    </row>
    <row r="57713" spans="191:191" x14ac:dyDescent="0.2">
      <c r="GI57713" s="422"/>
    </row>
    <row r="57714" spans="191:191" x14ac:dyDescent="0.2">
      <c r="GI57714" s="422"/>
    </row>
    <row r="57715" spans="191:191" x14ac:dyDescent="0.2">
      <c r="GI57715" s="422"/>
    </row>
    <row r="57716" spans="191:191" x14ac:dyDescent="0.2">
      <c r="GI57716" s="422"/>
    </row>
    <row r="57717" spans="191:191" x14ac:dyDescent="0.2">
      <c r="GI57717" s="422"/>
    </row>
    <row r="57718" spans="191:191" x14ac:dyDescent="0.2">
      <c r="GI57718" s="422"/>
    </row>
    <row r="57719" spans="191:191" x14ac:dyDescent="0.2">
      <c r="GI57719" s="422"/>
    </row>
    <row r="57720" spans="191:191" x14ac:dyDescent="0.2">
      <c r="GI57720" s="422"/>
    </row>
    <row r="57721" spans="191:191" x14ac:dyDescent="0.2">
      <c r="GI57721" s="422"/>
    </row>
    <row r="57722" spans="191:191" x14ac:dyDescent="0.2">
      <c r="GI57722" s="422"/>
    </row>
    <row r="57723" spans="191:191" x14ac:dyDescent="0.2">
      <c r="GI57723" s="422"/>
    </row>
    <row r="57724" spans="191:191" x14ac:dyDescent="0.2">
      <c r="GI57724" s="422"/>
    </row>
    <row r="57725" spans="191:191" x14ac:dyDescent="0.2">
      <c r="GI57725" s="422"/>
    </row>
    <row r="57726" spans="191:191" x14ac:dyDescent="0.2">
      <c r="GI57726" s="422"/>
    </row>
    <row r="57727" spans="191:191" x14ac:dyDescent="0.2">
      <c r="GI57727" s="422"/>
    </row>
    <row r="57728" spans="191:191" x14ac:dyDescent="0.2">
      <c r="GI57728" s="422"/>
    </row>
    <row r="57729" spans="191:191" x14ac:dyDescent="0.2">
      <c r="GI57729" s="422"/>
    </row>
    <row r="57730" spans="191:191" x14ac:dyDescent="0.2">
      <c r="GI57730" s="422"/>
    </row>
    <row r="57731" spans="191:191" x14ac:dyDescent="0.2">
      <c r="GI57731" s="422"/>
    </row>
    <row r="57732" spans="191:191" x14ac:dyDescent="0.2">
      <c r="GI57732" s="422"/>
    </row>
    <row r="57733" spans="191:191" x14ac:dyDescent="0.2">
      <c r="GI57733" s="422"/>
    </row>
    <row r="57734" spans="191:191" x14ac:dyDescent="0.2">
      <c r="GI57734" s="422"/>
    </row>
    <row r="57735" spans="191:191" x14ac:dyDescent="0.2">
      <c r="GI57735" s="422"/>
    </row>
    <row r="57736" spans="191:191" x14ac:dyDescent="0.2">
      <c r="GI57736" s="422"/>
    </row>
    <row r="57737" spans="191:191" x14ac:dyDescent="0.2">
      <c r="GI57737" s="422"/>
    </row>
    <row r="57738" spans="191:191" x14ac:dyDescent="0.2">
      <c r="GI57738" s="422"/>
    </row>
    <row r="57739" spans="191:191" x14ac:dyDescent="0.2">
      <c r="GI57739" s="422"/>
    </row>
    <row r="57740" spans="191:191" x14ac:dyDescent="0.2">
      <c r="GI57740" s="422"/>
    </row>
    <row r="57741" spans="191:191" x14ac:dyDescent="0.2">
      <c r="GI57741" s="422"/>
    </row>
    <row r="57742" spans="191:191" x14ac:dyDescent="0.2">
      <c r="GI57742" s="422"/>
    </row>
    <row r="57743" spans="191:191" x14ac:dyDescent="0.2">
      <c r="GI57743" s="422"/>
    </row>
    <row r="57744" spans="191:191" x14ac:dyDescent="0.2">
      <c r="GI57744" s="422"/>
    </row>
    <row r="57745" spans="191:191" x14ac:dyDescent="0.2">
      <c r="GI57745" s="422"/>
    </row>
    <row r="57746" spans="191:191" x14ac:dyDescent="0.2">
      <c r="GI57746" s="422"/>
    </row>
    <row r="57747" spans="191:191" x14ac:dyDescent="0.2">
      <c r="GI57747" s="422"/>
    </row>
    <row r="57748" spans="191:191" x14ac:dyDescent="0.2">
      <c r="GI57748" s="422"/>
    </row>
    <row r="57749" spans="191:191" x14ac:dyDescent="0.2">
      <c r="GI57749" s="422"/>
    </row>
    <row r="57750" spans="191:191" x14ac:dyDescent="0.2">
      <c r="GI57750" s="422"/>
    </row>
    <row r="57751" spans="191:191" x14ac:dyDescent="0.2">
      <c r="GI57751" s="422"/>
    </row>
    <row r="57752" spans="191:191" x14ac:dyDescent="0.2">
      <c r="GI57752" s="422"/>
    </row>
    <row r="57753" spans="191:191" x14ac:dyDescent="0.2">
      <c r="GI57753" s="422"/>
    </row>
    <row r="57754" spans="191:191" x14ac:dyDescent="0.2">
      <c r="GI57754" s="422"/>
    </row>
    <row r="57755" spans="191:191" x14ac:dyDescent="0.2">
      <c r="GI57755" s="422"/>
    </row>
    <row r="57756" spans="191:191" x14ac:dyDescent="0.2">
      <c r="GI57756" s="422"/>
    </row>
    <row r="57757" spans="191:191" x14ac:dyDescent="0.2">
      <c r="GI57757" s="422"/>
    </row>
    <row r="57758" spans="191:191" x14ac:dyDescent="0.2">
      <c r="GI57758" s="422"/>
    </row>
    <row r="57759" spans="191:191" x14ac:dyDescent="0.2">
      <c r="GI57759" s="422"/>
    </row>
    <row r="57760" spans="191:191" x14ac:dyDescent="0.2">
      <c r="GI57760" s="422"/>
    </row>
    <row r="57761" spans="191:191" x14ac:dyDescent="0.2">
      <c r="GI57761" s="422"/>
    </row>
    <row r="57762" spans="191:191" x14ac:dyDescent="0.2">
      <c r="GI57762" s="422"/>
    </row>
    <row r="57763" spans="191:191" x14ac:dyDescent="0.2">
      <c r="GI57763" s="422"/>
    </row>
    <row r="57764" spans="191:191" x14ac:dyDescent="0.2">
      <c r="GI57764" s="422"/>
    </row>
    <row r="57765" spans="191:191" x14ac:dyDescent="0.2">
      <c r="GI57765" s="422"/>
    </row>
    <row r="57766" spans="191:191" x14ac:dyDescent="0.2">
      <c r="GI57766" s="422"/>
    </row>
    <row r="57767" spans="191:191" x14ac:dyDescent="0.2">
      <c r="GI57767" s="422"/>
    </row>
    <row r="57768" spans="191:191" x14ac:dyDescent="0.2">
      <c r="GI57768" s="422"/>
    </row>
    <row r="57769" spans="191:191" x14ac:dyDescent="0.2">
      <c r="GI57769" s="422"/>
    </row>
    <row r="57770" spans="191:191" x14ac:dyDescent="0.2">
      <c r="GI57770" s="422"/>
    </row>
    <row r="57771" spans="191:191" x14ac:dyDescent="0.2">
      <c r="GI57771" s="422"/>
    </row>
    <row r="57772" spans="191:191" x14ac:dyDescent="0.2">
      <c r="GI57772" s="422"/>
    </row>
    <row r="57773" spans="191:191" x14ac:dyDescent="0.2">
      <c r="GI57773" s="422"/>
    </row>
    <row r="57774" spans="191:191" x14ac:dyDescent="0.2">
      <c r="GI57774" s="422"/>
    </row>
    <row r="57775" spans="191:191" x14ac:dyDescent="0.2">
      <c r="GI57775" s="422"/>
    </row>
    <row r="57776" spans="191:191" x14ac:dyDescent="0.2">
      <c r="GI57776" s="422"/>
    </row>
    <row r="57777" spans="191:191" x14ac:dyDescent="0.2">
      <c r="GI57777" s="422"/>
    </row>
    <row r="57778" spans="191:191" x14ac:dyDescent="0.2">
      <c r="GI57778" s="422"/>
    </row>
    <row r="57779" spans="191:191" x14ac:dyDescent="0.2">
      <c r="GI57779" s="422"/>
    </row>
    <row r="57780" spans="191:191" x14ac:dyDescent="0.2">
      <c r="GI57780" s="422"/>
    </row>
    <row r="57781" spans="191:191" x14ac:dyDescent="0.2">
      <c r="GI57781" s="422"/>
    </row>
    <row r="57782" spans="191:191" x14ac:dyDescent="0.2">
      <c r="GI57782" s="422"/>
    </row>
    <row r="57783" spans="191:191" x14ac:dyDescent="0.2">
      <c r="GI57783" s="422"/>
    </row>
    <row r="57784" spans="191:191" x14ac:dyDescent="0.2">
      <c r="GI57784" s="422"/>
    </row>
    <row r="57785" spans="191:191" x14ac:dyDescent="0.2">
      <c r="GI57785" s="422"/>
    </row>
    <row r="57786" spans="191:191" x14ac:dyDescent="0.2">
      <c r="GI57786" s="422"/>
    </row>
    <row r="57787" spans="191:191" x14ac:dyDescent="0.2">
      <c r="GI57787" s="422"/>
    </row>
    <row r="57788" spans="191:191" x14ac:dyDescent="0.2">
      <c r="GI57788" s="422"/>
    </row>
    <row r="57789" spans="191:191" x14ac:dyDescent="0.2">
      <c r="GI57789" s="422"/>
    </row>
    <row r="57790" spans="191:191" x14ac:dyDescent="0.2">
      <c r="GI57790" s="422"/>
    </row>
    <row r="57791" spans="191:191" x14ac:dyDescent="0.2">
      <c r="GI57791" s="422"/>
    </row>
    <row r="57792" spans="191:191" x14ac:dyDescent="0.2">
      <c r="GI57792" s="422"/>
    </row>
    <row r="57793" spans="191:191" x14ac:dyDescent="0.2">
      <c r="GI57793" s="422"/>
    </row>
    <row r="57794" spans="191:191" x14ac:dyDescent="0.2">
      <c r="GI57794" s="422"/>
    </row>
    <row r="57795" spans="191:191" x14ac:dyDescent="0.2">
      <c r="GI57795" s="422"/>
    </row>
    <row r="57796" spans="191:191" x14ac:dyDescent="0.2">
      <c r="GI57796" s="422"/>
    </row>
    <row r="57797" spans="191:191" x14ac:dyDescent="0.2">
      <c r="GI57797" s="422"/>
    </row>
    <row r="57798" spans="191:191" x14ac:dyDescent="0.2">
      <c r="GI57798" s="422"/>
    </row>
    <row r="57799" spans="191:191" x14ac:dyDescent="0.2">
      <c r="GI57799" s="422"/>
    </row>
    <row r="57800" spans="191:191" x14ac:dyDescent="0.2">
      <c r="GI57800" s="422"/>
    </row>
    <row r="57801" spans="191:191" x14ac:dyDescent="0.2">
      <c r="GI57801" s="422"/>
    </row>
    <row r="57802" spans="191:191" x14ac:dyDescent="0.2">
      <c r="GI57802" s="422"/>
    </row>
    <row r="57803" spans="191:191" x14ac:dyDescent="0.2">
      <c r="GI57803" s="422"/>
    </row>
    <row r="57804" spans="191:191" x14ac:dyDescent="0.2">
      <c r="GI57804" s="422"/>
    </row>
    <row r="57805" spans="191:191" x14ac:dyDescent="0.2">
      <c r="GI57805" s="422"/>
    </row>
    <row r="57806" spans="191:191" x14ac:dyDescent="0.2">
      <c r="GI57806" s="422"/>
    </row>
    <row r="57807" spans="191:191" x14ac:dyDescent="0.2">
      <c r="GI57807" s="422"/>
    </row>
    <row r="57808" spans="191:191" x14ac:dyDescent="0.2">
      <c r="GI57808" s="422"/>
    </row>
    <row r="57809" spans="191:191" x14ac:dyDescent="0.2">
      <c r="GI57809" s="422"/>
    </row>
    <row r="57810" spans="191:191" x14ac:dyDescent="0.2">
      <c r="GI57810" s="422"/>
    </row>
    <row r="57811" spans="191:191" x14ac:dyDescent="0.2">
      <c r="GI57811" s="422"/>
    </row>
    <row r="57812" spans="191:191" x14ac:dyDescent="0.2">
      <c r="GI57812" s="422"/>
    </row>
    <row r="57813" spans="191:191" x14ac:dyDescent="0.2">
      <c r="GI57813" s="422"/>
    </row>
    <row r="57814" spans="191:191" x14ac:dyDescent="0.2">
      <c r="GI57814" s="422"/>
    </row>
    <row r="57815" spans="191:191" x14ac:dyDescent="0.2">
      <c r="GI57815" s="422"/>
    </row>
    <row r="57816" spans="191:191" x14ac:dyDescent="0.2">
      <c r="GI57816" s="422"/>
    </row>
    <row r="57817" spans="191:191" x14ac:dyDescent="0.2">
      <c r="GI57817" s="422"/>
    </row>
    <row r="57818" spans="191:191" x14ac:dyDescent="0.2">
      <c r="GI57818" s="422"/>
    </row>
    <row r="57819" spans="191:191" x14ac:dyDescent="0.2">
      <c r="GI57819" s="422"/>
    </row>
    <row r="57820" spans="191:191" x14ac:dyDescent="0.2">
      <c r="GI57820" s="422"/>
    </row>
    <row r="57821" spans="191:191" x14ac:dyDescent="0.2">
      <c r="GI57821" s="422"/>
    </row>
    <row r="57822" spans="191:191" x14ac:dyDescent="0.2">
      <c r="GI57822" s="422"/>
    </row>
    <row r="57823" spans="191:191" x14ac:dyDescent="0.2">
      <c r="GI57823" s="422"/>
    </row>
    <row r="57824" spans="191:191" x14ac:dyDescent="0.2">
      <c r="GI57824" s="422"/>
    </row>
    <row r="57825" spans="191:191" x14ac:dyDescent="0.2">
      <c r="GI57825" s="422"/>
    </row>
    <row r="57826" spans="191:191" x14ac:dyDescent="0.2">
      <c r="GI57826" s="422"/>
    </row>
    <row r="57827" spans="191:191" x14ac:dyDescent="0.2">
      <c r="GI57827" s="422"/>
    </row>
    <row r="57828" spans="191:191" x14ac:dyDescent="0.2">
      <c r="GI57828" s="422"/>
    </row>
    <row r="57829" spans="191:191" x14ac:dyDescent="0.2">
      <c r="GI57829" s="422"/>
    </row>
    <row r="57830" spans="191:191" x14ac:dyDescent="0.2">
      <c r="GI57830" s="422"/>
    </row>
    <row r="57831" spans="191:191" x14ac:dyDescent="0.2">
      <c r="GI57831" s="422"/>
    </row>
    <row r="57832" spans="191:191" x14ac:dyDescent="0.2">
      <c r="GI57832" s="422"/>
    </row>
    <row r="57833" spans="191:191" x14ac:dyDescent="0.2">
      <c r="GI57833" s="422"/>
    </row>
    <row r="57834" spans="191:191" x14ac:dyDescent="0.2">
      <c r="GI57834" s="422"/>
    </row>
    <row r="57835" spans="191:191" x14ac:dyDescent="0.2">
      <c r="GI57835" s="422"/>
    </row>
    <row r="57836" spans="191:191" x14ac:dyDescent="0.2">
      <c r="GI57836" s="422"/>
    </row>
    <row r="57837" spans="191:191" x14ac:dyDescent="0.2">
      <c r="GI57837" s="422"/>
    </row>
    <row r="57838" spans="191:191" x14ac:dyDescent="0.2">
      <c r="GI57838" s="422"/>
    </row>
    <row r="57839" spans="191:191" x14ac:dyDescent="0.2">
      <c r="GI57839" s="422"/>
    </row>
    <row r="57840" spans="191:191" x14ac:dyDescent="0.2">
      <c r="GI57840" s="422"/>
    </row>
    <row r="57841" spans="191:191" x14ac:dyDescent="0.2">
      <c r="GI57841" s="422"/>
    </row>
    <row r="57842" spans="191:191" x14ac:dyDescent="0.2">
      <c r="GI57842" s="422"/>
    </row>
    <row r="57843" spans="191:191" x14ac:dyDescent="0.2">
      <c r="GI57843" s="422"/>
    </row>
    <row r="57844" spans="191:191" x14ac:dyDescent="0.2">
      <c r="GI57844" s="422"/>
    </row>
    <row r="57845" spans="191:191" x14ac:dyDescent="0.2">
      <c r="GI57845" s="422"/>
    </row>
    <row r="57846" spans="191:191" x14ac:dyDescent="0.2">
      <c r="GI57846" s="422"/>
    </row>
    <row r="57847" spans="191:191" x14ac:dyDescent="0.2">
      <c r="GI57847" s="422"/>
    </row>
    <row r="57848" spans="191:191" x14ac:dyDescent="0.2">
      <c r="GI57848" s="422"/>
    </row>
    <row r="57849" spans="191:191" x14ac:dyDescent="0.2">
      <c r="GI57849" s="422"/>
    </row>
    <row r="57850" spans="191:191" x14ac:dyDescent="0.2">
      <c r="GI57850" s="422"/>
    </row>
    <row r="57851" spans="191:191" x14ac:dyDescent="0.2">
      <c r="GI57851" s="422"/>
    </row>
    <row r="57852" spans="191:191" x14ac:dyDescent="0.2">
      <c r="GI57852" s="422"/>
    </row>
    <row r="57853" spans="191:191" x14ac:dyDescent="0.2">
      <c r="GI57853" s="422"/>
    </row>
    <row r="57854" spans="191:191" x14ac:dyDescent="0.2">
      <c r="GI57854" s="422"/>
    </row>
    <row r="57855" spans="191:191" x14ac:dyDescent="0.2">
      <c r="GI57855" s="422"/>
    </row>
    <row r="57856" spans="191:191" x14ac:dyDescent="0.2">
      <c r="GI57856" s="422"/>
    </row>
    <row r="57857" spans="191:191" x14ac:dyDescent="0.2">
      <c r="GI57857" s="422"/>
    </row>
    <row r="57858" spans="191:191" x14ac:dyDescent="0.2">
      <c r="GI57858" s="422"/>
    </row>
    <row r="57859" spans="191:191" x14ac:dyDescent="0.2">
      <c r="GI57859" s="422"/>
    </row>
    <row r="57860" spans="191:191" x14ac:dyDescent="0.2">
      <c r="GI57860" s="422"/>
    </row>
    <row r="57861" spans="191:191" x14ac:dyDescent="0.2">
      <c r="GI57861" s="422"/>
    </row>
    <row r="57862" spans="191:191" x14ac:dyDescent="0.2">
      <c r="GI57862" s="422"/>
    </row>
    <row r="57863" spans="191:191" x14ac:dyDescent="0.2">
      <c r="GI57863" s="422"/>
    </row>
    <row r="57864" spans="191:191" x14ac:dyDescent="0.2">
      <c r="GI57864" s="422"/>
    </row>
    <row r="57865" spans="191:191" x14ac:dyDescent="0.2">
      <c r="GI57865" s="422"/>
    </row>
    <row r="57866" spans="191:191" x14ac:dyDescent="0.2">
      <c r="GI57866" s="422"/>
    </row>
    <row r="57867" spans="191:191" x14ac:dyDescent="0.2">
      <c r="GI57867" s="422"/>
    </row>
    <row r="57868" spans="191:191" x14ac:dyDescent="0.2">
      <c r="GI57868" s="422"/>
    </row>
    <row r="57869" spans="191:191" x14ac:dyDescent="0.2">
      <c r="GI57869" s="422"/>
    </row>
    <row r="57870" spans="191:191" x14ac:dyDescent="0.2">
      <c r="GI57870" s="422"/>
    </row>
    <row r="57871" spans="191:191" x14ac:dyDescent="0.2">
      <c r="GI57871" s="422"/>
    </row>
    <row r="57872" spans="191:191" x14ac:dyDescent="0.2">
      <c r="GI57872" s="422"/>
    </row>
    <row r="57873" spans="191:191" x14ac:dyDescent="0.2">
      <c r="GI57873" s="422"/>
    </row>
    <row r="57874" spans="191:191" x14ac:dyDescent="0.2">
      <c r="GI57874" s="422"/>
    </row>
    <row r="57875" spans="191:191" x14ac:dyDescent="0.2">
      <c r="GI57875" s="422"/>
    </row>
    <row r="57876" spans="191:191" x14ac:dyDescent="0.2">
      <c r="GI57876" s="422"/>
    </row>
    <row r="57877" spans="191:191" x14ac:dyDescent="0.2">
      <c r="GI57877" s="422"/>
    </row>
    <row r="57878" spans="191:191" x14ac:dyDescent="0.2">
      <c r="GI57878" s="422"/>
    </row>
    <row r="57879" spans="191:191" x14ac:dyDescent="0.2">
      <c r="GI57879" s="422"/>
    </row>
    <row r="57880" spans="191:191" x14ac:dyDescent="0.2">
      <c r="GI57880" s="422"/>
    </row>
    <row r="57881" spans="191:191" x14ac:dyDescent="0.2">
      <c r="GI57881" s="422"/>
    </row>
    <row r="57882" spans="191:191" x14ac:dyDescent="0.2">
      <c r="GI57882" s="422"/>
    </row>
    <row r="57883" spans="191:191" x14ac:dyDescent="0.2">
      <c r="GI57883" s="422"/>
    </row>
    <row r="57884" spans="191:191" x14ac:dyDescent="0.2">
      <c r="GI57884" s="422"/>
    </row>
    <row r="57885" spans="191:191" x14ac:dyDescent="0.2">
      <c r="GI57885" s="422"/>
    </row>
    <row r="57886" spans="191:191" x14ac:dyDescent="0.2">
      <c r="GI57886" s="422"/>
    </row>
    <row r="57887" spans="191:191" x14ac:dyDescent="0.2">
      <c r="GI57887" s="422"/>
    </row>
    <row r="57888" spans="191:191" x14ac:dyDescent="0.2">
      <c r="GI57888" s="422"/>
    </row>
    <row r="57889" spans="191:191" x14ac:dyDescent="0.2">
      <c r="GI57889" s="422"/>
    </row>
    <row r="57890" spans="191:191" x14ac:dyDescent="0.2">
      <c r="GI57890" s="422"/>
    </row>
    <row r="57891" spans="191:191" x14ac:dyDescent="0.2">
      <c r="GI57891" s="422"/>
    </row>
    <row r="57892" spans="191:191" x14ac:dyDescent="0.2">
      <c r="GI57892" s="422"/>
    </row>
    <row r="57893" spans="191:191" x14ac:dyDescent="0.2">
      <c r="GI57893" s="422"/>
    </row>
    <row r="57894" spans="191:191" x14ac:dyDescent="0.2">
      <c r="GI57894" s="422"/>
    </row>
    <row r="57895" spans="191:191" x14ac:dyDescent="0.2">
      <c r="GI57895" s="422"/>
    </row>
    <row r="57896" spans="191:191" x14ac:dyDescent="0.2">
      <c r="GI57896" s="422"/>
    </row>
    <row r="57897" spans="191:191" x14ac:dyDescent="0.2">
      <c r="GI57897" s="422"/>
    </row>
    <row r="57898" spans="191:191" x14ac:dyDescent="0.2">
      <c r="GI57898" s="422"/>
    </row>
    <row r="57899" spans="191:191" x14ac:dyDescent="0.2">
      <c r="GI57899" s="422"/>
    </row>
    <row r="57900" spans="191:191" x14ac:dyDescent="0.2">
      <c r="GI57900" s="422"/>
    </row>
    <row r="57901" spans="191:191" x14ac:dyDescent="0.2">
      <c r="GI57901" s="422"/>
    </row>
    <row r="57902" spans="191:191" x14ac:dyDescent="0.2">
      <c r="GI57902" s="422"/>
    </row>
    <row r="57903" spans="191:191" x14ac:dyDescent="0.2">
      <c r="GI57903" s="422"/>
    </row>
    <row r="57904" spans="191:191" x14ac:dyDescent="0.2">
      <c r="GI57904" s="422"/>
    </row>
    <row r="57905" spans="191:191" x14ac:dyDescent="0.2">
      <c r="GI57905" s="422"/>
    </row>
    <row r="57906" spans="191:191" x14ac:dyDescent="0.2">
      <c r="GI57906" s="422"/>
    </row>
    <row r="57907" spans="191:191" x14ac:dyDescent="0.2">
      <c r="GI57907" s="422"/>
    </row>
    <row r="57908" spans="191:191" x14ac:dyDescent="0.2">
      <c r="GI57908" s="422"/>
    </row>
    <row r="57909" spans="191:191" x14ac:dyDescent="0.2">
      <c r="GI57909" s="422"/>
    </row>
    <row r="57910" spans="191:191" x14ac:dyDescent="0.2">
      <c r="GI57910" s="422"/>
    </row>
    <row r="57911" spans="191:191" x14ac:dyDescent="0.2">
      <c r="GI57911" s="422"/>
    </row>
    <row r="57912" spans="191:191" x14ac:dyDescent="0.2">
      <c r="GI57912" s="422"/>
    </row>
    <row r="57913" spans="191:191" x14ac:dyDescent="0.2">
      <c r="GI57913" s="422"/>
    </row>
    <row r="57914" spans="191:191" x14ac:dyDescent="0.2">
      <c r="GI57914" s="422"/>
    </row>
    <row r="57915" spans="191:191" x14ac:dyDescent="0.2">
      <c r="GI57915" s="422"/>
    </row>
    <row r="57916" spans="191:191" x14ac:dyDescent="0.2">
      <c r="GI57916" s="422"/>
    </row>
    <row r="57917" spans="191:191" x14ac:dyDescent="0.2">
      <c r="GI57917" s="422"/>
    </row>
    <row r="57918" spans="191:191" x14ac:dyDescent="0.2">
      <c r="GI57918" s="422"/>
    </row>
    <row r="57919" spans="191:191" x14ac:dyDescent="0.2">
      <c r="GI57919" s="422"/>
    </row>
    <row r="57920" spans="191:191" x14ac:dyDescent="0.2">
      <c r="GI57920" s="422"/>
    </row>
    <row r="57921" spans="191:191" x14ac:dyDescent="0.2">
      <c r="GI57921" s="422"/>
    </row>
    <row r="57922" spans="191:191" x14ac:dyDescent="0.2">
      <c r="GI57922" s="422"/>
    </row>
    <row r="57923" spans="191:191" x14ac:dyDescent="0.2">
      <c r="GI57923" s="422"/>
    </row>
    <row r="57924" spans="191:191" x14ac:dyDescent="0.2">
      <c r="GI57924" s="422"/>
    </row>
    <row r="57925" spans="191:191" x14ac:dyDescent="0.2">
      <c r="GI57925" s="422"/>
    </row>
    <row r="57926" spans="191:191" x14ac:dyDescent="0.2">
      <c r="GI57926" s="422"/>
    </row>
    <row r="57927" spans="191:191" x14ac:dyDescent="0.2">
      <c r="GI57927" s="422"/>
    </row>
    <row r="57928" spans="191:191" x14ac:dyDescent="0.2">
      <c r="GI57928" s="422"/>
    </row>
    <row r="57929" spans="191:191" x14ac:dyDescent="0.2">
      <c r="GI57929" s="422"/>
    </row>
    <row r="57930" spans="191:191" x14ac:dyDescent="0.2">
      <c r="GI57930" s="422"/>
    </row>
    <row r="57931" spans="191:191" x14ac:dyDescent="0.2">
      <c r="GI57931" s="422"/>
    </row>
    <row r="57932" spans="191:191" x14ac:dyDescent="0.2">
      <c r="GI57932" s="422"/>
    </row>
    <row r="57933" spans="191:191" x14ac:dyDescent="0.2">
      <c r="GI57933" s="422"/>
    </row>
    <row r="57934" spans="191:191" x14ac:dyDescent="0.2">
      <c r="GI57934" s="422"/>
    </row>
    <row r="57935" spans="191:191" x14ac:dyDescent="0.2">
      <c r="GI57935" s="422"/>
    </row>
    <row r="57936" spans="191:191" x14ac:dyDescent="0.2">
      <c r="GI57936" s="422"/>
    </row>
    <row r="57937" spans="191:191" x14ac:dyDescent="0.2">
      <c r="GI57937" s="422"/>
    </row>
    <row r="57938" spans="191:191" x14ac:dyDescent="0.2">
      <c r="GI57938" s="422"/>
    </row>
    <row r="57939" spans="191:191" x14ac:dyDescent="0.2">
      <c r="GI57939" s="422"/>
    </row>
    <row r="57940" spans="191:191" x14ac:dyDescent="0.2">
      <c r="GI57940" s="422"/>
    </row>
    <row r="57941" spans="191:191" x14ac:dyDescent="0.2">
      <c r="GI57941" s="422"/>
    </row>
    <row r="57942" spans="191:191" x14ac:dyDescent="0.2">
      <c r="GI57942" s="422"/>
    </row>
    <row r="57943" spans="191:191" x14ac:dyDescent="0.2">
      <c r="GI57943" s="422"/>
    </row>
    <row r="57944" spans="191:191" x14ac:dyDescent="0.2">
      <c r="GI57944" s="422"/>
    </row>
    <row r="57945" spans="191:191" x14ac:dyDescent="0.2">
      <c r="GI57945" s="422"/>
    </row>
    <row r="57946" spans="191:191" x14ac:dyDescent="0.2">
      <c r="GI57946" s="422"/>
    </row>
    <row r="57947" spans="191:191" x14ac:dyDescent="0.2">
      <c r="GI57947" s="422"/>
    </row>
    <row r="57948" spans="191:191" x14ac:dyDescent="0.2">
      <c r="GI57948" s="422"/>
    </row>
    <row r="57949" spans="191:191" x14ac:dyDescent="0.2">
      <c r="GI57949" s="422"/>
    </row>
    <row r="57950" spans="191:191" x14ac:dyDescent="0.2">
      <c r="GI57950" s="422"/>
    </row>
    <row r="57951" spans="191:191" x14ac:dyDescent="0.2">
      <c r="GI57951" s="422"/>
    </row>
    <row r="57952" spans="191:191" x14ac:dyDescent="0.2">
      <c r="GI57952" s="422"/>
    </row>
    <row r="57953" spans="191:191" x14ac:dyDescent="0.2">
      <c r="GI57953" s="422"/>
    </row>
    <row r="57954" spans="191:191" x14ac:dyDescent="0.2">
      <c r="GI57954" s="422"/>
    </row>
    <row r="57955" spans="191:191" x14ac:dyDescent="0.2">
      <c r="GI57955" s="422"/>
    </row>
    <row r="57956" spans="191:191" x14ac:dyDescent="0.2">
      <c r="GI57956" s="422"/>
    </row>
    <row r="57957" spans="191:191" x14ac:dyDescent="0.2">
      <c r="GI57957" s="422"/>
    </row>
    <row r="57958" spans="191:191" x14ac:dyDescent="0.2">
      <c r="GI57958" s="422"/>
    </row>
    <row r="57959" spans="191:191" x14ac:dyDescent="0.2">
      <c r="GI57959" s="422"/>
    </row>
    <row r="57960" spans="191:191" x14ac:dyDescent="0.2">
      <c r="GI57960" s="422"/>
    </row>
    <row r="57961" spans="191:191" x14ac:dyDescent="0.2">
      <c r="GI57961" s="422"/>
    </row>
    <row r="57962" spans="191:191" x14ac:dyDescent="0.2">
      <c r="GI57962" s="422"/>
    </row>
    <row r="57963" spans="191:191" x14ac:dyDescent="0.2">
      <c r="GI57963" s="422"/>
    </row>
    <row r="57964" spans="191:191" x14ac:dyDescent="0.2">
      <c r="GI57964" s="422"/>
    </row>
    <row r="57965" spans="191:191" x14ac:dyDescent="0.2">
      <c r="GI57965" s="422"/>
    </row>
    <row r="57966" spans="191:191" x14ac:dyDescent="0.2">
      <c r="GI57966" s="422"/>
    </row>
    <row r="57967" spans="191:191" x14ac:dyDescent="0.2">
      <c r="GI57967" s="422"/>
    </row>
    <row r="57968" spans="191:191" x14ac:dyDescent="0.2">
      <c r="GI57968" s="422"/>
    </row>
    <row r="57969" spans="191:191" x14ac:dyDescent="0.2">
      <c r="GI57969" s="422"/>
    </row>
    <row r="57970" spans="191:191" x14ac:dyDescent="0.2">
      <c r="GI57970" s="422"/>
    </row>
    <row r="57971" spans="191:191" x14ac:dyDescent="0.2">
      <c r="GI57971" s="422"/>
    </row>
    <row r="57972" spans="191:191" x14ac:dyDescent="0.2">
      <c r="GI57972" s="422"/>
    </row>
    <row r="57973" spans="191:191" x14ac:dyDescent="0.2">
      <c r="GI57973" s="422"/>
    </row>
    <row r="57974" spans="191:191" x14ac:dyDescent="0.2">
      <c r="GI57974" s="422"/>
    </row>
    <row r="57975" spans="191:191" x14ac:dyDescent="0.2">
      <c r="GI57975" s="422"/>
    </row>
    <row r="57976" spans="191:191" x14ac:dyDescent="0.2">
      <c r="GI57976" s="422"/>
    </row>
    <row r="57977" spans="191:191" x14ac:dyDescent="0.2">
      <c r="GI57977" s="422"/>
    </row>
    <row r="57978" spans="191:191" x14ac:dyDescent="0.2">
      <c r="GI57978" s="422"/>
    </row>
    <row r="57979" spans="191:191" x14ac:dyDescent="0.2">
      <c r="GI57979" s="422"/>
    </row>
    <row r="57980" spans="191:191" x14ac:dyDescent="0.2">
      <c r="GI57980" s="422"/>
    </row>
    <row r="57981" spans="191:191" x14ac:dyDescent="0.2">
      <c r="GI57981" s="422"/>
    </row>
    <row r="57982" spans="191:191" x14ac:dyDescent="0.2">
      <c r="GI57982" s="422"/>
    </row>
    <row r="57983" spans="191:191" x14ac:dyDescent="0.2">
      <c r="GI57983" s="422"/>
    </row>
    <row r="57984" spans="191:191" x14ac:dyDescent="0.2">
      <c r="GI57984" s="422"/>
    </row>
    <row r="57985" spans="191:191" x14ac:dyDescent="0.2">
      <c r="GI57985" s="422"/>
    </row>
    <row r="57986" spans="191:191" x14ac:dyDescent="0.2">
      <c r="GI57986" s="422"/>
    </row>
    <row r="57987" spans="191:191" x14ac:dyDescent="0.2">
      <c r="GI57987" s="422"/>
    </row>
    <row r="57988" spans="191:191" x14ac:dyDescent="0.2">
      <c r="GI57988" s="422"/>
    </row>
    <row r="57989" spans="191:191" x14ac:dyDescent="0.2">
      <c r="GI57989" s="422"/>
    </row>
    <row r="57990" spans="191:191" x14ac:dyDescent="0.2">
      <c r="GI57990" s="422"/>
    </row>
    <row r="57991" spans="191:191" x14ac:dyDescent="0.2">
      <c r="GI57991" s="422"/>
    </row>
    <row r="57992" spans="191:191" x14ac:dyDescent="0.2">
      <c r="GI57992" s="422"/>
    </row>
    <row r="57993" spans="191:191" x14ac:dyDescent="0.2">
      <c r="GI57993" s="422"/>
    </row>
    <row r="57994" spans="191:191" x14ac:dyDescent="0.2">
      <c r="GI57994" s="422"/>
    </row>
    <row r="57995" spans="191:191" x14ac:dyDescent="0.2">
      <c r="GI57995" s="422"/>
    </row>
    <row r="57996" spans="191:191" x14ac:dyDescent="0.2">
      <c r="GI57996" s="422"/>
    </row>
    <row r="57997" spans="191:191" x14ac:dyDescent="0.2">
      <c r="GI57997" s="422"/>
    </row>
    <row r="57998" spans="191:191" x14ac:dyDescent="0.2">
      <c r="GI57998" s="422"/>
    </row>
    <row r="57999" spans="191:191" x14ac:dyDescent="0.2">
      <c r="GI57999" s="422"/>
    </row>
    <row r="58000" spans="191:191" x14ac:dyDescent="0.2">
      <c r="GI58000" s="422"/>
    </row>
    <row r="58001" spans="191:191" x14ac:dyDescent="0.2">
      <c r="GI58001" s="422"/>
    </row>
    <row r="58002" spans="191:191" x14ac:dyDescent="0.2">
      <c r="GI58002" s="422"/>
    </row>
    <row r="58003" spans="191:191" x14ac:dyDescent="0.2">
      <c r="GI58003" s="422"/>
    </row>
    <row r="58004" spans="191:191" x14ac:dyDescent="0.2">
      <c r="GI58004" s="422"/>
    </row>
    <row r="58005" spans="191:191" x14ac:dyDescent="0.2">
      <c r="GI58005" s="422"/>
    </row>
    <row r="58006" spans="191:191" x14ac:dyDescent="0.2">
      <c r="GI58006" s="422"/>
    </row>
    <row r="58007" spans="191:191" x14ac:dyDescent="0.2">
      <c r="GI58007" s="422"/>
    </row>
    <row r="58008" spans="191:191" x14ac:dyDescent="0.2">
      <c r="GI58008" s="422"/>
    </row>
    <row r="58009" spans="191:191" x14ac:dyDescent="0.2">
      <c r="GI58009" s="422"/>
    </row>
    <row r="58010" spans="191:191" x14ac:dyDescent="0.2">
      <c r="GI58010" s="422"/>
    </row>
    <row r="58011" spans="191:191" x14ac:dyDescent="0.2">
      <c r="GI58011" s="422"/>
    </row>
    <row r="58012" spans="191:191" x14ac:dyDescent="0.2">
      <c r="GI58012" s="422"/>
    </row>
    <row r="58013" spans="191:191" x14ac:dyDescent="0.2">
      <c r="GI58013" s="422"/>
    </row>
    <row r="58014" spans="191:191" x14ac:dyDescent="0.2">
      <c r="GI58014" s="422"/>
    </row>
    <row r="58015" spans="191:191" x14ac:dyDescent="0.2">
      <c r="GI58015" s="422"/>
    </row>
    <row r="58016" spans="191:191" x14ac:dyDescent="0.2">
      <c r="GI58016" s="422"/>
    </row>
    <row r="58017" spans="191:191" x14ac:dyDescent="0.2">
      <c r="GI58017" s="422"/>
    </row>
    <row r="58018" spans="191:191" x14ac:dyDescent="0.2">
      <c r="GI58018" s="422"/>
    </row>
    <row r="58019" spans="191:191" x14ac:dyDescent="0.2">
      <c r="GI58019" s="422"/>
    </row>
    <row r="58020" spans="191:191" x14ac:dyDescent="0.2">
      <c r="GI58020" s="422"/>
    </row>
    <row r="58021" spans="191:191" x14ac:dyDescent="0.2">
      <c r="GI58021" s="422"/>
    </row>
    <row r="58022" spans="191:191" x14ac:dyDescent="0.2">
      <c r="GI58022" s="422"/>
    </row>
    <row r="58023" spans="191:191" x14ac:dyDescent="0.2">
      <c r="GI58023" s="422"/>
    </row>
    <row r="58024" spans="191:191" x14ac:dyDescent="0.2">
      <c r="GI58024" s="422"/>
    </row>
    <row r="58025" spans="191:191" x14ac:dyDescent="0.2">
      <c r="GI58025" s="422"/>
    </row>
    <row r="58026" spans="191:191" x14ac:dyDescent="0.2">
      <c r="GI58026" s="422"/>
    </row>
    <row r="58027" spans="191:191" x14ac:dyDescent="0.2">
      <c r="GI58027" s="422"/>
    </row>
    <row r="58028" spans="191:191" x14ac:dyDescent="0.2">
      <c r="GI58028" s="422"/>
    </row>
    <row r="58029" spans="191:191" x14ac:dyDescent="0.2">
      <c r="GI58029" s="422"/>
    </row>
    <row r="58030" spans="191:191" x14ac:dyDescent="0.2">
      <c r="GI58030" s="422"/>
    </row>
    <row r="58031" spans="191:191" x14ac:dyDescent="0.2">
      <c r="GI58031" s="422"/>
    </row>
    <row r="58032" spans="191:191" x14ac:dyDescent="0.2">
      <c r="GI58032" s="422"/>
    </row>
    <row r="58033" spans="191:191" x14ac:dyDescent="0.2">
      <c r="GI58033" s="422"/>
    </row>
    <row r="58034" spans="191:191" x14ac:dyDescent="0.2">
      <c r="GI58034" s="422"/>
    </row>
    <row r="58035" spans="191:191" x14ac:dyDescent="0.2">
      <c r="GI58035" s="422"/>
    </row>
    <row r="58036" spans="191:191" x14ac:dyDescent="0.2">
      <c r="GI58036" s="422"/>
    </row>
    <row r="58037" spans="191:191" x14ac:dyDescent="0.2">
      <c r="GI58037" s="422"/>
    </row>
    <row r="58038" spans="191:191" x14ac:dyDescent="0.2">
      <c r="GI58038" s="422"/>
    </row>
    <row r="58039" spans="191:191" x14ac:dyDescent="0.2">
      <c r="GI58039" s="422"/>
    </row>
    <row r="58040" spans="191:191" x14ac:dyDescent="0.2">
      <c r="GI58040" s="422"/>
    </row>
    <row r="58041" spans="191:191" x14ac:dyDescent="0.2">
      <c r="GI58041" s="422"/>
    </row>
    <row r="58042" spans="191:191" x14ac:dyDescent="0.2">
      <c r="GI58042" s="422"/>
    </row>
    <row r="58043" spans="191:191" x14ac:dyDescent="0.2">
      <c r="GI58043" s="422"/>
    </row>
    <row r="58044" spans="191:191" x14ac:dyDescent="0.2">
      <c r="GI58044" s="422"/>
    </row>
    <row r="58045" spans="191:191" x14ac:dyDescent="0.2">
      <c r="GI58045" s="422"/>
    </row>
    <row r="58046" spans="191:191" x14ac:dyDescent="0.2">
      <c r="GI58046" s="422"/>
    </row>
    <row r="58047" spans="191:191" x14ac:dyDescent="0.2">
      <c r="GI58047" s="422"/>
    </row>
    <row r="58048" spans="191:191" x14ac:dyDescent="0.2">
      <c r="GI58048" s="422"/>
    </row>
    <row r="58049" spans="191:191" x14ac:dyDescent="0.2">
      <c r="GI58049" s="422"/>
    </row>
    <row r="58050" spans="191:191" x14ac:dyDescent="0.2">
      <c r="GI58050" s="422"/>
    </row>
    <row r="58051" spans="191:191" x14ac:dyDescent="0.2">
      <c r="GI58051" s="422"/>
    </row>
    <row r="58052" spans="191:191" x14ac:dyDescent="0.2">
      <c r="GI58052" s="422"/>
    </row>
    <row r="58053" spans="191:191" x14ac:dyDescent="0.2">
      <c r="GI58053" s="422"/>
    </row>
    <row r="58054" spans="191:191" x14ac:dyDescent="0.2">
      <c r="GI58054" s="422"/>
    </row>
    <row r="58055" spans="191:191" x14ac:dyDescent="0.2">
      <c r="GI58055" s="422"/>
    </row>
    <row r="58056" spans="191:191" x14ac:dyDescent="0.2">
      <c r="GI58056" s="422"/>
    </row>
    <row r="58057" spans="191:191" x14ac:dyDescent="0.2">
      <c r="GI58057" s="422"/>
    </row>
    <row r="58058" spans="191:191" x14ac:dyDescent="0.2">
      <c r="GI58058" s="422"/>
    </row>
    <row r="58059" spans="191:191" x14ac:dyDescent="0.2">
      <c r="GI58059" s="422"/>
    </row>
    <row r="58060" spans="191:191" x14ac:dyDescent="0.2">
      <c r="GI58060" s="422"/>
    </row>
    <row r="58061" spans="191:191" x14ac:dyDescent="0.2">
      <c r="GI58061" s="422"/>
    </row>
    <row r="58062" spans="191:191" x14ac:dyDescent="0.2">
      <c r="GI58062" s="422"/>
    </row>
    <row r="58063" spans="191:191" x14ac:dyDescent="0.2">
      <c r="GI58063" s="422"/>
    </row>
    <row r="58064" spans="191:191" x14ac:dyDescent="0.2">
      <c r="GI58064" s="422"/>
    </row>
    <row r="58065" spans="191:191" x14ac:dyDescent="0.2">
      <c r="GI58065" s="422"/>
    </row>
    <row r="58066" spans="191:191" x14ac:dyDescent="0.2">
      <c r="GI58066" s="422"/>
    </row>
    <row r="58067" spans="191:191" x14ac:dyDescent="0.2">
      <c r="GI58067" s="422"/>
    </row>
    <row r="58068" spans="191:191" x14ac:dyDescent="0.2">
      <c r="GI58068" s="422"/>
    </row>
    <row r="58069" spans="191:191" x14ac:dyDescent="0.2">
      <c r="GI58069" s="422"/>
    </row>
    <row r="58070" spans="191:191" x14ac:dyDescent="0.2">
      <c r="GI58070" s="422"/>
    </row>
    <row r="58071" spans="191:191" x14ac:dyDescent="0.2">
      <c r="GI58071" s="422"/>
    </row>
    <row r="58072" spans="191:191" x14ac:dyDescent="0.2">
      <c r="GI58072" s="422"/>
    </row>
    <row r="58073" spans="191:191" x14ac:dyDescent="0.2">
      <c r="GI58073" s="422"/>
    </row>
    <row r="58074" spans="191:191" x14ac:dyDescent="0.2">
      <c r="GI58074" s="422"/>
    </row>
    <row r="58075" spans="191:191" x14ac:dyDescent="0.2">
      <c r="GI58075" s="422"/>
    </row>
    <row r="58076" spans="191:191" x14ac:dyDescent="0.2">
      <c r="GI58076" s="422"/>
    </row>
    <row r="58077" spans="191:191" x14ac:dyDescent="0.2">
      <c r="GI58077" s="422"/>
    </row>
    <row r="58078" spans="191:191" x14ac:dyDescent="0.2">
      <c r="GI58078" s="422"/>
    </row>
    <row r="58079" spans="191:191" x14ac:dyDescent="0.2">
      <c r="GI58079" s="422"/>
    </row>
    <row r="58080" spans="191:191" x14ac:dyDescent="0.2">
      <c r="GI58080" s="422"/>
    </row>
    <row r="58081" spans="191:191" x14ac:dyDescent="0.2">
      <c r="GI58081" s="422"/>
    </row>
    <row r="58082" spans="191:191" x14ac:dyDescent="0.2">
      <c r="GI58082" s="422"/>
    </row>
    <row r="58083" spans="191:191" x14ac:dyDescent="0.2">
      <c r="GI58083" s="422"/>
    </row>
    <row r="58084" spans="191:191" x14ac:dyDescent="0.2">
      <c r="GI58084" s="422"/>
    </row>
    <row r="58085" spans="191:191" x14ac:dyDescent="0.2">
      <c r="GI58085" s="422"/>
    </row>
    <row r="58086" spans="191:191" x14ac:dyDescent="0.2">
      <c r="GI58086" s="422"/>
    </row>
    <row r="58087" spans="191:191" x14ac:dyDescent="0.2">
      <c r="GI58087" s="422"/>
    </row>
    <row r="58088" spans="191:191" x14ac:dyDescent="0.2">
      <c r="GI58088" s="422"/>
    </row>
    <row r="58089" spans="191:191" x14ac:dyDescent="0.2">
      <c r="GI58089" s="422"/>
    </row>
    <row r="58090" spans="191:191" x14ac:dyDescent="0.2">
      <c r="GI58090" s="422"/>
    </row>
    <row r="58091" spans="191:191" x14ac:dyDescent="0.2">
      <c r="GI58091" s="422"/>
    </row>
    <row r="58092" spans="191:191" x14ac:dyDescent="0.2">
      <c r="GI58092" s="422"/>
    </row>
    <row r="58093" spans="191:191" x14ac:dyDescent="0.2">
      <c r="GI58093" s="422"/>
    </row>
    <row r="58094" spans="191:191" x14ac:dyDescent="0.2">
      <c r="GI58094" s="422"/>
    </row>
    <row r="58095" spans="191:191" x14ac:dyDescent="0.2">
      <c r="GI58095" s="422"/>
    </row>
    <row r="58096" spans="191:191" x14ac:dyDescent="0.2">
      <c r="GI58096" s="422"/>
    </row>
    <row r="58097" spans="191:191" x14ac:dyDescent="0.2">
      <c r="GI58097" s="422"/>
    </row>
    <row r="58098" spans="191:191" x14ac:dyDescent="0.2">
      <c r="GI58098" s="422"/>
    </row>
    <row r="58099" spans="191:191" x14ac:dyDescent="0.2">
      <c r="GI58099" s="422"/>
    </row>
    <row r="58100" spans="191:191" x14ac:dyDescent="0.2">
      <c r="GI58100" s="422"/>
    </row>
    <row r="58101" spans="191:191" x14ac:dyDescent="0.2">
      <c r="GI58101" s="422"/>
    </row>
    <row r="58102" spans="191:191" x14ac:dyDescent="0.2">
      <c r="GI58102" s="422"/>
    </row>
    <row r="58103" spans="191:191" x14ac:dyDescent="0.2">
      <c r="GI58103" s="422"/>
    </row>
    <row r="58104" spans="191:191" x14ac:dyDescent="0.2">
      <c r="GI58104" s="422"/>
    </row>
    <row r="58105" spans="191:191" x14ac:dyDescent="0.2">
      <c r="GI58105" s="422"/>
    </row>
    <row r="58106" spans="191:191" x14ac:dyDescent="0.2">
      <c r="GI58106" s="422"/>
    </row>
    <row r="58107" spans="191:191" x14ac:dyDescent="0.2">
      <c r="GI58107" s="422"/>
    </row>
    <row r="58108" spans="191:191" x14ac:dyDescent="0.2">
      <c r="GI58108" s="422"/>
    </row>
    <row r="58109" spans="191:191" x14ac:dyDescent="0.2">
      <c r="GI58109" s="422"/>
    </row>
    <row r="58110" spans="191:191" x14ac:dyDescent="0.2">
      <c r="GI58110" s="422"/>
    </row>
    <row r="58111" spans="191:191" x14ac:dyDescent="0.2">
      <c r="GI58111" s="422"/>
    </row>
    <row r="58112" spans="191:191" x14ac:dyDescent="0.2">
      <c r="GI58112" s="422"/>
    </row>
    <row r="58113" spans="191:191" x14ac:dyDescent="0.2">
      <c r="GI58113" s="422"/>
    </row>
    <row r="58114" spans="191:191" x14ac:dyDescent="0.2">
      <c r="GI58114" s="422"/>
    </row>
    <row r="58115" spans="191:191" x14ac:dyDescent="0.2">
      <c r="GI58115" s="422"/>
    </row>
    <row r="58116" spans="191:191" x14ac:dyDescent="0.2">
      <c r="GI58116" s="422"/>
    </row>
    <row r="58117" spans="191:191" x14ac:dyDescent="0.2">
      <c r="GI58117" s="422"/>
    </row>
    <row r="58118" spans="191:191" x14ac:dyDescent="0.2">
      <c r="GI58118" s="422"/>
    </row>
    <row r="58119" spans="191:191" x14ac:dyDescent="0.2">
      <c r="GI58119" s="422"/>
    </row>
    <row r="58120" spans="191:191" x14ac:dyDescent="0.2">
      <c r="GI58120" s="422"/>
    </row>
    <row r="58121" spans="191:191" x14ac:dyDescent="0.2">
      <c r="GI58121" s="422"/>
    </row>
    <row r="58122" spans="191:191" x14ac:dyDescent="0.2">
      <c r="GI58122" s="422"/>
    </row>
    <row r="58123" spans="191:191" x14ac:dyDescent="0.2">
      <c r="GI58123" s="422"/>
    </row>
    <row r="58124" spans="191:191" x14ac:dyDescent="0.2">
      <c r="GI58124" s="422"/>
    </row>
    <row r="58125" spans="191:191" x14ac:dyDescent="0.2">
      <c r="GI58125" s="422"/>
    </row>
    <row r="58126" spans="191:191" x14ac:dyDescent="0.2">
      <c r="GI58126" s="422"/>
    </row>
    <row r="58127" spans="191:191" x14ac:dyDescent="0.2">
      <c r="GI58127" s="422"/>
    </row>
    <row r="58128" spans="191:191" x14ac:dyDescent="0.2">
      <c r="GI58128" s="422"/>
    </row>
    <row r="58129" spans="191:191" x14ac:dyDescent="0.2">
      <c r="GI58129" s="422"/>
    </row>
    <row r="58130" spans="191:191" x14ac:dyDescent="0.2">
      <c r="GI58130" s="422"/>
    </row>
    <row r="58131" spans="191:191" x14ac:dyDescent="0.2">
      <c r="GI58131" s="422"/>
    </row>
    <row r="58132" spans="191:191" x14ac:dyDescent="0.2">
      <c r="GI58132" s="422"/>
    </row>
    <row r="58133" spans="191:191" x14ac:dyDescent="0.2">
      <c r="GI58133" s="422"/>
    </row>
    <row r="58134" spans="191:191" x14ac:dyDescent="0.2">
      <c r="GI58134" s="422"/>
    </row>
    <row r="58135" spans="191:191" x14ac:dyDescent="0.2">
      <c r="GI58135" s="422"/>
    </row>
    <row r="58136" spans="191:191" x14ac:dyDescent="0.2">
      <c r="GI58136" s="422"/>
    </row>
    <row r="58137" spans="191:191" x14ac:dyDescent="0.2">
      <c r="GI58137" s="422"/>
    </row>
    <row r="58138" spans="191:191" x14ac:dyDescent="0.2">
      <c r="GI58138" s="422"/>
    </row>
    <row r="58139" spans="191:191" x14ac:dyDescent="0.2">
      <c r="GI58139" s="422"/>
    </row>
    <row r="58140" spans="191:191" x14ac:dyDescent="0.2">
      <c r="GI58140" s="422"/>
    </row>
    <row r="58141" spans="191:191" x14ac:dyDescent="0.2">
      <c r="GI58141" s="422"/>
    </row>
    <row r="58142" spans="191:191" x14ac:dyDescent="0.2">
      <c r="GI58142" s="422"/>
    </row>
    <row r="58143" spans="191:191" x14ac:dyDescent="0.2">
      <c r="GI58143" s="422"/>
    </row>
    <row r="58144" spans="191:191" x14ac:dyDescent="0.2">
      <c r="GI58144" s="422"/>
    </row>
    <row r="58145" spans="191:191" x14ac:dyDescent="0.2">
      <c r="GI58145" s="422"/>
    </row>
    <row r="58146" spans="191:191" x14ac:dyDescent="0.2">
      <c r="GI58146" s="422"/>
    </row>
    <row r="58147" spans="191:191" x14ac:dyDescent="0.2">
      <c r="GI58147" s="422"/>
    </row>
    <row r="58148" spans="191:191" x14ac:dyDescent="0.2">
      <c r="GI58148" s="422"/>
    </row>
    <row r="58149" spans="191:191" x14ac:dyDescent="0.2">
      <c r="GI58149" s="422"/>
    </row>
    <row r="58150" spans="191:191" x14ac:dyDescent="0.2">
      <c r="GI58150" s="422"/>
    </row>
    <row r="58151" spans="191:191" x14ac:dyDescent="0.2">
      <c r="GI58151" s="422"/>
    </row>
    <row r="58152" spans="191:191" x14ac:dyDescent="0.2">
      <c r="GI58152" s="422"/>
    </row>
    <row r="58153" spans="191:191" x14ac:dyDescent="0.2">
      <c r="GI58153" s="422"/>
    </row>
    <row r="58154" spans="191:191" x14ac:dyDescent="0.2">
      <c r="GI58154" s="422"/>
    </row>
    <row r="58155" spans="191:191" x14ac:dyDescent="0.2">
      <c r="GI58155" s="422"/>
    </row>
    <row r="58156" spans="191:191" x14ac:dyDescent="0.2">
      <c r="GI58156" s="422"/>
    </row>
    <row r="58157" spans="191:191" x14ac:dyDescent="0.2">
      <c r="GI58157" s="422"/>
    </row>
    <row r="58158" spans="191:191" x14ac:dyDescent="0.2">
      <c r="GI58158" s="422"/>
    </row>
    <row r="58159" spans="191:191" x14ac:dyDescent="0.2">
      <c r="GI58159" s="422"/>
    </row>
    <row r="58160" spans="191:191" x14ac:dyDescent="0.2">
      <c r="GI58160" s="422"/>
    </row>
    <row r="58161" spans="191:191" x14ac:dyDescent="0.2">
      <c r="GI58161" s="422"/>
    </row>
    <row r="58162" spans="191:191" x14ac:dyDescent="0.2">
      <c r="GI58162" s="422"/>
    </row>
    <row r="58163" spans="191:191" x14ac:dyDescent="0.2">
      <c r="GI58163" s="422"/>
    </row>
    <row r="58164" spans="191:191" x14ac:dyDescent="0.2">
      <c r="GI58164" s="422"/>
    </row>
    <row r="58165" spans="191:191" x14ac:dyDescent="0.2">
      <c r="GI58165" s="422"/>
    </row>
    <row r="58166" spans="191:191" x14ac:dyDescent="0.2">
      <c r="GI58166" s="422"/>
    </row>
    <row r="58167" spans="191:191" x14ac:dyDescent="0.2">
      <c r="GI58167" s="422"/>
    </row>
    <row r="58168" spans="191:191" x14ac:dyDescent="0.2">
      <c r="GI58168" s="422"/>
    </row>
    <row r="58169" spans="191:191" x14ac:dyDescent="0.2">
      <c r="GI58169" s="422"/>
    </row>
    <row r="58170" spans="191:191" x14ac:dyDescent="0.2">
      <c r="GI58170" s="422"/>
    </row>
    <row r="58171" spans="191:191" x14ac:dyDescent="0.2">
      <c r="GI58171" s="422"/>
    </row>
    <row r="58172" spans="191:191" x14ac:dyDescent="0.2">
      <c r="GI58172" s="422"/>
    </row>
    <row r="58173" spans="191:191" x14ac:dyDescent="0.2">
      <c r="GI58173" s="422"/>
    </row>
    <row r="58174" spans="191:191" x14ac:dyDescent="0.2">
      <c r="GI58174" s="422"/>
    </row>
    <row r="58175" spans="191:191" x14ac:dyDescent="0.2">
      <c r="GI58175" s="422"/>
    </row>
    <row r="58176" spans="191:191" x14ac:dyDescent="0.2">
      <c r="GI58176" s="422"/>
    </row>
    <row r="58177" spans="191:191" x14ac:dyDescent="0.2">
      <c r="GI58177" s="422"/>
    </row>
    <row r="58178" spans="191:191" x14ac:dyDescent="0.2">
      <c r="GI58178" s="422"/>
    </row>
    <row r="58179" spans="191:191" x14ac:dyDescent="0.2">
      <c r="GI58179" s="422"/>
    </row>
    <row r="58180" spans="191:191" x14ac:dyDescent="0.2">
      <c r="GI58180" s="422"/>
    </row>
    <row r="58181" spans="191:191" x14ac:dyDescent="0.2">
      <c r="GI58181" s="422"/>
    </row>
    <row r="58182" spans="191:191" x14ac:dyDescent="0.2">
      <c r="GI58182" s="422"/>
    </row>
    <row r="58183" spans="191:191" x14ac:dyDescent="0.2">
      <c r="GI58183" s="422"/>
    </row>
    <row r="58184" spans="191:191" x14ac:dyDescent="0.2">
      <c r="GI58184" s="422"/>
    </row>
    <row r="58185" spans="191:191" x14ac:dyDescent="0.2">
      <c r="GI58185" s="422"/>
    </row>
    <row r="58186" spans="191:191" x14ac:dyDescent="0.2">
      <c r="GI58186" s="422"/>
    </row>
    <row r="58187" spans="191:191" x14ac:dyDescent="0.2">
      <c r="GI58187" s="422"/>
    </row>
    <row r="58188" spans="191:191" x14ac:dyDescent="0.2">
      <c r="GI58188" s="422"/>
    </row>
    <row r="58189" spans="191:191" x14ac:dyDescent="0.2">
      <c r="GI58189" s="422"/>
    </row>
    <row r="58190" spans="191:191" x14ac:dyDescent="0.2">
      <c r="GI58190" s="422"/>
    </row>
    <row r="58191" spans="191:191" x14ac:dyDescent="0.2">
      <c r="GI58191" s="422"/>
    </row>
    <row r="58192" spans="191:191" x14ac:dyDescent="0.2">
      <c r="GI58192" s="422"/>
    </row>
    <row r="58193" spans="191:191" x14ac:dyDescent="0.2">
      <c r="GI58193" s="422"/>
    </row>
    <row r="58194" spans="191:191" x14ac:dyDescent="0.2">
      <c r="GI58194" s="422"/>
    </row>
    <row r="58195" spans="191:191" x14ac:dyDescent="0.2">
      <c r="GI58195" s="422"/>
    </row>
    <row r="58196" spans="191:191" x14ac:dyDescent="0.2">
      <c r="GI58196" s="422"/>
    </row>
    <row r="58197" spans="191:191" x14ac:dyDescent="0.2">
      <c r="GI58197" s="422"/>
    </row>
    <row r="58198" spans="191:191" x14ac:dyDescent="0.2">
      <c r="GI58198" s="422"/>
    </row>
    <row r="58199" spans="191:191" x14ac:dyDescent="0.2">
      <c r="GI58199" s="422"/>
    </row>
    <row r="58200" spans="191:191" x14ac:dyDescent="0.2">
      <c r="GI58200" s="422"/>
    </row>
    <row r="58201" spans="191:191" x14ac:dyDescent="0.2">
      <c r="GI58201" s="422"/>
    </row>
    <row r="58202" spans="191:191" x14ac:dyDescent="0.2">
      <c r="GI58202" s="422"/>
    </row>
    <row r="58203" spans="191:191" x14ac:dyDescent="0.2">
      <c r="GI58203" s="422"/>
    </row>
    <row r="58204" spans="191:191" x14ac:dyDescent="0.2">
      <c r="GI58204" s="422"/>
    </row>
    <row r="58205" spans="191:191" x14ac:dyDescent="0.2">
      <c r="GI58205" s="422"/>
    </row>
    <row r="58206" spans="191:191" x14ac:dyDescent="0.2">
      <c r="GI58206" s="422"/>
    </row>
    <row r="58207" spans="191:191" x14ac:dyDescent="0.2">
      <c r="GI58207" s="422"/>
    </row>
    <row r="58208" spans="191:191" x14ac:dyDescent="0.2">
      <c r="GI58208" s="422"/>
    </row>
    <row r="58209" spans="191:191" x14ac:dyDescent="0.2">
      <c r="GI58209" s="422"/>
    </row>
    <row r="58210" spans="191:191" x14ac:dyDescent="0.2">
      <c r="GI58210" s="422"/>
    </row>
    <row r="58211" spans="191:191" x14ac:dyDescent="0.2">
      <c r="GI58211" s="422"/>
    </row>
    <row r="58212" spans="191:191" x14ac:dyDescent="0.2">
      <c r="GI58212" s="422"/>
    </row>
    <row r="58213" spans="191:191" x14ac:dyDescent="0.2">
      <c r="GI58213" s="422"/>
    </row>
    <row r="58214" spans="191:191" x14ac:dyDescent="0.2">
      <c r="GI58214" s="422"/>
    </row>
    <row r="58215" spans="191:191" x14ac:dyDescent="0.2">
      <c r="GI58215" s="422"/>
    </row>
    <row r="58216" spans="191:191" x14ac:dyDescent="0.2">
      <c r="GI58216" s="422"/>
    </row>
    <row r="58217" spans="191:191" x14ac:dyDescent="0.2">
      <c r="GI58217" s="422"/>
    </row>
    <row r="58218" spans="191:191" x14ac:dyDescent="0.2">
      <c r="GI58218" s="422"/>
    </row>
    <row r="58219" spans="191:191" x14ac:dyDescent="0.2">
      <c r="GI58219" s="422"/>
    </row>
    <row r="58220" spans="191:191" x14ac:dyDescent="0.2">
      <c r="GI58220" s="422"/>
    </row>
    <row r="58221" spans="191:191" x14ac:dyDescent="0.2">
      <c r="GI58221" s="422"/>
    </row>
    <row r="58222" spans="191:191" x14ac:dyDescent="0.2">
      <c r="GI58222" s="422"/>
    </row>
    <row r="58223" spans="191:191" x14ac:dyDescent="0.2">
      <c r="GI58223" s="422"/>
    </row>
    <row r="58224" spans="191:191" x14ac:dyDescent="0.2">
      <c r="GI58224" s="422"/>
    </row>
    <row r="58225" spans="191:191" x14ac:dyDescent="0.2">
      <c r="GI58225" s="422"/>
    </row>
    <row r="58226" spans="191:191" x14ac:dyDescent="0.2">
      <c r="GI58226" s="422"/>
    </row>
    <row r="58227" spans="191:191" x14ac:dyDescent="0.2">
      <c r="GI58227" s="422"/>
    </row>
    <row r="58228" spans="191:191" x14ac:dyDescent="0.2">
      <c r="GI58228" s="422"/>
    </row>
    <row r="58229" spans="191:191" x14ac:dyDescent="0.2">
      <c r="GI58229" s="422"/>
    </row>
    <row r="58230" spans="191:191" x14ac:dyDescent="0.2">
      <c r="GI58230" s="422"/>
    </row>
    <row r="58231" spans="191:191" x14ac:dyDescent="0.2">
      <c r="GI58231" s="422"/>
    </row>
    <row r="58232" spans="191:191" x14ac:dyDescent="0.2">
      <c r="GI58232" s="422"/>
    </row>
    <row r="58233" spans="191:191" x14ac:dyDescent="0.2">
      <c r="GI58233" s="422"/>
    </row>
    <row r="58234" spans="191:191" x14ac:dyDescent="0.2">
      <c r="GI58234" s="422"/>
    </row>
    <row r="58235" spans="191:191" x14ac:dyDescent="0.2">
      <c r="GI58235" s="422"/>
    </row>
    <row r="58236" spans="191:191" x14ac:dyDescent="0.2">
      <c r="GI58236" s="422"/>
    </row>
    <row r="58237" spans="191:191" x14ac:dyDescent="0.2">
      <c r="GI58237" s="422"/>
    </row>
    <row r="58238" spans="191:191" x14ac:dyDescent="0.2">
      <c r="GI58238" s="422"/>
    </row>
    <row r="58239" spans="191:191" x14ac:dyDescent="0.2">
      <c r="GI58239" s="422"/>
    </row>
    <row r="58240" spans="191:191" x14ac:dyDescent="0.2">
      <c r="GI58240" s="422"/>
    </row>
    <row r="58241" spans="191:191" x14ac:dyDescent="0.2">
      <c r="GI58241" s="422"/>
    </row>
    <row r="58242" spans="191:191" x14ac:dyDescent="0.2">
      <c r="GI58242" s="422"/>
    </row>
    <row r="58243" spans="191:191" x14ac:dyDescent="0.2">
      <c r="GI58243" s="422"/>
    </row>
    <row r="58244" spans="191:191" x14ac:dyDescent="0.2">
      <c r="GI58244" s="422"/>
    </row>
    <row r="58245" spans="191:191" x14ac:dyDescent="0.2">
      <c r="GI58245" s="422"/>
    </row>
    <row r="58246" spans="191:191" x14ac:dyDescent="0.2">
      <c r="GI58246" s="422"/>
    </row>
    <row r="58247" spans="191:191" x14ac:dyDescent="0.2">
      <c r="GI58247" s="422"/>
    </row>
    <row r="58248" spans="191:191" x14ac:dyDescent="0.2">
      <c r="GI58248" s="422"/>
    </row>
    <row r="58249" spans="191:191" x14ac:dyDescent="0.2">
      <c r="GI58249" s="422"/>
    </row>
    <row r="58250" spans="191:191" x14ac:dyDescent="0.2">
      <c r="GI58250" s="422"/>
    </row>
    <row r="58251" spans="191:191" x14ac:dyDescent="0.2">
      <c r="GI58251" s="422"/>
    </row>
    <row r="58252" spans="191:191" x14ac:dyDescent="0.2">
      <c r="GI58252" s="422"/>
    </row>
    <row r="58253" spans="191:191" x14ac:dyDescent="0.2">
      <c r="GI58253" s="422"/>
    </row>
    <row r="58254" spans="191:191" x14ac:dyDescent="0.2">
      <c r="GI58254" s="422"/>
    </row>
    <row r="58255" spans="191:191" x14ac:dyDescent="0.2">
      <c r="GI58255" s="422"/>
    </row>
    <row r="58256" spans="191:191" x14ac:dyDescent="0.2">
      <c r="GI58256" s="422"/>
    </row>
    <row r="58257" spans="191:191" x14ac:dyDescent="0.2">
      <c r="GI58257" s="422"/>
    </row>
    <row r="58258" spans="191:191" x14ac:dyDescent="0.2">
      <c r="GI58258" s="422"/>
    </row>
    <row r="58259" spans="191:191" x14ac:dyDescent="0.2">
      <c r="GI58259" s="422"/>
    </row>
    <row r="58260" spans="191:191" x14ac:dyDescent="0.2">
      <c r="GI58260" s="422"/>
    </row>
    <row r="58261" spans="191:191" x14ac:dyDescent="0.2">
      <c r="GI58261" s="422"/>
    </row>
    <row r="58262" spans="191:191" x14ac:dyDescent="0.2">
      <c r="GI58262" s="422"/>
    </row>
    <row r="58263" spans="191:191" x14ac:dyDescent="0.2">
      <c r="GI58263" s="422"/>
    </row>
    <row r="58264" spans="191:191" x14ac:dyDescent="0.2">
      <c r="GI58264" s="422"/>
    </row>
    <row r="58265" spans="191:191" x14ac:dyDescent="0.2">
      <c r="GI58265" s="422"/>
    </row>
    <row r="58266" spans="191:191" x14ac:dyDescent="0.2">
      <c r="GI58266" s="422"/>
    </row>
    <row r="58267" spans="191:191" x14ac:dyDescent="0.2">
      <c r="GI58267" s="422"/>
    </row>
    <row r="58268" spans="191:191" x14ac:dyDescent="0.2">
      <c r="GI58268" s="422"/>
    </row>
    <row r="58269" spans="191:191" x14ac:dyDescent="0.2">
      <c r="GI58269" s="422"/>
    </row>
    <row r="58270" spans="191:191" x14ac:dyDescent="0.2">
      <c r="GI58270" s="422"/>
    </row>
    <row r="58271" spans="191:191" x14ac:dyDescent="0.2">
      <c r="GI58271" s="422"/>
    </row>
    <row r="58272" spans="191:191" x14ac:dyDescent="0.2">
      <c r="GI58272" s="422"/>
    </row>
    <row r="58273" spans="191:191" x14ac:dyDescent="0.2">
      <c r="GI58273" s="422"/>
    </row>
    <row r="58274" spans="191:191" x14ac:dyDescent="0.2">
      <c r="GI58274" s="422"/>
    </row>
    <row r="58275" spans="191:191" x14ac:dyDescent="0.2">
      <c r="GI58275" s="422"/>
    </row>
    <row r="58276" spans="191:191" x14ac:dyDescent="0.2">
      <c r="GI58276" s="422"/>
    </row>
    <row r="58277" spans="191:191" x14ac:dyDescent="0.2">
      <c r="GI58277" s="422"/>
    </row>
    <row r="58278" spans="191:191" x14ac:dyDescent="0.2">
      <c r="GI58278" s="422"/>
    </row>
    <row r="58279" spans="191:191" x14ac:dyDescent="0.2">
      <c r="GI58279" s="422"/>
    </row>
    <row r="58280" spans="191:191" x14ac:dyDescent="0.2">
      <c r="GI58280" s="422"/>
    </row>
    <row r="58281" spans="191:191" x14ac:dyDescent="0.2">
      <c r="GI58281" s="422"/>
    </row>
    <row r="58282" spans="191:191" x14ac:dyDescent="0.2">
      <c r="GI58282" s="422"/>
    </row>
    <row r="58283" spans="191:191" x14ac:dyDescent="0.2">
      <c r="GI58283" s="422"/>
    </row>
    <row r="58284" spans="191:191" x14ac:dyDescent="0.2">
      <c r="GI58284" s="422"/>
    </row>
    <row r="58285" spans="191:191" x14ac:dyDescent="0.2">
      <c r="GI58285" s="422"/>
    </row>
    <row r="58286" spans="191:191" x14ac:dyDescent="0.2">
      <c r="GI58286" s="422"/>
    </row>
    <row r="58287" spans="191:191" x14ac:dyDescent="0.2">
      <c r="GI58287" s="422"/>
    </row>
    <row r="58288" spans="191:191" x14ac:dyDescent="0.2">
      <c r="GI58288" s="422"/>
    </row>
    <row r="58289" spans="191:191" x14ac:dyDescent="0.2">
      <c r="GI58289" s="422"/>
    </row>
    <row r="58290" spans="191:191" x14ac:dyDescent="0.2">
      <c r="GI58290" s="422"/>
    </row>
    <row r="58291" spans="191:191" x14ac:dyDescent="0.2">
      <c r="GI58291" s="422"/>
    </row>
    <row r="58292" spans="191:191" x14ac:dyDescent="0.2">
      <c r="GI58292" s="422"/>
    </row>
    <row r="58293" spans="191:191" x14ac:dyDescent="0.2">
      <c r="GI58293" s="422"/>
    </row>
    <row r="58294" spans="191:191" x14ac:dyDescent="0.2">
      <c r="GI58294" s="422"/>
    </row>
    <row r="58295" spans="191:191" x14ac:dyDescent="0.2">
      <c r="GI58295" s="422"/>
    </row>
    <row r="58296" spans="191:191" x14ac:dyDescent="0.2">
      <c r="GI58296" s="422"/>
    </row>
    <row r="58297" spans="191:191" x14ac:dyDescent="0.2">
      <c r="GI58297" s="422"/>
    </row>
    <row r="58298" spans="191:191" x14ac:dyDescent="0.2">
      <c r="GI58298" s="422"/>
    </row>
    <row r="58299" spans="191:191" x14ac:dyDescent="0.2">
      <c r="GI58299" s="422"/>
    </row>
    <row r="58300" spans="191:191" x14ac:dyDescent="0.2">
      <c r="GI58300" s="422"/>
    </row>
    <row r="58301" spans="191:191" x14ac:dyDescent="0.2">
      <c r="GI58301" s="422"/>
    </row>
    <row r="58302" spans="191:191" x14ac:dyDescent="0.2">
      <c r="GI58302" s="422"/>
    </row>
    <row r="58303" spans="191:191" x14ac:dyDescent="0.2">
      <c r="GI58303" s="422"/>
    </row>
    <row r="58304" spans="191:191" x14ac:dyDescent="0.2">
      <c r="GI58304" s="422"/>
    </row>
    <row r="58305" spans="191:191" x14ac:dyDescent="0.2">
      <c r="GI58305" s="422"/>
    </row>
    <row r="58306" spans="191:191" x14ac:dyDescent="0.2">
      <c r="GI58306" s="422"/>
    </row>
    <row r="58307" spans="191:191" x14ac:dyDescent="0.2">
      <c r="GI58307" s="422"/>
    </row>
    <row r="58308" spans="191:191" x14ac:dyDescent="0.2">
      <c r="GI58308" s="422"/>
    </row>
    <row r="58309" spans="191:191" x14ac:dyDescent="0.2">
      <c r="GI58309" s="422"/>
    </row>
    <row r="58310" spans="191:191" x14ac:dyDescent="0.2">
      <c r="GI58310" s="422"/>
    </row>
    <row r="58311" spans="191:191" x14ac:dyDescent="0.2">
      <c r="GI58311" s="422"/>
    </row>
    <row r="58312" spans="191:191" x14ac:dyDescent="0.2">
      <c r="GI58312" s="422"/>
    </row>
    <row r="58313" spans="191:191" x14ac:dyDescent="0.2">
      <c r="GI58313" s="422"/>
    </row>
    <row r="58314" spans="191:191" x14ac:dyDescent="0.2">
      <c r="GI58314" s="422"/>
    </row>
    <row r="58315" spans="191:191" x14ac:dyDescent="0.2">
      <c r="GI58315" s="422"/>
    </row>
    <row r="58316" spans="191:191" x14ac:dyDescent="0.2">
      <c r="GI58316" s="422"/>
    </row>
    <row r="58317" spans="191:191" x14ac:dyDescent="0.2">
      <c r="GI58317" s="422"/>
    </row>
    <row r="58318" spans="191:191" x14ac:dyDescent="0.2">
      <c r="GI58318" s="422"/>
    </row>
    <row r="58319" spans="191:191" x14ac:dyDescent="0.2">
      <c r="GI58319" s="422"/>
    </row>
    <row r="58320" spans="191:191" x14ac:dyDescent="0.2">
      <c r="GI58320" s="422"/>
    </row>
    <row r="58321" spans="191:191" x14ac:dyDescent="0.2">
      <c r="GI58321" s="422"/>
    </row>
    <row r="58322" spans="191:191" x14ac:dyDescent="0.2">
      <c r="GI58322" s="422"/>
    </row>
    <row r="58323" spans="191:191" x14ac:dyDescent="0.2">
      <c r="GI58323" s="422"/>
    </row>
    <row r="58324" spans="191:191" x14ac:dyDescent="0.2">
      <c r="GI58324" s="422"/>
    </row>
    <row r="58325" spans="191:191" x14ac:dyDescent="0.2">
      <c r="GI58325" s="422"/>
    </row>
    <row r="58326" spans="191:191" x14ac:dyDescent="0.2">
      <c r="GI58326" s="422"/>
    </row>
    <row r="58327" spans="191:191" x14ac:dyDescent="0.2">
      <c r="GI58327" s="422"/>
    </row>
    <row r="58328" spans="191:191" x14ac:dyDescent="0.2">
      <c r="GI58328" s="422"/>
    </row>
    <row r="58329" spans="191:191" x14ac:dyDescent="0.2">
      <c r="GI58329" s="422"/>
    </row>
    <row r="58330" spans="191:191" x14ac:dyDescent="0.2">
      <c r="GI58330" s="422"/>
    </row>
    <row r="58331" spans="191:191" x14ac:dyDescent="0.2">
      <c r="GI58331" s="422"/>
    </row>
    <row r="58332" spans="191:191" x14ac:dyDescent="0.2">
      <c r="GI58332" s="422"/>
    </row>
    <row r="58333" spans="191:191" x14ac:dyDescent="0.2">
      <c r="GI58333" s="422"/>
    </row>
    <row r="58334" spans="191:191" x14ac:dyDescent="0.2">
      <c r="GI58334" s="422"/>
    </row>
    <row r="58335" spans="191:191" x14ac:dyDescent="0.2">
      <c r="GI58335" s="422"/>
    </row>
    <row r="58336" spans="191:191" x14ac:dyDescent="0.2">
      <c r="GI58336" s="422"/>
    </row>
    <row r="58337" spans="191:191" x14ac:dyDescent="0.2">
      <c r="GI58337" s="422"/>
    </row>
    <row r="58338" spans="191:191" x14ac:dyDescent="0.2">
      <c r="GI58338" s="422"/>
    </row>
    <row r="58339" spans="191:191" x14ac:dyDescent="0.2">
      <c r="GI58339" s="422"/>
    </row>
    <row r="58340" spans="191:191" x14ac:dyDescent="0.2">
      <c r="GI58340" s="422"/>
    </row>
    <row r="58341" spans="191:191" x14ac:dyDescent="0.2">
      <c r="GI58341" s="422"/>
    </row>
    <row r="58342" spans="191:191" x14ac:dyDescent="0.2">
      <c r="GI58342" s="422"/>
    </row>
    <row r="58343" spans="191:191" x14ac:dyDescent="0.2">
      <c r="GI58343" s="422"/>
    </row>
    <row r="58344" spans="191:191" x14ac:dyDescent="0.2">
      <c r="GI58344" s="422"/>
    </row>
    <row r="58345" spans="191:191" x14ac:dyDescent="0.2">
      <c r="GI58345" s="422"/>
    </row>
    <row r="58346" spans="191:191" x14ac:dyDescent="0.2">
      <c r="GI58346" s="422"/>
    </row>
    <row r="58347" spans="191:191" x14ac:dyDescent="0.2">
      <c r="GI58347" s="422"/>
    </row>
    <row r="58348" spans="191:191" x14ac:dyDescent="0.2">
      <c r="GI58348" s="422"/>
    </row>
    <row r="58349" spans="191:191" x14ac:dyDescent="0.2">
      <c r="GI58349" s="422"/>
    </row>
    <row r="58350" spans="191:191" x14ac:dyDescent="0.2">
      <c r="GI58350" s="422"/>
    </row>
    <row r="58351" spans="191:191" x14ac:dyDescent="0.2">
      <c r="GI58351" s="422"/>
    </row>
    <row r="58352" spans="191:191" x14ac:dyDescent="0.2">
      <c r="GI58352" s="422"/>
    </row>
    <row r="58353" spans="191:191" x14ac:dyDescent="0.2">
      <c r="GI58353" s="422"/>
    </row>
    <row r="58354" spans="191:191" x14ac:dyDescent="0.2">
      <c r="GI58354" s="422"/>
    </row>
    <row r="58355" spans="191:191" x14ac:dyDescent="0.2">
      <c r="GI58355" s="422"/>
    </row>
    <row r="58356" spans="191:191" x14ac:dyDescent="0.2">
      <c r="GI58356" s="422"/>
    </row>
    <row r="58357" spans="191:191" x14ac:dyDescent="0.2">
      <c r="GI58357" s="422"/>
    </row>
    <row r="58358" spans="191:191" x14ac:dyDescent="0.2">
      <c r="GI58358" s="422"/>
    </row>
    <row r="58359" spans="191:191" x14ac:dyDescent="0.2">
      <c r="GI58359" s="422"/>
    </row>
    <row r="58360" spans="191:191" x14ac:dyDescent="0.2">
      <c r="GI58360" s="422"/>
    </row>
    <row r="58361" spans="191:191" x14ac:dyDescent="0.2">
      <c r="GI58361" s="422"/>
    </row>
    <row r="58362" spans="191:191" x14ac:dyDescent="0.2">
      <c r="GI58362" s="422"/>
    </row>
    <row r="58363" spans="191:191" x14ac:dyDescent="0.2">
      <c r="GI58363" s="422"/>
    </row>
    <row r="58364" spans="191:191" x14ac:dyDescent="0.2">
      <c r="GI58364" s="422"/>
    </row>
    <row r="58365" spans="191:191" x14ac:dyDescent="0.2">
      <c r="GI58365" s="422"/>
    </row>
    <row r="58366" spans="191:191" x14ac:dyDescent="0.2">
      <c r="GI58366" s="422"/>
    </row>
    <row r="58367" spans="191:191" x14ac:dyDescent="0.2">
      <c r="GI58367" s="422"/>
    </row>
    <row r="58368" spans="191:191" x14ac:dyDescent="0.2">
      <c r="GI58368" s="422"/>
    </row>
    <row r="58369" spans="191:191" x14ac:dyDescent="0.2">
      <c r="GI58369" s="422"/>
    </row>
    <row r="58370" spans="191:191" x14ac:dyDescent="0.2">
      <c r="GI58370" s="422"/>
    </row>
    <row r="58371" spans="191:191" x14ac:dyDescent="0.2">
      <c r="GI58371" s="422"/>
    </row>
    <row r="58372" spans="191:191" x14ac:dyDescent="0.2">
      <c r="GI58372" s="422"/>
    </row>
    <row r="58373" spans="191:191" x14ac:dyDescent="0.2">
      <c r="GI58373" s="422"/>
    </row>
    <row r="58374" spans="191:191" x14ac:dyDescent="0.2">
      <c r="GI58374" s="422"/>
    </row>
    <row r="58375" spans="191:191" x14ac:dyDescent="0.2">
      <c r="GI58375" s="422"/>
    </row>
    <row r="58376" spans="191:191" x14ac:dyDescent="0.2">
      <c r="GI58376" s="422"/>
    </row>
    <row r="58377" spans="191:191" x14ac:dyDescent="0.2">
      <c r="GI58377" s="422"/>
    </row>
    <row r="58378" spans="191:191" x14ac:dyDescent="0.2">
      <c r="GI58378" s="422"/>
    </row>
    <row r="58379" spans="191:191" x14ac:dyDescent="0.2">
      <c r="GI58379" s="422"/>
    </row>
    <row r="58380" spans="191:191" x14ac:dyDescent="0.2">
      <c r="GI58380" s="422"/>
    </row>
    <row r="58381" spans="191:191" x14ac:dyDescent="0.2">
      <c r="GI58381" s="422"/>
    </row>
    <row r="58382" spans="191:191" x14ac:dyDescent="0.2">
      <c r="GI58382" s="422"/>
    </row>
    <row r="58383" spans="191:191" x14ac:dyDescent="0.2">
      <c r="GI58383" s="422"/>
    </row>
    <row r="58384" spans="191:191" x14ac:dyDescent="0.2">
      <c r="GI58384" s="422"/>
    </row>
    <row r="58385" spans="191:191" x14ac:dyDescent="0.2">
      <c r="GI58385" s="422"/>
    </row>
    <row r="58386" spans="191:191" x14ac:dyDescent="0.2">
      <c r="GI58386" s="422"/>
    </row>
    <row r="58387" spans="191:191" x14ac:dyDescent="0.2">
      <c r="GI58387" s="422"/>
    </row>
    <row r="58388" spans="191:191" x14ac:dyDescent="0.2">
      <c r="GI58388" s="422"/>
    </row>
    <row r="58389" spans="191:191" x14ac:dyDescent="0.2">
      <c r="GI58389" s="422"/>
    </row>
    <row r="58390" spans="191:191" x14ac:dyDescent="0.2">
      <c r="GI58390" s="422"/>
    </row>
    <row r="58391" spans="191:191" x14ac:dyDescent="0.2">
      <c r="GI58391" s="422"/>
    </row>
    <row r="58392" spans="191:191" x14ac:dyDescent="0.2">
      <c r="GI58392" s="422"/>
    </row>
    <row r="58393" spans="191:191" x14ac:dyDescent="0.2">
      <c r="GI58393" s="422"/>
    </row>
    <row r="58394" spans="191:191" x14ac:dyDescent="0.2">
      <c r="GI58394" s="422"/>
    </row>
    <row r="58395" spans="191:191" x14ac:dyDescent="0.2">
      <c r="GI58395" s="422"/>
    </row>
    <row r="58396" spans="191:191" x14ac:dyDescent="0.2">
      <c r="GI58396" s="422"/>
    </row>
    <row r="58397" spans="191:191" x14ac:dyDescent="0.2">
      <c r="GI58397" s="422"/>
    </row>
    <row r="58398" spans="191:191" x14ac:dyDescent="0.2">
      <c r="GI58398" s="422"/>
    </row>
    <row r="58399" spans="191:191" x14ac:dyDescent="0.2">
      <c r="GI58399" s="422"/>
    </row>
    <row r="58400" spans="191:191" x14ac:dyDescent="0.2">
      <c r="GI58400" s="422"/>
    </row>
    <row r="58401" spans="191:191" x14ac:dyDescent="0.2">
      <c r="GI58401" s="422"/>
    </row>
    <row r="58402" spans="191:191" x14ac:dyDescent="0.2">
      <c r="GI58402" s="422"/>
    </row>
    <row r="58403" spans="191:191" x14ac:dyDescent="0.2">
      <c r="GI58403" s="422"/>
    </row>
    <row r="58404" spans="191:191" x14ac:dyDescent="0.2">
      <c r="GI58404" s="422"/>
    </row>
    <row r="58405" spans="191:191" x14ac:dyDescent="0.2">
      <c r="GI58405" s="422"/>
    </row>
    <row r="58406" spans="191:191" x14ac:dyDescent="0.2">
      <c r="GI58406" s="422"/>
    </row>
    <row r="58407" spans="191:191" x14ac:dyDescent="0.2">
      <c r="GI58407" s="422"/>
    </row>
    <row r="58408" spans="191:191" x14ac:dyDescent="0.2">
      <c r="GI58408" s="422"/>
    </row>
    <row r="58409" spans="191:191" x14ac:dyDescent="0.2">
      <c r="GI58409" s="422"/>
    </row>
    <row r="58410" spans="191:191" x14ac:dyDescent="0.2">
      <c r="GI58410" s="422"/>
    </row>
    <row r="58411" spans="191:191" x14ac:dyDescent="0.2">
      <c r="GI58411" s="422"/>
    </row>
    <row r="58412" spans="191:191" x14ac:dyDescent="0.2">
      <c r="GI58412" s="422"/>
    </row>
    <row r="58413" spans="191:191" x14ac:dyDescent="0.2">
      <c r="GI58413" s="422"/>
    </row>
    <row r="58414" spans="191:191" x14ac:dyDescent="0.2">
      <c r="GI58414" s="422"/>
    </row>
    <row r="58415" spans="191:191" x14ac:dyDescent="0.2">
      <c r="GI58415" s="422"/>
    </row>
    <row r="58416" spans="191:191" x14ac:dyDescent="0.2">
      <c r="GI58416" s="422"/>
    </row>
    <row r="58417" spans="191:191" x14ac:dyDescent="0.2">
      <c r="GI58417" s="422"/>
    </row>
    <row r="58418" spans="191:191" x14ac:dyDescent="0.2">
      <c r="GI58418" s="422"/>
    </row>
    <row r="58419" spans="191:191" x14ac:dyDescent="0.2">
      <c r="GI58419" s="422"/>
    </row>
    <row r="58420" spans="191:191" x14ac:dyDescent="0.2">
      <c r="GI58420" s="422"/>
    </row>
    <row r="58421" spans="191:191" x14ac:dyDescent="0.2">
      <c r="GI58421" s="422"/>
    </row>
    <row r="58422" spans="191:191" x14ac:dyDescent="0.2">
      <c r="GI58422" s="422"/>
    </row>
    <row r="58423" spans="191:191" x14ac:dyDescent="0.2">
      <c r="GI58423" s="422"/>
    </row>
    <row r="58424" spans="191:191" x14ac:dyDescent="0.2">
      <c r="GI58424" s="422"/>
    </row>
    <row r="58425" spans="191:191" x14ac:dyDescent="0.2">
      <c r="GI58425" s="422"/>
    </row>
    <row r="58426" spans="191:191" x14ac:dyDescent="0.2">
      <c r="GI58426" s="422"/>
    </row>
    <row r="58427" spans="191:191" x14ac:dyDescent="0.2">
      <c r="GI58427" s="422"/>
    </row>
    <row r="58428" spans="191:191" x14ac:dyDescent="0.2">
      <c r="GI58428" s="422"/>
    </row>
    <row r="58429" spans="191:191" x14ac:dyDescent="0.2">
      <c r="GI58429" s="422"/>
    </row>
    <row r="58430" spans="191:191" x14ac:dyDescent="0.2">
      <c r="GI58430" s="422"/>
    </row>
    <row r="58431" spans="191:191" x14ac:dyDescent="0.2">
      <c r="GI58431" s="422"/>
    </row>
    <row r="58432" spans="191:191" x14ac:dyDescent="0.2">
      <c r="GI58432" s="422"/>
    </row>
    <row r="58433" spans="191:191" x14ac:dyDescent="0.2">
      <c r="GI58433" s="422"/>
    </row>
    <row r="58434" spans="191:191" x14ac:dyDescent="0.2">
      <c r="GI58434" s="422"/>
    </row>
    <row r="58435" spans="191:191" x14ac:dyDescent="0.2">
      <c r="GI58435" s="422"/>
    </row>
    <row r="58436" spans="191:191" x14ac:dyDescent="0.2">
      <c r="GI58436" s="422"/>
    </row>
    <row r="58437" spans="191:191" x14ac:dyDescent="0.2">
      <c r="GI58437" s="422"/>
    </row>
    <row r="58438" spans="191:191" x14ac:dyDescent="0.2">
      <c r="GI58438" s="422"/>
    </row>
    <row r="58439" spans="191:191" x14ac:dyDescent="0.2">
      <c r="GI58439" s="422"/>
    </row>
    <row r="58440" spans="191:191" x14ac:dyDescent="0.2">
      <c r="GI58440" s="422"/>
    </row>
    <row r="58441" spans="191:191" x14ac:dyDescent="0.2">
      <c r="GI58441" s="422"/>
    </row>
    <row r="58442" spans="191:191" x14ac:dyDescent="0.2">
      <c r="GI58442" s="422"/>
    </row>
    <row r="58443" spans="191:191" x14ac:dyDescent="0.2">
      <c r="GI58443" s="422"/>
    </row>
    <row r="58444" spans="191:191" x14ac:dyDescent="0.2">
      <c r="GI58444" s="422"/>
    </row>
    <row r="58445" spans="191:191" x14ac:dyDescent="0.2">
      <c r="GI58445" s="422"/>
    </row>
    <row r="58446" spans="191:191" x14ac:dyDescent="0.2">
      <c r="GI58446" s="422"/>
    </row>
    <row r="58447" spans="191:191" x14ac:dyDescent="0.2">
      <c r="GI58447" s="422"/>
    </row>
    <row r="58448" spans="191:191" x14ac:dyDescent="0.2">
      <c r="GI58448" s="422"/>
    </row>
    <row r="58449" spans="191:191" x14ac:dyDescent="0.2">
      <c r="GI58449" s="422"/>
    </row>
    <row r="58450" spans="191:191" x14ac:dyDescent="0.2">
      <c r="GI58450" s="422"/>
    </row>
    <row r="58451" spans="191:191" x14ac:dyDescent="0.2">
      <c r="GI58451" s="422"/>
    </row>
    <row r="58452" spans="191:191" x14ac:dyDescent="0.2">
      <c r="GI58452" s="422"/>
    </row>
    <row r="58453" spans="191:191" x14ac:dyDescent="0.2">
      <c r="GI58453" s="422"/>
    </row>
    <row r="58454" spans="191:191" x14ac:dyDescent="0.2">
      <c r="GI58454" s="422"/>
    </row>
    <row r="58455" spans="191:191" x14ac:dyDescent="0.2">
      <c r="GI58455" s="422"/>
    </row>
    <row r="58456" spans="191:191" x14ac:dyDescent="0.2">
      <c r="GI58456" s="422"/>
    </row>
    <row r="58457" spans="191:191" x14ac:dyDescent="0.2">
      <c r="GI58457" s="422"/>
    </row>
    <row r="58458" spans="191:191" x14ac:dyDescent="0.2">
      <c r="GI58458" s="422"/>
    </row>
    <row r="58459" spans="191:191" x14ac:dyDescent="0.2">
      <c r="GI58459" s="422"/>
    </row>
    <row r="58460" spans="191:191" x14ac:dyDescent="0.2">
      <c r="GI58460" s="422"/>
    </row>
    <row r="58461" spans="191:191" x14ac:dyDescent="0.2">
      <c r="GI58461" s="422"/>
    </row>
    <row r="58462" spans="191:191" x14ac:dyDescent="0.2">
      <c r="GI58462" s="422"/>
    </row>
    <row r="58463" spans="191:191" x14ac:dyDescent="0.2">
      <c r="GI58463" s="422"/>
    </row>
    <row r="58464" spans="191:191" x14ac:dyDescent="0.2">
      <c r="GI58464" s="422"/>
    </row>
    <row r="58465" spans="191:191" x14ac:dyDescent="0.2">
      <c r="GI58465" s="422"/>
    </row>
    <row r="58466" spans="191:191" x14ac:dyDescent="0.2">
      <c r="GI58466" s="422"/>
    </row>
    <row r="58467" spans="191:191" x14ac:dyDescent="0.2">
      <c r="GI58467" s="422"/>
    </row>
    <row r="58468" spans="191:191" x14ac:dyDescent="0.2">
      <c r="GI58468" s="422"/>
    </row>
    <row r="58469" spans="191:191" x14ac:dyDescent="0.2">
      <c r="GI58469" s="422"/>
    </row>
    <row r="58470" spans="191:191" x14ac:dyDescent="0.2">
      <c r="GI58470" s="422"/>
    </row>
    <row r="58471" spans="191:191" x14ac:dyDescent="0.2">
      <c r="GI58471" s="422"/>
    </row>
    <row r="58472" spans="191:191" x14ac:dyDescent="0.2">
      <c r="GI58472" s="422"/>
    </row>
    <row r="58473" spans="191:191" x14ac:dyDescent="0.2">
      <c r="GI58473" s="422"/>
    </row>
    <row r="58474" spans="191:191" x14ac:dyDescent="0.2">
      <c r="GI58474" s="422"/>
    </row>
    <row r="58475" spans="191:191" x14ac:dyDescent="0.2">
      <c r="GI58475" s="422"/>
    </row>
    <row r="58476" spans="191:191" x14ac:dyDescent="0.2">
      <c r="GI58476" s="422"/>
    </row>
    <row r="58477" spans="191:191" x14ac:dyDescent="0.2">
      <c r="GI58477" s="422"/>
    </row>
    <row r="58478" spans="191:191" x14ac:dyDescent="0.2">
      <c r="GI58478" s="422"/>
    </row>
    <row r="58479" spans="191:191" x14ac:dyDescent="0.2">
      <c r="GI58479" s="422"/>
    </row>
    <row r="58480" spans="191:191" x14ac:dyDescent="0.2">
      <c r="GI58480" s="422"/>
    </row>
    <row r="58481" spans="191:191" x14ac:dyDescent="0.2">
      <c r="GI58481" s="422"/>
    </row>
    <row r="58482" spans="191:191" x14ac:dyDescent="0.2">
      <c r="GI58482" s="422"/>
    </row>
    <row r="58483" spans="191:191" x14ac:dyDescent="0.2">
      <c r="GI58483" s="422"/>
    </row>
    <row r="58484" spans="191:191" x14ac:dyDescent="0.2">
      <c r="GI58484" s="422"/>
    </row>
    <row r="58485" spans="191:191" x14ac:dyDescent="0.2">
      <c r="GI58485" s="422"/>
    </row>
    <row r="58486" spans="191:191" x14ac:dyDescent="0.2">
      <c r="GI58486" s="422"/>
    </row>
    <row r="58487" spans="191:191" x14ac:dyDescent="0.2">
      <c r="GI58487" s="422"/>
    </row>
    <row r="58488" spans="191:191" x14ac:dyDescent="0.2">
      <c r="GI58488" s="422"/>
    </row>
    <row r="58489" spans="191:191" x14ac:dyDescent="0.2">
      <c r="GI58489" s="422"/>
    </row>
    <row r="58490" spans="191:191" x14ac:dyDescent="0.2">
      <c r="GI58490" s="422"/>
    </row>
    <row r="58491" spans="191:191" x14ac:dyDescent="0.2">
      <c r="GI58491" s="422"/>
    </row>
    <row r="58492" spans="191:191" x14ac:dyDescent="0.2">
      <c r="GI58492" s="422"/>
    </row>
    <row r="58493" spans="191:191" x14ac:dyDescent="0.2">
      <c r="GI58493" s="422"/>
    </row>
    <row r="58494" spans="191:191" x14ac:dyDescent="0.2">
      <c r="GI58494" s="422"/>
    </row>
    <row r="58495" spans="191:191" x14ac:dyDescent="0.2">
      <c r="GI58495" s="422"/>
    </row>
    <row r="58496" spans="191:191" x14ac:dyDescent="0.2">
      <c r="GI58496" s="422"/>
    </row>
    <row r="58497" spans="191:191" x14ac:dyDescent="0.2">
      <c r="GI58497" s="422"/>
    </row>
    <row r="58498" spans="191:191" x14ac:dyDescent="0.2">
      <c r="GI58498" s="422"/>
    </row>
    <row r="58499" spans="191:191" x14ac:dyDescent="0.2">
      <c r="GI58499" s="422"/>
    </row>
    <row r="58500" spans="191:191" x14ac:dyDescent="0.2">
      <c r="GI58500" s="422"/>
    </row>
    <row r="58501" spans="191:191" x14ac:dyDescent="0.2">
      <c r="GI58501" s="422"/>
    </row>
    <row r="58502" spans="191:191" x14ac:dyDescent="0.2">
      <c r="GI58502" s="422"/>
    </row>
    <row r="58503" spans="191:191" x14ac:dyDescent="0.2">
      <c r="GI58503" s="422"/>
    </row>
    <row r="58504" spans="191:191" x14ac:dyDescent="0.2">
      <c r="GI58504" s="422"/>
    </row>
    <row r="58505" spans="191:191" x14ac:dyDescent="0.2">
      <c r="GI58505" s="422"/>
    </row>
    <row r="58506" spans="191:191" x14ac:dyDescent="0.2">
      <c r="GI58506" s="422"/>
    </row>
    <row r="58507" spans="191:191" x14ac:dyDescent="0.2">
      <c r="GI58507" s="422"/>
    </row>
    <row r="58508" spans="191:191" x14ac:dyDescent="0.2">
      <c r="GI58508" s="422"/>
    </row>
    <row r="58509" spans="191:191" x14ac:dyDescent="0.2">
      <c r="GI58509" s="422"/>
    </row>
    <row r="58510" spans="191:191" x14ac:dyDescent="0.2">
      <c r="GI58510" s="422"/>
    </row>
    <row r="58511" spans="191:191" x14ac:dyDescent="0.2">
      <c r="GI58511" s="422"/>
    </row>
    <row r="58512" spans="191:191" x14ac:dyDescent="0.2">
      <c r="GI58512" s="422"/>
    </row>
    <row r="58513" spans="191:191" x14ac:dyDescent="0.2">
      <c r="GI58513" s="422"/>
    </row>
    <row r="58514" spans="191:191" x14ac:dyDescent="0.2">
      <c r="GI58514" s="422"/>
    </row>
    <row r="58515" spans="191:191" x14ac:dyDescent="0.2">
      <c r="GI58515" s="422"/>
    </row>
    <row r="58516" spans="191:191" x14ac:dyDescent="0.2">
      <c r="GI58516" s="422"/>
    </row>
    <row r="58517" spans="191:191" x14ac:dyDescent="0.2">
      <c r="GI58517" s="422"/>
    </row>
    <row r="58518" spans="191:191" x14ac:dyDescent="0.2">
      <c r="GI58518" s="422"/>
    </row>
    <row r="58519" spans="191:191" x14ac:dyDescent="0.2">
      <c r="GI58519" s="422"/>
    </row>
    <row r="58520" spans="191:191" x14ac:dyDescent="0.2">
      <c r="GI58520" s="422"/>
    </row>
    <row r="58521" spans="191:191" x14ac:dyDescent="0.2">
      <c r="GI58521" s="422"/>
    </row>
    <row r="58522" spans="191:191" x14ac:dyDescent="0.2">
      <c r="GI58522" s="422"/>
    </row>
    <row r="58523" spans="191:191" x14ac:dyDescent="0.2">
      <c r="GI58523" s="422"/>
    </row>
    <row r="58524" spans="191:191" x14ac:dyDescent="0.2">
      <c r="GI58524" s="422"/>
    </row>
    <row r="58525" spans="191:191" x14ac:dyDescent="0.2">
      <c r="GI58525" s="422"/>
    </row>
    <row r="58526" spans="191:191" x14ac:dyDescent="0.2">
      <c r="GI58526" s="422"/>
    </row>
    <row r="58527" spans="191:191" x14ac:dyDescent="0.2">
      <c r="GI58527" s="422"/>
    </row>
    <row r="58528" spans="191:191" x14ac:dyDescent="0.2">
      <c r="GI58528" s="422"/>
    </row>
    <row r="58529" spans="191:191" x14ac:dyDescent="0.2">
      <c r="GI58529" s="422"/>
    </row>
    <row r="58530" spans="191:191" x14ac:dyDescent="0.2">
      <c r="GI58530" s="422"/>
    </row>
    <row r="58531" spans="191:191" x14ac:dyDescent="0.2">
      <c r="GI58531" s="422"/>
    </row>
    <row r="58532" spans="191:191" x14ac:dyDescent="0.2">
      <c r="GI58532" s="422"/>
    </row>
    <row r="58533" spans="191:191" x14ac:dyDescent="0.2">
      <c r="GI58533" s="422"/>
    </row>
    <row r="58534" spans="191:191" x14ac:dyDescent="0.2">
      <c r="GI58534" s="422"/>
    </row>
    <row r="58535" spans="191:191" x14ac:dyDescent="0.2">
      <c r="GI58535" s="422"/>
    </row>
    <row r="58536" spans="191:191" x14ac:dyDescent="0.2">
      <c r="GI58536" s="422"/>
    </row>
    <row r="58537" spans="191:191" x14ac:dyDescent="0.2">
      <c r="GI58537" s="422"/>
    </row>
    <row r="58538" spans="191:191" x14ac:dyDescent="0.2">
      <c r="GI58538" s="422"/>
    </row>
    <row r="58539" spans="191:191" x14ac:dyDescent="0.2">
      <c r="GI58539" s="422"/>
    </row>
    <row r="58540" spans="191:191" x14ac:dyDescent="0.2">
      <c r="GI58540" s="422"/>
    </row>
    <row r="58541" spans="191:191" x14ac:dyDescent="0.2">
      <c r="GI58541" s="422"/>
    </row>
    <row r="58542" spans="191:191" x14ac:dyDescent="0.2">
      <c r="GI58542" s="422"/>
    </row>
    <row r="58543" spans="191:191" x14ac:dyDescent="0.2">
      <c r="GI58543" s="422"/>
    </row>
    <row r="58544" spans="191:191" x14ac:dyDescent="0.2">
      <c r="GI58544" s="422"/>
    </row>
    <row r="58545" spans="191:191" x14ac:dyDescent="0.2">
      <c r="GI58545" s="422"/>
    </row>
    <row r="58546" spans="191:191" x14ac:dyDescent="0.2">
      <c r="GI58546" s="422"/>
    </row>
    <row r="58547" spans="191:191" x14ac:dyDescent="0.2">
      <c r="GI58547" s="422"/>
    </row>
    <row r="58548" spans="191:191" x14ac:dyDescent="0.2">
      <c r="GI58548" s="422"/>
    </row>
    <row r="58549" spans="191:191" x14ac:dyDescent="0.2">
      <c r="GI58549" s="422"/>
    </row>
    <row r="58550" spans="191:191" x14ac:dyDescent="0.2">
      <c r="GI58550" s="422"/>
    </row>
    <row r="58551" spans="191:191" x14ac:dyDescent="0.2">
      <c r="GI58551" s="422"/>
    </row>
    <row r="58552" spans="191:191" x14ac:dyDescent="0.2">
      <c r="GI58552" s="422"/>
    </row>
    <row r="58553" spans="191:191" x14ac:dyDescent="0.2">
      <c r="GI58553" s="422"/>
    </row>
    <row r="58554" spans="191:191" x14ac:dyDescent="0.2">
      <c r="GI58554" s="422"/>
    </row>
    <row r="58555" spans="191:191" x14ac:dyDescent="0.2">
      <c r="GI58555" s="422"/>
    </row>
    <row r="58556" spans="191:191" x14ac:dyDescent="0.2">
      <c r="GI58556" s="422"/>
    </row>
    <row r="58557" spans="191:191" x14ac:dyDescent="0.2">
      <c r="GI58557" s="422"/>
    </row>
    <row r="58558" spans="191:191" x14ac:dyDescent="0.2">
      <c r="GI58558" s="422"/>
    </row>
    <row r="58559" spans="191:191" x14ac:dyDescent="0.2">
      <c r="GI58559" s="422"/>
    </row>
    <row r="58560" spans="191:191" x14ac:dyDescent="0.2">
      <c r="GI58560" s="422"/>
    </row>
    <row r="58561" spans="191:191" x14ac:dyDescent="0.2">
      <c r="GI58561" s="422"/>
    </row>
    <row r="58562" spans="191:191" x14ac:dyDescent="0.2">
      <c r="GI58562" s="422"/>
    </row>
    <row r="58563" spans="191:191" x14ac:dyDescent="0.2">
      <c r="GI58563" s="422"/>
    </row>
    <row r="58564" spans="191:191" x14ac:dyDescent="0.2">
      <c r="GI58564" s="422"/>
    </row>
    <row r="58565" spans="191:191" x14ac:dyDescent="0.2">
      <c r="GI58565" s="422"/>
    </row>
    <row r="58566" spans="191:191" x14ac:dyDescent="0.2">
      <c r="GI58566" s="422"/>
    </row>
    <row r="58567" spans="191:191" x14ac:dyDescent="0.2">
      <c r="GI58567" s="422"/>
    </row>
    <row r="58568" spans="191:191" x14ac:dyDescent="0.2">
      <c r="GI58568" s="422"/>
    </row>
    <row r="58569" spans="191:191" x14ac:dyDescent="0.2">
      <c r="GI58569" s="422"/>
    </row>
    <row r="58570" spans="191:191" x14ac:dyDescent="0.2">
      <c r="GI58570" s="422"/>
    </row>
    <row r="58571" spans="191:191" x14ac:dyDescent="0.2">
      <c r="GI58571" s="422"/>
    </row>
    <row r="58572" spans="191:191" x14ac:dyDescent="0.2">
      <c r="GI58572" s="422"/>
    </row>
    <row r="58573" spans="191:191" x14ac:dyDescent="0.2">
      <c r="GI58573" s="422"/>
    </row>
    <row r="58574" spans="191:191" x14ac:dyDescent="0.2">
      <c r="GI58574" s="422"/>
    </row>
    <row r="58575" spans="191:191" x14ac:dyDescent="0.2">
      <c r="GI58575" s="422"/>
    </row>
    <row r="58576" spans="191:191" x14ac:dyDescent="0.2">
      <c r="GI58576" s="422"/>
    </row>
    <row r="58577" spans="191:191" x14ac:dyDescent="0.2">
      <c r="GI58577" s="422"/>
    </row>
    <row r="58578" spans="191:191" x14ac:dyDescent="0.2">
      <c r="GI58578" s="422"/>
    </row>
    <row r="58579" spans="191:191" x14ac:dyDescent="0.2">
      <c r="GI58579" s="422"/>
    </row>
    <row r="58580" spans="191:191" x14ac:dyDescent="0.2">
      <c r="GI58580" s="422"/>
    </row>
    <row r="58581" spans="191:191" x14ac:dyDescent="0.2">
      <c r="GI58581" s="422"/>
    </row>
    <row r="58582" spans="191:191" x14ac:dyDescent="0.2">
      <c r="GI58582" s="422"/>
    </row>
    <row r="58583" spans="191:191" x14ac:dyDescent="0.2">
      <c r="GI58583" s="422"/>
    </row>
    <row r="58584" spans="191:191" x14ac:dyDescent="0.2">
      <c r="GI58584" s="422"/>
    </row>
    <row r="58585" spans="191:191" x14ac:dyDescent="0.2">
      <c r="GI58585" s="422"/>
    </row>
    <row r="58586" spans="191:191" x14ac:dyDescent="0.2">
      <c r="GI58586" s="422"/>
    </row>
    <row r="58587" spans="191:191" x14ac:dyDescent="0.2">
      <c r="GI58587" s="422"/>
    </row>
    <row r="58588" spans="191:191" x14ac:dyDescent="0.2">
      <c r="GI58588" s="422"/>
    </row>
    <row r="58589" spans="191:191" x14ac:dyDescent="0.2">
      <c r="GI58589" s="422"/>
    </row>
    <row r="58590" spans="191:191" x14ac:dyDescent="0.2">
      <c r="GI58590" s="422"/>
    </row>
    <row r="58591" spans="191:191" x14ac:dyDescent="0.2">
      <c r="GI58591" s="422"/>
    </row>
    <row r="58592" spans="191:191" x14ac:dyDescent="0.2">
      <c r="GI58592" s="422"/>
    </row>
    <row r="58593" spans="191:191" x14ac:dyDescent="0.2">
      <c r="GI58593" s="422"/>
    </row>
    <row r="58594" spans="191:191" x14ac:dyDescent="0.2">
      <c r="GI58594" s="422"/>
    </row>
    <row r="58595" spans="191:191" x14ac:dyDescent="0.2">
      <c r="GI58595" s="422"/>
    </row>
    <row r="58596" spans="191:191" x14ac:dyDescent="0.2">
      <c r="GI58596" s="422"/>
    </row>
    <row r="58597" spans="191:191" x14ac:dyDescent="0.2">
      <c r="GI58597" s="422"/>
    </row>
    <row r="58598" spans="191:191" x14ac:dyDescent="0.2">
      <c r="GI58598" s="422"/>
    </row>
    <row r="58599" spans="191:191" x14ac:dyDescent="0.2">
      <c r="GI58599" s="422"/>
    </row>
    <row r="58600" spans="191:191" x14ac:dyDescent="0.2">
      <c r="GI58600" s="422"/>
    </row>
    <row r="58601" spans="191:191" x14ac:dyDescent="0.2">
      <c r="GI58601" s="422"/>
    </row>
    <row r="58602" spans="191:191" x14ac:dyDescent="0.2">
      <c r="GI58602" s="422"/>
    </row>
    <row r="58603" spans="191:191" x14ac:dyDescent="0.2">
      <c r="GI58603" s="422"/>
    </row>
    <row r="58604" spans="191:191" x14ac:dyDescent="0.2">
      <c r="GI58604" s="422"/>
    </row>
    <row r="58605" spans="191:191" x14ac:dyDescent="0.2">
      <c r="GI58605" s="422"/>
    </row>
    <row r="58606" spans="191:191" x14ac:dyDescent="0.2">
      <c r="GI58606" s="422"/>
    </row>
    <row r="58607" spans="191:191" x14ac:dyDescent="0.2">
      <c r="GI58607" s="422"/>
    </row>
    <row r="58608" spans="191:191" x14ac:dyDescent="0.2">
      <c r="GI58608" s="422"/>
    </row>
    <row r="58609" spans="191:191" x14ac:dyDescent="0.2">
      <c r="GI58609" s="422"/>
    </row>
    <row r="58610" spans="191:191" x14ac:dyDescent="0.2">
      <c r="GI58610" s="422"/>
    </row>
    <row r="58611" spans="191:191" x14ac:dyDescent="0.2">
      <c r="GI58611" s="422"/>
    </row>
    <row r="58612" spans="191:191" x14ac:dyDescent="0.2">
      <c r="GI58612" s="422"/>
    </row>
    <row r="58613" spans="191:191" x14ac:dyDescent="0.2">
      <c r="GI58613" s="422"/>
    </row>
    <row r="58614" spans="191:191" x14ac:dyDescent="0.2">
      <c r="GI58614" s="422"/>
    </row>
    <row r="58615" spans="191:191" x14ac:dyDescent="0.2">
      <c r="GI58615" s="422"/>
    </row>
    <row r="58616" spans="191:191" x14ac:dyDescent="0.2">
      <c r="GI58616" s="422"/>
    </row>
    <row r="58617" spans="191:191" x14ac:dyDescent="0.2">
      <c r="GI58617" s="422"/>
    </row>
    <row r="58618" spans="191:191" x14ac:dyDescent="0.2">
      <c r="GI58618" s="422"/>
    </row>
    <row r="58619" spans="191:191" x14ac:dyDescent="0.2">
      <c r="GI58619" s="422"/>
    </row>
    <row r="58620" spans="191:191" x14ac:dyDescent="0.2">
      <c r="GI58620" s="422"/>
    </row>
    <row r="58621" spans="191:191" x14ac:dyDescent="0.2">
      <c r="GI58621" s="422"/>
    </row>
    <row r="58622" spans="191:191" x14ac:dyDescent="0.2">
      <c r="GI58622" s="422"/>
    </row>
    <row r="58623" spans="191:191" x14ac:dyDescent="0.2">
      <c r="GI58623" s="422"/>
    </row>
    <row r="58624" spans="191:191" x14ac:dyDescent="0.2">
      <c r="GI58624" s="422"/>
    </row>
    <row r="58625" spans="191:191" x14ac:dyDescent="0.2">
      <c r="GI58625" s="422"/>
    </row>
    <row r="58626" spans="191:191" x14ac:dyDescent="0.2">
      <c r="GI58626" s="422"/>
    </row>
    <row r="58627" spans="191:191" x14ac:dyDescent="0.2">
      <c r="GI58627" s="422"/>
    </row>
    <row r="58628" spans="191:191" x14ac:dyDescent="0.2">
      <c r="GI58628" s="422"/>
    </row>
    <row r="58629" spans="191:191" x14ac:dyDescent="0.2">
      <c r="GI58629" s="422"/>
    </row>
    <row r="58630" spans="191:191" x14ac:dyDescent="0.2">
      <c r="GI58630" s="422"/>
    </row>
    <row r="58631" spans="191:191" x14ac:dyDescent="0.2">
      <c r="GI58631" s="422"/>
    </row>
    <row r="58632" spans="191:191" x14ac:dyDescent="0.2">
      <c r="GI58632" s="422"/>
    </row>
    <row r="58633" spans="191:191" x14ac:dyDescent="0.2">
      <c r="GI58633" s="422"/>
    </row>
    <row r="58634" spans="191:191" x14ac:dyDescent="0.2">
      <c r="GI58634" s="422"/>
    </row>
    <row r="58635" spans="191:191" x14ac:dyDescent="0.2">
      <c r="GI58635" s="422"/>
    </row>
    <row r="58636" spans="191:191" x14ac:dyDescent="0.2">
      <c r="GI58636" s="422"/>
    </row>
    <row r="58637" spans="191:191" x14ac:dyDescent="0.2">
      <c r="GI58637" s="422"/>
    </row>
    <row r="58638" spans="191:191" x14ac:dyDescent="0.2">
      <c r="GI58638" s="422"/>
    </row>
    <row r="58639" spans="191:191" x14ac:dyDescent="0.2">
      <c r="GI58639" s="422"/>
    </row>
    <row r="58640" spans="191:191" x14ac:dyDescent="0.2">
      <c r="GI58640" s="422"/>
    </row>
    <row r="58641" spans="191:191" x14ac:dyDescent="0.2">
      <c r="GI58641" s="422"/>
    </row>
    <row r="58642" spans="191:191" x14ac:dyDescent="0.2">
      <c r="GI58642" s="422"/>
    </row>
    <row r="58643" spans="191:191" x14ac:dyDescent="0.2">
      <c r="GI58643" s="422"/>
    </row>
    <row r="58644" spans="191:191" x14ac:dyDescent="0.2">
      <c r="GI58644" s="422"/>
    </row>
    <row r="58645" spans="191:191" x14ac:dyDescent="0.2">
      <c r="GI58645" s="422"/>
    </row>
    <row r="58646" spans="191:191" x14ac:dyDescent="0.2">
      <c r="GI58646" s="422"/>
    </row>
    <row r="58647" spans="191:191" x14ac:dyDescent="0.2">
      <c r="GI58647" s="422"/>
    </row>
    <row r="58648" spans="191:191" x14ac:dyDescent="0.2">
      <c r="GI58648" s="422"/>
    </row>
    <row r="58649" spans="191:191" x14ac:dyDescent="0.2">
      <c r="GI58649" s="422"/>
    </row>
    <row r="58650" spans="191:191" x14ac:dyDescent="0.2">
      <c r="GI58650" s="422"/>
    </row>
    <row r="58651" spans="191:191" x14ac:dyDescent="0.2">
      <c r="GI58651" s="422"/>
    </row>
    <row r="58652" spans="191:191" x14ac:dyDescent="0.2">
      <c r="GI58652" s="422"/>
    </row>
    <row r="58653" spans="191:191" x14ac:dyDescent="0.2">
      <c r="GI58653" s="422"/>
    </row>
    <row r="58654" spans="191:191" x14ac:dyDescent="0.2">
      <c r="GI58654" s="422"/>
    </row>
    <row r="58655" spans="191:191" x14ac:dyDescent="0.2">
      <c r="GI58655" s="422"/>
    </row>
    <row r="58656" spans="191:191" x14ac:dyDescent="0.2">
      <c r="GI58656" s="422"/>
    </row>
    <row r="58657" spans="191:191" x14ac:dyDescent="0.2">
      <c r="GI58657" s="422"/>
    </row>
    <row r="58658" spans="191:191" x14ac:dyDescent="0.2">
      <c r="GI58658" s="422"/>
    </row>
    <row r="58659" spans="191:191" x14ac:dyDescent="0.2">
      <c r="GI58659" s="422"/>
    </row>
    <row r="58660" spans="191:191" x14ac:dyDescent="0.2">
      <c r="GI58660" s="422"/>
    </row>
    <row r="58661" spans="191:191" x14ac:dyDescent="0.2">
      <c r="GI58661" s="422"/>
    </row>
    <row r="58662" spans="191:191" x14ac:dyDescent="0.2">
      <c r="GI58662" s="422"/>
    </row>
    <row r="58663" spans="191:191" x14ac:dyDescent="0.2">
      <c r="GI58663" s="422"/>
    </row>
    <row r="58664" spans="191:191" x14ac:dyDescent="0.2">
      <c r="GI58664" s="422"/>
    </row>
    <row r="58665" spans="191:191" x14ac:dyDescent="0.2">
      <c r="GI58665" s="422"/>
    </row>
    <row r="58666" spans="191:191" x14ac:dyDescent="0.2">
      <c r="GI58666" s="422"/>
    </row>
    <row r="58667" spans="191:191" x14ac:dyDescent="0.2">
      <c r="GI58667" s="422"/>
    </row>
    <row r="58668" spans="191:191" x14ac:dyDescent="0.2">
      <c r="GI58668" s="422"/>
    </row>
    <row r="58669" spans="191:191" x14ac:dyDescent="0.2">
      <c r="GI58669" s="422"/>
    </row>
    <row r="58670" spans="191:191" x14ac:dyDescent="0.2">
      <c r="GI58670" s="422"/>
    </row>
    <row r="58671" spans="191:191" x14ac:dyDescent="0.2">
      <c r="GI58671" s="422"/>
    </row>
    <row r="58672" spans="191:191" x14ac:dyDescent="0.2">
      <c r="GI58672" s="422"/>
    </row>
    <row r="58673" spans="191:191" x14ac:dyDescent="0.2">
      <c r="GI58673" s="422"/>
    </row>
    <row r="58674" spans="191:191" x14ac:dyDescent="0.2">
      <c r="GI58674" s="422"/>
    </row>
    <row r="58675" spans="191:191" x14ac:dyDescent="0.2">
      <c r="GI58675" s="422"/>
    </row>
    <row r="58676" spans="191:191" x14ac:dyDescent="0.2">
      <c r="GI58676" s="422"/>
    </row>
    <row r="58677" spans="191:191" x14ac:dyDescent="0.2">
      <c r="GI58677" s="422"/>
    </row>
    <row r="58678" spans="191:191" x14ac:dyDescent="0.2">
      <c r="GI58678" s="422"/>
    </row>
    <row r="58679" spans="191:191" x14ac:dyDescent="0.2">
      <c r="GI58679" s="422"/>
    </row>
    <row r="58680" spans="191:191" x14ac:dyDescent="0.2">
      <c r="GI58680" s="422"/>
    </row>
    <row r="58681" spans="191:191" x14ac:dyDescent="0.2">
      <c r="GI58681" s="422"/>
    </row>
    <row r="58682" spans="191:191" x14ac:dyDescent="0.2">
      <c r="GI58682" s="422"/>
    </row>
    <row r="58683" spans="191:191" x14ac:dyDescent="0.2">
      <c r="GI58683" s="422"/>
    </row>
    <row r="58684" spans="191:191" x14ac:dyDescent="0.2">
      <c r="GI58684" s="422"/>
    </row>
    <row r="58685" spans="191:191" x14ac:dyDescent="0.2">
      <c r="GI58685" s="422"/>
    </row>
    <row r="58686" spans="191:191" x14ac:dyDescent="0.2">
      <c r="GI58686" s="422"/>
    </row>
    <row r="58687" spans="191:191" x14ac:dyDescent="0.2">
      <c r="GI58687" s="422"/>
    </row>
    <row r="58688" spans="191:191" x14ac:dyDescent="0.2">
      <c r="GI58688" s="422"/>
    </row>
    <row r="58689" spans="191:191" x14ac:dyDescent="0.2">
      <c r="GI58689" s="422"/>
    </row>
    <row r="58690" spans="191:191" x14ac:dyDescent="0.2">
      <c r="GI58690" s="422"/>
    </row>
    <row r="58691" spans="191:191" x14ac:dyDescent="0.2">
      <c r="GI58691" s="422"/>
    </row>
    <row r="58692" spans="191:191" x14ac:dyDescent="0.2">
      <c r="GI58692" s="422"/>
    </row>
    <row r="58693" spans="191:191" x14ac:dyDescent="0.2">
      <c r="GI58693" s="422"/>
    </row>
    <row r="58694" spans="191:191" x14ac:dyDescent="0.2">
      <c r="GI58694" s="422"/>
    </row>
    <row r="58695" spans="191:191" x14ac:dyDescent="0.2">
      <c r="GI58695" s="422"/>
    </row>
    <row r="58696" spans="191:191" x14ac:dyDescent="0.2">
      <c r="GI58696" s="422"/>
    </row>
    <row r="58697" spans="191:191" x14ac:dyDescent="0.2">
      <c r="GI58697" s="422"/>
    </row>
    <row r="58698" spans="191:191" x14ac:dyDescent="0.2">
      <c r="GI58698" s="422"/>
    </row>
    <row r="58699" spans="191:191" x14ac:dyDescent="0.2">
      <c r="GI58699" s="422"/>
    </row>
    <row r="58700" spans="191:191" x14ac:dyDescent="0.2">
      <c r="GI58700" s="422"/>
    </row>
    <row r="58701" spans="191:191" x14ac:dyDescent="0.2">
      <c r="GI58701" s="422"/>
    </row>
    <row r="58702" spans="191:191" x14ac:dyDescent="0.2">
      <c r="GI58702" s="422"/>
    </row>
    <row r="58703" spans="191:191" x14ac:dyDescent="0.2">
      <c r="GI58703" s="422"/>
    </row>
    <row r="58704" spans="191:191" x14ac:dyDescent="0.2">
      <c r="GI58704" s="422"/>
    </row>
    <row r="58705" spans="191:191" x14ac:dyDescent="0.2">
      <c r="GI58705" s="422"/>
    </row>
    <row r="58706" spans="191:191" x14ac:dyDescent="0.2">
      <c r="GI58706" s="422"/>
    </row>
    <row r="58707" spans="191:191" x14ac:dyDescent="0.2">
      <c r="GI58707" s="422"/>
    </row>
    <row r="58708" spans="191:191" x14ac:dyDescent="0.2">
      <c r="GI58708" s="422"/>
    </row>
    <row r="58709" spans="191:191" x14ac:dyDescent="0.2">
      <c r="GI58709" s="422"/>
    </row>
    <row r="58710" spans="191:191" x14ac:dyDescent="0.2">
      <c r="GI58710" s="422"/>
    </row>
    <row r="58711" spans="191:191" x14ac:dyDescent="0.2">
      <c r="GI58711" s="422"/>
    </row>
    <row r="58712" spans="191:191" x14ac:dyDescent="0.2">
      <c r="GI58712" s="422"/>
    </row>
    <row r="58713" spans="191:191" x14ac:dyDescent="0.2">
      <c r="GI58713" s="422"/>
    </row>
    <row r="58714" spans="191:191" x14ac:dyDescent="0.2">
      <c r="GI58714" s="422"/>
    </row>
    <row r="58715" spans="191:191" x14ac:dyDescent="0.2">
      <c r="GI58715" s="422"/>
    </row>
    <row r="58716" spans="191:191" x14ac:dyDescent="0.2">
      <c r="GI58716" s="422"/>
    </row>
    <row r="58717" spans="191:191" x14ac:dyDescent="0.2">
      <c r="GI58717" s="422"/>
    </row>
    <row r="58718" spans="191:191" x14ac:dyDescent="0.2">
      <c r="GI58718" s="422"/>
    </row>
    <row r="58719" spans="191:191" x14ac:dyDescent="0.2">
      <c r="GI58719" s="422"/>
    </row>
    <row r="58720" spans="191:191" x14ac:dyDescent="0.2">
      <c r="GI58720" s="422"/>
    </row>
    <row r="58721" spans="191:191" x14ac:dyDescent="0.2">
      <c r="GI58721" s="422"/>
    </row>
    <row r="58722" spans="191:191" x14ac:dyDescent="0.2">
      <c r="GI58722" s="422"/>
    </row>
    <row r="58723" spans="191:191" x14ac:dyDescent="0.2">
      <c r="GI58723" s="422"/>
    </row>
    <row r="58724" spans="191:191" x14ac:dyDescent="0.2">
      <c r="GI58724" s="422"/>
    </row>
    <row r="58725" spans="191:191" x14ac:dyDescent="0.2">
      <c r="GI58725" s="422"/>
    </row>
    <row r="58726" spans="191:191" x14ac:dyDescent="0.2">
      <c r="GI58726" s="422"/>
    </row>
    <row r="58727" spans="191:191" x14ac:dyDescent="0.2">
      <c r="GI58727" s="422"/>
    </row>
    <row r="58728" spans="191:191" x14ac:dyDescent="0.2">
      <c r="GI58728" s="422"/>
    </row>
    <row r="58729" spans="191:191" x14ac:dyDescent="0.2">
      <c r="GI58729" s="422"/>
    </row>
    <row r="58730" spans="191:191" x14ac:dyDescent="0.2">
      <c r="GI58730" s="422"/>
    </row>
    <row r="58731" spans="191:191" x14ac:dyDescent="0.2">
      <c r="GI58731" s="422"/>
    </row>
    <row r="58732" spans="191:191" x14ac:dyDescent="0.2">
      <c r="GI58732" s="422"/>
    </row>
    <row r="58733" spans="191:191" x14ac:dyDescent="0.2">
      <c r="GI58733" s="422"/>
    </row>
    <row r="58734" spans="191:191" x14ac:dyDescent="0.2">
      <c r="GI58734" s="422"/>
    </row>
    <row r="58735" spans="191:191" x14ac:dyDescent="0.2">
      <c r="GI58735" s="422"/>
    </row>
    <row r="58736" spans="191:191" x14ac:dyDescent="0.2">
      <c r="GI58736" s="422"/>
    </row>
    <row r="58737" spans="191:191" x14ac:dyDescent="0.2">
      <c r="GI58737" s="422"/>
    </row>
    <row r="58738" spans="191:191" x14ac:dyDescent="0.2">
      <c r="GI58738" s="422"/>
    </row>
    <row r="58739" spans="191:191" x14ac:dyDescent="0.2">
      <c r="GI58739" s="422"/>
    </row>
    <row r="58740" spans="191:191" x14ac:dyDescent="0.2">
      <c r="GI58740" s="422"/>
    </row>
    <row r="58741" spans="191:191" x14ac:dyDescent="0.2">
      <c r="GI58741" s="422"/>
    </row>
    <row r="58742" spans="191:191" x14ac:dyDescent="0.2">
      <c r="GI58742" s="422"/>
    </row>
    <row r="58743" spans="191:191" x14ac:dyDescent="0.2">
      <c r="GI58743" s="422"/>
    </row>
    <row r="58744" spans="191:191" x14ac:dyDescent="0.2">
      <c r="GI58744" s="422"/>
    </row>
    <row r="58745" spans="191:191" x14ac:dyDescent="0.2">
      <c r="GI58745" s="422"/>
    </row>
    <row r="58746" spans="191:191" x14ac:dyDescent="0.2">
      <c r="GI58746" s="422"/>
    </row>
    <row r="58747" spans="191:191" x14ac:dyDescent="0.2">
      <c r="GI58747" s="422"/>
    </row>
    <row r="58748" spans="191:191" x14ac:dyDescent="0.2">
      <c r="GI58748" s="422"/>
    </row>
    <row r="58749" spans="191:191" x14ac:dyDescent="0.2">
      <c r="GI58749" s="422"/>
    </row>
    <row r="58750" spans="191:191" x14ac:dyDescent="0.2">
      <c r="GI58750" s="422"/>
    </row>
    <row r="58751" spans="191:191" x14ac:dyDescent="0.2">
      <c r="GI58751" s="422"/>
    </row>
    <row r="58752" spans="191:191" x14ac:dyDescent="0.2">
      <c r="GI58752" s="422"/>
    </row>
    <row r="58753" spans="191:191" x14ac:dyDescent="0.2">
      <c r="GI58753" s="422"/>
    </row>
    <row r="58754" spans="191:191" x14ac:dyDescent="0.2">
      <c r="GI58754" s="422"/>
    </row>
    <row r="58755" spans="191:191" x14ac:dyDescent="0.2">
      <c r="GI58755" s="422"/>
    </row>
    <row r="58756" spans="191:191" x14ac:dyDescent="0.2">
      <c r="GI58756" s="422"/>
    </row>
    <row r="58757" spans="191:191" x14ac:dyDescent="0.2">
      <c r="GI58757" s="422"/>
    </row>
    <row r="58758" spans="191:191" x14ac:dyDescent="0.2">
      <c r="GI58758" s="422"/>
    </row>
    <row r="58759" spans="191:191" x14ac:dyDescent="0.2">
      <c r="GI58759" s="422"/>
    </row>
    <row r="58760" spans="191:191" x14ac:dyDescent="0.2">
      <c r="GI58760" s="422"/>
    </row>
    <row r="58761" spans="191:191" x14ac:dyDescent="0.2">
      <c r="GI58761" s="422"/>
    </row>
    <row r="58762" spans="191:191" x14ac:dyDescent="0.2">
      <c r="GI58762" s="422"/>
    </row>
    <row r="58763" spans="191:191" x14ac:dyDescent="0.2">
      <c r="GI58763" s="422"/>
    </row>
    <row r="58764" spans="191:191" x14ac:dyDescent="0.2">
      <c r="GI58764" s="422"/>
    </row>
    <row r="58765" spans="191:191" x14ac:dyDescent="0.2">
      <c r="GI58765" s="422"/>
    </row>
    <row r="58766" spans="191:191" x14ac:dyDescent="0.2">
      <c r="GI58766" s="422"/>
    </row>
    <row r="58767" spans="191:191" x14ac:dyDescent="0.2">
      <c r="GI58767" s="422"/>
    </row>
    <row r="58768" spans="191:191" x14ac:dyDescent="0.2">
      <c r="GI58768" s="422"/>
    </row>
    <row r="58769" spans="191:191" x14ac:dyDescent="0.2">
      <c r="GI58769" s="422"/>
    </row>
    <row r="58770" spans="191:191" x14ac:dyDescent="0.2">
      <c r="GI58770" s="422"/>
    </row>
    <row r="58771" spans="191:191" x14ac:dyDescent="0.2">
      <c r="GI58771" s="422"/>
    </row>
    <row r="58772" spans="191:191" x14ac:dyDescent="0.2">
      <c r="GI58772" s="422"/>
    </row>
    <row r="58773" spans="191:191" x14ac:dyDescent="0.2">
      <c r="GI58773" s="422"/>
    </row>
    <row r="58774" spans="191:191" x14ac:dyDescent="0.2">
      <c r="GI58774" s="422"/>
    </row>
    <row r="58775" spans="191:191" x14ac:dyDescent="0.2">
      <c r="GI58775" s="422"/>
    </row>
    <row r="58776" spans="191:191" x14ac:dyDescent="0.2">
      <c r="GI58776" s="422"/>
    </row>
    <row r="58777" spans="191:191" x14ac:dyDescent="0.2">
      <c r="GI58777" s="422"/>
    </row>
    <row r="58778" spans="191:191" x14ac:dyDescent="0.2">
      <c r="GI58778" s="422"/>
    </row>
    <row r="58779" spans="191:191" x14ac:dyDescent="0.2">
      <c r="GI58779" s="422"/>
    </row>
    <row r="58780" spans="191:191" x14ac:dyDescent="0.2">
      <c r="GI58780" s="422"/>
    </row>
    <row r="58781" spans="191:191" x14ac:dyDescent="0.2">
      <c r="GI58781" s="422"/>
    </row>
    <row r="58782" spans="191:191" x14ac:dyDescent="0.2">
      <c r="GI58782" s="422"/>
    </row>
    <row r="58783" spans="191:191" x14ac:dyDescent="0.2">
      <c r="GI58783" s="422"/>
    </row>
    <row r="58784" spans="191:191" x14ac:dyDescent="0.2">
      <c r="GI58784" s="422"/>
    </row>
    <row r="58785" spans="191:191" x14ac:dyDescent="0.2">
      <c r="GI58785" s="422"/>
    </row>
    <row r="58786" spans="191:191" x14ac:dyDescent="0.2">
      <c r="GI58786" s="422"/>
    </row>
    <row r="58787" spans="191:191" x14ac:dyDescent="0.2">
      <c r="GI58787" s="422"/>
    </row>
    <row r="58788" spans="191:191" x14ac:dyDescent="0.2">
      <c r="GI58788" s="422"/>
    </row>
    <row r="58789" spans="191:191" x14ac:dyDescent="0.2">
      <c r="GI58789" s="422"/>
    </row>
    <row r="58790" spans="191:191" x14ac:dyDescent="0.2">
      <c r="GI58790" s="422"/>
    </row>
    <row r="58791" spans="191:191" x14ac:dyDescent="0.2">
      <c r="GI58791" s="422"/>
    </row>
    <row r="58792" spans="191:191" x14ac:dyDescent="0.2">
      <c r="GI58792" s="422"/>
    </row>
    <row r="58793" spans="191:191" x14ac:dyDescent="0.2">
      <c r="GI58793" s="422"/>
    </row>
    <row r="58794" spans="191:191" x14ac:dyDescent="0.2">
      <c r="GI58794" s="422"/>
    </row>
    <row r="58795" spans="191:191" x14ac:dyDescent="0.2">
      <c r="GI58795" s="422"/>
    </row>
    <row r="58796" spans="191:191" x14ac:dyDescent="0.2">
      <c r="GI58796" s="422"/>
    </row>
    <row r="58797" spans="191:191" x14ac:dyDescent="0.2">
      <c r="GI58797" s="422"/>
    </row>
    <row r="58798" spans="191:191" x14ac:dyDescent="0.2">
      <c r="GI58798" s="422"/>
    </row>
    <row r="58799" spans="191:191" x14ac:dyDescent="0.2">
      <c r="GI58799" s="422"/>
    </row>
    <row r="58800" spans="191:191" x14ac:dyDescent="0.2">
      <c r="GI58800" s="422"/>
    </row>
    <row r="58801" spans="191:191" x14ac:dyDescent="0.2">
      <c r="GI58801" s="422"/>
    </row>
    <row r="58802" spans="191:191" x14ac:dyDescent="0.2">
      <c r="GI58802" s="422"/>
    </row>
    <row r="58803" spans="191:191" x14ac:dyDescent="0.2">
      <c r="GI58803" s="422"/>
    </row>
    <row r="58804" spans="191:191" x14ac:dyDescent="0.2">
      <c r="GI58804" s="422"/>
    </row>
    <row r="58805" spans="191:191" x14ac:dyDescent="0.2">
      <c r="GI58805" s="422"/>
    </row>
    <row r="58806" spans="191:191" x14ac:dyDescent="0.2">
      <c r="GI58806" s="422"/>
    </row>
    <row r="58807" spans="191:191" x14ac:dyDescent="0.2">
      <c r="GI58807" s="422"/>
    </row>
    <row r="58808" spans="191:191" x14ac:dyDescent="0.2">
      <c r="GI58808" s="422"/>
    </row>
    <row r="58809" spans="191:191" x14ac:dyDescent="0.2">
      <c r="GI58809" s="422"/>
    </row>
    <row r="58810" spans="191:191" x14ac:dyDescent="0.2">
      <c r="GI58810" s="422"/>
    </row>
    <row r="58811" spans="191:191" x14ac:dyDescent="0.2">
      <c r="GI58811" s="422"/>
    </row>
    <row r="58812" spans="191:191" x14ac:dyDescent="0.2">
      <c r="GI58812" s="422"/>
    </row>
    <row r="58813" spans="191:191" x14ac:dyDescent="0.2">
      <c r="GI58813" s="422"/>
    </row>
    <row r="58814" spans="191:191" x14ac:dyDescent="0.2">
      <c r="GI58814" s="422"/>
    </row>
    <row r="58815" spans="191:191" x14ac:dyDescent="0.2">
      <c r="GI58815" s="422"/>
    </row>
    <row r="58816" spans="191:191" x14ac:dyDescent="0.2">
      <c r="GI58816" s="422"/>
    </row>
    <row r="58817" spans="191:191" x14ac:dyDescent="0.2">
      <c r="GI58817" s="422"/>
    </row>
    <row r="58818" spans="191:191" x14ac:dyDescent="0.2">
      <c r="GI58818" s="422"/>
    </row>
    <row r="58819" spans="191:191" x14ac:dyDescent="0.2">
      <c r="GI58819" s="422"/>
    </row>
    <row r="58820" spans="191:191" x14ac:dyDescent="0.2">
      <c r="GI58820" s="422"/>
    </row>
    <row r="58821" spans="191:191" x14ac:dyDescent="0.2">
      <c r="GI58821" s="422"/>
    </row>
    <row r="58822" spans="191:191" x14ac:dyDescent="0.2">
      <c r="GI58822" s="422"/>
    </row>
    <row r="58823" spans="191:191" x14ac:dyDescent="0.2">
      <c r="GI58823" s="422"/>
    </row>
    <row r="58824" spans="191:191" x14ac:dyDescent="0.2">
      <c r="GI58824" s="422"/>
    </row>
    <row r="58825" spans="191:191" x14ac:dyDescent="0.2">
      <c r="GI58825" s="422"/>
    </row>
    <row r="58826" spans="191:191" x14ac:dyDescent="0.2">
      <c r="GI58826" s="422"/>
    </row>
    <row r="58827" spans="191:191" x14ac:dyDescent="0.2">
      <c r="GI58827" s="422"/>
    </row>
    <row r="58828" spans="191:191" x14ac:dyDescent="0.2">
      <c r="GI58828" s="422"/>
    </row>
    <row r="58829" spans="191:191" x14ac:dyDescent="0.2">
      <c r="GI58829" s="422"/>
    </row>
    <row r="58830" spans="191:191" x14ac:dyDescent="0.2">
      <c r="GI58830" s="422"/>
    </row>
    <row r="58831" spans="191:191" x14ac:dyDescent="0.2">
      <c r="GI58831" s="422"/>
    </row>
    <row r="58832" spans="191:191" x14ac:dyDescent="0.2">
      <c r="GI58832" s="422"/>
    </row>
    <row r="58833" spans="191:191" x14ac:dyDescent="0.2">
      <c r="GI58833" s="422"/>
    </row>
    <row r="58834" spans="191:191" x14ac:dyDescent="0.2">
      <c r="GI58834" s="422"/>
    </row>
    <row r="58835" spans="191:191" x14ac:dyDescent="0.2">
      <c r="GI58835" s="422"/>
    </row>
    <row r="58836" spans="191:191" x14ac:dyDescent="0.2">
      <c r="GI58836" s="422"/>
    </row>
    <row r="58837" spans="191:191" x14ac:dyDescent="0.2">
      <c r="GI58837" s="422"/>
    </row>
    <row r="58838" spans="191:191" x14ac:dyDescent="0.2">
      <c r="GI58838" s="422"/>
    </row>
    <row r="58839" spans="191:191" x14ac:dyDescent="0.2">
      <c r="GI58839" s="422"/>
    </row>
    <row r="58840" spans="191:191" x14ac:dyDescent="0.2">
      <c r="GI58840" s="422"/>
    </row>
    <row r="58841" spans="191:191" x14ac:dyDescent="0.2">
      <c r="GI58841" s="422"/>
    </row>
    <row r="58842" spans="191:191" x14ac:dyDescent="0.2">
      <c r="GI58842" s="422"/>
    </row>
    <row r="58843" spans="191:191" x14ac:dyDescent="0.2">
      <c r="GI58843" s="422"/>
    </row>
    <row r="58844" spans="191:191" x14ac:dyDescent="0.2">
      <c r="GI58844" s="422"/>
    </row>
    <row r="58845" spans="191:191" x14ac:dyDescent="0.2">
      <c r="GI58845" s="422"/>
    </row>
    <row r="58846" spans="191:191" x14ac:dyDescent="0.2">
      <c r="GI58846" s="422"/>
    </row>
    <row r="58847" spans="191:191" x14ac:dyDescent="0.2">
      <c r="GI58847" s="422"/>
    </row>
    <row r="58848" spans="191:191" x14ac:dyDescent="0.2">
      <c r="GI58848" s="422"/>
    </row>
    <row r="58849" spans="191:191" x14ac:dyDescent="0.2">
      <c r="GI58849" s="422"/>
    </row>
    <row r="58850" spans="191:191" x14ac:dyDescent="0.2">
      <c r="GI58850" s="422"/>
    </row>
    <row r="58851" spans="191:191" x14ac:dyDescent="0.2">
      <c r="GI58851" s="422"/>
    </row>
    <row r="58852" spans="191:191" x14ac:dyDescent="0.2">
      <c r="GI58852" s="422"/>
    </row>
    <row r="58853" spans="191:191" x14ac:dyDescent="0.2">
      <c r="GI58853" s="422"/>
    </row>
    <row r="58854" spans="191:191" x14ac:dyDescent="0.2">
      <c r="GI58854" s="422"/>
    </row>
    <row r="58855" spans="191:191" x14ac:dyDescent="0.2">
      <c r="GI58855" s="422"/>
    </row>
    <row r="58856" spans="191:191" x14ac:dyDescent="0.2">
      <c r="GI58856" s="422"/>
    </row>
    <row r="58857" spans="191:191" x14ac:dyDescent="0.2">
      <c r="GI58857" s="422"/>
    </row>
    <row r="58858" spans="191:191" x14ac:dyDescent="0.2">
      <c r="GI58858" s="422"/>
    </row>
    <row r="58859" spans="191:191" x14ac:dyDescent="0.2">
      <c r="GI58859" s="422"/>
    </row>
    <row r="58860" spans="191:191" x14ac:dyDescent="0.2">
      <c r="GI58860" s="422"/>
    </row>
    <row r="58861" spans="191:191" x14ac:dyDescent="0.2">
      <c r="GI58861" s="422"/>
    </row>
    <row r="58862" spans="191:191" x14ac:dyDescent="0.2">
      <c r="GI58862" s="422"/>
    </row>
    <row r="58863" spans="191:191" x14ac:dyDescent="0.2">
      <c r="GI58863" s="422"/>
    </row>
    <row r="58864" spans="191:191" x14ac:dyDescent="0.2">
      <c r="GI58864" s="422"/>
    </row>
    <row r="58865" spans="191:191" x14ac:dyDescent="0.2">
      <c r="GI58865" s="422"/>
    </row>
    <row r="58866" spans="191:191" x14ac:dyDescent="0.2">
      <c r="GI58866" s="422"/>
    </row>
    <row r="58867" spans="191:191" x14ac:dyDescent="0.2">
      <c r="GI58867" s="422"/>
    </row>
    <row r="58868" spans="191:191" x14ac:dyDescent="0.2">
      <c r="GI58868" s="422"/>
    </row>
    <row r="58869" spans="191:191" x14ac:dyDescent="0.2">
      <c r="GI58869" s="422"/>
    </row>
    <row r="58870" spans="191:191" x14ac:dyDescent="0.2">
      <c r="GI58870" s="422"/>
    </row>
    <row r="58871" spans="191:191" x14ac:dyDescent="0.2">
      <c r="GI58871" s="422"/>
    </row>
    <row r="58872" spans="191:191" x14ac:dyDescent="0.2">
      <c r="GI58872" s="422"/>
    </row>
    <row r="58873" spans="191:191" x14ac:dyDescent="0.2">
      <c r="GI58873" s="422"/>
    </row>
    <row r="58874" spans="191:191" x14ac:dyDescent="0.2">
      <c r="GI58874" s="422"/>
    </row>
    <row r="58875" spans="191:191" x14ac:dyDescent="0.2">
      <c r="GI58875" s="422"/>
    </row>
    <row r="58876" spans="191:191" x14ac:dyDescent="0.2">
      <c r="GI58876" s="422"/>
    </row>
    <row r="58877" spans="191:191" x14ac:dyDescent="0.2">
      <c r="GI58877" s="422"/>
    </row>
    <row r="58878" spans="191:191" x14ac:dyDescent="0.2">
      <c r="GI58878" s="422"/>
    </row>
    <row r="58879" spans="191:191" x14ac:dyDescent="0.2">
      <c r="GI58879" s="422"/>
    </row>
    <row r="58880" spans="191:191" x14ac:dyDescent="0.2">
      <c r="GI58880" s="422"/>
    </row>
    <row r="58881" spans="191:191" x14ac:dyDescent="0.2">
      <c r="GI58881" s="422"/>
    </row>
    <row r="58882" spans="191:191" x14ac:dyDescent="0.2">
      <c r="GI58882" s="422"/>
    </row>
    <row r="58883" spans="191:191" x14ac:dyDescent="0.2">
      <c r="GI58883" s="422"/>
    </row>
    <row r="58884" spans="191:191" x14ac:dyDescent="0.2">
      <c r="GI58884" s="422"/>
    </row>
    <row r="58885" spans="191:191" x14ac:dyDescent="0.2">
      <c r="GI58885" s="422"/>
    </row>
    <row r="58886" spans="191:191" x14ac:dyDescent="0.2">
      <c r="GI58886" s="422"/>
    </row>
    <row r="58887" spans="191:191" x14ac:dyDescent="0.2">
      <c r="GI58887" s="422"/>
    </row>
    <row r="58888" spans="191:191" x14ac:dyDescent="0.2">
      <c r="GI58888" s="422"/>
    </row>
    <row r="58889" spans="191:191" x14ac:dyDescent="0.2">
      <c r="GI58889" s="422"/>
    </row>
    <row r="58890" spans="191:191" x14ac:dyDescent="0.2">
      <c r="GI58890" s="422"/>
    </row>
    <row r="58891" spans="191:191" x14ac:dyDescent="0.2">
      <c r="GI58891" s="422"/>
    </row>
    <row r="58892" spans="191:191" x14ac:dyDescent="0.2">
      <c r="GI58892" s="422"/>
    </row>
    <row r="58893" spans="191:191" x14ac:dyDescent="0.2">
      <c r="GI58893" s="422"/>
    </row>
    <row r="58894" spans="191:191" x14ac:dyDescent="0.2">
      <c r="GI58894" s="422"/>
    </row>
    <row r="58895" spans="191:191" x14ac:dyDescent="0.2">
      <c r="GI58895" s="422"/>
    </row>
    <row r="58896" spans="191:191" x14ac:dyDescent="0.2">
      <c r="GI58896" s="422"/>
    </row>
    <row r="58897" spans="191:191" x14ac:dyDescent="0.2">
      <c r="GI58897" s="422"/>
    </row>
    <row r="58898" spans="191:191" x14ac:dyDescent="0.2">
      <c r="GI58898" s="422"/>
    </row>
    <row r="58899" spans="191:191" x14ac:dyDescent="0.2">
      <c r="GI58899" s="422"/>
    </row>
    <row r="58900" spans="191:191" x14ac:dyDescent="0.2">
      <c r="GI58900" s="422"/>
    </row>
    <row r="58901" spans="191:191" x14ac:dyDescent="0.2">
      <c r="GI58901" s="422"/>
    </row>
    <row r="58902" spans="191:191" x14ac:dyDescent="0.2">
      <c r="GI58902" s="422"/>
    </row>
    <row r="58903" spans="191:191" x14ac:dyDescent="0.2">
      <c r="GI58903" s="422"/>
    </row>
    <row r="58904" spans="191:191" x14ac:dyDescent="0.2">
      <c r="GI58904" s="422"/>
    </row>
    <row r="58905" spans="191:191" x14ac:dyDescent="0.2">
      <c r="GI58905" s="422"/>
    </row>
    <row r="58906" spans="191:191" x14ac:dyDescent="0.2">
      <c r="GI58906" s="422"/>
    </row>
    <row r="58907" spans="191:191" x14ac:dyDescent="0.2">
      <c r="GI58907" s="422"/>
    </row>
    <row r="58908" spans="191:191" x14ac:dyDescent="0.2">
      <c r="GI58908" s="422"/>
    </row>
    <row r="58909" spans="191:191" x14ac:dyDescent="0.2">
      <c r="GI58909" s="422"/>
    </row>
    <row r="58910" spans="191:191" x14ac:dyDescent="0.2">
      <c r="GI58910" s="422"/>
    </row>
    <row r="58911" spans="191:191" x14ac:dyDescent="0.2">
      <c r="GI58911" s="422"/>
    </row>
    <row r="58912" spans="191:191" x14ac:dyDescent="0.2">
      <c r="GI58912" s="422"/>
    </row>
    <row r="58913" spans="191:191" x14ac:dyDescent="0.2">
      <c r="GI58913" s="422"/>
    </row>
    <row r="58914" spans="191:191" x14ac:dyDescent="0.2">
      <c r="GI58914" s="422"/>
    </row>
    <row r="58915" spans="191:191" x14ac:dyDescent="0.2">
      <c r="GI58915" s="422"/>
    </row>
    <row r="58916" spans="191:191" x14ac:dyDescent="0.2">
      <c r="GI58916" s="422"/>
    </row>
    <row r="58917" spans="191:191" x14ac:dyDescent="0.2">
      <c r="GI58917" s="422"/>
    </row>
    <row r="58918" spans="191:191" x14ac:dyDescent="0.2">
      <c r="GI58918" s="422"/>
    </row>
    <row r="58919" spans="191:191" x14ac:dyDescent="0.2">
      <c r="GI58919" s="422"/>
    </row>
    <row r="58920" spans="191:191" x14ac:dyDescent="0.2">
      <c r="GI58920" s="422"/>
    </row>
    <row r="58921" spans="191:191" x14ac:dyDescent="0.2">
      <c r="GI58921" s="422"/>
    </row>
    <row r="58922" spans="191:191" x14ac:dyDescent="0.2">
      <c r="GI58922" s="422"/>
    </row>
    <row r="58923" spans="191:191" x14ac:dyDescent="0.2">
      <c r="GI58923" s="422"/>
    </row>
    <row r="58924" spans="191:191" x14ac:dyDescent="0.2">
      <c r="GI58924" s="422"/>
    </row>
    <row r="58925" spans="191:191" x14ac:dyDescent="0.2">
      <c r="GI58925" s="422"/>
    </row>
    <row r="58926" spans="191:191" x14ac:dyDescent="0.2">
      <c r="GI58926" s="422"/>
    </row>
    <row r="58927" spans="191:191" x14ac:dyDescent="0.2">
      <c r="GI58927" s="422"/>
    </row>
    <row r="58928" spans="191:191" x14ac:dyDescent="0.2">
      <c r="GI58928" s="422"/>
    </row>
    <row r="58929" spans="191:191" x14ac:dyDescent="0.2">
      <c r="GI58929" s="422"/>
    </row>
    <row r="58930" spans="191:191" x14ac:dyDescent="0.2">
      <c r="GI58930" s="422"/>
    </row>
    <row r="58931" spans="191:191" x14ac:dyDescent="0.2">
      <c r="GI58931" s="422"/>
    </row>
    <row r="58932" spans="191:191" x14ac:dyDescent="0.2">
      <c r="GI58932" s="422"/>
    </row>
    <row r="58933" spans="191:191" x14ac:dyDescent="0.2">
      <c r="GI58933" s="422"/>
    </row>
    <row r="58934" spans="191:191" x14ac:dyDescent="0.2">
      <c r="GI58934" s="422"/>
    </row>
    <row r="58935" spans="191:191" x14ac:dyDescent="0.2">
      <c r="GI58935" s="422"/>
    </row>
    <row r="58936" spans="191:191" x14ac:dyDescent="0.2">
      <c r="GI58936" s="422"/>
    </row>
    <row r="58937" spans="191:191" x14ac:dyDescent="0.2">
      <c r="GI58937" s="422"/>
    </row>
    <row r="58938" spans="191:191" x14ac:dyDescent="0.2">
      <c r="GI58938" s="422"/>
    </row>
    <row r="58939" spans="191:191" x14ac:dyDescent="0.2">
      <c r="GI58939" s="422"/>
    </row>
    <row r="58940" spans="191:191" x14ac:dyDescent="0.2">
      <c r="GI58940" s="422"/>
    </row>
    <row r="58941" spans="191:191" x14ac:dyDescent="0.2">
      <c r="GI58941" s="422"/>
    </row>
    <row r="58942" spans="191:191" x14ac:dyDescent="0.2">
      <c r="GI58942" s="422"/>
    </row>
    <row r="58943" spans="191:191" x14ac:dyDescent="0.2">
      <c r="GI58943" s="422"/>
    </row>
    <row r="58944" spans="191:191" x14ac:dyDescent="0.2">
      <c r="GI58944" s="422"/>
    </row>
    <row r="58945" spans="191:191" x14ac:dyDescent="0.2">
      <c r="GI58945" s="422"/>
    </row>
    <row r="58946" spans="191:191" x14ac:dyDescent="0.2">
      <c r="GI58946" s="422"/>
    </row>
    <row r="58947" spans="191:191" x14ac:dyDescent="0.2">
      <c r="GI58947" s="422"/>
    </row>
    <row r="58948" spans="191:191" x14ac:dyDescent="0.2">
      <c r="GI58948" s="422"/>
    </row>
    <row r="58949" spans="191:191" x14ac:dyDescent="0.2">
      <c r="GI58949" s="422"/>
    </row>
    <row r="58950" spans="191:191" x14ac:dyDescent="0.2">
      <c r="GI58950" s="422"/>
    </row>
    <row r="58951" spans="191:191" x14ac:dyDescent="0.2">
      <c r="GI58951" s="422"/>
    </row>
    <row r="58952" spans="191:191" x14ac:dyDescent="0.2">
      <c r="GI58952" s="422"/>
    </row>
    <row r="58953" spans="191:191" x14ac:dyDescent="0.2">
      <c r="GI58953" s="422"/>
    </row>
    <row r="58954" spans="191:191" x14ac:dyDescent="0.2">
      <c r="GI58954" s="422"/>
    </row>
    <row r="58955" spans="191:191" x14ac:dyDescent="0.2">
      <c r="GI58955" s="422"/>
    </row>
    <row r="58956" spans="191:191" x14ac:dyDescent="0.2">
      <c r="GI58956" s="422"/>
    </row>
    <row r="58957" spans="191:191" x14ac:dyDescent="0.2">
      <c r="GI58957" s="422"/>
    </row>
    <row r="58958" spans="191:191" x14ac:dyDescent="0.2">
      <c r="GI58958" s="422"/>
    </row>
    <row r="58959" spans="191:191" x14ac:dyDescent="0.2">
      <c r="GI58959" s="422"/>
    </row>
    <row r="58960" spans="191:191" x14ac:dyDescent="0.2">
      <c r="GI58960" s="422"/>
    </row>
    <row r="58961" spans="191:191" x14ac:dyDescent="0.2">
      <c r="GI58961" s="422"/>
    </row>
    <row r="58962" spans="191:191" x14ac:dyDescent="0.2">
      <c r="GI58962" s="422"/>
    </row>
    <row r="58963" spans="191:191" x14ac:dyDescent="0.2">
      <c r="GI58963" s="422"/>
    </row>
    <row r="58964" spans="191:191" x14ac:dyDescent="0.2">
      <c r="GI58964" s="422"/>
    </row>
    <row r="58965" spans="191:191" x14ac:dyDescent="0.2">
      <c r="GI58965" s="422"/>
    </row>
    <row r="58966" spans="191:191" x14ac:dyDescent="0.2">
      <c r="GI58966" s="422"/>
    </row>
    <row r="58967" spans="191:191" x14ac:dyDescent="0.2">
      <c r="GI58967" s="422"/>
    </row>
    <row r="58968" spans="191:191" x14ac:dyDescent="0.2">
      <c r="GI58968" s="422"/>
    </row>
    <row r="58969" spans="191:191" x14ac:dyDescent="0.2">
      <c r="GI58969" s="422"/>
    </row>
    <row r="58970" spans="191:191" x14ac:dyDescent="0.2">
      <c r="GI58970" s="422"/>
    </row>
    <row r="58971" spans="191:191" x14ac:dyDescent="0.2">
      <c r="GI58971" s="422"/>
    </row>
    <row r="58972" spans="191:191" x14ac:dyDescent="0.2">
      <c r="GI58972" s="422"/>
    </row>
    <row r="58973" spans="191:191" x14ac:dyDescent="0.2">
      <c r="GI58973" s="422"/>
    </row>
    <row r="58974" spans="191:191" x14ac:dyDescent="0.2">
      <c r="GI58974" s="422"/>
    </row>
    <row r="58975" spans="191:191" x14ac:dyDescent="0.2">
      <c r="GI58975" s="422"/>
    </row>
    <row r="58976" spans="191:191" x14ac:dyDescent="0.2">
      <c r="GI58976" s="422"/>
    </row>
    <row r="58977" spans="191:191" x14ac:dyDescent="0.2">
      <c r="GI58977" s="422"/>
    </row>
    <row r="58978" spans="191:191" x14ac:dyDescent="0.2">
      <c r="GI58978" s="422"/>
    </row>
    <row r="58979" spans="191:191" x14ac:dyDescent="0.2">
      <c r="GI58979" s="422"/>
    </row>
    <row r="58980" spans="191:191" x14ac:dyDescent="0.2">
      <c r="GI58980" s="422"/>
    </row>
    <row r="58981" spans="191:191" x14ac:dyDescent="0.2">
      <c r="GI58981" s="422"/>
    </row>
    <row r="58982" spans="191:191" x14ac:dyDescent="0.2">
      <c r="GI58982" s="422"/>
    </row>
    <row r="58983" spans="191:191" x14ac:dyDescent="0.2">
      <c r="GI58983" s="422"/>
    </row>
    <row r="58984" spans="191:191" x14ac:dyDescent="0.2">
      <c r="GI58984" s="422"/>
    </row>
    <row r="58985" spans="191:191" x14ac:dyDescent="0.2">
      <c r="GI58985" s="422"/>
    </row>
    <row r="58986" spans="191:191" x14ac:dyDescent="0.2">
      <c r="GI58986" s="422"/>
    </row>
    <row r="58987" spans="191:191" x14ac:dyDescent="0.2">
      <c r="GI58987" s="422"/>
    </row>
    <row r="58988" spans="191:191" x14ac:dyDescent="0.2">
      <c r="GI58988" s="422"/>
    </row>
    <row r="58989" spans="191:191" x14ac:dyDescent="0.2">
      <c r="GI58989" s="422"/>
    </row>
    <row r="58990" spans="191:191" x14ac:dyDescent="0.2">
      <c r="GI58990" s="422"/>
    </row>
    <row r="58991" spans="191:191" x14ac:dyDescent="0.2">
      <c r="GI58991" s="422"/>
    </row>
    <row r="58992" spans="191:191" x14ac:dyDescent="0.2">
      <c r="GI58992" s="422"/>
    </row>
    <row r="58993" spans="191:191" x14ac:dyDescent="0.2">
      <c r="GI58993" s="422"/>
    </row>
    <row r="58994" spans="191:191" x14ac:dyDescent="0.2">
      <c r="GI58994" s="422"/>
    </row>
    <row r="58995" spans="191:191" x14ac:dyDescent="0.2">
      <c r="GI58995" s="422"/>
    </row>
    <row r="58996" spans="191:191" x14ac:dyDescent="0.2">
      <c r="GI58996" s="422"/>
    </row>
    <row r="58997" spans="191:191" x14ac:dyDescent="0.2">
      <c r="GI58997" s="422"/>
    </row>
    <row r="58998" spans="191:191" x14ac:dyDescent="0.2">
      <c r="GI58998" s="422"/>
    </row>
    <row r="58999" spans="191:191" x14ac:dyDescent="0.2">
      <c r="GI58999" s="422"/>
    </row>
    <row r="59000" spans="191:191" x14ac:dyDescent="0.2">
      <c r="GI59000" s="422"/>
    </row>
    <row r="59001" spans="191:191" x14ac:dyDescent="0.2">
      <c r="GI59001" s="422"/>
    </row>
    <row r="59002" spans="191:191" x14ac:dyDescent="0.2">
      <c r="GI59002" s="422"/>
    </row>
    <row r="59003" spans="191:191" x14ac:dyDescent="0.2">
      <c r="GI59003" s="422"/>
    </row>
    <row r="59004" spans="191:191" x14ac:dyDescent="0.2">
      <c r="GI59004" s="422"/>
    </row>
    <row r="59005" spans="191:191" x14ac:dyDescent="0.2">
      <c r="GI59005" s="422"/>
    </row>
    <row r="59006" spans="191:191" x14ac:dyDescent="0.2">
      <c r="GI59006" s="422"/>
    </row>
    <row r="59007" spans="191:191" x14ac:dyDescent="0.2">
      <c r="GI59007" s="422"/>
    </row>
    <row r="59008" spans="191:191" x14ac:dyDescent="0.2">
      <c r="GI59008" s="422"/>
    </row>
    <row r="59009" spans="191:191" x14ac:dyDescent="0.2">
      <c r="GI59009" s="422"/>
    </row>
    <row r="59010" spans="191:191" x14ac:dyDescent="0.2">
      <c r="GI59010" s="422"/>
    </row>
    <row r="59011" spans="191:191" x14ac:dyDescent="0.2">
      <c r="GI59011" s="422"/>
    </row>
    <row r="59012" spans="191:191" x14ac:dyDescent="0.2">
      <c r="GI59012" s="422"/>
    </row>
    <row r="59013" spans="191:191" x14ac:dyDescent="0.2">
      <c r="GI59013" s="422"/>
    </row>
    <row r="59014" spans="191:191" x14ac:dyDescent="0.2">
      <c r="GI59014" s="422"/>
    </row>
    <row r="59015" spans="191:191" x14ac:dyDescent="0.2">
      <c r="GI59015" s="422"/>
    </row>
    <row r="59016" spans="191:191" x14ac:dyDescent="0.2">
      <c r="GI59016" s="422"/>
    </row>
    <row r="59017" spans="191:191" x14ac:dyDescent="0.2">
      <c r="GI59017" s="422"/>
    </row>
    <row r="59018" spans="191:191" x14ac:dyDescent="0.2">
      <c r="GI59018" s="422"/>
    </row>
    <row r="59019" spans="191:191" x14ac:dyDescent="0.2">
      <c r="GI59019" s="422"/>
    </row>
    <row r="59020" spans="191:191" x14ac:dyDescent="0.2">
      <c r="GI59020" s="422"/>
    </row>
    <row r="59021" spans="191:191" x14ac:dyDescent="0.2">
      <c r="GI59021" s="422"/>
    </row>
    <row r="59022" spans="191:191" x14ac:dyDescent="0.2">
      <c r="GI59022" s="422"/>
    </row>
    <row r="59023" spans="191:191" x14ac:dyDescent="0.2">
      <c r="GI59023" s="422"/>
    </row>
    <row r="59024" spans="191:191" x14ac:dyDescent="0.2">
      <c r="GI59024" s="422"/>
    </row>
    <row r="59025" spans="191:191" x14ac:dyDescent="0.2">
      <c r="GI59025" s="422"/>
    </row>
    <row r="59026" spans="191:191" x14ac:dyDescent="0.2">
      <c r="GI59026" s="422"/>
    </row>
    <row r="59027" spans="191:191" x14ac:dyDescent="0.2">
      <c r="GI59027" s="422"/>
    </row>
    <row r="59028" spans="191:191" x14ac:dyDescent="0.2">
      <c r="GI59028" s="422"/>
    </row>
    <row r="59029" spans="191:191" x14ac:dyDescent="0.2">
      <c r="GI59029" s="422"/>
    </row>
    <row r="59030" spans="191:191" x14ac:dyDescent="0.2">
      <c r="GI59030" s="422"/>
    </row>
    <row r="59031" spans="191:191" x14ac:dyDescent="0.2">
      <c r="GI59031" s="422"/>
    </row>
    <row r="59032" spans="191:191" x14ac:dyDescent="0.2">
      <c r="GI59032" s="422"/>
    </row>
    <row r="59033" spans="191:191" x14ac:dyDescent="0.2">
      <c r="GI59033" s="422"/>
    </row>
    <row r="59034" spans="191:191" x14ac:dyDescent="0.2">
      <c r="GI59034" s="422"/>
    </row>
    <row r="59035" spans="191:191" x14ac:dyDescent="0.2">
      <c r="GI59035" s="422"/>
    </row>
    <row r="59036" spans="191:191" x14ac:dyDescent="0.2">
      <c r="GI59036" s="422"/>
    </row>
    <row r="59037" spans="191:191" x14ac:dyDescent="0.2">
      <c r="GI59037" s="422"/>
    </row>
    <row r="59038" spans="191:191" x14ac:dyDescent="0.2">
      <c r="GI59038" s="422"/>
    </row>
    <row r="59039" spans="191:191" x14ac:dyDescent="0.2">
      <c r="GI59039" s="422"/>
    </row>
    <row r="59040" spans="191:191" x14ac:dyDescent="0.2">
      <c r="GI59040" s="422"/>
    </row>
    <row r="59041" spans="191:191" x14ac:dyDescent="0.2">
      <c r="GI59041" s="422"/>
    </row>
    <row r="59042" spans="191:191" x14ac:dyDescent="0.2">
      <c r="GI59042" s="422"/>
    </row>
    <row r="59043" spans="191:191" x14ac:dyDescent="0.2">
      <c r="GI59043" s="422"/>
    </row>
    <row r="59044" spans="191:191" x14ac:dyDescent="0.2">
      <c r="GI59044" s="422"/>
    </row>
    <row r="59045" spans="191:191" x14ac:dyDescent="0.2">
      <c r="GI59045" s="422"/>
    </row>
    <row r="59046" spans="191:191" x14ac:dyDescent="0.2">
      <c r="GI59046" s="422"/>
    </row>
    <row r="59047" spans="191:191" x14ac:dyDescent="0.2">
      <c r="GI59047" s="422"/>
    </row>
    <row r="59048" spans="191:191" x14ac:dyDescent="0.2">
      <c r="GI59048" s="422"/>
    </row>
    <row r="59049" spans="191:191" x14ac:dyDescent="0.2">
      <c r="GI59049" s="422"/>
    </row>
    <row r="59050" spans="191:191" x14ac:dyDescent="0.2">
      <c r="GI59050" s="422"/>
    </row>
    <row r="59051" spans="191:191" x14ac:dyDescent="0.2">
      <c r="GI59051" s="422"/>
    </row>
    <row r="59052" spans="191:191" x14ac:dyDescent="0.2">
      <c r="GI59052" s="422"/>
    </row>
    <row r="59053" spans="191:191" x14ac:dyDescent="0.2">
      <c r="GI59053" s="422"/>
    </row>
    <row r="59054" spans="191:191" x14ac:dyDescent="0.2">
      <c r="GI59054" s="422"/>
    </row>
    <row r="59055" spans="191:191" x14ac:dyDescent="0.2">
      <c r="GI59055" s="422"/>
    </row>
    <row r="59056" spans="191:191" x14ac:dyDescent="0.2">
      <c r="GI59056" s="422"/>
    </row>
    <row r="59057" spans="191:191" x14ac:dyDescent="0.2">
      <c r="GI59057" s="422"/>
    </row>
    <row r="59058" spans="191:191" x14ac:dyDescent="0.2">
      <c r="GI59058" s="422"/>
    </row>
    <row r="59059" spans="191:191" x14ac:dyDescent="0.2">
      <c r="GI59059" s="422"/>
    </row>
    <row r="59060" spans="191:191" x14ac:dyDescent="0.2">
      <c r="GI59060" s="422"/>
    </row>
    <row r="59061" spans="191:191" x14ac:dyDescent="0.2">
      <c r="GI59061" s="422"/>
    </row>
    <row r="59062" spans="191:191" x14ac:dyDescent="0.2">
      <c r="GI59062" s="422"/>
    </row>
    <row r="59063" spans="191:191" x14ac:dyDescent="0.2">
      <c r="GI59063" s="422"/>
    </row>
    <row r="59064" spans="191:191" x14ac:dyDescent="0.2">
      <c r="GI59064" s="422"/>
    </row>
    <row r="59065" spans="191:191" x14ac:dyDescent="0.2">
      <c r="GI59065" s="422"/>
    </row>
    <row r="59066" spans="191:191" x14ac:dyDescent="0.2">
      <c r="GI59066" s="422"/>
    </row>
    <row r="59067" spans="191:191" x14ac:dyDescent="0.2">
      <c r="GI59067" s="422"/>
    </row>
    <row r="59068" spans="191:191" x14ac:dyDescent="0.2">
      <c r="GI59068" s="422"/>
    </row>
    <row r="59069" spans="191:191" x14ac:dyDescent="0.2">
      <c r="GI59069" s="422"/>
    </row>
    <row r="59070" spans="191:191" x14ac:dyDescent="0.2">
      <c r="GI59070" s="422"/>
    </row>
    <row r="59071" spans="191:191" x14ac:dyDescent="0.2">
      <c r="GI59071" s="422"/>
    </row>
    <row r="59072" spans="191:191" x14ac:dyDescent="0.2">
      <c r="GI59072" s="422"/>
    </row>
    <row r="59073" spans="191:191" x14ac:dyDescent="0.2">
      <c r="GI59073" s="422"/>
    </row>
    <row r="59074" spans="191:191" x14ac:dyDescent="0.2">
      <c r="GI59074" s="422"/>
    </row>
    <row r="59075" spans="191:191" x14ac:dyDescent="0.2">
      <c r="GI59075" s="422"/>
    </row>
    <row r="59076" spans="191:191" x14ac:dyDescent="0.2">
      <c r="GI59076" s="422"/>
    </row>
    <row r="59077" spans="191:191" x14ac:dyDescent="0.2">
      <c r="GI59077" s="422"/>
    </row>
    <row r="59078" spans="191:191" x14ac:dyDescent="0.2">
      <c r="GI59078" s="422"/>
    </row>
    <row r="59079" spans="191:191" x14ac:dyDescent="0.2">
      <c r="GI59079" s="422"/>
    </row>
    <row r="59080" spans="191:191" x14ac:dyDescent="0.2">
      <c r="GI59080" s="422"/>
    </row>
    <row r="59081" spans="191:191" x14ac:dyDescent="0.2">
      <c r="GI59081" s="422"/>
    </row>
    <row r="59082" spans="191:191" x14ac:dyDescent="0.2">
      <c r="GI59082" s="422"/>
    </row>
    <row r="59083" spans="191:191" x14ac:dyDescent="0.2">
      <c r="GI59083" s="422"/>
    </row>
    <row r="59084" spans="191:191" x14ac:dyDescent="0.2">
      <c r="GI59084" s="422"/>
    </row>
    <row r="59085" spans="191:191" x14ac:dyDescent="0.2">
      <c r="GI59085" s="422"/>
    </row>
    <row r="59086" spans="191:191" x14ac:dyDescent="0.2">
      <c r="GI59086" s="422"/>
    </row>
    <row r="59087" spans="191:191" x14ac:dyDescent="0.2">
      <c r="GI59087" s="422"/>
    </row>
    <row r="59088" spans="191:191" x14ac:dyDescent="0.2">
      <c r="GI59088" s="422"/>
    </row>
    <row r="59089" spans="191:191" x14ac:dyDescent="0.2">
      <c r="GI59089" s="422"/>
    </row>
    <row r="59090" spans="191:191" x14ac:dyDescent="0.2">
      <c r="GI59090" s="422"/>
    </row>
    <row r="59091" spans="191:191" x14ac:dyDescent="0.2">
      <c r="GI59091" s="422"/>
    </row>
    <row r="59092" spans="191:191" x14ac:dyDescent="0.2">
      <c r="GI59092" s="422"/>
    </row>
    <row r="59093" spans="191:191" x14ac:dyDescent="0.2">
      <c r="GI59093" s="422"/>
    </row>
    <row r="59094" spans="191:191" x14ac:dyDescent="0.2">
      <c r="GI59094" s="422"/>
    </row>
    <row r="59095" spans="191:191" x14ac:dyDescent="0.2">
      <c r="GI59095" s="422"/>
    </row>
    <row r="59096" spans="191:191" x14ac:dyDescent="0.2">
      <c r="GI59096" s="422"/>
    </row>
    <row r="59097" spans="191:191" x14ac:dyDescent="0.2">
      <c r="GI59097" s="422"/>
    </row>
    <row r="59098" spans="191:191" x14ac:dyDescent="0.2">
      <c r="GI59098" s="422"/>
    </row>
    <row r="59099" spans="191:191" x14ac:dyDescent="0.2">
      <c r="GI59099" s="422"/>
    </row>
    <row r="59100" spans="191:191" x14ac:dyDescent="0.2">
      <c r="GI59100" s="422"/>
    </row>
    <row r="59101" spans="191:191" x14ac:dyDescent="0.2">
      <c r="GI59101" s="422"/>
    </row>
    <row r="59102" spans="191:191" x14ac:dyDescent="0.2">
      <c r="GI59102" s="422"/>
    </row>
    <row r="59103" spans="191:191" x14ac:dyDescent="0.2">
      <c r="GI59103" s="422"/>
    </row>
    <row r="59104" spans="191:191" x14ac:dyDescent="0.2">
      <c r="GI59104" s="422"/>
    </row>
    <row r="59105" spans="191:191" x14ac:dyDescent="0.2">
      <c r="GI59105" s="422"/>
    </row>
    <row r="59106" spans="191:191" x14ac:dyDescent="0.2">
      <c r="GI59106" s="422"/>
    </row>
    <row r="59107" spans="191:191" x14ac:dyDescent="0.2">
      <c r="GI59107" s="422"/>
    </row>
    <row r="59108" spans="191:191" x14ac:dyDescent="0.2">
      <c r="GI59108" s="422"/>
    </row>
    <row r="59109" spans="191:191" x14ac:dyDescent="0.2">
      <c r="GI59109" s="422"/>
    </row>
    <row r="59110" spans="191:191" x14ac:dyDescent="0.2">
      <c r="GI59110" s="422"/>
    </row>
    <row r="59111" spans="191:191" x14ac:dyDescent="0.2">
      <c r="GI59111" s="422"/>
    </row>
    <row r="59112" spans="191:191" x14ac:dyDescent="0.2">
      <c r="GI59112" s="422"/>
    </row>
    <row r="59113" spans="191:191" x14ac:dyDescent="0.2">
      <c r="GI59113" s="422"/>
    </row>
    <row r="59114" spans="191:191" x14ac:dyDescent="0.2">
      <c r="GI59114" s="422"/>
    </row>
    <row r="59115" spans="191:191" x14ac:dyDescent="0.2">
      <c r="GI59115" s="422"/>
    </row>
    <row r="59116" spans="191:191" x14ac:dyDescent="0.2">
      <c r="GI59116" s="422"/>
    </row>
    <row r="59117" spans="191:191" x14ac:dyDescent="0.2">
      <c r="GI59117" s="422"/>
    </row>
    <row r="59118" spans="191:191" x14ac:dyDescent="0.2">
      <c r="GI59118" s="422"/>
    </row>
    <row r="59119" spans="191:191" x14ac:dyDescent="0.2">
      <c r="GI59119" s="422"/>
    </row>
    <row r="59120" spans="191:191" x14ac:dyDescent="0.2">
      <c r="GI59120" s="422"/>
    </row>
    <row r="59121" spans="191:191" x14ac:dyDescent="0.2">
      <c r="GI59121" s="422"/>
    </row>
    <row r="59122" spans="191:191" x14ac:dyDescent="0.2">
      <c r="GI59122" s="422"/>
    </row>
    <row r="59123" spans="191:191" x14ac:dyDescent="0.2">
      <c r="GI59123" s="422"/>
    </row>
    <row r="59124" spans="191:191" x14ac:dyDescent="0.2">
      <c r="GI59124" s="422"/>
    </row>
    <row r="59125" spans="191:191" x14ac:dyDescent="0.2">
      <c r="GI59125" s="422"/>
    </row>
    <row r="59126" spans="191:191" x14ac:dyDescent="0.2">
      <c r="GI59126" s="422"/>
    </row>
    <row r="59127" spans="191:191" x14ac:dyDescent="0.2">
      <c r="GI59127" s="422"/>
    </row>
    <row r="59128" spans="191:191" x14ac:dyDescent="0.2">
      <c r="GI59128" s="422"/>
    </row>
    <row r="59129" spans="191:191" x14ac:dyDescent="0.2">
      <c r="GI59129" s="422"/>
    </row>
    <row r="59130" spans="191:191" x14ac:dyDescent="0.2">
      <c r="GI59130" s="422"/>
    </row>
    <row r="59131" spans="191:191" x14ac:dyDescent="0.2">
      <c r="GI59131" s="422"/>
    </row>
    <row r="59132" spans="191:191" x14ac:dyDescent="0.2">
      <c r="GI59132" s="422"/>
    </row>
    <row r="59133" spans="191:191" x14ac:dyDescent="0.2">
      <c r="GI59133" s="422"/>
    </row>
    <row r="59134" spans="191:191" x14ac:dyDescent="0.2">
      <c r="GI59134" s="422"/>
    </row>
    <row r="59135" spans="191:191" x14ac:dyDescent="0.2">
      <c r="GI59135" s="422"/>
    </row>
    <row r="59136" spans="191:191" x14ac:dyDescent="0.2">
      <c r="GI59136" s="422"/>
    </row>
    <row r="59137" spans="191:191" x14ac:dyDescent="0.2">
      <c r="GI59137" s="422"/>
    </row>
    <row r="59138" spans="191:191" x14ac:dyDescent="0.2">
      <c r="GI59138" s="422"/>
    </row>
    <row r="59139" spans="191:191" x14ac:dyDescent="0.2">
      <c r="GI59139" s="422"/>
    </row>
    <row r="59140" spans="191:191" x14ac:dyDescent="0.2">
      <c r="GI59140" s="422"/>
    </row>
    <row r="59141" spans="191:191" x14ac:dyDescent="0.2">
      <c r="GI59141" s="422"/>
    </row>
    <row r="59142" spans="191:191" x14ac:dyDescent="0.2">
      <c r="GI59142" s="422"/>
    </row>
    <row r="59143" spans="191:191" x14ac:dyDescent="0.2">
      <c r="GI59143" s="422"/>
    </row>
    <row r="59144" spans="191:191" x14ac:dyDescent="0.2">
      <c r="GI59144" s="422"/>
    </row>
    <row r="59145" spans="191:191" x14ac:dyDescent="0.2">
      <c r="GI59145" s="422"/>
    </row>
    <row r="59146" spans="191:191" x14ac:dyDescent="0.2">
      <c r="GI59146" s="422"/>
    </row>
    <row r="59147" spans="191:191" x14ac:dyDescent="0.2">
      <c r="GI59147" s="422"/>
    </row>
    <row r="59148" spans="191:191" x14ac:dyDescent="0.2">
      <c r="GI59148" s="422"/>
    </row>
    <row r="59149" spans="191:191" x14ac:dyDescent="0.2">
      <c r="GI59149" s="422"/>
    </row>
    <row r="59150" spans="191:191" x14ac:dyDescent="0.2">
      <c r="GI59150" s="422"/>
    </row>
    <row r="59151" spans="191:191" x14ac:dyDescent="0.2">
      <c r="GI59151" s="422"/>
    </row>
    <row r="59152" spans="191:191" x14ac:dyDescent="0.2">
      <c r="GI59152" s="422"/>
    </row>
    <row r="59153" spans="191:191" x14ac:dyDescent="0.2">
      <c r="GI59153" s="422"/>
    </row>
    <row r="59154" spans="191:191" x14ac:dyDescent="0.2">
      <c r="GI59154" s="422"/>
    </row>
    <row r="59155" spans="191:191" x14ac:dyDescent="0.2">
      <c r="GI59155" s="422"/>
    </row>
    <row r="59156" spans="191:191" x14ac:dyDescent="0.2">
      <c r="GI59156" s="422"/>
    </row>
    <row r="59157" spans="191:191" x14ac:dyDescent="0.2">
      <c r="GI59157" s="422"/>
    </row>
    <row r="59158" spans="191:191" x14ac:dyDescent="0.2">
      <c r="GI59158" s="422"/>
    </row>
    <row r="59159" spans="191:191" x14ac:dyDescent="0.2">
      <c r="GI59159" s="422"/>
    </row>
    <row r="59160" spans="191:191" x14ac:dyDescent="0.2">
      <c r="GI59160" s="422"/>
    </row>
    <row r="59161" spans="191:191" x14ac:dyDescent="0.2">
      <c r="GI59161" s="422"/>
    </row>
    <row r="59162" spans="191:191" x14ac:dyDescent="0.2">
      <c r="GI59162" s="422"/>
    </row>
    <row r="59163" spans="191:191" x14ac:dyDescent="0.2">
      <c r="GI59163" s="422"/>
    </row>
    <row r="59164" spans="191:191" x14ac:dyDescent="0.2">
      <c r="GI59164" s="422"/>
    </row>
    <row r="59165" spans="191:191" x14ac:dyDescent="0.2">
      <c r="GI59165" s="422"/>
    </row>
    <row r="59166" spans="191:191" x14ac:dyDescent="0.2">
      <c r="GI59166" s="422"/>
    </row>
    <row r="59167" spans="191:191" x14ac:dyDescent="0.2">
      <c r="GI59167" s="422"/>
    </row>
    <row r="59168" spans="191:191" x14ac:dyDescent="0.2">
      <c r="GI59168" s="422"/>
    </row>
    <row r="59169" spans="191:191" x14ac:dyDescent="0.2">
      <c r="GI59169" s="422"/>
    </row>
    <row r="59170" spans="191:191" x14ac:dyDescent="0.2">
      <c r="GI59170" s="422"/>
    </row>
    <row r="59171" spans="191:191" x14ac:dyDescent="0.2">
      <c r="GI59171" s="422"/>
    </row>
    <row r="59172" spans="191:191" x14ac:dyDescent="0.2">
      <c r="GI59172" s="422"/>
    </row>
    <row r="59173" spans="191:191" x14ac:dyDescent="0.2">
      <c r="GI59173" s="422"/>
    </row>
    <row r="59174" spans="191:191" x14ac:dyDescent="0.2">
      <c r="GI59174" s="422"/>
    </row>
    <row r="59175" spans="191:191" x14ac:dyDescent="0.2">
      <c r="GI59175" s="422"/>
    </row>
    <row r="59176" spans="191:191" x14ac:dyDescent="0.2">
      <c r="GI59176" s="422"/>
    </row>
    <row r="59177" spans="191:191" x14ac:dyDescent="0.2">
      <c r="GI59177" s="422"/>
    </row>
    <row r="59178" spans="191:191" x14ac:dyDescent="0.2">
      <c r="GI59178" s="422"/>
    </row>
    <row r="59179" spans="191:191" x14ac:dyDescent="0.2">
      <c r="GI59179" s="422"/>
    </row>
    <row r="59180" spans="191:191" x14ac:dyDescent="0.2">
      <c r="GI59180" s="422"/>
    </row>
    <row r="59181" spans="191:191" x14ac:dyDescent="0.2">
      <c r="GI59181" s="422"/>
    </row>
    <row r="59182" spans="191:191" x14ac:dyDescent="0.2">
      <c r="GI59182" s="422"/>
    </row>
    <row r="59183" spans="191:191" x14ac:dyDescent="0.2">
      <c r="GI59183" s="422"/>
    </row>
    <row r="59184" spans="191:191" x14ac:dyDescent="0.2">
      <c r="GI59184" s="422"/>
    </row>
    <row r="59185" spans="191:191" x14ac:dyDescent="0.2">
      <c r="GI59185" s="422"/>
    </row>
    <row r="59186" spans="191:191" x14ac:dyDescent="0.2">
      <c r="GI59186" s="422"/>
    </row>
    <row r="59187" spans="191:191" x14ac:dyDescent="0.2">
      <c r="GI59187" s="422"/>
    </row>
    <row r="59188" spans="191:191" x14ac:dyDescent="0.2">
      <c r="GI59188" s="422"/>
    </row>
    <row r="59189" spans="191:191" x14ac:dyDescent="0.2">
      <c r="GI59189" s="422"/>
    </row>
    <row r="59190" spans="191:191" x14ac:dyDescent="0.2">
      <c r="GI59190" s="422"/>
    </row>
    <row r="59191" spans="191:191" x14ac:dyDescent="0.2">
      <c r="GI59191" s="422"/>
    </row>
    <row r="59192" spans="191:191" x14ac:dyDescent="0.2">
      <c r="GI59192" s="422"/>
    </row>
    <row r="59193" spans="191:191" x14ac:dyDescent="0.2">
      <c r="GI59193" s="422"/>
    </row>
    <row r="59194" spans="191:191" x14ac:dyDescent="0.2">
      <c r="GI59194" s="422"/>
    </row>
    <row r="59195" spans="191:191" x14ac:dyDescent="0.2">
      <c r="GI59195" s="422"/>
    </row>
    <row r="59196" spans="191:191" x14ac:dyDescent="0.2">
      <c r="GI59196" s="422"/>
    </row>
    <row r="59197" spans="191:191" x14ac:dyDescent="0.2">
      <c r="GI59197" s="422"/>
    </row>
    <row r="59198" spans="191:191" x14ac:dyDescent="0.2">
      <c r="GI59198" s="422"/>
    </row>
    <row r="59199" spans="191:191" x14ac:dyDescent="0.2">
      <c r="GI59199" s="422"/>
    </row>
    <row r="59200" spans="191:191" x14ac:dyDescent="0.2">
      <c r="GI59200" s="422"/>
    </row>
    <row r="59201" spans="191:191" x14ac:dyDescent="0.2">
      <c r="GI59201" s="422"/>
    </row>
    <row r="59202" spans="191:191" x14ac:dyDescent="0.2">
      <c r="GI59202" s="422"/>
    </row>
    <row r="59203" spans="191:191" x14ac:dyDescent="0.2">
      <c r="GI59203" s="422"/>
    </row>
    <row r="59204" spans="191:191" x14ac:dyDescent="0.2">
      <c r="GI59204" s="422"/>
    </row>
    <row r="59205" spans="191:191" x14ac:dyDescent="0.2">
      <c r="GI59205" s="422"/>
    </row>
    <row r="59206" spans="191:191" x14ac:dyDescent="0.2">
      <c r="GI59206" s="422"/>
    </row>
    <row r="59207" spans="191:191" x14ac:dyDescent="0.2">
      <c r="GI59207" s="422"/>
    </row>
    <row r="59208" spans="191:191" x14ac:dyDescent="0.2">
      <c r="GI59208" s="422"/>
    </row>
    <row r="59209" spans="191:191" x14ac:dyDescent="0.2">
      <c r="GI59209" s="422"/>
    </row>
    <row r="59210" spans="191:191" x14ac:dyDescent="0.2">
      <c r="GI59210" s="422"/>
    </row>
    <row r="59211" spans="191:191" x14ac:dyDescent="0.2">
      <c r="GI59211" s="422"/>
    </row>
    <row r="59212" spans="191:191" x14ac:dyDescent="0.2">
      <c r="GI59212" s="422"/>
    </row>
    <row r="59213" spans="191:191" x14ac:dyDescent="0.2">
      <c r="GI59213" s="422"/>
    </row>
    <row r="59214" spans="191:191" x14ac:dyDescent="0.2">
      <c r="GI59214" s="422"/>
    </row>
    <row r="59215" spans="191:191" x14ac:dyDescent="0.2">
      <c r="GI59215" s="422"/>
    </row>
    <row r="59216" spans="191:191" x14ac:dyDescent="0.2">
      <c r="GI59216" s="422"/>
    </row>
    <row r="59217" spans="191:191" x14ac:dyDescent="0.2">
      <c r="GI59217" s="422"/>
    </row>
    <row r="59218" spans="191:191" x14ac:dyDescent="0.2">
      <c r="GI59218" s="422"/>
    </row>
    <row r="59219" spans="191:191" x14ac:dyDescent="0.2">
      <c r="GI59219" s="422"/>
    </row>
    <row r="59220" spans="191:191" x14ac:dyDescent="0.2">
      <c r="GI59220" s="422"/>
    </row>
    <row r="59221" spans="191:191" x14ac:dyDescent="0.2">
      <c r="GI59221" s="422"/>
    </row>
    <row r="59222" spans="191:191" x14ac:dyDescent="0.2">
      <c r="GI59222" s="422"/>
    </row>
    <row r="59223" spans="191:191" x14ac:dyDescent="0.2">
      <c r="GI59223" s="422"/>
    </row>
    <row r="59224" spans="191:191" x14ac:dyDescent="0.2">
      <c r="GI59224" s="422"/>
    </row>
    <row r="59225" spans="191:191" x14ac:dyDescent="0.2">
      <c r="GI59225" s="422"/>
    </row>
    <row r="59226" spans="191:191" x14ac:dyDescent="0.2">
      <c r="GI59226" s="422"/>
    </row>
    <row r="59227" spans="191:191" x14ac:dyDescent="0.2">
      <c r="GI59227" s="422"/>
    </row>
    <row r="59228" spans="191:191" x14ac:dyDescent="0.2">
      <c r="GI59228" s="422"/>
    </row>
    <row r="59229" spans="191:191" x14ac:dyDescent="0.2">
      <c r="GI59229" s="422"/>
    </row>
    <row r="59230" spans="191:191" x14ac:dyDescent="0.2">
      <c r="GI59230" s="422"/>
    </row>
    <row r="59231" spans="191:191" x14ac:dyDescent="0.2">
      <c r="GI59231" s="422"/>
    </row>
    <row r="59232" spans="191:191" x14ac:dyDescent="0.2">
      <c r="GI59232" s="422"/>
    </row>
    <row r="59233" spans="191:191" x14ac:dyDescent="0.2">
      <c r="GI59233" s="422"/>
    </row>
    <row r="59234" spans="191:191" x14ac:dyDescent="0.2">
      <c r="GI59234" s="422"/>
    </row>
    <row r="59235" spans="191:191" x14ac:dyDescent="0.2">
      <c r="GI59235" s="422"/>
    </row>
    <row r="59236" spans="191:191" x14ac:dyDescent="0.2">
      <c r="GI59236" s="422"/>
    </row>
    <row r="59237" spans="191:191" x14ac:dyDescent="0.2">
      <c r="GI59237" s="422"/>
    </row>
    <row r="59238" spans="191:191" x14ac:dyDescent="0.2">
      <c r="GI59238" s="422"/>
    </row>
    <row r="59239" spans="191:191" x14ac:dyDescent="0.2">
      <c r="GI59239" s="422"/>
    </row>
    <row r="59240" spans="191:191" x14ac:dyDescent="0.2">
      <c r="GI59240" s="422"/>
    </row>
    <row r="59241" spans="191:191" x14ac:dyDescent="0.2">
      <c r="GI59241" s="422"/>
    </row>
    <row r="59242" spans="191:191" x14ac:dyDescent="0.2">
      <c r="GI59242" s="422"/>
    </row>
    <row r="59243" spans="191:191" x14ac:dyDescent="0.2">
      <c r="GI59243" s="422"/>
    </row>
    <row r="59244" spans="191:191" x14ac:dyDescent="0.2">
      <c r="GI59244" s="422"/>
    </row>
    <row r="59245" spans="191:191" x14ac:dyDescent="0.2">
      <c r="GI59245" s="422"/>
    </row>
    <row r="59246" spans="191:191" x14ac:dyDescent="0.2">
      <c r="GI59246" s="422"/>
    </row>
    <row r="59247" spans="191:191" x14ac:dyDescent="0.2">
      <c r="GI59247" s="422"/>
    </row>
    <row r="59248" spans="191:191" x14ac:dyDescent="0.2">
      <c r="GI59248" s="422"/>
    </row>
    <row r="59249" spans="191:191" x14ac:dyDescent="0.2">
      <c r="GI59249" s="422"/>
    </row>
    <row r="59250" spans="191:191" x14ac:dyDescent="0.2">
      <c r="GI59250" s="422"/>
    </row>
    <row r="59251" spans="191:191" x14ac:dyDescent="0.2">
      <c r="GI59251" s="422"/>
    </row>
    <row r="59252" spans="191:191" x14ac:dyDescent="0.2">
      <c r="GI59252" s="422"/>
    </row>
    <row r="59253" spans="191:191" x14ac:dyDescent="0.2">
      <c r="GI59253" s="422"/>
    </row>
    <row r="59254" spans="191:191" x14ac:dyDescent="0.2">
      <c r="GI59254" s="422"/>
    </row>
    <row r="59255" spans="191:191" x14ac:dyDescent="0.2">
      <c r="GI59255" s="422"/>
    </row>
    <row r="59256" spans="191:191" x14ac:dyDescent="0.2">
      <c r="GI59256" s="422"/>
    </row>
    <row r="59257" spans="191:191" x14ac:dyDescent="0.2">
      <c r="GI59257" s="422"/>
    </row>
    <row r="59258" spans="191:191" x14ac:dyDescent="0.2">
      <c r="GI59258" s="422"/>
    </row>
    <row r="59259" spans="191:191" x14ac:dyDescent="0.2">
      <c r="GI59259" s="422"/>
    </row>
    <row r="59260" spans="191:191" x14ac:dyDescent="0.2">
      <c r="GI59260" s="422"/>
    </row>
    <row r="59261" spans="191:191" x14ac:dyDescent="0.2">
      <c r="GI59261" s="422"/>
    </row>
    <row r="59262" spans="191:191" x14ac:dyDescent="0.2">
      <c r="GI59262" s="422"/>
    </row>
    <row r="59263" spans="191:191" x14ac:dyDescent="0.2">
      <c r="GI59263" s="422"/>
    </row>
    <row r="59264" spans="191:191" x14ac:dyDescent="0.2">
      <c r="GI59264" s="422"/>
    </row>
    <row r="59265" spans="191:191" x14ac:dyDescent="0.2">
      <c r="GI59265" s="422"/>
    </row>
    <row r="59266" spans="191:191" x14ac:dyDescent="0.2">
      <c r="GI59266" s="422"/>
    </row>
    <row r="59267" spans="191:191" x14ac:dyDescent="0.2">
      <c r="GI59267" s="422"/>
    </row>
    <row r="59268" spans="191:191" x14ac:dyDescent="0.2">
      <c r="GI59268" s="422"/>
    </row>
    <row r="59269" spans="191:191" x14ac:dyDescent="0.2">
      <c r="GI59269" s="422"/>
    </row>
    <row r="59270" spans="191:191" x14ac:dyDescent="0.2">
      <c r="GI59270" s="422"/>
    </row>
    <row r="59271" spans="191:191" x14ac:dyDescent="0.2">
      <c r="GI59271" s="422"/>
    </row>
    <row r="59272" spans="191:191" x14ac:dyDescent="0.2">
      <c r="GI59272" s="422"/>
    </row>
    <row r="59273" spans="191:191" x14ac:dyDescent="0.2">
      <c r="GI59273" s="422"/>
    </row>
    <row r="59274" spans="191:191" x14ac:dyDescent="0.2">
      <c r="GI59274" s="422"/>
    </row>
    <row r="59275" spans="191:191" x14ac:dyDescent="0.2">
      <c r="GI59275" s="422"/>
    </row>
    <row r="59276" spans="191:191" x14ac:dyDescent="0.2">
      <c r="GI59276" s="422"/>
    </row>
    <row r="59277" spans="191:191" x14ac:dyDescent="0.2">
      <c r="GI59277" s="422"/>
    </row>
    <row r="59278" spans="191:191" x14ac:dyDescent="0.2">
      <c r="GI59278" s="422"/>
    </row>
    <row r="59279" spans="191:191" x14ac:dyDescent="0.2">
      <c r="GI59279" s="422"/>
    </row>
    <row r="59280" spans="191:191" x14ac:dyDescent="0.2">
      <c r="GI59280" s="422"/>
    </row>
    <row r="59281" spans="191:191" x14ac:dyDescent="0.2">
      <c r="GI59281" s="422"/>
    </row>
    <row r="59282" spans="191:191" x14ac:dyDescent="0.2">
      <c r="GI59282" s="422"/>
    </row>
    <row r="59283" spans="191:191" x14ac:dyDescent="0.2">
      <c r="GI59283" s="422"/>
    </row>
    <row r="59284" spans="191:191" x14ac:dyDescent="0.2">
      <c r="GI59284" s="422"/>
    </row>
    <row r="59285" spans="191:191" x14ac:dyDescent="0.2">
      <c r="GI59285" s="422"/>
    </row>
    <row r="59286" spans="191:191" x14ac:dyDescent="0.2">
      <c r="GI59286" s="422"/>
    </row>
    <row r="59287" spans="191:191" x14ac:dyDescent="0.2">
      <c r="GI59287" s="422"/>
    </row>
    <row r="59288" spans="191:191" x14ac:dyDescent="0.2">
      <c r="GI59288" s="422"/>
    </row>
    <row r="59289" spans="191:191" x14ac:dyDescent="0.2">
      <c r="GI59289" s="422"/>
    </row>
    <row r="59290" spans="191:191" x14ac:dyDescent="0.2">
      <c r="GI59290" s="422"/>
    </row>
    <row r="59291" spans="191:191" x14ac:dyDescent="0.2">
      <c r="GI59291" s="422"/>
    </row>
    <row r="59292" spans="191:191" x14ac:dyDescent="0.2">
      <c r="GI59292" s="422"/>
    </row>
    <row r="59293" spans="191:191" x14ac:dyDescent="0.2">
      <c r="GI59293" s="422"/>
    </row>
    <row r="59294" spans="191:191" x14ac:dyDescent="0.2">
      <c r="GI59294" s="422"/>
    </row>
    <row r="59295" spans="191:191" x14ac:dyDescent="0.2">
      <c r="GI59295" s="422"/>
    </row>
    <row r="59296" spans="191:191" x14ac:dyDescent="0.2">
      <c r="GI59296" s="422"/>
    </row>
    <row r="59297" spans="191:191" x14ac:dyDescent="0.2">
      <c r="GI59297" s="422"/>
    </row>
    <row r="59298" spans="191:191" x14ac:dyDescent="0.2">
      <c r="GI59298" s="422"/>
    </row>
    <row r="59299" spans="191:191" x14ac:dyDescent="0.2">
      <c r="GI59299" s="422"/>
    </row>
    <row r="59300" spans="191:191" x14ac:dyDescent="0.2">
      <c r="GI59300" s="422"/>
    </row>
    <row r="59301" spans="191:191" x14ac:dyDescent="0.2">
      <c r="GI59301" s="422"/>
    </row>
    <row r="59302" spans="191:191" x14ac:dyDescent="0.2">
      <c r="GI59302" s="422"/>
    </row>
    <row r="59303" spans="191:191" x14ac:dyDescent="0.2">
      <c r="GI59303" s="422"/>
    </row>
    <row r="59304" spans="191:191" x14ac:dyDescent="0.2">
      <c r="GI59304" s="422"/>
    </row>
    <row r="59305" spans="191:191" x14ac:dyDescent="0.2">
      <c r="GI59305" s="422"/>
    </row>
    <row r="59306" spans="191:191" x14ac:dyDescent="0.2">
      <c r="GI59306" s="422"/>
    </row>
    <row r="59307" spans="191:191" x14ac:dyDescent="0.2">
      <c r="GI59307" s="422"/>
    </row>
    <row r="59308" spans="191:191" x14ac:dyDescent="0.2">
      <c r="GI59308" s="422"/>
    </row>
    <row r="59309" spans="191:191" x14ac:dyDescent="0.2">
      <c r="GI59309" s="422"/>
    </row>
    <row r="59310" spans="191:191" x14ac:dyDescent="0.2">
      <c r="GI59310" s="422"/>
    </row>
    <row r="59311" spans="191:191" x14ac:dyDescent="0.2">
      <c r="GI59311" s="422"/>
    </row>
    <row r="59312" spans="191:191" x14ac:dyDescent="0.2">
      <c r="GI59312" s="422"/>
    </row>
    <row r="59313" spans="191:191" x14ac:dyDescent="0.2">
      <c r="GI59313" s="422"/>
    </row>
    <row r="59314" spans="191:191" x14ac:dyDescent="0.2">
      <c r="GI59314" s="422"/>
    </row>
    <row r="59315" spans="191:191" x14ac:dyDescent="0.2">
      <c r="GI59315" s="422"/>
    </row>
    <row r="59316" spans="191:191" x14ac:dyDescent="0.2">
      <c r="GI59316" s="422"/>
    </row>
    <row r="59317" spans="191:191" x14ac:dyDescent="0.2">
      <c r="GI59317" s="422"/>
    </row>
    <row r="59318" spans="191:191" x14ac:dyDescent="0.2">
      <c r="GI59318" s="422"/>
    </row>
    <row r="59319" spans="191:191" x14ac:dyDescent="0.2">
      <c r="GI59319" s="422"/>
    </row>
    <row r="59320" spans="191:191" x14ac:dyDescent="0.2">
      <c r="GI59320" s="422"/>
    </row>
    <row r="59321" spans="191:191" x14ac:dyDescent="0.2">
      <c r="GI59321" s="422"/>
    </row>
    <row r="59322" spans="191:191" x14ac:dyDescent="0.2">
      <c r="GI59322" s="422"/>
    </row>
    <row r="59323" spans="191:191" x14ac:dyDescent="0.2">
      <c r="GI59323" s="422"/>
    </row>
    <row r="59324" spans="191:191" x14ac:dyDescent="0.2">
      <c r="GI59324" s="422"/>
    </row>
    <row r="59325" spans="191:191" x14ac:dyDescent="0.2">
      <c r="GI59325" s="422"/>
    </row>
    <row r="59326" spans="191:191" x14ac:dyDescent="0.2">
      <c r="GI59326" s="422"/>
    </row>
    <row r="59327" spans="191:191" x14ac:dyDescent="0.2">
      <c r="GI59327" s="422"/>
    </row>
    <row r="59328" spans="191:191" x14ac:dyDescent="0.2">
      <c r="GI59328" s="422"/>
    </row>
    <row r="59329" spans="191:191" x14ac:dyDescent="0.2">
      <c r="GI59329" s="422"/>
    </row>
    <row r="59330" spans="191:191" x14ac:dyDescent="0.2">
      <c r="GI59330" s="422"/>
    </row>
    <row r="59331" spans="191:191" x14ac:dyDescent="0.2">
      <c r="GI59331" s="422"/>
    </row>
    <row r="59332" spans="191:191" x14ac:dyDescent="0.2">
      <c r="GI59332" s="422"/>
    </row>
    <row r="59333" spans="191:191" x14ac:dyDescent="0.2">
      <c r="GI59333" s="422"/>
    </row>
    <row r="59334" spans="191:191" x14ac:dyDescent="0.2">
      <c r="GI59334" s="422"/>
    </row>
    <row r="59335" spans="191:191" x14ac:dyDescent="0.2">
      <c r="GI59335" s="422"/>
    </row>
    <row r="59336" spans="191:191" x14ac:dyDescent="0.2">
      <c r="GI59336" s="422"/>
    </row>
    <row r="59337" spans="191:191" x14ac:dyDescent="0.2">
      <c r="GI59337" s="422"/>
    </row>
    <row r="59338" spans="191:191" x14ac:dyDescent="0.2">
      <c r="GI59338" s="422"/>
    </row>
    <row r="59339" spans="191:191" x14ac:dyDescent="0.2">
      <c r="GI59339" s="422"/>
    </row>
    <row r="59340" spans="191:191" x14ac:dyDescent="0.2">
      <c r="GI59340" s="422"/>
    </row>
    <row r="59341" spans="191:191" x14ac:dyDescent="0.2">
      <c r="GI59341" s="422"/>
    </row>
    <row r="59342" spans="191:191" x14ac:dyDescent="0.2">
      <c r="GI59342" s="422"/>
    </row>
    <row r="59343" spans="191:191" x14ac:dyDescent="0.2">
      <c r="GI59343" s="422"/>
    </row>
    <row r="59344" spans="191:191" x14ac:dyDescent="0.2">
      <c r="GI59344" s="422"/>
    </row>
    <row r="59345" spans="191:191" x14ac:dyDescent="0.2">
      <c r="GI59345" s="422"/>
    </row>
    <row r="59346" spans="191:191" x14ac:dyDescent="0.2">
      <c r="GI59346" s="422"/>
    </row>
    <row r="59347" spans="191:191" x14ac:dyDescent="0.2">
      <c r="GI59347" s="422"/>
    </row>
    <row r="59348" spans="191:191" x14ac:dyDescent="0.2">
      <c r="GI59348" s="422"/>
    </row>
    <row r="59349" spans="191:191" x14ac:dyDescent="0.2">
      <c r="GI59349" s="422"/>
    </row>
    <row r="59350" spans="191:191" x14ac:dyDescent="0.2">
      <c r="GI59350" s="422"/>
    </row>
    <row r="59351" spans="191:191" x14ac:dyDescent="0.2">
      <c r="GI59351" s="422"/>
    </row>
    <row r="59352" spans="191:191" x14ac:dyDescent="0.2">
      <c r="GI59352" s="422"/>
    </row>
    <row r="59353" spans="191:191" x14ac:dyDescent="0.2">
      <c r="GI59353" s="422"/>
    </row>
    <row r="59354" spans="191:191" x14ac:dyDescent="0.2">
      <c r="GI59354" s="422"/>
    </row>
    <row r="59355" spans="191:191" x14ac:dyDescent="0.2">
      <c r="GI59355" s="422"/>
    </row>
    <row r="59356" spans="191:191" x14ac:dyDescent="0.2">
      <c r="GI59356" s="422"/>
    </row>
    <row r="59357" spans="191:191" x14ac:dyDescent="0.2">
      <c r="GI59357" s="422"/>
    </row>
    <row r="59358" spans="191:191" x14ac:dyDescent="0.2">
      <c r="GI59358" s="422"/>
    </row>
    <row r="59359" spans="191:191" x14ac:dyDescent="0.2">
      <c r="GI59359" s="422"/>
    </row>
    <row r="59360" spans="191:191" x14ac:dyDescent="0.2">
      <c r="GI59360" s="422"/>
    </row>
    <row r="59361" spans="191:191" x14ac:dyDescent="0.2">
      <c r="GI59361" s="422"/>
    </row>
    <row r="59362" spans="191:191" x14ac:dyDescent="0.2">
      <c r="GI59362" s="422"/>
    </row>
    <row r="59363" spans="191:191" x14ac:dyDescent="0.2">
      <c r="GI59363" s="422"/>
    </row>
    <row r="59364" spans="191:191" x14ac:dyDescent="0.2">
      <c r="GI59364" s="422"/>
    </row>
    <row r="59365" spans="191:191" x14ac:dyDescent="0.2">
      <c r="GI59365" s="422"/>
    </row>
    <row r="59366" spans="191:191" x14ac:dyDescent="0.2">
      <c r="GI59366" s="422"/>
    </row>
    <row r="59367" spans="191:191" x14ac:dyDescent="0.2">
      <c r="GI59367" s="422"/>
    </row>
    <row r="59368" spans="191:191" x14ac:dyDescent="0.2">
      <c r="GI59368" s="422"/>
    </row>
    <row r="59369" spans="191:191" x14ac:dyDescent="0.2">
      <c r="GI59369" s="422"/>
    </row>
    <row r="59370" spans="191:191" x14ac:dyDescent="0.2">
      <c r="GI59370" s="422"/>
    </row>
    <row r="59371" spans="191:191" x14ac:dyDescent="0.2">
      <c r="GI59371" s="422"/>
    </row>
    <row r="59372" spans="191:191" x14ac:dyDescent="0.2">
      <c r="GI59372" s="422"/>
    </row>
    <row r="59373" spans="191:191" x14ac:dyDescent="0.2">
      <c r="GI59373" s="422"/>
    </row>
    <row r="59374" spans="191:191" x14ac:dyDescent="0.2">
      <c r="GI59374" s="422"/>
    </row>
    <row r="59375" spans="191:191" x14ac:dyDescent="0.2">
      <c r="GI59375" s="422"/>
    </row>
    <row r="59376" spans="191:191" x14ac:dyDescent="0.2">
      <c r="GI59376" s="422"/>
    </row>
    <row r="59377" spans="191:191" x14ac:dyDescent="0.2">
      <c r="GI59377" s="422"/>
    </row>
    <row r="59378" spans="191:191" x14ac:dyDescent="0.2">
      <c r="GI59378" s="422"/>
    </row>
    <row r="59379" spans="191:191" x14ac:dyDescent="0.2">
      <c r="GI59379" s="422"/>
    </row>
    <row r="59380" spans="191:191" x14ac:dyDescent="0.2">
      <c r="GI59380" s="422"/>
    </row>
    <row r="59381" spans="191:191" x14ac:dyDescent="0.2">
      <c r="GI59381" s="422"/>
    </row>
    <row r="59382" spans="191:191" x14ac:dyDescent="0.2">
      <c r="GI59382" s="422"/>
    </row>
    <row r="59383" spans="191:191" x14ac:dyDescent="0.2">
      <c r="GI59383" s="422"/>
    </row>
    <row r="59384" spans="191:191" x14ac:dyDescent="0.2">
      <c r="GI59384" s="422"/>
    </row>
    <row r="59385" spans="191:191" x14ac:dyDescent="0.2">
      <c r="GI59385" s="422"/>
    </row>
    <row r="59386" spans="191:191" x14ac:dyDescent="0.2">
      <c r="GI59386" s="422"/>
    </row>
    <row r="59387" spans="191:191" x14ac:dyDescent="0.2">
      <c r="GI59387" s="422"/>
    </row>
    <row r="59388" spans="191:191" x14ac:dyDescent="0.2">
      <c r="GI59388" s="422"/>
    </row>
    <row r="59389" spans="191:191" x14ac:dyDescent="0.2">
      <c r="GI59389" s="422"/>
    </row>
    <row r="59390" spans="191:191" x14ac:dyDescent="0.2">
      <c r="GI59390" s="422"/>
    </row>
    <row r="59391" spans="191:191" x14ac:dyDescent="0.2">
      <c r="GI59391" s="422"/>
    </row>
    <row r="59392" spans="191:191" x14ac:dyDescent="0.2">
      <c r="GI59392" s="422"/>
    </row>
    <row r="59393" spans="191:191" x14ac:dyDescent="0.2">
      <c r="GI59393" s="422"/>
    </row>
    <row r="59394" spans="191:191" x14ac:dyDescent="0.2">
      <c r="GI59394" s="422"/>
    </row>
    <row r="59395" spans="191:191" x14ac:dyDescent="0.2">
      <c r="GI59395" s="422"/>
    </row>
    <row r="59396" spans="191:191" x14ac:dyDescent="0.2">
      <c r="GI59396" s="422"/>
    </row>
    <row r="59397" spans="191:191" x14ac:dyDescent="0.2">
      <c r="GI59397" s="422"/>
    </row>
    <row r="59398" spans="191:191" x14ac:dyDescent="0.2">
      <c r="GI59398" s="422"/>
    </row>
    <row r="59399" spans="191:191" x14ac:dyDescent="0.2">
      <c r="GI59399" s="422"/>
    </row>
    <row r="59400" spans="191:191" x14ac:dyDescent="0.2">
      <c r="GI59400" s="422"/>
    </row>
    <row r="59401" spans="191:191" x14ac:dyDescent="0.2">
      <c r="GI59401" s="422"/>
    </row>
    <row r="59402" spans="191:191" x14ac:dyDescent="0.2">
      <c r="GI59402" s="422"/>
    </row>
    <row r="59403" spans="191:191" x14ac:dyDescent="0.2">
      <c r="GI59403" s="422"/>
    </row>
    <row r="59404" spans="191:191" x14ac:dyDescent="0.2">
      <c r="GI59404" s="422"/>
    </row>
    <row r="59405" spans="191:191" x14ac:dyDescent="0.2">
      <c r="GI59405" s="422"/>
    </row>
    <row r="59406" spans="191:191" x14ac:dyDescent="0.2">
      <c r="GI59406" s="422"/>
    </row>
    <row r="59407" spans="191:191" x14ac:dyDescent="0.2">
      <c r="GI59407" s="422"/>
    </row>
    <row r="59408" spans="191:191" x14ac:dyDescent="0.2">
      <c r="GI59408" s="422"/>
    </row>
    <row r="59409" spans="191:191" x14ac:dyDescent="0.2">
      <c r="GI59409" s="422"/>
    </row>
    <row r="59410" spans="191:191" x14ac:dyDescent="0.2">
      <c r="GI59410" s="422"/>
    </row>
    <row r="59411" spans="191:191" x14ac:dyDescent="0.2">
      <c r="GI59411" s="422"/>
    </row>
    <row r="59412" spans="191:191" x14ac:dyDescent="0.2">
      <c r="GI59412" s="422"/>
    </row>
    <row r="59413" spans="191:191" x14ac:dyDescent="0.2">
      <c r="GI59413" s="422"/>
    </row>
    <row r="59414" spans="191:191" x14ac:dyDescent="0.2">
      <c r="GI59414" s="422"/>
    </row>
    <row r="59415" spans="191:191" x14ac:dyDescent="0.2">
      <c r="GI59415" s="422"/>
    </row>
    <row r="59416" spans="191:191" x14ac:dyDescent="0.2">
      <c r="GI59416" s="422"/>
    </row>
    <row r="59417" spans="191:191" x14ac:dyDescent="0.2">
      <c r="GI59417" s="422"/>
    </row>
    <row r="59418" spans="191:191" x14ac:dyDescent="0.2">
      <c r="GI59418" s="422"/>
    </row>
    <row r="59419" spans="191:191" x14ac:dyDescent="0.2">
      <c r="GI59419" s="422"/>
    </row>
    <row r="59420" spans="191:191" x14ac:dyDescent="0.2">
      <c r="GI59420" s="422"/>
    </row>
    <row r="59421" spans="191:191" x14ac:dyDescent="0.2">
      <c r="GI59421" s="422"/>
    </row>
    <row r="59422" spans="191:191" x14ac:dyDescent="0.2">
      <c r="GI59422" s="422"/>
    </row>
    <row r="59423" spans="191:191" x14ac:dyDescent="0.2">
      <c r="GI59423" s="422"/>
    </row>
    <row r="59424" spans="191:191" x14ac:dyDescent="0.2">
      <c r="GI59424" s="422"/>
    </row>
    <row r="59425" spans="191:191" x14ac:dyDescent="0.2">
      <c r="GI59425" s="422"/>
    </row>
    <row r="59426" spans="191:191" x14ac:dyDescent="0.2">
      <c r="GI59426" s="422"/>
    </row>
    <row r="59427" spans="191:191" x14ac:dyDescent="0.2">
      <c r="GI59427" s="422"/>
    </row>
    <row r="59428" spans="191:191" x14ac:dyDescent="0.2">
      <c r="GI59428" s="422"/>
    </row>
    <row r="59429" spans="191:191" x14ac:dyDescent="0.2">
      <c r="GI59429" s="422"/>
    </row>
    <row r="59430" spans="191:191" x14ac:dyDescent="0.2">
      <c r="GI59430" s="422"/>
    </row>
    <row r="59431" spans="191:191" x14ac:dyDescent="0.2">
      <c r="GI59431" s="422"/>
    </row>
    <row r="59432" spans="191:191" x14ac:dyDescent="0.2">
      <c r="GI59432" s="422"/>
    </row>
    <row r="59433" spans="191:191" x14ac:dyDescent="0.2">
      <c r="GI59433" s="422"/>
    </row>
    <row r="59434" spans="191:191" x14ac:dyDescent="0.2">
      <c r="GI59434" s="422"/>
    </row>
    <row r="59435" spans="191:191" x14ac:dyDescent="0.2">
      <c r="GI59435" s="422"/>
    </row>
    <row r="59436" spans="191:191" x14ac:dyDescent="0.2">
      <c r="GI59436" s="422"/>
    </row>
    <row r="59437" spans="191:191" x14ac:dyDescent="0.2">
      <c r="GI59437" s="422"/>
    </row>
    <row r="59438" spans="191:191" x14ac:dyDescent="0.2">
      <c r="GI59438" s="422"/>
    </row>
    <row r="59439" spans="191:191" x14ac:dyDescent="0.2">
      <c r="GI59439" s="422"/>
    </row>
    <row r="59440" spans="191:191" x14ac:dyDescent="0.2">
      <c r="GI59440" s="422"/>
    </row>
    <row r="59441" spans="191:191" x14ac:dyDescent="0.2">
      <c r="GI59441" s="422"/>
    </row>
    <row r="59442" spans="191:191" x14ac:dyDescent="0.2">
      <c r="GI59442" s="422"/>
    </row>
    <row r="59443" spans="191:191" x14ac:dyDescent="0.2">
      <c r="GI59443" s="422"/>
    </row>
    <row r="59444" spans="191:191" x14ac:dyDescent="0.2">
      <c r="GI59444" s="422"/>
    </row>
    <row r="59445" spans="191:191" x14ac:dyDescent="0.2">
      <c r="GI59445" s="422"/>
    </row>
    <row r="59446" spans="191:191" x14ac:dyDescent="0.2">
      <c r="GI59446" s="422"/>
    </row>
    <row r="59447" spans="191:191" x14ac:dyDescent="0.2">
      <c r="GI59447" s="422"/>
    </row>
    <row r="59448" spans="191:191" x14ac:dyDescent="0.2">
      <c r="GI59448" s="422"/>
    </row>
    <row r="59449" spans="191:191" x14ac:dyDescent="0.2">
      <c r="GI59449" s="422"/>
    </row>
    <row r="59450" spans="191:191" x14ac:dyDescent="0.2">
      <c r="GI59450" s="422"/>
    </row>
    <row r="59451" spans="191:191" x14ac:dyDescent="0.2">
      <c r="GI59451" s="422"/>
    </row>
    <row r="59452" spans="191:191" x14ac:dyDescent="0.2">
      <c r="GI59452" s="422"/>
    </row>
    <row r="59453" spans="191:191" x14ac:dyDescent="0.2">
      <c r="GI59453" s="422"/>
    </row>
    <row r="59454" spans="191:191" x14ac:dyDescent="0.2">
      <c r="GI59454" s="422"/>
    </row>
    <row r="59455" spans="191:191" x14ac:dyDescent="0.2">
      <c r="GI59455" s="422"/>
    </row>
    <row r="59456" spans="191:191" x14ac:dyDescent="0.2">
      <c r="GI59456" s="422"/>
    </row>
    <row r="59457" spans="191:191" x14ac:dyDescent="0.2">
      <c r="GI59457" s="422"/>
    </row>
    <row r="59458" spans="191:191" x14ac:dyDescent="0.2">
      <c r="GI59458" s="422"/>
    </row>
    <row r="59459" spans="191:191" x14ac:dyDescent="0.2">
      <c r="GI59459" s="422"/>
    </row>
    <row r="59460" spans="191:191" x14ac:dyDescent="0.2">
      <c r="GI59460" s="422"/>
    </row>
    <row r="59461" spans="191:191" x14ac:dyDescent="0.2">
      <c r="GI59461" s="422"/>
    </row>
    <row r="59462" spans="191:191" x14ac:dyDescent="0.2">
      <c r="GI59462" s="422"/>
    </row>
    <row r="59463" spans="191:191" x14ac:dyDescent="0.2">
      <c r="GI59463" s="422"/>
    </row>
    <row r="59464" spans="191:191" x14ac:dyDescent="0.2">
      <c r="GI59464" s="422"/>
    </row>
    <row r="59465" spans="191:191" x14ac:dyDescent="0.2">
      <c r="GI59465" s="422"/>
    </row>
    <row r="59466" spans="191:191" x14ac:dyDescent="0.2">
      <c r="GI59466" s="422"/>
    </row>
    <row r="59467" spans="191:191" x14ac:dyDescent="0.2">
      <c r="GI59467" s="422"/>
    </row>
    <row r="59468" spans="191:191" x14ac:dyDescent="0.2">
      <c r="GI59468" s="422"/>
    </row>
    <row r="59469" spans="191:191" x14ac:dyDescent="0.2">
      <c r="GI59469" s="422"/>
    </row>
    <row r="59470" spans="191:191" x14ac:dyDescent="0.2">
      <c r="GI59470" s="422"/>
    </row>
    <row r="59471" spans="191:191" x14ac:dyDescent="0.2">
      <c r="GI59471" s="422"/>
    </row>
    <row r="59472" spans="191:191" x14ac:dyDescent="0.2">
      <c r="GI59472" s="422"/>
    </row>
    <row r="59473" spans="191:191" x14ac:dyDescent="0.2">
      <c r="GI59473" s="422"/>
    </row>
    <row r="59474" spans="191:191" x14ac:dyDescent="0.2">
      <c r="GI59474" s="422"/>
    </row>
    <row r="59475" spans="191:191" x14ac:dyDescent="0.2">
      <c r="GI59475" s="422"/>
    </row>
    <row r="59476" spans="191:191" x14ac:dyDescent="0.2">
      <c r="GI59476" s="422"/>
    </row>
    <row r="59477" spans="191:191" x14ac:dyDescent="0.2">
      <c r="GI59477" s="422"/>
    </row>
    <row r="59478" spans="191:191" x14ac:dyDescent="0.2">
      <c r="GI59478" s="422"/>
    </row>
    <row r="59479" spans="191:191" x14ac:dyDescent="0.2">
      <c r="GI59479" s="422"/>
    </row>
    <row r="59480" spans="191:191" x14ac:dyDescent="0.2">
      <c r="GI59480" s="422"/>
    </row>
    <row r="59481" spans="191:191" x14ac:dyDescent="0.2">
      <c r="GI59481" s="422"/>
    </row>
    <row r="59482" spans="191:191" x14ac:dyDescent="0.2">
      <c r="GI59482" s="422"/>
    </row>
    <row r="59483" spans="191:191" x14ac:dyDescent="0.2">
      <c r="GI59483" s="422"/>
    </row>
    <row r="59484" spans="191:191" x14ac:dyDescent="0.2">
      <c r="GI59484" s="422"/>
    </row>
    <row r="59485" spans="191:191" x14ac:dyDescent="0.2">
      <c r="GI59485" s="422"/>
    </row>
    <row r="59486" spans="191:191" x14ac:dyDescent="0.2">
      <c r="GI59486" s="422"/>
    </row>
    <row r="59487" spans="191:191" x14ac:dyDescent="0.2">
      <c r="GI59487" s="422"/>
    </row>
    <row r="59488" spans="191:191" x14ac:dyDescent="0.2">
      <c r="GI59488" s="422"/>
    </row>
    <row r="59489" spans="191:191" x14ac:dyDescent="0.2">
      <c r="GI59489" s="422"/>
    </row>
    <row r="59490" spans="191:191" x14ac:dyDescent="0.2">
      <c r="GI59490" s="422"/>
    </row>
    <row r="59491" spans="191:191" x14ac:dyDescent="0.2">
      <c r="GI59491" s="422"/>
    </row>
    <row r="59492" spans="191:191" x14ac:dyDescent="0.2">
      <c r="GI59492" s="422"/>
    </row>
    <row r="59493" spans="191:191" x14ac:dyDescent="0.2">
      <c r="GI59493" s="422"/>
    </row>
    <row r="59494" spans="191:191" x14ac:dyDescent="0.2">
      <c r="GI59494" s="422"/>
    </row>
    <row r="59495" spans="191:191" x14ac:dyDescent="0.2">
      <c r="GI59495" s="422"/>
    </row>
    <row r="59496" spans="191:191" x14ac:dyDescent="0.2">
      <c r="GI59496" s="422"/>
    </row>
    <row r="59497" spans="191:191" x14ac:dyDescent="0.2">
      <c r="GI59497" s="422"/>
    </row>
    <row r="59498" spans="191:191" x14ac:dyDescent="0.2">
      <c r="GI59498" s="422"/>
    </row>
    <row r="59499" spans="191:191" x14ac:dyDescent="0.2">
      <c r="GI59499" s="422"/>
    </row>
    <row r="59500" spans="191:191" x14ac:dyDescent="0.2">
      <c r="GI59500" s="422"/>
    </row>
    <row r="59501" spans="191:191" x14ac:dyDescent="0.2">
      <c r="GI59501" s="422"/>
    </row>
    <row r="59502" spans="191:191" x14ac:dyDescent="0.2">
      <c r="GI59502" s="422"/>
    </row>
    <row r="59503" spans="191:191" x14ac:dyDescent="0.2">
      <c r="GI59503" s="422"/>
    </row>
    <row r="59504" spans="191:191" x14ac:dyDescent="0.2">
      <c r="GI59504" s="422"/>
    </row>
    <row r="59505" spans="191:191" x14ac:dyDescent="0.2">
      <c r="GI59505" s="422"/>
    </row>
    <row r="59506" spans="191:191" x14ac:dyDescent="0.2">
      <c r="GI59506" s="422"/>
    </row>
    <row r="59507" spans="191:191" x14ac:dyDescent="0.2">
      <c r="GI59507" s="422"/>
    </row>
    <row r="59508" spans="191:191" x14ac:dyDescent="0.2">
      <c r="GI59508" s="422"/>
    </row>
    <row r="59509" spans="191:191" x14ac:dyDescent="0.2">
      <c r="GI59509" s="422"/>
    </row>
    <row r="59510" spans="191:191" x14ac:dyDescent="0.2">
      <c r="GI59510" s="422"/>
    </row>
    <row r="59511" spans="191:191" x14ac:dyDescent="0.2">
      <c r="GI59511" s="422"/>
    </row>
    <row r="59512" spans="191:191" x14ac:dyDescent="0.2">
      <c r="GI59512" s="422"/>
    </row>
    <row r="59513" spans="191:191" x14ac:dyDescent="0.2">
      <c r="GI59513" s="422"/>
    </row>
    <row r="59514" spans="191:191" x14ac:dyDescent="0.2">
      <c r="GI59514" s="422"/>
    </row>
    <row r="59515" spans="191:191" x14ac:dyDescent="0.2">
      <c r="GI59515" s="422"/>
    </row>
    <row r="59516" spans="191:191" x14ac:dyDescent="0.2">
      <c r="GI59516" s="422"/>
    </row>
    <row r="59517" spans="191:191" x14ac:dyDescent="0.2">
      <c r="GI59517" s="422"/>
    </row>
    <row r="59518" spans="191:191" x14ac:dyDescent="0.2">
      <c r="GI59518" s="422"/>
    </row>
    <row r="59519" spans="191:191" x14ac:dyDescent="0.2">
      <c r="GI59519" s="422"/>
    </row>
    <row r="59520" spans="191:191" x14ac:dyDescent="0.2">
      <c r="GI59520" s="422"/>
    </row>
    <row r="59521" spans="191:191" x14ac:dyDescent="0.2">
      <c r="GI59521" s="422"/>
    </row>
    <row r="59522" spans="191:191" x14ac:dyDescent="0.2">
      <c r="GI59522" s="422"/>
    </row>
    <row r="59523" spans="191:191" x14ac:dyDescent="0.2">
      <c r="GI59523" s="422"/>
    </row>
    <row r="59524" spans="191:191" x14ac:dyDescent="0.2">
      <c r="GI59524" s="422"/>
    </row>
    <row r="59525" spans="191:191" x14ac:dyDescent="0.2">
      <c r="GI59525" s="422"/>
    </row>
    <row r="59526" spans="191:191" x14ac:dyDescent="0.2">
      <c r="GI59526" s="422"/>
    </row>
    <row r="59527" spans="191:191" x14ac:dyDescent="0.2">
      <c r="GI59527" s="422"/>
    </row>
    <row r="59528" spans="191:191" x14ac:dyDescent="0.2">
      <c r="GI59528" s="422"/>
    </row>
    <row r="59529" spans="191:191" x14ac:dyDescent="0.2">
      <c r="GI59529" s="422"/>
    </row>
    <row r="59530" spans="191:191" x14ac:dyDescent="0.2">
      <c r="GI59530" s="422"/>
    </row>
    <row r="59531" spans="191:191" x14ac:dyDescent="0.2">
      <c r="GI59531" s="422"/>
    </row>
    <row r="59532" spans="191:191" x14ac:dyDescent="0.2">
      <c r="GI59532" s="422"/>
    </row>
    <row r="59533" spans="191:191" x14ac:dyDescent="0.2">
      <c r="GI59533" s="422"/>
    </row>
    <row r="59534" spans="191:191" x14ac:dyDescent="0.2">
      <c r="GI59534" s="422"/>
    </row>
    <row r="59535" spans="191:191" x14ac:dyDescent="0.2">
      <c r="GI59535" s="422"/>
    </row>
    <row r="59536" spans="191:191" x14ac:dyDescent="0.2">
      <c r="GI59536" s="422"/>
    </row>
    <row r="59537" spans="191:191" x14ac:dyDescent="0.2">
      <c r="GI59537" s="422"/>
    </row>
    <row r="59538" spans="191:191" x14ac:dyDescent="0.2">
      <c r="GI59538" s="422"/>
    </row>
    <row r="59539" spans="191:191" x14ac:dyDescent="0.2">
      <c r="GI59539" s="422"/>
    </row>
    <row r="59540" spans="191:191" x14ac:dyDescent="0.2">
      <c r="GI59540" s="422"/>
    </row>
    <row r="59541" spans="191:191" x14ac:dyDescent="0.2">
      <c r="GI59541" s="422"/>
    </row>
    <row r="59542" spans="191:191" x14ac:dyDescent="0.2">
      <c r="GI59542" s="422"/>
    </row>
    <row r="59543" spans="191:191" x14ac:dyDescent="0.2">
      <c r="GI59543" s="422"/>
    </row>
    <row r="59544" spans="191:191" x14ac:dyDescent="0.2">
      <c r="GI59544" s="422"/>
    </row>
    <row r="59545" spans="191:191" x14ac:dyDescent="0.2">
      <c r="GI59545" s="422"/>
    </row>
    <row r="59546" spans="191:191" x14ac:dyDescent="0.2">
      <c r="GI59546" s="422"/>
    </row>
    <row r="59547" spans="191:191" x14ac:dyDescent="0.2">
      <c r="GI59547" s="422"/>
    </row>
    <row r="59548" spans="191:191" x14ac:dyDescent="0.2">
      <c r="GI59548" s="422"/>
    </row>
    <row r="59549" spans="191:191" x14ac:dyDescent="0.2">
      <c r="GI59549" s="422"/>
    </row>
    <row r="59550" spans="191:191" x14ac:dyDescent="0.2">
      <c r="GI59550" s="422"/>
    </row>
    <row r="59551" spans="191:191" x14ac:dyDescent="0.2">
      <c r="GI59551" s="422"/>
    </row>
    <row r="59552" spans="191:191" x14ac:dyDescent="0.2">
      <c r="GI59552" s="422"/>
    </row>
    <row r="59553" spans="191:191" x14ac:dyDescent="0.2">
      <c r="GI59553" s="422"/>
    </row>
    <row r="59554" spans="191:191" x14ac:dyDescent="0.2">
      <c r="GI59554" s="422"/>
    </row>
    <row r="59555" spans="191:191" x14ac:dyDescent="0.2">
      <c r="GI59555" s="422"/>
    </row>
    <row r="59556" spans="191:191" x14ac:dyDescent="0.2">
      <c r="GI59556" s="422"/>
    </row>
    <row r="59557" spans="191:191" x14ac:dyDescent="0.2">
      <c r="GI59557" s="422"/>
    </row>
    <row r="59558" spans="191:191" x14ac:dyDescent="0.2">
      <c r="GI59558" s="422"/>
    </row>
    <row r="59559" spans="191:191" x14ac:dyDescent="0.2">
      <c r="GI59559" s="422"/>
    </row>
    <row r="59560" spans="191:191" x14ac:dyDescent="0.2">
      <c r="GI59560" s="422"/>
    </row>
    <row r="59561" spans="191:191" x14ac:dyDescent="0.2">
      <c r="GI59561" s="422"/>
    </row>
    <row r="59562" spans="191:191" x14ac:dyDescent="0.2">
      <c r="GI59562" s="422"/>
    </row>
    <row r="59563" spans="191:191" x14ac:dyDescent="0.2">
      <c r="GI59563" s="422"/>
    </row>
    <row r="59564" spans="191:191" x14ac:dyDescent="0.2">
      <c r="GI59564" s="422"/>
    </row>
    <row r="59565" spans="191:191" x14ac:dyDescent="0.2">
      <c r="GI59565" s="422"/>
    </row>
    <row r="59566" spans="191:191" x14ac:dyDescent="0.2">
      <c r="GI59566" s="422"/>
    </row>
    <row r="59567" spans="191:191" x14ac:dyDescent="0.2">
      <c r="GI59567" s="422"/>
    </row>
    <row r="59568" spans="191:191" x14ac:dyDescent="0.2">
      <c r="GI59568" s="422"/>
    </row>
    <row r="59569" spans="191:191" x14ac:dyDescent="0.2">
      <c r="GI59569" s="422"/>
    </row>
    <row r="59570" spans="191:191" x14ac:dyDescent="0.2">
      <c r="GI59570" s="422"/>
    </row>
    <row r="59571" spans="191:191" x14ac:dyDescent="0.2">
      <c r="GI59571" s="422"/>
    </row>
    <row r="59572" spans="191:191" x14ac:dyDescent="0.2">
      <c r="GI59572" s="422"/>
    </row>
    <row r="59573" spans="191:191" x14ac:dyDescent="0.2">
      <c r="GI59573" s="422"/>
    </row>
    <row r="59574" spans="191:191" x14ac:dyDescent="0.2">
      <c r="GI59574" s="422"/>
    </row>
    <row r="59575" spans="191:191" x14ac:dyDescent="0.2">
      <c r="GI59575" s="422"/>
    </row>
    <row r="59576" spans="191:191" x14ac:dyDescent="0.2">
      <c r="GI59576" s="422"/>
    </row>
    <row r="59577" spans="191:191" x14ac:dyDescent="0.2">
      <c r="GI59577" s="422"/>
    </row>
    <row r="59578" spans="191:191" x14ac:dyDescent="0.2">
      <c r="GI59578" s="422"/>
    </row>
    <row r="59579" spans="191:191" x14ac:dyDescent="0.2">
      <c r="GI59579" s="422"/>
    </row>
    <row r="59580" spans="191:191" x14ac:dyDescent="0.2">
      <c r="GI59580" s="422"/>
    </row>
    <row r="59581" spans="191:191" x14ac:dyDescent="0.2">
      <c r="GI59581" s="422"/>
    </row>
    <row r="59582" spans="191:191" x14ac:dyDescent="0.2">
      <c r="GI59582" s="422"/>
    </row>
    <row r="59583" spans="191:191" x14ac:dyDescent="0.2">
      <c r="GI59583" s="422"/>
    </row>
    <row r="59584" spans="191:191" x14ac:dyDescent="0.2">
      <c r="GI59584" s="422"/>
    </row>
    <row r="59585" spans="191:191" x14ac:dyDescent="0.2">
      <c r="GI59585" s="422"/>
    </row>
    <row r="59586" spans="191:191" x14ac:dyDescent="0.2">
      <c r="GI59586" s="422"/>
    </row>
    <row r="59587" spans="191:191" x14ac:dyDescent="0.2">
      <c r="GI59587" s="422"/>
    </row>
    <row r="59588" spans="191:191" x14ac:dyDescent="0.2">
      <c r="GI59588" s="422"/>
    </row>
    <row r="59589" spans="191:191" x14ac:dyDescent="0.2">
      <c r="GI59589" s="422"/>
    </row>
    <row r="59590" spans="191:191" x14ac:dyDescent="0.2">
      <c r="GI59590" s="422"/>
    </row>
    <row r="59591" spans="191:191" x14ac:dyDescent="0.2">
      <c r="GI59591" s="422"/>
    </row>
    <row r="59592" spans="191:191" x14ac:dyDescent="0.2">
      <c r="GI59592" s="422"/>
    </row>
    <row r="59593" spans="191:191" x14ac:dyDescent="0.2">
      <c r="GI59593" s="422"/>
    </row>
    <row r="59594" spans="191:191" x14ac:dyDescent="0.2">
      <c r="GI59594" s="422"/>
    </row>
    <row r="59595" spans="191:191" x14ac:dyDescent="0.2">
      <c r="GI59595" s="422"/>
    </row>
    <row r="59596" spans="191:191" x14ac:dyDescent="0.2">
      <c r="GI59596" s="422"/>
    </row>
    <row r="59597" spans="191:191" x14ac:dyDescent="0.2">
      <c r="GI59597" s="422"/>
    </row>
    <row r="59598" spans="191:191" x14ac:dyDescent="0.2">
      <c r="GI59598" s="422"/>
    </row>
    <row r="59599" spans="191:191" x14ac:dyDescent="0.2">
      <c r="GI59599" s="422"/>
    </row>
    <row r="59600" spans="191:191" x14ac:dyDescent="0.2">
      <c r="GI59600" s="422"/>
    </row>
    <row r="59601" spans="191:191" x14ac:dyDescent="0.2">
      <c r="GI59601" s="422"/>
    </row>
    <row r="59602" spans="191:191" x14ac:dyDescent="0.2">
      <c r="GI59602" s="422"/>
    </row>
    <row r="59603" spans="191:191" x14ac:dyDescent="0.2">
      <c r="GI59603" s="422"/>
    </row>
    <row r="59604" spans="191:191" x14ac:dyDescent="0.2">
      <c r="GI59604" s="422"/>
    </row>
    <row r="59605" spans="191:191" x14ac:dyDescent="0.2">
      <c r="GI59605" s="422"/>
    </row>
    <row r="59606" spans="191:191" x14ac:dyDescent="0.2">
      <c r="GI59606" s="422"/>
    </row>
    <row r="59607" spans="191:191" x14ac:dyDescent="0.2">
      <c r="GI59607" s="422"/>
    </row>
    <row r="59608" spans="191:191" x14ac:dyDescent="0.2">
      <c r="GI59608" s="422"/>
    </row>
    <row r="59609" spans="191:191" x14ac:dyDescent="0.2">
      <c r="GI59609" s="422"/>
    </row>
    <row r="59610" spans="191:191" x14ac:dyDescent="0.2">
      <c r="GI59610" s="422"/>
    </row>
    <row r="59611" spans="191:191" x14ac:dyDescent="0.2">
      <c r="GI59611" s="422"/>
    </row>
    <row r="59612" spans="191:191" x14ac:dyDescent="0.2">
      <c r="GI59612" s="422"/>
    </row>
    <row r="59613" spans="191:191" x14ac:dyDescent="0.2">
      <c r="GI59613" s="422"/>
    </row>
    <row r="59614" spans="191:191" x14ac:dyDescent="0.2">
      <c r="GI59614" s="422"/>
    </row>
    <row r="59615" spans="191:191" x14ac:dyDescent="0.2">
      <c r="GI59615" s="422"/>
    </row>
    <row r="59616" spans="191:191" x14ac:dyDescent="0.2">
      <c r="GI59616" s="422"/>
    </row>
    <row r="59617" spans="191:191" x14ac:dyDescent="0.2">
      <c r="GI59617" s="422"/>
    </row>
    <row r="59618" spans="191:191" x14ac:dyDescent="0.2">
      <c r="GI59618" s="422"/>
    </row>
    <row r="59619" spans="191:191" x14ac:dyDescent="0.2">
      <c r="GI59619" s="422"/>
    </row>
    <row r="59620" spans="191:191" x14ac:dyDescent="0.2">
      <c r="GI59620" s="422"/>
    </row>
    <row r="59621" spans="191:191" x14ac:dyDescent="0.2">
      <c r="GI59621" s="422"/>
    </row>
    <row r="59622" spans="191:191" x14ac:dyDescent="0.2">
      <c r="GI59622" s="422"/>
    </row>
    <row r="59623" spans="191:191" x14ac:dyDescent="0.2">
      <c r="GI59623" s="422"/>
    </row>
    <row r="59624" spans="191:191" x14ac:dyDescent="0.2">
      <c r="GI59624" s="422"/>
    </row>
    <row r="59625" spans="191:191" x14ac:dyDescent="0.2">
      <c r="GI59625" s="422"/>
    </row>
    <row r="59626" spans="191:191" x14ac:dyDescent="0.2">
      <c r="GI59626" s="422"/>
    </row>
    <row r="59627" spans="191:191" x14ac:dyDescent="0.2">
      <c r="GI59627" s="422"/>
    </row>
    <row r="59628" spans="191:191" x14ac:dyDescent="0.2">
      <c r="GI59628" s="422"/>
    </row>
    <row r="59629" spans="191:191" x14ac:dyDescent="0.2">
      <c r="GI59629" s="422"/>
    </row>
    <row r="59630" spans="191:191" x14ac:dyDescent="0.2">
      <c r="GI59630" s="422"/>
    </row>
    <row r="59631" spans="191:191" x14ac:dyDescent="0.2">
      <c r="GI59631" s="422"/>
    </row>
    <row r="59632" spans="191:191" x14ac:dyDescent="0.2">
      <c r="GI59632" s="422"/>
    </row>
    <row r="59633" spans="191:191" x14ac:dyDescent="0.2">
      <c r="GI59633" s="422"/>
    </row>
    <row r="59634" spans="191:191" x14ac:dyDescent="0.2">
      <c r="GI59634" s="422"/>
    </row>
    <row r="59635" spans="191:191" x14ac:dyDescent="0.2">
      <c r="GI59635" s="422"/>
    </row>
    <row r="59636" spans="191:191" x14ac:dyDescent="0.2">
      <c r="GI59636" s="422"/>
    </row>
    <row r="59637" spans="191:191" x14ac:dyDescent="0.2">
      <c r="GI59637" s="422"/>
    </row>
    <row r="59638" spans="191:191" x14ac:dyDescent="0.2">
      <c r="GI59638" s="422"/>
    </row>
    <row r="59639" spans="191:191" x14ac:dyDescent="0.2">
      <c r="GI59639" s="422"/>
    </row>
    <row r="59640" spans="191:191" x14ac:dyDescent="0.2">
      <c r="GI59640" s="422"/>
    </row>
    <row r="59641" spans="191:191" x14ac:dyDescent="0.2">
      <c r="GI59641" s="422"/>
    </row>
    <row r="59642" spans="191:191" x14ac:dyDescent="0.2">
      <c r="GI59642" s="422"/>
    </row>
    <row r="59643" spans="191:191" x14ac:dyDescent="0.2">
      <c r="GI59643" s="422"/>
    </row>
    <row r="59644" spans="191:191" x14ac:dyDescent="0.2">
      <c r="GI59644" s="422"/>
    </row>
    <row r="59645" spans="191:191" x14ac:dyDescent="0.2">
      <c r="GI59645" s="422"/>
    </row>
    <row r="59646" spans="191:191" x14ac:dyDescent="0.2">
      <c r="GI59646" s="422"/>
    </row>
    <row r="59647" spans="191:191" x14ac:dyDescent="0.2">
      <c r="GI59647" s="422"/>
    </row>
    <row r="59648" spans="191:191" x14ac:dyDescent="0.2">
      <c r="GI59648" s="422"/>
    </row>
    <row r="59649" spans="191:191" x14ac:dyDescent="0.2">
      <c r="GI59649" s="422"/>
    </row>
    <row r="59650" spans="191:191" x14ac:dyDescent="0.2">
      <c r="GI59650" s="422"/>
    </row>
    <row r="59651" spans="191:191" x14ac:dyDescent="0.2">
      <c r="GI59651" s="422"/>
    </row>
    <row r="59652" spans="191:191" x14ac:dyDescent="0.2">
      <c r="GI59652" s="422"/>
    </row>
    <row r="59653" spans="191:191" x14ac:dyDescent="0.2">
      <c r="GI59653" s="422"/>
    </row>
    <row r="59654" spans="191:191" x14ac:dyDescent="0.2">
      <c r="GI59654" s="422"/>
    </row>
    <row r="59655" spans="191:191" x14ac:dyDescent="0.2">
      <c r="GI59655" s="422"/>
    </row>
    <row r="59656" spans="191:191" x14ac:dyDescent="0.2">
      <c r="GI59656" s="422"/>
    </row>
    <row r="59657" spans="191:191" x14ac:dyDescent="0.2">
      <c r="GI59657" s="422"/>
    </row>
    <row r="59658" spans="191:191" x14ac:dyDescent="0.2">
      <c r="GI59658" s="422"/>
    </row>
    <row r="59659" spans="191:191" x14ac:dyDescent="0.2">
      <c r="GI59659" s="422"/>
    </row>
    <row r="59660" spans="191:191" x14ac:dyDescent="0.2">
      <c r="GI59660" s="422"/>
    </row>
    <row r="59661" spans="191:191" x14ac:dyDescent="0.2">
      <c r="GI59661" s="422"/>
    </row>
    <row r="59662" spans="191:191" x14ac:dyDescent="0.2">
      <c r="GI59662" s="422"/>
    </row>
    <row r="59663" spans="191:191" x14ac:dyDescent="0.2">
      <c r="GI59663" s="422"/>
    </row>
    <row r="59664" spans="191:191" x14ac:dyDescent="0.2">
      <c r="GI59664" s="422"/>
    </row>
    <row r="59665" spans="191:191" x14ac:dyDescent="0.2">
      <c r="GI59665" s="422"/>
    </row>
    <row r="59666" spans="191:191" x14ac:dyDescent="0.2">
      <c r="GI59666" s="422"/>
    </row>
    <row r="59667" spans="191:191" x14ac:dyDescent="0.2">
      <c r="GI59667" s="422"/>
    </row>
    <row r="59668" spans="191:191" x14ac:dyDescent="0.2">
      <c r="GI59668" s="422"/>
    </row>
    <row r="59669" spans="191:191" x14ac:dyDescent="0.2">
      <c r="GI59669" s="422"/>
    </row>
    <row r="59670" spans="191:191" x14ac:dyDescent="0.2">
      <c r="GI59670" s="422"/>
    </row>
    <row r="59671" spans="191:191" x14ac:dyDescent="0.2">
      <c r="GI59671" s="422"/>
    </row>
    <row r="59672" spans="191:191" x14ac:dyDescent="0.2">
      <c r="GI59672" s="422"/>
    </row>
    <row r="59673" spans="191:191" x14ac:dyDescent="0.2">
      <c r="GI59673" s="422"/>
    </row>
    <row r="59674" spans="191:191" x14ac:dyDescent="0.2">
      <c r="GI59674" s="422"/>
    </row>
    <row r="59675" spans="191:191" x14ac:dyDescent="0.2">
      <c r="GI59675" s="422"/>
    </row>
    <row r="59676" spans="191:191" x14ac:dyDescent="0.2">
      <c r="GI59676" s="422"/>
    </row>
    <row r="59677" spans="191:191" x14ac:dyDescent="0.2">
      <c r="GI59677" s="422"/>
    </row>
    <row r="59678" spans="191:191" x14ac:dyDescent="0.2">
      <c r="GI59678" s="422"/>
    </row>
    <row r="59679" spans="191:191" x14ac:dyDescent="0.2">
      <c r="GI59679" s="422"/>
    </row>
    <row r="59680" spans="191:191" x14ac:dyDescent="0.2">
      <c r="GI59680" s="422"/>
    </row>
    <row r="59681" spans="191:191" x14ac:dyDescent="0.2">
      <c r="GI59681" s="422"/>
    </row>
    <row r="59682" spans="191:191" x14ac:dyDescent="0.2">
      <c r="GI59682" s="422"/>
    </row>
    <row r="59683" spans="191:191" x14ac:dyDescent="0.2">
      <c r="GI59683" s="422"/>
    </row>
    <row r="59684" spans="191:191" x14ac:dyDescent="0.2">
      <c r="GI59684" s="422"/>
    </row>
    <row r="59685" spans="191:191" x14ac:dyDescent="0.2">
      <c r="GI59685" s="422"/>
    </row>
    <row r="59686" spans="191:191" x14ac:dyDescent="0.2">
      <c r="GI59686" s="422"/>
    </row>
    <row r="59687" spans="191:191" x14ac:dyDescent="0.2">
      <c r="GI59687" s="422"/>
    </row>
    <row r="59688" spans="191:191" x14ac:dyDescent="0.2">
      <c r="GI59688" s="422"/>
    </row>
    <row r="59689" spans="191:191" x14ac:dyDescent="0.2">
      <c r="GI59689" s="422"/>
    </row>
    <row r="59690" spans="191:191" x14ac:dyDescent="0.2">
      <c r="GI59690" s="422"/>
    </row>
    <row r="59691" spans="191:191" x14ac:dyDescent="0.2">
      <c r="GI59691" s="422"/>
    </row>
    <row r="59692" spans="191:191" x14ac:dyDescent="0.2">
      <c r="GI59692" s="422"/>
    </row>
    <row r="59693" spans="191:191" x14ac:dyDescent="0.2">
      <c r="GI59693" s="422"/>
    </row>
    <row r="59694" spans="191:191" x14ac:dyDescent="0.2">
      <c r="GI59694" s="422"/>
    </row>
    <row r="59695" spans="191:191" x14ac:dyDescent="0.2">
      <c r="GI59695" s="422"/>
    </row>
    <row r="59696" spans="191:191" x14ac:dyDescent="0.2">
      <c r="GI59696" s="422"/>
    </row>
    <row r="59697" spans="191:191" x14ac:dyDescent="0.2">
      <c r="GI59697" s="422"/>
    </row>
    <row r="59698" spans="191:191" x14ac:dyDescent="0.2">
      <c r="GI59698" s="422"/>
    </row>
    <row r="59699" spans="191:191" x14ac:dyDescent="0.2">
      <c r="GI59699" s="422"/>
    </row>
    <row r="59700" spans="191:191" x14ac:dyDescent="0.2">
      <c r="GI59700" s="422"/>
    </row>
    <row r="59701" spans="191:191" x14ac:dyDescent="0.2">
      <c r="GI59701" s="422"/>
    </row>
    <row r="59702" spans="191:191" x14ac:dyDescent="0.2">
      <c r="GI59702" s="422"/>
    </row>
    <row r="59703" spans="191:191" x14ac:dyDescent="0.2">
      <c r="GI59703" s="422"/>
    </row>
    <row r="59704" spans="191:191" x14ac:dyDescent="0.2">
      <c r="GI59704" s="422"/>
    </row>
    <row r="59705" spans="191:191" x14ac:dyDescent="0.2">
      <c r="GI59705" s="422"/>
    </row>
    <row r="59706" spans="191:191" x14ac:dyDescent="0.2">
      <c r="GI59706" s="422"/>
    </row>
    <row r="59707" spans="191:191" x14ac:dyDescent="0.2">
      <c r="GI59707" s="422"/>
    </row>
    <row r="59708" spans="191:191" x14ac:dyDescent="0.2">
      <c r="GI59708" s="422"/>
    </row>
    <row r="59709" spans="191:191" x14ac:dyDescent="0.2">
      <c r="GI59709" s="422"/>
    </row>
    <row r="59710" spans="191:191" x14ac:dyDescent="0.2">
      <c r="GI59710" s="422"/>
    </row>
    <row r="59711" spans="191:191" x14ac:dyDescent="0.2">
      <c r="GI59711" s="422"/>
    </row>
    <row r="59712" spans="191:191" x14ac:dyDescent="0.2">
      <c r="GI59712" s="422"/>
    </row>
    <row r="59713" spans="191:191" x14ac:dyDescent="0.2">
      <c r="GI59713" s="422"/>
    </row>
    <row r="59714" spans="191:191" x14ac:dyDescent="0.2">
      <c r="GI59714" s="422"/>
    </row>
    <row r="59715" spans="191:191" x14ac:dyDescent="0.2">
      <c r="GI59715" s="422"/>
    </row>
    <row r="59716" spans="191:191" x14ac:dyDescent="0.2">
      <c r="GI59716" s="422"/>
    </row>
    <row r="59717" spans="191:191" x14ac:dyDescent="0.2">
      <c r="GI59717" s="422"/>
    </row>
    <row r="59718" spans="191:191" x14ac:dyDescent="0.2">
      <c r="GI59718" s="422"/>
    </row>
    <row r="59719" spans="191:191" x14ac:dyDescent="0.2">
      <c r="GI59719" s="422"/>
    </row>
    <row r="59720" spans="191:191" x14ac:dyDescent="0.2">
      <c r="GI59720" s="422"/>
    </row>
    <row r="59721" spans="191:191" x14ac:dyDescent="0.2">
      <c r="GI59721" s="422"/>
    </row>
    <row r="59722" spans="191:191" x14ac:dyDescent="0.2">
      <c r="GI59722" s="422"/>
    </row>
    <row r="59723" spans="191:191" x14ac:dyDescent="0.2">
      <c r="GI59723" s="422"/>
    </row>
    <row r="59724" spans="191:191" x14ac:dyDescent="0.2">
      <c r="GI59724" s="422"/>
    </row>
    <row r="59725" spans="191:191" x14ac:dyDescent="0.2">
      <c r="GI59725" s="422"/>
    </row>
    <row r="59726" spans="191:191" x14ac:dyDescent="0.2">
      <c r="GI59726" s="422"/>
    </row>
    <row r="59727" spans="191:191" x14ac:dyDescent="0.2">
      <c r="GI59727" s="422"/>
    </row>
    <row r="59728" spans="191:191" x14ac:dyDescent="0.2">
      <c r="GI59728" s="422"/>
    </row>
    <row r="59729" spans="191:191" x14ac:dyDescent="0.2">
      <c r="GI59729" s="422"/>
    </row>
    <row r="59730" spans="191:191" x14ac:dyDescent="0.2">
      <c r="GI59730" s="422"/>
    </row>
    <row r="59731" spans="191:191" x14ac:dyDescent="0.2">
      <c r="GI59731" s="422"/>
    </row>
    <row r="59732" spans="191:191" x14ac:dyDescent="0.2">
      <c r="GI59732" s="422"/>
    </row>
    <row r="59733" spans="191:191" x14ac:dyDescent="0.2">
      <c r="GI59733" s="422"/>
    </row>
    <row r="59734" spans="191:191" x14ac:dyDescent="0.2">
      <c r="GI59734" s="422"/>
    </row>
    <row r="59735" spans="191:191" x14ac:dyDescent="0.2">
      <c r="GI59735" s="422"/>
    </row>
    <row r="59736" spans="191:191" x14ac:dyDescent="0.2">
      <c r="GI59736" s="422"/>
    </row>
    <row r="59737" spans="191:191" x14ac:dyDescent="0.2">
      <c r="GI59737" s="422"/>
    </row>
    <row r="59738" spans="191:191" x14ac:dyDescent="0.2">
      <c r="GI59738" s="422"/>
    </row>
    <row r="59739" spans="191:191" x14ac:dyDescent="0.2">
      <c r="GI59739" s="422"/>
    </row>
    <row r="59740" spans="191:191" x14ac:dyDescent="0.2">
      <c r="GI59740" s="422"/>
    </row>
    <row r="59741" spans="191:191" x14ac:dyDescent="0.2">
      <c r="GI59741" s="422"/>
    </row>
    <row r="59742" spans="191:191" x14ac:dyDescent="0.2">
      <c r="GI59742" s="422"/>
    </row>
    <row r="59743" spans="191:191" x14ac:dyDescent="0.2">
      <c r="GI59743" s="422"/>
    </row>
    <row r="59744" spans="191:191" x14ac:dyDescent="0.2">
      <c r="GI59744" s="422"/>
    </row>
    <row r="59745" spans="191:191" x14ac:dyDescent="0.2">
      <c r="GI59745" s="422"/>
    </row>
    <row r="59746" spans="191:191" x14ac:dyDescent="0.2">
      <c r="GI59746" s="422"/>
    </row>
    <row r="59747" spans="191:191" x14ac:dyDescent="0.2">
      <c r="GI59747" s="422"/>
    </row>
    <row r="59748" spans="191:191" x14ac:dyDescent="0.2">
      <c r="GI59748" s="422"/>
    </row>
    <row r="59749" spans="191:191" x14ac:dyDescent="0.2">
      <c r="GI59749" s="422"/>
    </row>
    <row r="59750" spans="191:191" x14ac:dyDescent="0.2">
      <c r="GI59750" s="422"/>
    </row>
    <row r="59751" spans="191:191" x14ac:dyDescent="0.2">
      <c r="GI59751" s="422"/>
    </row>
    <row r="59752" spans="191:191" x14ac:dyDescent="0.2">
      <c r="GI59752" s="422"/>
    </row>
    <row r="59753" spans="191:191" x14ac:dyDescent="0.2">
      <c r="GI59753" s="422"/>
    </row>
    <row r="59754" spans="191:191" x14ac:dyDescent="0.2">
      <c r="GI59754" s="422"/>
    </row>
    <row r="59755" spans="191:191" x14ac:dyDescent="0.2">
      <c r="GI59755" s="422"/>
    </row>
    <row r="59756" spans="191:191" x14ac:dyDescent="0.2">
      <c r="GI59756" s="422"/>
    </row>
    <row r="59757" spans="191:191" x14ac:dyDescent="0.2">
      <c r="GI59757" s="422"/>
    </row>
    <row r="59758" spans="191:191" x14ac:dyDescent="0.2">
      <c r="GI59758" s="422"/>
    </row>
    <row r="59759" spans="191:191" x14ac:dyDescent="0.2">
      <c r="GI59759" s="422"/>
    </row>
    <row r="59760" spans="191:191" x14ac:dyDescent="0.2">
      <c r="GI59760" s="422"/>
    </row>
    <row r="59761" spans="191:191" x14ac:dyDescent="0.2">
      <c r="GI59761" s="422"/>
    </row>
    <row r="59762" spans="191:191" x14ac:dyDescent="0.2">
      <c r="GI59762" s="422"/>
    </row>
    <row r="59763" spans="191:191" x14ac:dyDescent="0.2">
      <c r="GI59763" s="422"/>
    </row>
    <row r="59764" spans="191:191" x14ac:dyDescent="0.2">
      <c r="GI59764" s="422"/>
    </row>
    <row r="59765" spans="191:191" x14ac:dyDescent="0.2">
      <c r="GI59765" s="422"/>
    </row>
    <row r="59766" spans="191:191" x14ac:dyDescent="0.2">
      <c r="GI59766" s="422"/>
    </row>
    <row r="59767" spans="191:191" x14ac:dyDescent="0.2">
      <c r="GI59767" s="422"/>
    </row>
    <row r="59768" spans="191:191" x14ac:dyDescent="0.2">
      <c r="GI59768" s="422"/>
    </row>
    <row r="59769" spans="191:191" x14ac:dyDescent="0.2">
      <c r="GI59769" s="422"/>
    </row>
    <row r="59770" spans="191:191" x14ac:dyDescent="0.2">
      <c r="GI59770" s="422"/>
    </row>
    <row r="59771" spans="191:191" x14ac:dyDescent="0.2">
      <c r="GI59771" s="422"/>
    </row>
    <row r="59772" spans="191:191" x14ac:dyDescent="0.2">
      <c r="GI59772" s="422"/>
    </row>
    <row r="59773" spans="191:191" x14ac:dyDescent="0.2">
      <c r="GI59773" s="422"/>
    </row>
    <row r="59774" spans="191:191" x14ac:dyDescent="0.2">
      <c r="GI59774" s="422"/>
    </row>
    <row r="59775" spans="191:191" x14ac:dyDescent="0.2">
      <c r="GI59775" s="422"/>
    </row>
    <row r="59776" spans="191:191" x14ac:dyDescent="0.2">
      <c r="GI59776" s="422"/>
    </row>
    <row r="59777" spans="191:191" x14ac:dyDescent="0.2">
      <c r="GI59777" s="422"/>
    </row>
    <row r="59778" spans="191:191" x14ac:dyDescent="0.2">
      <c r="GI59778" s="422"/>
    </row>
    <row r="59779" spans="191:191" x14ac:dyDescent="0.2">
      <c r="GI59779" s="422"/>
    </row>
    <row r="59780" spans="191:191" x14ac:dyDescent="0.2">
      <c r="GI59780" s="422"/>
    </row>
    <row r="59781" spans="191:191" x14ac:dyDescent="0.2">
      <c r="GI59781" s="422"/>
    </row>
    <row r="59782" spans="191:191" x14ac:dyDescent="0.2">
      <c r="GI59782" s="422"/>
    </row>
    <row r="59783" spans="191:191" x14ac:dyDescent="0.2">
      <c r="GI59783" s="422"/>
    </row>
    <row r="59784" spans="191:191" x14ac:dyDescent="0.2">
      <c r="GI59784" s="422"/>
    </row>
    <row r="59785" spans="191:191" x14ac:dyDescent="0.2">
      <c r="GI59785" s="422"/>
    </row>
    <row r="59786" spans="191:191" x14ac:dyDescent="0.2">
      <c r="GI59786" s="422"/>
    </row>
    <row r="59787" spans="191:191" x14ac:dyDescent="0.2">
      <c r="GI59787" s="422"/>
    </row>
    <row r="59788" spans="191:191" x14ac:dyDescent="0.2">
      <c r="GI59788" s="422"/>
    </row>
    <row r="59789" spans="191:191" x14ac:dyDescent="0.2">
      <c r="GI59789" s="422"/>
    </row>
    <row r="59790" spans="191:191" x14ac:dyDescent="0.2">
      <c r="GI59790" s="422"/>
    </row>
    <row r="59791" spans="191:191" x14ac:dyDescent="0.2">
      <c r="GI59791" s="422"/>
    </row>
    <row r="59792" spans="191:191" x14ac:dyDescent="0.2">
      <c r="GI59792" s="422"/>
    </row>
    <row r="59793" spans="191:191" x14ac:dyDescent="0.2">
      <c r="GI59793" s="422"/>
    </row>
    <row r="59794" spans="191:191" x14ac:dyDescent="0.2">
      <c r="GI59794" s="422"/>
    </row>
    <row r="59795" spans="191:191" x14ac:dyDescent="0.2">
      <c r="GI59795" s="422"/>
    </row>
    <row r="59796" spans="191:191" x14ac:dyDescent="0.2">
      <c r="GI59796" s="422"/>
    </row>
    <row r="59797" spans="191:191" x14ac:dyDescent="0.2">
      <c r="GI59797" s="422"/>
    </row>
    <row r="59798" spans="191:191" x14ac:dyDescent="0.2">
      <c r="GI59798" s="422"/>
    </row>
    <row r="59799" spans="191:191" x14ac:dyDescent="0.2">
      <c r="GI59799" s="422"/>
    </row>
    <row r="59800" spans="191:191" x14ac:dyDescent="0.2">
      <c r="GI59800" s="422"/>
    </row>
    <row r="59801" spans="191:191" x14ac:dyDescent="0.2">
      <c r="GI59801" s="422"/>
    </row>
    <row r="59802" spans="191:191" x14ac:dyDescent="0.2">
      <c r="GI59802" s="422"/>
    </row>
    <row r="59803" spans="191:191" x14ac:dyDescent="0.2">
      <c r="GI59803" s="422"/>
    </row>
    <row r="59804" spans="191:191" x14ac:dyDescent="0.2">
      <c r="GI59804" s="422"/>
    </row>
    <row r="59805" spans="191:191" x14ac:dyDescent="0.2">
      <c r="GI59805" s="422"/>
    </row>
    <row r="59806" spans="191:191" x14ac:dyDescent="0.2">
      <c r="GI59806" s="422"/>
    </row>
    <row r="59807" spans="191:191" x14ac:dyDescent="0.2">
      <c r="GI59807" s="422"/>
    </row>
    <row r="59808" spans="191:191" x14ac:dyDescent="0.2">
      <c r="GI59808" s="422"/>
    </row>
    <row r="59809" spans="191:191" x14ac:dyDescent="0.2">
      <c r="GI59809" s="422"/>
    </row>
    <row r="59810" spans="191:191" x14ac:dyDescent="0.2">
      <c r="GI59810" s="422"/>
    </row>
    <row r="59811" spans="191:191" x14ac:dyDescent="0.2">
      <c r="GI59811" s="422"/>
    </row>
    <row r="59812" spans="191:191" x14ac:dyDescent="0.2">
      <c r="GI59812" s="422"/>
    </row>
    <row r="59813" spans="191:191" x14ac:dyDescent="0.2">
      <c r="GI59813" s="422"/>
    </row>
    <row r="59814" spans="191:191" x14ac:dyDescent="0.2">
      <c r="GI59814" s="422"/>
    </row>
    <row r="59815" spans="191:191" x14ac:dyDescent="0.2">
      <c r="GI59815" s="422"/>
    </row>
    <row r="59816" spans="191:191" x14ac:dyDescent="0.2">
      <c r="GI59816" s="422"/>
    </row>
    <row r="59817" spans="191:191" x14ac:dyDescent="0.2">
      <c r="GI59817" s="422"/>
    </row>
    <row r="59818" spans="191:191" x14ac:dyDescent="0.2">
      <c r="GI59818" s="422"/>
    </row>
    <row r="59819" spans="191:191" x14ac:dyDescent="0.2">
      <c r="GI59819" s="422"/>
    </row>
    <row r="59820" spans="191:191" x14ac:dyDescent="0.2">
      <c r="GI59820" s="422"/>
    </row>
    <row r="59821" spans="191:191" x14ac:dyDescent="0.2">
      <c r="GI59821" s="422"/>
    </row>
    <row r="59822" spans="191:191" x14ac:dyDescent="0.2">
      <c r="GI59822" s="422"/>
    </row>
    <row r="59823" spans="191:191" x14ac:dyDescent="0.2">
      <c r="GI59823" s="422"/>
    </row>
    <row r="59824" spans="191:191" x14ac:dyDescent="0.2">
      <c r="GI59824" s="422"/>
    </row>
    <row r="59825" spans="191:191" x14ac:dyDescent="0.2">
      <c r="GI59825" s="422"/>
    </row>
    <row r="59826" spans="191:191" x14ac:dyDescent="0.2">
      <c r="GI59826" s="422"/>
    </row>
    <row r="59827" spans="191:191" x14ac:dyDescent="0.2">
      <c r="GI59827" s="422"/>
    </row>
    <row r="59828" spans="191:191" x14ac:dyDescent="0.2">
      <c r="GI59828" s="422"/>
    </row>
    <row r="59829" spans="191:191" x14ac:dyDescent="0.2">
      <c r="GI59829" s="422"/>
    </row>
    <row r="59830" spans="191:191" x14ac:dyDescent="0.2">
      <c r="GI59830" s="422"/>
    </row>
    <row r="59831" spans="191:191" x14ac:dyDescent="0.2">
      <c r="GI59831" s="422"/>
    </row>
    <row r="59832" spans="191:191" x14ac:dyDescent="0.2">
      <c r="GI59832" s="422"/>
    </row>
    <row r="59833" spans="191:191" x14ac:dyDescent="0.2">
      <c r="GI59833" s="422"/>
    </row>
    <row r="59834" spans="191:191" x14ac:dyDescent="0.2">
      <c r="GI59834" s="422"/>
    </row>
    <row r="59835" spans="191:191" x14ac:dyDescent="0.2">
      <c r="GI59835" s="422"/>
    </row>
    <row r="59836" spans="191:191" x14ac:dyDescent="0.2">
      <c r="GI59836" s="422"/>
    </row>
    <row r="59837" spans="191:191" x14ac:dyDescent="0.2">
      <c r="GI59837" s="422"/>
    </row>
    <row r="59838" spans="191:191" x14ac:dyDescent="0.2">
      <c r="GI59838" s="422"/>
    </row>
    <row r="59839" spans="191:191" x14ac:dyDescent="0.2">
      <c r="GI59839" s="422"/>
    </row>
    <row r="59840" spans="191:191" x14ac:dyDescent="0.2">
      <c r="GI59840" s="422"/>
    </row>
    <row r="59841" spans="191:191" x14ac:dyDescent="0.2">
      <c r="GI59841" s="422"/>
    </row>
    <row r="59842" spans="191:191" x14ac:dyDescent="0.2">
      <c r="GI59842" s="422"/>
    </row>
    <row r="59843" spans="191:191" x14ac:dyDescent="0.2">
      <c r="GI59843" s="422"/>
    </row>
    <row r="59844" spans="191:191" x14ac:dyDescent="0.2">
      <c r="GI59844" s="422"/>
    </row>
    <row r="59845" spans="191:191" x14ac:dyDescent="0.2">
      <c r="GI59845" s="422"/>
    </row>
    <row r="59846" spans="191:191" x14ac:dyDescent="0.2">
      <c r="GI59846" s="422"/>
    </row>
    <row r="59847" spans="191:191" x14ac:dyDescent="0.2">
      <c r="GI59847" s="422"/>
    </row>
    <row r="59848" spans="191:191" x14ac:dyDescent="0.2">
      <c r="GI59848" s="422"/>
    </row>
    <row r="59849" spans="191:191" x14ac:dyDescent="0.2">
      <c r="GI59849" s="422"/>
    </row>
    <row r="59850" spans="191:191" x14ac:dyDescent="0.2">
      <c r="GI59850" s="422"/>
    </row>
    <row r="59851" spans="191:191" x14ac:dyDescent="0.2">
      <c r="GI59851" s="422"/>
    </row>
    <row r="59852" spans="191:191" x14ac:dyDescent="0.2">
      <c r="GI59852" s="422"/>
    </row>
    <row r="59853" spans="191:191" x14ac:dyDescent="0.2">
      <c r="GI59853" s="422"/>
    </row>
    <row r="59854" spans="191:191" x14ac:dyDescent="0.2">
      <c r="GI59854" s="422"/>
    </row>
    <row r="59855" spans="191:191" x14ac:dyDescent="0.2">
      <c r="GI59855" s="422"/>
    </row>
    <row r="59856" spans="191:191" x14ac:dyDescent="0.2">
      <c r="GI59856" s="422"/>
    </row>
    <row r="59857" spans="191:191" x14ac:dyDescent="0.2">
      <c r="GI59857" s="422"/>
    </row>
    <row r="59858" spans="191:191" x14ac:dyDescent="0.2">
      <c r="GI59858" s="422"/>
    </row>
    <row r="59859" spans="191:191" x14ac:dyDescent="0.2">
      <c r="GI59859" s="422"/>
    </row>
    <row r="59860" spans="191:191" x14ac:dyDescent="0.2">
      <c r="GI59860" s="422"/>
    </row>
    <row r="59861" spans="191:191" x14ac:dyDescent="0.2">
      <c r="GI59861" s="422"/>
    </row>
    <row r="59862" spans="191:191" x14ac:dyDescent="0.2">
      <c r="GI59862" s="422"/>
    </row>
    <row r="59863" spans="191:191" x14ac:dyDescent="0.2">
      <c r="GI59863" s="422"/>
    </row>
    <row r="59864" spans="191:191" x14ac:dyDescent="0.2">
      <c r="GI59864" s="422"/>
    </row>
    <row r="59865" spans="191:191" x14ac:dyDescent="0.2">
      <c r="GI59865" s="422"/>
    </row>
    <row r="59866" spans="191:191" x14ac:dyDescent="0.2">
      <c r="GI59866" s="422"/>
    </row>
    <row r="59867" spans="191:191" x14ac:dyDescent="0.2">
      <c r="GI59867" s="422"/>
    </row>
    <row r="59868" spans="191:191" x14ac:dyDescent="0.2">
      <c r="GI59868" s="422"/>
    </row>
    <row r="59869" spans="191:191" x14ac:dyDescent="0.2">
      <c r="GI59869" s="422"/>
    </row>
    <row r="59870" spans="191:191" x14ac:dyDescent="0.2">
      <c r="GI59870" s="422"/>
    </row>
    <row r="59871" spans="191:191" x14ac:dyDescent="0.2">
      <c r="GI59871" s="422"/>
    </row>
    <row r="59872" spans="191:191" x14ac:dyDescent="0.2">
      <c r="GI59872" s="422"/>
    </row>
    <row r="59873" spans="191:191" x14ac:dyDescent="0.2">
      <c r="GI59873" s="422"/>
    </row>
    <row r="59874" spans="191:191" x14ac:dyDescent="0.2">
      <c r="GI59874" s="422"/>
    </row>
    <row r="59875" spans="191:191" x14ac:dyDescent="0.2">
      <c r="GI59875" s="422"/>
    </row>
    <row r="59876" spans="191:191" x14ac:dyDescent="0.2">
      <c r="GI59876" s="422"/>
    </row>
    <row r="59877" spans="191:191" x14ac:dyDescent="0.2">
      <c r="GI59877" s="422"/>
    </row>
    <row r="59878" spans="191:191" x14ac:dyDescent="0.2">
      <c r="GI59878" s="422"/>
    </row>
    <row r="59879" spans="191:191" x14ac:dyDescent="0.2">
      <c r="GI59879" s="422"/>
    </row>
    <row r="59880" spans="191:191" x14ac:dyDescent="0.2">
      <c r="GI59880" s="422"/>
    </row>
    <row r="59881" spans="191:191" x14ac:dyDescent="0.2">
      <c r="GI59881" s="422"/>
    </row>
    <row r="59882" spans="191:191" x14ac:dyDescent="0.2">
      <c r="GI59882" s="422"/>
    </row>
    <row r="59883" spans="191:191" x14ac:dyDescent="0.2">
      <c r="GI59883" s="422"/>
    </row>
    <row r="59884" spans="191:191" x14ac:dyDescent="0.2">
      <c r="GI59884" s="422"/>
    </row>
    <row r="59885" spans="191:191" x14ac:dyDescent="0.2">
      <c r="GI59885" s="422"/>
    </row>
    <row r="59886" spans="191:191" x14ac:dyDescent="0.2">
      <c r="GI59886" s="422"/>
    </row>
    <row r="59887" spans="191:191" x14ac:dyDescent="0.2">
      <c r="GI59887" s="422"/>
    </row>
    <row r="59888" spans="191:191" x14ac:dyDescent="0.2">
      <c r="GI59888" s="422"/>
    </row>
    <row r="59889" spans="191:191" x14ac:dyDescent="0.2">
      <c r="GI59889" s="422"/>
    </row>
    <row r="59890" spans="191:191" x14ac:dyDescent="0.2">
      <c r="GI59890" s="422"/>
    </row>
    <row r="59891" spans="191:191" x14ac:dyDescent="0.2">
      <c r="GI59891" s="422"/>
    </row>
    <row r="59892" spans="191:191" x14ac:dyDescent="0.2">
      <c r="GI59892" s="422"/>
    </row>
    <row r="59893" spans="191:191" x14ac:dyDescent="0.2">
      <c r="GI59893" s="422"/>
    </row>
    <row r="59894" spans="191:191" x14ac:dyDescent="0.2">
      <c r="GI59894" s="422"/>
    </row>
    <row r="59895" spans="191:191" x14ac:dyDescent="0.2">
      <c r="GI59895" s="422"/>
    </row>
    <row r="59896" spans="191:191" x14ac:dyDescent="0.2">
      <c r="GI59896" s="422"/>
    </row>
    <row r="59897" spans="191:191" x14ac:dyDescent="0.2">
      <c r="GI59897" s="422"/>
    </row>
    <row r="59898" spans="191:191" x14ac:dyDescent="0.2">
      <c r="GI59898" s="422"/>
    </row>
    <row r="59899" spans="191:191" x14ac:dyDescent="0.2">
      <c r="GI59899" s="422"/>
    </row>
    <row r="59900" spans="191:191" x14ac:dyDescent="0.2">
      <c r="GI59900" s="422"/>
    </row>
    <row r="59901" spans="191:191" x14ac:dyDescent="0.2">
      <c r="GI59901" s="422"/>
    </row>
    <row r="59902" spans="191:191" x14ac:dyDescent="0.2">
      <c r="GI59902" s="422"/>
    </row>
    <row r="59903" spans="191:191" x14ac:dyDescent="0.2">
      <c r="GI59903" s="422"/>
    </row>
    <row r="59904" spans="191:191" x14ac:dyDescent="0.2">
      <c r="GI59904" s="422"/>
    </row>
    <row r="59905" spans="191:191" x14ac:dyDescent="0.2">
      <c r="GI59905" s="422"/>
    </row>
    <row r="59906" spans="191:191" x14ac:dyDescent="0.2">
      <c r="GI59906" s="422"/>
    </row>
    <row r="59907" spans="191:191" x14ac:dyDescent="0.2">
      <c r="GI59907" s="422"/>
    </row>
    <row r="59908" spans="191:191" x14ac:dyDescent="0.2">
      <c r="GI59908" s="422"/>
    </row>
    <row r="59909" spans="191:191" x14ac:dyDescent="0.2">
      <c r="GI59909" s="422"/>
    </row>
    <row r="59910" spans="191:191" x14ac:dyDescent="0.2">
      <c r="GI59910" s="422"/>
    </row>
    <row r="59911" spans="191:191" x14ac:dyDescent="0.2">
      <c r="GI59911" s="422"/>
    </row>
    <row r="59912" spans="191:191" x14ac:dyDescent="0.2">
      <c r="GI59912" s="422"/>
    </row>
    <row r="59913" spans="191:191" x14ac:dyDescent="0.2">
      <c r="GI59913" s="422"/>
    </row>
    <row r="59914" spans="191:191" x14ac:dyDescent="0.2">
      <c r="GI59914" s="422"/>
    </row>
    <row r="59915" spans="191:191" x14ac:dyDescent="0.2">
      <c r="GI59915" s="422"/>
    </row>
    <row r="59916" spans="191:191" x14ac:dyDescent="0.2">
      <c r="GI59916" s="422"/>
    </row>
    <row r="59917" spans="191:191" x14ac:dyDescent="0.2">
      <c r="GI59917" s="422"/>
    </row>
    <row r="59918" spans="191:191" x14ac:dyDescent="0.2">
      <c r="GI59918" s="422"/>
    </row>
    <row r="59919" spans="191:191" x14ac:dyDescent="0.2">
      <c r="GI59919" s="422"/>
    </row>
    <row r="59920" spans="191:191" x14ac:dyDescent="0.2">
      <c r="GI59920" s="422"/>
    </row>
    <row r="59921" spans="191:191" x14ac:dyDescent="0.2">
      <c r="GI59921" s="422"/>
    </row>
    <row r="59922" spans="191:191" x14ac:dyDescent="0.2">
      <c r="GI59922" s="422"/>
    </row>
    <row r="59923" spans="191:191" x14ac:dyDescent="0.2">
      <c r="GI59923" s="422"/>
    </row>
    <row r="59924" spans="191:191" x14ac:dyDescent="0.2">
      <c r="GI59924" s="422"/>
    </row>
    <row r="59925" spans="191:191" x14ac:dyDescent="0.2">
      <c r="GI59925" s="422"/>
    </row>
    <row r="59926" spans="191:191" x14ac:dyDescent="0.2">
      <c r="GI59926" s="422"/>
    </row>
    <row r="59927" spans="191:191" x14ac:dyDescent="0.2">
      <c r="GI59927" s="422"/>
    </row>
    <row r="59928" spans="191:191" x14ac:dyDescent="0.2">
      <c r="GI59928" s="422"/>
    </row>
    <row r="59929" spans="191:191" x14ac:dyDescent="0.2">
      <c r="GI59929" s="422"/>
    </row>
    <row r="59930" spans="191:191" x14ac:dyDescent="0.2">
      <c r="GI59930" s="422"/>
    </row>
    <row r="59931" spans="191:191" x14ac:dyDescent="0.2">
      <c r="GI59931" s="422"/>
    </row>
    <row r="59932" spans="191:191" x14ac:dyDescent="0.2">
      <c r="GI59932" s="422"/>
    </row>
    <row r="59933" spans="191:191" x14ac:dyDescent="0.2">
      <c r="GI59933" s="422"/>
    </row>
    <row r="59934" spans="191:191" x14ac:dyDescent="0.2">
      <c r="GI59934" s="422"/>
    </row>
    <row r="59935" spans="191:191" x14ac:dyDescent="0.2">
      <c r="GI59935" s="422"/>
    </row>
    <row r="59936" spans="191:191" x14ac:dyDescent="0.2">
      <c r="GI59936" s="422"/>
    </row>
    <row r="59937" spans="191:191" x14ac:dyDescent="0.2">
      <c r="GI59937" s="422"/>
    </row>
    <row r="59938" spans="191:191" x14ac:dyDescent="0.2">
      <c r="GI59938" s="422"/>
    </row>
    <row r="59939" spans="191:191" x14ac:dyDescent="0.2">
      <c r="GI59939" s="422"/>
    </row>
    <row r="59940" spans="191:191" x14ac:dyDescent="0.2">
      <c r="GI59940" s="422"/>
    </row>
    <row r="59941" spans="191:191" x14ac:dyDescent="0.2">
      <c r="GI59941" s="422"/>
    </row>
    <row r="59942" spans="191:191" x14ac:dyDescent="0.2">
      <c r="GI59942" s="422"/>
    </row>
    <row r="59943" spans="191:191" x14ac:dyDescent="0.2">
      <c r="GI59943" s="422"/>
    </row>
    <row r="59944" spans="191:191" x14ac:dyDescent="0.2">
      <c r="GI59944" s="422"/>
    </row>
    <row r="59945" spans="191:191" x14ac:dyDescent="0.2">
      <c r="GI59945" s="422"/>
    </row>
    <row r="59946" spans="191:191" x14ac:dyDescent="0.2">
      <c r="GI59946" s="422"/>
    </row>
    <row r="59947" spans="191:191" x14ac:dyDescent="0.2">
      <c r="GI59947" s="422"/>
    </row>
    <row r="59948" spans="191:191" x14ac:dyDescent="0.2">
      <c r="GI59948" s="422"/>
    </row>
    <row r="59949" spans="191:191" x14ac:dyDescent="0.2">
      <c r="GI59949" s="422"/>
    </row>
    <row r="59950" spans="191:191" x14ac:dyDescent="0.2">
      <c r="GI59950" s="422"/>
    </row>
    <row r="59951" spans="191:191" x14ac:dyDescent="0.2">
      <c r="GI59951" s="422"/>
    </row>
    <row r="59952" spans="191:191" x14ac:dyDescent="0.2">
      <c r="GI59952" s="422"/>
    </row>
    <row r="59953" spans="191:191" x14ac:dyDescent="0.2">
      <c r="GI59953" s="422"/>
    </row>
    <row r="59954" spans="191:191" x14ac:dyDescent="0.2">
      <c r="GI59954" s="422"/>
    </row>
    <row r="59955" spans="191:191" x14ac:dyDescent="0.2">
      <c r="GI59955" s="422"/>
    </row>
    <row r="59956" spans="191:191" x14ac:dyDescent="0.2">
      <c r="GI59956" s="422"/>
    </row>
    <row r="59957" spans="191:191" x14ac:dyDescent="0.2">
      <c r="GI59957" s="422"/>
    </row>
    <row r="59958" spans="191:191" x14ac:dyDescent="0.2">
      <c r="GI59958" s="422"/>
    </row>
    <row r="59959" spans="191:191" x14ac:dyDescent="0.2">
      <c r="GI59959" s="422"/>
    </row>
    <row r="59960" spans="191:191" x14ac:dyDescent="0.2">
      <c r="GI59960" s="422"/>
    </row>
    <row r="59961" spans="191:191" x14ac:dyDescent="0.2">
      <c r="GI59961" s="422"/>
    </row>
    <row r="59962" spans="191:191" x14ac:dyDescent="0.2">
      <c r="GI59962" s="422"/>
    </row>
    <row r="59963" spans="191:191" x14ac:dyDescent="0.2">
      <c r="GI59963" s="422"/>
    </row>
    <row r="59964" spans="191:191" x14ac:dyDescent="0.2">
      <c r="GI59964" s="422"/>
    </row>
    <row r="59965" spans="191:191" x14ac:dyDescent="0.2">
      <c r="GI59965" s="422"/>
    </row>
    <row r="59966" spans="191:191" x14ac:dyDescent="0.2">
      <c r="GI59966" s="422"/>
    </row>
    <row r="59967" spans="191:191" x14ac:dyDescent="0.2">
      <c r="GI59967" s="422"/>
    </row>
    <row r="59968" spans="191:191" x14ac:dyDescent="0.2">
      <c r="GI59968" s="422"/>
    </row>
    <row r="59969" spans="191:191" x14ac:dyDescent="0.2">
      <c r="GI59969" s="422"/>
    </row>
    <row r="59970" spans="191:191" x14ac:dyDescent="0.2">
      <c r="GI59970" s="422"/>
    </row>
    <row r="59971" spans="191:191" x14ac:dyDescent="0.2">
      <c r="GI59971" s="422"/>
    </row>
    <row r="59972" spans="191:191" x14ac:dyDescent="0.2">
      <c r="GI59972" s="422"/>
    </row>
    <row r="59973" spans="191:191" x14ac:dyDescent="0.2">
      <c r="GI59973" s="422"/>
    </row>
    <row r="59974" spans="191:191" x14ac:dyDescent="0.2">
      <c r="GI59974" s="422"/>
    </row>
    <row r="59975" spans="191:191" x14ac:dyDescent="0.2">
      <c r="GI59975" s="422"/>
    </row>
    <row r="59976" spans="191:191" x14ac:dyDescent="0.2">
      <c r="GI59976" s="422"/>
    </row>
    <row r="59977" spans="191:191" x14ac:dyDescent="0.2">
      <c r="GI59977" s="422"/>
    </row>
    <row r="59978" spans="191:191" x14ac:dyDescent="0.2">
      <c r="GI59978" s="422"/>
    </row>
    <row r="59979" spans="191:191" x14ac:dyDescent="0.2">
      <c r="GI59979" s="422"/>
    </row>
    <row r="59980" spans="191:191" x14ac:dyDescent="0.2">
      <c r="GI59980" s="422"/>
    </row>
    <row r="59981" spans="191:191" x14ac:dyDescent="0.2">
      <c r="GI59981" s="422"/>
    </row>
    <row r="59982" spans="191:191" x14ac:dyDescent="0.2">
      <c r="GI59982" s="422"/>
    </row>
    <row r="59983" spans="191:191" x14ac:dyDescent="0.2">
      <c r="GI59983" s="422"/>
    </row>
    <row r="59984" spans="191:191" x14ac:dyDescent="0.2">
      <c r="GI59984" s="422"/>
    </row>
    <row r="59985" spans="191:191" x14ac:dyDescent="0.2">
      <c r="GI59985" s="422"/>
    </row>
    <row r="59986" spans="191:191" x14ac:dyDescent="0.2">
      <c r="GI59986" s="422"/>
    </row>
    <row r="59987" spans="191:191" x14ac:dyDescent="0.2">
      <c r="GI59987" s="422"/>
    </row>
    <row r="59988" spans="191:191" x14ac:dyDescent="0.2">
      <c r="GI59988" s="422"/>
    </row>
    <row r="59989" spans="191:191" x14ac:dyDescent="0.2">
      <c r="GI59989" s="422"/>
    </row>
    <row r="59990" spans="191:191" x14ac:dyDescent="0.2">
      <c r="GI59990" s="422"/>
    </row>
    <row r="59991" spans="191:191" x14ac:dyDescent="0.2">
      <c r="GI59991" s="422"/>
    </row>
    <row r="59992" spans="191:191" x14ac:dyDescent="0.2">
      <c r="GI59992" s="422"/>
    </row>
    <row r="59993" spans="191:191" x14ac:dyDescent="0.2">
      <c r="GI59993" s="422"/>
    </row>
    <row r="59994" spans="191:191" x14ac:dyDescent="0.2">
      <c r="GI59994" s="422"/>
    </row>
    <row r="59995" spans="191:191" x14ac:dyDescent="0.2">
      <c r="GI59995" s="422"/>
    </row>
    <row r="59996" spans="191:191" x14ac:dyDescent="0.2">
      <c r="GI59996" s="422"/>
    </row>
    <row r="59997" spans="191:191" x14ac:dyDescent="0.2">
      <c r="GI59997" s="422"/>
    </row>
    <row r="59998" spans="191:191" x14ac:dyDescent="0.2">
      <c r="GI59998" s="422"/>
    </row>
    <row r="59999" spans="191:191" x14ac:dyDescent="0.2">
      <c r="GI59999" s="422"/>
    </row>
    <row r="60000" spans="191:191" x14ac:dyDescent="0.2">
      <c r="GI60000" s="422"/>
    </row>
    <row r="60001" spans="191:191" x14ac:dyDescent="0.2">
      <c r="GI60001" s="422"/>
    </row>
    <row r="60002" spans="191:191" x14ac:dyDescent="0.2">
      <c r="GI60002" s="422"/>
    </row>
    <row r="60003" spans="191:191" x14ac:dyDescent="0.2">
      <c r="GI60003" s="422"/>
    </row>
    <row r="60004" spans="191:191" x14ac:dyDescent="0.2">
      <c r="GI60004" s="422"/>
    </row>
    <row r="60005" spans="191:191" x14ac:dyDescent="0.2">
      <c r="GI60005" s="422"/>
    </row>
    <row r="60006" spans="191:191" x14ac:dyDescent="0.2">
      <c r="GI60006" s="422"/>
    </row>
    <row r="60007" spans="191:191" x14ac:dyDescent="0.2">
      <c r="GI60007" s="422"/>
    </row>
    <row r="60008" spans="191:191" x14ac:dyDescent="0.2">
      <c r="GI60008" s="422"/>
    </row>
    <row r="60009" spans="191:191" x14ac:dyDescent="0.2">
      <c r="GI60009" s="422"/>
    </row>
    <row r="60010" spans="191:191" x14ac:dyDescent="0.2">
      <c r="GI60010" s="422"/>
    </row>
    <row r="60011" spans="191:191" x14ac:dyDescent="0.2">
      <c r="GI60011" s="422"/>
    </row>
    <row r="60012" spans="191:191" x14ac:dyDescent="0.2">
      <c r="GI60012" s="422"/>
    </row>
    <row r="60013" spans="191:191" x14ac:dyDescent="0.2">
      <c r="GI60013" s="422"/>
    </row>
    <row r="60014" spans="191:191" x14ac:dyDescent="0.2">
      <c r="GI60014" s="422"/>
    </row>
    <row r="60015" spans="191:191" x14ac:dyDescent="0.2">
      <c r="GI60015" s="422"/>
    </row>
    <row r="60016" spans="191:191" x14ac:dyDescent="0.2">
      <c r="GI60016" s="422"/>
    </row>
    <row r="60017" spans="191:191" x14ac:dyDescent="0.2">
      <c r="GI60017" s="422"/>
    </row>
    <row r="60018" spans="191:191" x14ac:dyDescent="0.2">
      <c r="GI60018" s="422"/>
    </row>
    <row r="60019" spans="191:191" x14ac:dyDescent="0.2">
      <c r="GI60019" s="422"/>
    </row>
    <row r="60020" spans="191:191" x14ac:dyDescent="0.2">
      <c r="GI60020" s="422"/>
    </row>
    <row r="60021" spans="191:191" x14ac:dyDescent="0.2">
      <c r="GI60021" s="422"/>
    </row>
    <row r="60022" spans="191:191" x14ac:dyDescent="0.2">
      <c r="GI60022" s="422"/>
    </row>
    <row r="60023" spans="191:191" x14ac:dyDescent="0.2">
      <c r="GI60023" s="422"/>
    </row>
    <row r="60024" spans="191:191" x14ac:dyDescent="0.2">
      <c r="GI60024" s="422"/>
    </row>
    <row r="60025" spans="191:191" x14ac:dyDescent="0.2">
      <c r="GI60025" s="422"/>
    </row>
    <row r="60026" spans="191:191" x14ac:dyDescent="0.2">
      <c r="GI60026" s="422"/>
    </row>
    <row r="60027" spans="191:191" x14ac:dyDescent="0.2">
      <c r="GI60027" s="422"/>
    </row>
    <row r="60028" spans="191:191" x14ac:dyDescent="0.2">
      <c r="GI60028" s="422"/>
    </row>
    <row r="60029" spans="191:191" x14ac:dyDescent="0.2">
      <c r="GI60029" s="422"/>
    </row>
    <row r="60030" spans="191:191" x14ac:dyDescent="0.2">
      <c r="GI60030" s="422"/>
    </row>
    <row r="60031" spans="191:191" x14ac:dyDescent="0.2">
      <c r="GI60031" s="422"/>
    </row>
    <row r="60032" spans="191:191" x14ac:dyDescent="0.2">
      <c r="GI60032" s="422"/>
    </row>
    <row r="60033" spans="191:191" x14ac:dyDescent="0.2">
      <c r="GI60033" s="422"/>
    </row>
    <row r="60034" spans="191:191" x14ac:dyDescent="0.2">
      <c r="GI60034" s="422"/>
    </row>
    <row r="60035" spans="191:191" x14ac:dyDescent="0.2">
      <c r="GI60035" s="422"/>
    </row>
    <row r="60036" spans="191:191" x14ac:dyDescent="0.2">
      <c r="GI60036" s="422"/>
    </row>
    <row r="60037" spans="191:191" x14ac:dyDescent="0.2">
      <c r="GI60037" s="422"/>
    </row>
    <row r="60038" spans="191:191" x14ac:dyDescent="0.2">
      <c r="GI60038" s="422"/>
    </row>
    <row r="60039" spans="191:191" x14ac:dyDescent="0.2">
      <c r="GI60039" s="422"/>
    </row>
    <row r="60040" spans="191:191" x14ac:dyDescent="0.2">
      <c r="GI60040" s="422"/>
    </row>
    <row r="60041" spans="191:191" x14ac:dyDescent="0.2">
      <c r="GI60041" s="422"/>
    </row>
    <row r="60042" spans="191:191" x14ac:dyDescent="0.2">
      <c r="GI60042" s="422"/>
    </row>
    <row r="60043" spans="191:191" x14ac:dyDescent="0.2">
      <c r="GI60043" s="422"/>
    </row>
    <row r="60044" spans="191:191" x14ac:dyDescent="0.2">
      <c r="GI60044" s="422"/>
    </row>
    <row r="60045" spans="191:191" x14ac:dyDescent="0.2">
      <c r="GI60045" s="422"/>
    </row>
    <row r="60046" spans="191:191" x14ac:dyDescent="0.2">
      <c r="GI60046" s="422"/>
    </row>
    <row r="60047" spans="191:191" x14ac:dyDescent="0.2">
      <c r="GI60047" s="422"/>
    </row>
    <row r="60048" spans="191:191" x14ac:dyDescent="0.2">
      <c r="GI60048" s="422"/>
    </row>
    <row r="60049" spans="191:191" x14ac:dyDescent="0.2">
      <c r="GI60049" s="422"/>
    </row>
    <row r="60050" spans="191:191" x14ac:dyDescent="0.2">
      <c r="GI60050" s="422"/>
    </row>
    <row r="60051" spans="191:191" x14ac:dyDescent="0.2">
      <c r="GI60051" s="422"/>
    </row>
    <row r="60052" spans="191:191" x14ac:dyDescent="0.2">
      <c r="GI60052" s="422"/>
    </row>
    <row r="60053" spans="191:191" x14ac:dyDescent="0.2">
      <c r="GI60053" s="422"/>
    </row>
    <row r="60054" spans="191:191" x14ac:dyDescent="0.2">
      <c r="GI60054" s="422"/>
    </row>
    <row r="60055" spans="191:191" x14ac:dyDescent="0.2">
      <c r="GI60055" s="422"/>
    </row>
    <row r="60056" spans="191:191" x14ac:dyDescent="0.2">
      <c r="GI60056" s="422"/>
    </row>
    <row r="60057" spans="191:191" x14ac:dyDescent="0.2">
      <c r="GI60057" s="422"/>
    </row>
    <row r="60058" spans="191:191" x14ac:dyDescent="0.2">
      <c r="GI60058" s="422"/>
    </row>
    <row r="60059" spans="191:191" x14ac:dyDescent="0.2">
      <c r="GI60059" s="422"/>
    </row>
    <row r="60060" spans="191:191" x14ac:dyDescent="0.2">
      <c r="GI60060" s="422"/>
    </row>
    <row r="60061" spans="191:191" x14ac:dyDescent="0.2">
      <c r="GI60061" s="422"/>
    </row>
    <row r="60062" spans="191:191" x14ac:dyDescent="0.2">
      <c r="GI60062" s="422"/>
    </row>
    <row r="60063" spans="191:191" x14ac:dyDescent="0.2">
      <c r="GI60063" s="422"/>
    </row>
    <row r="60064" spans="191:191" x14ac:dyDescent="0.2">
      <c r="GI60064" s="422"/>
    </row>
    <row r="60065" spans="191:191" x14ac:dyDescent="0.2">
      <c r="GI60065" s="422"/>
    </row>
    <row r="60066" spans="191:191" x14ac:dyDescent="0.2">
      <c r="GI60066" s="422"/>
    </row>
    <row r="60067" spans="191:191" x14ac:dyDescent="0.2">
      <c r="GI60067" s="422"/>
    </row>
    <row r="60068" spans="191:191" x14ac:dyDescent="0.2">
      <c r="GI60068" s="422"/>
    </row>
    <row r="60069" spans="191:191" x14ac:dyDescent="0.2">
      <c r="GI60069" s="422"/>
    </row>
    <row r="60070" spans="191:191" x14ac:dyDescent="0.2">
      <c r="GI60070" s="422"/>
    </row>
    <row r="60071" spans="191:191" x14ac:dyDescent="0.2">
      <c r="GI60071" s="422"/>
    </row>
    <row r="60072" spans="191:191" x14ac:dyDescent="0.2">
      <c r="GI60072" s="422"/>
    </row>
    <row r="60073" spans="191:191" x14ac:dyDescent="0.2">
      <c r="GI60073" s="422"/>
    </row>
    <row r="60074" spans="191:191" x14ac:dyDescent="0.2">
      <c r="GI60074" s="422"/>
    </row>
    <row r="60075" spans="191:191" x14ac:dyDescent="0.2">
      <c r="GI60075" s="422"/>
    </row>
    <row r="60076" spans="191:191" x14ac:dyDescent="0.2">
      <c r="GI60076" s="422"/>
    </row>
    <row r="60077" spans="191:191" x14ac:dyDescent="0.2">
      <c r="GI60077" s="422"/>
    </row>
    <row r="60078" spans="191:191" x14ac:dyDescent="0.2">
      <c r="GI60078" s="422"/>
    </row>
    <row r="60079" spans="191:191" x14ac:dyDescent="0.2">
      <c r="GI60079" s="422"/>
    </row>
    <row r="60080" spans="191:191" x14ac:dyDescent="0.2">
      <c r="GI60080" s="422"/>
    </row>
    <row r="60081" spans="191:191" x14ac:dyDescent="0.2">
      <c r="GI60081" s="422"/>
    </row>
    <row r="60082" spans="191:191" x14ac:dyDescent="0.2">
      <c r="GI60082" s="422"/>
    </row>
    <row r="60083" spans="191:191" x14ac:dyDescent="0.2">
      <c r="GI60083" s="422"/>
    </row>
    <row r="60084" spans="191:191" x14ac:dyDescent="0.2">
      <c r="GI60084" s="422"/>
    </row>
    <row r="60085" spans="191:191" x14ac:dyDescent="0.2">
      <c r="GI60085" s="422"/>
    </row>
    <row r="60086" spans="191:191" x14ac:dyDescent="0.2">
      <c r="GI60086" s="422"/>
    </row>
    <row r="60087" spans="191:191" x14ac:dyDescent="0.2">
      <c r="GI60087" s="422"/>
    </row>
    <row r="60088" spans="191:191" x14ac:dyDescent="0.2">
      <c r="GI60088" s="422"/>
    </row>
    <row r="60089" spans="191:191" x14ac:dyDescent="0.2">
      <c r="GI60089" s="422"/>
    </row>
    <row r="60090" spans="191:191" x14ac:dyDescent="0.2">
      <c r="GI60090" s="422"/>
    </row>
    <row r="60091" spans="191:191" x14ac:dyDescent="0.2">
      <c r="GI60091" s="422"/>
    </row>
    <row r="60092" spans="191:191" x14ac:dyDescent="0.2">
      <c r="GI60092" s="422"/>
    </row>
    <row r="60093" spans="191:191" x14ac:dyDescent="0.2">
      <c r="GI60093" s="422"/>
    </row>
    <row r="60094" spans="191:191" x14ac:dyDescent="0.2">
      <c r="GI60094" s="422"/>
    </row>
    <row r="60095" spans="191:191" x14ac:dyDescent="0.2">
      <c r="GI60095" s="422"/>
    </row>
    <row r="60096" spans="191:191" x14ac:dyDescent="0.2">
      <c r="GI60096" s="422"/>
    </row>
    <row r="60097" spans="191:191" x14ac:dyDescent="0.2">
      <c r="GI60097" s="422"/>
    </row>
    <row r="60098" spans="191:191" x14ac:dyDescent="0.2">
      <c r="GI60098" s="422"/>
    </row>
    <row r="60099" spans="191:191" x14ac:dyDescent="0.2">
      <c r="GI60099" s="422"/>
    </row>
    <row r="60100" spans="191:191" x14ac:dyDescent="0.2">
      <c r="GI60100" s="422"/>
    </row>
    <row r="60101" spans="191:191" x14ac:dyDescent="0.2">
      <c r="GI60101" s="422"/>
    </row>
    <row r="60102" spans="191:191" x14ac:dyDescent="0.2">
      <c r="GI60102" s="422"/>
    </row>
    <row r="60103" spans="191:191" x14ac:dyDescent="0.2">
      <c r="GI60103" s="422"/>
    </row>
    <row r="60104" spans="191:191" x14ac:dyDescent="0.2">
      <c r="GI60104" s="422"/>
    </row>
    <row r="60105" spans="191:191" x14ac:dyDescent="0.2">
      <c r="GI60105" s="422"/>
    </row>
    <row r="60106" spans="191:191" x14ac:dyDescent="0.2">
      <c r="GI60106" s="422"/>
    </row>
    <row r="60107" spans="191:191" x14ac:dyDescent="0.2">
      <c r="GI60107" s="422"/>
    </row>
    <row r="60108" spans="191:191" x14ac:dyDescent="0.2">
      <c r="GI60108" s="422"/>
    </row>
    <row r="60109" spans="191:191" x14ac:dyDescent="0.2">
      <c r="GI60109" s="422"/>
    </row>
    <row r="60110" spans="191:191" x14ac:dyDescent="0.2">
      <c r="GI60110" s="422"/>
    </row>
    <row r="60111" spans="191:191" x14ac:dyDescent="0.2">
      <c r="GI60111" s="422"/>
    </row>
    <row r="60112" spans="191:191" x14ac:dyDescent="0.2">
      <c r="GI60112" s="422"/>
    </row>
    <row r="60113" spans="191:191" x14ac:dyDescent="0.2">
      <c r="GI60113" s="422"/>
    </row>
    <row r="60114" spans="191:191" x14ac:dyDescent="0.2">
      <c r="GI60114" s="422"/>
    </row>
    <row r="60115" spans="191:191" x14ac:dyDescent="0.2">
      <c r="GI60115" s="422"/>
    </row>
    <row r="60116" spans="191:191" x14ac:dyDescent="0.2">
      <c r="GI60116" s="422"/>
    </row>
    <row r="60117" spans="191:191" x14ac:dyDescent="0.2">
      <c r="GI60117" s="422"/>
    </row>
    <row r="60118" spans="191:191" x14ac:dyDescent="0.2">
      <c r="GI60118" s="422"/>
    </row>
    <row r="60119" spans="191:191" x14ac:dyDescent="0.2">
      <c r="GI60119" s="422"/>
    </row>
    <row r="60120" spans="191:191" x14ac:dyDescent="0.2">
      <c r="GI60120" s="422"/>
    </row>
    <row r="60121" spans="191:191" x14ac:dyDescent="0.2">
      <c r="GI60121" s="422"/>
    </row>
    <row r="60122" spans="191:191" x14ac:dyDescent="0.2">
      <c r="GI60122" s="422"/>
    </row>
    <row r="60123" spans="191:191" x14ac:dyDescent="0.2">
      <c r="GI60123" s="422"/>
    </row>
    <row r="60124" spans="191:191" x14ac:dyDescent="0.2">
      <c r="GI60124" s="422"/>
    </row>
    <row r="60125" spans="191:191" x14ac:dyDescent="0.2">
      <c r="GI60125" s="422"/>
    </row>
    <row r="60126" spans="191:191" x14ac:dyDescent="0.2">
      <c r="GI60126" s="422"/>
    </row>
    <row r="60127" spans="191:191" x14ac:dyDescent="0.2">
      <c r="GI60127" s="422"/>
    </row>
    <row r="60128" spans="191:191" x14ac:dyDescent="0.2">
      <c r="GI60128" s="422"/>
    </row>
    <row r="60129" spans="191:191" x14ac:dyDescent="0.2">
      <c r="GI60129" s="422"/>
    </row>
    <row r="60130" spans="191:191" x14ac:dyDescent="0.2">
      <c r="GI60130" s="422"/>
    </row>
    <row r="60131" spans="191:191" x14ac:dyDescent="0.2">
      <c r="GI60131" s="422"/>
    </row>
    <row r="60132" spans="191:191" x14ac:dyDescent="0.2">
      <c r="GI60132" s="422"/>
    </row>
    <row r="60133" spans="191:191" x14ac:dyDescent="0.2">
      <c r="GI60133" s="422"/>
    </row>
    <row r="60134" spans="191:191" x14ac:dyDescent="0.2">
      <c r="GI60134" s="422"/>
    </row>
    <row r="60135" spans="191:191" x14ac:dyDescent="0.2">
      <c r="GI60135" s="422"/>
    </row>
    <row r="60136" spans="191:191" x14ac:dyDescent="0.2">
      <c r="GI60136" s="422"/>
    </row>
    <row r="60137" spans="191:191" x14ac:dyDescent="0.2">
      <c r="GI60137" s="422"/>
    </row>
    <row r="60138" spans="191:191" x14ac:dyDescent="0.2">
      <c r="GI60138" s="422"/>
    </row>
    <row r="60139" spans="191:191" x14ac:dyDescent="0.2">
      <c r="GI60139" s="422"/>
    </row>
    <row r="60140" spans="191:191" x14ac:dyDescent="0.2">
      <c r="GI60140" s="422"/>
    </row>
    <row r="60141" spans="191:191" x14ac:dyDescent="0.2">
      <c r="GI60141" s="422"/>
    </row>
    <row r="60142" spans="191:191" x14ac:dyDescent="0.2">
      <c r="GI60142" s="422"/>
    </row>
    <row r="60143" spans="191:191" x14ac:dyDescent="0.2">
      <c r="GI60143" s="422"/>
    </row>
    <row r="60144" spans="191:191" x14ac:dyDescent="0.2">
      <c r="GI60144" s="422"/>
    </row>
    <row r="60145" spans="191:191" x14ac:dyDescent="0.2">
      <c r="GI60145" s="422"/>
    </row>
    <row r="60146" spans="191:191" x14ac:dyDescent="0.2">
      <c r="GI60146" s="422"/>
    </row>
    <row r="60147" spans="191:191" x14ac:dyDescent="0.2">
      <c r="GI60147" s="422"/>
    </row>
    <row r="60148" spans="191:191" x14ac:dyDescent="0.2">
      <c r="GI60148" s="422"/>
    </row>
    <row r="60149" spans="191:191" x14ac:dyDescent="0.2">
      <c r="GI60149" s="422"/>
    </row>
    <row r="60150" spans="191:191" x14ac:dyDescent="0.2">
      <c r="GI60150" s="422"/>
    </row>
    <row r="60151" spans="191:191" x14ac:dyDescent="0.2">
      <c r="GI60151" s="422"/>
    </row>
    <row r="60152" spans="191:191" x14ac:dyDescent="0.2">
      <c r="GI60152" s="422"/>
    </row>
    <row r="60153" spans="191:191" x14ac:dyDescent="0.2">
      <c r="GI60153" s="422"/>
    </row>
    <row r="60154" spans="191:191" x14ac:dyDescent="0.2">
      <c r="GI60154" s="422"/>
    </row>
    <row r="60155" spans="191:191" x14ac:dyDescent="0.2">
      <c r="GI60155" s="422"/>
    </row>
    <row r="60156" spans="191:191" x14ac:dyDescent="0.2">
      <c r="GI60156" s="422"/>
    </row>
    <row r="60157" spans="191:191" x14ac:dyDescent="0.2">
      <c r="GI60157" s="422"/>
    </row>
    <row r="60158" spans="191:191" x14ac:dyDescent="0.2">
      <c r="GI60158" s="422"/>
    </row>
    <row r="60159" spans="191:191" x14ac:dyDescent="0.2">
      <c r="GI60159" s="422"/>
    </row>
    <row r="60160" spans="191:191" x14ac:dyDescent="0.2">
      <c r="GI60160" s="422"/>
    </row>
    <row r="60161" spans="191:191" x14ac:dyDescent="0.2">
      <c r="GI60161" s="422"/>
    </row>
    <row r="60162" spans="191:191" x14ac:dyDescent="0.2">
      <c r="GI60162" s="422"/>
    </row>
    <row r="60163" spans="191:191" x14ac:dyDescent="0.2">
      <c r="GI60163" s="422"/>
    </row>
    <row r="60164" spans="191:191" x14ac:dyDescent="0.2">
      <c r="GI60164" s="422"/>
    </row>
    <row r="60165" spans="191:191" x14ac:dyDescent="0.2">
      <c r="GI60165" s="422"/>
    </row>
    <row r="60166" spans="191:191" x14ac:dyDescent="0.2">
      <c r="GI60166" s="422"/>
    </row>
    <row r="60167" spans="191:191" x14ac:dyDescent="0.2">
      <c r="GI60167" s="422"/>
    </row>
    <row r="60168" spans="191:191" x14ac:dyDescent="0.2">
      <c r="GI60168" s="422"/>
    </row>
    <row r="60169" spans="191:191" x14ac:dyDescent="0.2">
      <c r="GI60169" s="422"/>
    </row>
    <row r="60170" spans="191:191" x14ac:dyDescent="0.2">
      <c r="GI60170" s="422"/>
    </row>
    <row r="60171" spans="191:191" x14ac:dyDescent="0.2">
      <c r="GI60171" s="422"/>
    </row>
    <row r="60172" spans="191:191" x14ac:dyDescent="0.2">
      <c r="GI60172" s="422"/>
    </row>
    <row r="60173" spans="191:191" x14ac:dyDescent="0.2">
      <c r="GI60173" s="422"/>
    </row>
    <row r="60174" spans="191:191" x14ac:dyDescent="0.2">
      <c r="GI60174" s="422"/>
    </row>
    <row r="60175" spans="191:191" x14ac:dyDescent="0.2">
      <c r="GI60175" s="422"/>
    </row>
    <row r="60176" spans="191:191" x14ac:dyDescent="0.2">
      <c r="GI60176" s="422"/>
    </row>
    <row r="60177" spans="191:191" x14ac:dyDescent="0.2">
      <c r="GI60177" s="422"/>
    </row>
    <row r="60178" spans="191:191" x14ac:dyDescent="0.2">
      <c r="GI60178" s="422"/>
    </row>
    <row r="60179" spans="191:191" x14ac:dyDescent="0.2">
      <c r="GI60179" s="422"/>
    </row>
    <row r="60180" spans="191:191" x14ac:dyDescent="0.2">
      <c r="GI60180" s="422"/>
    </row>
    <row r="60181" spans="191:191" x14ac:dyDescent="0.2">
      <c r="GI60181" s="422"/>
    </row>
    <row r="60182" spans="191:191" x14ac:dyDescent="0.2">
      <c r="GI60182" s="422"/>
    </row>
    <row r="60183" spans="191:191" x14ac:dyDescent="0.2">
      <c r="GI60183" s="422"/>
    </row>
    <row r="60184" spans="191:191" x14ac:dyDescent="0.2">
      <c r="GI60184" s="422"/>
    </row>
    <row r="60185" spans="191:191" x14ac:dyDescent="0.2">
      <c r="GI60185" s="422"/>
    </row>
    <row r="60186" spans="191:191" x14ac:dyDescent="0.2">
      <c r="GI60186" s="422"/>
    </row>
    <row r="60187" spans="191:191" x14ac:dyDescent="0.2">
      <c r="GI60187" s="422"/>
    </row>
    <row r="60188" spans="191:191" x14ac:dyDescent="0.2">
      <c r="GI60188" s="422"/>
    </row>
    <row r="60189" spans="191:191" x14ac:dyDescent="0.2">
      <c r="GI60189" s="422"/>
    </row>
    <row r="60190" spans="191:191" x14ac:dyDescent="0.2">
      <c r="GI60190" s="422"/>
    </row>
    <row r="60191" spans="191:191" x14ac:dyDescent="0.2">
      <c r="GI60191" s="422"/>
    </row>
    <row r="60192" spans="191:191" x14ac:dyDescent="0.2">
      <c r="GI60192" s="422"/>
    </row>
    <row r="60193" spans="191:191" x14ac:dyDescent="0.2">
      <c r="GI60193" s="422"/>
    </row>
    <row r="60194" spans="191:191" x14ac:dyDescent="0.2">
      <c r="GI60194" s="422"/>
    </row>
    <row r="60195" spans="191:191" x14ac:dyDescent="0.2">
      <c r="GI60195" s="422"/>
    </row>
    <row r="60196" spans="191:191" x14ac:dyDescent="0.2">
      <c r="GI60196" s="422"/>
    </row>
    <row r="60197" spans="191:191" x14ac:dyDescent="0.2">
      <c r="GI60197" s="422"/>
    </row>
    <row r="60198" spans="191:191" x14ac:dyDescent="0.2">
      <c r="GI60198" s="422"/>
    </row>
    <row r="60199" spans="191:191" x14ac:dyDescent="0.2">
      <c r="GI60199" s="422"/>
    </row>
    <row r="60200" spans="191:191" x14ac:dyDescent="0.2">
      <c r="GI60200" s="422"/>
    </row>
    <row r="60201" spans="191:191" x14ac:dyDescent="0.2">
      <c r="GI60201" s="422"/>
    </row>
    <row r="60202" spans="191:191" x14ac:dyDescent="0.2">
      <c r="GI60202" s="422"/>
    </row>
    <row r="60203" spans="191:191" x14ac:dyDescent="0.2">
      <c r="GI60203" s="422"/>
    </row>
    <row r="60204" spans="191:191" x14ac:dyDescent="0.2">
      <c r="GI60204" s="422"/>
    </row>
    <row r="60205" spans="191:191" x14ac:dyDescent="0.2">
      <c r="GI60205" s="422"/>
    </row>
    <row r="60206" spans="191:191" x14ac:dyDescent="0.2">
      <c r="GI60206" s="422"/>
    </row>
    <row r="60207" spans="191:191" x14ac:dyDescent="0.2">
      <c r="GI60207" s="422"/>
    </row>
    <row r="60208" spans="191:191" x14ac:dyDescent="0.2">
      <c r="GI60208" s="422"/>
    </row>
    <row r="60209" spans="191:191" x14ac:dyDescent="0.2">
      <c r="GI60209" s="422"/>
    </row>
    <row r="60210" spans="191:191" x14ac:dyDescent="0.2">
      <c r="GI60210" s="422"/>
    </row>
    <row r="60211" spans="191:191" x14ac:dyDescent="0.2">
      <c r="GI60211" s="422"/>
    </row>
    <row r="60212" spans="191:191" x14ac:dyDescent="0.2">
      <c r="GI60212" s="422"/>
    </row>
    <row r="60213" spans="191:191" x14ac:dyDescent="0.2">
      <c r="GI60213" s="422"/>
    </row>
    <row r="60214" spans="191:191" x14ac:dyDescent="0.2">
      <c r="GI60214" s="422"/>
    </row>
    <row r="60215" spans="191:191" x14ac:dyDescent="0.2">
      <c r="GI60215" s="422"/>
    </row>
    <row r="60216" spans="191:191" x14ac:dyDescent="0.2">
      <c r="GI60216" s="422"/>
    </row>
    <row r="60217" spans="191:191" x14ac:dyDescent="0.2">
      <c r="GI60217" s="422"/>
    </row>
    <row r="60218" spans="191:191" x14ac:dyDescent="0.2">
      <c r="GI60218" s="422"/>
    </row>
    <row r="60219" spans="191:191" x14ac:dyDescent="0.2">
      <c r="GI60219" s="422"/>
    </row>
    <row r="60220" spans="191:191" x14ac:dyDescent="0.2">
      <c r="GI60220" s="422"/>
    </row>
    <row r="60221" spans="191:191" x14ac:dyDescent="0.2">
      <c r="GI60221" s="422"/>
    </row>
    <row r="60222" spans="191:191" x14ac:dyDescent="0.2">
      <c r="GI60222" s="422"/>
    </row>
    <row r="60223" spans="191:191" x14ac:dyDescent="0.2">
      <c r="GI60223" s="422"/>
    </row>
    <row r="60224" spans="191:191" x14ac:dyDescent="0.2">
      <c r="GI60224" s="422"/>
    </row>
    <row r="60225" spans="191:191" x14ac:dyDescent="0.2">
      <c r="GI60225" s="422"/>
    </row>
    <row r="60226" spans="191:191" x14ac:dyDescent="0.2">
      <c r="GI60226" s="422"/>
    </row>
    <row r="60227" spans="191:191" x14ac:dyDescent="0.2">
      <c r="GI60227" s="422"/>
    </row>
    <row r="60228" spans="191:191" x14ac:dyDescent="0.2">
      <c r="GI60228" s="422"/>
    </row>
    <row r="60229" spans="191:191" x14ac:dyDescent="0.2">
      <c r="GI60229" s="422"/>
    </row>
    <row r="60230" spans="191:191" x14ac:dyDescent="0.2">
      <c r="GI60230" s="422"/>
    </row>
    <row r="60231" spans="191:191" x14ac:dyDescent="0.2">
      <c r="GI60231" s="422"/>
    </row>
    <row r="60232" spans="191:191" x14ac:dyDescent="0.2">
      <c r="GI60232" s="422"/>
    </row>
    <row r="60233" spans="191:191" x14ac:dyDescent="0.2">
      <c r="GI60233" s="422"/>
    </row>
    <row r="60234" spans="191:191" x14ac:dyDescent="0.2">
      <c r="GI60234" s="422"/>
    </row>
    <row r="60235" spans="191:191" x14ac:dyDescent="0.2">
      <c r="GI60235" s="422"/>
    </row>
    <row r="60236" spans="191:191" x14ac:dyDescent="0.2">
      <c r="GI60236" s="422"/>
    </row>
    <row r="60237" spans="191:191" x14ac:dyDescent="0.2">
      <c r="GI60237" s="422"/>
    </row>
    <row r="60238" spans="191:191" x14ac:dyDescent="0.2">
      <c r="GI60238" s="422"/>
    </row>
    <row r="60239" spans="191:191" x14ac:dyDescent="0.2">
      <c r="GI60239" s="422"/>
    </row>
    <row r="60240" spans="191:191" x14ac:dyDescent="0.2">
      <c r="GI60240" s="422"/>
    </row>
    <row r="60241" spans="191:191" x14ac:dyDescent="0.2">
      <c r="GI60241" s="422"/>
    </row>
    <row r="60242" spans="191:191" x14ac:dyDescent="0.2">
      <c r="GI60242" s="422"/>
    </row>
    <row r="60243" spans="191:191" x14ac:dyDescent="0.2">
      <c r="GI60243" s="422"/>
    </row>
    <row r="60244" spans="191:191" x14ac:dyDescent="0.2">
      <c r="GI60244" s="422"/>
    </row>
    <row r="60245" spans="191:191" x14ac:dyDescent="0.2">
      <c r="GI60245" s="422"/>
    </row>
    <row r="60246" spans="191:191" x14ac:dyDescent="0.2">
      <c r="GI60246" s="422"/>
    </row>
    <row r="60247" spans="191:191" x14ac:dyDescent="0.2">
      <c r="GI60247" s="422"/>
    </row>
    <row r="60248" spans="191:191" x14ac:dyDescent="0.2">
      <c r="GI60248" s="422"/>
    </row>
    <row r="60249" spans="191:191" x14ac:dyDescent="0.2">
      <c r="GI60249" s="422"/>
    </row>
    <row r="60250" spans="191:191" x14ac:dyDescent="0.2">
      <c r="GI60250" s="422"/>
    </row>
    <row r="60251" spans="191:191" x14ac:dyDescent="0.2">
      <c r="GI60251" s="422"/>
    </row>
    <row r="60252" spans="191:191" x14ac:dyDescent="0.2">
      <c r="GI60252" s="422"/>
    </row>
    <row r="60253" spans="191:191" x14ac:dyDescent="0.2">
      <c r="GI60253" s="422"/>
    </row>
    <row r="60254" spans="191:191" x14ac:dyDescent="0.2">
      <c r="GI60254" s="422"/>
    </row>
    <row r="60255" spans="191:191" x14ac:dyDescent="0.2">
      <c r="GI60255" s="422"/>
    </row>
    <row r="60256" spans="191:191" x14ac:dyDescent="0.2">
      <c r="GI60256" s="422"/>
    </row>
    <row r="60257" spans="191:191" x14ac:dyDescent="0.2">
      <c r="GI60257" s="422"/>
    </row>
    <row r="60258" spans="191:191" x14ac:dyDescent="0.2">
      <c r="GI60258" s="422"/>
    </row>
    <row r="60259" spans="191:191" x14ac:dyDescent="0.2">
      <c r="GI60259" s="422"/>
    </row>
    <row r="60260" spans="191:191" x14ac:dyDescent="0.2">
      <c r="GI60260" s="422"/>
    </row>
    <row r="60261" spans="191:191" x14ac:dyDescent="0.2">
      <c r="GI60261" s="422"/>
    </row>
    <row r="60262" spans="191:191" x14ac:dyDescent="0.2">
      <c r="GI60262" s="422"/>
    </row>
    <row r="60263" spans="191:191" x14ac:dyDescent="0.2">
      <c r="GI60263" s="422"/>
    </row>
    <row r="60264" spans="191:191" x14ac:dyDescent="0.2">
      <c r="GI60264" s="422"/>
    </row>
    <row r="60265" spans="191:191" x14ac:dyDescent="0.2">
      <c r="GI60265" s="422"/>
    </row>
    <row r="60266" spans="191:191" x14ac:dyDescent="0.2">
      <c r="GI60266" s="422"/>
    </row>
    <row r="60267" spans="191:191" x14ac:dyDescent="0.2">
      <c r="GI60267" s="422"/>
    </row>
    <row r="60268" spans="191:191" x14ac:dyDescent="0.2">
      <c r="GI60268" s="422"/>
    </row>
    <row r="60269" spans="191:191" x14ac:dyDescent="0.2">
      <c r="GI60269" s="422"/>
    </row>
    <row r="60270" spans="191:191" x14ac:dyDescent="0.2">
      <c r="GI60270" s="422"/>
    </row>
    <row r="60271" spans="191:191" x14ac:dyDescent="0.2">
      <c r="GI60271" s="422"/>
    </row>
    <row r="60272" spans="191:191" x14ac:dyDescent="0.2">
      <c r="GI60272" s="422"/>
    </row>
    <row r="60273" spans="191:191" x14ac:dyDescent="0.2">
      <c r="GI60273" s="422"/>
    </row>
    <row r="60274" spans="191:191" x14ac:dyDescent="0.2">
      <c r="GI60274" s="422"/>
    </row>
    <row r="60275" spans="191:191" x14ac:dyDescent="0.2">
      <c r="GI60275" s="422"/>
    </row>
    <row r="60276" spans="191:191" x14ac:dyDescent="0.2">
      <c r="GI60276" s="422"/>
    </row>
    <row r="60277" spans="191:191" x14ac:dyDescent="0.2">
      <c r="GI60277" s="422"/>
    </row>
    <row r="60278" spans="191:191" x14ac:dyDescent="0.2">
      <c r="GI60278" s="422"/>
    </row>
    <row r="60279" spans="191:191" x14ac:dyDescent="0.2">
      <c r="GI60279" s="422"/>
    </row>
    <row r="60280" spans="191:191" x14ac:dyDescent="0.2">
      <c r="GI60280" s="422"/>
    </row>
    <row r="60281" spans="191:191" x14ac:dyDescent="0.2">
      <c r="GI60281" s="422"/>
    </row>
    <row r="60282" spans="191:191" x14ac:dyDescent="0.2">
      <c r="GI60282" s="422"/>
    </row>
    <row r="60283" spans="191:191" x14ac:dyDescent="0.2">
      <c r="GI60283" s="422"/>
    </row>
    <row r="60284" spans="191:191" x14ac:dyDescent="0.2">
      <c r="GI60284" s="422"/>
    </row>
    <row r="60285" spans="191:191" x14ac:dyDescent="0.2">
      <c r="GI60285" s="422"/>
    </row>
    <row r="60286" spans="191:191" x14ac:dyDescent="0.2">
      <c r="GI60286" s="422"/>
    </row>
    <row r="60287" spans="191:191" x14ac:dyDescent="0.2">
      <c r="GI60287" s="422"/>
    </row>
    <row r="60288" spans="191:191" x14ac:dyDescent="0.2">
      <c r="GI60288" s="422"/>
    </row>
    <row r="60289" spans="191:191" x14ac:dyDescent="0.2">
      <c r="GI60289" s="422"/>
    </row>
    <row r="60290" spans="191:191" x14ac:dyDescent="0.2">
      <c r="GI60290" s="422"/>
    </row>
    <row r="60291" spans="191:191" x14ac:dyDescent="0.2">
      <c r="GI60291" s="422"/>
    </row>
    <row r="60292" spans="191:191" x14ac:dyDescent="0.2">
      <c r="GI60292" s="422"/>
    </row>
    <row r="60293" spans="191:191" x14ac:dyDescent="0.2">
      <c r="GI60293" s="422"/>
    </row>
    <row r="60294" spans="191:191" x14ac:dyDescent="0.2">
      <c r="GI60294" s="422"/>
    </row>
    <row r="60295" spans="191:191" x14ac:dyDescent="0.2">
      <c r="GI60295" s="422"/>
    </row>
    <row r="60296" spans="191:191" x14ac:dyDescent="0.2">
      <c r="GI60296" s="422"/>
    </row>
    <row r="60297" spans="191:191" x14ac:dyDescent="0.2">
      <c r="GI60297" s="422"/>
    </row>
    <row r="60298" spans="191:191" x14ac:dyDescent="0.2">
      <c r="GI60298" s="422"/>
    </row>
    <row r="60299" spans="191:191" x14ac:dyDescent="0.2">
      <c r="GI60299" s="422"/>
    </row>
    <row r="60300" spans="191:191" x14ac:dyDescent="0.2">
      <c r="GI60300" s="422"/>
    </row>
    <row r="60301" spans="191:191" x14ac:dyDescent="0.2">
      <c r="GI60301" s="422"/>
    </row>
    <row r="60302" spans="191:191" x14ac:dyDescent="0.2">
      <c r="GI60302" s="422"/>
    </row>
    <row r="60303" spans="191:191" x14ac:dyDescent="0.2">
      <c r="GI60303" s="422"/>
    </row>
    <row r="60304" spans="191:191" x14ac:dyDescent="0.2">
      <c r="GI60304" s="422"/>
    </row>
    <row r="60305" spans="191:191" x14ac:dyDescent="0.2">
      <c r="GI60305" s="422"/>
    </row>
    <row r="60306" spans="191:191" x14ac:dyDescent="0.2">
      <c r="GI60306" s="422"/>
    </row>
    <row r="60307" spans="191:191" x14ac:dyDescent="0.2">
      <c r="GI60307" s="422"/>
    </row>
    <row r="60308" spans="191:191" x14ac:dyDescent="0.2">
      <c r="GI60308" s="422"/>
    </row>
    <row r="60309" spans="191:191" x14ac:dyDescent="0.2">
      <c r="GI60309" s="422"/>
    </row>
    <row r="60310" spans="191:191" x14ac:dyDescent="0.2">
      <c r="GI60310" s="422"/>
    </row>
    <row r="60311" spans="191:191" x14ac:dyDescent="0.2">
      <c r="GI60311" s="422"/>
    </row>
    <row r="60312" spans="191:191" x14ac:dyDescent="0.2">
      <c r="GI60312" s="422"/>
    </row>
    <row r="60313" spans="191:191" x14ac:dyDescent="0.2">
      <c r="GI60313" s="422"/>
    </row>
    <row r="60314" spans="191:191" x14ac:dyDescent="0.2">
      <c r="GI60314" s="422"/>
    </row>
    <row r="60315" spans="191:191" x14ac:dyDescent="0.2">
      <c r="GI60315" s="422"/>
    </row>
    <row r="60316" spans="191:191" x14ac:dyDescent="0.2">
      <c r="GI60316" s="422"/>
    </row>
    <row r="60317" spans="191:191" x14ac:dyDescent="0.2">
      <c r="GI60317" s="422"/>
    </row>
    <row r="60318" spans="191:191" x14ac:dyDescent="0.2">
      <c r="GI60318" s="422"/>
    </row>
    <row r="60319" spans="191:191" x14ac:dyDescent="0.2">
      <c r="GI60319" s="422"/>
    </row>
    <row r="60320" spans="191:191" x14ac:dyDescent="0.2">
      <c r="GI60320" s="422"/>
    </row>
    <row r="60321" spans="191:191" x14ac:dyDescent="0.2">
      <c r="GI60321" s="422"/>
    </row>
    <row r="60322" spans="191:191" x14ac:dyDescent="0.2">
      <c r="GI60322" s="422"/>
    </row>
    <row r="60323" spans="191:191" x14ac:dyDescent="0.2">
      <c r="GI60323" s="422"/>
    </row>
    <row r="60324" spans="191:191" x14ac:dyDescent="0.2">
      <c r="GI60324" s="422"/>
    </row>
    <row r="60325" spans="191:191" x14ac:dyDescent="0.2">
      <c r="GI60325" s="422"/>
    </row>
    <row r="60326" spans="191:191" x14ac:dyDescent="0.2">
      <c r="GI60326" s="422"/>
    </row>
    <row r="60327" spans="191:191" x14ac:dyDescent="0.2">
      <c r="GI60327" s="422"/>
    </row>
    <row r="60328" spans="191:191" x14ac:dyDescent="0.2">
      <c r="GI60328" s="422"/>
    </row>
    <row r="60329" spans="191:191" x14ac:dyDescent="0.2">
      <c r="GI60329" s="422"/>
    </row>
    <row r="60330" spans="191:191" x14ac:dyDescent="0.2">
      <c r="GI60330" s="422"/>
    </row>
    <row r="60331" spans="191:191" x14ac:dyDescent="0.2">
      <c r="GI60331" s="422"/>
    </row>
    <row r="60332" spans="191:191" x14ac:dyDescent="0.2">
      <c r="GI60332" s="422"/>
    </row>
    <row r="60333" spans="191:191" x14ac:dyDescent="0.2">
      <c r="GI60333" s="422"/>
    </row>
    <row r="60334" spans="191:191" x14ac:dyDescent="0.2">
      <c r="GI60334" s="422"/>
    </row>
    <row r="60335" spans="191:191" x14ac:dyDescent="0.2">
      <c r="GI60335" s="422"/>
    </row>
    <row r="60336" spans="191:191" x14ac:dyDescent="0.2">
      <c r="GI60336" s="422"/>
    </row>
    <row r="60337" spans="191:191" x14ac:dyDescent="0.2">
      <c r="GI60337" s="422"/>
    </row>
    <row r="60338" spans="191:191" x14ac:dyDescent="0.2">
      <c r="GI60338" s="422"/>
    </row>
    <row r="60339" spans="191:191" x14ac:dyDescent="0.2">
      <c r="GI60339" s="422"/>
    </row>
    <row r="60340" spans="191:191" x14ac:dyDescent="0.2">
      <c r="GI60340" s="422"/>
    </row>
    <row r="60341" spans="191:191" x14ac:dyDescent="0.2">
      <c r="GI60341" s="422"/>
    </row>
    <row r="60342" spans="191:191" x14ac:dyDescent="0.2">
      <c r="GI60342" s="422"/>
    </row>
    <row r="60343" spans="191:191" x14ac:dyDescent="0.2">
      <c r="GI60343" s="422"/>
    </row>
    <row r="60344" spans="191:191" x14ac:dyDescent="0.2">
      <c r="GI60344" s="422"/>
    </row>
    <row r="60345" spans="191:191" x14ac:dyDescent="0.2">
      <c r="GI60345" s="422"/>
    </row>
    <row r="60346" spans="191:191" x14ac:dyDescent="0.2">
      <c r="GI60346" s="422"/>
    </row>
    <row r="60347" spans="191:191" x14ac:dyDescent="0.2">
      <c r="GI60347" s="422"/>
    </row>
    <row r="60348" spans="191:191" x14ac:dyDescent="0.2">
      <c r="GI60348" s="422"/>
    </row>
    <row r="60349" spans="191:191" x14ac:dyDescent="0.2">
      <c r="GI60349" s="422"/>
    </row>
    <row r="60350" spans="191:191" x14ac:dyDescent="0.2">
      <c r="GI60350" s="422"/>
    </row>
    <row r="60351" spans="191:191" x14ac:dyDescent="0.2">
      <c r="GI60351" s="422"/>
    </row>
    <row r="60352" spans="191:191" x14ac:dyDescent="0.2">
      <c r="GI60352" s="422"/>
    </row>
    <row r="60353" spans="191:191" x14ac:dyDescent="0.2">
      <c r="GI60353" s="422"/>
    </row>
    <row r="60354" spans="191:191" x14ac:dyDescent="0.2">
      <c r="GI60354" s="422"/>
    </row>
    <row r="60355" spans="191:191" x14ac:dyDescent="0.2">
      <c r="GI60355" s="422"/>
    </row>
    <row r="60356" spans="191:191" x14ac:dyDescent="0.2">
      <c r="GI60356" s="422"/>
    </row>
    <row r="60357" spans="191:191" x14ac:dyDescent="0.2">
      <c r="GI60357" s="422"/>
    </row>
    <row r="60358" spans="191:191" x14ac:dyDescent="0.2">
      <c r="GI60358" s="422"/>
    </row>
    <row r="60359" spans="191:191" x14ac:dyDescent="0.2">
      <c r="GI60359" s="422"/>
    </row>
    <row r="60360" spans="191:191" x14ac:dyDescent="0.2">
      <c r="GI60360" s="422"/>
    </row>
    <row r="60361" spans="191:191" x14ac:dyDescent="0.2">
      <c r="GI60361" s="422"/>
    </row>
    <row r="60362" spans="191:191" x14ac:dyDescent="0.2">
      <c r="GI60362" s="422"/>
    </row>
    <row r="60363" spans="191:191" x14ac:dyDescent="0.2">
      <c r="GI60363" s="422"/>
    </row>
    <row r="60364" spans="191:191" x14ac:dyDescent="0.2">
      <c r="GI60364" s="422"/>
    </row>
    <row r="60365" spans="191:191" x14ac:dyDescent="0.2">
      <c r="GI60365" s="422"/>
    </row>
    <row r="60366" spans="191:191" x14ac:dyDescent="0.2">
      <c r="GI60366" s="422"/>
    </row>
    <row r="60367" spans="191:191" x14ac:dyDescent="0.2">
      <c r="GI60367" s="422"/>
    </row>
    <row r="60368" spans="191:191" x14ac:dyDescent="0.2">
      <c r="GI60368" s="422"/>
    </row>
    <row r="60369" spans="191:191" x14ac:dyDescent="0.2">
      <c r="GI60369" s="422"/>
    </row>
    <row r="60370" spans="191:191" x14ac:dyDescent="0.2">
      <c r="GI60370" s="422"/>
    </row>
    <row r="60371" spans="191:191" x14ac:dyDescent="0.2">
      <c r="GI60371" s="422"/>
    </row>
    <row r="60372" spans="191:191" x14ac:dyDescent="0.2">
      <c r="GI60372" s="422"/>
    </row>
    <row r="60373" spans="191:191" x14ac:dyDescent="0.2">
      <c r="GI60373" s="422"/>
    </row>
    <row r="60374" spans="191:191" x14ac:dyDescent="0.2">
      <c r="GI60374" s="422"/>
    </row>
    <row r="60375" spans="191:191" x14ac:dyDescent="0.2">
      <c r="GI60375" s="422"/>
    </row>
    <row r="60376" spans="191:191" x14ac:dyDescent="0.2">
      <c r="GI60376" s="422"/>
    </row>
    <row r="60377" spans="191:191" x14ac:dyDescent="0.2">
      <c r="GI60377" s="422"/>
    </row>
    <row r="60378" spans="191:191" x14ac:dyDescent="0.2">
      <c r="GI60378" s="422"/>
    </row>
    <row r="60379" spans="191:191" x14ac:dyDescent="0.2">
      <c r="GI60379" s="422"/>
    </row>
    <row r="60380" spans="191:191" x14ac:dyDescent="0.2">
      <c r="GI60380" s="422"/>
    </row>
    <row r="60381" spans="191:191" x14ac:dyDescent="0.2">
      <c r="GI60381" s="422"/>
    </row>
    <row r="60382" spans="191:191" x14ac:dyDescent="0.2">
      <c r="GI60382" s="422"/>
    </row>
    <row r="60383" spans="191:191" x14ac:dyDescent="0.2">
      <c r="GI60383" s="422"/>
    </row>
    <row r="60384" spans="191:191" x14ac:dyDescent="0.2">
      <c r="GI60384" s="422"/>
    </row>
    <row r="60385" spans="191:191" x14ac:dyDescent="0.2">
      <c r="GI60385" s="422"/>
    </row>
    <row r="60386" spans="191:191" x14ac:dyDescent="0.2">
      <c r="GI60386" s="422"/>
    </row>
    <row r="60387" spans="191:191" x14ac:dyDescent="0.2">
      <c r="GI60387" s="422"/>
    </row>
    <row r="60388" spans="191:191" x14ac:dyDescent="0.2">
      <c r="GI60388" s="422"/>
    </row>
    <row r="60389" spans="191:191" x14ac:dyDescent="0.2">
      <c r="GI60389" s="422"/>
    </row>
    <row r="60390" spans="191:191" x14ac:dyDescent="0.2">
      <c r="GI60390" s="422"/>
    </row>
    <row r="60391" spans="191:191" x14ac:dyDescent="0.2">
      <c r="GI60391" s="422"/>
    </row>
    <row r="60392" spans="191:191" x14ac:dyDescent="0.2">
      <c r="GI60392" s="422"/>
    </row>
    <row r="60393" spans="191:191" x14ac:dyDescent="0.2">
      <c r="GI60393" s="422"/>
    </row>
    <row r="60394" spans="191:191" x14ac:dyDescent="0.2">
      <c r="GI60394" s="422"/>
    </row>
    <row r="60395" spans="191:191" x14ac:dyDescent="0.2">
      <c r="GI60395" s="422"/>
    </row>
    <row r="60396" spans="191:191" x14ac:dyDescent="0.2">
      <c r="GI60396" s="422"/>
    </row>
    <row r="60397" spans="191:191" x14ac:dyDescent="0.2">
      <c r="GI60397" s="422"/>
    </row>
    <row r="60398" spans="191:191" x14ac:dyDescent="0.2">
      <c r="GI60398" s="422"/>
    </row>
    <row r="60399" spans="191:191" x14ac:dyDescent="0.2">
      <c r="GI60399" s="422"/>
    </row>
    <row r="60400" spans="191:191" x14ac:dyDescent="0.2">
      <c r="GI60400" s="422"/>
    </row>
    <row r="60401" spans="191:191" x14ac:dyDescent="0.2">
      <c r="GI60401" s="422"/>
    </row>
    <row r="60402" spans="191:191" x14ac:dyDescent="0.2">
      <c r="GI60402" s="422"/>
    </row>
    <row r="60403" spans="191:191" x14ac:dyDescent="0.2">
      <c r="GI60403" s="422"/>
    </row>
    <row r="60404" spans="191:191" x14ac:dyDescent="0.2">
      <c r="GI60404" s="422"/>
    </row>
    <row r="60405" spans="191:191" x14ac:dyDescent="0.2">
      <c r="GI60405" s="422"/>
    </row>
    <row r="60406" spans="191:191" x14ac:dyDescent="0.2">
      <c r="GI60406" s="422"/>
    </row>
    <row r="60407" spans="191:191" x14ac:dyDescent="0.2">
      <c r="GI60407" s="422"/>
    </row>
    <row r="60408" spans="191:191" x14ac:dyDescent="0.2">
      <c r="GI60408" s="422"/>
    </row>
    <row r="60409" spans="191:191" x14ac:dyDescent="0.2">
      <c r="GI60409" s="422"/>
    </row>
    <row r="60410" spans="191:191" x14ac:dyDescent="0.2">
      <c r="GI60410" s="422"/>
    </row>
    <row r="60411" spans="191:191" x14ac:dyDescent="0.2">
      <c r="GI60411" s="422"/>
    </row>
    <row r="60412" spans="191:191" x14ac:dyDescent="0.2">
      <c r="GI60412" s="422"/>
    </row>
    <row r="60413" spans="191:191" x14ac:dyDescent="0.2">
      <c r="GI60413" s="422"/>
    </row>
    <row r="60414" spans="191:191" x14ac:dyDescent="0.2">
      <c r="GI60414" s="422"/>
    </row>
    <row r="60415" spans="191:191" x14ac:dyDescent="0.2">
      <c r="GI60415" s="422"/>
    </row>
    <row r="60416" spans="191:191" x14ac:dyDescent="0.2">
      <c r="GI60416" s="422"/>
    </row>
    <row r="60417" spans="191:191" x14ac:dyDescent="0.2">
      <c r="GI60417" s="422"/>
    </row>
    <row r="60418" spans="191:191" x14ac:dyDescent="0.2">
      <c r="GI60418" s="422"/>
    </row>
    <row r="60419" spans="191:191" x14ac:dyDescent="0.2">
      <c r="GI60419" s="422"/>
    </row>
    <row r="60420" spans="191:191" x14ac:dyDescent="0.2">
      <c r="GI60420" s="422"/>
    </row>
    <row r="60421" spans="191:191" x14ac:dyDescent="0.2">
      <c r="GI60421" s="422"/>
    </row>
    <row r="60422" spans="191:191" x14ac:dyDescent="0.2">
      <c r="GI60422" s="422"/>
    </row>
    <row r="60423" spans="191:191" x14ac:dyDescent="0.2">
      <c r="GI60423" s="422"/>
    </row>
    <row r="60424" spans="191:191" x14ac:dyDescent="0.2">
      <c r="GI60424" s="422"/>
    </row>
    <row r="60425" spans="191:191" x14ac:dyDescent="0.2">
      <c r="GI60425" s="422"/>
    </row>
    <row r="60426" spans="191:191" x14ac:dyDescent="0.2">
      <c r="GI60426" s="422"/>
    </row>
    <row r="60427" spans="191:191" x14ac:dyDescent="0.2">
      <c r="GI60427" s="422"/>
    </row>
    <row r="60428" spans="191:191" x14ac:dyDescent="0.2">
      <c r="GI60428" s="422"/>
    </row>
    <row r="60429" spans="191:191" x14ac:dyDescent="0.2">
      <c r="GI60429" s="422"/>
    </row>
    <row r="60430" spans="191:191" x14ac:dyDescent="0.2">
      <c r="GI60430" s="422"/>
    </row>
    <row r="60431" spans="191:191" x14ac:dyDescent="0.2">
      <c r="GI60431" s="422"/>
    </row>
    <row r="60432" spans="191:191" x14ac:dyDescent="0.2">
      <c r="GI60432" s="422"/>
    </row>
    <row r="60433" spans="191:191" x14ac:dyDescent="0.2">
      <c r="GI60433" s="422"/>
    </row>
    <row r="60434" spans="191:191" x14ac:dyDescent="0.2">
      <c r="GI60434" s="422"/>
    </row>
    <row r="60435" spans="191:191" x14ac:dyDescent="0.2">
      <c r="GI60435" s="422"/>
    </row>
    <row r="60436" spans="191:191" x14ac:dyDescent="0.2">
      <c r="GI60436" s="422"/>
    </row>
    <row r="60437" spans="191:191" x14ac:dyDescent="0.2">
      <c r="GI60437" s="422"/>
    </row>
    <row r="60438" spans="191:191" x14ac:dyDescent="0.2">
      <c r="GI60438" s="422"/>
    </row>
    <row r="60439" spans="191:191" x14ac:dyDescent="0.2">
      <c r="GI60439" s="422"/>
    </row>
    <row r="60440" spans="191:191" x14ac:dyDescent="0.2">
      <c r="GI60440" s="422"/>
    </row>
    <row r="60441" spans="191:191" x14ac:dyDescent="0.2">
      <c r="GI60441" s="422"/>
    </row>
    <row r="60442" spans="191:191" x14ac:dyDescent="0.2">
      <c r="GI60442" s="422"/>
    </row>
    <row r="60443" spans="191:191" x14ac:dyDescent="0.2">
      <c r="GI60443" s="422"/>
    </row>
    <row r="60444" spans="191:191" x14ac:dyDescent="0.2">
      <c r="GI60444" s="422"/>
    </row>
    <row r="60445" spans="191:191" x14ac:dyDescent="0.2">
      <c r="GI60445" s="422"/>
    </row>
    <row r="60446" spans="191:191" x14ac:dyDescent="0.2">
      <c r="GI60446" s="422"/>
    </row>
    <row r="60447" spans="191:191" x14ac:dyDescent="0.2">
      <c r="GI60447" s="422"/>
    </row>
    <row r="60448" spans="191:191" x14ac:dyDescent="0.2">
      <c r="GI60448" s="422"/>
    </row>
    <row r="60449" spans="191:191" x14ac:dyDescent="0.2">
      <c r="GI60449" s="422"/>
    </row>
    <row r="60450" spans="191:191" x14ac:dyDescent="0.2">
      <c r="GI60450" s="422"/>
    </row>
    <row r="60451" spans="191:191" x14ac:dyDescent="0.2">
      <c r="GI60451" s="422"/>
    </row>
    <row r="60452" spans="191:191" x14ac:dyDescent="0.2">
      <c r="GI60452" s="422"/>
    </row>
    <row r="60453" spans="191:191" x14ac:dyDescent="0.2">
      <c r="GI60453" s="422"/>
    </row>
    <row r="60454" spans="191:191" x14ac:dyDescent="0.2">
      <c r="GI60454" s="422"/>
    </row>
    <row r="60455" spans="191:191" x14ac:dyDescent="0.2">
      <c r="GI60455" s="422"/>
    </row>
    <row r="60456" spans="191:191" x14ac:dyDescent="0.2">
      <c r="GI60456" s="422"/>
    </row>
    <row r="60457" spans="191:191" x14ac:dyDescent="0.2">
      <c r="GI60457" s="422"/>
    </row>
    <row r="60458" spans="191:191" x14ac:dyDescent="0.2">
      <c r="GI60458" s="422"/>
    </row>
    <row r="60459" spans="191:191" x14ac:dyDescent="0.2">
      <c r="GI60459" s="422"/>
    </row>
    <row r="60460" spans="191:191" x14ac:dyDescent="0.2">
      <c r="GI60460" s="422"/>
    </row>
    <row r="60461" spans="191:191" x14ac:dyDescent="0.2">
      <c r="GI60461" s="422"/>
    </row>
    <row r="60462" spans="191:191" x14ac:dyDescent="0.2">
      <c r="GI60462" s="422"/>
    </row>
    <row r="60463" spans="191:191" x14ac:dyDescent="0.2">
      <c r="GI60463" s="422"/>
    </row>
    <row r="60464" spans="191:191" x14ac:dyDescent="0.2">
      <c r="GI60464" s="422"/>
    </row>
    <row r="60465" spans="191:191" x14ac:dyDescent="0.2">
      <c r="GI60465" s="422"/>
    </row>
    <row r="60466" spans="191:191" x14ac:dyDescent="0.2">
      <c r="GI60466" s="422"/>
    </row>
    <row r="60467" spans="191:191" x14ac:dyDescent="0.2">
      <c r="GI60467" s="422"/>
    </row>
    <row r="60468" spans="191:191" x14ac:dyDescent="0.2">
      <c r="GI60468" s="422"/>
    </row>
    <row r="60469" spans="191:191" x14ac:dyDescent="0.2">
      <c r="GI60469" s="422"/>
    </row>
    <row r="60470" spans="191:191" x14ac:dyDescent="0.2">
      <c r="GI60470" s="422"/>
    </row>
    <row r="60471" spans="191:191" x14ac:dyDescent="0.2">
      <c r="GI60471" s="422"/>
    </row>
    <row r="60472" spans="191:191" x14ac:dyDescent="0.2">
      <c r="GI60472" s="422"/>
    </row>
    <row r="60473" spans="191:191" x14ac:dyDescent="0.2">
      <c r="GI60473" s="422"/>
    </row>
    <row r="60474" spans="191:191" x14ac:dyDescent="0.2">
      <c r="GI60474" s="422"/>
    </row>
    <row r="60475" spans="191:191" x14ac:dyDescent="0.2">
      <c r="GI60475" s="422"/>
    </row>
    <row r="60476" spans="191:191" x14ac:dyDescent="0.2">
      <c r="GI60476" s="422"/>
    </row>
    <row r="60477" spans="191:191" x14ac:dyDescent="0.2">
      <c r="GI60477" s="422"/>
    </row>
    <row r="60478" spans="191:191" x14ac:dyDescent="0.2">
      <c r="GI60478" s="422"/>
    </row>
    <row r="60479" spans="191:191" x14ac:dyDescent="0.2">
      <c r="GI60479" s="422"/>
    </row>
    <row r="60480" spans="191:191" x14ac:dyDescent="0.2">
      <c r="GI60480" s="422"/>
    </row>
    <row r="60481" spans="191:191" x14ac:dyDescent="0.2">
      <c r="GI60481" s="422"/>
    </row>
    <row r="60482" spans="191:191" x14ac:dyDescent="0.2">
      <c r="GI60482" s="422"/>
    </row>
    <row r="60483" spans="191:191" x14ac:dyDescent="0.2">
      <c r="GI60483" s="422"/>
    </row>
    <row r="60484" spans="191:191" x14ac:dyDescent="0.2">
      <c r="GI60484" s="422"/>
    </row>
    <row r="60485" spans="191:191" x14ac:dyDescent="0.2">
      <c r="GI60485" s="422"/>
    </row>
    <row r="60486" spans="191:191" x14ac:dyDescent="0.2">
      <c r="GI60486" s="422"/>
    </row>
    <row r="60487" spans="191:191" x14ac:dyDescent="0.2">
      <c r="GI60487" s="422"/>
    </row>
    <row r="60488" spans="191:191" x14ac:dyDescent="0.2">
      <c r="GI60488" s="422"/>
    </row>
    <row r="60489" spans="191:191" x14ac:dyDescent="0.2">
      <c r="GI60489" s="422"/>
    </row>
    <row r="60490" spans="191:191" x14ac:dyDescent="0.2">
      <c r="GI60490" s="422"/>
    </row>
    <row r="60491" spans="191:191" x14ac:dyDescent="0.2">
      <c r="GI60491" s="422"/>
    </row>
    <row r="60492" spans="191:191" x14ac:dyDescent="0.2">
      <c r="GI60492" s="422"/>
    </row>
    <row r="60493" spans="191:191" x14ac:dyDescent="0.2">
      <c r="GI60493" s="422"/>
    </row>
    <row r="60494" spans="191:191" x14ac:dyDescent="0.2">
      <c r="GI60494" s="422"/>
    </row>
    <row r="60495" spans="191:191" x14ac:dyDescent="0.2">
      <c r="GI60495" s="422"/>
    </row>
    <row r="60496" spans="191:191" x14ac:dyDescent="0.2">
      <c r="GI60496" s="422"/>
    </row>
    <row r="60497" spans="191:191" x14ac:dyDescent="0.2">
      <c r="GI60497" s="422"/>
    </row>
    <row r="60498" spans="191:191" x14ac:dyDescent="0.2">
      <c r="GI60498" s="422"/>
    </row>
    <row r="60499" spans="191:191" x14ac:dyDescent="0.2">
      <c r="GI60499" s="422"/>
    </row>
    <row r="60500" spans="191:191" x14ac:dyDescent="0.2">
      <c r="GI60500" s="422"/>
    </row>
    <row r="60501" spans="191:191" x14ac:dyDescent="0.2">
      <c r="GI60501" s="422"/>
    </row>
    <row r="60502" spans="191:191" x14ac:dyDescent="0.2">
      <c r="GI60502" s="422"/>
    </row>
    <row r="60503" spans="191:191" x14ac:dyDescent="0.2">
      <c r="GI60503" s="422"/>
    </row>
    <row r="60504" spans="191:191" x14ac:dyDescent="0.2">
      <c r="GI60504" s="422"/>
    </row>
    <row r="60505" spans="191:191" x14ac:dyDescent="0.2">
      <c r="GI60505" s="422"/>
    </row>
    <row r="60506" spans="191:191" x14ac:dyDescent="0.2">
      <c r="GI60506" s="422"/>
    </row>
    <row r="60507" spans="191:191" x14ac:dyDescent="0.2">
      <c r="GI60507" s="422"/>
    </row>
    <row r="60508" spans="191:191" x14ac:dyDescent="0.2">
      <c r="GI60508" s="422"/>
    </row>
    <row r="60509" spans="191:191" x14ac:dyDescent="0.2">
      <c r="GI60509" s="422"/>
    </row>
    <row r="60510" spans="191:191" x14ac:dyDescent="0.2">
      <c r="GI60510" s="422"/>
    </row>
    <row r="60511" spans="191:191" x14ac:dyDescent="0.2">
      <c r="GI60511" s="422"/>
    </row>
    <row r="60512" spans="191:191" x14ac:dyDescent="0.2">
      <c r="GI60512" s="422"/>
    </row>
    <row r="60513" spans="191:191" x14ac:dyDescent="0.2">
      <c r="GI60513" s="422"/>
    </row>
    <row r="60514" spans="191:191" x14ac:dyDescent="0.2">
      <c r="GI60514" s="422"/>
    </row>
    <row r="60515" spans="191:191" x14ac:dyDescent="0.2">
      <c r="GI60515" s="422"/>
    </row>
    <row r="60516" spans="191:191" x14ac:dyDescent="0.2">
      <c r="GI60516" s="422"/>
    </row>
    <row r="60517" spans="191:191" x14ac:dyDescent="0.2">
      <c r="GI60517" s="422"/>
    </row>
    <row r="60518" spans="191:191" x14ac:dyDescent="0.2">
      <c r="GI60518" s="422"/>
    </row>
    <row r="60519" spans="191:191" x14ac:dyDescent="0.2">
      <c r="GI60519" s="422"/>
    </row>
    <row r="60520" spans="191:191" x14ac:dyDescent="0.2">
      <c r="GI60520" s="422"/>
    </row>
    <row r="60521" spans="191:191" x14ac:dyDescent="0.2">
      <c r="GI60521" s="422"/>
    </row>
    <row r="60522" spans="191:191" x14ac:dyDescent="0.2">
      <c r="GI60522" s="422"/>
    </row>
    <row r="60523" spans="191:191" x14ac:dyDescent="0.2">
      <c r="GI60523" s="422"/>
    </row>
    <row r="60524" spans="191:191" x14ac:dyDescent="0.2">
      <c r="GI60524" s="422"/>
    </row>
    <row r="60525" spans="191:191" x14ac:dyDescent="0.2">
      <c r="GI60525" s="422"/>
    </row>
    <row r="60526" spans="191:191" x14ac:dyDescent="0.2">
      <c r="GI60526" s="422"/>
    </row>
    <row r="60527" spans="191:191" x14ac:dyDescent="0.2">
      <c r="GI60527" s="422"/>
    </row>
    <row r="60528" spans="191:191" x14ac:dyDescent="0.2">
      <c r="GI60528" s="422"/>
    </row>
    <row r="60529" spans="191:191" x14ac:dyDescent="0.2">
      <c r="GI60529" s="422"/>
    </row>
    <row r="60530" spans="191:191" x14ac:dyDescent="0.2">
      <c r="GI60530" s="422"/>
    </row>
    <row r="60531" spans="191:191" x14ac:dyDescent="0.2">
      <c r="GI60531" s="422"/>
    </row>
    <row r="60532" spans="191:191" x14ac:dyDescent="0.2">
      <c r="GI60532" s="422"/>
    </row>
    <row r="60533" spans="191:191" x14ac:dyDescent="0.2">
      <c r="GI60533" s="422"/>
    </row>
    <row r="60534" spans="191:191" x14ac:dyDescent="0.2">
      <c r="GI60534" s="422"/>
    </row>
    <row r="60535" spans="191:191" x14ac:dyDescent="0.2">
      <c r="GI60535" s="422"/>
    </row>
    <row r="60536" spans="191:191" x14ac:dyDescent="0.2">
      <c r="GI60536" s="422"/>
    </row>
    <row r="60537" spans="191:191" x14ac:dyDescent="0.2">
      <c r="GI60537" s="422"/>
    </row>
    <row r="60538" spans="191:191" x14ac:dyDescent="0.2">
      <c r="GI60538" s="422"/>
    </row>
    <row r="60539" spans="191:191" x14ac:dyDescent="0.2">
      <c r="GI60539" s="422"/>
    </row>
    <row r="60540" spans="191:191" x14ac:dyDescent="0.2">
      <c r="GI60540" s="422"/>
    </row>
    <row r="60541" spans="191:191" x14ac:dyDescent="0.2">
      <c r="GI60541" s="422"/>
    </row>
    <row r="60542" spans="191:191" x14ac:dyDescent="0.2">
      <c r="GI60542" s="422"/>
    </row>
    <row r="60543" spans="191:191" x14ac:dyDescent="0.2">
      <c r="GI60543" s="422"/>
    </row>
    <row r="60544" spans="191:191" x14ac:dyDescent="0.2">
      <c r="GI60544" s="422"/>
    </row>
    <row r="60545" spans="191:191" x14ac:dyDescent="0.2">
      <c r="GI60545" s="422"/>
    </row>
    <row r="60546" spans="191:191" x14ac:dyDescent="0.2">
      <c r="GI60546" s="422"/>
    </row>
    <row r="60547" spans="191:191" x14ac:dyDescent="0.2">
      <c r="GI60547" s="422"/>
    </row>
    <row r="60548" spans="191:191" x14ac:dyDescent="0.2">
      <c r="GI60548" s="422"/>
    </row>
    <row r="60549" spans="191:191" x14ac:dyDescent="0.2">
      <c r="GI60549" s="422"/>
    </row>
    <row r="60550" spans="191:191" x14ac:dyDescent="0.2">
      <c r="GI60550" s="422"/>
    </row>
    <row r="60551" spans="191:191" x14ac:dyDescent="0.2">
      <c r="GI60551" s="422"/>
    </row>
    <row r="60552" spans="191:191" x14ac:dyDescent="0.2">
      <c r="GI60552" s="422"/>
    </row>
    <row r="60553" spans="191:191" x14ac:dyDescent="0.2">
      <c r="GI60553" s="422"/>
    </row>
    <row r="60554" spans="191:191" x14ac:dyDescent="0.2">
      <c r="GI60554" s="422"/>
    </row>
    <row r="60555" spans="191:191" x14ac:dyDescent="0.2">
      <c r="GI60555" s="422"/>
    </row>
    <row r="60556" spans="191:191" x14ac:dyDescent="0.2">
      <c r="GI60556" s="422"/>
    </row>
    <row r="60557" spans="191:191" x14ac:dyDescent="0.2">
      <c r="GI60557" s="422"/>
    </row>
    <row r="60558" spans="191:191" x14ac:dyDescent="0.2">
      <c r="GI60558" s="422"/>
    </row>
    <row r="60559" spans="191:191" x14ac:dyDescent="0.2">
      <c r="GI60559" s="422"/>
    </row>
    <row r="60560" spans="191:191" x14ac:dyDescent="0.2">
      <c r="GI60560" s="422"/>
    </row>
    <row r="60561" spans="191:191" x14ac:dyDescent="0.2">
      <c r="GI60561" s="422"/>
    </row>
    <row r="60562" spans="191:191" x14ac:dyDescent="0.2">
      <c r="GI60562" s="422"/>
    </row>
    <row r="60563" spans="191:191" x14ac:dyDescent="0.2">
      <c r="GI60563" s="422"/>
    </row>
    <row r="60564" spans="191:191" x14ac:dyDescent="0.2">
      <c r="GI60564" s="422"/>
    </row>
    <row r="60565" spans="191:191" x14ac:dyDescent="0.2">
      <c r="GI60565" s="422"/>
    </row>
    <row r="60566" spans="191:191" x14ac:dyDescent="0.2">
      <c r="GI60566" s="422"/>
    </row>
    <row r="60567" spans="191:191" x14ac:dyDescent="0.2">
      <c r="GI60567" s="422"/>
    </row>
    <row r="60568" spans="191:191" x14ac:dyDescent="0.2">
      <c r="GI60568" s="422"/>
    </row>
    <row r="60569" spans="191:191" x14ac:dyDescent="0.2">
      <c r="GI60569" s="422"/>
    </row>
    <row r="60570" spans="191:191" x14ac:dyDescent="0.2">
      <c r="GI60570" s="422"/>
    </row>
    <row r="60571" spans="191:191" x14ac:dyDescent="0.2">
      <c r="GI60571" s="422"/>
    </row>
    <row r="60572" spans="191:191" x14ac:dyDescent="0.2">
      <c r="GI60572" s="422"/>
    </row>
    <row r="60573" spans="191:191" x14ac:dyDescent="0.2">
      <c r="GI60573" s="422"/>
    </row>
    <row r="60574" spans="191:191" x14ac:dyDescent="0.2">
      <c r="GI60574" s="422"/>
    </row>
    <row r="60575" spans="191:191" x14ac:dyDescent="0.2">
      <c r="GI60575" s="422"/>
    </row>
    <row r="60576" spans="191:191" x14ac:dyDescent="0.2">
      <c r="GI60576" s="422"/>
    </row>
    <row r="60577" spans="191:191" x14ac:dyDescent="0.2">
      <c r="GI60577" s="422"/>
    </row>
    <row r="60578" spans="191:191" x14ac:dyDescent="0.2">
      <c r="GI60578" s="422"/>
    </row>
    <row r="60579" spans="191:191" x14ac:dyDescent="0.2">
      <c r="GI60579" s="422"/>
    </row>
    <row r="60580" spans="191:191" x14ac:dyDescent="0.2">
      <c r="GI60580" s="422"/>
    </row>
    <row r="60581" spans="191:191" x14ac:dyDescent="0.2">
      <c r="GI60581" s="422"/>
    </row>
    <row r="60582" spans="191:191" x14ac:dyDescent="0.2">
      <c r="GI60582" s="422"/>
    </row>
    <row r="60583" spans="191:191" x14ac:dyDescent="0.2">
      <c r="GI60583" s="422"/>
    </row>
    <row r="60584" spans="191:191" x14ac:dyDescent="0.2">
      <c r="GI60584" s="422"/>
    </row>
    <row r="60585" spans="191:191" x14ac:dyDescent="0.2">
      <c r="GI60585" s="422"/>
    </row>
    <row r="60586" spans="191:191" x14ac:dyDescent="0.2">
      <c r="GI60586" s="422"/>
    </row>
    <row r="60587" spans="191:191" x14ac:dyDescent="0.2">
      <c r="GI60587" s="422"/>
    </row>
    <row r="60588" spans="191:191" x14ac:dyDescent="0.2">
      <c r="GI60588" s="422"/>
    </row>
    <row r="60589" spans="191:191" x14ac:dyDescent="0.2">
      <c r="GI60589" s="422"/>
    </row>
    <row r="60590" spans="191:191" x14ac:dyDescent="0.2">
      <c r="GI60590" s="422"/>
    </row>
    <row r="60591" spans="191:191" x14ac:dyDescent="0.2">
      <c r="GI60591" s="422"/>
    </row>
    <row r="60592" spans="191:191" x14ac:dyDescent="0.2">
      <c r="GI60592" s="422"/>
    </row>
    <row r="60593" spans="191:191" x14ac:dyDescent="0.2">
      <c r="GI60593" s="422"/>
    </row>
    <row r="60594" spans="191:191" x14ac:dyDescent="0.2">
      <c r="GI60594" s="422"/>
    </row>
    <row r="60595" spans="191:191" x14ac:dyDescent="0.2">
      <c r="GI60595" s="422"/>
    </row>
    <row r="60596" spans="191:191" x14ac:dyDescent="0.2">
      <c r="GI60596" s="422"/>
    </row>
    <row r="60597" spans="191:191" x14ac:dyDescent="0.2">
      <c r="GI60597" s="422"/>
    </row>
    <row r="60598" spans="191:191" x14ac:dyDescent="0.2">
      <c r="GI60598" s="422"/>
    </row>
    <row r="60599" spans="191:191" x14ac:dyDescent="0.2">
      <c r="GI60599" s="422"/>
    </row>
    <row r="60600" spans="191:191" x14ac:dyDescent="0.2">
      <c r="GI60600" s="422"/>
    </row>
    <row r="60601" spans="191:191" x14ac:dyDescent="0.2">
      <c r="GI60601" s="422"/>
    </row>
    <row r="60602" spans="191:191" x14ac:dyDescent="0.2">
      <c r="GI60602" s="422"/>
    </row>
    <row r="60603" spans="191:191" x14ac:dyDescent="0.2">
      <c r="GI60603" s="422"/>
    </row>
    <row r="60604" spans="191:191" x14ac:dyDescent="0.2">
      <c r="GI60604" s="422"/>
    </row>
    <row r="60605" spans="191:191" x14ac:dyDescent="0.2">
      <c r="GI60605" s="422"/>
    </row>
    <row r="60606" spans="191:191" x14ac:dyDescent="0.2">
      <c r="GI60606" s="422"/>
    </row>
    <row r="60607" spans="191:191" x14ac:dyDescent="0.2">
      <c r="GI60607" s="422"/>
    </row>
    <row r="60608" spans="191:191" x14ac:dyDescent="0.2">
      <c r="GI60608" s="422"/>
    </row>
    <row r="60609" spans="191:191" x14ac:dyDescent="0.2">
      <c r="GI60609" s="422"/>
    </row>
    <row r="60610" spans="191:191" x14ac:dyDescent="0.2">
      <c r="GI60610" s="422"/>
    </row>
    <row r="60611" spans="191:191" x14ac:dyDescent="0.2">
      <c r="GI60611" s="422"/>
    </row>
    <row r="60612" spans="191:191" x14ac:dyDescent="0.2">
      <c r="GI60612" s="422"/>
    </row>
    <row r="60613" spans="191:191" x14ac:dyDescent="0.2">
      <c r="GI60613" s="422"/>
    </row>
    <row r="60614" spans="191:191" x14ac:dyDescent="0.2">
      <c r="GI60614" s="422"/>
    </row>
    <row r="60615" spans="191:191" x14ac:dyDescent="0.2">
      <c r="GI60615" s="422"/>
    </row>
    <row r="60616" spans="191:191" x14ac:dyDescent="0.2">
      <c r="GI60616" s="422"/>
    </row>
    <row r="60617" spans="191:191" x14ac:dyDescent="0.2">
      <c r="GI60617" s="422"/>
    </row>
    <row r="60618" spans="191:191" x14ac:dyDescent="0.2">
      <c r="GI60618" s="422"/>
    </row>
    <row r="60619" spans="191:191" x14ac:dyDescent="0.2">
      <c r="GI60619" s="422"/>
    </row>
    <row r="60620" spans="191:191" x14ac:dyDescent="0.2">
      <c r="GI60620" s="422"/>
    </row>
    <row r="60621" spans="191:191" x14ac:dyDescent="0.2">
      <c r="GI60621" s="422"/>
    </row>
    <row r="60622" spans="191:191" x14ac:dyDescent="0.2">
      <c r="GI60622" s="422"/>
    </row>
    <row r="60623" spans="191:191" x14ac:dyDescent="0.2">
      <c r="GI60623" s="422"/>
    </row>
    <row r="60624" spans="191:191" x14ac:dyDescent="0.2">
      <c r="GI60624" s="422"/>
    </row>
    <row r="60625" spans="191:191" x14ac:dyDescent="0.2">
      <c r="GI60625" s="422"/>
    </row>
    <row r="60626" spans="191:191" x14ac:dyDescent="0.2">
      <c r="GI60626" s="422"/>
    </row>
    <row r="60627" spans="191:191" x14ac:dyDescent="0.2">
      <c r="GI60627" s="422"/>
    </row>
    <row r="60628" spans="191:191" x14ac:dyDescent="0.2">
      <c r="GI60628" s="422"/>
    </row>
    <row r="60629" spans="191:191" x14ac:dyDescent="0.2">
      <c r="GI60629" s="422"/>
    </row>
    <row r="60630" spans="191:191" x14ac:dyDescent="0.2">
      <c r="GI60630" s="422"/>
    </row>
    <row r="60631" spans="191:191" x14ac:dyDescent="0.2">
      <c r="GI60631" s="422"/>
    </row>
    <row r="60632" spans="191:191" x14ac:dyDescent="0.2">
      <c r="GI60632" s="422"/>
    </row>
    <row r="60633" spans="191:191" x14ac:dyDescent="0.2">
      <c r="GI60633" s="422"/>
    </row>
    <row r="60634" spans="191:191" x14ac:dyDescent="0.2">
      <c r="GI60634" s="422"/>
    </row>
    <row r="60635" spans="191:191" x14ac:dyDescent="0.2">
      <c r="GI60635" s="422"/>
    </row>
    <row r="60636" spans="191:191" x14ac:dyDescent="0.2">
      <c r="GI60636" s="422"/>
    </row>
    <row r="60637" spans="191:191" x14ac:dyDescent="0.2">
      <c r="GI60637" s="422"/>
    </row>
    <row r="60638" spans="191:191" x14ac:dyDescent="0.2">
      <c r="GI60638" s="422"/>
    </row>
    <row r="60639" spans="191:191" x14ac:dyDescent="0.2">
      <c r="GI60639" s="422"/>
    </row>
    <row r="60640" spans="191:191" x14ac:dyDescent="0.2">
      <c r="GI60640" s="422"/>
    </row>
    <row r="60641" spans="191:191" x14ac:dyDescent="0.2">
      <c r="GI60641" s="422"/>
    </row>
    <row r="60642" spans="191:191" x14ac:dyDescent="0.2">
      <c r="GI60642" s="422"/>
    </row>
    <row r="60643" spans="191:191" x14ac:dyDescent="0.2">
      <c r="GI60643" s="422"/>
    </row>
    <row r="60644" spans="191:191" x14ac:dyDescent="0.2">
      <c r="GI60644" s="422"/>
    </row>
    <row r="60645" spans="191:191" x14ac:dyDescent="0.2">
      <c r="GI60645" s="422"/>
    </row>
    <row r="60646" spans="191:191" x14ac:dyDescent="0.2">
      <c r="GI60646" s="422"/>
    </row>
    <row r="60647" spans="191:191" x14ac:dyDescent="0.2">
      <c r="GI60647" s="422"/>
    </row>
    <row r="60648" spans="191:191" x14ac:dyDescent="0.2">
      <c r="GI60648" s="422"/>
    </row>
    <row r="60649" spans="191:191" x14ac:dyDescent="0.2">
      <c r="GI60649" s="422"/>
    </row>
    <row r="60650" spans="191:191" x14ac:dyDescent="0.2">
      <c r="GI60650" s="422"/>
    </row>
    <row r="60651" spans="191:191" x14ac:dyDescent="0.2">
      <c r="GI60651" s="422"/>
    </row>
    <row r="60652" spans="191:191" x14ac:dyDescent="0.2">
      <c r="GI60652" s="422"/>
    </row>
    <row r="60653" spans="191:191" x14ac:dyDescent="0.2">
      <c r="GI60653" s="422"/>
    </row>
    <row r="60654" spans="191:191" x14ac:dyDescent="0.2">
      <c r="GI60654" s="422"/>
    </row>
    <row r="60655" spans="191:191" x14ac:dyDescent="0.2">
      <c r="GI60655" s="422"/>
    </row>
    <row r="60656" spans="191:191" x14ac:dyDescent="0.2">
      <c r="GI60656" s="422"/>
    </row>
    <row r="60657" spans="191:191" x14ac:dyDescent="0.2">
      <c r="GI60657" s="422"/>
    </row>
    <row r="60658" spans="191:191" x14ac:dyDescent="0.2">
      <c r="GI60658" s="422"/>
    </row>
    <row r="60659" spans="191:191" x14ac:dyDescent="0.2">
      <c r="GI60659" s="422"/>
    </row>
    <row r="60660" spans="191:191" x14ac:dyDescent="0.2">
      <c r="GI60660" s="422"/>
    </row>
    <row r="60661" spans="191:191" x14ac:dyDescent="0.2">
      <c r="GI60661" s="422"/>
    </row>
    <row r="60662" spans="191:191" x14ac:dyDescent="0.2">
      <c r="GI60662" s="422"/>
    </row>
    <row r="60663" spans="191:191" x14ac:dyDescent="0.2">
      <c r="GI60663" s="422"/>
    </row>
    <row r="60664" spans="191:191" x14ac:dyDescent="0.2">
      <c r="GI60664" s="422"/>
    </row>
    <row r="60665" spans="191:191" x14ac:dyDescent="0.2">
      <c r="GI60665" s="422"/>
    </row>
    <row r="60666" spans="191:191" x14ac:dyDescent="0.2">
      <c r="GI60666" s="422"/>
    </row>
    <row r="60667" spans="191:191" x14ac:dyDescent="0.2">
      <c r="GI60667" s="422"/>
    </row>
    <row r="60668" spans="191:191" x14ac:dyDescent="0.2">
      <c r="GI60668" s="422"/>
    </row>
    <row r="60669" spans="191:191" x14ac:dyDescent="0.2">
      <c r="GI60669" s="422"/>
    </row>
    <row r="60670" spans="191:191" x14ac:dyDescent="0.2">
      <c r="GI60670" s="422"/>
    </row>
    <row r="60671" spans="191:191" x14ac:dyDescent="0.2">
      <c r="GI60671" s="422"/>
    </row>
    <row r="60672" spans="191:191" x14ac:dyDescent="0.2">
      <c r="GI60672" s="422"/>
    </row>
    <row r="60673" spans="191:191" x14ac:dyDescent="0.2">
      <c r="GI60673" s="422"/>
    </row>
    <row r="60674" spans="191:191" x14ac:dyDescent="0.2">
      <c r="GI60674" s="422"/>
    </row>
    <row r="60675" spans="191:191" x14ac:dyDescent="0.2">
      <c r="GI60675" s="422"/>
    </row>
    <row r="60676" spans="191:191" x14ac:dyDescent="0.2">
      <c r="GI60676" s="422"/>
    </row>
    <row r="60677" spans="191:191" x14ac:dyDescent="0.2">
      <c r="GI60677" s="422"/>
    </row>
    <row r="60678" spans="191:191" x14ac:dyDescent="0.2">
      <c r="GI60678" s="422"/>
    </row>
    <row r="60679" spans="191:191" x14ac:dyDescent="0.2">
      <c r="GI60679" s="422"/>
    </row>
    <row r="60680" spans="191:191" x14ac:dyDescent="0.2">
      <c r="GI60680" s="422"/>
    </row>
    <row r="60681" spans="191:191" x14ac:dyDescent="0.2">
      <c r="GI60681" s="422"/>
    </row>
    <row r="60682" spans="191:191" x14ac:dyDescent="0.2">
      <c r="GI60682" s="422"/>
    </row>
    <row r="60683" spans="191:191" x14ac:dyDescent="0.2">
      <c r="GI60683" s="422"/>
    </row>
    <row r="60684" spans="191:191" x14ac:dyDescent="0.2">
      <c r="GI60684" s="422"/>
    </row>
    <row r="60685" spans="191:191" x14ac:dyDescent="0.2">
      <c r="GI60685" s="422"/>
    </row>
    <row r="60686" spans="191:191" x14ac:dyDescent="0.2">
      <c r="GI60686" s="422"/>
    </row>
    <row r="60687" spans="191:191" x14ac:dyDescent="0.2">
      <c r="GI60687" s="422"/>
    </row>
    <row r="60688" spans="191:191" x14ac:dyDescent="0.2">
      <c r="GI60688" s="422"/>
    </row>
    <row r="60689" spans="191:191" x14ac:dyDescent="0.2">
      <c r="GI60689" s="422"/>
    </row>
    <row r="60690" spans="191:191" x14ac:dyDescent="0.2">
      <c r="GI60690" s="422"/>
    </row>
    <row r="60691" spans="191:191" x14ac:dyDescent="0.2">
      <c r="GI60691" s="422"/>
    </row>
    <row r="60692" spans="191:191" x14ac:dyDescent="0.2">
      <c r="GI60692" s="422"/>
    </row>
    <row r="60693" spans="191:191" x14ac:dyDescent="0.2">
      <c r="GI60693" s="422"/>
    </row>
    <row r="60694" spans="191:191" x14ac:dyDescent="0.2">
      <c r="GI60694" s="422"/>
    </row>
    <row r="60695" spans="191:191" x14ac:dyDescent="0.2">
      <c r="GI60695" s="422"/>
    </row>
    <row r="60696" spans="191:191" x14ac:dyDescent="0.2">
      <c r="GI60696" s="422"/>
    </row>
    <row r="60697" spans="191:191" x14ac:dyDescent="0.2">
      <c r="GI60697" s="422"/>
    </row>
    <row r="60698" spans="191:191" x14ac:dyDescent="0.2">
      <c r="GI60698" s="422"/>
    </row>
    <row r="60699" spans="191:191" x14ac:dyDescent="0.2">
      <c r="GI60699" s="422"/>
    </row>
    <row r="60700" spans="191:191" x14ac:dyDescent="0.2">
      <c r="GI60700" s="422"/>
    </row>
    <row r="60701" spans="191:191" x14ac:dyDescent="0.2">
      <c r="GI60701" s="422"/>
    </row>
    <row r="60702" spans="191:191" x14ac:dyDescent="0.2">
      <c r="GI60702" s="422"/>
    </row>
    <row r="60703" spans="191:191" x14ac:dyDescent="0.2">
      <c r="GI60703" s="422"/>
    </row>
    <row r="60704" spans="191:191" x14ac:dyDescent="0.2">
      <c r="GI60704" s="422"/>
    </row>
    <row r="60705" spans="191:191" x14ac:dyDescent="0.2">
      <c r="GI60705" s="422"/>
    </row>
    <row r="60706" spans="191:191" x14ac:dyDescent="0.2">
      <c r="GI60706" s="422"/>
    </row>
    <row r="60707" spans="191:191" x14ac:dyDescent="0.2">
      <c r="GI60707" s="422"/>
    </row>
    <row r="60708" spans="191:191" x14ac:dyDescent="0.2">
      <c r="GI60708" s="422"/>
    </row>
    <row r="60709" spans="191:191" x14ac:dyDescent="0.2">
      <c r="GI60709" s="422"/>
    </row>
    <row r="60710" spans="191:191" x14ac:dyDescent="0.2">
      <c r="GI60710" s="422"/>
    </row>
    <row r="60711" spans="191:191" x14ac:dyDescent="0.2">
      <c r="GI60711" s="422"/>
    </row>
    <row r="60712" spans="191:191" x14ac:dyDescent="0.2">
      <c r="GI60712" s="422"/>
    </row>
    <row r="60713" spans="191:191" x14ac:dyDescent="0.2">
      <c r="GI60713" s="422"/>
    </row>
    <row r="60714" spans="191:191" x14ac:dyDescent="0.2">
      <c r="GI60714" s="422"/>
    </row>
    <row r="60715" spans="191:191" x14ac:dyDescent="0.2">
      <c r="GI60715" s="422"/>
    </row>
    <row r="60716" spans="191:191" x14ac:dyDescent="0.2">
      <c r="GI60716" s="422"/>
    </row>
    <row r="60717" spans="191:191" x14ac:dyDescent="0.2">
      <c r="GI60717" s="422"/>
    </row>
    <row r="60718" spans="191:191" x14ac:dyDescent="0.2">
      <c r="GI60718" s="422"/>
    </row>
    <row r="60719" spans="191:191" x14ac:dyDescent="0.2">
      <c r="GI60719" s="422"/>
    </row>
    <row r="60720" spans="191:191" x14ac:dyDescent="0.2">
      <c r="GI60720" s="422"/>
    </row>
    <row r="60721" spans="191:191" x14ac:dyDescent="0.2">
      <c r="GI60721" s="422"/>
    </row>
    <row r="60722" spans="191:191" x14ac:dyDescent="0.2">
      <c r="GI60722" s="422"/>
    </row>
    <row r="60723" spans="191:191" x14ac:dyDescent="0.2">
      <c r="GI60723" s="422"/>
    </row>
    <row r="60724" spans="191:191" x14ac:dyDescent="0.2">
      <c r="GI60724" s="422"/>
    </row>
    <row r="60725" spans="191:191" x14ac:dyDescent="0.2">
      <c r="GI60725" s="422"/>
    </row>
    <row r="60726" spans="191:191" x14ac:dyDescent="0.2">
      <c r="GI60726" s="422"/>
    </row>
    <row r="60727" spans="191:191" x14ac:dyDescent="0.2">
      <c r="GI60727" s="422"/>
    </row>
    <row r="60728" spans="191:191" x14ac:dyDescent="0.2">
      <c r="GI60728" s="422"/>
    </row>
    <row r="60729" spans="191:191" x14ac:dyDescent="0.2">
      <c r="GI60729" s="422"/>
    </row>
    <row r="60730" spans="191:191" x14ac:dyDescent="0.2">
      <c r="GI60730" s="422"/>
    </row>
    <row r="60731" spans="191:191" x14ac:dyDescent="0.2">
      <c r="GI60731" s="422"/>
    </row>
    <row r="60732" spans="191:191" x14ac:dyDescent="0.2">
      <c r="GI60732" s="422"/>
    </row>
    <row r="60733" spans="191:191" x14ac:dyDescent="0.2">
      <c r="GI60733" s="422"/>
    </row>
    <row r="60734" spans="191:191" x14ac:dyDescent="0.2">
      <c r="GI60734" s="422"/>
    </row>
    <row r="60735" spans="191:191" x14ac:dyDescent="0.2">
      <c r="GI60735" s="422"/>
    </row>
    <row r="60736" spans="191:191" x14ac:dyDescent="0.2">
      <c r="GI60736" s="422"/>
    </row>
    <row r="60737" spans="191:191" x14ac:dyDescent="0.2">
      <c r="GI60737" s="422"/>
    </row>
    <row r="60738" spans="191:191" x14ac:dyDescent="0.2">
      <c r="GI60738" s="422"/>
    </row>
    <row r="60739" spans="191:191" x14ac:dyDescent="0.2">
      <c r="GI60739" s="422"/>
    </row>
    <row r="60740" spans="191:191" x14ac:dyDescent="0.2">
      <c r="GI60740" s="422"/>
    </row>
    <row r="60741" spans="191:191" x14ac:dyDescent="0.2">
      <c r="GI60741" s="422"/>
    </row>
    <row r="60742" spans="191:191" x14ac:dyDescent="0.2">
      <c r="GI60742" s="422"/>
    </row>
    <row r="60743" spans="191:191" x14ac:dyDescent="0.2">
      <c r="GI60743" s="422"/>
    </row>
    <row r="60744" spans="191:191" x14ac:dyDescent="0.2">
      <c r="GI60744" s="422"/>
    </row>
    <row r="60745" spans="191:191" x14ac:dyDescent="0.2">
      <c r="GI60745" s="422"/>
    </row>
    <row r="60746" spans="191:191" x14ac:dyDescent="0.2">
      <c r="GI60746" s="422"/>
    </row>
    <row r="60747" spans="191:191" x14ac:dyDescent="0.2">
      <c r="GI60747" s="422"/>
    </row>
    <row r="60748" spans="191:191" x14ac:dyDescent="0.2">
      <c r="GI60748" s="422"/>
    </row>
    <row r="60749" spans="191:191" x14ac:dyDescent="0.2">
      <c r="GI60749" s="422"/>
    </row>
    <row r="60750" spans="191:191" x14ac:dyDescent="0.2">
      <c r="GI60750" s="422"/>
    </row>
    <row r="60751" spans="191:191" x14ac:dyDescent="0.2">
      <c r="GI60751" s="422"/>
    </row>
    <row r="60752" spans="191:191" x14ac:dyDescent="0.2">
      <c r="GI60752" s="422"/>
    </row>
    <row r="60753" spans="191:191" x14ac:dyDescent="0.2">
      <c r="GI60753" s="422"/>
    </row>
    <row r="60754" spans="191:191" x14ac:dyDescent="0.2">
      <c r="GI60754" s="422"/>
    </row>
    <row r="60755" spans="191:191" x14ac:dyDescent="0.2">
      <c r="GI60755" s="422"/>
    </row>
    <row r="60756" spans="191:191" x14ac:dyDescent="0.2">
      <c r="GI60756" s="422"/>
    </row>
    <row r="60757" spans="191:191" x14ac:dyDescent="0.2">
      <c r="GI60757" s="422"/>
    </row>
    <row r="60758" spans="191:191" x14ac:dyDescent="0.2">
      <c r="GI60758" s="422"/>
    </row>
    <row r="60759" spans="191:191" x14ac:dyDescent="0.2">
      <c r="GI60759" s="422"/>
    </row>
    <row r="60760" spans="191:191" x14ac:dyDescent="0.2">
      <c r="GI60760" s="422"/>
    </row>
    <row r="60761" spans="191:191" x14ac:dyDescent="0.2">
      <c r="GI60761" s="422"/>
    </row>
    <row r="60762" spans="191:191" x14ac:dyDescent="0.2">
      <c r="GI60762" s="422"/>
    </row>
    <row r="60763" spans="191:191" x14ac:dyDescent="0.2">
      <c r="GI60763" s="422"/>
    </row>
    <row r="60764" spans="191:191" x14ac:dyDescent="0.2">
      <c r="GI60764" s="422"/>
    </row>
    <row r="60765" spans="191:191" x14ac:dyDescent="0.2">
      <c r="GI60765" s="422"/>
    </row>
    <row r="60766" spans="191:191" x14ac:dyDescent="0.2">
      <c r="GI60766" s="422"/>
    </row>
    <row r="60767" spans="191:191" x14ac:dyDescent="0.2">
      <c r="GI60767" s="422"/>
    </row>
    <row r="60768" spans="191:191" x14ac:dyDescent="0.2">
      <c r="GI60768" s="422"/>
    </row>
    <row r="60769" spans="191:191" x14ac:dyDescent="0.2">
      <c r="GI60769" s="422"/>
    </row>
    <row r="60770" spans="191:191" x14ac:dyDescent="0.2">
      <c r="GI60770" s="422"/>
    </row>
    <row r="60771" spans="191:191" x14ac:dyDescent="0.2">
      <c r="GI60771" s="422"/>
    </row>
    <row r="60772" spans="191:191" x14ac:dyDescent="0.2">
      <c r="GI60772" s="422"/>
    </row>
    <row r="60773" spans="191:191" x14ac:dyDescent="0.2">
      <c r="GI60773" s="422"/>
    </row>
    <row r="60774" spans="191:191" x14ac:dyDescent="0.2">
      <c r="GI60774" s="422"/>
    </row>
    <row r="60775" spans="191:191" x14ac:dyDescent="0.2">
      <c r="GI60775" s="422"/>
    </row>
    <row r="60776" spans="191:191" x14ac:dyDescent="0.2">
      <c r="GI60776" s="422"/>
    </row>
    <row r="60777" spans="191:191" x14ac:dyDescent="0.2">
      <c r="GI60777" s="422"/>
    </row>
    <row r="60778" spans="191:191" x14ac:dyDescent="0.2">
      <c r="GI60778" s="422"/>
    </row>
    <row r="60779" spans="191:191" x14ac:dyDescent="0.2">
      <c r="GI60779" s="422"/>
    </row>
    <row r="60780" spans="191:191" x14ac:dyDescent="0.2">
      <c r="GI60780" s="422"/>
    </row>
    <row r="60781" spans="191:191" x14ac:dyDescent="0.2">
      <c r="GI60781" s="422"/>
    </row>
    <row r="60782" spans="191:191" x14ac:dyDescent="0.2">
      <c r="GI60782" s="422"/>
    </row>
    <row r="60783" spans="191:191" x14ac:dyDescent="0.2">
      <c r="GI60783" s="422"/>
    </row>
    <row r="60784" spans="191:191" x14ac:dyDescent="0.2">
      <c r="GI60784" s="422"/>
    </row>
    <row r="60785" spans="191:191" x14ac:dyDescent="0.2">
      <c r="GI60785" s="422"/>
    </row>
    <row r="60786" spans="191:191" x14ac:dyDescent="0.2">
      <c r="GI60786" s="422"/>
    </row>
    <row r="60787" spans="191:191" x14ac:dyDescent="0.2">
      <c r="GI60787" s="422"/>
    </row>
    <row r="60788" spans="191:191" x14ac:dyDescent="0.2">
      <c r="GI60788" s="422"/>
    </row>
    <row r="60789" spans="191:191" x14ac:dyDescent="0.2">
      <c r="GI60789" s="422"/>
    </row>
    <row r="60790" spans="191:191" x14ac:dyDescent="0.2">
      <c r="GI60790" s="422"/>
    </row>
    <row r="60791" spans="191:191" x14ac:dyDescent="0.2">
      <c r="GI60791" s="422"/>
    </row>
    <row r="60792" spans="191:191" x14ac:dyDescent="0.2">
      <c r="GI60792" s="422"/>
    </row>
    <row r="60793" spans="191:191" x14ac:dyDescent="0.2">
      <c r="GI60793" s="422"/>
    </row>
    <row r="60794" spans="191:191" x14ac:dyDescent="0.2">
      <c r="GI60794" s="422"/>
    </row>
    <row r="60795" spans="191:191" x14ac:dyDescent="0.2">
      <c r="GI60795" s="422"/>
    </row>
    <row r="60796" spans="191:191" x14ac:dyDescent="0.2">
      <c r="GI60796" s="422"/>
    </row>
    <row r="60797" spans="191:191" x14ac:dyDescent="0.2">
      <c r="GI60797" s="422"/>
    </row>
    <row r="60798" spans="191:191" x14ac:dyDescent="0.2">
      <c r="GI60798" s="422"/>
    </row>
    <row r="60799" spans="191:191" x14ac:dyDescent="0.2">
      <c r="GI60799" s="422"/>
    </row>
    <row r="60800" spans="191:191" x14ac:dyDescent="0.2">
      <c r="GI60800" s="422"/>
    </row>
    <row r="60801" spans="191:191" x14ac:dyDescent="0.2">
      <c r="GI60801" s="422"/>
    </row>
    <row r="60802" spans="191:191" x14ac:dyDescent="0.2">
      <c r="GI60802" s="422"/>
    </row>
    <row r="60803" spans="191:191" x14ac:dyDescent="0.2">
      <c r="GI60803" s="422"/>
    </row>
    <row r="60804" spans="191:191" x14ac:dyDescent="0.2">
      <c r="GI60804" s="422"/>
    </row>
    <row r="60805" spans="191:191" x14ac:dyDescent="0.2">
      <c r="GI60805" s="422"/>
    </row>
    <row r="60806" spans="191:191" x14ac:dyDescent="0.2">
      <c r="GI60806" s="422"/>
    </row>
    <row r="60807" spans="191:191" x14ac:dyDescent="0.2">
      <c r="GI60807" s="422"/>
    </row>
    <row r="60808" spans="191:191" x14ac:dyDescent="0.2">
      <c r="GI60808" s="422"/>
    </row>
    <row r="60809" spans="191:191" x14ac:dyDescent="0.2">
      <c r="GI60809" s="422"/>
    </row>
    <row r="60810" spans="191:191" x14ac:dyDescent="0.2">
      <c r="GI60810" s="422"/>
    </row>
    <row r="60811" spans="191:191" x14ac:dyDescent="0.2">
      <c r="GI60811" s="422"/>
    </row>
    <row r="60812" spans="191:191" x14ac:dyDescent="0.2">
      <c r="GI60812" s="422"/>
    </row>
    <row r="60813" spans="191:191" x14ac:dyDescent="0.2">
      <c r="GI60813" s="422"/>
    </row>
    <row r="60814" spans="191:191" x14ac:dyDescent="0.2">
      <c r="GI60814" s="422"/>
    </row>
    <row r="60815" spans="191:191" x14ac:dyDescent="0.2">
      <c r="GI60815" s="422"/>
    </row>
    <row r="60816" spans="191:191" x14ac:dyDescent="0.2">
      <c r="GI60816" s="422"/>
    </row>
    <row r="60817" spans="191:191" x14ac:dyDescent="0.2">
      <c r="GI60817" s="422"/>
    </row>
    <row r="60818" spans="191:191" x14ac:dyDescent="0.2">
      <c r="GI60818" s="422"/>
    </row>
    <row r="60819" spans="191:191" x14ac:dyDescent="0.2">
      <c r="GI60819" s="422"/>
    </row>
    <row r="60820" spans="191:191" x14ac:dyDescent="0.2">
      <c r="GI60820" s="422"/>
    </row>
    <row r="60821" spans="191:191" x14ac:dyDescent="0.2">
      <c r="GI60821" s="422"/>
    </row>
    <row r="60822" spans="191:191" x14ac:dyDescent="0.2">
      <c r="GI60822" s="422"/>
    </row>
    <row r="60823" spans="191:191" x14ac:dyDescent="0.2">
      <c r="GI60823" s="422"/>
    </row>
    <row r="60824" spans="191:191" x14ac:dyDescent="0.2">
      <c r="GI60824" s="422"/>
    </row>
    <row r="60825" spans="191:191" x14ac:dyDescent="0.2">
      <c r="GI60825" s="422"/>
    </row>
    <row r="60826" spans="191:191" x14ac:dyDescent="0.2">
      <c r="GI60826" s="422"/>
    </row>
    <row r="60827" spans="191:191" x14ac:dyDescent="0.2">
      <c r="GI60827" s="422"/>
    </row>
    <row r="60828" spans="191:191" x14ac:dyDescent="0.2">
      <c r="GI60828" s="422"/>
    </row>
    <row r="60829" spans="191:191" x14ac:dyDescent="0.2">
      <c r="GI60829" s="422"/>
    </row>
    <row r="60830" spans="191:191" x14ac:dyDescent="0.2">
      <c r="GI60830" s="422"/>
    </row>
    <row r="60831" spans="191:191" x14ac:dyDescent="0.2">
      <c r="GI60831" s="422"/>
    </row>
    <row r="60832" spans="191:191" x14ac:dyDescent="0.2">
      <c r="GI60832" s="422"/>
    </row>
    <row r="60833" spans="191:191" x14ac:dyDescent="0.2">
      <c r="GI60833" s="422"/>
    </row>
    <row r="60834" spans="191:191" x14ac:dyDescent="0.2">
      <c r="GI60834" s="422"/>
    </row>
    <row r="60835" spans="191:191" x14ac:dyDescent="0.2">
      <c r="GI60835" s="422"/>
    </row>
    <row r="60836" spans="191:191" x14ac:dyDescent="0.2">
      <c r="GI60836" s="422"/>
    </row>
    <row r="60837" spans="191:191" x14ac:dyDescent="0.2">
      <c r="GI60837" s="422"/>
    </row>
    <row r="60838" spans="191:191" x14ac:dyDescent="0.2">
      <c r="GI60838" s="422"/>
    </row>
    <row r="60839" spans="191:191" x14ac:dyDescent="0.2">
      <c r="GI60839" s="422"/>
    </row>
    <row r="60840" spans="191:191" x14ac:dyDescent="0.2">
      <c r="GI60840" s="422"/>
    </row>
    <row r="60841" spans="191:191" x14ac:dyDescent="0.2">
      <c r="GI60841" s="422"/>
    </row>
    <row r="60842" spans="191:191" x14ac:dyDescent="0.2">
      <c r="GI60842" s="422"/>
    </row>
    <row r="60843" spans="191:191" x14ac:dyDescent="0.2">
      <c r="GI60843" s="422"/>
    </row>
    <row r="60844" spans="191:191" x14ac:dyDescent="0.2">
      <c r="GI60844" s="422"/>
    </row>
    <row r="60845" spans="191:191" x14ac:dyDescent="0.2">
      <c r="GI60845" s="422"/>
    </row>
    <row r="60846" spans="191:191" x14ac:dyDescent="0.2">
      <c r="GI60846" s="422"/>
    </row>
    <row r="60847" spans="191:191" x14ac:dyDescent="0.2">
      <c r="GI60847" s="422"/>
    </row>
    <row r="60848" spans="191:191" x14ac:dyDescent="0.2">
      <c r="GI60848" s="422"/>
    </row>
    <row r="60849" spans="191:191" x14ac:dyDescent="0.2">
      <c r="GI60849" s="422"/>
    </row>
    <row r="60850" spans="191:191" x14ac:dyDescent="0.2">
      <c r="GI60850" s="422"/>
    </row>
    <row r="60851" spans="191:191" x14ac:dyDescent="0.2">
      <c r="GI60851" s="422"/>
    </row>
    <row r="60852" spans="191:191" x14ac:dyDescent="0.2">
      <c r="GI60852" s="422"/>
    </row>
    <row r="60853" spans="191:191" x14ac:dyDescent="0.2">
      <c r="GI60853" s="422"/>
    </row>
    <row r="60854" spans="191:191" x14ac:dyDescent="0.2">
      <c r="GI60854" s="422"/>
    </row>
    <row r="60855" spans="191:191" x14ac:dyDescent="0.2">
      <c r="GI60855" s="422"/>
    </row>
    <row r="60856" spans="191:191" x14ac:dyDescent="0.2">
      <c r="GI60856" s="422"/>
    </row>
    <row r="60857" spans="191:191" x14ac:dyDescent="0.2">
      <c r="GI60857" s="422"/>
    </row>
    <row r="60858" spans="191:191" x14ac:dyDescent="0.2">
      <c r="GI60858" s="422"/>
    </row>
    <row r="60859" spans="191:191" x14ac:dyDescent="0.2">
      <c r="GI60859" s="422"/>
    </row>
    <row r="60860" spans="191:191" x14ac:dyDescent="0.2">
      <c r="GI60860" s="422"/>
    </row>
    <row r="60861" spans="191:191" x14ac:dyDescent="0.2">
      <c r="GI60861" s="422"/>
    </row>
    <row r="60862" spans="191:191" x14ac:dyDescent="0.2">
      <c r="GI60862" s="422"/>
    </row>
    <row r="60863" spans="191:191" x14ac:dyDescent="0.2">
      <c r="GI60863" s="422"/>
    </row>
    <row r="60864" spans="191:191" x14ac:dyDescent="0.2">
      <c r="GI60864" s="422"/>
    </row>
    <row r="60865" spans="191:191" x14ac:dyDescent="0.2">
      <c r="GI60865" s="422"/>
    </row>
    <row r="60866" spans="191:191" x14ac:dyDescent="0.2">
      <c r="GI60866" s="422"/>
    </row>
    <row r="60867" spans="191:191" x14ac:dyDescent="0.2">
      <c r="GI60867" s="422"/>
    </row>
    <row r="60868" spans="191:191" x14ac:dyDescent="0.2">
      <c r="GI60868" s="422"/>
    </row>
    <row r="60869" spans="191:191" x14ac:dyDescent="0.2">
      <c r="GI60869" s="422"/>
    </row>
    <row r="60870" spans="191:191" x14ac:dyDescent="0.2">
      <c r="GI60870" s="422"/>
    </row>
    <row r="60871" spans="191:191" x14ac:dyDescent="0.2">
      <c r="GI60871" s="422"/>
    </row>
    <row r="60872" spans="191:191" x14ac:dyDescent="0.2">
      <c r="GI60872" s="422"/>
    </row>
    <row r="60873" spans="191:191" x14ac:dyDescent="0.2">
      <c r="GI60873" s="422"/>
    </row>
    <row r="60874" spans="191:191" x14ac:dyDescent="0.2">
      <c r="GI60874" s="422"/>
    </row>
    <row r="60875" spans="191:191" x14ac:dyDescent="0.2">
      <c r="GI60875" s="422"/>
    </row>
    <row r="60876" spans="191:191" x14ac:dyDescent="0.2">
      <c r="GI60876" s="422"/>
    </row>
    <row r="60877" spans="191:191" x14ac:dyDescent="0.2">
      <c r="GI60877" s="422"/>
    </row>
    <row r="60878" spans="191:191" x14ac:dyDescent="0.2">
      <c r="GI60878" s="422"/>
    </row>
    <row r="60879" spans="191:191" x14ac:dyDescent="0.2">
      <c r="GI60879" s="422"/>
    </row>
    <row r="60880" spans="191:191" x14ac:dyDescent="0.2">
      <c r="GI60880" s="422"/>
    </row>
    <row r="60881" spans="191:191" x14ac:dyDescent="0.2">
      <c r="GI60881" s="422"/>
    </row>
    <row r="60882" spans="191:191" x14ac:dyDescent="0.2">
      <c r="GI60882" s="422"/>
    </row>
    <row r="60883" spans="191:191" x14ac:dyDescent="0.2">
      <c r="GI60883" s="422"/>
    </row>
    <row r="60884" spans="191:191" x14ac:dyDescent="0.2">
      <c r="GI60884" s="422"/>
    </row>
    <row r="60885" spans="191:191" x14ac:dyDescent="0.2">
      <c r="GI60885" s="422"/>
    </row>
    <row r="60886" spans="191:191" x14ac:dyDescent="0.2">
      <c r="GI60886" s="422"/>
    </row>
    <row r="60887" spans="191:191" x14ac:dyDescent="0.2">
      <c r="GI60887" s="422"/>
    </row>
    <row r="60888" spans="191:191" x14ac:dyDescent="0.2">
      <c r="GI60888" s="422"/>
    </row>
    <row r="60889" spans="191:191" x14ac:dyDescent="0.2">
      <c r="GI60889" s="422"/>
    </row>
    <row r="60890" spans="191:191" x14ac:dyDescent="0.2">
      <c r="GI60890" s="422"/>
    </row>
    <row r="60891" spans="191:191" x14ac:dyDescent="0.2">
      <c r="GI60891" s="422"/>
    </row>
    <row r="60892" spans="191:191" x14ac:dyDescent="0.2">
      <c r="GI60892" s="422"/>
    </row>
    <row r="60893" spans="191:191" x14ac:dyDescent="0.2">
      <c r="GI60893" s="422"/>
    </row>
    <row r="60894" spans="191:191" x14ac:dyDescent="0.2">
      <c r="GI60894" s="422"/>
    </row>
    <row r="60895" spans="191:191" x14ac:dyDescent="0.2">
      <c r="GI60895" s="422"/>
    </row>
    <row r="60896" spans="191:191" x14ac:dyDescent="0.2">
      <c r="GI60896" s="422"/>
    </row>
    <row r="60897" spans="191:191" x14ac:dyDescent="0.2">
      <c r="GI60897" s="422"/>
    </row>
    <row r="60898" spans="191:191" x14ac:dyDescent="0.2">
      <c r="GI60898" s="422"/>
    </row>
    <row r="60899" spans="191:191" x14ac:dyDescent="0.2">
      <c r="GI60899" s="422"/>
    </row>
    <row r="60900" spans="191:191" x14ac:dyDescent="0.2">
      <c r="GI60900" s="422"/>
    </row>
    <row r="60901" spans="191:191" x14ac:dyDescent="0.2">
      <c r="GI60901" s="422"/>
    </row>
    <row r="60902" spans="191:191" x14ac:dyDescent="0.2">
      <c r="GI60902" s="422"/>
    </row>
    <row r="60903" spans="191:191" x14ac:dyDescent="0.2">
      <c r="GI60903" s="422"/>
    </row>
    <row r="60904" spans="191:191" x14ac:dyDescent="0.2">
      <c r="GI60904" s="422"/>
    </row>
    <row r="60905" spans="191:191" x14ac:dyDescent="0.2">
      <c r="GI60905" s="422"/>
    </row>
    <row r="60906" spans="191:191" x14ac:dyDescent="0.2">
      <c r="GI60906" s="422"/>
    </row>
    <row r="60907" spans="191:191" x14ac:dyDescent="0.2">
      <c r="GI60907" s="422"/>
    </row>
    <row r="60908" spans="191:191" x14ac:dyDescent="0.2">
      <c r="GI60908" s="422"/>
    </row>
    <row r="60909" spans="191:191" x14ac:dyDescent="0.2">
      <c r="GI60909" s="422"/>
    </row>
    <row r="60910" spans="191:191" x14ac:dyDescent="0.2">
      <c r="GI60910" s="422"/>
    </row>
    <row r="60911" spans="191:191" x14ac:dyDescent="0.2">
      <c r="GI60911" s="422"/>
    </row>
    <row r="60912" spans="191:191" x14ac:dyDescent="0.2">
      <c r="GI60912" s="422"/>
    </row>
    <row r="60913" spans="191:191" x14ac:dyDescent="0.2">
      <c r="GI60913" s="422"/>
    </row>
    <row r="60914" spans="191:191" x14ac:dyDescent="0.2">
      <c r="GI60914" s="422"/>
    </row>
    <row r="60915" spans="191:191" x14ac:dyDescent="0.2">
      <c r="GI60915" s="422"/>
    </row>
    <row r="60916" spans="191:191" x14ac:dyDescent="0.2">
      <c r="GI60916" s="422"/>
    </row>
    <row r="60917" spans="191:191" x14ac:dyDescent="0.2">
      <c r="GI60917" s="422"/>
    </row>
    <row r="60918" spans="191:191" x14ac:dyDescent="0.2">
      <c r="GI60918" s="422"/>
    </row>
    <row r="60919" spans="191:191" x14ac:dyDescent="0.2">
      <c r="GI60919" s="422"/>
    </row>
    <row r="60920" spans="191:191" x14ac:dyDescent="0.2">
      <c r="GI60920" s="422"/>
    </row>
    <row r="60921" spans="191:191" x14ac:dyDescent="0.2">
      <c r="GI60921" s="422"/>
    </row>
    <row r="60922" spans="191:191" x14ac:dyDescent="0.2">
      <c r="GI60922" s="422"/>
    </row>
    <row r="60923" spans="191:191" x14ac:dyDescent="0.2">
      <c r="GI60923" s="422"/>
    </row>
    <row r="60924" spans="191:191" x14ac:dyDescent="0.2">
      <c r="GI60924" s="422"/>
    </row>
    <row r="60925" spans="191:191" x14ac:dyDescent="0.2">
      <c r="GI60925" s="422"/>
    </row>
    <row r="60926" spans="191:191" x14ac:dyDescent="0.2">
      <c r="GI60926" s="422"/>
    </row>
    <row r="60927" spans="191:191" x14ac:dyDescent="0.2">
      <c r="GI60927" s="422"/>
    </row>
    <row r="60928" spans="191:191" x14ac:dyDescent="0.2">
      <c r="GI60928" s="422"/>
    </row>
    <row r="60929" spans="191:191" x14ac:dyDescent="0.2">
      <c r="GI60929" s="422"/>
    </row>
    <row r="60930" spans="191:191" x14ac:dyDescent="0.2">
      <c r="GI60930" s="422"/>
    </row>
    <row r="60931" spans="191:191" x14ac:dyDescent="0.2">
      <c r="GI60931" s="422"/>
    </row>
    <row r="60932" spans="191:191" x14ac:dyDescent="0.2">
      <c r="GI60932" s="422"/>
    </row>
    <row r="60933" spans="191:191" x14ac:dyDescent="0.2">
      <c r="GI60933" s="422"/>
    </row>
    <row r="60934" spans="191:191" x14ac:dyDescent="0.2">
      <c r="GI60934" s="422"/>
    </row>
    <row r="60935" spans="191:191" x14ac:dyDescent="0.2">
      <c r="GI60935" s="422"/>
    </row>
    <row r="60936" spans="191:191" x14ac:dyDescent="0.2">
      <c r="GI60936" s="422"/>
    </row>
    <row r="60937" spans="191:191" x14ac:dyDescent="0.2">
      <c r="GI60937" s="422"/>
    </row>
    <row r="60938" spans="191:191" x14ac:dyDescent="0.2">
      <c r="GI60938" s="422"/>
    </row>
    <row r="60939" spans="191:191" x14ac:dyDescent="0.2">
      <c r="GI60939" s="422"/>
    </row>
    <row r="60940" spans="191:191" x14ac:dyDescent="0.2">
      <c r="GI60940" s="422"/>
    </row>
    <row r="60941" spans="191:191" x14ac:dyDescent="0.2">
      <c r="GI60941" s="422"/>
    </row>
    <row r="60942" spans="191:191" x14ac:dyDescent="0.2">
      <c r="GI60942" s="422"/>
    </row>
    <row r="60943" spans="191:191" x14ac:dyDescent="0.2">
      <c r="GI60943" s="422"/>
    </row>
    <row r="60944" spans="191:191" x14ac:dyDescent="0.2">
      <c r="GI60944" s="422"/>
    </row>
    <row r="60945" spans="191:191" x14ac:dyDescent="0.2">
      <c r="GI60945" s="422"/>
    </row>
    <row r="60946" spans="191:191" x14ac:dyDescent="0.2">
      <c r="GI60946" s="422"/>
    </row>
    <row r="60947" spans="191:191" x14ac:dyDescent="0.2">
      <c r="GI60947" s="422"/>
    </row>
    <row r="60948" spans="191:191" x14ac:dyDescent="0.2">
      <c r="GI60948" s="422"/>
    </row>
    <row r="60949" spans="191:191" x14ac:dyDescent="0.2">
      <c r="GI60949" s="422"/>
    </row>
    <row r="60950" spans="191:191" x14ac:dyDescent="0.2">
      <c r="GI60950" s="422"/>
    </row>
    <row r="60951" spans="191:191" x14ac:dyDescent="0.2">
      <c r="GI60951" s="422"/>
    </row>
    <row r="60952" spans="191:191" x14ac:dyDescent="0.2">
      <c r="GI60952" s="422"/>
    </row>
    <row r="60953" spans="191:191" x14ac:dyDescent="0.2">
      <c r="GI60953" s="422"/>
    </row>
    <row r="60954" spans="191:191" x14ac:dyDescent="0.2">
      <c r="GI60954" s="422"/>
    </row>
    <row r="60955" spans="191:191" x14ac:dyDescent="0.2">
      <c r="GI60955" s="422"/>
    </row>
    <row r="60956" spans="191:191" x14ac:dyDescent="0.2">
      <c r="GI60956" s="422"/>
    </row>
    <row r="60957" spans="191:191" x14ac:dyDescent="0.2">
      <c r="GI60957" s="422"/>
    </row>
    <row r="60958" spans="191:191" x14ac:dyDescent="0.2">
      <c r="GI60958" s="422"/>
    </row>
    <row r="60959" spans="191:191" x14ac:dyDescent="0.2">
      <c r="GI60959" s="422"/>
    </row>
    <row r="60960" spans="191:191" x14ac:dyDescent="0.2">
      <c r="GI60960" s="422"/>
    </row>
    <row r="60961" spans="191:191" x14ac:dyDescent="0.2">
      <c r="GI60961" s="422"/>
    </row>
    <row r="60962" spans="191:191" x14ac:dyDescent="0.2">
      <c r="GI60962" s="422"/>
    </row>
    <row r="60963" spans="191:191" x14ac:dyDescent="0.2">
      <c r="GI60963" s="422"/>
    </row>
    <row r="60964" spans="191:191" x14ac:dyDescent="0.2">
      <c r="GI60964" s="422"/>
    </row>
    <row r="60965" spans="191:191" x14ac:dyDescent="0.2">
      <c r="GI60965" s="422"/>
    </row>
    <row r="60966" spans="191:191" x14ac:dyDescent="0.2">
      <c r="GI60966" s="422"/>
    </row>
    <row r="60967" spans="191:191" x14ac:dyDescent="0.2">
      <c r="GI60967" s="422"/>
    </row>
    <row r="60968" spans="191:191" x14ac:dyDescent="0.2">
      <c r="GI60968" s="422"/>
    </row>
    <row r="60969" spans="191:191" x14ac:dyDescent="0.2">
      <c r="GI60969" s="422"/>
    </row>
    <row r="60970" spans="191:191" x14ac:dyDescent="0.2">
      <c r="GI60970" s="422"/>
    </row>
    <row r="60971" spans="191:191" x14ac:dyDescent="0.2">
      <c r="GI60971" s="422"/>
    </row>
    <row r="60972" spans="191:191" x14ac:dyDescent="0.2">
      <c r="GI60972" s="422"/>
    </row>
    <row r="60973" spans="191:191" x14ac:dyDescent="0.2">
      <c r="GI60973" s="422"/>
    </row>
    <row r="60974" spans="191:191" x14ac:dyDescent="0.2">
      <c r="GI60974" s="422"/>
    </row>
    <row r="60975" spans="191:191" x14ac:dyDescent="0.2">
      <c r="GI60975" s="422"/>
    </row>
    <row r="60976" spans="191:191" x14ac:dyDescent="0.2">
      <c r="GI60976" s="422"/>
    </row>
    <row r="60977" spans="191:191" x14ac:dyDescent="0.2">
      <c r="GI60977" s="422"/>
    </row>
    <row r="60978" spans="191:191" x14ac:dyDescent="0.2">
      <c r="GI60978" s="422"/>
    </row>
    <row r="60979" spans="191:191" x14ac:dyDescent="0.2">
      <c r="GI60979" s="422"/>
    </row>
    <row r="60980" spans="191:191" x14ac:dyDescent="0.2">
      <c r="GI60980" s="422"/>
    </row>
    <row r="60981" spans="191:191" x14ac:dyDescent="0.2">
      <c r="GI60981" s="422"/>
    </row>
    <row r="60982" spans="191:191" x14ac:dyDescent="0.2">
      <c r="GI60982" s="422"/>
    </row>
    <row r="60983" spans="191:191" x14ac:dyDescent="0.2">
      <c r="GI60983" s="422"/>
    </row>
    <row r="60984" spans="191:191" x14ac:dyDescent="0.2">
      <c r="GI60984" s="422"/>
    </row>
    <row r="60985" spans="191:191" x14ac:dyDescent="0.2">
      <c r="GI60985" s="422"/>
    </row>
    <row r="60986" spans="191:191" x14ac:dyDescent="0.2">
      <c r="GI60986" s="422"/>
    </row>
    <row r="60987" spans="191:191" x14ac:dyDescent="0.2">
      <c r="GI60987" s="422"/>
    </row>
    <row r="60988" spans="191:191" x14ac:dyDescent="0.2">
      <c r="GI60988" s="422"/>
    </row>
    <row r="60989" spans="191:191" x14ac:dyDescent="0.2">
      <c r="GI60989" s="422"/>
    </row>
    <row r="60990" spans="191:191" x14ac:dyDescent="0.2">
      <c r="GI60990" s="422"/>
    </row>
    <row r="60991" spans="191:191" x14ac:dyDescent="0.2">
      <c r="GI60991" s="422"/>
    </row>
    <row r="60992" spans="191:191" x14ac:dyDescent="0.2">
      <c r="GI60992" s="422"/>
    </row>
    <row r="60993" spans="191:191" x14ac:dyDescent="0.2">
      <c r="GI60993" s="422"/>
    </row>
    <row r="60994" spans="191:191" x14ac:dyDescent="0.2">
      <c r="GI60994" s="422"/>
    </row>
    <row r="60995" spans="191:191" x14ac:dyDescent="0.2">
      <c r="GI60995" s="422"/>
    </row>
    <row r="60996" spans="191:191" x14ac:dyDescent="0.2">
      <c r="GI60996" s="422"/>
    </row>
    <row r="60997" spans="191:191" x14ac:dyDescent="0.2">
      <c r="GI60997" s="422"/>
    </row>
    <row r="60998" spans="191:191" x14ac:dyDescent="0.2">
      <c r="GI60998" s="422"/>
    </row>
    <row r="60999" spans="191:191" x14ac:dyDescent="0.2">
      <c r="GI60999" s="422"/>
    </row>
    <row r="61000" spans="191:191" x14ac:dyDescent="0.2">
      <c r="GI61000" s="422"/>
    </row>
    <row r="61001" spans="191:191" x14ac:dyDescent="0.2">
      <c r="GI61001" s="422"/>
    </row>
    <row r="61002" spans="191:191" x14ac:dyDescent="0.2">
      <c r="GI61002" s="422"/>
    </row>
    <row r="61003" spans="191:191" x14ac:dyDescent="0.2">
      <c r="GI61003" s="422"/>
    </row>
    <row r="61004" spans="191:191" x14ac:dyDescent="0.2">
      <c r="GI61004" s="422"/>
    </row>
    <row r="61005" spans="191:191" x14ac:dyDescent="0.2">
      <c r="GI61005" s="422"/>
    </row>
    <row r="61006" spans="191:191" x14ac:dyDescent="0.2">
      <c r="GI61006" s="422"/>
    </row>
    <row r="61007" spans="191:191" x14ac:dyDescent="0.2">
      <c r="GI61007" s="422"/>
    </row>
    <row r="61008" spans="191:191" x14ac:dyDescent="0.2">
      <c r="GI61008" s="422"/>
    </row>
    <row r="61009" spans="191:191" x14ac:dyDescent="0.2">
      <c r="GI61009" s="422"/>
    </row>
    <row r="61010" spans="191:191" x14ac:dyDescent="0.2">
      <c r="GI61010" s="422"/>
    </row>
    <row r="61011" spans="191:191" x14ac:dyDescent="0.2">
      <c r="GI61011" s="422"/>
    </row>
    <row r="61012" spans="191:191" x14ac:dyDescent="0.2">
      <c r="GI61012" s="422"/>
    </row>
    <row r="61013" spans="191:191" x14ac:dyDescent="0.2">
      <c r="GI61013" s="422"/>
    </row>
    <row r="61014" spans="191:191" x14ac:dyDescent="0.2">
      <c r="GI61014" s="422"/>
    </row>
    <row r="61015" spans="191:191" x14ac:dyDescent="0.2">
      <c r="GI61015" s="422"/>
    </row>
    <row r="61016" spans="191:191" x14ac:dyDescent="0.2">
      <c r="GI61016" s="422"/>
    </row>
    <row r="61017" spans="191:191" x14ac:dyDescent="0.2">
      <c r="GI61017" s="422"/>
    </row>
    <row r="61018" spans="191:191" x14ac:dyDescent="0.2">
      <c r="GI61018" s="422"/>
    </row>
    <row r="61019" spans="191:191" x14ac:dyDescent="0.2">
      <c r="GI61019" s="422"/>
    </row>
    <row r="61020" spans="191:191" x14ac:dyDescent="0.2">
      <c r="GI61020" s="422"/>
    </row>
    <row r="61021" spans="191:191" x14ac:dyDescent="0.2">
      <c r="GI61021" s="422"/>
    </row>
    <row r="61022" spans="191:191" x14ac:dyDescent="0.2">
      <c r="GI61022" s="422"/>
    </row>
    <row r="61023" spans="191:191" x14ac:dyDescent="0.2">
      <c r="GI61023" s="422"/>
    </row>
    <row r="61024" spans="191:191" x14ac:dyDescent="0.2">
      <c r="GI61024" s="422"/>
    </row>
    <row r="61025" spans="191:191" x14ac:dyDescent="0.2">
      <c r="GI61025" s="422"/>
    </row>
    <row r="61026" spans="191:191" x14ac:dyDescent="0.2">
      <c r="GI61026" s="422"/>
    </row>
    <row r="61027" spans="191:191" x14ac:dyDescent="0.2">
      <c r="GI61027" s="422"/>
    </row>
    <row r="61028" spans="191:191" x14ac:dyDescent="0.2">
      <c r="GI61028" s="422"/>
    </row>
    <row r="61029" spans="191:191" x14ac:dyDescent="0.2">
      <c r="GI61029" s="422"/>
    </row>
    <row r="61030" spans="191:191" x14ac:dyDescent="0.2">
      <c r="GI61030" s="422"/>
    </row>
    <row r="61031" spans="191:191" x14ac:dyDescent="0.2">
      <c r="GI61031" s="422"/>
    </row>
    <row r="61032" spans="191:191" x14ac:dyDescent="0.2">
      <c r="GI61032" s="422"/>
    </row>
    <row r="61033" spans="191:191" x14ac:dyDescent="0.2">
      <c r="GI61033" s="422"/>
    </row>
    <row r="61034" spans="191:191" x14ac:dyDescent="0.2">
      <c r="GI61034" s="422"/>
    </row>
    <row r="61035" spans="191:191" x14ac:dyDescent="0.2">
      <c r="GI61035" s="422"/>
    </row>
    <row r="61036" spans="191:191" x14ac:dyDescent="0.2">
      <c r="GI61036" s="422"/>
    </row>
    <row r="61037" spans="191:191" x14ac:dyDescent="0.2">
      <c r="GI61037" s="422"/>
    </row>
    <row r="61038" spans="191:191" x14ac:dyDescent="0.2">
      <c r="GI61038" s="422"/>
    </row>
    <row r="61039" spans="191:191" x14ac:dyDescent="0.2">
      <c r="GI61039" s="422"/>
    </row>
    <row r="61040" spans="191:191" x14ac:dyDescent="0.2">
      <c r="GI61040" s="422"/>
    </row>
    <row r="61041" spans="191:191" x14ac:dyDescent="0.2">
      <c r="GI61041" s="422"/>
    </row>
    <row r="61042" spans="191:191" x14ac:dyDescent="0.2">
      <c r="GI61042" s="422"/>
    </row>
    <row r="61043" spans="191:191" x14ac:dyDescent="0.2">
      <c r="GI61043" s="422"/>
    </row>
    <row r="61044" spans="191:191" x14ac:dyDescent="0.2">
      <c r="GI61044" s="422"/>
    </row>
    <row r="61045" spans="191:191" x14ac:dyDescent="0.2">
      <c r="GI61045" s="422"/>
    </row>
    <row r="61046" spans="191:191" x14ac:dyDescent="0.2">
      <c r="GI61046" s="422"/>
    </row>
    <row r="61047" spans="191:191" x14ac:dyDescent="0.2">
      <c r="GI61047" s="422"/>
    </row>
    <row r="61048" spans="191:191" x14ac:dyDescent="0.2">
      <c r="GI61048" s="422"/>
    </row>
    <row r="61049" spans="191:191" x14ac:dyDescent="0.2">
      <c r="GI61049" s="422"/>
    </row>
    <row r="61050" spans="191:191" x14ac:dyDescent="0.2">
      <c r="GI61050" s="422"/>
    </row>
    <row r="61051" spans="191:191" x14ac:dyDescent="0.2">
      <c r="GI61051" s="422"/>
    </row>
    <row r="61052" spans="191:191" x14ac:dyDescent="0.2">
      <c r="GI61052" s="422"/>
    </row>
    <row r="61053" spans="191:191" x14ac:dyDescent="0.2">
      <c r="GI61053" s="422"/>
    </row>
    <row r="61054" spans="191:191" x14ac:dyDescent="0.2">
      <c r="GI61054" s="422"/>
    </row>
    <row r="61055" spans="191:191" x14ac:dyDescent="0.2">
      <c r="GI61055" s="422"/>
    </row>
    <row r="61056" spans="191:191" x14ac:dyDescent="0.2">
      <c r="GI61056" s="422"/>
    </row>
    <row r="61057" spans="191:191" x14ac:dyDescent="0.2">
      <c r="GI61057" s="422"/>
    </row>
    <row r="61058" spans="191:191" x14ac:dyDescent="0.2">
      <c r="GI61058" s="422"/>
    </row>
    <row r="61059" spans="191:191" x14ac:dyDescent="0.2">
      <c r="GI61059" s="422"/>
    </row>
    <row r="61060" spans="191:191" x14ac:dyDescent="0.2">
      <c r="GI61060" s="422"/>
    </row>
    <row r="61061" spans="191:191" x14ac:dyDescent="0.2">
      <c r="GI61061" s="422"/>
    </row>
    <row r="61062" spans="191:191" x14ac:dyDescent="0.2">
      <c r="GI61062" s="422"/>
    </row>
    <row r="61063" spans="191:191" x14ac:dyDescent="0.2">
      <c r="GI61063" s="422"/>
    </row>
    <row r="61064" spans="191:191" x14ac:dyDescent="0.2">
      <c r="GI61064" s="422"/>
    </row>
    <row r="61065" spans="191:191" x14ac:dyDescent="0.2">
      <c r="GI61065" s="422"/>
    </row>
    <row r="61066" spans="191:191" x14ac:dyDescent="0.2">
      <c r="GI61066" s="422"/>
    </row>
    <row r="61067" spans="191:191" x14ac:dyDescent="0.2">
      <c r="GI61067" s="422"/>
    </row>
    <row r="61068" spans="191:191" x14ac:dyDescent="0.2">
      <c r="GI61068" s="422"/>
    </row>
    <row r="61069" spans="191:191" x14ac:dyDescent="0.2">
      <c r="GI61069" s="422"/>
    </row>
    <row r="61070" spans="191:191" x14ac:dyDescent="0.2">
      <c r="GI61070" s="422"/>
    </row>
    <row r="61071" spans="191:191" x14ac:dyDescent="0.2">
      <c r="GI61071" s="422"/>
    </row>
    <row r="61072" spans="191:191" x14ac:dyDescent="0.2">
      <c r="GI61072" s="422"/>
    </row>
    <row r="61073" spans="191:191" x14ac:dyDescent="0.2">
      <c r="GI61073" s="422"/>
    </row>
    <row r="61074" spans="191:191" x14ac:dyDescent="0.2">
      <c r="GI61074" s="422"/>
    </row>
    <row r="61075" spans="191:191" x14ac:dyDescent="0.2">
      <c r="GI61075" s="422"/>
    </row>
    <row r="61076" spans="191:191" x14ac:dyDescent="0.2">
      <c r="GI61076" s="422"/>
    </row>
    <row r="61077" spans="191:191" x14ac:dyDescent="0.2">
      <c r="GI61077" s="422"/>
    </row>
    <row r="61078" spans="191:191" x14ac:dyDescent="0.2">
      <c r="GI61078" s="422"/>
    </row>
    <row r="61079" spans="191:191" x14ac:dyDescent="0.2">
      <c r="GI61079" s="422"/>
    </row>
    <row r="61080" spans="191:191" x14ac:dyDescent="0.2">
      <c r="GI61080" s="422"/>
    </row>
    <row r="61081" spans="191:191" x14ac:dyDescent="0.2">
      <c r="GI61081" s="422"/>
    </row>
    <row r="61082" spans="191:191" x14ac:dyDescent="0.2">
      <c r="GI61082" s="422"/>
    </row>
    <row r="61083" spans="191:191" x14ac:dyDescent="0.2">
      <c r="GI61083" s="422"/>
    </row>
    <row r="61084" spans="191:191" x14ac:dyDescent="0.2">
      <c r="GI61084" s="422"/>
    </row>
    <row r="61085" spans="191:191" x14ac:dyDescent="0.2">
      <c r="GI61085" s="422"/>
    </row>
    <row r="61086" spans="191:191" x14ac:dyDescent="0.2">
      <c r="GI61086" s="422"/>
    </row>
    <row r="61087" spans="191:191" x14ac:dyDescent="0.2">
      <c r="GI61087" s="422"/>
    </row>
    <row r="61088" spans="191:191" x14ac:dyDescent="0.2">
      <c r="GI61088" s="422"/>
    </row>
    <row r="61089" spans="191:191" x14ac:dyDescent="0.2">
      <c r="GI61089" s="422"/>
    </row>
    <row r="61090" spans="191:191" x14ac:dyDescent="0.2">
      <c r="GI61090" s="422"/>
    </row>
    <row r="61091" spans="191:191" x14ac:dyDescent="0.2">
      <c r="GI61091" s="422"/>
    </row>
    <row r="61092" spans="191:191" x14ac:dyDescent="0.2">
      <c r="GI61092" s="422"/>
    </row>
    <row r="61093" spans="191:191" x14ac:dyDescent="0.2">
      <c r="GI61093" s="422"/>
    </row>
    <row r="61094" spans="191:191" x14ac:dyDescent="0.2">
      <c r="GI61094" s="422"/>
    </row>
    <row r="61095" spans="191:191" x14ac:dyDescent="0.2">
      <c r="GI61095" s="422"/>
    </row>
    <row r="61096" spans="191:191" x14ac:dyDescent="0.2">
      <c r="GI61096" s="422"/>
    </row>
    <row r="61097" spans="191:191" x14ac:dyDescent="0.2">
      <c r="GI61097" s="422"/>
    </row>
    <row r="61098" spans="191:191" x14ac:dyDescent="0.2">
      <c r="GI61098" s="422"/>
    </row>
    <row r="61099" spans="191:191" x14ac:dyDescent="0.2">
      <c r="GI61099" s="422"/>
    </row>
    <row r="61100" spans="191:191" x14ac:dyDescent="0.2">
      <c r="GI61100" s="422"/>
    </row>
    <row r="61101" spans="191:191" x14ac:dyDescent="0.2">
      <c r="GI61101" s="422"/>
    </row>
    <row r="61102" spans="191:191" x14ac:dyDescent="0.2">
      <c r="GI61102" s="422"/>
    </row>
    <row r="61103" spans="191:191" x14ac:dyDescent="0.2">
      <c r="GI61103" s="422"/>
    </row>
    <row r="61104" spans="191:191" x14ac:dyDescent="0.2">
      <c r="GI61104" s="422"/>
    </row>
    <row r="61105" spans="191:191" x14ac:dyDescent="0.2">
      <c r="GI61105" s="422"/>
    </row>
    <row r="61106" spans="191:191" x14ac:dyDescent="0.2">
      <c r="GI61106" s="422"/>
    </row>
    <row r="61107" spans="191:191" x14ac:dyDescent="0.2">
      <c r="GI61107" s="422"/>
    </row>
    <row r="61108" spans="191:191" x14ac:dyDescent="0.2">
      <c r="GI61108" s="422"/>
    </row>
    <row r="61109" spans="191:191" x14ac:dyDescent="0.2">
      <c r="GI61109" s="422"/>
    </row>
    <row r="61110" spans="191:191" x14ac:dyDescent="0.2">
      <c r="GI61110" s="422"/>
    </row>
    <row r="61111" spans="191:191" x14ac:dyDescent="0.2">
      <c r="GI61111" s="422"/>
    </row>
    <row r="61112" spans="191:191" x14ac:dyDescent="0.2">
      <c r="GI61112" s="422"/>
    </row>
    <row r="61113" spans="191:191" x14ac:dyDescent="0.2">
      <c r="GI61113" s="422"/>
    </row>
    <row r="61114" spans="191:191" x14ac:dyDescent="0.2">
      <c r="GI61114" s="422"/>
    </row>
    <row r="61115" spans="191:191" x14ac:dyDescent="0.2">
      <c r="GI61115" s="422"/>
    </row>
    <row r="61116" spans="191:191" x14ac:dyDescent="0.2">
      <c r="GI61116" s="422"/>
    </row>
    <row r="61117" spans="191:191" x14ac:dyDescent="0.2">
      <c r="GI61117" s="422"/>
    </row>
    <row r="61118" spans="191:191" x14ac:dyDescent="0.2">
      <c r="GI61118" s="422"/>
    </row>
    <row r="61119" spans="191:191" x14ac:dyDescent="0.2">
      <c r="GI61119" s="422"/>
    </row>
    <row r="61120" spans="191:191" x14ac:dyDescent="0.2">
      <c r="GI61120" s="422"/>
    </row>
    <row r="61121" spans="191:191" x14ac:dyDescent="0.2">
      <c r="GI61121" s="422"/>
    </row>
    <row r="61122" spans="191:191" x14ac:dyDescent="0.2">
      <c r="GI61122" s="422"/>
    </row>
    <row r="61123" spans="191:191" x14ac:dyDescent="0.2">
      <c r="GI61123" s="422"/>
    </row>
    <row r="61124" spans="191:191" x14ac:dyDescent="0.2">
      <c r="GI61124" s="422"/>
    </row>
    <row r="61125" spans="191:191" x14ac:dyDescent="0.2">
      <c r="GI61125" s="422"/>
    </row>
    <row r="61126" spans="191:191" x14ac:dyDescent="0.2">
      <c r="GI61126" s="422"/>
    </row>
    <row r="61127" spans="191:191" x14ac:dyDescent="0.2">
      <c r="GI61127" s="422"/>
    </row>
    <row r="61128" spans="191:191" x14ac:dyDescent="0.2">
      <c r="GI61128" s="422"/>
    </row>
    <row r="61129" spans="191:191" x14ac:dyDescent="0.2">
      <c r="GI61129" s="422"/>
    </row>
    <row r="61130" spans="191:191" x14ac:dyDescent="0.2">
      <c r="GI61130" s="422"/>
    </row>
    <row r="61131" spans="191:191" x14ac:dyDescent="0.2">
      <c r="GI61131" s="422"/>
    </row>
    <row r="61132" spans="191:191" x14ac:dyDescent="0.2">
      <c r="GI61132" s="422"/>
    </row>
    <row r="61133" spans="191:191" x14ac:dyDescent="0.2">
      <c r="GI61133" s="422"/>
    </row>
    <row r="61134" spans="191:191" x14ac:dyDescent="0.2">
      <c r="GI61134" s="422"/>
    </row>
    <row r="61135" spans="191:191" x14ac:dyDescent="0.2">
      <c r="GI61135" s="422"/>
    </row>
    <row r="61136" spans="191:191" x14ac:dyDescent="0.2">
      <c r="GI61136" s="422"/>
    </row>
    <row r="61137" spans="191:191" x14ac:dyDescent="0.2">
      <c r="GI61137" s="422"/>
    </row>
    <row r="61138" spans="191:191" x14ac:dyDescent="0.2">
      <c r="GI61138" s="422"/>
    </row>
    <row r="61139" spans="191:191" x14ac:dyDescent="0.2">
      <c r="GI61139" s="422"/>
    </row>
    <row r="61140" spans="191:191" x14ac:dyDescent="0.2">
      <c r="GI61140" s="422"/>
    </row>
    <row r="61141" spans="191:191" x14ac:dyDescent="0.2">
      <c r="GI61141" s="422"/>
    </row>
    <row r="61142" spans="191:191" x14ac:dyDescent="0.2">
      <c r="GI61142" s="422"/>
    </row>
    <row r="61143" spans="191:191" x14ac:dyDescent="0.2">
      <c r="GI61143" s="422"/>
    </row>
    <row r="61144" spans="191:191" x14ac:dyDescent="0.2">
      <c r="GI61144" s="422"/>
    </row>
    <row r="61145" spans="191:191" x14ac:dyDescent="0.2">
      <c r="GI61145" s="422"/>
    </row>
    <row r="61146" spans="191:191" x14ac:dyDescent="0.2">
      <c r="GI61146" s="422"/>
    </row>
    <row r="61147" spans="191:191" x14ac:dyDescent="0.2">
      <c r="GI61147" s="422"/>
    </row>
    <row r="61148" spans="191:191" x14ac:dyDescent="0.2">
      <c r="GI61148" s="422"/>
    </row>
    <row r="61149" spans="191:191" x14ac:dyDescent="0.2">
      <c r="GI61149" s="422"/>
    </row>
    <row r="61150" spans="191:191" x14ac:dyDescent="0.2">
      <c r="GI61150" s="422"/>
    </row>
    <row r="61151" spans="191:191" x14ac:dyDescent="0.2">
      <c r="GI61151" s="422"/>
    </row>
    <row r="61152" spans="191:191" x14ac:dyDescent="0.2">
      <c r="GI61152" s="422"/>
    </row>
    <row r="61153" spans="191:191" x14ac:dyDescent="0.2">
      <c r="GI61153" s="422"/>
    </row>
    <row r="61154" spans="191:191" x14ac:dyDescent="0.2">
      <c r="GI61154" s="422"/>
    </row>
    <row r="61155" spans="191:191" x14ac:dyDescent="0.2">
      <c r="GI61155" s="422"/>
    </row>
    <row r="61156" spans="191:191" x14ac:dyDescent="0.2">
      <c r="GI61156" s="422"/>
    </row>
    <row r="61157" spans="191:191" x14ac:dyDescent="0.2">
      <c r="GI61157" s="422"/>
    </row>
    <row r="61158" spans="191:191" x14ac:dyDescent="0.2">
      <c r="GI61158" s="422"/>
    </row>
    <row r="61159" spans="191:191" x14ac:dyDescent="0.2">
      <c r="GI61159" s="422"/>
    </row>
    <row r="61160" spans="191:191" x14ac:dyDescent="0.2">
      <c r="GI61160" s="422"/>
    </row>
    <row r="61161" spans="191:191" x14ac:dyDescent="0.2">
      <c r="GI61161" s="422"/>
    </row>
    <row r="61162" spans="191:191" x14ac:dyDescent="0.2">
      <c r="GI61162" s="422"/>
    </row>
    <row r="61163" spans="191:191" x14ac:dyDescent="0.2">
      <c r="GI61163" s="422"/>
    </row>
    <row r="61164" spans="191:191" x14ac:dyDescent="0.2">
      <c r="GI61164" s="422"/>
    </row>
    <row r="61165" spans="191:191" x14ac:dyDescent="0.2">
      <c r="GI61165" s="422"/>
    </row>
    <row r="61166" spans="191:191" x14ac:dyDescent="0.2">
      <c r="GI61166" s="422"/>
    </row>
    <row r="61167" spans="191:191" x14ac:dyDescent="0.2">
      <c r="GI61167" s="422"/>
    </row>
    <row r="61168" spans="191:191" x14ac:dyDescent="0.2">
      <c r="GI61168" s="422"/>
    </row>
    <row r="61169" spans="191:191" x14ac:dyDescent="0.2">
      <c r="GI61169" s="422"/>
    </row>
    <row r="61170" spans="191:191" x14ac:dyDescent="0.2">
      <c r="GI61170" s="422"/>
    </row>
    <row r="61171" spans="191:191" x14ac:dyDescent="0.2">
      <c r="GI61171" s="422"/>
    </row>
    <row r="61172" spans="191:191" x14ac:dyDescent="0.2">
      <c r="GI61172" s="422"/>
    </row>
    <row r="61173" spans="191:191" x14ac:dyDescent="0.2">
      <c r="GI61173" s="422"/>
    </row>
    <row r="61174" spans="191:191" x14ac:dyDescent="0.2">
      <c r="GI61174" s="422"/>
    </row>
    <row r="61175" spans="191:191" x14ac:dyDescent="0.2">
      <c r="GI61175" s="422"/>
    </row>
    <row r="61176" spans="191:191" x14ac:dyDescent="0.2">
      <c r="GI61176" s="422"/>
    </row>
    <row r="61177" spans="191:191" x14ac:dyDescent="0.2">
      <c r="GI61177" s="422"/>
    </row>
    <row r="61178" spans="191:191" x14ac:dyDescent="0.2">
      <c r="GI61178" s="422"/>
    </row>
    <row r="61179" spans="191:191" x14ac:dyDescent="0.2">
      <c r="GI61179" s="422"/>
    </row>
    <row r="61180" spans="191:191" x14ac:dyDescent="0.2">
      <c r="GI61180" s="422"/>
    </row>
    <row r="61181" spans="191:191" x14ac:dyDescent="0.2">
      <c r="GI61181" s="422"/>
    </row>
    <row r="61182" spans="191:191" x14ac:dyDescent="0.2">
      <c r="GI61182" s="422"/>
    </row>
    <row r="61183" spans="191:191" x14ac:dyDescent="0.2">
      <c r="GI61183" s="422"/>
    </row>
    <row r="61184" spans="191:191" x14ac:dyDescent="0.2">
      <c r="GI61184" s="422"/>
    </row>
    <row r="61185" spans="191:191" x14ac:dyDescent="0.2">
      <c r="GI61185" s="422"/>
    </row>
    <row r="61186" spans="191:191" x14ac:dyDescent="0.2">
      <c r="GI61186" s="422"/>
    </row>
    <row r="61187" spans="191:191" x14ac:dyDescent="0.2">
      <c r="GI61187" s="422"/>
    </row>
    <row r="61188" spans="191:191" x14ac:dyDescent="0.2">
      <c r="GI61188" s="422"/>
    </row>
    <row r="61189" spans="191:191" x14ac:dyDescent="0.2">
      <c r="GI61189" s="422"/>
    </row>
    <row r="61190" spans="191:191" x14ac:dyDescent="0.2">
      <c r="GI61190" s="422"/>
    </row>
    <row r="61191" spans="191:191" x14ac:dyDescent="0.2">
      <c r="GI61191" s="422"/>
    </row>
    <row r="61192" spans="191:191" x14ac:dyDescent="0.2">
      <c r="GI61192" s="422"/>
    </row>
    <row r="61193" spans="191:191" x14ac:dyDescent="0.2">
      <c r="GI61193" s="422"/>
    </row>
    <row r="61194" spans="191:191" x14ac:dyDescent="0.2">
      <c r="GI61194" s="422"/>
    </row>
    <row r="61195" spans="191:191" x14ac:dyDescent="0.2">
      <c r="GI61195" s="422"/>
    </row>
    <row r="61196" spans="191:191" x14ac:dyDescent="0.2">
      <c r="GI61196" s="422"/>
    </row>
    <row r="61197" spans="191:191" x14ac:dyDescent="0.2">
      <c r="GI61197" s="422"/>
    </row>
    <row r="61198" spans="191:191" x14ac:dyDescent="0.2">
      <c r="GI61198" s="422"/>
    </row>
    <row r="61199" spans="191:191" x14ac:dyDescent="0.2">
      <c r="GI61199" s="422"/>
    </row>
    <row r="61200" spans="191:191" x14ac:dyDescent="0.2">
      <c r="GI61200" s="422"/>
    </row>
    <row r="61201" spans="191:191" x14ac:dyDescent="0.2">
      <c r="GI61201" s="422"/>
    </row>
    <row r="61202" spans="191:191" x14ac:dyDescent="0.2">
      <c r="GI61202" s="422"/>
    </row>
    <row r="61203" spans="191:191" x14ac:dyDescent="0.2">
      <c r="GI61203" s="422"/>
    </row>
    <row r="61204" spans="191:191" x14ac:dyDescent="0.2">
      <c r="GI61204" s="422"/>
    </row>
    <row r="61205" spans="191:191" x14ac:dyDescent="0.2">
      <c r="GI61205" s="422"/>
    </row>
    <row r="61206" spans="191:191" x14ac:dyDescent="0.2">
      <c r="GI61206" s="422"/>
    </row>
    <row r="61207" spans="191:191" x14ac:dyDescent="0.2">
      <c r="GI61207" s="422"/>
    </row>
    <row r="61208" spans="191:191" x14ac:dyDescent="0.2">
      <c r="GI61208" s="422"/>
    </row>
    <row r="61209" spans="191:191" x14ac:dyDescent="0.2">
      <c r="GI61209" s="422"/>
    </row>
    <row r="61210" spans="191:191" x14ac:dyDescent="0.2">
      <c r="GI61210" s="422"/>
    </row>
    <row r="61211" spans="191:191" x14ac:dyDescent="0.2">
      <c r="GI61211" s="422"/>
    </row>
    <row r="61212" spans="191:191" x14ac:dyDescent="0.2">
      <c r="GI61212" s="422"/>
    </row>
    <row r="61213" spans="191:191" x14ac:dyDescent="0.2">
      <c r="GI61213" s="422"/>
    </row>
    <row r="61214" spans="191:191" x14ac:dyDescent="0.2">
      <c r="GI61214" s="422"/>
    </row>
    <row r="61215" spans="191:191" x14ac:dyDescent="0.2">
      <c r="GI61215" s="422"/>
    </row>
    <row r="61216" spans="191:191" x14ac:dyDescent="0.2">
      <c r="GI61216" s="422"/>
    </row>
    <row r="61217" spans="191:191" x14ac:dyDescent="0.2">
      <c r="GI61217" s="422"/>
    </row>
    <row r="61218" spans="191:191" x14ac:dyDescent="0.2">
      <c r="GI61218" s="422"/>
    </row>
    <row r="61219" spans="191:191" x14ac:dyDescent="0.2">
      <c r="GI61219" s="422"/>
    </row>
    <row r="61220" spans="191:191" x14ac:dyDescent="0.2">
      <c r="GI61220" s="422"/>
    </row>
    <row r="61221" spans="191:191" x14ac:dyDescent="0.2">
      <c r="GI61221" s="422"/>
    </row>
    <row r="61222" spans="191:191" x14ac:dyDescent="0.2">
      <c r="GI61222" s="422"/>
    </row>
    <row r="61223" spans="191:191" x14ac:dyDescent="0.2">
      <c r="GI61223" s="422"/>
    </row>
    <row r="61224" spans="191:191" x14ac:dyDescent="0.2">
      <c r="GI61224" s="422"/>
    </row>
    <row r="61225" spans="191:191" x14ac:dyDescent="0.2">
      <c r="GI61225" s="422"/>
    </row>
    <row r="61226" spans="191:191" x14ac:dyDescent="0.2">
      <c r="GI61226" s="422"/>
    </row>
    <row r="61227" spans="191:191" x14ac:dyDescent="0.2">
      <c r="GI61227" s="422"/>
    </row>
    <row r="61228" spans="191:191" x14ac:dyDescent="0.2">
      <c r="GI61228" s="422"/>
    </row>
    <row r="61229" spans="191:191" x14ac:dyDescent="0.2">
      <c r="GI61229" s="422"/>
    </row>
    <row r="61230" spans="191:191" x14ac:dyDescent="0.2">
      <c r="GI61230" s="422"/>
    </row>
    <row r="61231" spans="191:191" x14ac:dyDescent="0.2">
      <c r="GI61231" s="422"/>
    </row>
    <row r="61232" spans="191:191" x14ac:dyDescent="0.2">
      <c r="GI61232" s="422"/>
    </row>
    <row r="61233" spans="191:191" x14ac:dyDescent="0.2">
      <c r="GI61233" s="422"/>
    </row>
    <row r="61234" spans="191:191" x14ac:dyDescent="0.2">
      <c r="GI61234" s="422"/>
    </row>
    <row r="61235" spans="191:191" x14ac:dyDescent="0.2">
      <c r="GI61235" s="422"/>
    </row>
    <row r="61236" spans="191:191" x14ac:dyDescent="0.2">
      <c r="GI61236" s="422"/>
    </row>
    <row r="61237" spans="191:191" x14ac:dyDescent="0.2">
      <c r="GI61237" s="422"/>
    </row>
    <row r="61238" spans="191:191" x14ac:dyDescent="0.2">
      <c r="GI61238" s="422"/>
    </row>
    <row r="61239" spans="191:191" x14ac:dyDescent="0.2">
      <c r="GI61239" s="422"/>
    </row>
    <row r="61240" spans="191:191" x14ac:dyDescent="0.2">
      <c r="GI61240" s="422"/>
    </row>
    <row r="61241" spans="191:191" x14ac:dyDescent="0.2">
      <c r="GI61241" s="422"/>
    </row>
    <row r="61242" spans="191:191" x14ac:dyDescent="0.2">
      <c r="GI61242" s="422"/>
    </row>
    <row r="61243" spans="191:191" x14ac:dyDescent="0.2">
      <c r="GI61243" s="422"/>
    </row>
    <row r="61244" spans="191:191" x14ac:dyDescent="0.2">
      <c r="GI61244" s="422"/>
    </row>
    <row r="61245" spans="191:191" x14ac:dyDescent="0.2">
      <c r="GI61245" s="422"/>
    </row>
    <row r="61246" spans="191:191" x14ac:dyDescent="0.2">
      <c r="GI61246" s="422"/>
    </row>
    <row r="61247" spans="191:191" x14ac:dyDescent="0.2">
      <c r="GI61247" s="422"/>
    </row>
    <row r="61248" spans="191:191" x14ac:dyDescent="0.2">
      <c r="GI61248" s="422"/>
    </row>
    <row r="61249" spans="191:191" x14ac:dyDescent="0.2">
      <c r="GI61249" s="422"/>
    </row>
    <row r="61250" spans="191:191" x14ac:dyDescent="0.2">
      <c r="GI61250" s="422"/>
    </row>
    <row r="61251" spans="191:191" x14ac:dyDescent="0.2">
      <c r="GI61251" s="422"/>
    </row>
    <row r="61252" spans="191:191" x14ac:dyDescent="0.2">
      <c r="GI61252" s="422"/>
    </row>
    <row r="61253" spans="191:191" x14ac:dyDescent="0.2">
      <c r="GI61253" s="422"/>
    </row>
    <row r="61254" spans="191:191" x14ac:dyDescent="0.2">
      <c r="GI61254" s="422"/>
    </row>
    <row r="61255" spans="191:191" x14ac:dyDescent="0.2">
      <c r="GI61255" s="422"/>
    </row>
    <row r="61256" spans="191:191" x14ac:dyDescent="0.2">
      <c r="GI61256" s="422"/>
    </row>
    <row r="61257" spans="191:191" x14ac:dyDescent="0.2">
      <c r="GI61257" s="422"/>
    </row>
    <row r="61258" spans="191:191" x14ac:dyDescent="0.2">
      <c r="GI61258" s="422"/>
    </row>
    <row r="61259" spans="191:191" x14ac:dyDescent="0.2">
      <c r="GI61259" s="422"/>
    </row>
    <row r="61260" spans="191:191" x14ac:dyDescent="0.2">
      <c r="GI61260" s="422"/>
    </row>
    <row r="61261" spans="191:191" x14ac:dyDescent="0.2">
      <c r="GI61261" s="422"/>
    </row>
    <row r="61262" spans="191:191" x14ac:dyDescent="0.2">
      <c r="GI61262" s="422"/>
    </row>
    <row r="61263" spans="191:191" x14ac:dyDescent="0.2">
      <c r="GI61263" s="422"/>
    </row>
    <row r="61264" spans="191:191" x14ac:dyDescent="0.2">
      <c r="GI61264" s="422"/>
    </row>
    <row r="61265" spans="191:191" x14ac:dyDescent="0.2">
      <c r="GI61265" s="422"/>
    </row>
    <row r="61266" spans="191:191" x14ac:dyDescent="0.2">
      <c r="GI61266" s="422"/>
    </row>
    <row r="61267" spans="191:191" x14ac:dyDescent="0.2">
      <c r="GI61267" s="422"/>
    </row>
    <row r="61268" spans="191:191" x14ac:dyDescent="0.2">
      <c r="GI61268" s="422"/>
    </row>
    <row r="61269" spans="191:191" x14ac:dyDescent="0.2">
      <c r="GI61269" s="422"/>
    </row>
    <row r="61270" spans="191:191" x14ac:dyDescent="0.2">
      <c r="GI61270" s="422"/>
    </row>
    <row r="61271" spans="191:191" x14ac:dyDescent="0.2">
      <c r="GI61271" s="422"/>
    </row>
    <row r="61272" spans="191:191" x14ac:dyDescent="0.2">
      <c r="GI61272" s="422"/>
    </row>
    <row r="61273" spans="191:191" x14ac:dyDescent="0.2">
      <c r="GI61273" s="422"/>
    </row>
    <row r="61274" spans="191:191" x14ac:dyDescent="0.2">
      <c r="GI61274" s="422"/>
    </row>
    <row r="61275" spans="191:191" x14ac:dyDescent="0.2">
      <c r="GI61275" s="422"/>
    </row>
    <row r="61276" spans="191:191" x14ac:dyDescent="0.2">
      <c r="GI61276" s="422"/>
    </row>
    <row r="61277" spans="191:191" x14ac:dyDescent="0.2">
      <c r="GI61277" s="422"/>
    </row>
    <row r="61278" spans="191:191" x14ac:dyDescent="0.2">
      <c r="GI61278" s="422"/>
    </row>
    <row r="61279" spans="191:191" x14ac:dyDescent="0.2">
      <c r="GI61279" s="422"/>
    </row>
    <row r="61280" spans="191:191" x14ac:dyDescent="0.2">
      <c r="GI61280" s="422"/>
    </row>
    <row r="61281" spans="191:191" x14ac:dyDescent="0.2">
      <c r="GI61281" s="422"/>
    </row>
    <row r="61282" spans="191:191" x14ac:dyDescent="0.2">
      <c r="GI61282" s="422"/>
    </row>
    <row r="61283" spans="191:191" x14ac:dyDescent="0.2">
      <c r="GI61283" s="422"/>
    </row>
    <row r="61284" spans="191:191" x14ac:dyDescent="0.2">
      <c r="GI61284" s="422"/>
    </row>
    <row r="61285" spans="191:191" x14ac:dyDescent="0.2">
      <c r="GI61285" s="422"/>
    </row>
    <row r="61286" spans="191:191" x14ac:dyDescent="0.2">
      <c r="GI61286" s="422"/>
    </row>
    <row r="61287" spans="191:191" x14ac:dyDescent="0.2">
      <c r="GI61287" s="422"/>
    </row>
    <row r="61288" spans="191:191" x14ac:dyDescent="0.2">
      <c r="GI61288" s="422"/>
    </row>
    <row r="61289" spans="191:191" x14ac:dyDescent="0.2">
      <c r="GI61289" s="422"/>
    </row>
    <row r="61290" spans="191:191" x14ac:dyDescent="0.2">
      <c r="GI61290" s="422"/>
    </row>
    <row r="61291" spans="191:191" x14ac:dyDescent="0.2">
      <c r="GI61291" s="422"/>
    </row>
    <row r="61292" spans="191:191" x14ac:dyDescent="0.2">
      <c r="GI61292" s="422"/>
    </row>
    <row r="61293" spans="191:191" x14ac:dyDescent="0.2">
      <c r="GI61293" s="422"/>
    </row>
    <row r="61294" spans="191:191" x14ac:dyDescent="0.2">
      <c r="GI61294" s="422"/>
    </row>
    <row r="61295" spans="191:191" x14ac:dyDescent="0.2">
      <c r="GI61295" s="422"/>
    </row>
    <row r="61296" spans="191:191" x14ac:dyDescent="0.2">
      <c r="GI61296" s="422"/>
    </row>
    <row r="61297" spans="191:191" x14ac:dyDescent="0.2">
      <c r="GI61297" s="422"/>
    </row>
    <row r="61298" spans="191:191" x14ac:dyDescent="0.2">
      <c r="GI61298" s="422"/>
    </row>
    <row r="61299" spans="191:191" x14ac:dyDescent="0.2">
      <c r="GI61299" s="422"/>
    </row>
    <row r="61300" spans="191:191" x14ac:dyDescent="0.2">
      <c r="GI61300" s="422"/>
    </row>
    <row r="61301" spans="191:191" x14ac:dyDescent="0.2">
      <c r="GI61301" s="422"/>
    </row>
    <row r="61302" spans="191:191" x14ac:dyDescent="0.2">
      <c r="GI61302" s="422"/>
    </row>
    <row r="61303" spans="191:191" x14ac:dyDescent="0.2">
      <c r="GI61303" s="422"/>
    </row>
    <row r="61304" spans="191:191" x14ac:dyDescent="0.2">
      <c r="GI61304" s="422"/>
    </row>
    <row r="61305" spans="191:191" x14ac:dyDescent="0.2">
      <c r="GI61305" s="422"/>
    </row>
    <row r="61306" spans="191:191" x14ac:dyDescent="0.2">
      <c r="GI61306" s="422"/>
    </row>
    <row r="61307" spans="191:191" x14ac:dyDescent="0.2">
      <c r="GI61307" s="422"/>
    </row>
    <row r="61308" spans="191:191" x14ac:dyDescent="0.2">
      <c r="GI61308" s="422"/>
    </row>
    <row r="61309" spans="191:191" x14ac:dyDescent="0.2">
      <c r="GI61309" s="422"/>
    </row>
    <row r="61310" spans="191:191" x14ac:dyDescent="0.2">
      <c r="GI61310" s="422"/>
    </row>
    <row r="61311" spans="191:191" x14ac:dyDescent="0.2">
      <c r="GI61311" s="422"/>
    </row>
    <row r="61312" spans="191:191" x14ac:dyDescent="0.2">
      <c r="GI61312" s="422"/>
    </row>
    <row r="61313" spans="191:191" x14ac:dyDescent="0.2">
      <c r="GI61313" s="422"/>
    </row>
    <row r="61314" spans="191:191" x14ac:dyDescent="0.2">
      <c r="GI61314" s="422"/>
    </row>
    <row r="61315" spans="191:191" x14ac:dyDescent="0.2">
      <c r="GI61315" s="422"/>
    </row>
    <row r="61316" spans="191:191" x14ac:dyDescent="0.2">
      <c r="GI61316" s="422"/>
    </row>
    <row r="61317" spans="191:191" x14ac:dyDescent="0.2">
      <c r="GI61317" s="422"/>
    </row>
    <row r="61318" spans="191:191" x14ac:dyDescent="0.2">
      <c r="GI61318" s="422"/>
    </row>
    <row r="61319" spans="191:191" x14ac:dyDescent="0.2">
      <c r="GI61319" s="422"/>
    </row>
    <row r="61320" spans="191:191" x14ac:dyDescent="0.2">
      <c r="GI61320" s="422"/>
    </row>
    <row r="61321" spans="191:191" x14ac:dyDescent="0.2">
      <c r="GI61321" s="422"/>
    </row>
    <row r="61322" spans="191:191" x14ac:dyDescent="0.2">
      <c r="GI61322" s="422"/>
    </row>
    <row r="61323" spans="191:191" x14ac:dyDescent="0.2">
      <c r="GI61323" s="422"/>
    </row>
    <row r="61324" spans="191:191" x14ac:dyDescent="0.2">
      <c r="GI61324" s="422"/>
    </row>
    <row r="61325" spans="191:191" x14ac:dyDescent="0.2">
      <c r="GI61325" s="422"/>
    </row>
    <row r="61326" spans="191:191" x14ac:dyDescent="0.2">
      <c r="GI61326" s="422"/>
    </row>
    <row r="61327" spans="191:191" x14ac:dyDescent="0.2">
      <c r="GI61327" s="422"/>
    </row>
    <row r="61328" spans="191:191" x14ac:dyDescent="0.2">
      <c r="GI61328" s="422"/>
    </row>
    <row r="61329" spans="191:191" x14ac:dyDescent="0.2">
      <c r="GI61329" s="422"/>
    </row>
    <row r="61330" spans="191:191" x14ac:dyDescent="0.2">
      <c r="GI61330" s="422"/>
    </row>
    <row r="61331" spans="191:191" x14ac:dyDescent="0.2">
      <c r="GI61331" s="422"/>
    </row>
    <row r="61332" spans="191:191" x14ac:dyDescent="0.2">
      <c r="GI61332" s="422"/>
    </row>
    <row r="61333" spans="191:191" x14ac:dyDescent="0.2">
      <c r="GI61333" s="422"/>
    </row>
    <row r="61334" spans="191:191" x14ac:dyDescent="0.2">
      <c r="GI61334" s="422"/>
    </row>
    <row r="61335" spans="191:191" x14ac:dyDescent="0.2">
      <c r="GI61335" s="422"/>
    </row>
    <row r="61336" spans="191:191" x14ac:dyDescent="0.2">
      <c r="GI61336" s="422"/>
    </row>
    <row r="61337" spans="191:191" x14ac:dyDescent="0.2">
      <c r="GI61337" s="422"/>
    </row>
    <row r="61338" spans="191:191" x14ac:dyDescent="0.2">
      <c r="GI61338" s="422"/>
    </row>
    <row r="61339" spans="191:191" x14ac:dyDescent="0.2">
      <c r="GI61339" s="422"/>
    </row>
    <row r="61340" spans="191:191" x14ac:dyDescent="0.2">
      <c r="GI61340" s="422"/>
    </row>
    <row r="61341" spans="191:191" x14ac:dyDescent="0.2">
      <c r="GI61341" s="422"/>
    </row>
    <row r="61342" spans="191:191" x14ac:dyDescent="0.2">
      <c r="GI61342" s="422"/>
    </row>
    <row r="61343" spans="191:191" x14ac:dyDescent="0.2">
      <c r="GI61343" s="422"/>
    </row>
    <row r="61344" spans="191:191" x14ac:dyDescent="0.2">
      <c r="GI61344" s="422"/>
    </row>
    <row r="61345" spans="191:191" x14ac:dyDescent="0.2">
      <c r="GI61345" s="422"/>
    </row>
    <row r="61346" spans="191:191" x14ac:dyDescent="0.2">
      <c r="GI61346" s="422"/>
    </row>
    <row r="61347" spans="191:191" x14ac:dyDescent="0.2">
      <c r="GI61347" s="422"/>
    </row>
    <row r="61348" spans="191:191" x14ac:dyDescent="0.2">
      <c r="GI61348" s="422"/>
    </row>
    <row r="61349" spans="191:191" x14ac:dyDescent="0.2">
      <c r="GI61349" s="422"/>
    </row>
    <row r="61350" spans="191:191" x14ac:dyDescent="0.2">
      <c r="GI61350" s="422"/>
    </row>
    <row r="61351" spans="191:191" x14ac:dyDescent="0.2">
      <c r="GI61351" s="422"/>
    </row>
    <row r="61352" spans="191:191" x14ac:dyDescent="0.2">
      <c r="GI61352" s="422"/>
    </row>
    <row r="61353" spans="191:191" x14ac:dyDescent="0.2">
      <c r="GI61353" s="422"/>
    </row>
    <row r="61354" spans="191:191" x14ac:dyDescent="0.2">
      <c r="GI61354" s="422"/>
    </row>
    <row r="61355" spans="191:191" x14ac:dyDescent="0.2">
      <c r="GI61355" s="422"/>
    </row>
    <row r="61356" spans="191:191" x14ac:dyDescent="0.2">
      <c r="GI61356" s="422"/>
    </row>
    <row r="61357" spans="191:191" x14ac:dyDescent="0.2">
      <c r="GI61357" s="422"/>
    </row>
    <row r="61358" spans="191:191" x14ac:dyDescent="0.2">
      <c r="GI61358" s="422"/>
    </row>
    <row r="61359" spans="191:191" x14ac:dyDescent="0.2">
      <c r="GI61359" s="422"/>
    </row>
    <row r="61360" spans="191:191" x14ac:dyDescent="0.2">
      <c r="GI61360" s="422"/>
    </row>
    <row r="61361" spans="191:191" x14ac:dyDescent="0.2">
      <c r="GI61361" s="422"/>
    </row>
    <row r="61362" spans="191:191" x14ac:dyDescent="0.2">
      <c r="GI61362" s="422"/>
    </row>
    <row r="61363" spans="191:191" x14ac:dyDescent="0.2">
      <c r="GI61363" s="422"/>
    </row>
    <row r="61364" spans="191:191" x14ac:dyDescent="0.2">
      <c r="GI61364" s="422"/>
    </row>
    <row r="61365" spans="191:191" x14ac:dyDescent="0.2">
      <c r="GI61365" s="422"/>
    </row>
    <row r="61366" spans="191:191" x14ac:dyDescent="0.2">
      <c r="GI61366" s="422"/>
    </row>
    <row r="61367" spans="191:191" x14ac:dyDescent="0.2">
      <c r="GI61367" s="422"/>
    </row>
    <row r="61368" spans="191:191" x14ac:dyDescent="0.2">
      <c r="GI61368" s="422"/>
    </row>
    <row r="61369" spans="191:191" x14ac:dyDescent="0.2">
      <c r="GI61369" s="422"/>
    </row>
    <row r="61370" spans="191:191" x14ac:dyDescent="0.2">
      <c r="GI61370" s="422"/>
    </row>
    <row r="61371" spans="191:191" x14ac:dyDescent="0.2">
      <c r="GI61371" s="422"/>
    </row>
    <row r="61372" spans="191:191" x14ac:dyDescent="0.2">
      <c r="GI61372" s="422"/>
    </row>
    <row r="61373" spans="191:191" x14ac:dyDescent="0.2">
      <c r="GI61373" s="422"/>
    </row>
    <row r="61374" spans="191:191" x14ac:dyDescent="0.2">
      <c r="GI61374" s="422"/>
    </row>
    <row r="61375" spans="191:191" x14ac:dyDescent="0.2">
      <c r="GI61375" s="422"/>
    </row>
    <row r="61376" spans="191:191" x14ac:dyDescent="0.2">
      <c r="GI61376" s="422"/>
    </row>
    <row r="61377" spans="191:191" x14ac:dyDescent="0.2">
      <c r="GI61377" s="422"/>
    </row>
    <row r="61378" spans="191:191" x14ac:dyDescent="0.2">
      <c r="GI61378" s="422"/>
    </row>
    <row r="61379" spans="191:191" x14ac:dyDescent="0.2">
      <c r="GI61379" s="422"/>
    </row>
    <row r="61380" spans="191:191" x14ac:dyDescent="0.2">
      <c r="GI61380" s="422"/>
    </row>
    <row r="61381" spans="191:191" x14ac:dyDescent="0.2">
      <c r="GI61381" s="422"/>
    </row>
    <row r="61382" spans="191:191" x14ac:dyDescent="0.2">
      <c r="GI61382" s="422"/>
    </row>
    <row r="61383" spans="191:191" x14ac:dyDescent="0.2">
      <c r="GI61383" s="422"/>
    </row>
    <row r="61384" spans="191:191" x14ac:dyDescent="0.2">
      <c r="GI61384" s="422"/>
    </row>
    <row r="61385" spans="191:191" x14ac:dyDescent="0.2">
      <c r="GI61385" s="422"/>
    </row>
    <row r="61386" spans="191:191" x14ac:dyDescent="0.2">
      <c r="GI61386" s="422"/>
    </row>
    <row r="61387" spans="191:191" x14ac:dyDescent="0.2">
      <c r="GI61387" s="422"/>
    </row>
    <row r="61388" spans="191:191" x14ac:dyDescent="0.2">
      <c r="GI61388" s="422"/>
    </row>
    <row r="61389" spans="191:191" x14ac:dyDescent="0.2">
      <c r="GI61389" s="422"/>
    </row>
    <row r="61390" spans="191:191" x14ac:dyDescent="0.2">
      <c r="GI61390" s="422"/>
    </row>
    <row r="61391" spans="191:191" x14ac:dyDescent="0.2">
      <c r="GI61391" s="422"/>
    </row>
    <row r="61392" spans="191:191" x14ac:dyDescent="0.2">
      <c r="GI61392" s="422"/>
    </row>
    <row r="61393" spans="191:191" x14ac:dyDescent="0.2">
      <c r="GI61393" s="422"/>
    </row>
    <row r="61394" spans="191:191" x14ac:dyDescent="0.2">
      <c r="GI61394" s="422"/>
    </row>
    <row r="61395" spans="191:191" x14ac:dyDescent="0.2">
      <c r="GI61395" s="422"/>
    </row>
    <row r="61396" spans="191:191" x14ac:dyDescent="0.2">
      <c r="GI61396" s="422"/>
    </row>
    <row r="61397" spans="191:191" x14ac:dyDescent="0.2">
      <c r="GI61397" s="422"/>
    </row>
    <row r="61398" spans="191:191" x14ac:dyDescent="0.2">
      <c r="GI61398" s="422"/>
    </row>
    <row r="61399" spans="191:191" x14ac:dyDescent="0.2">
      <c r="GI61399" s="422"/>
    </row>
    <row r="61400" spans="191:191" x14ac:dyDescent="0.2">
      <c r="GI61400" s="422"/>
    </row>
    <row r="61401" spans="191:191" x14ac:dyDescent="0.2">
      <c r="GI61401" s="422"/>
    </row>
    <row r="61402" spans="191:191" x14ac:dyDescent="0.2">
      <c r="GI61402" s="422"/>
    </row>
    <row r="61403" spans="191:191" x14ac:dyDescent="0.2">
      <c r="GI61403" s="422"/>
    </row>
    <row r="61404" spans="191:191" x14ac:dyDescent="0.2">
      <c r="GI61404" s="422"/>
    </row>
    <row r="61405" spans="191:191" x14ac:dyDescent="0.2">
      <c r="GI61405" s="422"/>
    </row>
    <row r="61406" spans="191:191" x14ac:dyDescent="0.2">
      <c r="GI61406" s="422"/>
    </row>
    <row r="61407" spans="191:191" x14ac:dyDescent="0.2">
      <c r="GI61407" s="422"/>
    </row>
    <row r="61408" spans="191:191" x14ac:dyDescent="0.2">
      <c r="GI61408" s="422"/>
    </row>
    <row r="61409" spans="191:191" x14ac:dyDescent="0.2">
      <c r="GI61409" s="422"/>
    </row>
    <row r="61410" spans="191:191" x14ac:dyDescent="0.2">
      <c r="GI61410" s="422"/>
    </row>
    <row r="61411" spans="191:191" x14ac:dyDescent="0.2">
      <c r="GI61411" s="422"/>
    </row>
    <row r="61412" spans="191:191" x14ac:dyDescent="0.2">
      <c r="GI61412" s="422"/>
    </row>
    <row r="61413" spans="191:191" x14ac:dyDescent="0.2">
      <c r="GI61413" s="422"/>
    </row>
    <row r="61414" spans="191:191" x14ac:dyDescent="0.2">
      <c r="GI61414" s="422"/>
    </row>
    <row r="61415" spans="191:191" x14ac:dyDescent="0.2">
      <c r="GI61415" s="422"/>
    </row>
    <row r="61416" spans="191:191" x14ac:dyDescent="0.2">
      <c r="GI61416" s="422"/>
    </row>
    <row r="61417" spans="191:191" x14ac:dyDescent="0.2">
      <c r="GI61417" s="422"/>
    </row>
    <row r="61418" spans="191:191" x14ac:dyDescent="0.2">
      <c r="GI61418" s="422"/>
    </row>
    <row r="61419" spans="191:191" x14ac:dyDescent="0.2">
      <c r="GI61419" s="422"/>
    </row>
    <row r="61420" spans="191:191" x14ac:dyDescent="0.2">
      <c r="GI61420" s="422"/>
    </row>
    <row r="61421" spans="191:191" x14ac:dyDescent="0.2">
      <c r="GI61421" s="422"/>
    </row>
    <row r="61422" spans="191:191" x14ac:dyDescent="0.2">
      <c r="GI61422" s="422"/>
    </row>
    <row r="61423" spans="191:191" x14ac:dyDescent="0.2">
      <c r="GI61423" s="422"/>
    </row>
    <row r="61424" spans="191:191" x14ac:dyDescent="0.2">
      <c r="GI61424" s="422"/>
    </row>
    <row r="61425" spans="191:191" x14ac:dyDescent="0.2">
      <c r="GI61425" s="422"/>
    </row>
    <row r="61426" spans="191:191" x14ac:dyDescent="0.2">
      <c r="GI61426" s="422"/>
    </row>
    <row r="61427" spans="191:191" x14ac:dyDescent="0.2">
      <c r="GI61427" s="422"/>
    </row>
    <row r="61428" spans="191:191" x14ac:dyDescent="0.2">
      <c r="GI61428" s="422"/>
    </row>
    <row r="61429" spans="191:191" x14ac:dyDescent="0.2">
      <c r="GI61429" s="422"/>
    </row>
    <row r="61430" spans="191:191" x14ac:dyDescent="0.2">
      <c r="GI61430" s="422"/>
    </row>
    <row r="61431" spans="191:191" x14ac:dyDescent="0.2">
      <c r="GI61431" s="422"/>
    </row>
    <row r="61432" spans="191:191" x14ac:dyDescent="0.2">
      <c r="GI61432" s="422"/>
    </row>
    <row r="61433" spans="191:191" x14ac:dyDescent="0.2">
      <c r="GI61433" s="422"/>
    </row>
    <row r="61434" spans="191:191" x14ac:dyDescent="0.2">
      <c r="GI61434" s="422"/>
    </row>
    <row r="61435" spans="191:191" x14ac:dyDescent="0.2">
      <c r="GI61435" s="422"/>
    </row>
    <row r="61436" spans="191:191" x14ac:dyDescent="0.2">
      <c r="GI61436" s="422"/>
    </row>
    <row r="61437" spans="191:191" x14ac:dyDescent="0.2">
      <c r="GI61437" s="422"/>
    </row>
    <row r="61438" spans="191:191" x14ac:dyDescent="0.2">
      <c r="GI61438" s="422"/>
    </row>
    <row r="61439" spans="191:191" x14ac:dyDescent="0.2">
      <c r="GI61439" s="422"/>
    </row>
    <row r="61440" spans="191:191" x14ac:dyDescent="0.2">
      <c r="GI61440" s="422"/>
    </row>
    <row r="61441" spans="191:191" x14ac:dyDescent="0.2">
      <c r="GI61441" s="422"/>
    </row>
    <row r="61442" spans="191:191" x14ac:dyDescent="0.2">
      <c r="GI61442" s="422"/>
    </row>
    <row r="61443" spans="191:191" x14ac:dyDescent="0.2">
      <c r="GI61443" s="422"/>
    </row>
    <row r="61444" spans="191:191" x14ac:dyDescent="0.2">
      <c r="GI61444" s="422"/>
    </row>
    <row r="61445" spans="191:191" x14ac:dyDescent="0.2">
      <c r="GI61445" s="422"/>
    </row>
    <row r="61446" spans="191:191" x14ac:dyDescent="0.2">
      <c r="GI61446" s="422"/>
    </row>
    <row r="61447" spans="191:191" x14ac:dyDescent="0.2">
      <c r="GI61447" s="422"/>
    </row>
    <row r="61448" spans="191:191" x14ac:dyDescent="0.2">
      <c r="GI61448" s="422"/>
    </row>
    <row r="61449" spans="191:191" x14ac:dyDescent="0.2">
      <c r="GI61449" s="422"/>
    </row>
    <row r="61450" spans="191:191" x14ac:dyDescent="0.2">
      <c r="GI61450" s="422"/>
    </row>
    <row r="61451" spans="191:191" x14ac:dyDescent="0.2">
      <c r="GI61451" s="422"/>
    </row>
    <row r="61452" spans="191:191" x14ac:dyDescent="0.2">
      <c r="GI61452" s="422"/>
    </row>
    <row r="61453" spans="191:191" x14ac:dyDescent="0.2">
      <c r="GI61453" s="422"/>
    </row>
    <row r="61454" spans="191:191" x14ac:dyDescent="0.2">
      <c r="GI61454" s="422"/>
    </row>
    <row r="61455" spans="191:191" x14ac:dyDescent="0.2">
      <c r="GI61455" s="422"/>
    </row>
    <row r="61456" spans="191:191" x14ac:dyDescent="0.2">
      <c r="GI61456" s="422"/>
    </row>
    <row r="61457" spans="191:191" x14ac:dyDescent="0.2">
      <c r="GI61457" s="422"/>
    </row>
    <row r="61458" spans="191:191" x14ac:dyDescent="0.2">
      <c r="GI61458" s="422"/>
    </row>
    <row r="61459" spans="191:191" x14ac:dyDescent="0.2">
      <c r="GI61459" s="422"/>
    </row>
    <row r="61460" spans="191:191" x14ac:dyDescent="0.2">
      <c r="GI61460" s="422"/>
    </row>
    <row r="61461" spans="191:191" x14ac:dyDescent="0.2">
      <c r="GI61461" s="422"/>
    </row>
    <row r="61462" spans="191:191" x14ac:dyDescent="0.2">
      <c r="GI61462" s="422"/>
    </row>
    <row r="61463" spans="191:191" x14ac:dyDescent="0.2">
      <c r="GI61463" s="422"/>
    </row>
    <row r="61464" spans="191:191" x14ac:dyDescent="0.2">
      <c r="GI61464" s="422"/>
    </row>
    <row r="61465" spans="191:191" x14ac:dyDescent="0.2">
      <c r="GI61465" s="422"/>
    </row>
    <row r="61466" spans="191:191" x14ac:dyDescent="0.2">
      <c r="GI61466" s="422"/>
    </row>
    <row r="61467" spans="191:191" x14ac:dyDescent="0.2">
      <c r="GI61467" s="422"/>
    </row>
    <row r="61468" spans="191:191" x14ac:dyDescent="0.2">
      <c r="GI61468" s="422"/>
    </row>
    <row r="61469" spans="191:191" x14ac:dyDescent="0.2">
      <c r="GI61469" s="422"/>
    </row>
    <row r="61470" spans="191:191" x14ac:dyDescent="0.2">
      <c r="GI61470" s="422"/>
    </row>
    <row r="61471" spans="191:191" x14ac:dyDescent="0.2">
      <c r="GI61471" s="422"/>
    </row>
    <row r="61472" spans="191:191" x14ac:dyDescent="0.2">
      <c r="GI61472" s="422"/>
    </row>
    <row r="61473" spans="191:191" x14ac:dyDescent="0.2">
      <c r="GI61473" s="422"/>
    </row>
    <row r="61474" spans="191:191" x14ac:dyDescent="0.2">
      <c r="GI61474" s="422"/>
    </row>
    <row r="61475" spans="191:191" x14ac:dyDescent="0.2">
      <c r="GI61475" s="422"/>
    </row>
    <row r="61476" spans="191:191" x14ac:dyDescent="0.2">
      <c r="GI61476" s="422"/>
    </row>
    <row r="61477" spans="191:191" x14ac:dyDescent="0.2">
      <c r="GI61477" s="422"/>
    </row>
    <row r="61478" spans="191:191" x14ac:dyDescent="0.2">
      <c r="GI61478" s="422"/>
    </row>
    <row r="61479" spans="191:191" x14ac:dyDescent="0.2">
      <c r="GI61479" s="422"/>
    </row>
    <row r="61480" spans="191:191" x14ac:dyDescent="0.2">
      <c r="GI61480" s="422"/>
    </row>
    <row r="61481" spans="191:191" x14ac:dyDescent="0.2">
      <c r="GI61481" s="422"/>
    </row>
    <row r="61482" spans="191:191" x14ac:dyDescent="0.2">
      <c r="GI61482" s="422"/>
    </row>
    <row r="61483" spans="191:191" x14ac:dyDescent="0.2">
      <c r="GI61483" s="422"/>
    </row>
    <row r="61484" spans="191:191" x14ac:dyDescent="0.2">
      <c r="GI61484" s="422"/>
    </row>
    <row r="61485" spans="191:191" x14ac:dyDescent="0.2">
      <c r="GI61485" s="422"/>
    </row>
    <row r="61486" spans="191:191" x14ac:dyDescent="0.2">
      <c r="GI61486" s="422"/>
    </row>
    <row r="61487" spans="191:191" x14ac:dyDescent="0.2">
      <c r="GI61487" s="422"/>
    </row>
    <row r="61488" spans="191:191" x14ac:dyDescent="0.2">
      <c r="GI61488" s="422"/>
    </row>
    <row r="61489" spans="191:191" x14ac:dyDescent="0.2">
      <c r="GI61489" s="422"/>
    </row>
    <row r="61490" spans="191:191" x14ac:dyDescent="0.2">
      <c r="GI61490" s="422"/>
    </row>
    <row r="61491" spans="191:191" x14ac:dyDescent="0.2">
      <c r="GI61491" s="422"/>
    </row>
    <row r="61492" spans="191:191" x14ac:dyDescent="0.2">
      <c r="GI61492" s="422"/>
    </row>
    <row r="61493" spans="191:191" x14ac:dyDescent="0.2">
      <c r="GI61493" s="422"/>
    </row>
    <row r="61494" spans="191:191" x14ac:dyDescent="0.2">
      <c r="GI61494" s="422"/>
    </row>
    <row r="61495" spans="191:191" x14ac:dyDescent="0.2">
      <c r="GI61495" s="422"/>
    </row>
    <row r="61496" spans="191:191" x14ac:dyDescent="0.2">
      <c r="GI61496" s="422"/>
    </row>
    <row r="61497" spans="191:191" x14ac:dyDescent="0.2">
      <c r="GI61497" s="422"/>
    </row>
    <row r="61498" spans="191:191" x14ac:dyDescent="0.2">
      <c r="GI61498" s="422"/>
    </row>
    <row r="61499" spans="191:191" x14ac:dyDescent="0.2">
      <c r="GI61499" s="422"/>
    </row>
    <row r="61500" spans="191:191" x14ac:dyDescent="0.2">
      <c r="GI61500" s="422"/>
    </row>
    <row r="61501" spans="191:191" x14ac:dyDescent="0.2">
      <c r="GI61501" s="422"/>
    </row>
    <row r="61502" spans="191:191" x14ac:dyDescent="0.2">
      <c r="GI61502" s="422"/>
    </row>
    <row r="61503" spans="191:191" x14ac:dyDescent="0.2">
      <c r="GI61503" s="422"/>
    </row>
    <row r="61504" spans="191:191" x14ac:dyDescent="0.2">
      <c r="GI61504" s="422"/>
    </row>
    <row r="61505" spans="191:191" x14ac:dyDescent="0.2">
      <c r="GI61505" s="422"/>
    </row>
    <row r="61506" spans="191:191" x14ac:dyDescent="0.2">
      <c r="GI61506" s="422"/>
    </row>
    <row r="61507" spans="191:191" x14ac:dyDescent="0.2">
      <c r="GI61507" s="422"/>
    </row>
    <row r="61508" spans="191:191" x14ac:dyDescent="0.2">
      <c r="GI61508" s="422"/>
    </row>
    <row r="61509" spans="191:191" x14ac:dyDescent="0.2">
      <c r="GI61509" s="422"/>
    </row>
    <row r="61510" spans="191:191" x14ac:dyDescent="0.2">
      <c r="GI61510" s="422"/>
    </row>
    <row r="61511" spans="191:191" x14ac:dyDescent="0.2">
      <c r="GI61511" s="422"/>
    </row>
    <row r="61512" spans="191:191" x14ac:dyDescent="0.2">
      <c r="GI61512" s="422"/>
    </row>
    <row r="61513" spans="191:191" x14ac:dyDescent="0.2">
      <c r="GI61513" s="422"/>
    </row>
    <row r="61514" spans="191:191" x14ac:dyDescent="0.2">
      <c r="GI61514" s="422"/>
    </row>
    <row r="61515" spans="191:191" x14ac:dyDescent="0.2">
      <c r="GI61515" s="422"/>
    </row>
    <row r="61516" spans="191:191" x14ac:dyDescent="0.2">
      <c r="GI61516" s="422"/>
    </row>
    <row r="61517" spans="191:191" x14ac:dyDescent="0.2">
      <c r="GI61517" s="422"/>
    </row>
    <row r="61518" spans="191:191" x14ac:dyDescent="0.2">
      <c r="GI61518" s="422"/>
    </row>
    <row r="61519" spans="191:191" x14ac:dyDescent="0.2">
      <c r="GI61519" s="422"/>
    </row>
    <row r="61520" spans="191:191" x14ac:dyDescent="0.2">
      <c r="GI61520" s="422"/>
    </row>
    <row r="61521" spans="191:191" x14ac:dyDescent="0.2">
      <c r="GI61521" s="422"/>
    </row>
    <row r="61522" spans="191:191" x14ac:dyDescent="0.2">
      <c r="GI61522" s="422"/>
    </row>
    <row r="61523" spans="191:191" x14ac:dyDescent="0.2">
      <c r="GI61523" s="422"/>
    </row>
    <row r="61524" spans="191:191" x14ac:dyDescent="0.2">
      <c r="GI61524" s="422"/>
    </row>
    <row r="61525" spans="191:191" x14ac:dyDescent="0.2">
      <c r="GI61525" s="422"/>
    </row>
    <row r="61526" spans="191:191" x14ac:dyDescent="0.2">
      <c r="GI61526" s="422"/>
    </row>
    <row r="61527" spans="191:191" x14ac:dyDescent="0.2">
      <c r="GI61527" s="422"/>
    </row>
    <row r="61528" spans="191:191" x14ac:dyDescent="0.2">
      <c r="GI61528" s="422"/>
    </row>
    <row r="61529" spans="191:191" x14ac:dyDescent="0.2">
      <c r="GI61529" s="422"/>
    </row>
    <row r="61530" spans="191:191" x14ac:dyDescent="0.2">
      <c r="GI61530" s="422"/>
    </row>
    <row r="61531" spans="191:191" x14ac:dyDescent="0.2">
      <c r="GI61531" s="422"/>
    </row>
    <row r="61532" spans="191:191" x14ac:dyDescent="0.2">
      <c r="GI61532" s="422"/>
    </row>
    <row r="61533" spans="191:191" x14ac:dyDescent="0.2">
      <c r="GI61533" s="422"/>
    </row>
    <row r="61534" spans="191:191" x14ac:dyDescent="0.2">
      <c r="GI61534" s="422"/>
    </row>
    <row r="61535" spans="191:191" x14ac:dyDescent="0.2">
      <c r="GI61535" s="422"/>
    </row>
    <row r="61536" spans="191:191" x14ac:dyDescent="0.2">
      <c r="GI61536" s="422"/>
    </row>
    <row r="61537" spans="191:191" x14ac:dyDescent="0.2">
      <c r="GI61537" s="422"/>
    </row>
    <row r="61538" spans="191:191" x14ac:dyDescent="0.2">
      <c r="GI61538" s="422"/>
    </row>
    <row r="61539" spans="191:191" x14ac:dyDescent="0.2">
      <c r="GI61539" s="422"/>
    </row>
    <row r="61540" spans="191:191" x14ac:dyDescent="0.2">
      <c r="GI61540" s="422"/>
    </row>
    <row r="61541" spans="191:191" x14ac:dyDescent="0.2">
      <c r="GI61541" s="422"/>
    </row>
    <row r="61542" spans="191:191" x14ac:dyDescent="0.2">
      <c r="GI61542" s="422"/>
    </row>
    <row r="61543" spans="191:191" x14ac:dyDescent="0.2">
      <c r="GI61543" s="422"/>
    </row>
    <row r="61544" spans="191:191" x14ac:dyDescent="0.2">
      <c r="GI61544" s="422"/>
    </row>
    <row r="61545" spans="191:191" x14ac:dyDescent="0.2">
      <c r="GI61545" s="422"/>
    </row>
    <row r="61546" spans="191:191" x14ac:dyDescent="0.2">
      <c r="GI61546" s="422"/>
    </row>
    <row r="61547" spans="191:191" x14ac:dyDescent="0.2">
      <c r="GI61547" s="422"/>
    </row>
    <row r="61548" spans="191:191" x14ac:dyDescent="0.2">
      <c r="GI61548" s="422"/>
    </row>
    <row r="61549" spans="191:191" x14ac:dyDescent="0.2">
      <c r="GI61549" s="422"/>
    </row>
    <row r="61550" spans="191:191" x14ac:dyDescent="0.2">
      <c r="GI61550" s="422"/>
    </row>
    <row r="61551" spans="191:191" x14ac:dyDescent="0.2">
      <c r="GI61551" s="422"/>
    </row>
    <row r="61552" spans="191:191" x14ac:dyDescent="0.2">
      <c r="GI61552" s="422"/>
    </row>
    <row r="61553" spans="191:191" x14ac:dyDescent="0.2">
      <c r="GI61553" s="422"/>
    </row>
    <row r="61554" spans="191:191" x14ac:dyDescent="0.2">
      <c r="GI61554" s="422"/>
    </row>
    <row r="61555" spans="191:191" x14ac:dyDescent="0.2">
      <c r="GI61555" s="422"/>
    </row>
    <row r="61556" spans="191:191" x14ac:dyDescent="0.2">
      <c r="GI61556" s="422"/>
    </row>
    <row r="61557" spans="191:191" x14ac:dyDescent="0.2">
      <c r="GI61557" s="422"/>
    </row>
    <row r="61558" spans="191:191" x14ac:dyDescent="0.2">
      <c r="GI61558" s="422"/>
    </row>
    <row r="61559" spans="191:191" x14ac:dyDescent="0.2">
      <c r="GI61559" s="422"/>
    </row>
    <row r="61560" spans="191:191" x14ac:dyDescent="0.2">
      <c r="GI61560" s="422"/>
    </row>
    <row r="61561" spans="191:191" x14ac:dyDescent="0.2">
      <c r="GI61561" s="422"/>
    </row>
    <row r="61562" spans="191:191" x14ac:dyDescent="0.2">
      <c r="GI61562" s="422"/>
    </row>
    <row r="61563" spans="191:191" x14ac:dyDescent="0.2">
      <c r="GI61563" s="422"/>
    </row>
    <row r="61564" spans="191:191" x14ac:dyDescent="0.2">
      <c r="GI61564" s="422"/>
    </row>
    <row r="61565" spans="191:191" x14ac:dyDescent="0.2">
      <c r="GI61565" s="422"/>
    </row>
    <row r="61566" spans="191:191" x14ac:dyDescent="0.2">
      <c r="GI61566" s="422"/>
    </row>
    <row r="61567" spans="191:191" x14ac:dyDescent="0.2">
      <c r="GI61567" s="422"/>
    </row>
    <row r="61568" spans="191:191" x14ac:dyDescent="0.2">
      <c r="GI61568" s="422"/>
    </row>
    <row r="61569" spans="191:191" x14ac:dyDescent="0.2">
      <c r="GI61569" s="422"/>
    </row>
    <row r="61570" spans="191:191" x14ac:dyDescent="0.2">
      <c r="GI61570" s="422"/>
    </row>
    <row r="61571" spans="191:191" x14ac:dyDescent="0.2">
      <c r="GI61571" s="422"/>
    </row>
    <row r="61572" spans="191:191" x14ac:dyDescent="0.2">
      <c r="GI61572" s="422"/>
    </row>
    <row r="61573" spans="191:191" x14ac:dyDescent="0.2">
      <c r="GI61573" s="422"/>
    </row>
    <row r="61574" spans="191:191" x14ac:dyDescent="0.2">
      <c r="GI61574" s="422"/>
    </row>
    <row r="61575" spans="191:191" x14ac:dyDescent="0.2">
      <c r="GI61575" s="422"/>
    </row>
    <row r="61576" spans="191:191" x14ac:dyDescent="0.2">
      <c r="GI61576" s="422"/>
    </row>
    <row r="61577" spans="191:191" x14ac:dyDescent="0.2">
      <c r="GI61577" s="422"/>
    </row>
    <row r="61578" spans="191:191" x14ac:dyDescent="0.2">
      <c r="GI61578" s="422"/>
    </row>
    <row r="61579" spans="191:191" x14ac:dyDescent="0.2">
      <c r="GI61579" s="422"/>
    </row>
    <row r="61580" spans="191:191" x14ac:dyDescent="0.2">
      <c r="GI61580" s="422"/>
    </row>
    <row r="61581" spans="191:191" x14ac:dyDescent="0.2">
      <c r="GI61581" s="422"/>
    </row>
    <row r="61582" spans="191:191" x14ac:dyDescent="0.2">
      <c r="GI61582" s="422"/>
    </row>
    <row r="61583" spans="191:191" x14ac:dyDescent="0.2">
      <c r="GI61583" s="422"/>
    </row>
    <row r="61584" spans="191:191" x14ac:dyDescent="0.2">
      <c r="GI61584" s="422"/>
    </row>
    <row r="61585" spans="191:191" x14ac:dyDescent="0.2">
      <c r="GI61585" s="422"/>
    </row>
    <row r="61586" spans="191:191" x14ac:dyDescent="0.2">
      <c r="GI61586" s="422"/>
    </row>
    <row r="61587" spans="191:191" x14ac:dyDescent="0.2">
      <c r="GI61587" s="422"/>
    </row>
    <row r="61588" spans="191:191" x14ac:dyDescent="0.2">
      <c r="GI61588" s="422"/>
    </row>
    <row r="61589" spans="191:191" x14ac:dyDescent="0.2">
      <c r="GI61589" s="422"/>
    </row>
    <row r="61590" spans="191:191" x14ac:dyDescent="0.2">
      <c r="GI61590" s="422"/>
    </row>
    <row r="61591" spans="191:191" x14ac:dyDescent="0.2">
      <c r="GI61591" s="422"/>
    </row>
    <row r="61592" spans="191:191" x14ac:dyDescent="0.2">
      <c r="GI61592" s="422"/>
    </row>
    <row r="61593" spans="191:191" x14ac:dyDescent="0.2">
      <c r="GI61593" s="422"/>
    </row>
    <row r="61594" spans="191:191" x14ac:dyDescent="0.2">
      <c r="GI61594" s="422"/>
    </row>
    <row r="61595" spans="191:191" x14ac:dyDescent="0.2">
      <c r="GI61595" s="422"/>
    </row>
    <row r="61596" spans="191:191" x14ac:dyDescent="0.2">
      <c r="GI61596" s="422"/>
    </row>
    <row r="61597" spans="191:191" x14ac:dyDescent="0.2">
      <c r="GI61597" s="422"/>
    </row>
    <row r="61598" spans="191:191" x14ac:dyDescent="0.2">
      <c r="GI61598" s="422"/>
    </row>
    <row r="61599" spans="191:191" x14ac:dyDescent="0.2">
      <c r="GI61599" s="422"/>
    </row>
    <row r="61600" spans="191:191" x14ac:dyDescent="0.2">
      <c r="GI61600" s="422"/>
    </row>
    <row r="61601" spans="191:191" x14ac:dyDescent="0.2">
      <c r="GI61601" s="422"/>
    </row>
    <row r="61602" spans="191:191" x14ac:dyDescent="0.2">
      <c r="GI61602" s="422"/>
    </row>
    <row r="61603" spans="191:191" x14ac:dyDescent="0.2">
      <c r="GI61603" s="422"/>
    </row>
    <row r="61604" spans="191:191" x14ac:dyDescent="0.2">
      <c r="GI61604" s="422"/>
    </row>
    <row r="61605" spans="191:191" x14ac:dyDescent="0.2">
      <c r="GI61605" s="422"/>
    </row>
    <row r="61606" spans="191:191" x14ac:dyDescent="0.2">
      <c r="GI61606" s="422"/>
    </row>
    <row r="61607" spans="191:191" x14ac:dyDescent="0.2">
      <c r="GI61607" s="422"/>
    </row>
    <row r="61608" spans="191:191" x14ac:dyDescent="0.2">
      <c r="GI61608" s="422"/>
    </row>
    <row r="61609" spans="191:191" x14ac:dyDescent="0.2">
      <c r="GI61609" s="422"/>
    </row>
    <row r="61610" spans="191:191" x14ac:dyDescent="0.2">
      <c r="GI61610" s="422"/>
    </row>
    <row r="61611" spans="191:191" x14ac:dyDescent="0.2">
      <c r="GI61611" s="422"/>
    </row>
    <row r="61612" spans="191:191" x14ac:dyDescent="0.2">
      <c r="GI61612" s="422"/>
    </row>
    <row r="61613" spans="191:191" x14ac:dyDescent="0.2">
      <c r="GI61613" s="422"/>
    </row>
    <row r="61614" spans="191:191" x14ac:dyDescent="0.2">
      <c r="GI61614" s="422"/>
    </row>
    <row r="61615" spans="191:191" x14ac:dyDescent="0.2">
      <c r="GI61615" s="422"/>
    </row>
    <row r="61616" spans="191:191" x14ac:dyDescent="0.2">
      <c r="GI61616" s="422"/>
    </row>
    <row r="61617" spans="191:191" x14ac:dyDescent="0.2">
      <c r="GI61617" s="422"/>
    </row>
    <row r="61618" spans="191:191" x14ac:dyDescent="0.2">
      <c r="GI61618" s="422"/>
    </row>
    <row r="61619" spans="191:191" x14ac:dyDescent="0.2">
      <c r="GI61619" s="422"/>
    </row>
    <row r="61620" spans="191:191" x14ac:dyDescent="0.2">
      <c r="GI61620" s="422"/>
    </row>
    <row r="61621" spans="191:191" x14ac:dyDescent="0.2">
      <c r="GI61621" s="422"/>
    </row>
    <row r="61622" spans="191:191" x14ac:dyDescent="0.2">
      <c r="GI61622" s="422"/>
    </row>
    <row r="61623" spans="191:191" x14ac:dyDescent="0.2">
      <c r="GI61623" s="422"/>
    </row>
    <row r="61624" spans="191:191" x14ac:dyDescent="0.2">
      <c r="GI61624" s="422"/>
    </row>
    <row r="61625" spans="191:191" x14ac:dyDescent="0.2">
      <c r="GI61625" s="422"/>
    </row>
    <row r="61626" spans="191:191" x14ac:dyDescent="0.2">
      <c r="GI61626" s="422"/>
    </row>
    <row r="61627" spans="191:191" x14ac:dyDescent="0.2">
      <c r="GI61627" s="422"/>
    </row>
    <row r="61628" spans="191:191" x14ac:dyDescent="0.2">
      <c r="GI61628" s="422"/>
    </row>
    <row r="61629" spans="191:191" x14ac:dyDescent="0.2">
      <c r="GI61629" s="422"/>
    </row>
    <row r="61630" spans="191:191" x14ac:dyDescent="0.2">
      <c r="GI61630" s="422"/>
    </row>
    <row r="61631" spans="191:191" x14ac:dyDescent="0.2">
      <c r="GI61631" s="422"/>
    </row>
    <row r="61632" spans="191:191" x14ac:dyDescent="0.2">
      <c r="GI61632" s="422"/>
    </row>
    <row r="61633" spans="191:191" x14ac:dyDescent="0.2">
      <c r="GI61633" s="422"/>
    </row>
    <row r="61634" spans="191:191" x14ac:dyDescent="0.2">
      <c r="GI61634" s="422"/>
    </row>
    <row r="61635" spans="191:191" x14ac:dyDescent="0.2">
      <c r="GI61635" s="422"/>
    </row>
    <row r="61636" spans="191:191" x14ac:dyDescent="0.2">
      <c r="GI61636" s="422"/>
    </row>
    <row r="61637" spans="191:191" x14ac:dyDescent="0.2">
      <c r="GI61637" s="422"/>
    </row>
    <row r="61638" spans="191:191" x14ac:dyDescent="0.2">
      <c r="GI61638" s="422"/>
    </row>
    <row r="61639" spans="191:191" x14ac:dyDescent="0.2">
      <c r="GI61639" s="422"/>
    </row>
    <row r="61640" spans="191:191" x14ac:dyDescent="0.2">
      <c r="GI61640" s="422"/>
    </row>
    <row r="61641" spans="191:191" x14ac:dyDescent="0.2">
      <c r="GI61641" s="422"/>
    </row>
    <row r="61642" spans="191:191" x14ac:dyDescent="0.2">
      <c r="GI61642" s="422"/>
    </row>
    <row r="61643" spans="191:191" x14ac:dyDescent="0.2">
      <c r="GI61643" s="422"/>
    </row>
    <row r="61644" spans="191:191" x14ac:dyDescent="0.2">
      <c r="GI61644" s="422"/>
    </row>
    <row r="61645" spans="191:191" x14ac:dyDescent="0.2">
      <c r="GI61645" s="422"/>
    </row>
    <row r="61646" spans="191:191" x14ac:dyDescent="0.2">
      <c r="GI61646" s="422"/>
    </row>
    <row r="61647" spans="191:191" x14ac:dyDescent="0.2">
      <c r="GI61647" s="422"/>
    </row>
    <row r="61648" spans="191:191" x14ac:dyDescent="0.2">
      <c r="GI61648" s="422"/>
    </row>
    <row r="61649" spans="191:191" x14ac:dyDescent="0.2">
      <c r="GI61649" s="422"/>
    </row>
    <row r="61650" spans="191:191" x14ac:dyDescent="0.2">
      <c r="GI61650" s="422"/>
    </row>
    <row r="61651" spans="191:191" x14ac:dyDescent="0.2">
      <c r="GI61651" s="422"/>
    </row>
    <row r="61652" spans="191:191" x14ac:dyDescent="0.2">
      <c r="GI61652" s="422"/>
    </row>
    <row r="61653" spans="191:191" x14ac:dyDescent="0.2">
      <c r="GI61653" s="422"/>
    </row>
    <row r="61654" spans="191:191" x14ac:dyDescent="0.2">
      <c r="GI61654" s="422"/>
    </row>
    <row r="61655" spans="191:191" x14ac:dyDescent="0.2">
      <c r="GI61655" s="422"/>
    </row>
    <row r="61656" spans="191:191" x14ac:dyDescent="0.2">
      <c r="GI61656" s="422"/>
    </row>
    <row r="61657" spans="191:191" x14ac:dyDescent="0.2">
      <c r="GI61657" s="422"/>
    </row>
    <row r="61658" spans="191:191" x14ac:dyDescent="0.2">
      <c r="GI61658" s="422"/>
    </row>
    <row r="61659" spans="191:191" x14ac:dyDescent="0.2">
      <c r="GI61659" s="422"/>
    </row>
    <row r="61660" spans="191:191" x14ac:dyDescent="0.2">
      <c r="GI61660" s="422"/>
    </row>
    <row r="61661" spans="191:191" x14ac:dyDescent="0.2">
      <c r="GI61661" s="422"/>
    </row>
    <row r="61662" spans="191:191" x14ac:dyDescent="0.2">
      <c r="GI61662" s="422"/>
    </row>
    <row r="61663" spans="191:191" x14ac:dyDescent="0.2">
      <c r="GI61663" s="422"/>
    </row>
    <row r="61664" spans="191:191" x14ac:dyDescent="0.2">
      <c r="GI61664" s="422"/>
    </row>
    <row r="61665" spans="191:191" x14ac:dyDescent="0.2">
      <c r="GI61665" s="422"/>
    </row>
    <row r="61666" spans="191:191" x14ac:dyDescent="0.2">
      <c r="GI61666" s="422"/>
    </row>
    <row r="61667" spans="191:191" x14ac:dyDescent="0.2">
      <c r="GI61667" s="422"/>
    </row>
    <row r="61668" spans="191:191" x14ac:dyDescent="0.2">
      <c r="GI61668" s="422"/>
    </row>
    <row r="61669" spans="191:191" x14ac:dyDescent="0.2">
      <c r="GI61669" s="422"/>
    </row>
    <row r="61670" spans="191:191" x14ac:dyDescent="0.2">
      <c r="GI61670" s="422"/>
    </row>
    <row r="61671" spans="191:191" x14ac:dyDescent="0.2">
      <c r="GI61671" s="422"/>
    </row>
    <row r="61672" spans="191:191" x14ac:dyDescent="0.2">
      <c r="GI61672" s="422"/>
    </row>
    <row r="61673" spans="191:191" x14ac:dyDescent="0.2">
      <c r="GI61673" s="422"/>
    </row>
    <row r="61674" spans="191:191" x14ac:dyDescent="0.2">
      <c r="GI61674" s="422"/>
    </row>
    <row r="61675" spans="191:191" x14ac:dyDescent="0.2">
      <c r="GI61675" s="422"/>
    </row>
    <row r="61676" spans="191:191" x14ac:dyDescent="0.2">
      <c r="GI61676" s="422"/>
    </row>
    <row r="61677" spans="191:191" x14ac:dyDescent="0.2">
      <c r="GI61677" s="422"/>
    </row>
    <row r="61678" spans="191:191" x14ac:dyDescent="0.2">
      <c r="GI61678" s="422"/>
    </row>
    <row r="61679" spans="191:191" x14ac:dyDescent="0.2">
      <c r="GI61679" s="422"/>
    </row>
    <row r="61680" spans="191:191" x14ac:dyDescent="0.2">
      <c r="GI61680" s="422"/>
    </row>
    <row r="61681" spans="191:191" x14ac:dyDescent="0.2">
      <c r="GI61681" s="422"/>
    </row>
    <row r="61682" spans="191:191" x14ac:dyDescent="0.2">
      <c r="GI61682" s="422"/>
    </row>
    <row r="61683" spans="191:191" x14ac:dyDescent="0.2">
      <c r="GI61683" s="422"/>
    </row>
    <row r="61684" spans="191:191" x14ac:dyDescent="0.2">
      <c r="GI61684" s="422"/>
    </row>
    <row r="61685" spans="191:191" x14ac:dyDescent="0.2">
      <c r="GI61685" s="422"/>
    </row>
    <row r="61686" spans="191:191" x14ac:dyDescent="0.2">
      <c r="GI61686" s="422"/>
    </row>
    <row r="61687" spans="191:191" x14ac:dyDescent="0.2">
      <c r="GI61687" s="422"/>
    </row>
    <row r="61688" spans="191:191" x14ac:dyDescent="0.2">
      <c r="GI61688" s="422"/>
    </row>
    <row r="61689" spans="191:191" x14ac:dyDescent="0.2">
      <c r="GI61689" s="422"/>
    </row>
    <row r="61690" spans="191:191" x14ac:dyDescent="0.2">
      <c r="GI61690" s="422"/>
    </row>
    <row r="61691" spans="191:191" x14ac:dyDescent="0.2">
      <c r="GI61691" s="422"/>
    </row>
    <row r="61692" spans="191:191" x14ac:dyDescent="0.2">
      <c r="GI61692" s="422"/>
    </row>
    <row r="61693" spans="191:191" x14ac:dyDescent="0.2">
      <c r="GI61693" s="422"/>
    </row>
    <row r="61694" spans="191:191" x14ac:dyDescent="0.2">
      <c r="GI61694" s="422"/>
    </row>
    <row r="61695" spans="191:191" x14ac:dyDescent="0.2">
      <c r="GI61695" s="422"/>
    </row>
    <row r="61696" spans="191:191" x14ac:dyDescent="0.2">
      <c r="GI61696" s="422"/>
    </row>
    <row r="61697" spans="191:191" x14ac:dyDescent="0.2">
      <c r="GI61697" s="422"/>
    </row>
    <row r="61698" spans="191:191" x14ac:dyDescent="0.2">
      <c r="GI61698" s="422"/>
    </row>
    <row r="61699" spans="191:191" x14ac:dyDescent="0.2">
      <c r="GI61699" s="422"/>
    </row>
    <row r="61700" spans="191:191" x14ac:dyDescent="0.2">
      <c r="GI61700" s="422"/>
    </row>
    <row r="61701" spans="191:191" x14ac:dyDescent="0.2">
      <c r="GI61701" s="422"/>
    </row>
    <row r="61702" spans="191:191" x14ac:dyDescent="0.2">
      <c r="GI61702" s="422"/>
    </row>
    <row r="61703" spans="191:191" x14ac:dyDescent="0.2">
      <c r="GI61703" s="422"/>
    </row>
    <row r="61704" spans="191:191" x14ac:dyDescent="0.2">
      <c r="GI61704" s="422"/>
    </row>
    <row r="61705" spans="191:191" x14ac:dyDescent="0.2">
      <c r="GI61705" s="422"/>
    </row>
    <row r="61706" spans="191:191" x14ac:dyDescent="0.2">
      <c r="GI61706" s="422"/>
    </row>
    <row r="61707" spans="191:191" x14ac:dyDescent="0.2">
      <c r="GI61707" s="422"/>
    </row>
    <row r="61708" spans="191:191" x14ac:dyDescent="0.2">
      <c r="GI61708" s="422"/>
    </row>
    <row r="61709" spans="191:191" x14ac:dyDescent="0.2">
      <c r="GI61709" s="422"/>
    </row>
    <row r="61710" spans="191:191" x14ac:dyDescent="0.2">
      <c r="GI61710" s="422"/>
    </row>
    <row r="61711" spans="191:191" x14ac:dyDescent="0.2">
      <c r="GI61711" s="422"/>
    </row>
    <row r="61712" spans="191:191" x14ac:dyDescent="0.2">
      <c r="GI61712" s="422"/>
    </row>
    <row r="61713" spans="191:191" x14ac:dyDescent="0.2">
      <c r="GI61713" s="422"/>
    </row>
    <row r="61714" spans="191:191" x14ac:dyDescent="0.2">
      <c r="GI61714" s="422"/>
    </row>
    <row r="61715" spans="191:191" x14ac:dyDescent="0.2">
      <c r="GI61715" s="422"/>
    </row>
    <row r="61716" spans="191:191" x14ac:dyDescent="0.2">
      <c r="GI61716" s="422"/>
    </row>
    <row r="61717" spans="191:191" x14ac:dyDescent="0.2">
      <c r="GI61717" s="422"/>
    </row>
    <row r="61718" spans="191:191" x14ac:dyDescent="0.2">
      <c r="GI61718" s="422"/>
    </row>
    <row r="61719" spans="191:191" x14ac:dyDescent="0.2">
      <c r="GI61719" s="422"/>
    </row>
    <row r="61720" spans="191:191" x14ac:dyDescent="0.2">
      <c r="GI61720" s="422"/>
    </row>
    <row r="61721" spans="191:191" x14ac:dyDescent="0.2">
      <c r="GI61721" s="422"/>
    </row>
    <row r="61722" spans="191:191" x14ac:dyDescent="0.2">
      <c r="GI61722" s="422"/>
    </row>
    <row r="61723" spans="191:191" x14ac:dyDescent="0.2">
      <c r="GI61723" s="422"/>
    </row>
    <row r="61724" spans="191:191" x14ac:dyDescent="0.2">
      <c r="GI61724" s="422"/>
    </row>
    <row r="61725" spans="191:191" x14ac:dyDescent="0.2">
      <c r="GI61725" s="422"/>
    </row>
    <row r="61726" spans="191:191" x14ac:dyDescent="0.2">
      <c r="GI61726" s="422"/>
    </row>
    <row r="61727" spans="191:191" x14ac:dyDescent="0.2">
      <c r="GI61727" s="422"/>
    </row>
    <row r="61728" spans="191:191" x14ac:dyDescent="0.2">
      <c r="GI61728" s="422"/>
    </row>
    <row r="61729" spans="191:191" x14ac:dyDescent="0.2">
      <c r="GI61729" s="422"/>
    </row>
    <row r="61730" spans="191:191" x14ac:dyDescent="0.2">
      <c r="GI61730" s="422"/>
    </row>
    <row r="61731" spans="191:191" x14ac:dyDescent="0.2">
      <c r="GI61731" s="422"/>
    </row>
    <row r="61732" spans="191:191" x14ac:dyDescent="0.2">
      <c r="GI61732" s="422"/>
    </row>
    <row r="61733" spans="191:191" x14ac:dyDescent="0.2">
      <c r="GI61733" s="422"/>
    </row>
    <row r="61734" spans="191:191" x14ac:dyDescent="0.2">
      <c r="GI61734" s="422"/>
    </row>
    <row r="61735" spans="191:191" x14ac:dyDescent="0.2">
      <c r="GI61735" s="422"/>
    </row>
    <row r="61736" spans="191:191" x14ac:dyDescent="0.2">
      <c r="GI61736" s="422"/>
    </row>
    <row r="61737" spans="191:191" x14ac:dyDescent="0.2">
      <c r="GI61737" s="422"/>
    </row>
    <row r="61738" spans="191:191" x14ac:dyDescent="0.2">
      <c r="GI61738" s="422"/>
    </row>
    <row r="61739" spans="191:191" x14ac:dyDescent="0.2">
      <c r="GI61739" s="422"/>
    </row>
    <row r="61740" spans="191:191" x14ac:dyDescent="0.2">
      <c r="GI61740" s="422"/>
    </row>
    <row r="61741" spans="191:191" x14ac:dyDescent="0.2">
      <c r="GI61741" s="422"/>
    </row>
    <row r="61742" spans="191:191" x14ac:dyDescent="0.2">
      <c r="GI61742" s="422"/>
    </row>
    <row r="61743" spans="191:191" x14ac:dyDescent="0.2">
      <c r="GI61743" s="422"/>
    </row>
    <row r="61744" spans="191:191" x14ac:dyDescent="0.2">
      <c r="GI61744" s="422"/>
    </row>
    <row r="61745" spans="191:191" x14ac:dyDescent="0.2">
      <c r="GI61745" s="422"/>
    </row>
    <row r="61746" spans="191:191" x14ac:dyDescent="0.2">
      <c r="GI61746" s="422"/>
    </row>
    <row r="61747" spans="191:191" x14ac:dyDescent="0.2">
      <c r="GI61747" s="422"/>
    </row>
    <row r="61748" spans="191:191" x14ac:dyDescent="0.2">
      <c r="GI61748" s="422"/>
    </row>
    <row r="61749" spans="191:191" x14ac:dyDescent="0.2">
      <c r="GI61749" s="422"/>
    </row>
    <row r="61750" spans="191:191" x14ac:dyDescent="0.2">
      <c r="GI61750" s="422"/>
    </row>
    <row r="61751" spans="191:191" x14ac:dyDescent="0.2">
      <c r="GI61751" s="422"/>
    </row>
    <row r="61752" spans="191:191" x14ac:dyDescent="0.2">
      <c r="GI61752" s="422"/>
    </row>
    <row r="61753" spans="191:191" x14ac:dyDescent="0.2">
      <c r="GI61753" s="422"/>
    </row>
    <row r="61754" spans="191:191" x14ac:dyDescent="0.2">
      <c r="GI61754" s="422"/>
    </row>
    <row r="61755" spans="191:191" x14ac:dyDescent="0.2">
      <c r="GI61755" s="422"/>
    </row>
    <row r="61756" spans="191:191" x14ac:dyDescent="0.2">
      <c r="GI61756" s="422"/>
    </row>
    <row r="61757" spans="191:191" x14ac:dyDescent="0.2">
      <c r="GI61757" s="422"/>
    </row>
    <row r="61758" spans="191:191" x14ac:dyDescent="0.2">
      <c r="GI61758" s="422"/>
    </row>
    <row r="61759" spans="191:191" x14ac:dyDescent="0.2">
      <c r="GI61759" s="422"/>
    </row>
    <row r="61760" spans="191:191" x14ac:dyDescent="0.2">
      <c r="GI61760" s="422"/>
    </row>
    <row r="61761" spans="191:191" x14ac:dyDescent="0.2">
      <c r="GI61761" s="422"/>
    </row>
    <row r="61762" spans="191:191" x14ac:dyDescent="0.2">
      <c r="GI61762" s="422"/>
    </row>
    <row r="61763" spans="191:191" x14ac:dyDescent="0.2">
      <c r="GI61763" s="422"/>
    </row>
    <row r="61764" spans="191:191" x14ac:dyDescent="0.2">
      <c r="GI61764" s="422"/>
    </row>
    <row r="61765" spans="191:191" x14ac:dyDescent="0.2">
      <c r="GI61765" s="422"/>
    </row>
    <row r="61766" spans="191:191" x14ac:dyDescent="0.2">
      <c r="GI61766" s="422"/>
    </row>
    <row r="61767" spans="191:191" x14ac:dyDescent="0.2">
      <c r="GI61767" s="422"/>
    </row>
    <row r="61768" spans="191:191" x14ac:dyDescent="0.2">
      <c r="GI61768" s="422"/>
    </row>
    <row r="61769" spans="191:191" x14ac:dyDescent="0.2">
      <c r="GI61769" s="422"/>
    </row>
    <row r="61770" spans="191:191" x14ac:dyDescent="0.2">
      <c r="GI61770" s="422"/>
    </row>
    <row r="61771" spans="191:191" x14ac:dyDescent="0.2">
      <c r="GI61771" s="422"/>
    </row>
    <row r="61772" spans="191:191" x14ac:dyDescent="0.2">
      <c r="GI61772" s="422"/>
    </row>
    <row r="61773" spans="191:191" x14ac:dyDescent="0.2">
      <c r="GI61773" s="422"/>
    </row>
    <row r="61774" spans="191:191" x14ac:dyDescent="0.2">
      <c r="GI61774" s="422"/>
    </row>
    <row r="61775" spans="191:191" x14ac:dyDescent="0.2">
      <c r="GI61775" s="422"/>
    </row>
    <row r="61776" spans="191:191" x14ac:dyDescent="0.2">
      <c r="GI61776" s="422"/>
    </row>
    <row r="61777" spans="191:191" x14ac:dyDescent="0.2">
      <c r="GI61777" s="422"/>
    </row>
    <row r="61778" spans="191:191" x14ac:dyDescent="0.2">
      <c r="GI61778" s="422"/>
    </row>
    <row r="61779" spans="191:191" x14ac:dyDescent="0.2">
      <c r="GI61779" s="422"/>
    </row>
    <row r="61780" spans="191:191" x14ac:dyDescent="0.2">
      <c r="GI61780" s="422"/>
    </row>
    <row r="61781" spans="191:191" x14ac:dyDescent="0.2">
      <c r="GI61781" s="422"/>
    </row>
    <row r="61782" spans="191:191" x14ac:dyDescent="0.2">
      <c r="GI61782" s="422"/>
    </row>
    <row r="61783" spans="191:191" x14ac:dyDescent="0.2">
      <c r="GI61783" s="422"/>
    </row>
    <row r="61784" spans="191:191" x14ac:dyDescent="0.2">
      <c r="GI61784" s="422"/>
    </row>
    <row r="61785" spans="191:191" x14ac:dyDescent="0.2">
      <c r="GI61785" s="422"/>
    </row>
    <row r="61786" spans="191:191" x14ac:dyDescent="0.2">
      <c r="GI61786" s="422"/>
    </row>
    <row r="61787" spans="191:191" x14ac:dyDescent="0.2">
      <c r="GI61787" s="422"/>
    </row>
    <row r="61788" spans="191:191" x14ac:dyDescent="0.2">
      <c r="GI61788" s="422"/>
    </row>
    <row r="61789" spans="191:191" x14ac:dyDescent="0.2">
      <c r="GI61789" s="422"/>
    </row>
    <row r="61790" spans="191:191" x14ac:dyDescent="0.2">
      <c r="GI61790" s="422"/>
    </row>
    <row r="61791" spans="191:191" x14ac:dyDescent="0.2">
      <c r="GI61791" s="422"/>
    </row>
    <row r="61792" spans="191:191" x14ac:dyDescent="0.2">
      <c r="GI61792" s="422"/>
    </row>
    <row r="61793" spans="191:191" x14ac:dyDescent="0.2">
      <c r="GI61793" s="422"/>
    </row>
    <row r="61794" spans="191:191" x14ac:dyDescent="0.2">
      <c r="GI61794" s="422"/>
    </row>
    <row r="61795" spans="191:191" x14ac:dyDescent="0.2">
      <c r="GI61795" s="422"/>
    </row>
    <row r="61796" spans="191:191" x14ac:dyDescent="0.2">
      <c r="GI61796" s="422"/>
    </row>
    <row r="61797" spans="191:191" x14ac:dyDescent="0.2">
      <c r="GI61797" s="422"/>
    </row>
    <row r="61798" spans="191:191" x14ac:dyDescent="0.2">
      <c r="GI61798" s="422"/>
    </row>
    <row r="61799" spans="191:191" x14ac:dyDescent="0.2">
      <c r="GI61799" s="422"/>
    </row>
    <row r="61800" spans="191:191" x14ac:dyDescent="0.2">
      <c r="GI61800" s="422"/>
    </row>
    <row r="61801" spans="191:191" x14ac:dyDescent="0.2">
      <c r="GI61801" s="422"/>
    </row>
    <row r="61802" spans="191:191" x14ac:dyDescent="0.2">
      <c r="GI61802" s="422"/>
    </row>
    <row r="61803" spans="191:191" x14ac:dyDescent="0.2">
      <c r="GI61803" s="422"/>
    </row>
    <row r="61804" spans="191:191" x14ac:dyDescent="0.2">
      <c r="GI61804" s="422"/>
    </row>
    <row r="61805" spans="191:191" x14ac:dyDescent="0.2">
      <c r="GI61805" s="422"/>
    </row>
    <row r="61806" spans="191:191" x14ac:dyDescent="0.2">
      <c r="GI61806" s="422"/>
    </row>
    <row r="61807" spans="191:191" x14ac:dyDescent="0.2">
      <c r="GI61807" s="422"/>
    </row>
    <row r="61808" spans="191:191" x14ac:dyDescent="0.2">
      <c r="GI61808" s="422"/>
    </row>
    <row r="61809" spans="191:191" x14ac:dyDescent="0.2">
      <c r="GI61809" s="422"/>
    </row>
    <row r="61810" spans="191:191" x14ac:dyDescent="0.2">
      <c r="GI61810" s="422"/>
    </row>
    <row r="61811" spans="191:191" x14ac:dyDescent="0.2">
      <c r="GI61811" s="422"/>
    </row>
    <row r="61812" spans="191:191" x14ac:dyDescent="0.2">
      <c r="GI61812" s="422"/>
    </row>
    <row r="61813" spans="191:191" x14ac:dyDescent="0.2">
      <c r="GI61813" s="422"/>
    </row>
    <row r="61814" spans="191:191" x14ac:dyDescent="0.2">
      <c r="GI61814" s="422"/>
    </row>
    <row r="61815" spans="191:191" x14ac:dyDescent="0.2">
      <c r="GI61815" s="422"/>
    </row>
    <row r="61816" spans="191:191" x14ac:dyDescent="0.2">
      <c r="GI61816" s="422"/>
    </row>
    <row r="61817" spans="191:191" x14ac:dyDescent="0.2">
      <c r="GI61817" s="422"/>
    </row>
    <row r="61818" spans="191:191" x14ac:dyDescent="0.2">
      <c r="GI61818" s="422"/>
    </row>
    <row r="61819" spans="191:191" x14ac:dyDescent="0.2">
      <c r="GI61819" s="422"/>
    </row>
    <row r="61820" spans="191:191" x14ac:dyDescent="0.2">
      <c r="GI61820" s="422"/>
    </row>
    <row r="61821" spans="191:191" x14ac:dyDescent="0.2">
      <c r="GI61821" s="422"/>
    </row>
    <row r="61822" spans="191:191" x14ac:dyDescent="0.2">
      <c r="GI61822" s="422"/>
    </row>
    <row r="61823" spans="191:191" x14ac:dyDescent="0.2">
      <c r="GI61823" s="422"/>
    </row>
    <row r="61824" spans="191:191" x14ac:dyDescent="0.2">
      <c r="GI61824" s="422"/>
    </row>
    <row r="61825" spans="191:191" x14ac:dyDescent="0.2">
      <c r="GI61825" s="422"/>
    </row>
    <row r="61826" spans="191:191" x14ac:dyDescent="0.2">
      <c r="GI61826" s="422"/>
    </row>
    <row r="61827" spans="191:191" x14ac:dyDescent="0.2">
      <c r="GI61827" s="422"/>
    </row>
    <row r="61828" spans="191:191" x14ac:dyDescent="0.2">
      <c r="GI61828" s="422"/>
    </row>
    <row r="61829" spans="191:191" x14ac:dyDescent="0.2">
      <c r="GI61829" s="422"/>
    </row>
    <row r="61830" spans="191:191" x14ac:dyDescent="0.2">
      <c r="GI61830" s="422"/>
    </row>
    <row r="61831" spans="191:191" x14ac:dyDescent="0.2">
      <c r="GI61831" s="422"/>
    </row>
    <row r="61832" spans="191:191" x14ac:dyDescent="0.2">
      <c r="GI61832" s="422"/>
    </row>
    <row r="61833" spans="191:191" x14ac:dyDescent="0.2">
      <c r="GI61833" s="422"/>
    </row>
    <row r="61834" spans="191:191" x14ac:dyDescent="0.2">
      <c r="GI61834" s="422"/>
    </row>
    <row r="61835" spans="191:191" x14ac:dyDescent="0.2">
      <c r="GI61835" s="422"/>
    </row>
    <row r="61836" spans="191:191" x14ac:dyDescent="0.2">
      <c r="GI61836" s="422"/>
    </row>
    <row r="61837" spans="191:191" x14ac:dyDescent="0.2">
      <c r="GI61837" s="422"/>
    </row>
    <row r="61838" spans="191:191" x14ac:dyDescent="0.2">
      <c r="GI61838" s="422"/>
    </row>
    <row r="61839" spans="191:191" x14ac:dyDescent="0.2">
      <c r="GI61839" s="422"/>
    </row>
    <row r="61840" spans="191:191" x14ac:dyDescent="0.2">
      <c r="GI61840" s="422"/>
    </row>
    <row r="61841" spans="191:191" x14ac:dyDescent="0.2">
      <c r="GI61841" s="422"/>
    </row>
    <row r="61842" spans="191:191" x14ac:dyDescent="0.2">
      <c r="GI61842" s="422"/>
    </row>
    <row r="61843" spans="191:191" x14ac:dyDescent="0.2">
      <c r="GI61843" s="422"/>
    </row>
    <row r="61844" spans="191:191" x14ac:dyDescent="0.2">
      <c r="GI61844" s="422"/>
    </row>
    <row r="61845" spans="191:191" x14ac:dyDescent="0.2">
      <c r="GI61845" s="422"/>
    </row>
    <row r="61846" spans="191:191" x14ac:dyDescent="0.2">
      <c r="GI61846" s="422"/>
    </row>
    <row r="61847" spans="191:191" x14ac:dyDescent="0.2">
      <c r="GI61847" s="422"/>
    </row>
    <row r="61848" spans="191:191" x14ac:dyDescent="0.2">
      <c r="GI61848" s="422"/>
    </row>
    <row r="61849" spans="191:191" x14ac:dyDescent="0.2">
      <c r="GI61849" s="422"/>
    </row>
    <row r="61850" spans="191:191" x14ac:dyDescent="0.2">
      <c r="GI61850" s="422"/>
    </row>
    <row r="61851" spans="191:191" x14ac:dyDescent="0.2">
      <c r="GI61851" s="422"/>
    </row>
    <row r="61852" spans="191:191" x14ac:dyDescent="0.2">
      <c r="GI61852" s="422"/>
    </row>
    <row r="61853" spans="191:191" x14ac:dyDescent="0.2">
      <c r="GI61853" s="422"/>
    </row>
    <row r="61854" spans="191:191" x14ac:dyDescent="0.2">
      <c r="GI61854" s="422"/>
    </row>
    <row r="61855" spans="191:191" x14ac:dyDescent="0.2">
      <c r="GI61855" s="422"/>
    </row>
    <row r="61856" spans="191:191" x14ac:dyDescent="0.2">
      <c r="GI61856" s="422"/>
    </row>
    <row r="61857" spans="191:191" x14ac:dyDescent="0.2">
      <c r="GI61857" s="422"/>
    </row>
    <row r="61858" spans="191:191" x14ac:dyDescent="0.2">
      <c r="GI61858" s="422"/>
    </row>
    <row r="61859" spans="191:191" x14ac:dyDescent="0.2">
      <c r="GI61859" s="422"/>
    </row>
    <row r="61860" spans="191:191" x14ac:dyDescent="0.2">
      <c r="GI61860" s="422"/>
    </row>
    <row r="61861" spans="191:191" x14ac:dyDescent="0.2">
      <c r="GI61861" s="422"/>
    </row>
    <row r="61862" spans="191:191" x14ac:dyDescent="0.2">
      <c r="GI61862" s="422"/>
    </row>
    <row r="61863" spans="191:191" x14ac:dyDescent="0.2">
      <c r="GI61863" s="422"/>
    </row>
    <row r="61864" spans="191:191" x14ac:dyDescent="0.2">
      <c r="GI61864" s="422"/>
    </row>
    <row r="61865" spans="191:191" x14ac:dyDescent="0.2">
      <c r="GI61865" s="422"/>
    </row>
    <row r="61866" spans="191:191" x14ac:dyDescent="0.2">
      <c r="GI61866" s="422"/>
    </row>
    <row r="61867" spans="191:191" x14ac:dyDescent="0.2">
      <c r="GI61867" s="422"/>
    </row>
    <row r="61868" spans="191:191" x14ac:dyDescent="0.2">
      <c r="GI61868" s="422"/>
    </row>
    <row r="61869" spans="191:191" x14ac:dyDescent="0.2">
      <c r="GI61869" s="422"/>
    </row>
    <row r="61870" spans="191:191" x14ac:dyDescent="0.2">
      <c r="GI61870" s="422"/>
    </row>
    <row r="61871" spans="191:191" x14ac:dyDescent="0.2">
      <c r="GI61871" s="422"/>
    </row>
    <row r="61872" spans="191:191" x14ac:dyDescent="0.2">
      <c r="GI61872" s="422"/>
    </row>
    <row r="61873" spans="191:191" x14ac:dyDescent="0.2">
      <c r="GI61873" s="422"/>
    </row>
    <row r="61874" spans="191:191" x14ac:dyDescent="0.2">
      <c r="GI61874" s="422"/>
    </row>
    <row r="61875" spans="191:191" x14ac:dyDescent="0.2">
      <c r="GI61875" s="422"/>
    </row>
    <row r="61876" spans="191:191" x14ac:dyDescent="0.2">
      <c r="GI61876" s="422"/>
    </row>
    <row r="61877" spans="191:191" x14ac:dyDescent="0.2">
      <c r="GI61877" s="422"/>
    </row>
    <row r="61878" spans="191:191" x14ac:dyDescent="0.2">
      <c r="GI61878" s="422"/>
    </row>
    <row r="61879" spans="191:191" x14ac:dyDescent="0.2">
      <c r="GI61879" s="422"/>
    </row>
    <row r="61880" spans="191:191" x14ac:dyDescent="0.2">
      <c r="GI61880" s="422"/>
    </row>
    <row r="61881" spans="191:191" x14ac:dyDescent="0.2">
      <c r="GI61881" s="422"/>
    </row>
    <row r="61882" spans="191:191" x14ac:dyDescent="0.2">
      <c r="GI61882" s="422"/>
    </row>
    <row r="61883" spans="191:191" x14ac:dyDescent="0.2">
      <c r="GI61883" s="422"/>
    </row>
    <row r="61884" spans="191:191" x14ac:dyDescent="0.2">
      <c r="GI61884" s="422"/>
    </row>
    <row r="61885" spans="191:191" x14ac:dyDescent="0.2">
      <c r="GI61885" s="422"/>
    </row>
    <row r="61886" spans="191:191" x14ac:dyDescent="0.2">
      <c r="GI61886" s="422"/>
    </row>
    <row r="61887" spans="191:191" x14ac:dyDescent="0.2">
      <c r="GI61887" s="422"/>
    </row>
    <row r="61888" spans="191:191" x14ac:dyDescent="0.2">
      <c r="GI61888" s="422"/>
    </row>
    <row r="61889" spans="191:191" x14ac:dyDescent="0.2">
      <c r="GI61889" s="422"/>
    </row>
    <row r="61890" spans="191:191" x14ac:dyDescent="0.2">
      <c r="GI61890" s="422"/>
    </row>
    <row r="61891" spans="191:191" x14ac:dyDescent="0.2">
      <c r="GI61891" s="422"/>
    </row>
    <row r="61892" spans="191:191" x14ac:dyDescent="0.2">
      <c r="GI61892" s="422"/>
    </row>
    <row r="61893" spans="191:191" x14ac:dyDescent="0.2">
      <c r="GI61893" s="422"/>
    </row>
    <row r="61894" spans="191:191" x14ac:dyDescent="0.2">
      <c r="GI61894" s="422"/>
    </row>
    <row r="61895" spans="191:191" x14ac:dyDescent="0.2">
      <c r="GI61895" s="422"/>
    </row>
    <row r="61896" spans="191:191" x14ac:dyDescent="0.2">
      <c r="GI61896" s="422"/>
    </row>
    <row r="61897" spans="191:191" x14ac:dyDescent="0.2">
      <c r="GI61897" s="422"/>
    </row>
    <row r="61898" spans="191:191" x14ac:dyDescent="0.2">
      <c r="GI61898" s="422"/>
    </row>
    <row r="61899" spans="191:191" x14ac:dyDescent="0.2">
      <c r="GI61899" s="422"/>
    </row>
    <row r="61900" spans="191:191" x14ac:dyDescent="0.2">
      <c r="GI61900" s="422"/>
    </row>
    <row r="61901" spans="191:191" x14ac:dyDescent="0.2">
      <c r="GI61901" s="422"/>
    </row>
    <row r="61902" spans="191:191" x14ac:dyDescent="0.2">
      <c r="GI61902" s="422"/>
    </row>
    <row r="61903" spans="191:191" x14ac:dyDescent="0.2">
      <c r="GI61903" s="422"/>
    </row>
    <row r="61904" spans="191:191" x14ac:dyDescent="0.2">
      <c r="GI61904" s="422"/>
    </row>
    <row r="61905" spans="191:191" x14ac:dyDescent="0.2">
      <c r="GI61905" s="422"/>
    </row>
    <row r="61906" spans="191:191" x14ac:dyDescent="0.2">
      <c r="GI61906" s="422"/>
    </row>
    <row r="61907" spans="191:191" x14ac:dyDescent="0.2">
      <c r="GI61907" s="422"/>
    </row>
    <row r="61908" spans="191:191" x14ac:dyDescent="0.2">
      <c r="GI61908" s="422"/>
    </row>
    <row r="61909" spans="191:191" x14ac:dyDescent="0.2">
      <c r="GI61909" s="422"/>
    </row>
    <row r="61910" spans="191:191" x14ac:dyDescent="0.2">
      <c r="GI61910" s="422"/>
    </row>
    <row r="61911" spans="191:191" x14ac:dyDescent="0.2">
      <c r="GI61911" s="422"/>
    </row>
    <row r="61912" spans="191:191" x14ac:dyDescent="0.2">
      <c r="GI61912" s="422"/>
    </row>
    <row r="61913" spans="191:191" x14ac:dyDescent="0.2">
      <c r="GI61913" s="422"/>
    </row>
    <row r="61914" spans="191:191" x14ac:dyDescent="0.2">
      <c r="GI61914" s="422"/>
    </row>
    <row r="61915" spans="191:191" x14ac:dyDescent="0.2">
      <c r="GI61915" s="422"/>
    </row>
    <row r="61916" spans="191:191" x14ac:dyDescent="0.2">
      <c r="GI61916" s="422"/>
    </row>
    <row r="61917" spans="191:191" x14ac:dyDescent="0.2">
      <c r="GI61917" s="422"/>
    </row>
    <row r="61918" spans="191:191" x14ac:dyDescent="0.2">
      <c r="GI61918" s="422"/>
    </row>
    <row r="61919" spans="191:191" x14ac:dyDescent="0.2">
      <c r="GI61919" s="422"/>
    </row>
    <row r="61920" spans="191:191" x14ac:dyDescent="0.2">
      <c r="GI61920" s="422"/>
    </row>
    <row r="61921" spans="191:191" x14ac:dyDescent="0.2">
      <c r="GI61921" s="422"/>
    </row>
    <row r="61922" spans="191:191" x14ac:dyDescent="0.2">
      <c r="GI61922" s="422"/>
    </row>
    <row r="61923" spans="191:191" x14ac:dyDescent="0.2">
      <c r="GI61923" s="422"/>
    </row>
    <row r="61924" spans="191:191" x14ac:dyDescent="0.2">
      <c r="GI61924" s="422"/>
    </row>
    <row r="61925" spans="191:191" x14ac:dyDescent="0.2">
      <c r="GI61925" s="422"/>
    </row>
    <row r="61926" spans="191:191" x14ac:dyDescent="0.2">
      <c r="GI61926" s="422"/>
    </row>
    <row r="61927" spans="191:191" x14ac:dyDescent="0.2">
      <c r="GI61927" s="422"/>
    </row>
    <row r="61928" spans="191:191" x14ac:dyDescent="0.2">
      <c r="GI61928" s="422"/>
    </row>
    <row r="61929" spans="191:191" x14ac:dyDescent="0.2">
      <c r="GI61929" s="422"/>
    </row>
    <row r="61930" spans="191:191" x14ac:dyDescent="0.2">
      <c r="GI61930" s="422"/>
    </row>
    <row r="61931" spans="191:191" x14ac:dyDescent="0.2">
      <c r="GI61931" s="422"/>
    </row>
    <row r="61932" spans="191:191" x14ac:dyDescent="0.2">
      <c r="GI61932" s="422"/>
    </row>
    <row r="61933" spans="191:191" x14ac:dyDescent="0.2">
      <c r="GI61933" s="422"/>
    </row>
    <row r="61934" spans="191:191" x14ac:dyDescent="0.2">
      <c r="GI61934" s="422"/>
    </row>
    <row r="61935" spans="191:191" x14ac:dyDescent="0.2">
      <c r="GI61935" s="422"/>
    </row>
    <row r="61936" spans="191:191" x14ac:dyDescent="0.2">
      <c r="GI61936" s="422"/>
    </row>
    <row r="61937" spans="191:191" x14ac:dyDescent="0.2">
      <c r="GI61937" s="422"/>
    </row>
    <row r="61938" spans="191:191" x14ac:dyDescent="0.2">
      <c r="GI61938" s="422"/>
    </row>
    <row r="61939" spans="191:191" x14ac:dyDescent="0.2">
      <c r="GI61939" s="422"/>
    </row>
    <row r="61940" spans="191:191" x14ac:dyDescent="0.2">
      <c r="GI61940" s="422"/>
    </row>
    <row r="61941" spans="191:191" x14ac:dyDescent="0.2">
      <c r="GI61941" s="422"/>
    </row>
    <row r="61942" spans="191:191" x14ac:dyDescent="0.2">
      <c r="GI61942" s="422"/>
    </row>
    <row r="61943" spans="191:191" x14ac:dyDescent="0.2">
      <c r="GI61943" s="422"/>
    </row>
    <row r="61944" spans="191:191" x14ac:dyDescent="0.2">
      <c r="GI61944" s="422"/>
    </row>
    <row r="61945" spans="191:191" x14ac:dyDescent="0.2">
      <c r="GI61945" s="422"/>
    </row>
    <row r="61946" spans="191:191" x14ac:dyDescent="0.2">
      <c r="GI61946" s="422"/>
    </row>
    <row r="61947" spans="191:191" x14ac:dyDescent="0.2">
      <c r="GI61947" s="422"/>
    </row>
    <row r="61948" spans="191:191" x14ac:dyDescent="0.2">
      <c r="GI61948" s="422"/>
    </row>
    <row r="61949" spans="191:191" x14ac:dyDescent="0.2">
      <c r="GI61949" s="422"/>
    </row>
    <row r="61950" spans="191:191" x14ac:dyDescent="0.2">
      <c r="GI61950" s="422"/>
    </row>
    <row r="61951" spans="191:191" x14ac:dyDescent="0.2">
      <c r="GI61951" s="422"/>
    </row>
    <row r="61952" spans="191:191" x14ac:dyDescent="0.2">
      <c r="GI61952" s="422"/>
    </row>
    <row r="61953" spans="191:191" x14ac:dyDescent="0.2">
      <c r="GI61953" s="422"/>
    </row>
    <row r="61954" spans="191:191" x14ac:dyDescent="0.2">
      <c r="GI61954" s="422"/>
    </row>
    <row r="61955" spans="191:191" x14ac:dyDescent="0.2">
      <c r="GI61955" s="422"/>
    </row>
    <row r="61956" spans="191:191" x14ac:dyDescent="0.2">
      <c r="GI61956" s="422"/>
    </row>
    <row r="61957" spans="191:191" x14ac:dyDescent="0.2">
      <c r="GI61957" s="422"/>
    </row>
    <row r="61958" spans="191:191" x14ac:dyDescent="0.2">
      <c r="GI61958" s="422"/>
    </row>
    <row r="61959" spans="191:191" x14ac:dyDescent="0.2">
      <c r="GI61959" s="422"/>
    </row>
    <row r="61960" spans="191:191" x14ac:dyDescent="0.2">
      <c r="GI61960" s="422"/>
    </row>
    <row r="61961" spans="191:191" x14ac:dyDescent="0.2">
      <c r="GI61961" s="422"/>
    </row>
    <row r="61962" spans="191:191" x14ac:dyDescent="0.2">
      <c r="GI61962" s="422"/>
    </row>
    <row r="61963" spans="191:191" x14ac:dyDescent="0.2">
      <c r="GI61963" s="422"/>
    </row>
    <row r="61964" spans="191:191" x14ac:dyDescent="0.2">
      <c r="GI61964" s="422"/>
    </row>
    <row r="61965" spans="191:191" x14ac:dyDescent="0.2">
      <c r="GI61965" s="422"/>
    </row>
    <row r="61966" spans="191:191" x14ac:dyDescent="0.2">
      <c r="GI61966" s="422"/>
    </row>
    <row r="61967" spans="191:191" x14ac:dyDescent="0.2">
      <c r="GI61967" s="422"/>
    </row>
    <row r="61968" spans="191:191" x14ac:dyDescent="0.2">
      <c r="GI61968" s="422"/>
    </row>
    <row r="61969" spans="191:191" x14ac:dyDescent="0.2">
      <c r="GI61969" s="422"/>
    </row>
    <row r="61970" spans="191:191" x14ac:dyDescent="0.2">
      <c r="GI61970" s="422"/>
    </row>
    <row r="61971" spans="191:191" x14ac:dyDescent="0.2">
      <c r="GI61971" s="422"/>
    </row>
    <row r="61972" spans="191:191" x14ac:dyDescent="0.2">
      <c r="GI61972" s="422"/>
    </row>
    <row r="61973" spans="191:191" x14ac:dyDescent="0.2">
      <c r="GI61973" s="422"/>
    </row>
    <row r="61974" spans="191:191" x14ac:dyDescent="0.2">
      <c r="GI61974" s="422"/>
    </row>
    <row r="61975" spans="191:191" x14ac:dyDescent="0.2">
      <c r="GI61975" s="422"/>
    </row>
    <row r="61976" spans="191:191" x14ac:dyDescent="0.2">
      <c r="GI61976" s="422"/>
    </row>
    <row r="61977" spans="191:191" x14ac:dyDescent="0.2">
      <c r="GI61977" s="422"/>
    </row>
    <row r="61978" spans="191:191" x14ac:dyDescent="0.2">
      <c r="GI61978" s="422"/>
    </row>
    <row r="61979" spans="191:191" x14ac:dyDescent="0.2">
      <c r="GI61979" s="422"/>
    </row>
    <row r="61980" spans="191:191" x14ac:dyDescent="0.2">
      <c r="GI61980" s="422"/>
    </row>
    <row r="61981" spans="191:191" x14ac:dyDescent="0.2">
      <c r="GI61981" s="422"/>
    </row>
    <row r="61982" spans="191:191" x14ac:dyDescent="0.2">
      <c r="GI61982" s="422"/>
    </row>
    <row r="61983" spans="191:191" x14ac:dyDescent="0.2">
      <c r="GI61983" s="422"/>
    </row>
    <row r="61984" spans="191:191" x14ac:dyDescent="0.2">
      <c r="GI61984" s="422"/>
    </row>
    <row r="61985" spans="191:191" x14ac:dyDescent="0.2">
      <c r="GI61985" s="422"/>
    </row>
    <row r="61986" spans="191:191" x14ac:dyDescent="0.2">
      <c r="GI61986" s="422"/>
    </row>
    <row r="61987" spans="191:191" x14ac:dyDescent="0.2">
      <c r="GI61987" s="422"/>
    </row>
    <row r="61988" spans="191:191" x14ac:dyDescent="0.2">
      <c r="GI61988" s="422"/>
    </row>
    <row r="61989" spans="191:191" x14ac:dyDescent="0.2">
      <c r="GI61989" s="422"/>
    </row>
    <row r="61990" spans="191:191" x14ac:dyDescent="0.2">
      <c r="GI61990" s="422"/>
    </row>
    <row r="61991" spans="191:191" x14ac:dyDescent="0.2">
      <c r="GI61991" s="422"/>
    </row>
    <row r="61992" spans="191:191" x14ac:dyDescent="0.2">
      <c r="GI61992" s="422"/>
    </row>
    <row r="61993" spans="191:191" x14ac:dyDescent="0.2">
      <c r="GI61993" s="422"/>
    </row>
    <row r="61994" spans="191:191" x14ac:dyDescent="0.2">
      <c r="GI61994" s="422"/>
    </row>
    <row r="61995" spans="191:191" x14ac:dyDescent="0.2">
      <c r="GI61995" s="422"/>
    </row>
    <row r="61996" spans="191:191" x14ac:dyDescent="0.2">
      <c r="GI61996" s="422"/>
    </row>
    <row r="61997" spans="191:191" x14ac:dyDescent="0.2">
      <c r="GI61997" s="422"/>
    </row>
    <row r="61998" spans="191:191" x14ac:dyDescent="0.2">
      <c r="GI61998" s="422"/>
    </row>
    <row r="61999" spans="191:191" x14ac:dyDescent="0.2">
      <c r="GI61999" s="422"/>
    </row>
    <row r="62000" spans="191:191" x14ac:dyDescent="0.2">
      <c r="GI62000" s="422"/>
    </row>
    <row r="62001" spans="191:191" x14ac:dyDescent="0.2">
      <c r="GI62001" s="422"/>
    </row>
    <row r="62002" spans="191:191" x14ac:dyDescent="0.2">
      <c r="GI62002" s="422"/>
    </row>
    <row r="62003" spans="191:191" x14ac:dyDescent="0.2">
      <c r="GI62003" s="422"/>
    </row>
    <row r="62004" spans="191:191" x14ac:dyDescent="0.2">
      <c r="GI62004" s="422"/>
    </row>
    <row r="62005" spans="191:191" x14ac:dyDescent="0.2">
      <c r="GI62005" s="422"/>
    </row>
    <row r="62006" spans="191:191" x14ac:dyDescent="0.2">
      <c r="GI62006" s="422"/>
    </row>
    <row r="62007" spans="191:191" x14ac:dyDescent="0.2">
      <c r="GI62007" s="422"/>
    </row>
    <row r="62008" spans="191:191" x14ac:dyDescent="0.2">
      <c r="GI62008" s="422"/>
    </row>
    <row r="62009" spans="191:191" x14ac:dyDescent="0.2">
      <c r="GI62009" s="422"/>
    </row>
    <row r="62010" spans="191:191" x14ac:dyDescent="0.2">
      <c r="GI62010" s="422"/>
    </row>
    <row r="62011" spans="191:191" x14ac:dyDescent="0.2">
      <c r="GI62011" s="422"/>
    </row>
    <row r="62012" spans="191:191" x14ac:dyDescent="0.2">
      <c r="GI62012" s="422"/>
    </row>
    <row r="62013" spans="191:191" x14ac:dyDescent="0.2">
      <c r="GI62013" s="422"/>
    </row>
    <row r="62014" spans="191:191" x14ac:dyDescent="0.2">
      <c r="GI62014" s="422"/>
    </row>
    <row r="62015" spans="191:191" x14ac:dyDescent="0.2">
      <c r="GI62015" s="422"/>
    </row>
    <row r="62016" spans="191:191" x14ac:dyDescent="0.2">
      <c r="GI62016" s="422"/>
    </row>
    <row r="62017" spans="191:191" x14ac:dyDescent="0.2">
      <c r="GI62017" s="422"/>
    </row>
    <row r="62018" spans="191:191" x14ac:dyDescent="0.2">
      <c r="GI62018" s="422"/>
    </row>
    <row r="62019" spans="191:191" x14ac:dyDescent="0.2">
      <c r="GI62019" s="422"/>
    </row>
    <row r="62020" spans="191:191" x14ac:dyDescent="0.2">
      <c r="GI62020" s="422"/>
    </row>
    <row r="62021" spans="191:191" x14ac:dyDescent="0.2">
      <c r="GI62021" s="422"/>
    </row>
    <row r="62022" spans="191:191" x14ac:dyDescent="0.2">
      <c r="GI62022" s="422"/>
    </row>
    <row r="62023" spans="191:191" x14ac:dyDescent="0.2">
      <c r="GI62023" s="422"/>
    </row>
    <row r="62024" spans="191:191" x14ac:dyDescent="0.2">
      <c r="GI62024" s="422"/>
    </row>
    <row r="62025" spans="191:191" x14ac:dyDescent="0.2">
      <c r="GI62025" s="422"/>
    </row>
    <row r="62026" spans="191:191" x14ac:dyDescent="0.2">
      <c r="GI62026" s="422"/>
    </row>
    <row r="62027" spans="191:191" x14ac:dyDescent="0.2">
      <c r="GI62027" s="422"/>
    </row>
    <row r="62028" spans="191:191" x14ac:dyDescent="0.2">
      <c r="GI62028" s="422"/>
    </row>
    <row r="62029" spans="191:191" x14ac:dyDescent="0.2">
      <c r="GI62029" s="422"/>
    </row>
    <row r="62030" spans="191:191" x14ac:dyDescent="0.2">
      <c r="GI62030" s="422"/>
    </row>
    <row r="62031" spans="191:191" x14ac:dyDescent="0.2">
      <c r="GI62031" s="422"/>
    </row>
    <row r="62032" spans="191:191" x14ac:dyDescent="0.2">
      <c r="GI62032" s="422"/>
    </row>
    <row r="62033" spans="191:191" x14ac:dyDescent="0.2">
      <c r="GI62033" s="422"/>
    </row>
    <row r="62034" spans="191:191" x14ac:dyDescent="0.2">
      <c r="GI62034" s="422"/>
    </row>
    <row r="62035" spans="191:191" x14ac:dyDescent="0.2">
      <c r="GI62035" s="422"/>
    </row>
    <row r="62036" spans="191:191" x14ac:dyDescent="0.2">
      <c r="GI62036" s="422"/>
    </row>
    <row r="62037" spans="191:191" x14ac:dyDescent="0.2">
      <c r="GI62037" s="422"/>
    </row>
    <row r="62038" spans="191:191" x14ac:dyDescent="0.2">
      <c r="GI62038" s="422"/>
    </row>
    <row r="62039" spans="191:191" x14ac:dyDescent="0.2">
      <c r="GI62039" s="422"/>
    </row>
    <row r="62040" spans="191:191" x14ac:dyDescent="0.2">
      <c r="GI62040" s="422"/>
    </row>
    <row r="62041" spans="191:191" x14ac:dyDescent="0.2">
      <c r="GI62041" s="422"/>
    </row>
    <row r="62042" spans="191:191" x14ac:dyDescent="0.2">
      <c r="GI62042" s="422"/>
    </row>
    <row r="62043" spans="191:191" x14ac:dyDescent="0.2">
      <c r="GI62043" s="422"/>
    </row>
    <row r="62044" spans="191:191" x14ac:dyDescent="0.2">
      <c r="GI62044" s="422"/>
    </row>
    <row r="62045" spans="191:191" x14ac:dyDescent="0.2">
      <c r="GI62045" s="422"/>
    </row>
    <row r="62046" spans="191:191" x14ac:dyDescent="0.2">
      <c r="GI62046" s="422"/>
    </row>
    <row r="62047" spans="191:191" x14ac:dyDescent="0.2">
      <c r="GI62047" s="422"/>
    </row>
    <row r="62048" spans="191:191" x14ac:dyDescent="0.2">
      <c r="GI62048" s="422"/>
    </row>
    <row r="62049" spans="191:191" x14ac:dyDescent="0.2">
      <c r="GI62049" s="422"/>
    </row>
    <row r="62050" spans="191:191" x14ac:dyDescent="0.2">
      <c r="GI62050" s="422"/>
    </row>
    <row r="62051" spans="191:191" x14ac:dyDescent="0.2">
      <c r="GI62051" s="422"/>
    </row>
    <row r="62052" spans="191:191" x14ac:dyDescent="0.2">
      <c r="GI62052" s="422"/>
    </row>
    <row r="62053" spans="191:191" x14ac:dyDescent="0.2">
      <c r="GI62053" s="422"/>
    </row>
    <row r="62054" spans="191:191" x14ac:dyDescent="0.2">
      <c r="GI62054" s="422"/>
    </row>
    <row r="62055" spans="191:191" x14ac:dyDescent="0.2">
      <c r="GI62055" s="422"/>
    </row>
    <row r="62056" spans="191:191" x14ac:dyDescent="0.2">
      <c r="GI62056" s="422"/>
    </row>
    <row r="62057" spans="191:191" x14ac:dyDescent="0.2">
      <c r="GI62057" s="422"/>
    </row>
    <row r="62058" spans="191:191" x14ac:dyDescent="0.2">
      <c r="GI62058" s="422"/>
    </row>
    <row r="62059" spans="191:191" x14ac:dyDescent="0.2">
      <c r="GI62059" s="422"/>
    </row>
    <row r="62060" spans="191:191" x14ac:dyDescent="0.2">
      <c r="GI62060" s="422"/>
    </row>
    <row r="62061" spans="191:191" x14ac:dyDescent="0.2">
      <c r="GI62061" s="422"/>
    </row>
    <row r="62062" spans="191:191" x14ac:dyDescent="0.2">
      <c r="GI62062" s="422"/>
    </row>
    <row r="62063" spans="191:191" x14ac:dyDescent="0.2">
      <c r="GI62063" s="422"/>
    </row>
    <row r="62064" spans="191:191" x14ac:dyDescent="0.2">
      <c r="GI62064" s="422"/>
    </row>
    <row r="62065" spans="191:191" x14ac:dyDescent="0.2">
      <c r="GI62065" s="422"/>
    </row>
    <row r="62066" spans="191:191" x14ac:dyDescent="0.2">
      <c r="GI62066" s="422"/>
    </row>
    <row r="62067" spans="191:191" x14ac:dyDescent="0.2">
      <c r="GI62067" s="422"/>
    </row>
    <row r="62068" spans="191:191" x14ac:dyDescent="0.2">
      <c r="GI62068" s="422"/>
    </row>
    <row r="62069" spans="191:191" x14ac:dyDescent="0.2">
      <c r="GI62069" s="422"/>
    </row>
    <row r="62070" spans="191:191" x14ac:dyDescent="0.2">
      <c r="GI62070" s="422"/>
    </row>
    <row r="62071" spans="191:191" x14ac:dyDescent="0.2">
      <c r="GI62071" s="422"/>
    </row>
    <row r="62072" spans="191:191" x14ac:dyDescent="0.2">
      <c r="GI62072" s="422"/>
    </row>
    <row r="62073" spans="191:191" x14ac:dyDescent="0.2">
      <c r="GI62073" s="422"/>
    </row>
    <row r="62074" spans="191:191" x14ac:dyDescent="0.2">
      <c r="GI62074" s="422"/>
    </row>
    <row r="62075" spans="191:191" x14ac:dyDescent="0.2">
      <c r="GI62075" s="422"/>
    </row>
    <row r="62076" spans="191:191" x14ac:dyDescent="0.2">
      <c r="GI62076" s="422"/>
    </row>
    <row r="62077" spans="191:191" x14ac:dyDescent="0.2">
      <c r="GI62077" s="422"/>
    </row>
    <row r="62078" spans="191:191" x14ac:dyDescent="0.2">
      <c r="GI62078" s="422"/>
    </row>
    <row r="62079" spans="191:191" x14ac:dyDescent="0.2">
      <c r="GI62079" s="422"/>
    </row>
    <row r="62080" spans="191:191" x14ac:dyDescent="0.2">
      <c r="GI62080" s="422"/>
    </row>
    <row r="62081" spans="191:191" x14ac:dyDescent="0.2">
      <c r="GI62081" s="422"/>
    </row>
    <row r="62082" spans="191:191" x14ac:dyDescent="0.2">
      <c r="GI62082" s="422"/>
    </row>
    <row r="62083" spans="191:191" x14ac:dyDescent="0.2">
      <c r="GI62083" s="422"/>
    </row>
    <row r="62084" spans="191:191" x14ac:dyDescent="0.2">
      <c r="GI62084" s="422"/>
    </row>
    <row r="62085" spans="191:191" x14ac:dyDescent="0.2">
      <c r="GI62085" s="422"/>
    </row>
    <row r="62086" spans="191:191" x14ac:dyDescent="0.2">
      <c r="GI62086" s="422"/>
    </row>
    <row r="62087" spans="191:191" x14ac:dyDescent="0.2">
      <c r="GI62087" s="422"/>
    </row>
    <row r="62088" spans="191:191" x14ac:dyDescent="0.2">
      <c r="GI62088" s="422"/>
    </row>
    <row r="62089" spans="191:191" x14ac:dyDescent="0.2">
      <c r="GI62089" s="422"/>
    </row>
    <row r="62090" spans="191:191" x14ac:dyDescent="0.2">
      <c r="GI62090" s="422"/>
    </row>
    <row r="62091" spans="191:191" x14ac:dyDescent="0.2">
      <c r="GI62091" s="422"/>
    </row>
    <row r="62092" spans="191:191" x14ac:dyDescent="0.2">
      <c r="GI62092" s="422"/>
    </row>
    <row r="62093" spans="191:191" x14ac:dyDescent="0.2">
      <c r="GI62093" s="422"/>
    </row>
    <row r="62094" spans="191:191" x14ac:dyDescent="0.2">
      <c r="GI62094" s="422"/>
    </row>
    <row r="62095" spans="191:191" x14ac:dyDescent="0.2">
      <c r="GI62095" s="422"/>
    </row>
    <row r="62096" spans="191:191" x14ac:dyDescent="0.2">
      <c r="GI62096" s="422"/>
    </row>
    <row r="62097" spans="191:191" x14ac:dyDescent="0.2">
      <c r="GI62097" s="422"/>
    </row>
    <row r="62098" spans="191:191" x14ac:dyDescent="0.2">
      <c r="GI62098" s="422"/>
    </row>
    <row r="62099" spans="191:191" x14ac:dyDescent="0.2">
      <c r="GI62099" s="422"/>
    </row>
    <row r="62100" spans="191:191" x14ac:dyDescent="0.2">
      <c r="GI62100" s="422"/>
    </row>
    <row r="62101" spans="191:191" x14ac:dyDescent="0.2">
      <c r="GI62101" s="422"/>
    </row>
    <row r="62102" spans="191:191" x14ac:dyDescent="0.2">
      <c r="GI62102" s="422"/>
    </row>
    <row r="62103" spans="191:191" x14ac:dyDescent="0.2">
      <c r="GI62103" s="422"/>
    </row>
    <row r="62104" spans="191:191" x14ac:dyDescent="0.2">
      <c r="GI62104" s="422"/>
    </row>
    <row r="62105" spans="191:191" x14ac:dyDescent="0.2">
      <c r="GI62105" s="422"/>
    </row>
    <row r="62106" spans="191:191" x14ac:dyDescent="0.2">
      <c r="GI62106" s="422"/>
    </row>
    <row r="62107" spans="191:191" x14ac:dyDescent="0.2">
      <c r="GI62107" s="422"/>
    </row>
    <row r="62108" spans="191:191" x14ac:dyDescent="0.2">
      <c r="GI62108" s="422"/>
    </row>
    <row r="62109" spans="191:191" x14ac:dyDescent="0.2">
      <c r="GI62109" s="422"/>
    </row>
    <row r="62110" spans="191:191" x14ac:dyDescent="0.2">
      <c r="GI62110" s="422"/>
    </row>
    <row r="62111" spans="191:191" x14ac:dyDescent="0.2">
      <c r="GI62111" s="422"/>
    </row>
    <row r="62112" spans="191:191" x14ac:dyDescent="0.2">
      <c r="GI62112" s="422"/>
    </row>
    <row r="62113" spans="191:191" x14ac:dyDescent="0.2">
      <c r="GI62113" s="422"/>
    </row>
    <row r="62114" spans="191:191" x14ac:dyDescent="0.2">
      <c r="GI62114" s="422"/>
    </row>
    <row r="62115" spans="191:191" x14ac:dyDescent="0.2">
      <c r="GI62115" s="422"/>
    </row>
    <row r="62116" spans="191:191" x14ac:dyDescent="0.2">
      <c r="GI62116" s="422"/>
    </row>
    <row r="62117" spans="191:191" x14ac:dyDescent="0.2">
      <c r="GI62117" s="422"/>
    </row>
    <row r="62118" spans="191:191" x14ac:dyDescent="0.2">
      <c r="GI62118" s="422"/>
    </row>
    <row r="62119" spans="191:191" x14ac:dyDescent="0.2">
      <c r="GI62119" s="422"/>
    </row>
    <row r="62120" spans="191:191" x14ac:dyDescent="0.2">
      <c r="GI62120" s="422"/>
    </row>
    <row r="62121" spans="191:191" x14ac:dyDescent="0.2">
      <c r="GI62121" s="422"/>
    </row>
    <row r="62122" spans="191:191" x14ac:dyDescent="0.2">
      <c r="GI62122" s="422"/>
    </row>
    <row r="62123" spans="191:191" x14ac:dyDescent="0.2">
      <c r="GI62123" s="422"/>
    </row>
    <row r="62124" spans="191:191" x14ac:dyDescent="0.2">
      <c r="GI62124" s="422"/>
    </row>
    <row r="62125" spans="191:191" x14ac:dyDescent="0.2">
      <c r="GI62125" s="422"/>
    </row>
    <row r="62126" spans="191:191" x14ac:dyDescent="0.2">
      <c r="GI62126" s="422"/>
    </row>
    <row r="62127" spans="191:191" x14ac:dyDescent="0.2">
      <c r="GI62127" s="422"/>
    </row>
    <row r="62128" spans="191:191" x14ac:dyDescent="0.2">
      <c r="GI62128" s="422"/>
    </row>
    <row r="62129" spans="191:191" x14ac:dyDescent="0.2">
      <c r="GI62129" s="422"/>
    </row>
    <row r="62130" spans="191:191" x14ac:dyDescent="0.2">
      <c r="GI62130" s="422"/>
    </row>
    <row r="62131" spans="191:191" x14ac:dyDescent="0.2">
      <c r="GI62131" s="422"/>
    </row>
    <row r="62132" spans="191:191" x14ac:dyDescent="0.2">
      <c r="GI62132" s="422"/>
    </row>
    <row r="62133" spans="191:191" x14ac:dyDescent="0.2">
      <c r="GI62133" s="422"/>
    </row>
    <row r="62134" spans="191:191" x14ac:dyDescent="0.2">
      <c r="GI62134" s="422"/>
    </row>
    <row r="62135" spans="191:191" x14ac:dyDescent="0.2">
      <c r="GI62135" s="422"/>
    </row>
    <row r="62136" spans="191:191" x14ac:dyDescent="0.2">
      <c r="GI62136" s="422"/>
    </row>
    <row r="62137" spans="191:191" x14ac:dyDescent="0.2">
      <c r="GI62137" s="422"/>
    </row>
    <row r="62138" spans="191:191" x14ac:dyDescent="0.2">
      <c r="GI62138" s="422"/>
    </row>
    <row r="62139" spans="191:191" x14ac:dyDescent="0.2">
      <c r="GI62139" s="422"/>
    </row>
    <row r="62140" spans="191:191" x14ac:dyDescent="0.2">
      <c r="GI62140" s="422"/>
    </row>
    <row r="62141" spans="191:191" x14ac:dyDescent="0.2">
      <c r="GI62141" s="422"/>
    </row>
    <row r="62142" spans="191:191" x14ac:dyDescent="0.2">
      <c r="GI62142" s="422"/>
    </row>
    <row r="62143" spans="191:191" x14ac:dyDescent="0.2">
      <c r="GI62143" s="422"/>
    </row>
    <row r="62144" spans="191:191" x14ac:dyDescent="0.2">
      <c r="GI62144" s="422"/>
    </row>
    <row r="62145" spans="191:191" x14ac:dyDescent="0.2">
      <c r="GI62145" s="422"/>
    </row>
    <row r="62146" spans="191:191" x14ac:dyDescent="0.2">
      <c r="GI62146" s="422"/>
    </row>
    <row r="62147" spans="191:191" x14ac:dyDescent="0.2">
      <c r="GI62147" s="422"/>
    </row>
    <row r="62148" spans="191:191" x14ac:dyDescent="0.2">
      <c r="GI62148" s="422"/>
    </row>
    <row r="62149" spans="191:191" x14ac:dyDescent="0.2">
      <c r="GI62149" s="422"/>
    </row>
    <row r="62150" spans="191:191" x14ac:dyDescent="0.2">
      <c r="GI62150" s="422"/>
    </row>
    <row r="62151" spans="191:191" x14ac:dyDescent="0.2">
      <c r="GI62151" s="422"/>
    </row>
    <row r="62152" spans="191:191" x14ac:dyDescent="0.2">
      <c r="GI62152" s="422"/>
    </row>
    <row r="62153" spans="191:191" x14ac:dyDescent="0.2">
      <c r="GI62153" s="422"/>
    </row>
    <row r="62154" spans="191:191" x14ac:dyDescent="0.2">
      <c r="GI62154" s="422"/>
    </row>
    <row r="62155" spans="191:191" x14ac:dyDescent="0.2">
      <c r="GI62155" s="422"/>
    </row>
    <row r="62156" spans="191:191" x14ac:dyDescent="0.2">
      <c r="GI62156" s="422"/>
    </row>
    <row r="62157" spans="191:191" x14ac:dyDescent="0.2">
      <c r="GI62157" s="422"/>
    </row>
    <row r="62158" spans="191:191" x14ac:dyDescent="0.2">
      <c r="GI62158" s="422"/>
    </row>
    <row r="62159" spans="191:191" x14ac:dyDescent="0.2">
      <c r="GI62159" s="422"/>
    </row>
    <row r="62160" spans="191:191" x14ac:dyDescent="0.2">
      <c r="GI62160" s="422"/>
    </row>
    <row r="62161" spans="191:191" x14ac:dyDescent="0.2">
      <c r="GI62161" s="422"/>
    </row>
    <row r="62162" spans="191:191" x14ac:dyDescent="0.2">
      <c r="GI62162" s="422"/>
    </row>
    <row r="62163" spans="191:191" x14ac:dyDescent="0.2">
      <c r="GI62163" s="422"/>
    </row>
    <row r="62164" spans="191:191" x14ac:dyDescent="0.2">
      <c r="GI62164" s="422"/>
    </row>
    <row r="62165" spans="191:191" x14ac:dyDescent="0.2">
      <c r="GI62165" s="422"/>
    </row>
    <row r="62166" spans="191:191" x14ac:dyDescent="0.2">
      <c r="GI62166" s="422"/>
    </row>
    <row r="62167" spans="191:191" x14ac:dyDescent="0.2">
      <c r="GI62167" s="422"/>
    </row>
    <row r="62168" spans="191:191" x14ac:dyDescent="0.2">
      <c r="GI62168" s="422"/>
    </row>
    <row r="62169" spans="191:191" x14ac:dyDescent="0.2">
      <c r="GI62169" s="422"/>
    </row>
    <row r="62170" spans="191:191" x14ac:dyDescent="0.2">
      <c r="GI62170" s="422"/>
    </row>
    <row r="62171" spans="191:191" x14ac:dyDescent="0.2">
      <c r="GI62171" s="422"/>
    </row>
    <row r="62172" spans="191:191" x14ac:dyDescent="0.2">
      <c r="GI62172" s="422"/>
    </row>
    <row r="62173" spans="191:191" x14ac:dyDescent="0.2">
      <c r="GI62173" s="422"/>
    </row>
    <row r="62174" spans="191:191" x14ac:dyDescent="0.2">
      <c r="GI62174" s="422"/>
    </row>
    <row r="62175" spans="191:191" x14ac:dyDescent="0.2">
      <c r="GI62175" s="422"/>
    </row>
    <row r="62176" spans="191:191" x14ac:dyDescent="0.2">
      <c r="GI62176" s="422"/>
    </row>
    <row r="62177" spans="191:191" x14ac:dyDescent="0.2">
      <c r="GI62177" s="422"/>
    </row>
    <row r="62178" spans="191:191" x14ac:dyDescent="0.2">
      <c r="GI62178" s="422"/>
    </row>
    <row r="62179" spans="191:191" x14ac:dyDescent="0.2">
      <c r="GI62179" s="422"/>
    </row>
    <row r="62180" spans="191:191" x14ac:dyDescent="0.2">
      <c r="GI62180" s="422"/>
    </row>
    <row r="62181" spans="191:191" x14ac:dyDescent="0.2">
      <c r="GI62181" s="422"/>
    </row>
    <row r="62182" spans="191:191" x14ac:dyDescent="0.2">
      <c r="GI62182" s="422"/>
    </row>
    <row r="62183" spans="191:191" x14ac:dyDescent="0.2">
      <c r="GI62183" s="422"/>
    </row>
    <row r="62184" spans="191:191" x14ac:dyDescent="0.2">
      <c r="GI62184" s="422"/>
    </row>
    <row r="62185" spans="191:191" x14ac:dyDescent="0.2">
      <c r="GI62185" s="422"/>
    </row>
    <row r="62186" spans="191:191" x14ac:dyDescent="0.2">
      <c r="GI62186" s="422"/>
    </row>
    <row r="62187" spans="191:191" x14ac:dyDescent="0.2">
      <c r="GI62187" s="422"/>
    </row>
    <row r="62188" spans="191:191" x14ac:dyDescent="0.2">
      <c r="GI62188" s="422"/>
    </row>
    <row r="62189" spans="191:191" x14ac:dyDescent="0.2">
      <c r="GI62189" s="422"/>
    </row>
    <row r="62190" spans="191:191" x14ac:dyDescent="0.2">
      <c r="GI62190" s="422"/>
    </row>
    <row r="62191" spans="191:191" x14ac:dyDescent="0.2">
      <c r="GI62191" s="422"/>
    </row>
    <row r="62192" spans="191:191" x14ac:dyDescent="0.2">
      <c r="GI62192" s="422"/>
    </row>
    <row r="62193" spans="191:191" x14ac:dyDescent="0.2">
      <c r="GI62193" s="422"/>
    </row>
    <row r="62194" spans="191:191" x14ac:dyDescent="0.2">
      <c r="GI62194" s="422"/>
    </row>
    <row r="62195" spans="191:191" x14ac:dyDescent="0.2">
      <c r="GI62195" s="422"/>
    </row>
    <row r="62196" spans="191:191" x14ac:dyDescent="0.2">
      <c r="GI62196" s="422"/>
    </row>
    <row r="62197" spans="191:191" x14ac:dyDescent="0.2">
      <c r="GI62197" s="422"/>
    </row>
    <row r="62198" spans="191:191" x14ac:dyDescent="0.2">
      <c r="GI62198" s="422"/>
    </row>
    <row r="62199" spans="191:191" x14ac:dyDescent="0.2">
      <c r="GI62199" s="422"/>
    </row>
    <row r="62200" spans="191:191" x14ac:dyDescent="0.2">
      <c r="GI62200" s="422"/>
    </row>
    <row r="62201" spans="191:191" x14ac:dyDescent="0.2">
      <c r="GI62201" s="422"/>
    </row>
    <row r="62202" spans="191:191" x14ac:dyDescent="0.2">
      <c r="GI62202" s="422"/>
    </row>
    <row r="62203" spans="191:191" x14ac:dyDescent="0.2">
      <c r="GI62203" s="422"/>
    </row>
    <row r="62204" spans="191:191" x14ac:dyDescent="0.2">
      <c r="GI62204" s="422"/>
    </row>
    <row r="62205" spans="191:191" x14ac:dyDescent="0.2">
      <c r="GI62205" s="422"/>
    </row>
    <row r="62206" spans="191:191" x14ac:dyDescent="0.2">
      <c r="GI62206" s="422"/>
    </row>
    <row r="62207" spans="191:191" x14ac:dyDescent="0.2">
      <c r="GI62207" s="422"/>
    </row>
    <row r="62208" spans="191:191" x14ac:dyDescent="0.2">
      <c r="GI62208" s="422"/>
    </row>
    <row r="62209" spans="191:191" x14ac:dyDescent="0.2">
      <c r="GI62209" s="422"/>
    </row>
    <row r="62210" spans="191:191" x14ac:dyDescent="0.2">
      <c r="GI62210" s="422"/>
    </row>
    <row r="62211" spans="191:191" x14ac:dyDescent="0.2">
      <c r="GI62211" s="422"/>
    </row>
    <row r="62212" spans="191:191" x14ac:dyDescent="0.2">
      <c r="GI62212" s="422"/>
    </row>
    <row r="62213" spans="191:191" x14ac:dyDescent="0.2">
      <c r="GI62213" s="422"/>
    </row>
    <row r="62214" spans="191:191" x14ac:dyDescent="0.2">
      <c r="GI62214" s="422"/>
    </row>
    <row r="62215" spans="191:191" x14ac:dyDescent="0.2">
      <c r="GI62215" s="422"/>
    </row>
    <row r="62216" spans="191:191" x14ac:dyDescent="0.2">
      <c r="GI62216" s="422"/>
    </row>
    <row r="62217" spans="191:191" x14ac:dyDescent="0.2">
      <c r="GI62217" s="422"/>
    </row>
    <row r="62218" spans="191:191" x14ac:dyDescent="0.2">
      <c r="GI62218" s="422"/>
    </row>
    <row r="62219" spans="191:191" x14ac:dyDescent="0.2">
      <c r="GI62219" s="422"/>
    </row>
    <row r="62220" spans="191:191" x14ac:dyDescent="0.2">
      <c r="GI62220" s="422"/>
    </row>
    <row r="62221" spans="191:191" x14ac:dyDescent="0.2">
      <c r="GI62221" s="422"/>
    </row>
    <row r="62222" spans="191:191" x14ac:dyDescent="0.2">
      <c r="GI62222" s="422"/>
    </row>
    <row r="62223" spans="191:191" x14ac:dyDescent="0.2">
      <c r="GI62223" s="422"/>
    </row>
    <row r="62224" spans="191:191" x14ac:dyDescent="0.2">
      <c r="GI62224" s="422"/>
    </row>
    <row r="62225" spans="191:191" x14ac:dyDescent="0.2">
      <c r="GI62225" s="422"/>
    </row>
    <row r="62226" spans="191:191" x14ac:dyDescent="0.2">
      <c r="GI62226" s="422"/>
    </row>
    <row r="62227" spans="191:191" x14ac:dyDescent="0.2">
      <c r="GI62227" s="422"/>
    </row>
    <row r="62228" spans="191:191" x14ac:dyDescent="0.2">
      <c r="GI62228" s="422"/>
    </row>
    <row r="62229" spans="191:191" x14ac:dyDescent="0.2">
      <c r="GI62229" s="422"/>
    </row>
    <row r="62230" spans="191:191" x14ac:dyDescent="0.2">
      <c r="GI62230" s="422"/>
    </row>
    <row r="62231" spans="191:191" x14ac:dyDescent="0.2">
      <c r="GI62231" s="422"/>
    </row>
    <row r="62232" spans="191:191" x14ac:dyDescent="0.2">
      <c r="GI62232" s="422"/>
    </row>
    <row r="62233" spans="191:191" x14ac:dyDescent="0.2">
      <c r="GI62233" s="422"/>
    </row>
    <row r="62234" spans="191:191" x14ac:dyDescent="0.2">
      <c r="GI62234" s="422"/>
    </row>
    <row r="62235" spans="191:191" x14ac:dyDescent="0.2">
      <c r="GI62235" s="422"/>
    </row>
    <row r="62236" spans="191:191" x14ac:dyDescent="0.2">
      <c r="GI62236" s="422"/>
    </row>
    <row r="62237" spans="191:191" x14ac:dyDescent="0.2">
      <c r="GI62237" s="422"/>
    </row>
    <row r="62238" spans="191:191" x14ac:dyDescent="0.2">
      <c r="GI62238" s="422"/>
    </row>
    <row r="62239" spans="191:191" x14ac:dyDescent="0.2">
      <c r="GI62239" s="422"/>
    </row>
    <row r="62240" spans="191:191" x14ac:dyDescent="0.2">
      <c r="GI62240" s="422"/>
    </row>
    <row r="62241" spans="191:191" x14ac:dyDescent="0.2">
      <c r="GI62241" s="422"/>
    </row>
    <row r="62242" spans="191:191" x14ac:dyDescent="0.2">
      <c r="GI62242" s="422"/>
    </row>
    <row r="62243" spans="191:191" x14ac:dyDescent="0.2">
      <c r="GI62243" s="422"/>
    </row>
    <row r="62244" spans="191:191" x14ac:dyDescent="0.2">
      <c r="GI62244" s="422"/>
    </row>
    <row r="62245" spans="191:191" x14ac:dyDescent="0.2">
      <c r="GI62245" s="422"/>
    </row>
    <row r="62246" spans="191:191" x14ac:dyDescent="0.2">
      <c r="GI62246" s="422"/>
    </row>
    <row r="62247" spans="191:191" x14ac:dyDescent="0.2">
      <c r="GI62247" s="422"/>
    </row>
    <row r="62248" spans="191:191" x14ac:dyDescent="0.2">
      <c r="GI62248" s="422"/>
    </row>
    <row r="62249" spans="191:191" x14ac:dyDescent="0.2">
      <c r="GI62249" s="422"/>
    </row>
    <row r="62250" spans="191:191" x14ac:dyDescent="0.2">
      <c r="GI62250" s="422"/>
    </row>
    <row r="62251" spans="191:191" x14ac:dyDescent="0.2">
      <c r="GI62251" s="422"/>
    </row>
    <row r="62252" spans="191:191" x14ac:dyDescent="0.2">
      <c r="GI62252" s="422"/>
    </row>
    <row r="62253" spans="191:191" x14ac:dyDescent="0.2">
      <c r="GI62253" s="422"/>
    </row>
    <row r="62254" spans="191:191" x14ac:dyDescent="0.2">
      <c r="GI62254" s="422"/>
    </row>
    <row r="62255" spans="191:191" x14ac:dyDescent="0.2">
      <c r="GI62255" s="422"/>
    </row>
    <row r="62256" spans="191:191" x14ac:dyDescent="0.2">
      <c r="GI62256" s="422"/>
    </row>
    <row r="62257" spans="191:191" x14ac:dyDescent="0.2">
      <c r="GI62257" s="422"/>
    </row>
    <row r="62258" spans="191:191" x14ac:dyDescent="0.2">
      <c r="GI62258" s="422"/>
    </row>
    <row r="62259" spans="191:191" x14ac:dyDescent="0.2">
      <c r="GI62259" s="422"/>
    </row>
    <row r="62260" spans="191:191" x14ac:dyDescent="0.2">
      <c r="GI62260" s="422"/>
    </row>
    <row r="62261" spans="191:191" x14ac:dyDescent="0.2">
      <c r="GI62261" s="422"/>
    </row>
    <row r="62262" spans="191:191" x14ac:dyDescent="0.2">
      <c r="GI62262" s="422"/>
    </row>
    <row r="62263" spans="191:191" x14ac:dyDescent="0.2">
      <c r="GI62263" s="422"/>
    </row>
    <row r="62264" spans="191:191" x14ac:dyDescent="0.2">
      <c r="GI62264" s="422"/>
    </row>
    <row r="62265" spans="191:191" x14ac:dyDescent="0.2">
      <c r="GI62265" s="422"/>
    </row>
    <row r="62266" spans="191:191" x14ac:dyDescent="0.2">
      <c r="GI62266" s="422"/>
    </row>
    <row r="62267" spans="191:191" x14ac:dyDescent="0.2">
      <c r="GI62267" s="422"/>
    </row>
    <row r="62268" spans="191:191" x14ac:dyDescent="0.2">
      <c r="GI62268" s="422"/>
    </row>
    <row r="62269" spans="191:191" x14ac:dyDescent="0.2">
      <c r="GI62269" s="422"/>
    </row>
    <row r="62270" spans="191:191" x14ac:dyDescent="0.2">
      <c r="GI62270" s="422"/>
    </row>
    <row r="62271" spans="191:191" x14ac:dyDescent="0.2">
      <c r="GI62271" s="422"/>
    </row>
    <row r="62272" spans="191:191" x14ac:dyDescent="0.2">
      <c r="GI62272" s="422"/>
    </row>
    <row r="62273" spans="191:191" x14ac:dyDescent="0.2">
      <c r="GI62273" s="422"/>
    </row>
    <row r="62274" spans="191:191" x14ac:dyDescent="0.2">
      <c r="GI62274" s="422"/>
    </row>
    <row r="62275" spans="191:191" x14ac:dyDescent="0.2">
      <c r="GI62275" s="422"/>
    </row>
    <row r="62276" spans="191:191" x14ac:dyDescent="0.2">
      <c r="GI62276" s="422"/>
    </row>
    <row r="62277" spans="191:191" x14ac:dyDescent="0.2">
      <c r="GI62277" s="422"/>
    </row>
    <row r="62278" spans="191:191" x14ac:dyDescent="0.2">
      <c r="GI62278" s="422"/>
    </row>
    <row r="62279" spans="191:191" x14ac:dyDescent="0.2">
      <c r="GI62279" s="422"/>
    </row>
    <row r="62280" spans="191:191" x14ac:dyDescent="0.2">
      <c r="GI62280" s="422"/>
    </row>
    <row r="62281" spans="191:191" x14ac:dyDescent="0.2">
      <c r="GI62281" s="422"/>
    </row>
    <row r="62282" spans="191:191" x14ac:dyDescent="0.2">
      <c r="GI62282" s="422"/>
    </row>
    <row r="62283" spans="191:191" x14ac:dyDescent="0.2">
      <c r="GI62283" s="422"/>
    </row>
    <row r="62284" spans="191:191" x14ac:dyDescent="0.2">
      <c r="GI62284" s="422"/>
    </row>
    <row r="62285" spans="191:191" x14ac:dyDescent="0.2">
      <c r="GI62285" s="422"/>
    </row>
    <row r="62286" spans="191:191" x14ac:dyDescent="0.2">
      <c r="GI62286" s="422"/>
    </row>
    <row r="62287" spans="191:191" x14ac:dyDescent="0.2">
      <c r="GI62287" s="422"/>
    </row>
    <row r="62288" spans="191:191" x14ac:dyDescent="0.2">
      <c r="GI62288" s="422"/>
    </row>
    <row r="62289" spans="191:191" x14ac:dyDescent="0.2">
      <c r="GI62289" s="422"/>
    </row>
    <row r="62290" spans="191:191" x14ac:dyDescent="0.2">
      <c r="GI62290" s="422"/>
    </row>
    <row r="62291" spans="191:191" x14ac:dyDescent="0.2">
      <c r="GI62291" s="422"/>
    </row>
    <row r="62292" spans="191:191" x14ac:dyDescent="0.2">
      <c r="GI62292" s="422"/>
    </row>
    <row r="62293" spans="191:191" x14ac:dyDescent="0.2">
      <c r="GI62293" s="422"/>
    </row>
    <row r="62294" spans="191:191" x14ac:dyDescent="0.2">
      <c r="GI62294" s="422"/>
    </row>
    <row r="62295" spans="191:191" x14ac:dyDescent="0.2">
      <c r="GI62295" s="422"/>
    </row>
    <row r="62296" spans="191:191" x14ac:dyDescent="0.2">
      <c r="GI62296" s="422"/>
    </row>
    <row r="62297" spans="191:191" x14ac:dyDescent="0.2">
      <c r="GI62297" s="422"/>
    </row>
    <row r="62298" spans="191:191" x14ac:dyDescent="0.2">
      <c r="GI62298" s="422"/>
    </row>
    <row r="62299" spans="191:191" x14ac:dyDescent="0.2">
      <c r="GI62299" s="422"/>
    </row>
    <row r="62300" spans="191:191" x14ac:dyDescent="0.2">
      <c r="GI62300" s="422"/>
    </row>
    <row r="62301" spans="191:191" x14ac:dyDescent="0.2">
      <c r="GI62301" s="422"/>
    </row>
    <row r="62302" spans="191:191" x14ac:dyDescent="0.2">
      <c r="GI62302" s="422"/>
    </row>
    <row r="62303" spans="191:191" x14ac:dyDescent="0.2">
      <c r="GI62303" s="422"/>
    </row>
    <row r="62304" spans="191:191" x14ac:dyDescent="0.2">
      <c r="GI62304" s="422"/>
    </row>
    <row r="62305" spans="191:191" x14ac:dyDescent="0.2">
      <c r="GI62305" s="422"/>
    </row>
    <row r="62306" spans="191:191" x14ac:dyDescent="0.2">
      <c r="GI62306" s="422"/>
    </row>
    <row r="62307" spans="191:191" x14ac:dyDescent="0.2">
      <c r="GI62307" s="422"/>
    </row>
    <row r="62308" spans="191:191" x14ac:dyDescent="0.2">
      <c r="GI62308" s="422"/>
    </row>
    <row r="62309" spans="191:191" x14ac:dyDescent="0.2">
      <c r="GI62309" s="422"/>
    </row>
    <row r="62310" spans="191:191" x14ac:dyDescent="0.2">
      <c r="GI62310" s="422"/>
    </row>
    <row r="62311" spans="191:191" x14ac:dyDescent="0.2">
      <c r="GI62311" s="422"/>
    </row>
    <row r="62312" spans="191:191" x14ac:dyDescent="0.2">
      <c r="GI62312" s="422"/>
    </row>
    <row r="62313" spans="191:191" x14ac:dyDescent="0.2">
      <c r="GI62313" s="422"/>
    </row>
    <row r="62314" spans="191:191" x14ac:dyDescent="0.2">
      <c r="GI62314" s="422"/>
    </row>
    <row r="62315" spans="191:191" x14ac:dyDescent="0.2">
      <c r="GI62315" s="422"/>
    </row>
    <row r="62316" spans="191:191" x14ac:dyDescent="0.2">
      <c r="GI62316" s="422"/>
    </row>
    <row r="62317" spans="191:191" x14ac:dyDescent="0.2">
      <c r="GI62317" s="422"/>
    </row>
    <row r="62318" spans="191:191" x14ac:dyDescent="0.2">
      <c r="GI62318" s="422"/>
    </row>
    <row r="62319" spans="191:191" x14ac:dyDescent="0.2">
      <c r="GI62319" s="422"/>
    </row>
    <row r="62320" spans="191:191" x14ac:dyDescent="0.2">
      <c r="GI62320" s="422"/>
    </row>
    <row r="62321" spans="191:191" x14ac:dyDescent="0.2">
      <c r="GI62321" s="422"/>
    </row>
    <row r="62322" spans="191:191" x14ac:dyDescent="0.2">
      <c r="GI62322" s="422"/>
    </row>
    <row r="62323" spans="191:191" x14ac:dyDescent="0.2">
      <c r="GI62323" s="422"/>
    </row>
    <row r="62324" spans="191:191" x14ac:dyDescent="0.2">
      <c r="GI62324" s="422"/>
    </row>
    <row r="62325" spans="191:191" x14ac:dyDescent="0.2">
      <c r="GI62325" s="422"/>
    </row>
    <row r="62326" spans="191:191" x14ac:dyDescent="0.2">
      <c r="GI62326" s="422"/>
    </row>
    <row r="62327" spans="191:191" x14ac:dyDescent="0.2">
      <c r="GI62327" s="422"/>
    </row>
    <row r="62328" spans="191:191" x14ac:dyDescent="0.2">
      <c r="GI62328" s="422"/>
    </row>
    <row r="62329" spans="191:191" x14ac:dyDescent="0.2">
      <c r="GI62329" s="422"/>
    </row>
    <row r="62330" spans="191:191" x14ac:dyDescent="0.2">
      <c r="GI62330" s="422"/>
    </row>
    <row r="62331" spans="191:191" x14ac:dyDescent="0.2">
      <c r="GI62331" s="422"/>
    </row>
    <row r="62332" spans="191:191" x14ac:dyDescent="0.2">
      <c r="GI62332" s="422"/>
    </row>
    <row r="62333" spans="191:191" x14ac:dyDescent="0.2">
      <c r="GI62333" s="422"/>
    </row>
    <row r="62334" spans="191:191" x14ac:dyDescent="0.2">
      <c r="GI62334" s="422"/>
    </row>
    <row r="62335" spans="191:191" x14ac:dyDescent="0.2">
      <c r="GI62335" s="422"/>
    </row>
    <row r="62336" spans="191:191" x14ac:dyDescent="0.2">
      <c r="GI62336" s="422"/>
    </row>
    <row r="62337" spans="191:191" x14ac:dyDescent="0.2">
      <c r="GI62337" s="422"/>
    </row>
    <row r="62338" spans="191:191" x14ac:dyDescent="0.2">
      <c r="GI62338" s="422"/>
    </row>
    <row r="62339" spans="191:191" x14ac:dyDescent="0.2">
      <c r="GI62339" s="422"/>
    </row>
    <row r="62340" spans="191:191" x14ac:dyDescent="0.2">
      <c r="GI62340" s="422"/>
    </row>
    <row r="62341" spans="191:191" x14ac:dyDescent="0.2">
      <c r="GI62341" s="422"/>
    </row>
    <row r="62342" spans="191:191" x14ac:dyDescent="0.2">
      <c r="GI62342" s="422"/>
    </row>
    <row r="62343" spans="191:191" x14ac:dyDescent="0.2">
      <c r="GI62343" s="422"/>
    </row>
    <row r="62344" spans="191:191" x14ac:dyDescent="0.2">
      <c r="GI62344" s="422"/>
    </row>
    <row r="62345" spans="191:191" x14ac:dyDescent="0.2">
      <c r="GI62345" s="422"/>
    </row>
    <row r="62346" spans="191:191" x14ac:dyDescent="0.2">
      <c r="GI62346" s="422"/>
    </row>
    <row r="62347" spans="191:191" x14ac:dyDescent="0.2">
      <c r="GI62347" s="422"/>
    </row>
    <row r="62348" spans="191:191" x14ac:dyDescent="0.2">
      <c r="GI62348" s="422"/>
    </row>
    <row r="62349" spans="191:191" x14ac:dyDescent="0.2">
      <c r="GI62349" s="422"/>
    </row>
    <row r="62350" spans="191:191" x14ac:dyDescent="0.2">
      <c r="GI62350" s="422"/>
    </row>
    <row r="62351" spans="191:191" x14ac:dyDescent="0.2">
      <c r="GI62351" s="422"/>
    </row>
    <row r="62352" spans="191:191" x14ac:dyDescent="0.2">
      <c r="GI62352" s="422"/>
    </row>
    <row r="62353" spans="191:191" x14ac:dyDescent="0.2">
      <c r="GI62353" s="422"/>
    </row>
    <row r="62354" spans="191:191" x14ac:dyDescent="0.2">
      <c r="GI62354" s="422"/>
    </row>
    <row r="62355" spans="191:191" x14ac:dyDescent="0.2">
      <c r="GI62355" s="422"/>
    </row>
    <row r="62356" spans="191:191" x14ac:dyDescent="0.2">
      <c r="GI62356" s="422"/>
    </row>
    <row r="62357" spans="191:191" x14ac:dyDescent="0.2">
      <c r="GI62357" s="422"/>
    </row>
    <row r="62358" spans="191:191" x14ac:dyDescent="0.2">
      <c r="GI62358" s="422"/>
    </row>
    <row r="62359" spans="191:191" x14ac:dyDescent="0.2">
      <c r="GI62359" s="422"/>
    </row>
    <row r="62360" spans="191:191" x14ac:dyDescent="0.2">
      <c r="GI62360" s="422"/>
    </row>
    <row r="62361" spans="191:191" x14ac:dyDescent="0.2">
      <c r="GI62361" s="422"/>
    </row>
    <row r="62362" spans="191:191" x14ac:dyDescent="0.2">
      <c r="GI62362" s="422"/>
    </row>
    <row r="62363" spans="191:191" x14ac:dyDescent="0.2">
      <c r="GI62363" s="422"/>
    </row>
    <row r="62364" spans="191:191" x14ac:dyDescent="0.2">
      <c r="GI62364" s="422"/>
    </row>
    <row r="62365" spans="191:191" x14ac:dyDescent="0.2">
      <c r="GI62365" s="422"/>
    </row>
    <row r="62366" spans="191:191" x14ac:dyDescent="0.2">
      <c r="GI62366" s="422"/>
    </row>
    <row r="62367" spans="191:191" x14ac:dyDescent="0.2">
      <c r="GI62367" s="422"/>
    </row>
    <row r="62368" spans="191:191" x14ac:dyDescent="0.2">
      <c r="GI62368" s="422"/>
    </row>
    <row r="62369" spans="191:191" x14ac:dyDescent="0.2">
      <c r="GI62369" s="422"/>
    </row>
    <row r="62370" spans="191:191" x14ac:dyDescent="0.2">
      <c r="GI62370" s="422"/>
    </row>
    <row r="62371" spans="191:191" x14ac:dyDescent="0.2">
      <c r="GI62371" s="422"/>
    </row>
    <row r="62372" spans="191:191" x14ac:dyDescent="0.2">
      <c r="GI62372" s="422"/>
    </row>
    <row r="62373" spans="191:191" x14ac:dyDescent="0.2">
      <c r="GI62373" s="422"/>
    </row>
    <row r="62374" spans="191:191" x14ac:dyDescent="0.2">
      <c r="GI62374" s="422"/>
    </row>
    <row r="62375" spans="191:191" x14ac:dyDescent="0.2">
      <c r="GI62375" s="422"/>
    </row>
    <row r="62376" spans="191:191" x14ac:dyDescent="0.2">
      <c r="GI62376" s="422"/>
    </row>
    <row r="62377" spans="191:191" x14ac:dyDescent="0.2">
      <c r="GI62377" s="422"/>
    </row>
    <row r="62378" spans="191:191" x14ac:dyDescent="0.2">
      <c r="GI62378" s="422"/>
    </row>
    <row r="62379" spans="191:191" x14ac:dyDescent="0.2">
      <c r="GI62379" s="422"/>
    </row>
    <row r="62380" spans="191:191" x14ac:dyDescent="0.2">
      <c r="GI62380" s="422"/>
    </row>
    <row r="62381" spans="191:191" x14ac:dyDescent="0.2">
      <c r="GI62381" s="422"/>
    </row>
    <row r="62382" spans="191:191" x14ac:dyDescent="0.2">
      <c r="GI62382" s="422"/>
    </row>
    <row r="62383" spans="191:191" x14ac:dyDescent="0.2">
      <c r="GI62383" s="422"/>
    </row>
    <row r="62384" spans="191:191" x14ac:dyDescent="0.2">
      <c r="GI62384" s="422"/>
    </row>
    <row r="62385" spans="191:191" x14ac:dyDescent="0.2">
      <c r="GI62385" s="422"/>
    </row>
    <row r="62386" spans="191:191" x14ac:dyDescent="0.2">
      <c r="GI62386" s="422"/>
    </row>
    <row r="62387" spans="191:191" x14ac:dyDescent="0.2">
      <c r="GI62387" s="422"/>
    </row>
    <row r="62388" spans="191:191" x14ac:dyDescent="0.2">
      <c r="GI62388" s="422"/>
    </row>
    <row r="62389" spans="191:191" x14ac:dyDescent="0.2">
      <c r="GI62389" s="422"/>
    </row>
    <row r="62390" spans="191:191" x14ac:dyDescent="0.2">
      <c r="GI62390" s="422"/>
    </row>
    <row r="62391" spans="191:191" x14ac:dyDescent="0.2">
      <c r="GI62391" s="422"/>
    </row>
    <row r="62392" spans="191:191" x14ac:dyDescent="0.2">
      <c r="GI62392" s="422"/>
    </row>
    <row r="62393" spans="191:191" x14ac:dyDescent="0.2">
      <c r="GI62393" s="422"/>
    </row>
    <row r="62394" spans="191:191" x14ac:dyDescent="0.2">
      <c r="GI62394" s="422"/>
    </row>
    <row r="62395" spans="191:191" x14ac:dyDescent="0.2">
      <c r="GI62395" s="422"/>
    </row>
    <row r="62396" spans="191:191" x14ac:dyDescent="0.2">
      <c r="GI62396" s="422"/>
    </row>
    <row r="62397" spans="191:191" x14ac:dyDescent="0.2">
      <c r="GI62397" s="422"/>
    </row>
    <row r="62398" spans="191:191" x14ac:dyDescent="0.2">
      <c r="GI62398" s="422"/>
    </row>
    <row r="62399" spans="191:191" x14ac:dyDescent="0.2">
      <c r="GI62399" s="422"/>
    </row>
    <row r="62400" spans="191:191" x14ac:dyDescent="0.2">
      <c r="GI62400" s="422"/>
    </row>
    <row r="62401" spans="191:191" x14ac:dyDescent="0.2">
      <c r="GI62401" s="422"/>
    </row>
    <row r="62402" spans="191:191" x14ac:dyDescent="0.2">
      <c r="GI62402" s="422"/>
    </row>
    <row r="62403" spans="191:191" x14ac:dyDescent="0.2">
      <c r="GI62403" s="422"/>
    </row>
    <row r="62404" spans="191:191" x14ac:dyDescent="0.2">
      <c r="GI62404" s="422"/>
    </row>
    <row r="62405" spans="191:191" x14ac:dyDescent="0.2">
      <c r="GI62405" s="422"/>
    </row>
    <row r="62406" spans="191:191" x14ac:dyDescent="0.2">
      <c r="GI62406" s="422"/>
    </row>
    <row r="62407" spans="191:191" x14ac:dyDescent="0.2">
      <c r="GI62407" s="422"/>
    </row>
    <row r="62408" spans="191:191" x14ac:dyDescent="0.2">
      <c r="GI62408" s="422"/>
    </row>
    <row r="62409" spans="191:191" x14ac:dyDescent="0.2">
      <c r="GI62409" s="422"/>
    </row>
    <row r="62410" spans="191:191" x14ac:dyDescent="0.2">
      <c r="GI62410" s="422"/>
    </row>
    <row r="62411" spans="191:191" x14ac:dyDescent="0.2">
      <c r="GI62411" s="422"/>
    </row>
    <row r="62412" spans="191:191" x14ac:dyDescent="0.2">
      <c r="GI62412" s="422"/>
    </row>
    <row r="62413" spans="191:191" x14ac:dyDescent="0.2">
      <c r="GI62413" s="422"/>
    </row>
    <row r="62414" spans="191:191" x14ac:dyDescent="0.2">
      <c r="GI62414" s="422"/>
    </row>
    <row r="62415" spans="191:191" x14ac:dyDescent="0.2">
      <c r="GI62415" s="422"/>
    </row>
    <row r="62416" spans="191:191" x14ac:dyDescent="0.2">
      <c r="GI62416" s="422"/>
    </row>
    <row r="62417" spans="191:191" x14ac:dyDescent="0.2">
      <c r="GI62417" s="422"/>
    </row>
    <row r="62418" spans="191:191" x14ac:dyDescent="0.2">
      <c r="GI62418" s="422"/>
    </row>
    <row r="62419" spans="191:191" x14ac:dyDescent="0.2">
      <c r="GI62419" s="422"/>
    </row>
    <row r="62420" spans="191:191" x14ac:dyDescent="0.2">
      <c r="GI62420" s="422"/>
    </row>
    <row r="62421" spans="191:191" x14ac:dyDescent="0.2">
      <c r="GI62421" s="422"/>
    </row>
    <row r="62422" spans="191:191" x14ac:dyDescent="0.2">
      <c r="GI62422" s="422"/>
    </row>
    <row r="62423" spans="191:191" x14ac:dyDescent="0.2">
      <c r="GI62423" s="422"/>
    </row>
    <row r="62424" spans="191:191" x14ac:dyDescent="0.2">
      <c r="GI62424" s="422"/>
    </row>
    <row r="62425" spans="191:191" x14ac:dyDescent="0.2">
      <c r="GI62425" s="422"/>
    </row>
    <row r="62426" spans="191:191" x14ac:dyDescent="0.2">
      <c r="GI62426" s="422"/>
    </row>
    <row r="62427" spans="191:191" x14ac:dyDescent="0.2">
      <c r="GI62427" s="422"/>
    </row>
    <row r="62428" spans="191:191" x14ac:dyDescent="0.2">
      <c r="GI62428" s="422"/>
    </row>
    <row r="62429" spans="191:191" x14ac:dyDescent="0.2">
      <c r="GI62429" s="422"/>
    </row>
    <row r="62430" spans="191:191" x14ac:dyDescent="0.2">
      <c r="GI62430" s="422"/>
    </row>
    <row r="62431" spans="191:191" x14ac:dyDescent="0.2">
      <c r="GI62431" s="422"/>
    </row>
    <row r="62432" spans="191:191" x14ac:dyDescent="0.2">
      <c r="GI62432" s="422"/>
    </row>
    <row r="62433" spans="191:191" x14ac:dyDescent="0.2">
      <c r="GI62433" s="422"/>
    </row>
    <row r="62434" spans="191:191" x14ac:dyDescent="0.2">
      <c r="GI62434" s="422"/>
    </row>
    <row r="62435" spans="191:191" x14ac:dyDescent="0.2">
      <c r="GI62435" s="422"/>
    </row>
    <row r="62436" spans="191:191" x14ac:dyDescent="0.2">
      <c r="GI62436" s="422"/>
    </row>
    <row r="62437" spans="191:191" x14ac:dyDescent="0.2">
      <c r="GI62437" s="422"/>
    </row>
    <row r="62438" spans="191:191" x14ac:dyDescent="0.2">
      <c r="GI62438" s="422"/>
    </row>
    <row r="62439" spans="191:191" x14ac:dyDescent="0.2">
      <c r="GI62439" s="422"/>
    </row>
    <row r="62440" spans="191:191" x14ac:dyDescent="0.2">
      <c r="GI62440" s="422"/>
    </row>
    <row r="62441" spans="191:191" x14ac:dyDescent="0.2">
      <c r="GI62441" s="422"/>
    </row>
    <row r="62442" spans="191:191" x14ac:dyDescent="0.2">
      <c r="GI62442" s="422"/>
    </row>
    <row r="62443" spans="191:191" x14ac:dyDescent="0.2">
      <c r="GI62443" s="422"/>
    </row>
    <row r="62444" spans="191:191" x14ac:dyDescent="0.2">
      <c r="GI62444" s="422"/>
    </row>
    <row r="62445" spans="191:191" x14ac:dyDescent="0.2">
      <c r="GI62445" s="422"/>
    </row>
    <row r="62446" spans="191:191" x14ac:dyDescent="0.2">
      <c r="GI62446" s="422"/>
    </row>
    <row r="62447" spans="191:191" x14ac:dyDescent="0.2">
      <c r="GI62447" s="422"/>
    </row>
    <row r="62448" spans="191:191" x14ac:dyDescent="0.2">
      <c r="GI62448" s="422"/>
    </row>
    <row r="62449" spans="191:191" x14ac:dyDescent="0.2">
      <c r="GI62449" s="422"/>
    </row>
    <row r="62450" spans="191:191" x14ac:dyDescent="0.2">
      <c r="GI62450" s="422"/>
    </row>
    <row r="62451" spans="191:191" x14ac:dyDescent="0.2">
      <c r="GI62451" s="422"/>
    </row>
    <row r="62452" spans="191:191" x14ac:dyDescent="0.2">
      <c r="GI62452" s="422"/>
    </row>
    <row r="62453" spans="191:191" x14ac:dyDescent="0.2">
      <c r="GI62453" s="422"/>
    </row>
    <row r="62454" spans="191:191" x14ac:dyDescent="0.2">
      <c r="GI62454" s="422"/>
    </row>
    <row r="62455" spans="191:191" x14ac:dyDescent="0.2">
      <c r="GI62455" s="422"/>
    </row>
    <row r="62456" spans="191:191" x14ac:dyDescent="0.2">
      <c r="GI62456" s="422"/>
    </row>
    <row r="62457" spans="191:191" x14ac:dyDescent="0.2">
      <c r="GI62457" s="422"/>
    </row>
    <row r="62458" spans="191:191" x14ac:dyDescent="0.2">
      <c r="GI62458" s="422"/>
    </row>
    <row r="62459" spans="191:191" x14ac:dyDescent="0.2">
      <c r="GI62459" s="422"/>
    </row>
    <row r="62460" spans="191:191" x14ac:dyDescent="0.2">
      <c r="GI62460" s="422"/>
    </row>
    <row r="62461" spans="191:191" x14ac:dyDescent="0.2">
      <c r="GI62461" s="422"/>
    </row>
    <row r="62462" spans="191:191" x14ac:dyDescent="0.2">
      <c r="GI62462" s="422"/>
    </row>
    <row r="62463" spans="191:191" x14ac:dyDescent="0.2">
      <c r="GI62463" s="422"/>
    </row>
    <row r="62464" spans="191:191" x14ac:dyDescent="0.2">
      <c r="GI62464" s="422"/>
    </row>
    <row r="62465" spans="191:191" x14ac:dyDescent="0.2">
      <c r="GI62465" s="422"/>
    </row>
    <row r="62466" spans="191:191" x14ac:dyDescent="0.2">
      <c r="GI62466" s="422"/>
    </row>
    <row r="62467" spans="191:191" x14ac:dyDescent="0.2">
      <c r="GI62467" s="422"/>
    </row>
    <row r="62468" spans="191:191" x14ac:dyDescent="0.2">
      <c r="GI62468" s="422"/>
    </row>
    <row r="62469" spans="191:191" x14ac:dyDescent="0.2">
      <c r="GI62469" s="422"/>
    </row>
    <row r="62470" spans="191:191" x14ac:dyDescent="0.2">
      <c r="GI62470" s="422"/>
    </row>
    <row r="62471" spans="191:191" x14ac:dyDescent="0.2">
      <c r="GI62471" s="422"/>
    </row>
    <row r="62472" spans="191:191" x14ac:dyDescent="0.2">
      <c r="GI62472" s="422"/>
    </row>
    <row r="62473" spans="191:191" x14ac:dyDescent="0.2">
      <c r="GI62473" s="422"/>
    </row>
    <row r="62474" spans="191:191" x14ac:dyDescent="0.2">
      <c r="GI62474" s="422"/>
    </row>
    <row r="62475" spans="191:191" x14ac:dyDescent="0.2">
      <c r="GI62475" s="422"/>
    </row>
    <row r="62476" spans="191:191" x14ac:dyDescent="0.2">
      <c r="GI62476" s="422"/>
    </row>
    <row r="62477" spans="191:191" x14ac:dyDescent="0.2">
      <c r="GI62477" s="422"/>
    </row>
    <row r="62478" spans="191:191" x14ac:dyDescent="0.2">
      <c r="GI62478" s="422"/>
    </row>
    <row r="62479" spans="191:191" x14ac:dyDescent="0.2">
      <c r="GI62479" s="422"/>
    </row>
    <row r="62480" spans="191:191" x14ac:dyDescent="0.2">
      <c r="GI62480" s="422"/>
    </row>
    <row r="62481" spans="191:191" x14ac:dyDescent="0.2">
      <c r="GI62481" s="422"/>
    </row>
    <row r="62482" spans="191:191" x14ac:dyDescent="0.2">
      <c r="GI62482" s="422"/>
    </row>
    <row r="62483" spans="191:191" x14ac:dyDescent="0.2">
      <c r="GI62483" s="422"/>
    </row>
    <row r="62484" spans="191:191" x14ac:dyDescent="0.2">
      <c r="GI62484" s="422"/>
    </row>
    <row r="62485" spans="191:191" x14ac:dyDescent="0.2">
      <c r="GI62485" s="422"/>
    </row>
    <row r="62486" spans="191:191" x14ac:dyDescent="0.2">
      <c r="GI62486" s="422"/>
    </row>
    <row r="62487" spans="191:191" x14ac:dyDescent="0.2">
      <c r="GI62487" s="422"/>
    </row>
    <row r="62488" spans="191:191" x14ac:dyDescent="0.2">
      <c r="GI62488" s="422"/>
    </row>
    <row r="62489" spans="191:191" x14ac:dyDescent="0.2">
      <c r="GI62489" s="422"/>
    </row>
    <row r="62490" spans="191:191" x14ac:dyDescent="0.2">
      <c r="GI62490" s="422"/>
    </row>
    <row r="62491" spans="191:191" x14ac:dyDescent="0.2">
      <c r="GI62491" s="422"/>
    </row>
    <row r="62492" spans="191:191" x14ac:dyDescent="0.2">
      <c r="GI62492" s="422"/>
    </row>
    <row r="62493" spans="191:191" x14ac:dyDescent="0.2">
      <c r="GI62493" s="422"/>
    </row>
    <row r="62494" spans="191:191" x14ac:dyDescent="0.2">
      <c r="GI62494" s="422"/>
    </row>
    <row r="62495" spans="191:191" x14ac:dyDescent="0.2">
      <c r="GI62495" s="422"/>
    </row>
    <row r="62496" spans="191:191" x14ac:dyDescent="0.2">
      <c r="GI62496" s="422"/>
    </row>
    <row r="62497" spans="191:191" x14ac:dyDescent="0.2">
      <c r="GI62497" s="422"/>
    </row>
    <row r="62498" spans="191:191" x14ac:dyDescent="0.2">
      <c r="GI62498" s="422"/>
    </row>
    <row r="62499" spans="191:191" x14ac:dyDescent="0.2">
      <c r="GI62499" s="422"/>
    </row>
    <row r="62500" spans="191:191" x14ac:dyDescent="0.2">
      <c r="GI62500" s="422"/>
    </row>
    <row r="62501" spans="191:191" x14ac:dyDescent="0.2">
      <c r="GI62501" s="422"/>
    </row>
    <row r="62502" spans="191:191" x14ac:dyDescent="0.2">
      <c r="GI62502" s="422"/>
    </row>
    <row r="62503" spans="191:191" x14ac:dyDescent="0.2">
      <c r="GI62503" s="422"/>
    </row>
    <row r="62504" spans="191:191" x14ac:dyDescent="0.2">
      <c r="GI62504" s="422"/>
    </row>
    <row r="62505" spans="191:191" x14ac:dyDescent="0.2">
      <c r="GI62505" s="422"/>
    </row>
    <row r="62506" spans="191:191" x14ac:dyDescent="0.2">
      <c r="GI62506" s="422"/>
    </row>
    <row r="62507" spans="191:191" x14ac:dyDescent="0.2">
      <c r="GI62507" s="422"/>
    </row>
    <row r="62508" spans="191:191" x14ac:dyDescent="0.2">
      <c r="GI62508" s="422"/>
    </row>
    <row r="62509" spans="191:191" x14ac:dyDescent="0.2">
      <c r="GI62509" s="422"/>
    </row>
    <row r="62510" spans="191:191" x14ac:dyDescent="0.2">
      <c r="GI62510" s="422"/>
    </row>
    <row r="62511" spans="191:191" x14ac:dyDescent="0.2">
      <c r="GI62511" s="422"/>
    </row>
    <row r="62512" spans="191:191" x14ac:dyDescent="0.2">
      <c r="GI62512" s="422"/>
    </row>
    <row r="62513" spans="191:191" x14ac:dyDescent="0.2">
      <c r="GI62513" s="422"/>
    </row>
    <row r="62514" spans="191:191" x14ac:dyDescent="0.2">
      <c r="GI62514" s="422"/>
    </row>
    <row r="62515" spans="191:191" x14ac:dyDescent="0.2">
      <c r="GI62515" s="422"/>
    </row>
    <row r="62516" spans="191:191" x14ac:dyDescent="0.2">
      <c r="GI62516" s="422"/>
    </row>
    <row r="62517" spans="191:191" x14ac:dyDescent="0.2">
      <c r="GI62517" s="422"/>
    </row>
    <row r="62518" spans="191:191" x14ac:dyDescent="0.2">
      <c r="GI62518" s="422"/>
    </row>
    <row r="62519" spans="191:191" x14ac:dyDescent="0.2">
      <c r="GI62519" s="422"/>
    </row>
    <row r="62520" spans="191:191" x14ac:dyDescent="0.2">
      <c r="GI62520" s="422"/>
    </row>
    <row r="62521" spans="191:191" x14ac:dyDescent="0.2">
      <c r="GI62521" s="422"/>
    </row>
    <row r="62522" spans="191:191" x14ac:dyDescent="0.2">
      <c r="GI62522" s="422"/>
    </row>
    <row r="62523" spans="191:191" x14ac:dyDescent="0.2">
      <c r="GI62523" s="422"/>
    </row>
    <row r="62524" spans="191:191" x14ac:dyDescent="0.2">
      <c r="GI62524" s="422"/>
    </row>
    <row r="62525" spans="191:191" x14ac:dyDescent="0.2">
      <c r="GI62525" s="422"/>
    </row>
    <row r="62526" spans="191:191" x14ac:dyDescent="0.2">
      <c r="GI62526" s="422"/>
    </row>
    <row r="62527" spans="191:191" x14ac:dyDescent="0.2">
      <c r="GI62527" s="422"/>
    </row>
    <row r="62528" spans="191:191" x14ac:dyDescent="0.2">
      <c r="GI62528" s="422"/>
    </row>
    <row r="62529" spans="191:191" x14ac:dyDescent="0.2">
      <c r="GI62529" s="422"/>
    </row>
    <row r="62530" spans="191:191" x14ac:dyDescent="0.2">
      <c r="GI62530" s="422"/>
    </row>
    <row r="62531" spans="191:191" x14ac:dyDescent="0.2">
      <c r="GI62531" s="422"/>
    </row>
    <row r="62532" spans="191:191" x14ac:dyDescent="0.2">
      <c r="GI62532" s="422"/>
    </row>
    <row r="62533" spans="191:191" x14ac:dyDescent="0.2">
      <c r="GI62533" s="422"/>
    </row>
    <row r="62534" spans="191:191" x14ac:dyDescent="0.2">
      <c r="GI62534" s="422"/>
    </row>
    <row r="62535" spans="191:191" x14ac:dyDescent="0.2">
      <c r="GI62535" s="422"/>
    </row>
    <row r="62536" spans="191:191" x14ac:dyDescent="0.2">
      <c r="GI62536" s="422"/>
    </row>
    <row r="62537" spans="191:191" x14ac:dyDescent="0.2">
      <c r="GI62537" s="422"/>
    </row>
    <row r="62538" spans="191:191" x14ac:dyDescent="0.2">
      <c r="GI62538" s="422"/>
    </row>
    <row r="62539" spans="191:191" x14ac:dyDescent="0.2">
      <c r="GI62539" s="422"/>
    </row>
    <row r="62540" spans="191:191" x14ac:dyDescent="0.2">
      <c r="GI62540" s="422"/>
    </row>
    <row r="62541" spans="191:191" x14ac:dyDescent="0.2">
      <c r="GI62541" s="422"/>
    </row>
    <row r="62542" spans="191:191" x14ac:dyDescent="0.2">
      <c r="GI62542" s="422"/>
    </row>
    <row r="62543" spans="191:191" x14ac:dyDescent="0.2">
      <c r="GI62543" s="422"/>
    </row>
    <row r="62544" spans="191:191" x14ac:dyDescent="0.2">
      <c r="GI62544" s="422"/>
    </row>
    <row r="62545" spans="191:191" x14ac:dyDescent="0.2">
      <c r="GI62545" s="422"/>
    </row>
    <row r="62546" spans="191:191" x14ac:dyDescent="0.2">
      <c r="GI62546" s="422"/>
    </row>
    <row r="62547" spans="191:191" x14ac:dyDescent="0.2">
      <c r="GI62547" s="422"/>
    </row>
    <row r="62548" spans="191:191" x14ac:dyDescent="0.2">
      <c r="GI62548" s="422"/>
    </row>
    <row r="62549" spans="191:191" x14ac:dyDescent="0.2">
      <c r="GI62549" s="422"/>
    </row>
    <row r="62550" spans="191:191" x14ac:dyDescent="0.2">
      <c r="GI62550" s="422"/>
    </row>
    <row r="62551" spans="191:191" x14ac:dyDescent="0.2">
      <c r="GI62551" s="422"/>
    </row>
    <row r="62552" spans="191:191" x14ac:dyDescent="0.2">
      <c r="GI62552" s="422"/>
    </row>
    <row r="62553" spans="191:191" x14ac:dyDescent="0.2">
      <c r="GI62553" s="422"/>
    </row>
    <row r="62554" spans="191:191" x14ac:dyDescent="0.2">
      <c r="GI62554" s="422"/>
    </row>
    <row r="62555" spans="191:191" x14ac:dyDescent="0.2">
      <c r="GI62555" s="422"/>
    </row>
    <row r="62556" spans="191:191" x14ac:dyDescent="0.2">
      <c r="GI62556" s="422"/>
    </row>
    <row r="62557" spans="191:191" x14ac:dyDescent="0.2">
      <c r="GI62557" s="422"/>
    </row>
    <row r="62558" spans="191:191" x14ac:dyDescent="0.2">
      <c r="GI62558" s="422"/>
    </row>
    <row r="62559" spans="191:191" x14ac:dyDescent="0.2">
      <c r="GI62559" s="422"/>
    </row>
    <row r="62560" spans="191:191" x14ac:dyDescent="0.2">
      <c r="GI62560" s="422"/>
    </row>
    <row r="62561" spans="191:191" x14ac:dyDescent="0.2">
      <c r="GI62561" s="422"/>
    </row>
    <row r="62562" spans="191:191" x14ac:dyDescent="0.2">
      <c r="GI62562" s="422"/>
    </row>
    <row r="62563" spans="191:191" x14ac:dyDescent="0.2">
      <c r="GI62563" s="422"/>
    </row>
    <row r="62564" spans="191:191" x14ac:dyDescent="0.2">
      <c r="GI62564" s="422"/>
    </row>
    <row r="62565" spans="191:191" x14ac:dyDescent="0.2">
      <c r="GI62565" s="422"/>
    </row>
    <row r="62566" spans="191:191" x14ac:dyDescent="0.2">
      <c r="GI62566" s="422"/>
    </row>
    <row r="62567" spans="191:191" x14ac:dyDescent="0.2">
      <c r="GI62567" s="422"/>
    </row>
    <row r="62568" spans="191:191" x14ac:dyDescent="0.2">
      <c r="GI62568" s="422"/>
    </row>
    <row r="62569" spans="191:191" x14ac:dyDescent="0.2">
      <c r="GI62569" s="422"/>
    </row>
    <row r="62570" spans="191:191" x14ac:dyDescent="0.2">
      <c r="GI62570" s="422"/>
    </row>
    <row r="62571" spans="191:191" x14ac:dyDescent="0.2">
      <c r="GI62571" s="422"/>
    </row>
    <row r="62572" spans="191:191" x14ac:dyDescent="0.2">
      <c r="GI62572" s="422"/>
    </row>
    <row r="62573" spans="191:191" x14ac:dyDescent="0.2">
      <c r="GI62573" s="422"/>
    </row>
    <row r="62574" spans="191:191" x14ac:dyDescent="0.2">
      <c r="GI62574" s="422"/>
    </row>
    <row r="62575" spans="191:191" x14ac:dyDescent="0.2">
      <c r="GI62575" s="422"/>
    </row>
    <row r="62576" spans="191:191" x14ac:dyDescent="0.2">
      <c r="GI62576" s="422"/>
    </row>
    <row r="62577" spans="191:191" x14ac:dyDescent="0.2">
      <c r="GI62577" s="422"/>
    </row>
    <row r="62578" spans="191:191" x14ac:dyDescent="0.2">
      <c r="GI62578" s="422"/>
    </row>
    <row r="62579" spans="191:191" x14ac:dyDescent="0.2">
      <c r="GI62579" s="422"/>
    </row>
    <row r="62580" spans="191:191" x14ac:dyDescent="0.2">
      <c r="GI62580" s="422"/>
    </row>
    <row r="62581" spans="191:191" x14ac:dyDescent="0.2">
      <c r="GI62581" s="422"/>
    </row>
    <row r="62582" spans="191:191" x14ac:dyDescent="0.2">
      <c r="GI62582" s="422"/>
    </row>
    <row r="62583" spans="191:191" x14ac:dyDescent="0.2">
      <c r="GI62583" s="422"/>
    </row>
    <row r="62584" spans="191:191" x14ac:dyDescent="0.2">
      <c r="GI62584" s="422"/>
    </row>
    <row r="62585" spans="191:191" x14ac:dyDescent="0.2">
      <c r="GI62585" s="422"/>
    </row>
    <row r="62586" spans="191:191" x14ac:dyDescent="0.2">
      <c r="GI62586" s="422"/>
    </row>
    <row r="62587" spans="191:191" x14ac:dyDescent="0.2">
      <c r="GI62587" s="422"/>
    </row>
    <row r="62588" spans="191:191" x14ac:dyDescent="0.2">
      <c r="GI62588" s="422"/>
    </row>
    <row r="62589" spans="191:191" x14ac:dyDescent="0.2">
      <c r="GI62589" s="422"/>
    </row>
    <row r="62590" spans="191:191" x14ac:dyDescent="0.2">
      <c r="GI62590" s="422"/>
    </row>
    <row r="62591" spans="191:191" x14ac:dyDescent="0.2">
      <c r="GI62591" s="422"/>
    </row>
    <row r="62592" spans="191:191" x14ac:dyDescent="0.2">
      <c r="GI62592" s="422"/>
    </row>
    <row r="62593" spans="191:191" x14ac:dyDescent="0.2">
      <c r="GI62593" s="422"/>
    </row>
    <row r="62594" spans="191:191" x14ac:dyDescent="0.2">
      <c r="GI62594" s="422"/>
    </row>
    <row r="62595" spans="191:191" x14ac:dyDescent="0.2">
      <c r="GI62595" s="422"/>
    </row>
    <row r="62596" spans="191:191" x14ac:dyDescent="0.2">
      <c r="GI62596" s="422"/>
    </row>
    <row r="62597" spans="191:191" x14ac:dyDescent="0.2">
      <c r="GI62597" s="422"/>
    </row>
    <row r="62598" spans="191:191" x14ac:dyDescent="0.2">
      <c r="GI62598" s="422"/>
    </row>
    <row r="62599" spans="191:191" x14ac:dyDescent="0.2">
      <c r="GI62599" s="422"/>
    </row>
    <row r="62600" spans="191:191" x14ac:dyDescent="0.2">
      <c r="GI62600" s="422"/>
    </row>
    <row r="62601" spans="191:191" x14ac:dyDescent="0.2">
      <c r="GI62601" s="422"/>
    </row>
    <row r="62602" spans="191:191" x14ac:dyDescent="0.2">
      <c r="GI62602" s="422"/>
    </row>
    <row r="62603" spans="191:191" x14ac:dyDescent="0.2">
      <c r="GI62603" s="422"/>
    </row>
    <row r="62604" spans="191:191" x14ac:dyDescent="0.2">
      <c r="GI62604" s="422"/>
    </row>
    <row r="62605" spans="191:191" x14ac:dyDescent="0.2">
      <c r="GI62605" s="422"/>
    </row>
    <row r="62606" spans="191:191" x14ac:dyDescent="0.2">
      <c r="GI62606" s="422"/>
    </row>
    <row r="62607" spans="191:191" x14ac:dyDescent="0.2">
      <c r="GI62607" s="422"/>
    </row>
    <row r="62608" spans="191:191" x14ac:dyDescent="0.2">
      <c r="GI62608" s="422"/>
    </row>
    <row r="62609" spans="191:191" x14ac:dyDescent="0.2">
      <c r="GI62609" s="422"/>
    </row>
    <row r="62610" spans="191:191" x14ac:dyDescent="0.2">
      <c r="GI62610" s="422"/>
    </row>
    <row r="62611" spans="191:191" x14ac:dyDescent="0.2">
      <c r="GI62611" s="422"/>
    </row>
    <row r="62612" spans="191:191" x14ac:dyDescent="0.2">
      <c r="GI62612" s="422"/>
    </row>
    <row r="62613" spans="191:191" x14ac:dyDescent="0.2">
      <c r="GI62613" s="422"/>
    </row>
    <row r="62614" spans="191:191" x14ac:dyDescent="0.2">
      <c r="GI62614" s="422"/>
    </row>
    <row r="62615" spans="191:191" x14ac:dyDescent="0.2">
      <c r="GI62615" s="422"/>
    </row>
    <row r="62616" spans="191:191" x14ac:dyDescent="0.2">
      <c r="GI62616" s="422"/>
    </row>
    <row r="62617" spans="191:191" x14ac:dyDescent="0.2">
      <c r="GI62617" s="422"/>
    </row>
    <row r="62618" spans="191:191" x14ac:dyDescent="0.2">
      <c r="GI62618" s="422"/>
    </row>
    <row r="62619" spans="191:191" x14ac:dyDescent="0.2">
      <c r="GI62619" s="422"/>
    </row>
    <row r="62620" spans="191:191" x14ac:dyDescent="0.2">
      <c r="GI62620" s="422"/>
    </row>
    <row r="62621" spans="191:191" x14ac:dyDescent="0.2">
      <c r="GI62621" s="422"/>
    </row>
    <row r="62622" spans="191:191" x14ac:dyDescent="0.2">
      <c r="GI62622" s="422"/>
    </row>
    <row r="62623" spans="191:191" x14ac:dyDescent="0.2">
      <c r="GI62623" s="422"/>
    </row>
    <row r="62624" spans="191:191" x14ac:dyDescent="0.2">
      <c r="GI62624" s="422"/>
    </row>
    <row r="62625" spans="191:191" x14ac:dyDescent="0.2">
      <c r="GI62625" s="422"/>
    </row>
    <row r="62626" spans="191:191" x14ac:dyDescent="0.2">
      <c r="GI62626" s="422"/>
    </row>
    <row r="62627" spans="191:191" x14ac:dyDescent="0.2">
      <c r="GI62627" s="422"/>
    </row>
    <row r="62628" spans="191:191" x14ac:dyDescent="0.2">
      <c r="GI62628" s="422"/>
    </row>
    <row r="62629" spans="191:191" x14ac:dyDescent="0.2">
      <c r="GI62629" s="422"/>
    </row>
    <row r="62630" spans="191:191" x14ac:dyDescent="0.2">
      <c r="GI62630" s="422"/>
    </row>
    <row r="62631" spans="191:191" x14ac:dyDescent="0.2">
      <c r="GI62631" s="422"/>
    </row>
    <row r="62632" spans="191:191" x14ac:dyDescent="0.2">
      <c r="GI62632" s="422"/>
    </row>
    <row r="62633" spans="191:191" x14ac:dyDescent="0.2">
      <c r="GI62633" s="422"/>
    </row>
    <row r="62634" spans="191:191" x14ac:dyDescent="0.2">
      <c r="GI62634" s="422"/>
    </row>
    <row r="62635" spans="191:191" x14ac:dyDescent="0.2">
      <c r="GI62635" s="422"/>
    </row>
    <row r="62636" spans="191:191" x14ac:dyDescent="0.2">
      <c r="GI62636" s="422"/>
    </row>
    <row r="62637" spans="191:191" x14ac:dyDescent="0.2">
      <c r="GI62637" s="422"/>
    </row>
    <row r="62638" spans="191:191" x14ac:dyDescent="0.2">
      <c r="GI62638" s="422"/>
    </row>
    <row r="62639" spans="191:191" x14ac:dyDescent="0.2">
      <c r="GI62639" s="422"/>
    </row>
    <row r="62640" spans="191:191" x14ac:dyDescent="0.2">
      <c r="GI62640" s="422"/>
    </row>
    <row r="62641" spans="191:191" x14ac:dyDescent="0.2">
      <c r="GI62641" s="422"/>
    </row>
    <row r="62642" spans="191:191" x14ac:dyDescent="0.2">
      <c r="GI62642" s="422"/>
    </row>
    <row r="62643" spans="191:191" x14ac:dyDescent="0.2">
      <c r="GI62643" s="422"/>
    </row>
    <row r="62644" spans="191:191" x14ac:dyDescent="0.2">
      <c r="GI62644" s="422"/>
    </row>
    <row r="62645" spans="191:191" x14ac:dyDescent="0.2">
      <c r="GI62645" s="422"/>
    </row>
    <row r="62646" spans="191:191" x14ac:dyDescent="0.2">
      <c r="GI62646" s="422"/>
    </row>
    <row r="62647" spans="191:191" x14ac:dyDescent="0.2">
      <c r="GI62647" s="422"/>
    </row>
    <row r="62648" spans="191:191" x14ac:dyDescent="0.2">
      <c r="GI62648" s="422"/>
    </row>
    <row r="62649" spans="191:191" x14ac:dyDescent="0.2">
      <c r="GI62649" s="422"/>
    </row>
    <row r="62650" spans="191:191" x14ac:dyDescent="0.2">
      <c r="GI62650" s="422"/>
    </row>
    <row r="62651" spans="191:191" x14ac:dyDescent="0.2">
      <c r="GI62651" s="422"/>
    </row>
    <row r="62652" spans="191:191" x14ac:dyDescent="0.2">
      <c r="GI62652" s="422"/>
    </row>
    <row r="62653" spans="191:191" x14ac:dyDescent="0.2">
      <c r="GI62653" s="422"/>
    </row>
    <row r="62654" spans="191:191" x14ac:dyDescent="0.2">
      <c r="GI62654" s="422"/>
    </row>
    <row r="62655" spans="191:191" x14ac:dyDescent="0.2">
      <c r="GI62655" s="422"/>
    </row>
    <row r="62656" spans="191:191" x14ac:dyDescent="0.2">
      <c r="GI62656" s="422"/>
    </row>
    <row r="62657" spans="191:191" x14ac:dyDescent="0.2">
      <c r="GI62657" s="422"/>
    </row>
    <row r="62658" spans="191:191" x14ac:dyDescent="0.2">
      <c r="GI62658" s="422"/>
    </row>
    <row r="62659" spans="191:191" x14ac:dyDescent="0.2">
      <c r="GI62659" s="422"/>
    </row>
    <row r="62660" spans="191:191" x14ac:dyDescent="0.2">
      <c r="GI62660" s="422"/>
    </row>
    <row r="62661" spans="191:191" x14ac:dyDescent="0.2">
      <c r="GI62661" s="422"/>
    </row>
    <row r="62662" spans="191:191" x14ac:dyDescent="0.2">
      <c r="GI62662" s="422"/>
    </row>
    <row r="62663" spans="191:191" x14ac:dyDescent="0.2">
      <c r="GI62663" s="422"/>
    </row>
    <row r="62664" spans="191:191" x14ac:dyDescent="0.2">
      <c r="GI62664" s="422"/>
    </row>
    <row r="62665" spans="191:191" x14ac:dyDescent="0.2">
      <c r="GI62665" s="422"/>
    </row>
    <row r="62666" spans="191:191" x14ac:dyDescent="0.2">
      <c r="GI62666" s="422"/>
    </row>
    <row r="62667" spans="191:191" x14ac:dyDescent="0.2">
      <c r="GI62667" s="422"/>
    </row>
    <row r="62668" spans="191:191" x14ac:dyDescent="0.2">
      <c r="GI62668" s="422"/>
    </row>
    <row r="62669" spans="191:191" x14ac:dyDescent="0.2">
      <c r="GI62669" s="422"/>
    </row>
    <row r="62670" spans="191:191" x14ac:dyDescent="0.2">
      <c r="GI62670" s="422"/>
    </row>
    <row r="62671" spans="191:191" x14ac:dyDescent="0.2">
      <c r="GI62671" s="422"/>
    </row>
    <row r="62672" spans="191:191" x14ac:dyDescent="0.2">
      <c r="GI62672" s="422"/>
    </row>
    <row r="62673" spans="191:191" x14ac:dyDescent="0.2">
      <c r="GI62673" s="422"/>
    </row>
    <row r="62674" spans="191:191" x14ac:dyDescent="0.2">
      <c r="GI62674" s="422"/>
    </row>
    <row r="62675" spans="191:191" x14ac:dyDescent="0.2">
      <c r="GI62675" s="422"/>
    </row>
    <row r="62676" spans="191:191" x14ac:dyDescent="0.2">
      <c r="GI62676" s="422"/>
    </row>
    <row r="62677" spans="191:191" x14ac:dyDescent="0.2">
      <c r="GI62677" s="422"/>
    </row>
    <row r="62678" spans="191:191" x14ac:dyDescent="0.2">
      <c r="GI62678" s="422"/>
    </row>
    <row r="62679" spans="191:191" x14ac:dyDescent="0.2">
      <c r="GI62679" s="422"/>
    </row>
    <row r="62680" spans="191:191" x14ac:dyDescent="0.2">
      <c r="GI62680" s="422"/>
    </row>
    <row r="62681" spans="191:191" x14ac:dyDescent="0.2">
      <c r="GI62681" s="422"/>
    </row>
    <row r="62682" spans="191:191" x14ac:dyDescent="0.2">
      <c r="GI62682" s="422"/>
    </row>
    <row r="62683" spans="191:191" x14ac:dyDescent="0.2">
      <c r="GI62683" s="422"/>
    </row>
    <row r="62684" spans="191:191" x14ac:dyDescent="0.2">
      <c r="GI62684" s="422"/>
    </row>
    <row r="62685" spans="191:191" x14ac:dyDescent="0.2">
      <c r="GI62685" s="422"/>
    </row>
    <row r="62686" spans="191:191" x14ac:dyDescent="0.2">
      <c r="GI62686" s="422"/>
    </row>
    <row r="62687" spans="191:191" x14ac:dyDescent="0.2">
      <c r="GI62687" s="422"/>
    </row>
    <row r="62688" spans="191:191" x14ac:dyDescent="0.2">
      <c r="GI62688" s="422"/>
    </row>
    <row r="62689" spans="191:191" x14ac:dyDescent="0.2">
      <c r="GI62689" s="422"/>
    </row>
    <row r="62690" spans="191:191" x14ac:dyDescent="0.2">
      <c r="GI62690" s="422"/>
    </row>
    <row r="62691" spans="191:191" x14ac:dyDescent="0.2">
      <c r="GI62691" s="422"/>
    </row>
    <row r="62692" spans="191:191" x14ac:dyDescent="0.2">
      <c r="GI62692" s="422"/>
    </row>
    <row r="62693" spans="191:191" x14ac:dyDescent="0.2">
      <c r="GI62693" s="422"/>
    </row>
    <row r="62694" spans="191:191" x14ac:dyDescent="0.2">
      <c r="GI62694" s="422"/>
    </row>
    <row r="62695" spans="191:191" x14ac:dyDescent="0.2">
      <c r="GI62695" s="422"/>
    </row>
    <row r="62696" spans="191:191" x14ac:dyDescent="0.2">
      <c r="GI62696" s="422"/>
    </row>
    <row r="62697" spans="191:191" x14ac:dyDescent="0.2">
      <c r="GI62697" s="422"/>
    </row>
    <row r="62698" spans="191:191" x14ac:dyDescent="0.2">
      <c r="GI62698" s="422"/>
    </row>
    <row r="62699" spans="191:191" x14ac:dyDescent="0.2">
      <c r="GI62699" s="422"/>
    </row>
    <row r="62700" spans="191:191" x14ac:dyDescent="0.2">
      <c r="GI62700" s="422"/>
    </row>
    <row r="62701" spans="191:191" x14ac:dyDescent="0.2">
      <c r="GI62701" s="422"/>
    </row>
    <row r="62702" spans="191:191" x14ac:dyDescent="0.2">
      <c r="GI62702" s="422"/>
    </row>
    <row r="62703" spans="191:191" x14ac:dyDescent="0.2">
      <c r="GI62703" s="422"/>
    </row>
    <row r="62704" spans="191:191" x14ac:dyDescent="0.2">
      <c r="GI62704" s="422"/>
    </row>
    <row r="62705" spans="191:191" x14ac:dyDescent="0.2">
      <c r="GI62705" s="422"/>
    </row>
    <row r="62706" spans="191:191" x14ac:dyDescent="0.2">
      <c r="GI62706" s="422"/>
    </row>
    <row r="62707" spans="191:191" x14ac:dyDescent="0.2">
      <c r="GI62707" s="422"/>
    </row>
    <row r="62708" spans="191:191" x14ac:dyDescent="0.2">
      <c r="GI62708" s="422"/>
    </row>
    <row r="62709" spans="191:191" x14ac:dyDescent="0.2">
      <c r="GI62709" s="422"/>
    </row>
    <row r="62710" spans="191:191" x14ac:dyDescent="0.2">
      <c r="GI62710" s="422"/>
    </row>
    <row r="62711" spans="191:191" x14ac:dyDescent="0.2">
      <c r="GI62711" s="422"/>
    </row>
    <row r="62712" spans="191:191" x14ac:dyDescent="0.2">
      <c r="GI62712" s="422"/>
    </row>
    <row r="62713" spans="191:191" x14ac:dyDescent="0.2">
      <c r="GI62713" s="422"/>
    </row>
    <row r="62714" spans="191:191" x14ac:dyDescent="0.2">
      <c r="GI62714" s="422"/>
    </row>
    <row r="62715" spans="191:191" x14ac:dyDescent="0.2">
      <c r="GI62715" s="422"/>
    </row>
    <row r="62716" spans="191:191" x14ac:dyDescent="0.2">
      <c r="GI62716" s="422"/>
    </row>
    <row r="62717" spans="191:191" x14ac:dyDescent="0.2">
      <c r="GI62717" s="422"/>
    </row>
    <row r="62718" spans="191:191" x14ac:dyDescent="0.2">
      <c r="GI62718" s="422"/>
    </row>
    <row r="62719" spans="191:191" x14ac:dyDescent="0.2">
      <c r="GI62719" s="422"/>
    </row>
    <row r="62720" spans="191:191" x14ac:dyDescent="0.2">
      <c r="GI62720" s="422"/>
    </row>
    <row r="62721" spans="191:191" x14ac:dyDescent="0.2">
      <c r="GI62721" s="422"/>
    </row>
    <row r="62722" spans="191:191" x14ac:dyDescent="0.2">
      <c r="GI62722" s="422"/>
    </row>
    <row r="62723" spans="191:191" x14ac:dyDescent="0.2">
      <c r="GI62723" s="422"/>
    </row>
    <row r="62724" spans="191:191" x14ac:dyDescent="0.2">
      <c r="GI62724" s="422"/>
    </row>
    <row r="62725" spans="191:191" x14ac:dyDescent="0.2">
      <c r="GI62725" s="422"/>
    </row>
    <row r="62726" spans="191:191" x14ac:dyDescent="0.2">
      <c r="GI62726" s="422"/>
    </row>
    <row r="62727" spans="191:191" x14ac:dyDescent="0.2">
      <c r="GI62727" s="422"/>
    </row>
    <row r="62728" spans="191:191" x14ac:dyDescent="0.2">
      <c r="GI62728" s="422"/>
    </row>
    <row r="62729" spans="191:191" x14ac:dyDescent="0.2">
      <c r="GI62729" s="422"/>
    </row>
    <row r="62730" spans="191:191" x14ac:dyDescent="0.2">
      <c r="GI62730" s="422"/>
    </row>
    <row r="62731" spans="191:191" x14ac:dyDescent="0.2">
      <c r="GI62731" s="422"/>
    </row>
    <row r="62732" spans="191:191" x14ac:dyDescent="0.2">
      <c r="GI62732" s="422"/>
    </row>
    <row r="62733" spans="191:191" x14ac:dyDescent="0.2">
      <c r="GI62733" s="422"/>
    </row>
    <row r="62734" spans="191:191" x14ac:dyDescent="0.2">
      <c r="GI62734" s="422"/>
    </row>
    <row r="62735" spans="191:191" x14ac:dyDescent="0.2">
      <c r="GI62735" s="422"/>
    </row>
    <row r="62736" spans="191:191" x14ac:dyDescent="0.2">
      <c r="GI62736" s="422"/>
    </row>
    <row r="62737" spans="191:191" x14ac:dyDescent="0.2">
      <c r="GI62737" s="422"/>
    </row>
    <row r="62738" spans="191:191" x14ac:dyDescent="0.2">
      <c r="GI62738" s="422"/>
    </row>
    <row r="62739" spans="191:191" x14ac:dyDescent="0.2">
      <c r="GI62739" s="422"/>
    </row>
    <row r="62740" spans="191:191" x14ac:dyDescent="0.2">
      <c r="GI62740" s="422"/>
    </row>
    <row r="62741" spans="191:191" x14ac:dyDescent="0.2">
      <c r="GI62741" s="422"/>
    </row>
    <row r="62742" spans="191:191" x14ac:dyDescent="0.2">
      <c r="GI62742" s="422"/>
    </row>
    <row r="62743" spans="191:191" x14ac:dyDescent="0.2">
      <c r="GI62743" s="422"/>
    </row>
    <row r="62744" spans="191:191" x14ac:dyDescent="0.2">
      <c r="GI62744" s="422"/>
    </row>
    <row r="62745" spans="191:191" x14ac:dyDescent="0.2">
      <c r="GI62745" s="422"/>
    </row>
    <row r="62746" spans="191:191" x14ac:dyDescent="0.2">
      <c r="GI62746" s="422"/>
    </row>
    <row r="62747" spans="191:191" x14ac:dyDescent="0.2">
      <c r="GI62747" s="422"/>
    </row>
    <row r="62748" spans="191:191" x14ac:dyDescent="0.2">
      <c r="GI62748" s="422"/>
    </row>
    <row r="62749" spans="191:191" x14ac:dyDescent="0.2">
      <c r="GI62749" s="422"/>
    </row>
    <row r="62750" spans="191:191" x14ac:dyDescent="0.2">
      <c r="GI62750" s="422"/>
    </row>
    <row r="62751" spans="191:191" x14ac:dyDescent="0.2">
      <c r="GI62751" s="422"/>
    </row>
    <row r="62752" spans="191:191" x14ac:dyDescent="0.2">
      <c r="GI62752" s="422"/>
    </row>
    <row r="62753" spans="191:191" x14ac:dyDescent="0.2">
      <c r="GI62753" s="422"/>
    </row>
    <row r="62754" spans="191:191" x14ac:dyDescent="0.2">
      <c r="GI62754" s="422"/>
    </row>
    <row r="62755" spans="191:191" x14ac:dyDescent="0.2">
      <c r="GI62755" s="422"/>
    </row>
    <row r="62756" spans="191:191" x14ac:dyDescent="0.2">
      <c r="GI62756" s="422"/>
    </row>
    <row r="62757" spans="191:191" x14ac:dyDescent="0.2">
      <c r="GI62757" s="422"/>
    </row>
    <row r="62758" spans="191:191" x14ac:dyDescent="0.2">
      <c r="GI62758" s="422"/>
    </row>
    <row r="62759" spans="191:191" x14ac:dyDescent="0.2">
      <c r="GI62759" s="422"/>
    </row>
    <row r="62760" spans="191:191" x14ac:dyDescent="0.2">
      <c r="GI62760" s="422"/>
    </row>
    <row r="62761" spans="191:191" x14ac:dyDescent="0.2">
      <c r="GI62761" s="422"/>
    </row>
    <row r="62762" spans="191:191" x14ac:dyDescent="0.2">
      <c r="GI62762" s="422"/>
    </row>
    <row r="62763" spans="191:191" x14ac:dyDescent="0.2">
      <c r="GI62763" s="422"/>
    </row>
    <row r="62764" spans="191:191" x14ac:dyDescent="0.2">
      <c r="GI62764" s="422"/>
    </row>
    <row r="62765" spans="191:191" x14ac:dyDescent="0.2">
      <c r="GI62765" s="422"/>
    </row>
    <row r="62766" spans="191:191" x14ac:dyDescent="0.2">
      <c r="GI62766" s="422"/>
    </row>
    <row r="62767" spans="191:191" x14ac:dyDescent="0.2">
      <c r="GI62767" s="422"/>
    </row>
    <row r="62768" spans="191:191" x14ac:dyDescent="0.2">
      <c r="GI62768" s="422"/>
    </row>
    <row r="62769" spans="191:191" x14ac:dyDescent="0.2">
      <c r="GI62769" s="422"/>
    </row>
    <row r="62770" spans="191:191" x14ac:dyDescent="0.2">
      <c r="GI62770" s="422"/>
    </row>
    <row r="62771" spans="191:191" x14ac:dyDescent="0.2">
      <c r="GI62771" s="422"/>
    </row>
    <row r="62772" spans="191:191" x14ac:dyDescent="0.2">
      <c r="GI62772" s="422"/>
    </row>
    <row r="62773" spans="191:191" x14ac:dyDescent="0.2">
      <c r="GI62773" s="422"/>
    </row>
    <row r="62774" spans="191:191" x14ac:dyDescent="0.2">
      <c r="GI62774" s="422"/>
    </row>
    <row r="62775" spans="191:191" x14ac:dyDescent="0.2">
      <c r="GI62775" s="422"/>
    </row>
    <row r="62776" spans="191:191" x14ac:dyDescent="0.2">
      <c r="GI62776" s="422"/>
    </row>
    <row r="62777" spans="191:191" x14ac:dyDescent="0.2">
      <c r="GI62777" s="422"/>
    </row>
    <row r="62778" spans="191:191" x14ac:dyDescent="0.2">
      <c r="GI62778" s="422"/>
    </row>
    <row r="62779" spans="191:191" x14ac:dyDescent="0.2">
      <c r="GI62779" s="422"/>
    </row>
    <row r="62780" spans="191:191" x14ac:dyDescent="0.2">
      <c r="GI62780" s="422"/>
    </row>
    <row r="62781" spans="191:191" x14ac:dyDescent="0.2">
      <c r="GI62781" s="422"/>
    </row>
    <row r="62782" spans="191:191" x14ac:dyDescent="0.2">
      <c r="GI62782" s="422"/>
    </row>
    <row r="62783" spans="191:191" x14ac:dyDescent="0.2">
      <c r="GI62783" s="422"/>
    </row>
    <row r="62784" spans="191:191" x14ac:dyDescent="0.2">
      <c r="GI62784" s="422"/>
    </row>
    <row r="62785" spans="191:191" x14ac:dyDescent="0.2">
      <c r="GI62785" s="422"/>
    </row>
    <row r="62786" spans="191:191" x14ac:dyDescent="0.2">
      <c r="GI62786" s="422"/>
    </row>
    <row r="62787" spans="191:191" x14ac:dyDescent="0.2">
      <c r="GI62787" s="422"/>
    </row>
    <row r="62788" spans="191:191" x14ac:dyDescent="0.2">
      <c r="GI62788" s="422"/>
    </row>
    <row r="62789" spans="191:191" x14ac:dyDescent="0.2">
      <c r="GI62789" s="422"/>
    </row>
    <row r="62790" spans="191:191" x14ac:dyDescent="0.2">
      <c r="GI62790" s="422"/>
    </row>
    <row r="62791" spans="191:191" x14ac:dyDescent="0.2">
      <c r="GI62791" s="422"/>
    </row>
    <row r="62792" spans="191:191" x14ac:dyDescent="0.2">
      <c r="GI62792" s="422"/>
    </row>
    <row r="62793" spans="191:191" x14ac:dyDescent="0.2">
      <c r="GI62793" s="422"/>
    </row>
    <row r="62794" spans="191:191" x14ac:dyDescent="0.2">
      <c r="GI62794" s="422"/>
    </row>
    <row r="62795" spans="191:191" x14ac:dyDescent="0.2">
      <c r="GI62795" s="422"/>
    </row>
    <row r="62796" spans="191:191" x14ac:dyDescent="0.2">
      <c r="GI62796" s="422"/>
    </row>
    <row r="62797" spans="191:191" x14ac:dyDescent="0.2">
      <c r="GI62797" s="422"/>
    </row>
    <row r="62798" spans="191:191" x14ac:dyDescent="0.2">
      <c r="GI62798" s="422"/>
    </row>
    <row r="62799" spans="191:191" x14ac:dyDescent="0.2">
      <c r="GI62799" s="422"/>
    </row>
    <row r="62800" spans="191:191" x14ac:dyDescent="0.2">
      <c r="GI62800" s="422"/>
    </row>
    <row r="62801" spans="191:191" x14ac:dyDescent="0.2">
      <c r="GI62801" s="422"/>
    </row>
    <row r="62802" spans="191:191" x14ac:dyDescent="0.2">
      <c r="GI62802" s="422"/>
    </row>
    <row r="62803" spans="191:191" x14ac:dyDescent="0.2">
      <c r="GI62803" s="422"/>
    </row>
    <row r="62804" spans="191:191" x14ac:dyDescent="0.2">
      <c r="GI62804" s="422"/>
    </row>
    <row r="62805" spans="191:191" x14ac:dyDescent="0.2">
      <c r="GI62805" s="422"/>
    </row>
    <row r="62806" spans="191:191" x14ac:dyDescent="0.2">
      <c r="GI62806" s="422"/>
    </row>
    <row r="62807" spans="191:191" x14ac:dyDescent="0.2">
      <c r="GI62807" s="422"/>
    </row>
    <row r="62808" spans="191:191" x14ac:dyDescent="0.2">
      <c r="GI62808" s="422"/>
    </row>
    <row r="62809" spans="191:191" x14ac:dyDescent="0.2">
      <c r="GI62809" s="422"/>
    </row>
    <row r="62810" spans="191:191" x14ac:dyDescent="0.2">
      <c r="GI62810" s="422"/>
    </row>
    <row r="62811" spans="191:191" x14ac:dyDescent="0.2">
      <c r="GI62811" s="422"/>
    </row>
    <row r="62812" spans="191:191" x14ac:dyDescent="0.2">
      <c r="GI62812" s="422"/>
    </row>
    <row r="62813" spans="191:191" x14ac:dyDescent="0.2">
      <c r="GI62813" s="422"/>
    </row>
    <row r="62814" spans="191:191" x14ac:dyDescent="0.2">
      <c r="GI62814" s="422"/>
    </row>
    <row r="62815" spans="191:191" x14ac:dyDescent="0.2">
      <c r="GI62815" s="422"/>
    </row>
    <row r="62816" spans="191:191" x14ac:dyDescent="0.2">
      <c r="GI62816" s="422"/>
    </row>
    <row r="62817" spans="191:191" x14ac:dyDescent="0.2">
      <c r="GI62817" s="422"/>
    </row>
    <row r="62818" spans="191:191" x14ac:dyDescent="0.2">
      <c r="GI62818" s="422"/>
    </row>
    <row r="62819" spans="191:191" x14ac:dyDescent="0.2">
      <c r="GI62819" s="422"/>
    </row>
    <row r="62820" spans="191:191" x14ac:dyDescent="0.2">
      <c r="GI62820" s="422"/>
    </row>
    <row r="62821" spans="191:191" x14ac:dyDescent="0.2">
      <c r="GI62821" s="422"/>
    </row>
    <row r="62822" spans="191:191" x14ac:dyDescent="0.2">
      <c r="GI62822" s="422"/>
    </row>
    <row r="62823" spans="191:191" x14ac:dyDescent="0.2">
      <c r="GI62823" s="422"/>
    </row>
    <row r="62824" spans="191:191" x14ac:dyDescent="0.2">
      <c r="GI62824" s="422"/>
    </row>
    <row r="62825" spans="191:191" x14ac:dyDescent="0.2">
      <c r="GI62825" s="422"/>
    </row>
    <row r="62826" spans="191:191" x14ac:dyDescent="0.2">
      <c r="GI62826" s="422"/>
    </row>
    <row r="62827" spans="191:191" x14ac:dyDescent="0.2">
      <c r="GI62827" s="422"/>
    </row>
    <row r="62828" spans="191:191" x14ac:dyDescent="0.2">
      <c r="GI62828" s="422"/>
    </row>
    <row r="62829" spans="191:191" x14ac:dyDescent="0.2">
      <c r="GI62829" s="422"/>
    </row>
    <row r="62830" spans="191:191" x14ac:dyDescent="0.2">
      <c r="GI62830" s="422"/>
    </row>
    <row r="62831" spans="191:191" x14ac:dyDescent="0.2">
      <c r="GI62831" s="422"/>
    </row>
    <row r="62832" spans="191:191" x14ac:dyDescent="0.2">
      <c r="GI62832" s="422"/>
    </row>
    <row r="62833" spans="191:191" x14ac:dyDescent="0.2">
      <c r="GI62833" s="422"/>
    </row>
    <row r="62834" spans="191:191" x14ac:dyDescent="0.2">
      <c r="GI62834" s="422"/>
    </row>
    <row r="62835" spans="191:191" x14ac:dyDescent="0.2">
      <c r="GI62835" s="422"/>
    </row>
    <row r="62836" spans="191:191" x14ac:dyDescent="0.2">
      <c r="GI62836" s="422"/>
    </row>
    <row r="62837" spans="191:191" x14ac:dyDescent="0.2">
      <c r="GI62837" s="422"/>
    </row>
    <row r="62838" spans="191:191" x14ac:dyDescent="0.2">
      <c r="GI62838" s="422"/>
    </row>
    <row r="62839" spans="191:191" x14ac:dyDescent="0.2">
      <c r="GI62839" s="422"/>
    </row>
    <row r="62840" spans="191:191" x14ac:dyDescent="0.2">
      <c r="GI62840" s="422"/>
    </row>
    <row r="62841" spans="191:191" x14ac:dyDescent="0.2">
      <c r="GI62841" s="422"/>
    </row>
    <row r="62842" spans="191:191" x14ac:dyDescent="0.2">
      <c r="GI62842" s="422"/>
    </row>
    <row r="62843" spans="191:191" x14ac:dyDescent="0.2">
      <c r="GI62843" s="422"/>
    </row>
    <row r="62844" spans="191:191" x14ac:dyDescent="0.2">
      <c r="GI62844" s="422"/>
    </row>
    <row r="62845" spans="191:191" x14ac:dyDescent="0.2">
      <c r="GI62845" s="422"/>
    </row>
    <row r="62846" spans="191:191" x14ac:dyDescent="0.2">
      <c r="GI62846" s="422"/>
    </row>
    <row r="62847" spans="191:191" x14ac:dyDescent="0.2">
      <c r="GI62847" s="422"/>
    </row>
    <row r="62848" spans="191:191" x14ac:dyDescent="0.2">
      <c r="GI62848" s="422"/>
    </row>
    <row r="62849" spans="191:191" x14ac:dyDescent="0.2">
      <c r="GI62849" s="422"/>
    </row>
    <row r="62850" spans="191:191" x14ac:dyDescent="0.2">
      <c r="GI62850" s="422"/>
    </row>
    <row r="62851" spans="191:191" x14ac:dyDescent="0.2">
      <c r="GI62851" s="422"/>
    </row>
    <row r="62852" spans="191:191" x14ac:dyDescent="0.2">
      <c r="GI62852" s="422"/>
    </row>
    <row r="62853" spans="191:191" x14ac:dyDescent="0.2">
      <c r="GI62853" s="422"/>
    </row>
    <row r="62854" spans="191:191" x14ac:dyDescent="0.2">
      <c r="GI62854" s="422"/>
    </row>
    <row r="62855" spans="191:191" x14ac:dyDescent="0.2">
      <c r="GI62855" s="422"/>
    </row>
    <row r="62856" spans="191:191" x14ac:dyDescent="0.2">
      <c r="GI62856" s="422"/>
    </row>
    <row r="62857" spans="191:191" x14ac:dyDescent="0.2">
      <c r="GI62857" s="422"/>
    </row>
    <row r="62858" spans="191:191" x14ac:dyDescent="0.2">
      <c r="GI62858" s="422"/>
    </row>
    <row r="62859" spans="191:191" x14ac:dyDescent="0.2">
      <c r="GI62859" s="422"/>
    </row>
    <row r="62860" spans="191:191" x14ac:dyDescent="0.2">
      <c r="GI62860" s="422"/>
    </row>
    <row r="62861" spans="191:191" x14ac:dyDescent="0.2">
      <c r="GI62861" s="422"/>
    </row>
    <row r="62862" spans="191:191" x14ac:dyDescent="0.2">
      <c r="GI62862" s="422"/>
    </row>
    <row r="62863" spans="191:191" x14ac:dyDescent="0.2">
      <c r="GI62863" s="422"/>
    </row>
    <row r="62864" spans="191:191" x14ac:dyDescent="0.2">
      <c r="GI62864" s="422"/>
    </row>
    <row r="62865" spans="191:191" x14ac:dyDescent="0.2">
      <c r="GI62865" s="422"/>
    </row>
    <row r="62866" spans="191:191" x14ac:dyDescent="0.2">
      <c r="GI62866" s="422"/>
    </row>
    <row r="62867" spans="191:191" x14ac:dyDescent="0.2">
      <c r="GI62867" s="422"/>
    </row>
    <row r="62868" spans="191:191" x14ac:dyDescent="0.2">
      <c r="GI62868" s="422"/>
    </row>
    <row r="62869" spans="191:191" x14ac:dyDescent="0.2">
      <c r="GI62869" s="422"/>
    </row>
    <row r="62870" spans="191:191" x14ac:dyDescent="0.2">
      <c r="GI62870" s="422"/>
    </row>
    <row r="62871" spans="191:191" x14ac:dyDescent="0.2">
      <c r="GI62871" s="422"/>
    </row>
    <row r="62872" spans="191:191" x14ac:dyDescent="0.2">
      <c r="GI62872" s="422"/>
    </row>
    <row r="62873" spans="191:191" x14ac:dyDescent="0.2">
      <c r="GI62873" s="422"/>
    </row>
    <row r="62874" spans="191:191" x14ac:dyDescent="0.2">
      <c r="GI62874" s="422"/>
    </row>
    <row r="62875" spans="191:191" x14ac:dyDescent="0.2">
      <c r="GI62875" s="422"/>
    </row>
    <row r="62876" spans="191:191" x14ac:dyDescent="0.2">
      <c r="GI62876" s="422"/>
    </row>
    <row r="62877" spans="191:191" x14ac:dyDescent="0.2">
      <c r="GI62877" s="422"/>
    </row>
    <row r="62878" spans="191:191" x14ac:dyDescent="0.2">
      <c r="GI62878" s="422"/>
    </row>
    <row r="62879" spans="191:191" x14ac:dyDescent="0.2">
      <c r="GI62879" s="422"/>
    </row>
    <row r="62880" spans="191:191" x14ac:dyDescent="0.2">
      <c r="GI62880" s="422"/>
    </row>
    <row r="62881" spans="191:191" x14ac:dyDescent="0.2">
      <c r="GI62881" s="422"/>
    </row>
    <row r="62882" spans="191:191" x14ac:dyDescent="0.2">
      <c r="GI62882" s="422"/>
    </row>
    <row r="62883" spans="191:191" x14ac:dyDescent="0.2">
      <c r="GI62883" s="422"/>
    </row>
    <row r="62884" spans="191:191" x14ac:dyDescent="0.2">
      <c r="GI62884" s="422"/>
    </row>
    <row r="62885" spans="191:191" x14ac:dyDescent="0.2">
      <c r="GI62885" s="422"/>
    </row>
    <row r="62886" spans="191:191" x14ac:dyDescent="0.2">
      <c r="GI62886" s="422"/>
    </row>
    <row r="62887" spans="191:191" x14ac:dyDescent="0.2">
      <c r="GI62887" s="422"/>
    </row>
    <row r="62888" spans="191:191" x14ac:dyDescent="0.2">
      <c r="GI62888" s="422"/>
    </row>
    <row r="62889" spans="191:191" x14ac:dyDescent="0.2">
      <c r="GI62889" s="422"/>
    </row>
    <row r="62890" spans="191:191" x14ac:dyDescent="0.2">
      <c r="GI62890" s="422"/>
    </row>
    <row r="62891" spans="191:191" x14ac:dyDescent="0.2">
      <c r="GI62891" s="422"/>
    </row>
    <row r="62892" spans="191:191" x14ac:dyDescent="0.2">
      <c r="GI62892" s="422"/>
    </row>
    <row r="62893" spans="191:191" x14ac:dyDescent="0.2">
      <c r="GI62893" s="422"/>
    </row>
    <row r="62894" spans="191:191" x14ac:dyDescent="0.2">
      <c r="GI62894" s="422"/>
    </row>
    <row r="62895" spans="191:191" x14ac:dyDescent="0.2">
      <c r="GI62895" s="422"/>
    </row>
    <row r="62896" spans="191:191" x14ac:dyDescent="0.2">
      <c r="GI62896" s="422"/>
    </row>
    <row r="62897" spans="191:191" x14ac:dyDescent="0.2">
      <c r="GI62897" s="422"/>
    </row>
    <row r="62898" spans="191:191" x14ac:dyDescent="0.2">
      <c r="GI62898" s="422"/>
    </row>
    <row r="62899" spans="191:191" x14ac:dyDescent="0.2">
      <c r="GI62899" s="422"/>
    </row>
    <row r="62900" spans="191:191" x14ac:dyDescent="0.2">
      <c r="GI62900" s="422"/>
    </row>
    <row r="62901" spans="191:191" x14ac:dyDescent="0.2">
      <c r="GI62901" s="422"/>
    </row>
    <row r="62902" spans="191:191" x14ac:dyDescent="0.2">
      <c r="GI62902" s="422"/>
    </row>
    <row r="62903" spans="191:191" x14ac:dyDescent="0.2">
      <c r="GI62903" s="422"/>
    </row>
    <row r="62904" spans="191:191" x14ac:dyDescent="0.2">
      <c r="GI62904" s="422"/>
    </row>
    <row r="62905" spans="191:191" x14ac:dyDescent="0.2">
      <c r="GI62905" s="422"/>
    </row>
    <row r="62906" spans="191:191" x14ac:dyDescent="0.2">
      <c r="GI62906" s="422"/>
    </row>
    <row r="62907" spans="191:191" x14ac:dyDescent="0.2">
      <c r="GI62907" s="422"/>
    </row>
    <row r="62908" spans="191:191" x14ac:dyDescent="0.2">
      <c r="GI62908" s="422"/>
    </row>
    <row r="62909" spans="191:191" x14ac:dyDescent="0.2">
      <c r="GI62909" s="422"/>
    </row>
    <row r="62910" spans="191:191" x14ac:dyDescent="0.2">
      <c r="GI62910" s="422"/>
    </row>
    <row r="62911" spans="191:191" x14ac:dyDescent="0.2">
      <c r="GI62911" s="422"/>
    </row>
    <row r="62912" spans="191:191" x14ac:dyDescent="0.2">
      <c r="GI62912" s="422"/>
    </row>
    <row r="62913" spans="191:191" x14ac:dyDescent="0.2">
      <c r="GI62913" s="422"/>
    </row>
    <row r="62914" spans="191:191" x14ac:dyDescent="0.2">
      <c r="GI62914" s="422"/>
    </row>
    <row r="62915" spans="191:191" x14ac:dyDescent="0.2">
      <c r="GI62915" s="422"/>
    </row>
    <row r="62916" spans="191:191" x14ac:dyDescent="0.2">
      <c r="GI62916" s="422"/>
    </row>
    <row r="62917" spans="191:191" x14ac:dyDescent="0.2">
      <c r="GI62917" s="422"/>
    </row>
    <row r="62918" spans="191:191" x14ac:dyDescent="0.2">
      <c r="GI62918" s="422"/>
    </row>
    <row r="62919" spans="191:191" x14ac:dyDescent="0.2">
      <c r="GI62919" s="422"/>
    </row>
    <row r="62920" spans="191:191" x14ac:dyDescent="0.2">
      <c r="GI62920" s="422"/>
    </row>
    <row r="62921" spans="191:191" x14ac:dyDescent="0.2">
      <c r="GI62921" s="422"/>
    </row>
    <row r="62922" spans="191:191" x14ac:dyDescent="0.2">
      <c r="GI62922" s="422"/>
    </row>
    <row r="62923" spans="191:191" x14ac:dyDescent="0.2">
      <c r="GI62923" s="422"/>
    </row>
    <row r="62924" spans="191:191" x14ac:dyDescent="0.2">
      <c r="GI62924" s="422"/>
    </row>
    <row r="62925" spans="191:191" x14ac:dyDescent="0.2">
      <c r="GI62925" s="422"/>
    </row>
    <row r="62926" spans="191:191" x14ac:dyDescent="0.2">
      <c r="GI62926" s="422"/>
    </row>
    <row r="62927" spans="191:191" x14ac:dyDescent="0.2">
      <c r="GI62927" s="422"/>
    </row>
    <row r="62928" spans="191:191" x14ac:dyDescent="0.2">
      <c r="GI62928" s="422"/>
    </row>
    <row r="62929" spans="191:191" x14ac:dyDescent="0.2">
      <c r="GI62929" s="422"/>
    </row>
    <row r="62930" spans="191:191" x14ac:dyDescent="0.2">
      <c r="GI62930" s="422"/>
    </row>
    <row r="62931" spans="191:191" x14ac:dyDescent="0.2">
      <c r="GI62931" s="422"/>
    </row>
    <row r="62932" spans="191:191" x14ac:dyDescent="0.2">
      <c r="GI62932" s="422"/>
    </row>
    <row r="62933" spans="191:191" x14ac:dyDescent="0.2">
      <c r="GI62933" s="422"/>
    </row>
    <row r="62934" spans="191:191" x14ac:dyDescent="0.2">
      <c r="GI62934" s="422"/>
    </row>
    <row r="62935" spans="191:191" x14ac:dyDescent="0.2">
      <c r="GI62935" s="422"/>
    </row>
    <row r="62936" spans="191:191" x14ac:dyDescent="0.2">
      <c r="GI62936" s="422"/>
    </row>
    <row r="62937" spans="191:191" x14ac:dyDescent="0.2">
      <c r="GI62937" s="422"/>
    </row>
    <row r="62938" spans="191:191" x14ac:dyDescent="0.2">
      <c r="GI62938" s="422"/>
    </row>
    <row r="62939" spans="191:191" x14ac:dyDescent="0.2">
      <c r="GI62939" s="422"/>
    </row>
    <row r="62940" spans="191:191" x14ac:dyDescent="0.2">
      <c r="GI62940" s="422"/>
    </row>
    <row r="62941" spans="191:191" x14ac:dyDescent="0.2">
      <c r="GI62941" s="422"/>
    </row>
    <row r="62942" spans="191:191" x14ac:dyDescent="0.2">
      <c r="GI62942" s="422"/>
    </row>
    <row r="62943" spans="191:191" x14ac:dyDescent="0.2">
      <c r="GI62943" s="422"/>
    </row>
    <row r="62944" spans="191:191" x14ac:dyDescent="0.2">
      <c r="GI62944" s="422"/>
    </row>
    <row r="62945" spans="191:191" x14ac:dyDescent="0.2">
      <c r="GI62945" s="422"/>
    </row>
    <row r="62946" spans="191:191" x14ac:dyDescent="0.2">
      <c r="GI62946" s="422"/>
    </row>
    <row r="62947" spans="191:191" x14ac:dyDescent="0.2">
      <c r="GI62947" s="422"/>
    </row>
    <row r="62948" spans="191:191" x14ac:dyDescent="0.2">
      <c r="GI62948" s="422"/>
    </row>
    <row r="62949" spans="191:191" x14ac:dyDescent="0.2">
      <c r="GI62949" s="422"/>
    </row>
    <row r="62950" spans="191:191" x14ac:dyDescent="0.2">
      <c r="GI62950" s="422"/>
    </row>
    <row r="62951" spans="191:191" x14ac:dyDescent="0.2">
      <c r="GI62951" s="422"/>
    </row>
    <row r="62952" spans="191:191" x14ac:dyDescent="0.2">
      <c r="GI62952" s="422"/>
    </row>
    <row r="62953" spans="191:191" x14ac:dyDescent="0.2">
      <c r="GI62953" s="422"/>
    </row>
    <row r="62954" spans="191:191" x14ac:dyDescent="0.2">
      <c r="GI62954" s="422"/>
    </row>
    <row r="62955" spans="191:191" x14ac:dyDescent="0.2">
      <c r="GI62955" s="422"/>
    </row>
    <row r="62956" spans="191:191" x14ac:dyDescent="0.2">
      <c r="GI62956" s="422"/>
    </row>
    <row r="62957" spans="191:191" x14ac:dyDescent="0.2">
      <c r="GI62957" s="422"/>
    </row>
    <row r="62958" spans="191:191" x14ac:dyDescent="0.2">
      <c r="GI62958" s="422"/>
    </row>
    <row r="62959" spans="191:191" x14ac:dyDescent="0.2">
      <c r="GI62959" s="422"/>
    </row>
    <row r="62960" spans="191:191" x14ac:dyDescent="0.2">
      <c r="GI62960" s="422"/>
    </row>
    <row r="62961" spans="191:191" x14ac:dyDescent="0.2">
      <c r="GI62961" s="422"/>
    </row>
    <row r="62962" spans="191:191" x14ac:dyDescent="0.2">
      <c r="GI62962" s="422"/>
    </row>
    <row r="62963" spans="191:191" x14ac:dyDescent="0.2">
      <c r="GI62963" s="422"/>
    </row>
    <row r="62964" spans="191:191" x14ac:dyDescent="0.2">
      <c r="GI62964" s="422"/>
    </row>
    <row r="62965" spans="191:191" x14ac:dyDescent="0.2">
      <c r="GI62965" s="422"/>
    </row>
    <row r="62966" spans="191:191" x14ac:dyDescent="0.2">
      <c r="GI62966" s="422"/>
    </row>
    <row r="62967" spans="191:191" x14ac:dyDescent="0.2">
      <c r="GI62967" s="422"/>
    </row>
    <row r="62968" spans="191:191" x14ac:dyDescent="0.2">
      <c r="GI62968" s="422"/>
    </row>
    <row r="62969" spans="191:191" x14ac:dyDescent="0.2">
      <c r="GI62969" s="422"/>
    </row>
    <row r="62970" spans="191:191" x14ac:dyDescent="0.2">
      <c r="GI62970" s="422"/>
    </row>
    <row r="62971" spans="191:191" x14ac:dyDescent="0.2">
      <c r="GI62971" s="422"/>
    </row>
    <row r="62972" spans="191:191" x14ac:dyDescent="0.2">
      <c r="GI62972" s="422"/>
    </row>
    <row r="62973" spans="191:191" x14ac:dyDescent="0.2">
      <c r="GI62973" s="422"/>
    </row>
    <row r="62974" spans="191:191" x14ac:dyDescent="0.2">
      <c r="GI62974" s="422"/>
    </row>
    <row r="62975" spans="191:191" x14ac:dyDescent="0.2">
      <c r="GI62975" s="422"/>
    </row>
    <row r="62976" spans="191:191" x14ac:dyDescent="0.2">
      <c r="GI62976" s="422"/>
    </row>
    <row r="62977" spans="191:191" x14ac:dyDescent="0.2">
      <c r="GI62977" s="422"/>
    </row>
    <row r="62978" spans="191:191" x14ac:dyDescent="0.2">
      <c r="GI62978" s="422"/>
    </row>
    <row r="62979" spans="191:191" x14ac:dyDescent="0.2">
      <c r="GI62979" s="422"/>
    </row>
    <row r="62980" spans="191:191" x14ac:dyDescent="0.2">
      <c r="GI62980" s="422"/>
    </row>
    <row r="62981" spans="191:191" x14ac:dyDescent="0.2">
      <c r="GI62981" s="422"/>
    </row>
    <row r="62982" spans="191:191" x14ac:dyDescent="0.2">
      <c r="GI62982" s="422"/>
    </row>
    <row r="62983" spans="191:191" x14ac:dyDescent="0.2">
      <c r="GI62983" s="422"/>
    </row>
    <row r="62984" spans="191:191" x14ac:dyDescent="0.2">
      <c r="GI62984" s="422"/>
    </row>
    <row r="62985" spans="191:191" x14ac:dyDescent="0.2">
      <c r="GI62985" s="422"/>
    </row>
    <row r="62986" spans="191:191" x14ac:dyDescent="0.2">
      <c r="GI62986" s="422"/>
    </row>
    <row r="62987" spans="191:191" x14ac:dyDescent="0.2">
      <c r="GI62987" s="422"/>
    </row>
    <row r="62988" spans="191:191" x14ac:dyDescent="0.2">
      <c r="GI62988" s="422"/>
    </row>
    <row r="62989" spans="191:191" x14ac:dyDescent="0.2">
      <c r="GI62989" s="422"/>
    </row>
    <row r="62990" spans="191:191" x14ac:dyDescent="0.2">
      <c r="GI62990" s="422"/>
    </row>
    <row r="62991" spans="191:191" x14ac:dyDescent="0.2">
      <c r="GI62991" s="422"/>
    </row>
    <row r="62992" spans="191:191" x14ac:dyDescent="0.2">
      <c r="GI62992" s="422"/>
    </row>
    <row r="62993" spans="191:191" x14ac:dyDescent="0.2">
      <c r="GI62993" s="422"/>
    </row>
    <row r="62994" spans="191:191" x14ac:dyDescent="0.2">
      <c r="GI62994" s="422"/>
    </row>
    <row r="62995" spans="191:191" x14ac:dyDescent="0.2">
      <c r="GI62995" s="422"/>
    </row>
    <row r="62996" spans="191:191" x14ac:dyDescent="0.2">
      <c r="GI62996" s="422"/>
    </row>
    <row r="62997" spans="191:191" x14ac:dyDescent="0.2">
      <c r="GI62997" s="422"/>
    </row>
    <row r="62998" spans="191:191" x14ac:dyDescent="0.2">
      <c r="GI62998" s="422"/>
    </row>
    <row r="62999" spans="191:191" x14ac:dyDescent="0.2">
      <c r="GI62999" s="422"/>
    </row>
    <row r="63000" spans="191:191" x14ac:dyDescent="0.2">
      <c r="GI63000" s="422"/>
    </row>
    <row r="63001" spans="191:191" x14ac:dyDescent="0.2">
      <c r="GI63001" s="422"/>
    </row>
    <row r="63002" spans="191:191" x14ac:dyDescent="0.2">
      <c r="GI63002" s="422"/>
    </row>
    <row r="63003" spans="191:191" x14ac:dyDescent="0.2">
      <c r="GI63003" s="422"/>
    </row>
    <row r="63004" spans="191:191" x14ac:dyDescent="0.2">
      <c r="GI63004" s="422"/>
    </row>
    <row r="63005" spans="191:191" x14ac:dyDescent="0.2">
      <c r="GI63005" s="422"/>
    </row>
    <row r="63006" spans="191:191" x14ac:dyDescent="0.2">
      <c r="GI63006" s="422"/>
    </row>
    <row r="63007" spans="191:191" x14ac:dyDescent="0.2">
      <c r="GI63007" s="422"/>
    </row>
    <row r="63008" spans="191:191" x14ac:dyDescent="0.2">
      <c r="GI63008" s="422"/>
    </row>
    <row r="63009" spans="191:191" x14ac:dyDescent="0.2">
      <c r="GI63009" s="422"/>
    </row>
    <row r="63010" spans="191:191" x14ac:dyDescent="0.2">
      <c r="GI63010" s="422"/>
    </row>
    <row r="63011" spans="191:191" x14ac:dyDescent="0.2">
      <c r="GI63011" s="422"/>
    </row>
    <row r="63012" spans="191:191" x14ac:dyDescent="0.2">
      <c r="GI63012" s="422"/>
    </row>
    <row r="63013" spans="191:191" x14ac:dyDescent="0.2">
      <c r="GI63013" s="422"/>
    </row>
    <row r="63014" spans="191:191" x14ac:dyDescent="0.2">
      <c r="GI63014" s="422"/>
    </row>
    <row r="63015" spans="191:191" x14ac:dyDescent="0.2">
      <c r="GI63015" s="422"/>
    </row>
    <row r="63016" spans="191:191" x14ac:dyDescent="0.2">
      <c r="GI63016" s="422"/>
    </row>
    <row r="63017" spans="191:191" x14ac:dyDescent="0.2">
      <c r="GI63017" s="422"/>
    </row>
    <row r="63018" spans="191:191" x14ac:dyDescent="0.2">
      <c r="GI63018" s="422"/>
    </row>
    <row r="63019" spans="191:191" x14ac:dyDescent="0.2">
      <c r="GI63019" s="422"/>
    </row>
    <row r="63020" spans="191:191" x14ac:dyDescent="0.2">
      <c r="GI63020" s="422"/>
    </row>
    <row r="63021" spans="191:191" x14ac:dyDescent="0.2">
      <c r="GI63021" s="422"/>
    </row>
    <row r="63022" spans="191:191" x14ac:dyDescent="0.2">
      <c r="GI63022" s="422"/>
    </row>
    <row r="63023" spans="191:191" x14ac:dyDescent="0.2">
      <c r="GI63023" s="422"/>
    </row>
    <row r="63024" spans="191:191" x14ac:dyDescent="0.2">
      <c r="GI63024" s="422"/>
    </row>
    <row r="63025" spans="191:191" x14ac:dyDescent="0.2">
      <c r="GI63025" s="422"/>
    </row>
    <row r="63026" spans="191:191" x14ac:dyDescent="0.2">
      <c r="GI63026" s="422"/>
    </row>
    <row r="63027" spans="191:191" x14ac:dyDescent="0.2">
      <c r="GI63027" s="422"/>
    </row>
    <row r="63028" spans="191:191" x14ac:dyDescent="0.2">
      <c r="GI63028" s="422"/>
    </row>
    <row r="63029" spans="191:191" x14ac:dyDescent="0.2">
      <c r="GI63029" s="422"/>
    </row>
    <row r="63030" spans="191:191" x14ac:dyDescent="0.2">
      <c r="GI63030" s="422"/>
    </row>
    <row r="63031" spans="191:191" x14ac:dyDescent="0.2">
      <c r="GI63031" s="422"/>
    </row>
    <row r="63032" spans="191:191" x14ac:dyDescent="0.2">
      <c r="GI63032" s="422"/>
    </row>
    <row r="63033" spans="191:191" x14ac:dyDescent="0.2">
      <c r="GI63033" s="422"/>
    </row>
    <row r="63034" spans="191:191" x14ac:dyDescent="0.2">
      <c r="GI63034" s="422"/>
    </row>
    <row r="63035" spans="191:191" x14ac:dyDescent="0.2">
      <c r="GI63035" s="422"/>
    </row>
    <row r="63036" spans="191:191" x14ac:dyDescent="0.2">
      <c r="GI63036" s="422"/>
    </row>
    <row r="63037" spans="191:191" x14ac:dyDescent="0.2">
      <c r="GI63037" s="422"/>
    </row>
    <row r="63038" spans="191:191" x14ac:dyDescent="0.2">
      <c r="GI63038" s="422"/>
    </row>
    <row r="63039" spans="191:191" x14ac:dyDescent="0.2">
      <c r="GI63039" s="422"/>
    </row>
    <row r="63040" spans="191:191" x14ac:dyDescent="0.2">
      <c r="GI63040" s="422"/>
    </row>
    <row r="63041" spans="191:191" x14ac:dyDescent="0.2">
      <c r="GI63041" s="422"/>
    </row>
    <row r="63042" spans="191:191" x14ac:dyDescent="0.2">
      <c r="GI63042" s="422"/>
    </row>
    <row r="63043" spans="191:191" x14ac:dyDescent="0.2">
      <c r="GI63043" s="422"/>
    </row>
    <row r="63044" spans="191:191" x14ac:dyDescent="0.2">
      <c r="GI63044" s="422"/>
    </row>
    <row r="63045" spans="191:191" x14ac:dyDescent="0.2">
      <c r="GI63045" s="422"/>
    </row>
    <row r="63046" spans="191:191" x14ac:dyDescent="0.2">
      <c r="GI63046" s="422"/>
    </row>
    <row r="63047" spans="191:191" x14ac:dyDescent="0.2">
      <c r="GI63047" s="422"/>
    </row>
    <row r="63048" spans="191:191" x14ac:dyDescent="0.2">
      <c r="GI63048" s="422"/>
    </row>
    <row r="63049" spans="191:191" x14ac:dyDescent="0.2">
      <c r="GI63049" s="422"/>
    </row>
    <row r="63050" spans="191:191" x14ac:dyDescent="0.2">
      <c r="GI63050" s="422"/>
    </row>
    <row r="63051" spans="191:191" x14ac:dyDescent="0.2">
      <c r="GI63051" s="422"/>
    </row>
    <row r="63052" spans="191:191" x14ac:dyDescent="0.2">
      <c r="GI63052" s="422"/>
    </row>
    <row r="63053" spans="191:191" x14ac:dyDescent="0.2">
      <c r="GI63053" s="422"/>
    </row>
    <row r="63054" spans="191:191" x14ac:dyDescent="0.2">
      <c r="GI63054" s="422"/>
    </row>
    <row r="63055" spans="191:191" x14ac:dyDescent="0.2">
      <c r="GI63055" s="422"/>
    </row>
    <row r="63056" spans="191:191" x14ac:dyDescent="0.2">
      <c r="GI63056" s="422"/>
    </row>
    <row r="63057" spans="191:191" x14ac:dyDescent="0.2">
      <c r="GI63057" s="422"/>
    </row>
    <row r="63058" spans="191:191" x14ac:dyDescent="0.2">
      <c r="GI63058" s="422"/>
    </row>
    <row r="63059" spans="191:191" x14ac:dyDescent="0.2">
      <c r="GI63059" s="422"/>
    </row>
    <row r="63060" spans="191:191" x14ac:dyDescent="0.2">
      <c r="GI63060" s="422"/>
    </row>
    <row r="63061" spans="191:191" x14ac:dyDescent="0.2">
      <c r="GI63061" s="422"/>
    </row>
    <row r="63062" spans="191:191" x14ac:dyDescent="0.2">
      <c r="GI63062" s="422"/>
    </row>
    <row r="63063" spans="191:191" x14ac:dyDescent="0.2">
      <c r="GI63063" s="422"/>
    </row>
    <row r="63064" spans="191:191" x14ac:dyDescent="0.2">
      <c r="GI63064" s="422"/>
    </row>
    <row r="63065" spans="191:191" x14ac:dyDescent="0.2">
      <c r="GI63065" s="422"/>
    </row>
    <row r="63066" spans="191:191" x14ac:dyDescent="0.2">
      <c r="GI63066" s="422"/>
    </row>
    <row r="63067" spans="191:191" x14ac:dyDescent="0.2">
      <c r="GI63067" s="422"/>
    </row>
    <row r="63068" spans="191:191" x14ac:dyDescent="0.2">
      <c r="GI63068" s="422"/>
    </row>
    <row r="63069" spans="191:191" x14ac:dyDescent="0.2">
      <c r="GI63069" s="422"/>
    </row>
    <row r="63070" spans="191:191" x14ac:dyDescent="0.2">
      <c r="GI63070" s="422"/>
    </row>
    <row r="63071" spans="191:191" x14ac:dyDescent="0.2">
      <c r="GI63071" s="422"/>
    </row>
    <row r="63072" spans="191:191" x14ac:dyDescent="0.2">
      <c r="GI63072" s="422"/>
    </row>
    <row r="63073" spans="191:191" x14ac:dyDescent="0.2">
      <c r="GI63073" s="422"/>
    </row>
    <row r="63074" spans="191:191" x14ac:dyDescent="0.2">
      <c r="GI63074" s="422"/>
    </row>
    <row r="63075" spans="191:191" x14ac:dyDescent="0.2">
      <c r="GI63075" s="422"/>
    </row>
    <row r="63076" spans="191:191" x14ac:dyDescent="0.2">
      <c r="GI63076" s="422"/>
    </row>
    <row r="63077" spans="191:191" x14ac:dyDescent="0.2">
      <c r="GI63077" s="422"/>
    </row>
    <row r="63078" spans="191:191" x14ac:dyDescent="0.2">
      <c r="GI63078" s="422"/>
    </row>
    <row r="63079" spans="191:191" x14ac:dyDescent="0.2">
      <c r="GI63079" s="422"/>
    </row>
    <row r="63080" spans="191:191" x14ac:dyDescent="0.2">
      <c r="GI63080" s="422"/>
    </row>
    <row r="63081" spans="191:191" x14ac:dyDescent="0.2">
      <c r="GI63081" s="422"/>
    </row>
    <row r="63082" spans="191:191" x14ac:dyDescent="0.2">
      <c r="GI63082" s="422"/>
    </row>
    <row r="63083" spans="191:191" x14ac:dyDescent="0.2">
      <c r="GI63083" s="422"/>
    </row>
    <row r="63084" spans="191:191" x14ac:dyDescent="0.2">
      <c r="GI63084" s="422"/>
    </row>
    <row r="63085" spans="191:191" x14ac:dyDescent="0.2">
      <c r="GI63085" s="422"/>
    </row>
    <row r="63086" spans="191:191" x14ac:dyDescent="0.2">
      <c r="GI63086" s="422"/>
    </row>
    <row r="63087" spans="191:191" x14ac:dyDescent="0.2">
      <c r="GI63087" s="422"/>
    </row>
    <row r="63088" spans="191:191" x14ac:dyDescent="0.2">
      <c r="GI63088" s="422"/>
    </row>
    <row r="63089" spans="191:191" x14ac:dyDescent="0.2">
      <c r="GI63089" s="422"/>
    </row>
    <row r="63090" spans="191:191" x14ac:dyDescent="0.2">
      <c r="GI63090" s="422"/>
    </row>
    <row r="63091" spans="191:191" x14ac:dyDescent="0.2">
      <c r="GI63091" s="422"/>
    </row>
    <row r="63092" spans="191:191" x14ac:dyDescent="0.2">
      <c r="GI63092" s="422"/>
    </row>
    <row r="63093" spans="191:191" x14ac:dyDescent="0.2">
      <c r="GI63093" s="422"/>
    </row>
    <row r="63094" spans="191:191" x14ac:dyDescent="0.2">
      <c r="GI63094" s="422"/>
    </row>
    <row r="63095" spans="191:191" x14ac:dyDescent="0.2">
      <c r="GI63095" s="422"/>
    </row>
    <row r="63096" spans="191:191" x14ac:dyDescent="0.2">
      <c r="GI63096" s="422"/>
    </row>
    <row r="63097" spans="191:191" x14ac:dyDescent="0.2">
      <c r="GI63097" s="422"/>
    </row>
    <row r="63098" spans="191:191" x14ac:dyDescent="0.2">
      <c r="GI63098" s="422"/>
    </row>
    <row r="63099" spans="191:191" x14ac:dyDescent="0.2">
      <c r="GI63099" s="422"/>
    </row>
    <row r="63100" spans="191:191" x14ac:dyDescent="0.2">
      <c r="GI63100" s="422"/>
    </row>
    <row r="63101" spans="191:191" x14ac:dyDescent="0.2">
      <c r="GI63101" s="422"/>
    </row>
    <row r="63102" spans="191:191" x14ac:dyDescent="0.2">
      <c r="GI63102" s="422"/>
    </row>
    <row r="63103" spans="191:191" x14ac:dyDescent="0.2">
      <c r="GI63103" s="422"/>
    </row>
    <row r="63104" spans="191:191" x14ac:dyDescent="0.2">
      <c r="GI63104" s="422"/>
    </row>
    <row r="63105" spans="191:191" x14ac:dyDescent="0.2">
      <c r="GI63105" s="422"/>
    </row>
    <row r="63106" spans="191:191" x14ac:dyDescent="0.2">
      <c r="GI63106" s="422"/>
    </row>
    <row r="63107" spans="191:191" x14ac:dyDescent="0.2">
      <c r="GI63107" s="422"/>
    </row>
    <row r="63108" spans="191:191" x14ac:dyDescent="0.2">
      <c r="GI63108" s="422"/>
    </row>
    <row r="63109" spans="191:191" x14ac:dyDescent="0.2">
      <c r="GI63109" s="422"/>
    </row>
    <row r="63110" spans="191:191" x14ac:dyDescent="0.2">
      <c r="GI63110" s="422"/>
    </row>
    <row r="63111" spans="191:191" x14ac:dyDescent="0.2">
      <c r="GI63111" s="422"/>
    </row>
    <row r="63112" spans="191:191" x14ac:dyDescent="0.2">
      <c r="GI63112" s="422"/>
    </row>
    <row r="63113" spans="191:191" x14ac:dyDescent="0.2">
      <c r="GI63113" s="422"/>
    </row>
    <row r="63114" spans="191:191" x14ac:dyDescent="0.2">
      <c r="GI63114" s="422"/>
    </row>
    <row r="63115" spans="191:191" x14ac:dyDescent="0.2">
      <c r="GI63115" s="422"/>
    </row>
    <row r="63116" spans="191:191" x14ac:dyDescent="0.2">
      <c r="GI63116" s="422"/>
    </row>
    <row r="63117" spans="191:191" x14ac:dyDescent="0.2">
      <c r="GI63117" s="422"/>
    </row>
    <row r="63118" spans="191:191" x14ac:dyDescent="0.2">
      <c r="GI63118" s="422"/>
    </row>
    <row r="63119" spans="191:191" x14ac:dyDescent="0.2">
      <c r="GI63119" s="422"/>
    </row>
    <row r="63120" spans="191:191" x14ac:dyDescent="0.2">
      <c r="GI63120" s="422"/>
    </row>
    <row r="63121" spans="191:191" x14ac:dyDescent="0.2">
      <c r="GI63121" s="422"/>
    </row>
    <row r="63122" spans="191:191" x14ac:dyDescent="0.2">
      <c r="GI63122" s="422"/>
    </row>
    <row r="63123" spans="191:191" x14ac:dyDescent="0.2">
      <c r="GI63123" s="422"/>
    </row>
    <row r="63124" spans="191:191" x14ac:dyDescent="0.2">
      <c r="GI63124" s="422"/>
    </row>
    <row r="63125" spans="191:191" x14ac:dyDescent="0.2">
      <c r="GI63125" s="422"/>
    </row>
    <row r="63126" spans="191:191" x14ac:dyDescent="0.2">
      <c r="GI63126" s="422"/>
    </row>
    <row r="63127" spans="191:191" x14ac:dyDescent="0.2">
      <c r="GI63127" s="422"/>
    </row>
    <row r="63128" spans="191:191" x14ac:dyDescent="0.2">
      <c r="GI63128" s="422"/>
    </row>
    <row r="63129" spans="191:191" x14ac:dyDescent="0.2">
      <c r="GI63129" s="422"/>
    </row>
    <row r="63130" spans="191:191" x14ac:dyDescent="0.2">
      <c r="GI63130" s="422"/>
    </row>
    <row r="63131" spans="191:191" x14ac:dyDescent="0.2">
      <c r="GI63131" s="422"/>
    </row>
    <row r="63132" spans="191:191" x14ac:dyDescent="0.2">
      <c r="GI63132" s="422"/>
    </row>
    <row r="63133" spans="191:191" x14ac:dyDescent="0.2">
      <c r="GI63133" s="422"/>
    </row>
    <row r="63134" spans="191:191" x14ac:dyDescent="0.2">
      <c r="GI63134" s="422"/>
    </row>
    <row r="63135" spans="191:191" x14ac:dyDescent="0.2">
      <c r="GI63135" s="422"/>
    </row>
    <row r="63136" spans="191:191" x14ac:dyDescent="0.2">
      <c r="GI63136" s="422"/>
    </row>
    <row r="63137" spans="191:191" x14ac:dyDescent="0.2">
      <c r="GI63137" s="422"/>
    </row>
    <row r="63138" spans="191:191" x14ac:dyDescent="0.2">
      <c r="GI63138" s="422"/>
    </row>
    <row r="63139" spans="191:191" x14ac:dyDescent="0.2">
      <c r="GI63139" s="422"/>
    </row>
    <row r="63140" spans="191:191" x14ac:dyDescent="0.2">
      <c r="GI63140" s="422"/>
    </row>
    <row r="63141" spans="191:191" x14ac:dyDescent="0.2">
      <c r="GI63141" s="422"/>
    </row>
    <row r="63142" spans="191:191" x14ac:dyDescent="0.2">
      <c r="GI63142" s="422"/>
    </row>
    <row r="63143" spans="191:191" x14ac:dyDescent="0.2">
      <c r="GI63143" s="422"/>
    </row>
    <row r="63144" spans="191:191" x14ac:dyDescent="0.2">
      <c r="GI63144" s="422"/>
    </row>
    <row r="63145" spans="191:191" x14ac:dyDescent="0.2">
      <c r="GI63145" s="422"/>
    </row>
    <row r="63146" spans="191:191" x14ac:dyDescent="0.2">
      <c r="GI63146" s="422"/>
    </row>
    <row r="63147" spans="191:191" x14ac:dyDescent="0.2">
      <c r="GI63147" s="422"/>
    </row>
    <row r="63148" spans="191:191" x14ac:dyDescent="0.2">
      <c r="GI63148" s="422"/>
    </row>
    <row r="63149" spans="191:191" x14ac:dyDescent="0.2">
      <c r="GI63149" s="422"/>
    </row>
    <row r="63150" spans="191:191" x14ac:dyDescent="0.2">
      <c r="GI63150" s="422"/>
    </row>
    <row r="63151" spans="191:191" x14ac:dyDescent="0.2">
      <c r="GI63151" s="422"/>
    </row>
    <row r="63152" spans="191:191" x14ac:dyDescent="0.2">
      <c r="GI63152" s="422"/>
    </row>
    <row r="63153" spans="191:191" x14ac:dyDescent="0.2">
      <c r="GI63153" s="422"/>
    </row>
    <row r="63154" spans="191:191" x14ac:dyDescent="0.2">
      <c r="GI63154" s="422"/>
    </row>
    <row r="63155" spans="191:191" x14ac:dyDescent="0.2">
      <c r="GI63155" s="422"/>
    </row>
    <row r="63156" spans="191:191" x14ac:dyDescent="0.2">
      <c r="GI63156" s="422"/>
    </row>
    <row r="63157" spans="191:191" x14ac:dyDescent="0.2">
      <c r="GI63157" s="422"/>
    </row>
    <row r="63158" spans="191:191" x14ac:dyDescent="0.2">
      <c r="GI63158" s="422"/>
    </row>
    <row r="63159" spans="191:191" x14ac:dyDescent="0.2">
      <c r="GI63159" s="422"/>
    </row>
    <row r="63160" spans="191:191" x14ac:dyDescent="0.2">
      <c r="GI63160" s="422"/>
    </row>
    <row r="63161" spans="191:191" x14ac:dyDescent="0.2">
      <c r="GI63161" s="422"/>
    </row>
    <row r="63162" spans="191:191" x14ac:dyDescent="0.2">
      <c r="GI63162" s="422"/>
    </row>
    <row r="63163" spans="191:191" x14ac:dyDescent="0.2">
      <c r="GI63163" s="422"/>
    </row>
    <row r="63164" spans="191:191" x14ac:dyDescent="0.2">
      <c r="GI63164" s="422"/>
    </row>
    <row r="63165" spans="191:191" x14ac:dyDescent="0.2">
      <c r="GI63165" s="422"/>
    </row>
    <row r="63166" spans="191:191" x14ac:dyDescent="0.2">
      <c r="GI63166" s="422"/>
    </row>
    <row r="63167" spans="191:191" x14ac:dyDescent="0.2">
      <c r="GI63167" s="422"/>
    </row>
    <row r="63168" spans="191:191" x14ac:dyDescent="0.2">
      <c r="GI63168" s="422"/>
    </row>
    <row r="63169" spans="191:191" x14ac:dyDescent="0.2">
      <c r="GI63169" s="422"/>
    </row>
    <row r="63170" spans="191:191" x14ac:dyDescent="0.2">
      <c r="GI63170" s="422"/>
    </row>
    <row r="63171" spans="191:191" x14ac:dyDescent="0.2">
      <c r="GI63171" s="422"/>
    </row>
    <row r="63172" spans="191:191" x14ac:dyDescent="0.2">
      <c r="GI63172" s="422"/>
    </row>
    <row r="63173" spans="191:191" x14ac:dyDescent="0.2">
      <c r="GI63173" s="422"/>
    </row>
    <row r="63174" spans="191:191" x14ac:dyDescent="0.2">
      <c r="GI63174" s="422"/>
    </row>
    <row r="63175" spans="191:191" x14ac:dyDescent="0.2">
      <c r="GI63175" s="422"/>
    </row>
    <row r="63176" spans="191:191" x14ac:dyDescent="0.2">
      <c r="GI63176" s="422"/>
    </row>
    <row r="63177" spans="191:191" x14ac:dyDescent="0.2">
      <c r="GI63177" s="422"/>
    </row>
    <row r="63178" spans="191:191" x14ac:dyDescent="0.2">
      <c r="GI63178" s="422"/>
    </row>
    <row r="63179" spans="191:191" x14ac:dyDescent="0.2">
      <c r="GI63179" s="422"/>
    </row>
    <row r="63180" spans="191:191" x14ac:dyDescent="0.2">
      <c r="GI63180" s="422"/>
    </row>
    <row r="63181" spans="191:191" x14ac:dyDescent="0.2">
      <c r="GI63181" s="422"/>
    </row>
    <row r="63182" spans="191:191" x14ac:dyDescent="0.2">
      <c r="GI63182" s="422"/>
    </row>
    <row r="63183" spans="191:191" x14ac:dyDescent="0.2">
      <c r="GI63183" s="422"/>
    </row>
    <row r="63184" spans="191:191" x14ac:dyDescent="0.2">
      <c r="GI63184" s="422"/>
    </row>
    <row r="63185" spans="191:191" x14ac:dyDescent="0.2">
      <c r="GI63185" s="422"/>
    </row>
    <row r="63186" spans="191:191" x14ac:dyDescent="0.2">
      <c r="GI63186" s="422"/>
    </row>
    <row r="63187" spans="191:191" x14ac:dyDescent="0.2">
      <c r="GI63187" s="422"/>
    </row>
    <row r="63188" spans="191:191" x14ac:dyDescent="0.2">
      <c r="GI63188" s="422"/>
    </row>
    <row r="63189" spans="191:191" x14ac:dyDescent="0.2">
      <c r="GI63189" s="422"/>
    </row>
    <row r="63190" spans="191:191" x14ac:dyDescent="0.2">
      <c r="GI63190" s="422"/>
    </row>
    <row r="63191" spans="191:191" x14ac:dyDescent="0.2">
      <c r="GI63191" s="422"/>
    </row>
    <row r="63192" spans="191:191" x14ac:dyDescent="0.2">
      <c r="GI63192" s="422"/>
    </row>
    <row r="63193" spans="191:191" x14ac:dyDescent="0.2">
      <c r="GI63193" s="422"/>
    </row>
    <row r="63194" spans="191:191" x14ac:dyDescent="0.2">
      <c r="GI63194" s="422"/>
    </row>
    <row r="63195" spans="191:191" x14ac:dyDescent="0.2">
      <c r="GI63195" s="422"/>
    </row>
    <row r="63196" spans="191:191" x14ac:dyDescent="0.2">
      <c r="GI63196" s="422"/>
    </row>
    <row r="63197" spans="191:191" x14ac:dyDescent="0.2">
      <c r="GI63197" s="422"/>
    </row>
    <row r="63198" spans="191:191" x14ac:dyDescent="0.2">
      <c r="GI63198" s="422"/>
    </row>
    <row r="63199" spans="191:191" x14ac:dyDescent="0.2">
      <c r="GI63199" s="422"/>
    </row>
    <row r="63200" spans="191:191" x14ac:dyDescent="0.2">
      <c r="GI63200" s="422"/>
    </row>
    <row r="63201" spans="191:191" x14ac:dyDescent="0.2">
      <c r="GI63201" s="422"/>
    </row>
    <row r="63202" spans="191:191" x14ac:dyDescent="0.2">
      <c r="GI63202" s="422"/>
    </row>
    <row r="63203" spans="191:191" x14ac:dyDescent="0.2">
      <c r="GI63203" s="422"/>
    </row>
    <row r="63204" spans="191:191" x14ac:dyDescent="0.2">
      <c r="GI63204" s="422"/>
    </row>
    <row r="63205" spans="191:191" x14ac:dyDescent="0.2">
      <c r="GI63205" s="422"/>
    </row>
    <row r="63206" spans="191:191" x14ac:dyDescent="0.2">
      <c r="GI63206" s="422"/>
    </row>
    <row r="63207" spans="191:191" x14ac:dyDescent="0.2">
      <c r="GI63207" s="422"/>
    </row>
    <row r="63208" spans="191:191" x14ac:dyDescent="0.2">
      <c r="GI63208" s="422"/>
    </row>
    <row r="63209" spans="191:191" x14ac:dyDescent="0.2">
      <c r="GI63209" s="422"/>
    </row>
    <row r="63210" spans="191:191" x14ac:dyDescent="0.2">
      <c r="GI63210" s="422"/>
    </row>
    <row r="63211" spans="191:191" x14ac:dyDescent="0.2">
      <c r="GI63211" s="422"/>
    </row>
    <row r="63212" spans="191:191" x14ac:dyDescent="0.2">
      <c r="GI63212" s="422"/>
    </row>
    <row r="63213" spans="191:191" x14ac:dyDescent="0.2">
      <c r="GI63213" s="422"/>
    </row>
    <row r="63214" spans="191:191" x14ac:dyDescent="0.2">
      <c r="GI63214" s="422"/>
    </row>
    <row r="63215" spans="191:191" x14ac:dyDescent="0.2">
      <c r="GI63215" s="422"/>
    </row>
    <row r="63216" spans="191:191" x14ac:dyDescent="0.2">
      <c r="GI63216" s="422"/>
    </row>
    <row r="63217" spans="191:191" x14ac:dyDescent="0.2">
      <c r="GI63217" s="422"/>
    </row>
    <row r="63218" spans="191:191" x14ac:dyDescent="0.2">
      <c r="GI63218" s="422"/>
    </row>
    <row r="63219" spans="191:191" x14ac:dyDescent="0.2">
      <c r="GI63219" s="422"/>
    </row>
    <row r="63220" spans="191:191" x14ac:dyDescent="0.2">
      <c r="GI63220" s="422"/>
    </row>
    <row r="63221" spans="191:191" x14ac:dyDescent="0.2">
      <c r="GI63221" s="422"/>
    </row>
    <row r="63222" spans="191:191" x14ac:dyDescent="0.2">
      <c r="GI63222" s="422"/>
    </row>
    <row r="63223" spans="191:191" x14ac:dyDescent="0.2">
      <c r="GI63223" s="422"/>
    </row>
    <row r="63224" spans="191:191" x14ac:dyDescent="0.2">
      <c r="GI63224" s="422"/>
    </row>
    <row r="63225" spans="191:191" x14ac:dyDescent="0.2">
      <c r="GI63225" s="422"/>
    </row>
    <row r="63226" spans="191:191" x14ac:dyDescent="0.2">
      <c r="GI63226" s="422"/>
    </row>
    <row r="63227" spans="191:191" x14ac:dyDescent="0.2">
      <c r="GI63227" s="422"/>
    </row>
    <row r="63228" spans="191:191" x14ac:dyDescent="0.2">
      <c r="GI63228" s="422"/>
    </row>
    <row r="63229" spans="191:191" x14ac:dyDescent="0.2">
      <c r="GI63229" s="422"/>
    </row>
    <row r="63230" spans="191:191" x14ac:dyDescent="0.2">
      <c r="GI63230" s="422"/>
    </row>
    <row r="63231" spans="191:191" x14ac:dyDescent="0.2">
      <c r="GI63231" s="422"/>
    </row>
    <row r="63232" spans="191:191" x14ac:dyDescent="0.2">
      <c r="GI63232" s="422"/>
    </row>
    <row r="63233" spans="191:191" x14ac:dyDescent="0.2">
      <c r="GI63233" s="422"/>
    </row>
    <row r="63234" spans="191:191" x14ac:dyDescent="0.2">
      <c r="GI63234" s="422"/>
    </row>
    <row r="63235" spans="191:191" x14ac:dyDescent="0.2">
      <c r="GI63235" s="422"/>
    </row>
    <row r="63236" spans="191:191" x14ac:dyDescent="0.2">
      <c r="GI63236" s="422"/>
    </row>
    <row r="63237" spans="191:191" x14ac:dyDescent="0.2">
      <c r="GI63237" s="422"/>
    </row>
    <row r="63238" spans="191:191" x14ac:dyDescent="0.2">
      <c r="GI63238" s="422"/>
    </row>
    <row r="63239" spans="191:191" x14ac:dyDescent="0.2">
      <c r="GI63239" s="422"/>
    </row>
    <row r="63240" spans="191:191" x14ac:dyDescent="0.2">
      <c r="GI63240" s="422"/>
    </row>
    <row r="63241" spans="191:191" x14ac:dyDescent="0.2">
      <c r="GI63241" s="422"/>
    </row>
    <row r="63242" spans="191:191" x14ac:dyDescent="0.2">
      <c r="GI63242" s="422"/>
    </row>
    <row r="63243" spans="191:191" x14ac:dyDescent="0.2">
      <c r="GI63243" s="422"/>
    </row>
    <row r="63244" spans="191:191" x14ac:dyDescent="0.2">
      <c r="GI63244" s="422"/>
    </row>
    <row r="63245" spans="191:191" x14ac:dyDescent="0.2">
      <c r="GI63245" s="422"/>
    </row>
    <row r="63246" spans="191:191" x14ac:dyDescent="0.2">
      <c r="GI63246" s="422"/>
    </row>
    <row r="63247" spans="191:191" x14ac:dyDescent="0.2">
      <c r="GI63247" s="422"/>
    </row>
    <row r="63248" spans="191:191" x14ac:dyDescent="0.2">
      <c r="GI63248" s="422"/>
    </row>
    <row r="63249" spans="191:191" x14ac:dyDescent="0.2">
      <c r="GI63249" s="422"/>
    </row>
    <row r="63250" spans="191:191" x14ac:dyDescent="0.2">
      <c r="GI63250" s="422"/>
    </row>
    <row r="63251" spans="191:191" x14ac:dyDescent="0.2">
      <c r="GI63251" s="422"/>
    </row>
    <row r="63252" spans="191:191" x14ac:dyDescent="0.2">
      <c r="GI63252" s="422"/>
    </row>
    <row r="63253" spans="191:191" x14ac:dyDescent="0.2">
      <c r="GI63253" s="422"/>
    </row>
    <row r="63254" spans="191:191" x14ac:dyDescent="0.2">
      <c r="GI63254" s="422"/>
    </row>
    <row r="63255" spans="191:191" x14ac:dyDescent="0.2">
      <c r="GI63255" s="422"/>
    </row>
    <row r="63256" spans="191:191" x14ac:dyDescent="0.2">
      <c r="GI63256" s="422"/>
    </row>
    <row r="63257" spans="191:191" x14ac:dyDescent="0.2">
      <c r="GI63257" s="422"/>
    </row>
    <row r="63258" spans="191:191" x14ac:dyDescent="0.2">
      <c r="GI63258" s="422"/>
    </row>
    <row r="63259" spans="191:191" x14ac:dyDescent="0.2">
      <c r="GI63259" s="422"/>
    </row>
    <row r="63260" spans="191:191" x14ac:dyDescent="0.2">
      <c r="GI63260" s="422"/>
    </row>
    <row r="63261" spans="191:191" x14ac:dyDescent="0.2">
      <c r="GI63261" s="422"/>
    </row>
    <row r="63262" spans="191:191" x14ac:dyDescent="0.2">
      <c r="GI63262" s="422"/>
    </row>
    <row r="63263" spans="191:191" x14ac:dyDescent="0.2">
      <c r="GI63263" s="422"/>
    </row>
    <row r="63264" spans="191:191" x14ac:dyDescent="0.2">
      <c r="GI63264" s="422"/>
    </row>
    <row r="63265" spans="191:191" x14ac:dyDescent="0.2">
      <c r="GI63265" s="422"/>
    </row>
    <row r="63266" spans="191:191" x14ac:dyDescent="0.2">
      <c r="GI63266" s="422"/>
    </row>
    <row r="63267" spans="191:191" x14ac:dyDescent="0.2">
      <c r="GI63267" s="422"/>
    </row>
    <row r="63268" spans="191:191" x14ac:dyDescent="0.2">
      <c r="GI63268" s="422"/>
    </row>
    <row r="63269" spans="191:191" x14ac:dyDescent="0.2">
      <c r="GI63269" s="422"/>
    </row>
    <row r="63270" spans="191:191" x14ac:dyDescent="0.2">
      <c r="GI63270" s="422"/>
    </row>
    <row r="63271" spans="191:191" x14ac:dyDescent="0.2">
      <c r="GI63271" s="422"/>
    </row>
    <row r="63272" spans="191:191" x14ac:dyDescent="0.2">
      <c r="GI63272" s="422"/>
    </row>
    <row r="63273" spans="191:191" x14ac:dyDescent="0.2">
      <c r="GI63273" s="422"/>
    </row>
    <row r="63274" spans="191:191" x14ac:dyDescent="0.2">
      <c r="GI63274" s="422"/>
    </row>
    <row r="63275" spans="191:191" x14ac:dyDescent="0.2">
      <c r="GI63275" s="422"/>
    </row>
    <row r="63276" spans="191:191" x14ac:dyDescent="0.2">
      <c r="GI63276" s="422"/>
    </row>
    <row r="63277" spans="191:191" x14ac:dyDescent="0.2">
      <c r="GI63277" s="422"/>
    </row>
    <row r="63278" spans="191:191" x14ac:dyDescent="0.2">
      <c r="GI63278" s="422"/>
    </row>
    <row r="63279" spans="191:191" x14ac:dyDescent="0.2">
      <c r="GI63279" s="422"/>
    </row>
    <row r="63280" spans="191:191" x14ac:dyDescent="0.2">
      <c r="GI63280" s="422"/>
    </row>
    <row r="63281" spans="191:191" x14ac:dyDescent="0.2">
      <c r="GI63281" s="422"/>
    </row>
    <row r="63282" spans="191:191" x14ac:dyDescent="0.2">
      <c r="GI63282" s="422"/>
    </row>
    <row r="63283" spans="191:191" x14ac:dyDescent="0.2">
      <c r="GI63283" s="422"/>
    </row>
    <row r="63284" spans="191:191" x14ac:dyDescent="0.2">
      <c r="GI63284" s="422"/>
    </row>
    <row r="63285" spans="191:191" x14ac:dyDescent="0.2">
      <c r="GI63285" s="422"/>
    </row>
    <row r="63286" spans="191:191" x14ac:dyDescent="0.2">
      <c r="GI63286" s="422"/>
    </row>
    <row r="63287" spans="191:191" x14ac:dyDescent="0.2">
      <c r="GI63287" s="422"/>
    </row>
    <row r="63288" spans="191:191" x14ac:dyDescent="0.2">
      <c r="GI63288" s="422"/>
    </row>
    <row r="63289" spans="191:191" x14ac:dyDescent="0.2">
      <c r="GI63289" s="422"/>
    </row>
    <row r="63290" spans="191:191" x14ac:dyDescent="0.2">
      <c r="GI63290" s="422"/>
    </row>
    <row r="63291" spans="191:191" x14ac:dyDescent="0.2">
      <c r="GI63291" s="422"/>
    </row>
    <row r="63292" spans="191:191" x14ac:dyDescent="0.2">
      <c r="GI63292" s="422"/>
    </row>
    <row r="63293" spans="191:191" x14ac:dyDescent="0.2">
      <c r="GI63293" s="422"/>
    </row>
    <row r="63294" spans="191:191" x14ac:dyDescent="0.2">
      <c r="GI63294" s="422"/>
    </row>
    <row r="63295" spans="191:191" x14ac:dyDescent="0.2">
      <c r="GI63295" s="422"/>
    </row>
    <row r="63296" spans="191:191" x14ac:dyDescent="0.2">
      <c r="GI63296" s="422"/>
    </row>
    <row r="63297" spans="191:191" x14ac:dyDescent="0.2">
      <c r="GI63297" s="422"/>
    </row>
    <row r="63298" spans="191:191" x14ac:dyDescent="0.2">
      <c r="GI63298" s="422"/>
    </row>
    <row r="63299" spans="191:191" x14ac:dyDescent="0.2">
      <c r="GI63299" s="422"/>
    </row>
    <row r="63300" spans="191:191" x14ac:dyDescent="0.2">
      <c r="GI63300" s="422"/>
    </row>
    <row r="63301" spans="191:191" x14ac:dyDescent="0.2">
      <c r="GI63301" s="422"/>
    </row>
    <row r="63302" spans="191:191" x14ac:dyDescent="0.2">
      <c r="GI63302" s="422"/>
    </row>
    <row r="63303" spans="191:191" x14ac:dyDescent="0.2">
      <c r="GI63303" s="422"/>
    </row>
    <row r="63304" spans="191:191" x14ac:dyDescent="0.2">
      <c r="GI63304" s="422"/>
    </row>
    <row r="63305" spans="191:191" x14ac:dyDescent="0.2">
      <c r="GI63305" s="422"/>
    </row>
    <row r="63306" spans="191:191" x14ac:dyDescent="0.2">
      <c r="GI63306" s="422"/>
    </row>
    <row r="63307" spans="191:191" x14ac:dyDescent="0.2">
      <c r="GI63307" s="422"/>
    </row>
    <row r="63308" spans="191:191" x14ac:dyDescent="0.2">
      <c r="GI63308" s="422"/>
    </row>
    <row r="63309" spans="191:191" x14ac:dyDescent="0.2">
      <c r="GI63309" s="422"/>
    </row>
    <row r="63310" spans="191:191" x14ac:dyDescent="0.2">
      <c r="GI63310" s="422"/>
    </row>
    <row r="63311" spans="191:191" x14ac:dyDescent="0.2">
      <c r="GI63311" s="422"/>
    </row>
    <row r="63312" spans="191:191" x14ac:dyDescent="0.2">
      <c r="GI63312" s="422"/>
    </row>
    <row r="63313" spans="191:191" x14ac:dyDescent="0.2">
      <c r="GI63313" s="422"/>
    </row>
    <row r="63314" spans="191:191" x14ac:dyDescent="0.2">
      <c r="GI63314" s="422"/>
    </row>
    <row r="63315" spans="191:191" x14ac:dyDescent="0.2">
      <c r="GI63315" s="422"/>
    </row>
    <row r="63316" spans="191:191" x14ac:dyDescent="0.2">
      <c r="GI63316" s="422"/>
    </row>
    <row r="63317" spans="191:191" x14ac:dyDescent="0.2">
      <c r="GI63317" s="422"/>
    </row>
    <row r="63318" spans="191:191" x14ac:dyDescent="0.2">
      <c r="GI63318" s="422"/>
    </row>
    <row r="63319" spans="191:191" x14ac:dyDescent="0.2">
      <c r="GI63319" s="422"/>
    </row>
    <row r="63320" spans="191:191" x14ac:dyDescent="0.2">
      <c r="GI63320" s="422"/>
    </row>
    <row r="63321" spans="191:191" x14ac:dyDescent="0.2">
      <c r="GI63321" s="422"/>
    </row>
    <row r="63322" spans="191:191" x14ac:dyDescent="0.2">
      <c r="GI63322" s="422"/>
    </row>
    <row r="63323" spans="191:191" x14ac:dyDescent="0.2">
      <c r="GI63323" s="422"/>
    </row>
    <row r="63324" spans="191:191" x14ac:dyDescent="0.2">
      <c r="GI63324" s="422"/>
    </row>
    <row r="63325" spans="191:191" x14ac:dyDescent="0.2">
      <c r="GI63325" s="422"/>
    </row>
    <row r="63326" spans="191:191" x14ac:dyDescent="0.2">
      <c r="GI63326" s="422"/>
    </row>
    <row r="63327" spans="191:191" x14ac:dyDescent="0.2">
      <c r="GI63327" s="422"/>
    </row>
    <row r="63328" spans="191:191" x14ac:dyDescent="0.2">
      <c r="GI63328" s="422"/>
    </row>
    <row r="63329" spans="191:191" x14ac:dyDescent="0.2">
      <c r="GI63329" s="422"/>
    </row>
    <row r="63330" spans="191:191" x14ac:dyDescent="0.2">
      <c r="GI63330" s="422"/>
    </row>
    <row r="63331" spans="191:191" x14ac:dyDescent="0.2">
      <c r="GI63331" s="422"/>
    </row>
    <row r="63332" spans="191:191" x14ac:dyDescent="0.2">
      <c r="GI63332" s="422"/>
    </row>
    <row r="63333" spans="191:191" x14ac:dyDescent="0.2">
      <c r="GI63333" s="422"/>
    </row>
    <row r="63334" spans="191:191" x14ac:dyDescent="0.2">
      <c r="GI63334" s="422"/>
    </row>
    <row r="63335" spans="191:191" x14ac:dyDescent="0.2">
      <c r="GI63335" s="422"/>
    </row>
    <row r="63336" spans="191:191" x14ac:dyDescent="0.2">
      <c r="GI63336" s="422"/>
    </row>
    <row r="63337" spans="191:191" x14ac:dyDescent="0.2">
      <c r="GI63337" s="422"/>
    </row>
    <row r="63338" spans="191:191" x14ac:dyDescent="0.2">
      <c r="GI63338" s="422"/>
    </row>
    <row r="63339" spans="191:191" x14ac:dyDescent="0.2">
      <c r="GI63339" s="422"/>
    </row>
    <row r="63340" spans="191:191" x14ac:dyDescent="0.2">
      <c r="GI63340" s="422"/>
    </row>
    <row r="63341" spans="191:191" x14ac:dyDescent="0.2">
      <c r="GI63341" s="422"/>
    </row>
    <row r="63342" spans="191:191" x14ac:dyDescent="0.2">
      <c r="GI63342" s="422"/>
    </row>
    <row r="63343" spans="191:191" x14ac:dyDescent="0.2">
      <c r="GI63343" s="422"/>
    </row>
    <row r="63344" spans="191:191" x14ac:dyDescent="0.2">
      <c r="GI63344" s="422"/>
    </row>
    <row r="63345" spans="191:191" x14ac:dyDescent="0.2">
      <c r="GI63345" s="422"/>
    </row>
    <row r="63346" spans="191:191" x14ac:dyDescent="0.2">
      <c r="GI63346" s="422"/>
    </row>
    <row r="63347" spans="191:191" x14ac:dyDescent="0.2">
      <c r="GI63347" s="422"/>
    </row>
    <row r="63348" spans="191:191" x14ac:dyDescent="0.2">
      <c r="GI63348" s="422"/>
    </row>
    <row r="63349" spans="191:191" x14ac:dyDescent="0.2">
      <c r="GI63349" s="422"/>
    </row>
    <row r="63350" spans="191:191" x14ac:dyDescent="0.2">
      <c r="GI63350" s="422"/>
    </row>
    <row r="63351" spans="191:191" x14ac:dyDescent="0.2">
      <c r="GI63351" s="422"/>
    </row>
    <row r="63352" spans="191:191" x14ac:dyDescent="0.2">
      <c r="GI63352" s="422"/>
    </row>
    <row r="63353" spans="191:191" x14ac:dyDescent="0.2">
      <c r="GI63353" s="422"/>
    </row>
    <row r="63354" spans="191:191" x14ac:dyDescent="0.2">
      <c r="GI63354" s="422"/>
    </row>
    <row r="63355" spans="191:191" x14ac:dyDescent="0.2">
      <c r="GI63355" s="422"/>
    </row>
    <row r="63356" spans="191:191" x14ac:dyDescent="0.2">
      <c r="GI63356" s="422"/>
    </row>
    <row r="63357" spans="191:191" x14ac:dyDescent="0.2">
      <c r="GI63357" s="422"/>
    </row>
    <row r="63358" spans="191:191" x14ac:dyDescent="0.2">
      <c r="GI63358" s="422"/>
    </row>
    <row r="63359" spans="191:191" x14ac:dyDescent="0.2">
      <c r="GI63359" s="422"/>
    </row>
    <row r="63360" spans="191:191" x14ac:dyDescent="0.2">
      <c r="GI63360" s="422"/>
    </row>
    <row r="63361" spans="191:191" x14ac:dyDescent="0.2">
      <c r="GI63361" s="422"/>
    </row>
    <row r="63362" spans="191:191" x14ac:dyDescent="0.2">
      <c r="GI63362" s="422"/>
    </row>
    <row r="63363" spans="191:191" x14ac:dyDescent="0.2">
      <c r="GI63363" s="422"/>
    </row>
    <row r="63364" spans="191:191" x14ac:dyDescent="0.2">
      <c r="GI63364" s="422"/>
    </row>
    <row r="63365" spans="191:191" x14ac:dyDescent="0.2">
      <c r="GI63365" s="422"/>
    </row>
    <row r="63366" spans="191:191" x14ac:dyDescent="0.2">
      <c r="GI63366" s="422"/>
    </row>
    <row r="63367" spans="191:191" x14ac:dyDescent="0.2">
      <c r="GI63367" s="422"/>
    </row>
    <row r="63368" spans="191:191" x14ac:dyDescent="0.2">
      <c r="GI63368" s="422"/>
    </row>
    <row r="63369" spans="191:191" x14ac:dyDescent="0.2">
      <c r="GI63369" s="422"/>
    </row>
    <row r="63370" spans="191:191" x14ac:dyDescent="0.2">
      <c r="GI63370" s="422"/>
    </row>
    <row r="63371" spans="191:191" x14ac:dyDescent="0.2">
      <c r="GI63371" s="422"/>
    </row>
    <row r="63372" spans="191:191" x14ac:dyDescent="0.2">
      <c r="GI63372" s="422"/>
    </row>
    <row r="63373" spans="191:191" x14ac:dyDescent="0.2">
      <c r="GI63373" s="422"/>
    </row>
    <row r="63374" spans="191:191" x14ac:dyDescent="0.2">
      <c r="GI63374" s="422"/>
    </row>
    <row r="63375" spans="191:191" x14ac:dyDescent="0.2">
      <c r="GI63375" s="422"/>
    </row>
    <row r="63376" spans="191:191" x14ac:dyDescent="0.2">
      <c r="GI63376" s="422"/>
    </row>
    <row r="63377" spans="191:191" x14ac:dyDescent="0.2">
      <c r="GI63377" s="422"/>
    </row>
    <row r="63378" spans="191:191" x14ac:dyDescent="0.2">
      <c r="GI63378" s="422"/>
    </row>
    <row r="63379" spans="191:191" x14ac:dyDescent="0.2">
      <c r="GI63379" s="422"/>
    </row>
    <row r="63380" spans="191:191" x14ac:dyDescent="0.2">
      <c r="GI63380" s="422"/>
    </row>
    <row r="63381" spans="191:191" x14ac:dyDescent="0.2">
      <c r="GI63381" s="422"/>
    </row>
    <row r="63382" spans="191:191" x14ac:dyDescent="0.2">
      <c r="GI63382" s="422"/>
    </row>
    <row r="63383" spans="191:191" x14ac:dyDescent="0.2">
      <c r="GI63383" s="422"/>
    </row>
    <row r="63384" spans="191:191" x14ac:dyDescent="0.2">
      <c r="GI63384" s="422"/>
    </row>
    <row r="63385" spans="191:191" x14ac:dyDescent="0.2">
      <c r="GI63385" s="422"/>
    </row>
    <row r="63386" spans="191:191" x14ac:dyDescent="0.2">
      <c r="GI63386" s="422"/>
    </row>
    <row r="63387" spans="191:191" x14ac:dyDescent="0.2">
      <c r="GI63387" s="422"/>
    </row>
    <row r="63388" spans="191:191" x14ac:dyDescent="0.2">
      <c r="GI63388" s="422"/>
    </row>
    <row r="63389" spans="191:191" x14ac:dyDescent="0.2">
      <c r="GI63389" s="422"/>
    </row>
    <row r="63390" spans="191:191" x14ac:dyDescent="0.2">
      <c r="GI63390" s="422"/>
    </row>
    <row r="63391" spans="191:191" x14ac:dyDescent="0.2">
      <c r="GI63391" s="422"/>
    </row>
    <row r="63392" spans="191:191" x14ac:dyDescent="0.2">
      <c r="GI63392" s="422"/>
    </row>
    <row r="63393" spans="191:191" x14ac:dyDescent="0.2">
      <c r="GI63393" s="422"/>
    </row>
    <row r="63394" spans="191:191" x14ac:dyDescent="0.2">
      <c r="GI63394" s="422"/>
    </row>
    <row r="63395" spans="191:191" x14ac:dyDescent="0.2">
      <c r="GI63395" s="422"/>
    </row>
    <row r="63396" spans="191:191" x14ac:dyDescent="0.2">
      <c r="GI63396" s="422"/>
    </row>
    <row r="63397" spans="191:191" x14ac:dyDescent="0.2">
      <c r="GI63397" s="422"/>
    </row>
    <row r="63398" spans="191:191" x14ac:dyDescent="0.2">
      <c r="GI63398" s="422"/>
    </row>
    <row r="63399" spans="191:191" x14ac:dyDescent="0.2">
      <c r="GI63399" s="422"/>
    </row>
    <row r="63400" spans="191:191" x14ac:dyDescent="0.2">
      <c r="GI63400" s="422"/>
    </row>
    <row r="63401" spans="191:191" x14ac:dyDescent="0.2">
      <c r="GI63401" s="422"/>
    </row>
    <row r="63402" spans="191:191" x14ac:dyDescent="0.2">
      <c r="GI63402" s="422"/>
    </row>
    <row r="63403" spans="191:191" x14ac:dyDescent="0.2">
      <c r="GI63403" s="422"/>
    </row>
    <row r="63404" spans="191:191" x14ac:dyDescent="0.2">
      <c r="GI63404" s="422"/>
    </row>
    <row r="63405" spans="191:191" x14ac:dyDescent="0.2">
      <c r="GI63405" s="422"/>
    </row>
    <row r="63406" spans="191:191" x14ac:dyDescent="0.2">
      <c r="GI63406" s="422"/>
    </row>
    <row r="63407" spans="191:191" x14ac:dyDescent="0.2">
      <c r="GI63407" s="422"/>
    </row>
    <row r="63408" spans="191:191" x14ac:dyDescent="0.2">
      <c r="GI63408" s="422"/>
    </row>
    <row r="63409" spans="191:191" x14ac:dyDescent="0.2">
      <c r="GI63409" s="422"/>
    </row>
    <row r="63410" spans="191:191" x14ac:dyDescent="0.2">
      <c r="GI63410" s="422"/>
    </row>
    <row r="63411" spans="191:191" x14ac:dyDescent="0.2">
      <c r="GI63411" s="422"/>
    </row>
    <row r="63412" spans="191:191" x14ac:dyDescent="0.2">
      <c r="GI63412" s="422"/>
    </row>
    <row r="63413" spans="191:191" x14ac:dyDescent="0.2">
      <c r="GI63413" s="422"/>
    </row>
    <row r="63414" spans="191:191" x14ac:dyDescent="0.2">
      <c r="GI63414" s="422"/>
    </row>
    <row r="63415" spans="191:191" x14ac:dyDescent="0.2">
      <c r="GI63415" s="422"/>
    </row>
    <row r="63416" spans="191:191" x14ac:dyDescent="0.2">
      <c r="GI63416" s="422"/>
    </row>
    <row r="63417" spans="191:191" x14ac:dyDescent="0.2">
      <c r="GI63417" s="422"/>
    </row>
    <row r="63418" spans="191:191" x14ac:dyDescent="0.2">
      <c r="GI63418" s="422"/>
    </row>
    <row r="63419" spans="191:191" x14ac:dyDescent="0.2">
      <c r="GI63419" s="422"/>
    </row>
    <row r="63420" spans="191:191" x14ac:dyDescent="0.2">
      <c r="GI63420" s="422"/>
    </row>
    <row r="63421" spans="191:191" x14ac:dyDescent="0.2">
      <c r="GI63421" s="422"/>
    </row>
    <row r="63422" spans="191:191" x14ac:dyDescent="0.2">
      <c r="GI63422" s="422"/>
    </row>
    <row r="63423" spans="191:191" x14ac:dyDescent="0.2">
      <c r="GI63423" s="422"/>
    </row>
    <row r="63424" spans="191:191" x14ac:dyDescent="0.2">
      <c r="GI63424" s="422"/>
    </row>
    <row r="63425" spans="191:191" x14ac:dyDescent="0.2">
      <c r="GI63425" s="422"/>
    </row>
    <row r="63426" spans="191:191" x14ac:dyDescent="0.2">
      <c r="GI63426" s="422"/>
    </row>
    <row r="63427" spans="191:191" x14ac:dyDescent="0.2">
      <c r="GI63427" s="422"/>
    </row>
    <row r="63428" spans="191:191" x14ac:dyDescent="0.2">
      <c r="GI63428" s="422"/>
    </row>
    <row r="63429" spans="191:191" x14ac:dyDescent="0.2">
      <c r="GI63429" s="422"/>
    </row>
    <row r="63430" spans="191:191" x14ac:dyDescent="0.2">
      <c r="GI63430" s="422"/>
    </row>
    <row r="63431" spans="191:191" x14ac:dyDescent="0.2">
      <c r="GI63431" s="422"/>
    </row>
    <row r="63432" spans="191:191" x14ac:dyDescent="0.2">
      <c r="GI63432" s="422"/>
    </row>
    <row r="63433" spans="191:191" x14ac:dyDescent="0.2">
      <c r="GI63433" s="422"/>
    </row>
    <row r="63434" spans="191:191" x14ac:dyDescent="0.2">
      <c r="GI63434" s="422"/>
    </row>
    <row r="63435" spans="191:191" x14ac:dyDescent="0.2">
      <c r="GI63435" s="422"/>
    </row>
    <row r="63436" spans="191:191" x14ac:dyDescent="0.2">
      <c r="GI63436" s="422"/>
    </row>
    <row r="63437" spans="191:191" x14ac:dyDescent="0.2">
      <c r="GI63437" s="422"/>
    </row>
    <row r="63438" spans="191:191" x14ac:dyDescent="0.2">
      <c r="GI63438" s="422"/>
    </row>
    <row r="63439" spans="191:191" x14ac:dyDescent="0.2">
      <c r="GI63439" s="422"/>
    </row>
    <row r="63440" spans="191:191" x14ac:dyDescent="0.2">
      <c r="GI63440" s="422"/>
    </row>
    <row r="63441" spans="191:191" x14ac:dyDescent="0.2">
      <c r="GI63441" s="422"/>
    </row>
    <row r="63442" spans="191:191" x14ac:dyDescent="0.2">
      <c r="GI63442" s="422"/>
    </row>
    <row r="63443" spans="191:191" x14ac:dyDescent="0.2">
      <c r="GI63443" s="422"/>
    </row>
    <row r="63444" spans="191:191" x14ac:dyDescent="0.2">
      <c r="GI63444" s="422"/>
    </row>
    <row r="63445" spans="191:191" x14ac:dyDescent="0.2">
      <c r="GI63445" s="422"/>
    </row>
    <row r="63446" spans="191:191" x14ac:dyDescent="0.2">
      <c r="GI63446" s="422"/>
    </row>
    <row r="63447" spans="191:191" x14ac:dyDescent="0.2">
      <c r="GI63447" s="422"/>
    </row>
    <row r="63448" spans="191:191" x14ac:dyDescent="0.2">
      <c r="GI63448" s="422"/>
    </row>
    <row r="63449" spans="191:191" x14ac:dyDescent="0.2">
      <c r="GI63449" s="422"/>
    </row>
    <row r="63450" spans="191:191" x14ac:dyDescent="0.2">
      <c r="GI63450" s="422"/>
    </row>
    <row r="63451" spans="191:191" x14ac:dyDescent="0.2">
      <c r="GI63451" s="422"/>
    </row>
    <row r="63452" spans="191:191" x14ac:dyDescent="0.2">
      <c r="GI63452" s="422"/>
    </row>
    <row r="63453" spans="191:191" x14ac:dyDescent="0.2">
      <c r="GI63453" s="422"/>
    </row>
    <row r="63454" spans="191:191" x14ac:dyDescent="0.2">
      <c r="GI63454" s="422"/>
    </row>
    <row r="63455" spans="191:191" x14ac:dyDescent="0.2">
      <c r="GI63455" s="422"/>
    </row>
    <row r="63456" spans="191:191" x14ac:dyDescent="0.2">
      <c r="GI63456" s="422"/>
    </row>
    <row r="63457" spans="191:191" x14ac:dyDescent="0.2">
      <c r="GI63457" s="422"/>
    </row>
    <row r="63458" spans="191:191" x14ac:dyDescent="0.2">
      <c r="GI63458" s="422"/>
    </row>
    <row r="63459" spans="191:191" x14ac:dyDescent="0.2">
      <c r="GI63459" s="422"/>
    </row>
    <row r="63460" spans="191:191" x14ac:dyDescent="0.2">
      <c r="GI63460" s="422"/>
    </row>
    <row r="63461" spans="191:191" x14ac:dyDescent="0.2">
      <c r="GI63461" s="422"/>
    </row>
    <row r="63462" spans="191:191" x14ac:dyDescent="0.2">
      <c r="GI63462" s="422"/>
    </row>
    <row r="63463" spans="191:191" x14ac:dyDescent="0.2">
      <c r="GI63463" s="422"/>
    </row>
    <row r="63464" spans="191:191" x14ac:dyDescent="0.2">
      <c r="GI63464" s="422"/>
    </row>
    <row r="63465" spans="191:191" x14ac:dyDescent="0.2">
      <c r="GI63465" s="422"/>
    </row>
    <row r="63466" spans="191:191" x14ac:dyDescent="0.2">
      <c r="GI63466" s="422"/>
    </row>
    <row r="63467" spans="191:191" x14ac:dyDescent="0.2">
      <c r="GI63467" s="422"/>
    </row>
    <row r="63468" spans="191:191" x14ac:dyDescent="0.2">
      <c r="GI63468" s="422"/>
    </row>
    <row r="63469" spans="191:191" x14ac:dyDescent="0.2">
      <c r="GI63469" s="422"/>
    </row>
    <row r="63470" spans="191:191" x14ac:dyDescent="0.2">
      <c r="GI63470" s="422"/>
    </row>
    <row r="63471" spans="191:191" x14ac:dyDescent="0.2">
      <c r="GI63471" s="422"/>
    </row>
    <row r="63472" spans="191:191" x14ac:dyDescent="0.2">
      <c r="GI63472" s="422"/>
    </row>
    <row r="63473" spans="191:191" x14ac:dyDescent="0.2">
      <c r="GI63473" s="422"/>
    </row>
    <row r="63474" spans="191:191" x14ac:dyDescent="0.2">
      <c r="GI63474" s="422"/>
    </row>
    <row r="63475" spans="191:191" x14ac:dyDescent="0.2">
      <c r="GI63475" s="422"/>
    </row>
    <row r="63476" spans="191:191" x14ac:dyDescent="0.2">
      <c r="GI63476" s="422"/>
    </row>
    <row r="63477" spans="191:191" x14ac:dyDescent="0.2">
      <c r="GI63477" s="422"/>
    </row>
    <row r="63478" spans="191:191" x14ac:dyDescent="0.2">
      <c r="GI63478" s="422"/>
    </row>
    <row r="63479" spans="191:191" x14ac:dyDescent="0.2">
      <c r="GI63479" s="422"/>
    </row>
    <row r="63480" spans="191:191" x14ac:dyDescent="0.2">
      <c r="GI63480" s="422"/>
    </row>
    <row r="63481" spans="191:191" x14ac:dyDescent="0.2">
      <c r="GI63481" s="422"/>
    </row>
    <row r="63482" spans="191:191" x14ac:dyDescent="0.2">
      <c r="GI63482" s="422"/>
    </row>
    <row r="63483" spans="191:191" x14ac:dyDescent="0.2">
      <c r="GI63483" s="422"/>
    </row>
    <row r="63484" spans="191:191" x14ac:dyDescent="0.2">
      <c r="GI63484" s="422"/>
    </row>
    <row r="63485" spans="191:191" x14ac:dyDescent="0.2">
      <c r="GI63485" s="422"/>
    </row>
    <row r="63486" spans="191:191" x14ac:dyDescent="0.2">
      <c r="GI63486" s="422"/>
    </row>
    <row r="63487" spans="191:191" x14ac:dyDescent="0.2">
      <c r="GI63487" s="422"/>
    </row>
    <row r="63488" spans="191:191" x14ac:dyDescent="0.2">
      <c r="GI63488" s="422"/>
    </row>
    <row r="63489" spans="191:191" x14ac:dyDescent="0.2">
      <c r="GI63489" s="422"/>
    </row>
    <row r="63490" spans="191:191" x14ac:dyDescent="0.2">
      <c r="GI63490" s="422"/>
    </row>
    <row r="63491" spans="191:191" x14ac:dyDescent="0.2">
      <c r="GI63491" s="422"/>
    </row>
    <row r="63492" spans="191:191" x14ac:dyDescent="0.2">
      <c r="GI63492" s="422"/>
    </row>
    <row r="63493" spans="191:191" x14ac:dyDescent="0.2">
      <c r="GI63493" s="422"/>
    </row>
    <row r="63494" spans="191:191" x14ac:dyDescent="0.2">
      <c r="GI63494" s="422"/>
    </row>
    <row r="63495" spans="191:191" x14ac:dyDescent="0.2">
      <c r="GI63495" s="422"/>
    </row>
    <row r="63496" spans="191:191" x14ac:dyDescent="0.2">
      <c r="GI63496" s="422"/>
    </row>
    <row r="63497" spans="191:191" x14ac:dyDescent="0.2">
      <c r="GI63497" s="422"/>
    </row>
    <row r="63498" spans="191:191" x14ac:dyDescent="0.2">
      <c r="GI63498" s="422"/>
    </row>
    <row r="63499" spans="191:191" x14ac:dyDescent="0.2">
      <c r="GI63499" s="422"/>
    </row>
    <row r="63500" spans="191:191" x14ac:dyDescent="0.2">
      <c r="GI63500" s="422"/>
    </row>
    <row r="63501" spans="191:191" x14ac:dyDescent="0.2">
      <c r="GI63501" s="422"/>
    </row>
    <row r="63502" spans="191:191" x14ac:dyDescent="0.2">
      <c r="GI63502" s="422"/>
    </row>
    <row r="63503" spans="191:191" x14ac:dyDescent="0.2">
      <c r="GI63503" s="422"/>
    </row>
    <row r="63504" spans="191:191" x14ac:dyDescent="0.2">
      <c r="GI63504" s="422"/>
    </row>
    <row r="63505" spans="191:191" x14ac:dyDescent="0.2">
      <c r="GI63505" s="422"/>
    </row>
    <row r="63506" spans="191:191" x14ac:dyDescent="0.2">
      <c r="GI63506" s="422"/>
    </row>
    <row r="63507" spans="191:191" x14ac:dyDescent="0.2">
      <c r="GI63507" s="422"/>
    </row>
    <row r="63508" spans="191:191" x14ac:dyDescent="0.2">
      <c r="GI63508" s="422"/>
    </row>
    <row r="63509" spans="191:191" x14ac:dyDescent="0.2">
      <c r="GI63509" s="422"/>
    </row>
    <row r="63510" spans="191:191" x14ac:dyDescent="0.2">
      <c r="GI63510" s="422"/>
    </row>
    <row r="63511" spans="191:191" x14ac:dyDescent="0.2">
      <c r="GI63511" s="422"/>
    </row>
    <row r="63512" spans="191:191" x14ac:dyDescent="0.2">
      <c r="GI63512" s="422"/>
    </row>
    <row r="63513" spans="191:191" x14ac:dyDescent="0.2">
      <c r="GI63513" s="422"/>
    </row>
    <row r="63514" spans="191:191" x14ac:dyDescent="0.2">
      <c r="GI63514" s="422"/>
    </row>
    <row r="63515" spans="191:191" x14ac:dyDescent="0.2">
      <c r="GI63515" s="422"/>
    </row>
    <row r="63516" spans="191:191" x14ac:dyDescent="0.2">
      <c r="GI63516" s="422"/>
    </row>
    <row r="63517" spans="191:191" x14ac:dyDescent="0.2">
      <c r="GI63517" s="422"/>
    </row>
    <row r="63518" spans="191:191" x14ac:dyDescent="0.2">
      <c r="GI63518" s="422"/>
    </row>
    <row r="63519" spans="191:191" x14ac:dyDescent="0.2">
      <c r="GI63519" s="422"/>
    </row>
    <row r="63520" spans="191:191" x14ac:dyDescent="0.2">
      <c r="GI63520" s="422"/>
    </row>
    <row r="63521" spans="191:191" x14ac:dyDescent="0.2">
      <c r="GI63521" s="422"/>
    </row>
    <row r="63522" spans="191:191" x14ac:dyDescent="0.2">
      <c r="GI63522" s="422"/>
    </row>
    <row r="63523" spans="191:191" x14ac:dyDescent="0.2">
      <c r="GI63523" s="422"/>
    </row>
    <row r="63524" spans="191:191" x14ac:dyDescent="0.2">
      <c r="GI63524" s="422"/>
    </row>
    <row r="63525" spans="191:191" x14ac:dyDescent="0.2">
      <c r="GI63525" s="422"/>
    </row>
    <row r="63526" spans="191:191" x14ac:dyDescent="0.2">
      <c r="GI63526" s="422"/>
    </row>
    <row r="63527" spans="191:191" x14ac:dyDescent="0.2">
      <c r="GI63527" s="422"/>
    </row>
    <row r="63528" spans="191:191" x14ac:dyDescent="0.2">
      <c r="GI63528" s="422"/>
    </row>
    <row r="63529" spans="191:191" x14ac:dyDescent="0.2">
      <c r="GI63529" s="422"/>
    </row>
    <row r="63530" spans="191:191" x14ac:dyDescent="0.2">
      <c r="GI63530" s="422"/>
    </row>
    <row r="63531" spans="191:191" x14ac:dyDescent="0.2">
      <c r="GI63531" s="422"/>
    </row>
    <row r="63532" spans="191:191" x14ac:dyDescent="0.2">
      <c r="GI63532" s="422"/>
    </row>
    <row r="63533" spans="191:191" x14ac:dyDescent="0.2">
      <c r="GI63533" s="422"/>
    </row>
    <row r="63534" spans="191:191" x14ac:dyDescent="0.2">
      <c r="GI63534" s="422"/>
    </row>
    <row r="63535" spans="191:191" x14ac:dyDescent="0.2">
      <c r="GI63535" s="422"/>
    </row>
    <row r="63536" spans="191:191" x14ac:dyDescent="0.2">
      <c r="GI63536" s="422"/>
    </row>
    <row r="63537" spans="191:191" x14ac:dyDescent="0.2">
      <c r="GI63537" s="422"/>
    </row>
    <row r="63538" spans="191:191" x14ac:dyDescent="0.2">
      <c r="GI63538" s="422"/>
    </row>
    <row r="63539" spans="191:191" x14ac:dyDescent="0.2">
      <c r="GI63539" s="422"/>
    </row>
    <row r="63540" spans="191:191" x14ac:dyDescent="0.2">
      <c r="GI63540" s="422"/>
    </row>
    <row r="63541" spans="191:191" x14ac:dyDescent="0.2">
      <c r="GI63541" s="422"/>
    </row>
    <row r="63542" spans="191:191" x14ac:dyDescent="0.2">
      <c r="GI63542" s="422"/>
    </row>
    <row r="63543" spans="191:191" x14ac:dyDescent="0.2">
      <c r="GI63543" s="422"/>
    </row>
    <row r="63544" spans="191:191" x14ac:dyDescent="0.2">
      <c r="GI63544" s="422"/>
    </row>
    <row r="63545" spans="191:191" x14ac:dyDescent="0.2">
      <c r="GI63545" s="422"/>
    </row>
    <row r="63546" spans="191:191" x14ac:dyDescent="0.2">
      <c r="GI63546" s="422"/>
    </row>
    <row r="63547" spans="191:191" x14ac:dyDescent="0.2">
      <c r="GI63547" s="422"/>
    </row>
    <row r="63548" spans="191:191" x14ac:dyDescent="0.2">
      <c r="GI63548" s="422"/>
    </row>
    <row r="63549" spans="191:191" x14ac:dyDescent="0.2">
      <c r="GI63549" s="422"/>
    </row>
    <row r="63550" spans="191:191" x14ac:dyDescent="0.2">
      <c r="GI63550" s="422"/>
    </row>
    <row r="63551" spans="191:191" x14ac:dyDescent="0.2">
      <c r="GI63551" s="422"/>
    </row>
    <row r="63552" spans="191:191" x14ac:dyDescent="0.2">
      <c r="GI63552" s="422"/>
    </row>
    <row r="63553" spans="191:191" x14ac:dyDescent="0.2">
      <c r="GI63553" s="422"/>
    </row>
    <row r="63554" spans="191:191" x14ac:dyDescent="0.2">
      <c r="GI63554" s="422"/>
    </row>
    <row r="63555" spans="191:191" x14ac:dyDescent="0.2">
      <c r="GI63555" s="422"/>
    </row>
    <row r="63556" spans="191:191" x14ac:dyDescent="0.2">
      <c r="GI63556" s="422"/>
    </row>
    <row r="63557" spans="191:191" x14ac:dyDescent="0.2">
      <c r="GI63557" s="422"/>
    </row>
    <row r="63558" spans="191:191" x14ac:dyDescent="0.2">
      <c r="GI63558" s="422"/>
    </row>
    <row r="63559" spans="191:191" x14ac:dyDescent="0.2">
      <c r="GI63559" s="422"/>
    </row>
    <row r="63560" spans="191:191" x14ac:dyDescent="0.2">
      <c r="GI63560" s="422"/>
    </row>
    <row r="63561" spans="191:191" x14ac:dyDescent="0.2">
      <c r="GI63561" s="422"/>
    </row>
    <row r="63562" spans="191:191" x14ac:dyDescent="0.2">
      <c r="GI63562" s="422"/>
    </row>
    <row r="63563" spans="191:191" x14ac:dyDescent="0.2">
      <c r="GI63563" s="422"/>
    </row>
    <row r="63564" spans="191:191" x14ac:dyDescent="0.2">
      <c r="GI63564" s="422"/>
    </row>
    <row r="63565" spans="191:191" x14ac:dyDescent="0.2">
      <c r="GI63565" s="422"/>
    </row>
    <row r="63566" spans="191:191" x14ac:dyDescent="0.2">
      <c r="GI63566" s="422"/>
    </row>
    <row r="63567" spans="191:191" x14ac:dyDescent="0.2">
      <c r="GI63567" s="422"/>
    </row>
    <row r="63568" spans="191:191" x14ac:dyDescent="0.2">
      <c r="GI63568" s="422"/>
    </row>
    <row r="63569" spans="191:191" x14ac:dyDescent="0.2">
      <c r="GI63569" s="422"/>
    </row>
    <row r="63570" spans="191:191" x14ac:dyDescent="0.2">
      <c r="GI63570" s="422"/>
    </row>
    <row r="63571" spans="191:191" x14ac:dyDescent="0.2">
      <c r="GI63571" s="422"/>
    </row>
    <row r="63572" spans="191:191" x14ac:dyDescent="0.2">
      <c r="GI63572" s="422"/>
    </row>
    <row r="63573" spans="191:191" x14ac:dyDescent="0.2">
      <c r="GI63573" s="422"/>
    </row>
    <row r="63574" spans="191:191" x14ac:dyDescent="0.2">
      <c r="GI63574" s="422"/>
    </row>
    <row r="63575" spans="191:191" x14ac:dyDescent="0.2">
      <c r="GI63575" s="422"/>
    </row>
    <row r="63576" spans="191:191" x14ac:dyDescent="0.2">
      <c r="GI63576" s="422"/>
    </row>
    <row r="63577" spans="191:191" x14ac:dyDescent="0.2">
      <c r="GI63577" s="422"/>
    </row>
    <row r="63578" spans="191:191" x14ac:dyDescent="0.2">
      <c r="GI63578" s="422"/>
    </row>
    <row r="63579" spans="191:191" x14ac:dyDescent="0.2">
      <c r="GI63579" s="422"/>
    </row>
    <row r="63580" spans="191:191" x14ac:dyDescent="0.2">
      <c r="GI63580" s="422"/>
    </row>
    <row r="63581" spans="191:191" x14ac:dyDescent="0.2">
      <c r="GI63581" s="422"/>
    </row>
    <row r="63582" spans="191:191" x14ac:dyDescent="0.2">
      <c r="GI63582" s="422"/>
    </row>
    <row r="63583" spans="191:191" x14ac:dyDescent="0.2">
      <c r="GI63583" s="422"/>
    </row>
    <row r="63584" spans="191:191" x14ac:dyDescent="0.2">
      <c r="GI63584" s="422"/>
    </row>
    <row r="63585" spans="191:191" x14ac:dyDescent="0.2">
      <c r="GI63585" s="422"/>
    </row>
    <row r="63586" spans="191:191" x14ac:dyDescent="0.2">
      <c r="GI63586" s="422"/>
    </row>
    <row r="63587" spans="191:191" x14ac:dyDescent="0.2">
      <c r="GI63587" s="422"/>
    </row>
    <row r="63588" spans="191:191" x14ac:dyDescent="0.2">
      <c r="GI63588" s="422"/>
    </row>
    <row r="63589" spans="191:191" x14ac:dyDescent="0.2">
      <c r="GI63589" s="422"/>
    </row>
    <row r="63590" spans="191:191" x14ac:dyDescent="0.2">
      <c r="GI63590" s="422"/>
    </row>
    <row r="63591" spans="191:191" x14ac:dyDescent="0.2">
      <c r="GI63591" s="422"/>
    </row>
    <row r="63592" spans="191:191" x14ac:dyDescent="0.2">
      <c r="GI63592" s="422"/>
    </row>
    <row r="63593" spans="191:191" x14ac:dyDescent="0.2">
      <c r="GI63593" s="422"/>
    </row>
    <row r="63594" spans="191:191" x14ac:dyDescent="0.2">
      <c r="GI63594" s="422"/>
    </row>
    <row r="63595" spans="191:191" x14ac:dyDescent="0.2">
      <c r="GI63595" s="422"/>
    </row>
    <row r="63596" spans="191:191" x14ac:dyDescent="0.2">
      <c r="GI63596" s="422"/>
    </row>
    <row r="63597" spans="191:191" x14ac:dyDescent="0.2">
      <c r="GI63597" s="422"/>
    </row>
    <row r="63598" spans="191:191" x14ac:dyDescent="0.2">
      <c r="GI63598" s="422"/>
    </row>
    <row r="63599" spans="191:191" x14ac:dyDescent="0.2">
      <c r="GI63599" s="422"/>
    </row>
    <row r="63600" spans="191:191" x14ac:dyDescent="0.2">
      <c r="GI63600" s="422"/>
    </row>
    <row r="63601" spans="191:191" x14ac:dyDescent="0.2">
      <c r="GI63601" s="422"/>
    </row>
    <row r="63602" spans="191:191" x14ac:dyDescent="0.2">
      <c r="GI63602" s="422"/>
    </row>
    <row r="63603" spans="191:191" x14ac:dyDescent="0.2">
      <c r="GI63603" s="422"/>
    </row>
    <row r="63604" spans="191:191" x14ac:dyDescent="0.2">
      <c r="GI63604" s="422"/>
    </row>
    <row r="63605" spans="191:191" x14ac:dyDescent="0.2">
      <c r="GI63605" s="422"/>
    </row>
    <row r="63606" spans="191:191" x14ac:dyDescent="0.2">
      <c r="GI63606" s="422"/>
    </row>
    <row r="63607" spans="191:191" x14ac:dyDescent="0.2">
      <c r="GI63607" s="422"/>
    </row>
    <row r="63608" spans="191:191" x14ac:dyDescent="0.2">
      <c r="GI63608" s="422"/>
    </row>
    <row r="63609" spans="191:191" x14ac:dyDescent="0.2">
      <c r="GI63609" s="422"/>
    </row>
    <row r="63610" spans="191:191" x14ac:dyDescent="0.2">
      <c r="GI63610" s="422"/>
    </row>
    <row r="63611" spans="191:191" x14ac:dyDescent="0.2">
      <c r="GI63611" s="422"/>
    </row>
    <row r="63612" spans="191:191" x14ac:dyDescent="0.2">
      <c r="GI63612" s="422"/>
    </row>
    <row r="63613" spans="191:191" x14ac:dyDescent="0.2">
      <c r="GI63613" s="422"/>
    </row>
    <row r="63614" spans="191:191" x14ac:dyDescent="0.2">
      <c r="GI63614" s="422"/>
    </row>
    <row r="63615" spans="191:191" x14ac:dyDescent="0.2">
      <c r="GI63615" s="422"/>
    </row>
    <row r="63616" spans="191:191" x14ac:dyDescent="0.2">
      <c r="GI63616" s="422"/>
    </row>
    <row r="63617" spans="191:191" x14ac:dyDescent="0.2">
      <c r="GI63617" s="422"/>
    </row>
    <row r="63618" spans="191:191" x14ac:dyDescent="0.2">
      <c r="GI63618" s="422"/>
    </row>
    <row r="63619" spans="191:191" x14ac:dyDescent="0.2">
      <c r="GI63619" s="422"/>
    </row>
    <row r="63620" spans="191:191" x14ac:dyDescent="0.2">
      <c r="GI63620" s="422"/>
    </row>
    <row r="63621" spans="191:191" x14ac:dyDescent="0.2">
      <c r="GI63621" s="422"/>
    </row>
    <row r="63622" spans="191:191" x14ac:dyDescent="0.2">
      <c r="GI63622" s="422"/>
    </row>
    <row r="63623" spans="191:191" x14ac:dyDescent="0.2">
      <c r="GI63623" s="422"/>
    </row>
    <row r="63624" spans="191:191" x14ac:dyDescent="0.2">
      <c r="GI63624" s="422"/>
    </row>
    <row r="63625" spans="191:191" x14ac:dyDescent="0.2">
      <c r="GI63625" s="422"/>
    </row>
    <row r="63626" spans="191:191" x14ac:dyDescent="0.2">
      <c r="GI63626" s="422"/>
    </row>
    <row r="63627" spans="191:191" x14ac:dyDescent="0.2">
      <c r="GI63627" s="422"/>
    </row>
    <row r="63628" spans="191:191" x14ac:dyDescent="0.2">
      <c r="GI63628" s="422"/>
    </row>
    <row r="63629" spans="191:191" x14ac:dyDescent="0.2">
      <c r="GI63629" s="422"/>
    </row>
    <row r="63630" spans="191:191" x14ac:dyDescent="0.2">
      <c r="GI63630" s="422"/>
    </row>
    <row r="63631" spans="191:191" x14ac:dyDescent="0.2">
      <c r="GI63631" s="422"/>
    </row>
    <row r="63632" spans="191:191" x14ac:dyDescent="0.2">
      <c r="GI63632" s="422"/>
    </row>
    <row r="63633" spans="191:191" x14ac:dyDescent="0.2">
      <c r="GI63633" s="422"/>
    </row>
    <row r="63634" spans="191:191" x14ac:dyDescent="0.2">
      <c r="GI63634" s="422"/>
    </row>
    <row r="63635" spans="191:191" x14ac:dyDescent="0.2">
      <c r="GI63635" s="422"/>
    </row>
    <row r="63636" spans="191:191" x14ac:dyDescent="0.2">
      <c r="GI63636" s="422"/>
    </row>
    <row r="63637" spans="191:191" x14ac:dyDescent="0.2">
      <c r="GI63637" s="422"/>
    </row>
    <row r="63638" spans="191:191" x14ac:dyDescent="0.2">
      <c r="GI63638" s="422"/>
    </row>
    <row r="63639" spans="191:191" x14ac:dyDescent="0.2">
      <c r="GI63639" s="422"/>
    </row>
    <row r="63640" spans="191:191" x14ac:dyDescent="0.2">
      <c r="GI63640" s="422"/>
    </row>
    <row r="63641" spans="191:191" x14ac:dyDescent="0.2">
      <c r="GI63641" s="422"/>
    </row>
    <row r="63642" spans="191:191" x14ac:dyDescent="0.2">
      <c r="GI63642" s="422"/>
    </row>
    <row r="63643" spans="191:191" x14ac:dyDescent="0.2">
      <c r="GI63643" s="422"/>
    </row>
    <row r="63644" spans="191:191" x14ac:dyDescent="0.2">
      <c r="GI63644" s="422"/>
    </row>
    <row r="63645" spans="191:191" x14ac:dyDescent="0.2">
      <c r="GI63645" s="422"/>
    </row>
    <row r="63646" spans="191:191" x14ac:dyDescent="0.2">
      <c r="GI63646" s="422"/>
    </row>
    <row r="63647" spans="191:191" x14ac:dyDescent="0.2">
      <c r="GI63647" s="422"/>
    </row>
    <row r="63648" spans="191:191" x14ac:dyDescent="0.2">
      <c r="GI63648" s="422"/>
    </row>
    <row r="63649" spans="191:191" x14ac:dyDescent="0.2">
      <c r="GI63649" s="422"/>
    </row>
    <row r="63650" spans="191:191" x14ac:dyDescent="0.2">
      <c r="GI63650" s="422"/>
    </row>
    <row r="63651" spans="191:191" x14ac:dyDescent="0.2">
      <c r="GI63651" s="422"/>
    </row>
    <row r="63652" spans="191:191" x14ac:dyDescent="0.2">
      <c r="GI63652" s="422"/>
    </row>
    <row r="63653" spans="191:191" x14ac:dyDescent="0.2">
      <c r="GI63653" s="422"/>
    </row>
    <row r="63654" spans="191:191" x14ac:dyDescent="0.2">
      <c r="GI63654" s="422"/>
    </row>
    <row r="63655" spans="191:191" x14ac:dyDescent="0.2">
      <c r="GI63655" s="422"/>
    </row>
    <row r="63656" spans="191:191" x14ac:dyDescent="0.2">
      <c r="GI63656" s="422"/>
    </row>
    <row r="63657" spans="191:191" x14ac:dyDescent="0.2">
      <c r="GI63657" s="422"/>
    </row>
    <row r="63658" spans="191:191" x14ac:dyDescent="0.2">
      <c r="GI63658" s="422"/>
    </row>
    <row r="63659" spans="191:191" x14ac:dyDescent="0.2">
      <c r="GI63659" s="422"/>
    </row>
    <row r="63660" spans="191:191" x14ac:dyDescent="0.2">
      <c r="GI63660" s="422"/>
    </row>
    <row r="63661" spans="191:191" x14ac:dyDescent="0.2">
      <c r="GI63661" s="422"/>
    </row>
    <row r="63662" spans="191:191" x14ac:dyDescent="0.2">
      <c r="GI63662" s="422"/>
    </row>
    <row r="63663" spans="191:191" x14ac:dyDescent="0.2">
      <c r="GI63663" s="422"/>
    </row>
    <row r="63664" spans="191:191" x14ac:dyDescent="0.2">
      <c r="GI63664" s="422"/>
    </row>
    <row r="63665" spans="191:191" x14ac:dyDescent="0.2">
      <c r="GI63665" s="422"/>
    </row>
    <row r="63666" spans="191:191" x14ac:dyDescent="0.2">
      <c r="GI63666" s="422"/>
    </row>
    <row r="63667" spans="191:191" x14ac:dyDescent="0.2">
      <c r="GI63667" s="422"/>
    </row>
    <row r="63668" spans="191:191" x14ac:dyDescent="0.2">
      <c r="GI63668" s="422"/>
    </row>
    <row r="63669" spans="191:191" x14ac:dyDescent="0.2">
      <c r="GI63669" s="422"/>
    </row>
    <row r="63670" spans="191:191" x14ac:dyDescent="0.2">
      <c r="GI63670" s="422"/>
    </row>
    <row r="63671" spans="191:191" x14ac:dyDescent="0.2">
      <c r="GI63671" s="422"/>
    </row>
    <row r="63672" spans="191:191" x14ac:dyDescent="0.2">
      <c r="GI63672" s="422"/>
    </row>
    <row r="63673" spans="191:191" x14ac:dyDescent="0.2">
      <c r="GI63673" s="422"/>
    </row>
    <row r="63674" spans="191:191" x14ac:dyDescent="0.2">
      <c r="GI63674" s="422"/>
    </row>
    <row r="63675" spans="191:191" x14ac:dyDescent="0.2">
      <c r="GI63675" s="422"/>
    </row>
    <row r="63676" spans="191:191" x14ac:dyDescent="0.2">
      <c r="GI63676" s="422"/>
    </row>
    <row r="63677" spans="191:191" x14ac:dyDescent="0.2">
      <c r="GI63677" s="422"/>
    </row>
    <row r="63678" spans="191:191" x14ac:dyDescent="0.2">
      <c r="GI63678" s="422"/>
    </row>
    <row r="63679" spans="191:191" x14ac:dyDescent="0.2">
      <c r="GI63679" s="422"/>
    </row>
    <row r="63680" spans="191:191" x14ac:dyDescent="0.2">
      <c r="GI63680" s="422"/>
    </row>
    <row r="63681" spans="191:191" x14ac:dyDescent="0.2">
      <c r="GI63681" s="422"/>
    </row>
    <row r="63682" spans="191:191" x14ac:dyDescent="0.2">
      <c r="GI63682" s="422"/>
    </row>
    <row r="63683" spans="191:191" x14ac:dyDescent="0.2">
      <c r="GI63683" s="422"/>
    </row>
    <row r="63684" spans="191:191" x14ac:dyDescent="0.2">
      <c r="GI63684" s="422"/>
    </row>
    <row r="63685" spans="191:191" x14ac:dyDescent="0.2">
      <c r="GI63685" s="422"/>
    </row>
    <row r="63686" spans="191:191" x14ac:dyDescent="0.2">
      <c r="GI63686" s="422"/>
    </row>
    <row r="63687" spans="191:191" x14ac:dyDescent="0.2">
      <c r="GI63687" s="422"/>
    </row>
    <row r="63688" spans="191:191" x14ac:dyDescent="0.2">
      <c r="GI63688" s="422"/>
    </row>
    <row r="63689" spans="191:191" x14ac:dyDescent="0.2">
      <c r="GI63689" s="422"/>
    </row>
    <row r="63690" spans="191:191" x14ac:dyDescent="0.2">
      <c r="GI63690" s="422"/>
    </row>
    <row r="63691" spans="191:191" x14ac:dyDescent="0.2">
      <c r="GI63691" s="422"/>
    </row>
    <row r="63692" spans="191:191" x14ac:dyDescent="0.2">
      <c r="GI63692" s="422"/>
    </row>
    <row r="63693" spans="191:191" x14ac:dyDescent="0.2">
      <c r="GI63693" s="422"/>
    </row>
    <row r="63694" spans="191:191" x14ac:dyDescent="0.2">
      <c r="GI63694" s="422"/>
    </row>
    <row r="63695" spans="191:191" x14ac:dyDescent="0.2">
      <c r="GI63695" s="422"/>
    </row>
    <row r="63696" spans="191:191" x14ac:dyDescent="0.2">
      <c r="GI63696" s="422"/>
    </row>
    <row r="63697" spans="191:191" x14ac:dyDescent="0.2">
      <c r="GI63697" s="422"/>
    </row>
    <row r="63698" spans="191:191" x14ac:dyDescent="0.2">
      <c r="GI63698" s="422"/>
    </row>
    <row r="63699" spans="191:191" x14ac:dyDescent="0.2">
      <c r="GI63699" s="422"/>
    </row>
    <row r="63700" spans="191:191" x14ac:dyDescent="0.2">
      <c r="GI63700" s="422"/>
    </row>
    <row r="63701" spans="191:191" x14ac:dyDescent="0.2">
      <c r="GI63701" s="422"/>
    </row>
    <row r="63702" spans="191:191" x14ac:dyDescent="0.2">
      <c r="GI63702" s="422"/>
    </row>
    <row r="63703" spans="191:191" x14ac:dyDescent="0.2">
      <c r="GI63703" s="422"/>
    </row>
    <row r="63704" spans="191:191" x14ac:dyDescent="0.2">
      <c r="GI63704" s="422"/>
    </row>
    <row r="63705" spans="191:191" x14ac:dyDescent="0.2">
      <c r="GI63705" s="422"/>
    </row>
    <row r="63706" spans="191:191" x14ac:dyDescent="0.2">
      <c r="GI63706" s="422"/>
    </row>
    <row r="63707" spans="191:191" x14ac:dyDescent="0.2">
      <c r="GI63707" s="422"/>
    </row>
    <row r="63708" spans="191:191" x14ac:dyDescent="0.2">
      <c r="GI63708" s="422"/>
    </row>
    <row r="63709" spans="191:191" x14ac:dyDescent="0.2">
      <c r="GI63709" s="422"/>
    </row>
    <row r="63710" spans="191:191" x14ac:dyDescent="0.2">
      <c r="GI63710" s="422"/>
    </row>
    <row r="63711" spans="191:191" x14ac:dyDescent="0.2">
      <c r="GI63711" s="422"/>
    </row>
    <row r="63712" spans="191:191" x14ac:dyDescent="0.2">
      <c r="GI63712" s="422"/>
    </row>
    <row r="63713" spans="191:191" x14ac:dyDescent="0.2">
      <c r="GI63713" s="422"/>
    </row>
    <row r="63714" spans="191:191" x14ac:dyDescent="0.2">
      <c r="GI63714" s="422"/>
    </row>
    <row r="63715" spans="191:191" x14ac:dyDescent="0.2">
      <c r="GI63715" s="422"/>
    </row>
    <row r="63716" spans="191:191" x14ac:dyDescent="0.2">
      <c r="GI63716" s="422"/>
    </row>
    <row r="63717" spans="191:191" x14ac:dyDescent="0.2">
      <c r="GI63717" s="422"/>
    </row>
    <row r="63718" spans="191:191" x14ac:dyDescent="0.2">
      <c r="GI63718" s="422"/>
    </row>
    <row r="63719" spans="191:191" x14ac:dyDescent="0.2">
      <c r="GI63719" s="422"/>
    </row>
    <row r="63720" spans="191:191" x14ac:dyDescent="0.2">
      <c r="GI63720" s="422"/>
    </row>
    <row r="63721" spans="191:191" x14ac:dyDescent="0.2">
      <c r="GI63721" s="422"/>
    </row>
    <row r="63722" spans="191:191" x14ac:dyDescent="0.2">
      <c r="GI63722" s="422"/>
    </row>
    <row r="63723" spans="191:191" x14ac:dyDescent="0.2">
      <c r="GI63723" s="422"/>
    </row>
    <row r="63724" spans="191:191" x14ac:dyDescent="0.2">
      <c r="GI63724" s="422"/>
    </row>
    <row r="63725" spans="191:191" x14ac:dyDescent="0.2">
      <c r="GI63725" s="422"/>
    </row>
    <row r="63726" spans="191:191" x14ac:dyDescent="0.2">
      <c r="GI63726" s="422"/>
    </row>
    <row r="63727" spans="191:191" x14ac:dyDescent="0.2">
      <c r="GI63727" s="422"/>
    </row>
    <row r="63728" spans="191:191" x14ac:dyDescent="0.2">
      <c r="GI63728" s="422"/>
    </row>
    <row r="63729" spans="191:191" x14ac:dyDescent="0.2">
      <c r="GI63729" s="422"/>
    </row>
    <row r="63730" spans="191:191" x14ac:dyDescent="0.2">
      <c r="GI63730" s="422"/>
    </row>
    <row r="63731" spans="191:191" x14ac:dyDescent="0.2">
      <c r="GI63731" s="422"/>
    </row>
    <row r="63732" spans="191:191" x14ac:dyDescent="0.2">
      <c r="GI63732" s="422"/>
    </row>
    <row r="63733" spans="191:191" x14ac:dyDescent="0.2">
      <c r="GI63733" s="422"/>
    </row>
    <row r="63734" spans="191:191" x14ac:dyDescent="0.2">
      <c r="GI63734" s="422"/>
    </row>
    <row r="63735" spans="191:191" x14ac:dyDescent="0.2">
      <c r="GI63735" s="422"/>
    </row>
    <row r="63736" spans="191:191" x14ac:dyDescent="0.2">
      <c r="GI63736" s="422"/>
    </row>
    <row r="63737" spans="191:191" x14ac:dyDescent="0.2">
      <c r="GI63737" s="422"/>
    </row>
    <row r="63738" spans="191:191" x14ac:dyDescent="0.2">
      <c r="GI63738" s="422"/>
    </row>
    <row r="63739" spans="191:191" x14ac:dyDescent="0.2">
      <c r="GI63739" s="422"/>
    </row>
    <row r="63740" spans="191:191" x14ac:dyDescent="0.2">
      <c r="GI63740" s="422"/>
    </row>
    <row r="63741" spans="191:191" x14ac:dyDescent="0.2">
      <c r="GI63741" s="422"/>
    </row>
    <row r="63742" spans="191:191" x14ac:dyDescent="0.2">
      <c r="GI63742" s="422"/>
    </row>
    <row r="63743" spans="191:191" x14ac:dyDescent="0.2">
      <c r="GI63743" s="422"/>
    </row>
    <row r="63744" spans="191:191" x14ac:dyDescent="0.2">
      <c r="GI63744" s="422"/>
    </row>
    <row r="63745" spans="191:191" x14ac:dyDescent="0.2">
      <c r="GI63745" s="422"/>
    </row>
    <row r="63746" spans="191:191" x14ac:dyDescent="0.2">
      <c r="GI63746" s="422"/>
    </row>
    <row r="63747" spans="191:191" x14ac:dyDescent="0.2">
      <c r="GI63747" s="422"/>
    </row>
    <row r="63748" spans="191:191" x14ac:dyDescent="0.2">
      <c r="GI63748" s="422"/>
    </row>
    <row r="63749" spans="191:191" x14ac:dyDescent="0.2">
      <c r="GI63749" s="422"/>
    </row>
    <row r="63750" spans="191:191" x14ac:dyDescent="0.2">
      <c r="GI63750" s="422"/>
    </row>
    <row r="63751" spans="191:191" x14ac:dyDescent="0.2">
      <c r="GI63751" s="422"/>
    </row>
    <row r="63752" spans="191:191" x14ac:dyDescent="0.2">
      <c r="GI63752" s="422"/>
    </row>
    <row r="63753" spans="191:191" x14ac:dyDescent="0.2">
      <c r="GI63753" s="422"/>
    </row>
    <row r="63754" spans="191:191" x14ac:dyDescent="0.2">
      <c r="GI63754" s="422"/>
    </row>
    <row r="63755" spans="191:191" x14ac:dyDescent="0.2">
      <c r="GI63755" s="422"/>
    </row>
    <row r="63756" spans="191:191" x14ac:dyDescent="0.2">
      <c r="GI63756" s="422"/>
    </row>
    <row r="63757" spans="191:191" x14ac:dyDescent="0.2">
      <c r="GI63757" s="422"/>
    </row>
    <row r="63758" spans="191:191" x14ac:dyDescent="0.2">
      <c r="GI63758" s="422"/>
    </row>
    <row r="63759" spans="191:191" x14ac:dyDescent="0.2">
      <c r="GI63759" s="422"/>
    </row>
    <row r="63760" spans="191:191" x14ac:dyDescent="0.2">
      <c r="GI63760" s="422"/>
    </row>
    <row r="63761" spans="191:191" x14ac:dyDescent="0.2">
      <c r="GI63761" s="422"/>
    </row>
    <row r="63762" spans="191:191" x14ac:dyDescent="0.2">
      <c r="GI63762" s="422"/>
    </row>
    <row r="63763" spans="191:191" x14ac:dyDescent="0.2">
      <c r="GI63763" s="422"/>
    </row>
    <row r="63764" spans="191:191" x14ac:dyDescent="0.2">
      <c r="GI63764" s="422"/>
    </row>
    <row r="63765" spans="191:191" x14ac:dyDescent="0.2">
      <c r="GI63765" s="422"/>
    </row>
    <row r="63766" spans="191:191" x14ac:dyDescent="0.2">
      <c r="GI63766" s="422"/>
    </row>
    <row r="63767" spans="191:191" x14ac:dyDescent="0.2">
      <c r="GI63767" s="422"/>
    </row>
    <row r="63768" spans="191:191" x14ac:dyDescent="0.2">
      <c r="GI63768" s="422"/>
    </row>
    <row r="63769" spans="191:191" x14ac:dyDescent="0.2">
      <c r="GI63769" s="422"/>
    </row>
    <row r="63770" spans="191:191" x14ac:dyDescent="0.2">
      <c r="GI63770" s="422"/>
    </row>
    <row r="63771" spans="191:191" x14ac:dyDescent="0.2">
      <c r="GI63771" s="422"/>
    </row>
    <row r="63772" spans="191:191" x14ac:dyDescent="0.2">
      <c r="GI63772" s="422"/>
    </row>
    <row r="63773" spans="191:191" x14ac:dyDescent="0.2">
      <c r="GI63773" s="422"/>
    </row>
    <row r="63774" spans="191:191" x14ac:dyDescent="0.2">
      <c r="GI63774" s="422"/>
    </row>
    <row r="63775" spans="191:191" x14ac:dyDescent="0.2">
      <c r="GI63775" s="422"/>
    </row>
    <row r="63776" spans="191:191" x14ac:dyDescent="0.2">
      <c r="GI63776" s="422"/>
    </row>
    <row r="63777" spans="191:191" x14ac:dyDescent="0.2">
      <c r="GI63777" s="422"/>
    </row>
    <row r="63778" spans="191:191" x14ac:dyDescent="0.2">
      <c r="GI63778" s="422"/>
    </row>
    <row r="63779" spans="191:191" x14ac:dyDescent="0.2">
      <c r="GI63779" s="422"/>
    </row>
    <row r="63780" spans="191:191" x14ac:dyDescent="0.2">
      <c r="GI63780" s="422"/>
    </row>
    <row r="63781" spans="191:191" x14ac:dyDescent="0.2">
      <c r="GI63781" s="422"/>
    </row>
    <row r="63782" spans="191:191" x14ac:dyDescent="0.2">
      <c r="GI63782" s="422"/>
    </row>
    <row r="63783" spans="191:191" x14ac:dyDescent="0.2">
      <c r="GI63783" s="422"/>
    </row>
    <row r="63784" spans="191:191" x14ac:dyDescent="0.2">
      <c r="GI63784" s="422"/>
    </row>
    <row r="63785" spans="191:191" x14ac:dyDescent="0.2">
      <c r="GI63785" s="422"/>
    </row>
    <row r="63786" spans="191:191" x14ac:dyDescent="0.2">
      <c r="GI63786" s="422"/>
    </row>
    <row r="63787" spans="191:191" x14ac:dyDescent="0.2">
      <c r="GI63787" s="422"/>
    </row>
    <row r="63788" spans="191:191" x14ac:dyDescent="0.2">
      <c r="GI63788" s="422"/>
    </row>
    <row r="63789" spans="191:191" x14ac:dyDescent="0.2">
      <c r="GI63789" s="422"/>
    </row>
    <row r="63790" spans="191:191" x14ac:dyDescent="0.2">
      <c r="GI63790" s="422"/>
    </row>
    <row r="63791" spans="191:191" x14ac:dyDescent="0.2">
      <c r="GI63791" s="422"/>
    </row>
    <row r="63792" spans="191:191" x14ac:dyDescent="0.2">
      <c r="GI63792" s="422"/>
    </row>
    <row r="63793" spans="191:191" x14ac:dyDescent="0.2">
      <c r="GI63793" s="422"/>
    </row>
    <row r="63794" spans="191:191" x14ac:dyDescent="0.2">
      <c r="GI63794" s="422"/>
    </row>
    <row r="63795" spans="191:191" x14ac:dyDescent="0.2">
      <c r="GI63795" s="422"/>
    </row>
    <row r="63796" spans="191:191" x14ac:dyDescent="0.2">
      <c r="GI63796" s="422"/>
    </row>
    <row r="63797" spans="191:191" x14ac:dyDescent="0.2">
      <c r="GI63797" s="422"/>
    </row>
    <row r="63798" spans="191:191" x14ac:dyDescent="0.2">
      <c r="GI63798" s="422"/>
    </row>
    <row r="63799" spans="191:191" x14ac:dyDescent="0.2">
      <c r="GI63799" s="422"/>
    </row>
    <row r="63800" spans="191:191" x14ac:dyDescent="0.2">
      <c r="GI63800" s="422"/>
    </row>
    <row r="63801" spans="191:191" x14ac:dyDescent="0.2">
      <c r="GI63801" s="422"/>
    </row>
    <row r="63802" spans="191:191" x14ac:dyDescent="0.2">
      <c r="GI63802" s="422"/>
    </row>
    <row r="63803" spans="191:191" x14ac:dyDescent="0.2">
      <c r="GI63803" s="422"/>
    </row>
    <row r="63804" spans="191:191" x14ac:dyDescent="0.2">
      <c r="GI63804" s="422"/>
    </row>
    <row r="63805" spans="191:191" x14ac:dyDescent="0.2">
      <c r="GI63805" s="422"/>
    </row>
    <row r="63806" spans="191:191" x14ac:dyDescent="0.2">
      <c r="GI63806" s="422"/>
    </row>
    <row r="63807" spans="191:191" x14ac:dyDescent="0.2">
      <c r="GI63807" s="422"/>
    </row>
    <row r="63808" spans="191:191" x14ac:dyDescent="0.2">
      <c r="GI63808" s="422"/>
    </row>
    <row r="63809" spans="191:191" x14ac:dyDescent="0.2">
      <c r="GI63809" s="422"/>
    </row>
    <row r="63810" spans="191:191" x14ac:dyDescent="0.2">
      <c r="GI63810" s="422"/>
    </row>
    <row r="63811" spans="191:191" x14ac:dyDescent="0.2">
      <c r="GI63811" s="422"/>
    </row>
    <row r="63812" spans="191:191" x14ac:dyDescent="0.2">
      <c r="GI63812" s="422"/>
    </row>
    <row r="63813" spans="191:191" x14ac:dyDescent="0.2">
      <c r="GI63813" s="422"/>
    </row>
    <row r="63814" spans="191:191" x14ac:dyDescent="0.2">
      <c r="GI63814" s="422"/>
    </row>
    <row r="63815" spans="191:191" x14ac:dyDescent="0.2">
      <c r="GI63815" s="422"/>
    </row>
    <row r="63816" spans="191:191" x14ac:dyDescent="0.2">
      <c r="GI63816" s="422"/>
    </row>
    <row r="63817" spans="191:191" x14ac:dyDescent="0.2">
      <c r="GI63817" s="422"/>
    </row>
    <row r="63818" spans="191:191" x14ac:dyDescent="0.2">
      <c r="GI63818" s="422"/>
    </row>
    <row r="63819" spans="191:191" x14ac:dyDescent="0.2">
      <c r="GI63819" s="422"/>
    </row>
    <row r="63820" spans="191:191" x14ac:dyDescent="0.2">
      <c r="GI63820" s="422"/>
    </row>
    <row r="63821" spans="191:191" x14ac:dyDescent="0.2">
      <c r="GI63821" s="422"/>
    </row>
    <row r="63822" spans="191:191" x14ac:dyDescent="0.2">
      <c r="GI63822" s="422"/>
    </row>
    <row r="63823" spans="191:191" x14ac:dyDescent="0.2">
      <c r="GI63823" s="422"/>
    </row>
    <row r="63824" spans="191:191" x14ac:dyDescent="0.2">
      <c r="GI63824" s="422"/>
    </row>
    <row r="63825" spans="191:191" x14ac:dyDescent="0.2">
      <c r="GI63825" s="422"/>
    </row>
    <row r="63826" spans="191:191" x14ac:dyDescent="0.2">
      <c r="GI63826" s="422"/>
    </row>
    <row r="63827" spans="191:191" x14ac:dyDescent="0.2">
      <c r="GI63827" s="422"/>
    </row>
    <row r="63828" spans="191:191" x14ac:dyDescent="0.2">
      <c r="GI63828" s="422"/>
    </row>
    <row r="63829" spans="191:191" x14ac:dyDescent="0.2">
      <c r="GI63829" s="422"/>
    </row>
    <row r="63830" spans="191:191" x14ac:dyDescent="0.2">
      <c r="GI63830" s="422"/>
    </row>
    <row r="63831" spans="191:191" x14ac:dyDescent="0.2">
      <c r="GI63831" s="422"/>
    </row>
    <row r="63832" spans="191:191" x14ac:dyDescent="0.2">
      <c r="GI63832" s="422"/>
    </row>
    <row r="63833" spans="191:191" x14ac:dyDescent="0.2">
      <c r="GI63833" s="422"/>
    </row>
    <row r="63834" spans="191:191" x14ac:dyDescent="0.2">
      <c r="GI63834" s="422"/>
    </row>
    <row r="63835" spans="191:191" x14ac:dyDescent="0.2">
      <c r="GI63835" s="422"/>
    </row>
    <row r="63836" spans="191:191" x14ac:dyDescent="0.2">
      <c r="GI63836" s="422"/>
    </row>
    <row r="63837" spans="191:191" x14ac:dyDescent="0.2">
      <c r="GI63837" s="422"/>
    </row>
    <row r="63838" spans="191:191" x14ac:dyDescent="0.2">
      <c r="GI63838" s="422"/>
    </row>
    <row r="63839" spans="191:191" x14ac:dyDescent="0.2">
      <c r="GI63839" s="422"/>
    </row>
    <row r="63840" spans="191:191" x14ac:dyDescent="0.2">
      <c r="GI63840" s="422"/>
    </row>
    <row r="63841" spans="191:191" x14ac:dyDescent="0.2">
      <c r="GI63841" s="422"/>
    </row>
    <row r="63842" spans="191:191" x14ac:dyDescent="0.2">
      <c r="GI63842" s="422"/>
    </row>
    <row r="63843" spans="191:191" x14ac:dyDescent="0.2">
      <c r="GI63843" s="422"/>
    </row>
    <row r="63844" spans="191:191" x14ac:dyDescent="0.2">
      <c r="GI63844" s="422"/>
    </row>
    <row r="63845" spans="191:191" x14ac:dyDescent="0.2">
      <c r="GI63845" s="422"/>
    </row>
    <row r="63846" spans="191:191" x14ac:dyDescent="0.2">
      <c r="GI63846" s="422"/>
    </row>
    <row r="63847" spans="191:191" x14ac:dyDescent="0.2">
      <c r="GI63847" s="422"/>
    </row>
    <row r="63848" spans="191:191" x14ac:dyDescent="0.2">
      <c r="GI63848" s="422"/>
    </row>
    <row r="63849" spans="191:191" x14ac:dyDescent="0.2">
      <c r="GI63849" s="422"/>
    </row>
    <row r="63850" spans="191:191" x14ac:dyDescent="0.2">
      <c r="GI63850" s="422"/>
    </row>
    <row r="63851" spans="191:191" x14ac:dyDescent="0.2">
      <c r="GI63851" s="422"/>
    </row>
    <row r="63852" spans="191:191" x14ac:dyDescent="0.2">
      <c r="GI63852" s="422"/>
    </row>
    <row r="63853" spans="191:191" x14ac:dyDescent="0.2">
      <c r="GI63853" s="422"/>
    </row>
    <row r="63854" spans="191:191" x14ac:dyDescent="0.2">
      <c r="GI63854" s="422"/>
    </row>
    <row r="63855" spans="191:191" x14ac:dyDescent="0.2">
      <c r="GI63855" s="422"/>
    </row>
    <row r="63856" spans="191:191" x14ac:dyDescent="0.2">
      <c r="GI63856" s="422"/>
    </row>
    <row r="63857" spans="191:191" x14ac:dyDescent="0.2">
      <c r="GI63857" s="422"/>
    </row>
    <row r="63858" spans="191:191" x14ac:dyDescent="0.2">
      <c r="GI63858" s="422"/>
    </row>
    <row r="63859" spans="191:191" x14ac:dyDescent="0.2">
      <c r="GI63859" s="422"/>
    </row>
    <row r="63860" spans="191:191" x14ac:dyDescent="0.2">
      <c r="GI63860" s="422"/>
    </row>
    <row r="63861" spans="191:191" x14ac:dyDescent="0.2">
      <c r="GI63861" s="422"/>
    </row>
    <row r="63862" spans="191:191" x14ac:dyDescent="0.2">
      <c r="GI63862" s="422"/>
    </row>
    <row r="63863" spans="191:191" x14ac:dyDescent="0.2">
      <c r="GI63863" s="422"/>
    </row>
    <row r="63864" spans="191:191" x14ac:dyDescent="0.2">
      <c r="GI63864" s="422"/>
    </row>
    <row r="63865" spans="191:191" x14ac:dyDescent="0.2">
      <c r="GI63865" s="422"/>
    </row>
    <row r="63866" spans="191:191" x14ac:dyDescent="0.2">
      <c r="GI63866" s="422"/>
    </row>
    <row r="63867" spans="191:191" x14ac:dyDescent="0.2">
      <c r="GI63867" s="422"/>
    </row>
    <row r="63868" spans="191:191" x14ac:dyDescent="0.2">
      <c r="GI63868" s="422"/>
    </row>
    <row r="63869" spans="191:191" x14ac:dyDescent="0.2">
      <c r="GI63869" s="422"/>
    </row>
    <row r="63870" spans="191:191" x14ac:dyDescent="0.2">
      <c r="GI63870" s="422"/>
    </row>
    <row r="63871" spans="191:191" x14ac:dyDescent="0.2">
      <c r="GI63871" s="422"/>
    </row>
    <row r="63872" spans="191:191" x14ac:dyDescent="0.2">
      <c r="GI63872" s="422"/>
    </row>
    <row r="63873" spans="191:191" x14ac:dyDescent="0.2">
      <c r="GI63873" s="422"/>
    </row>
    <row r="63874" spans="191:191" x14ac:dyDescent="0.2">
      <c r="GI63874" s="422"/>
    </row>
    <row r="63875" spans="191:191" x14ac:dyDescent="0.2">
      <c r="GI63875" s="422"/>
    </row>
    <row r="63876" spans="191:191" x14ac:dyDescent="0.2">
      <c r="GI63876" s="422"/>
    </row>
    <row r="63877" spans="191:191" x14ac:dyDescent="0.2">
      <c r="GI63877" s="422"/>
    </row>
    <row r="63878" spans="191:191" x14ac:dyDescent="0.2">
      <c r="GI63878" s="422"/>
    </row>
    <row r="63879" spans="191:191" x14ac:dyDescent="0.2">
      <c r="GI63879" s="422"/>
    </row>
    <row r="63880" spans="191:191" x14ac:dyDescent="0.2">
      <c r="GI63880" s="422"/>
    </row>
    <row r="63881" spans="191:191" x14ac:dyDescent="0.2">
      <c r="GI63881" s="422"/>
    </row>
    <row r="63882" spans="191:191" x14ac:dyDescent="0.2">
      <c r="GI63882" s="422"/>
    </row>
    <row r="63883" spans="191:191" x14ac:dyDescent="0.2">
      <c r="GI63883" s="422"/>
    </row>
    <row r="63884" spans="191:191" x14ac:dyDescent="0.2">
      <c r="GI63884" s="422"/>
    </row>
    <row r="63885" spans="191:191" x14ac:dyDescent="0.2">
      <c r="GI63885" s="422"/>
    </row>
    <row r="63886" spans="191:191" x14ac:dyDescent="0.2">
      <c r="GI63886" s="422"/>
    </row>
    <row r="63887" spans="191:191" x14ac:dyDescent="0.2">
      <c r="GI63887" s="422"/>
    </row>
    <row r="63888" spans="191:191" x14ac:dyDescent="0.2">
      <c r="GI63888" s="422"/>
    </row>
    <row r="63889" spans="191:191" x14ac:dyDescent="0.2">
      <c r="GI63889" s="422"/>
    </row>
    <row r="63890" spans="191:191" x14ac:dyDescent="0.2">
      <c r="GI63890" s="422"/>
    </row>
    <row r="63891" spans="191:191" x14ac:dyDescent="0.2">
      <c r="GI63891" s="422"/>
    </row>
    <row r="63892" spans="191:191" x14ac:dyDescent="0.2">
      <c r="GI63892" s="422"/>
    </row>
    <row r="63893" spans="191:191" x14ac:dyDescent="0.2">
      <c r="GI63893" s="422"/>
    </row>
    <row r="63894" spans="191:191" x14ac:dyDescent="0.2">
      <c r="GI63894" s="422"/>
    </row>
    <row r="63895" spans="191:191" x14ac:dyDescent="0.2">
      <c r="GI63895" s="422"/>
    </row>
    <row r="63896" spans="191:191" x14ac:dyDescent="0.2">
      <c r="GI63896" s="422"/>
    </row>
    <row r="63897" spans="191:191" x14ac:dyDescent="0.2">
      <c r="GI63897" s="422"/>
    </row>
    <row r="63898" spans="191:191" x14ac:dyDescent="0.2">
      <c r="GI63898" s="422"/>
    </row>
    <row r="63899" spans="191:191" x14ac:dyDescent="0.2">
      <c r="GI63899" s="422"/>
    </row>
    <row r="63900" spans="191:191" x14ac:dyDescent="0.2">
      <c r="GI63900" s="422"/>
    </row>
    <row r="63901" spans="191:191" x14ac:dyDescent="0.2">
      <c r="GI63901" s="422"/>
    </row>
    <row r="63902" spans="191:191" x14ac:dyDescent="0.2">
      <c r="GI63902" s="422"/>
    </row>
    <row r="63903" spans="191:191" x14ac:dyDescent="0.2">
      <c r="GI63903" s="422"/>
    </row>
    <row r="63904" spans="191:191" x14ac:dyDescent="0.2">
      <c r="GI63904" s="422"/>
    </row>
    <row r="63905" spans="191:191" x14ac:dyDescent="0.2">
      <c r="GI63905" s="422"/>
    </row>
    <row r="63906" spans="191:191" x14ac:dyDescent="0.2">
      <c r="GI63906" s="422"/>
    </row>
    <row r="63907" spans="191:191" x14ac:dyDescent="0.2">
      <c r="GI63907" s="422"/>
    </row>
    <row r="63908" spans="191:191" x14ac:dyDescent="0.2">
      <c r="GI63908" s="422"/>
    </row>
    <row r="63909" spans="191:191" x14ac:dyDescent="0.2">
      <c r="GI63909" s="422"/>
    </row>
    <row r="63910" spans="191:191" x14ac:dyDescent="0.2">
      <c r="GI63910" s="422"/>
    </row>
    <row r="63911" spans="191:191" x14ac:dyDescent="0.2">
      <c r="GI63911" s="422"/>
    </row>
    <row r="63912" spans="191:191" x14ac:dyDescent="0.2">
      <c r="GI63912" s="422"/>
    </row>
    <row r="63913" spans="191:191" x14ac:dyDescent="0.2">
      <c r="GI63913" s="422"/>
    </row>
    <row r="63914" spans="191:191" x14ac:dyDescent="0.2">
      <c r="GI63914" s="422"/>
    </row>
    <row r="63915" spans="191:191" x14ac:dyDescent="0.2">
      <c r="GI63915" s="422"/>
    </row>
    <row r="63916" spans="191:191" x14ac:dyDescent="0.2">
      <c r="GI63916" s="422"/>
    </row>
    <row r="63917" spans="191:191" x14ac:dyDescent="0.2">
      <c r="GI63917" s="422"/>
    </row>
    <row r="63918" spans="191:191" x14ac:dyDescent="0.2">
      <c r="GI63918" s="422"/>
    </row>
    <row r="63919" spans="191:191" x14ac:dyDescent="0.2">
      <c r="GI63919" s="422"/>
    </row>
    <row r="63920" spans="191:191" x14ac:dyDescent="0.2">
      <c r="GI63920" s="422"/>
    </row>
    <row r="63921" spans="191:191" x14ac:dyDescent="0.2">
      <c r="GI63921" s="422"/>
    </row>
    <row r="63922" spans="191:191" x14ac:dyDescent="0.2">
      <c r="GI63922" s="422"/>
    </row>
    <row r="63923" spans="191:191" x14ac:dyDescent="0.2">
      <c r="GI63923" s="422"/>
    </row>
    <row r="63924" spans="191:191" x14ac:dyDescent="0.2">
      <c r="GI63924" s="422"/>
    </row>
    <row r="63925" spans="191:191" x14ac:dyDescent="0.2">
      <c r="GI63925" s="422"/>
    </row>
    <row r="63926" spans="191:191" x14ac:dyDescent="0.2">
      <c r="GI63926" s="422"/>
    </row>
    <row r="63927" spans="191:191" x14ac:dyDescent="0.2">
      <c r="GI63927" s="422"/>
    </row>
    <row r="63928" spans="191:191" x14ac:dyDescent="0.2">
      <c r="GI63928" s="422"/>
    </row>
    <row r="63929" spans="191:191" x14ac:dyDescent="0.2">
      <c r="GI63929" s="422"/>
    </row>
    <row r="63930" spans="191:191" x14ac:dyDescent="0.2">
      <c r="GI63930" s="422"/>
    </row>
    <row r="63931" spans="191:191" x14ac:dyDescent="0.2">
      <c r="GI63931" s="422"/>
    </row>
    <row r="63932" spans="191:191" x14ac:dyDescent="0.2">
      <c r="GI63932" s="422"/>
    </row>
    <row r="63933" spans="191:191" x14ac:dyDescent="0.2">
      <c r="GI63933" s="422"/>
    </row>
    <row r="63934" spans="191:191" x14ac:dyDescent="0.2">
      <c r="GI63934" s="422"/>
    </row>
    <row r="63935" spans="191:191" x14ac:dyDescent="0.2">
      <c r="GI63935" s="422"/>
    </row>
    <row r="63936" spans="191:191" x14ac:dyDescent="0.2">
      <c r="GI63936" s="422"/>
    </row>
    <row r="63937" spans="191:191" x14ac:dyDescent="0.2">
      <c r="GI63937" s="422"/>
    </row>
    <row r="63938" spans="191:191" x14ac:dyDescent="0.2">
      <c r="GI63938" s="422"/>
    </row>
    <row r="63939" spans="191:191" x14ac:dyDescent="0.2">
      <c r="GI63939" s="422"/>
    </row>
    <row r="63940" spans="191:191" x14ac:dyDescent="0.2">
      <c r="GI63940" s="422"/>
    </row>
    <row r="63941" spans="191:191" x14ac:dyDescent="0.2">
      <c r="GI63941" s="422"/>
    </row>
    <row r="63942" spans="191:191" x14ac:dyDescent="0.2">
      <c r="GI63942" s="422"/>
    </row>
    <row r="63943" spans="191:191" x14ac:dyDescent="0.2">
      <c r="GI63943" s="422"/>
    </row>
    <row r="63944" spans="191:191" x14ac:dyDescent="0.2">
      <c r="GI63944" s="422"/>
    </row>
    <row r="63945" spans="191:191" x14ac:dyDescent="0.2">
      <c r="GI63945" s="422"/>
    </row>
    <row r="63946" spans="191:191" x14ac:dyDescent="0.2">
      <c r="GI63946" s="422"/>
    </row>
    <row r="63947" spans="191:191" x14ac:dyDescent="0.2">
      <c r="GI63947" s="422"/>
    </row>
    <row r="63948" spans="191:191" x14ac:dyDescent="0.2">
      <c r="GI63948" s="422"/>
    </row>
    <row r="63949" spans="191:191" x14ac:dyDescent="0.2">
      <c r="GI63949" s="422"/>
    </row>
    <row r="63950" spans="191:191" x14ac:dyDescent="0.2">
      <c r="GI63950" s="422"/>
    </row>
    <row r="63951" spans="191:191" x14ac:dyDescent="0.2">
      <c r="GI63951" s="422"/>
    </row>
    <row r="63952" spans="191:191" x14ac:dyDescent="0.2">
      <c r="GI63952" s="422"/>
    </row>
    <row r="63953" spans="191:191" x14ac:dyDescent="0.2">
      <c r="GI63953" s="422"/>
    </row>
    <row r="63954" spans="191:191" x14ac:dyDescent="0.2">
      <c r="GI63954" s="422"/>
    </row>
    <row r="63955" spans="191:191" x14ac:dyDescent="0.2">
      <c r="GI63955" s="422"/>
    </row>
    <row r="63956" spans="191:191" x14ac:dyDescent="0.2">
      <c r="GI63956" s="422"/>
    </row>
    <row r="63957" spans="191:191" x14ac:dyDescent="0.2">
      <c r="GI63957" s="422"/>
    </row>
    <row r="63958" spans="191:191" x14ac:dyDescent="0.2">
      <c r="GI63958" s="422"/>
    </row>
    <row r="63959" spans="191:191" x14ac:dyDescent="0.2">
      <c r="GI63959" s="422"/>
    </row>
    <row r="63960" spans="191:191" x14ac:dyDescent="0.2">
      <c r="GI63960" s="422"/>
    </row>
    <row r="63961" spans="191:191" x14ac:dyDescent="0.2">
      <c r="GI63961" s="422"/>
    </row>
    <row r="63962" spans="191:191" x14ac:dyDescent="0.2">
      <c r="GI63962" s="422"/>
    </row>
    <row r="63963" spans="191:191" x14ac:dyDescent="0.2">
      <c r="GI63963" s="422"/>
    </row>
    <row r="63964" spans="191:191" x14ac:dyDescent="0.2">
      <c r="GI63964" s="422"/>
    </row>
    <row r="63965" spans="191:191" x14ac:dyDescent="0.2">
      <c r="GI63965" s="422"/>
    </row>
    <row r="63966" spans="191:191" x14ac:dyDescent="0.2">
      <c r="GI63966" s="422"/>
    </row>
    <row r="63967" spans="191:191" x14ac:dyDescent="0.2">
      <c r="GI63967" s="422"/>
    </row>
    <row r="63968" spans="191:191" x14ac:dyDescent="0.2">
      <c r="GI63968" s="422"/>
    </row>
    <row r="63969" spans="191:191" x14ac:dyDescent="0.2">
      <c r="GI63969" s="422"/>
    </row>
    <row r="63970" spans="191:191" x14ac:dyDescent="0.2">
      <c r="GI63970" s="422"/>
    </row>
    <row r="63971" spans="191:191" x14ac:dyDescent="0.2">
      <c r="GI63971" s="422"/>
    </row>
    <row r="63972" spans="191:191" x14ac:dyDescent="0.2">
      <c r="GI63972" s="422"/>
    </row>
    <row r="63973" spans="191:191" x14ac:dyDescent="0.2">
      <c r="GI63973" s="422"/>
    </row>
    <row r="63974" spans="191:191" x14ac:dyDescent="0.2">
      <c r="GI63974" s="422"/>
    </row>
    <row r="63975" spans="191:191" x14ac:dyDescent="0.2">
      <c r="GI63975" s="422"/>
    </row>
    <row r="63976" spans="191:191" x14ac:dyDescent="0.2">
      <c r="GI63976" s="422"/>
    </row>
    <row r="63977" spans="191:191" x14ac:dyDescent="0.2">
      <c r="GI63977" s="422"/>
    </row>
    <row r="63978" spans="191:191" x14ac:dyDescent="0.2">
      <c r="GI63978" s="422"/>
    </row>
    <row r="63979" spans="191:191" x14ac:dyDescent="0.2">
      <c r="GI63979" s="422"/>
    </row>
    <row r="63980" spans="191:191" x14ac:dyDescent="0.2">
      <c r="GI63980" s="422"/>
    </row>
    <row r="63981" spans="191:191" x14ac:dyDescent="0.2">
      <c r="GI63981" s="422"/>
    </row>
    <row r="63982" spans="191:191" x14ac:dyDescent="0.2">
      <c r="GI63982" s="422"/>
    </row>
    <row r="63983" spans="191:191" x14ac:dyDescent="0.2">
      <c r="GI63983" s="422"/>
    </row>
    <row r="63984" spans="191:191" x14ac:dyDescent="0.2">
      <c r="GI63984" s="422"/>
    </row>
    <row r="63985" spans="191:191" x14ac:dyDescent="0.2">
      <c r="GI63985" s="422"/>
    </row>
    <row r="63986" spans="191:191" x14ac:dyDescent="0.2">
      <c r="GI63986" s="422"/>
    </row>
    <row r="63987" spans="191:191" x14ac:dyDescent="0.2">
      <c r="GI63987" s="422"/>
    </row>
    <row r="63988" spans="191:191" x14ac:dyDescent="0.2">
      <c r="GI63988" s="422"/>
    </row>
    <row r="63989" spans="191:191" x14ac:dyDescent="0.2">
      <c r="GI63989" s="422"/>
    </row>
    <row r="63990" spans="191:191" x14ac:dyDescent="0.2">
      <c r="GI63990" s="422"/>
    </row>
    <row r="63991" spans="191:191" x14ac:dyDescent="0.2">
      <c r="GI63991" s="422"/>
    </row>
    <row r="63992" spans="191:191" x14ac:dyDescent="0.2">
      <c r="GI63992" s="422"/>
    </row>
    <row r="63993" spans="191:191" x14ac:dyDescent="0.2">
      <c r="GI63993" s="422"/>
    </row>
    <row r="63994" spans="191:191" x14ac:dyDescent="0.2">
      <c r="GI63994" s="422"/>
    </row>
    <row r="63995" spans="191:191" x14ac:dyDescent="0.2">
      <c r="GI63995" s="422"/>
    </row>
    <row r="63996" spans="191:191" x14ac:dyDescent="0.2">
      <c r="GI63996" s="422"/>
    </row>
    <row r="63997" spans="191:191" x14ac:dyDescent="0.2">
      <c r="GI63997" s="422"/>
    </row>
    <row r="63998" spans="191:191" x14ac:dyDescent="0.2">
      <c r="GI63998" s="422"/>
    </row>
    <row r="63999" spans="191:191" x14ac:dyDescent="0.2">
      <c r="GI63999" s="422"/>
    </row>
    <row r="64000" spans="191:191" x14ac:dyDescent="0.2">
      <c r="GI64000" s="422"/>
    </row>
    <row r="64001" spans="191:191" x14ac:dyDescent="0.2">
      <c r="GI64001" s="422"/>
    </row>
    <row r="64002" spans="191:191" x14ac:dyDescent="0.2">
      <c r="GI64002" s="422"/>
    </row>
    <row r="64003" spans="191:191" x14ac:dyDescent="0.2">
      <c r="GI64003" s="422"/>
    </row>
    <row r="64004" spans="191:191" x14ac:dyDescent="0.2">
      <c r="GI64004" s="422"/>
    </row>
    <row r="64005" spans="191:191" x14ac:dyDescent="0.2">
      <c r="GI64005" s="422"/>
    </row>
    <row r="64006" spans="191:191" x14ac:dyDescent="0.2">
      <c r="GI64006" s="422"/>
    </row>
    <row r="64007" spans="191:191" x14ac:dyDescent="0.2">
      <c r="GI64007" s="422"/>
    </row>
    <row r="64008" spans="191:191" x14ac:dyDescent="0.2">
      <c r="GI64008" s="422"/>
    </row>
    <row r="64009" spans="191:191" x14ac:dyDescent="0.2">
      <c r="GI64009" s="422"/>
    </row>
    <row r="64010" spans="191:191" x14ac:dyDescent="0.2">
      <c r="GI64010" s="422"/>
    </row>
    <row r="64011" spans="191:191" x14ac:dyDescent="0.2">
      <c r="GI64011" s="422"/>
    </row>
    <row r="64012" spans="191:191" x14ac:dyDescent="0.2">
      <c r="GI64012" s="422"/>
    </row>
    <row r="64013" spans="191:191" x14ac:dyDescent="0.2">
      <c r="GI64013" s="422"/>
    </row>
    <row r="64014" spans="191:191" x14ac:dyDescent="0.2">
      <c r="GI64014" s="422"/>
    </row>
    <row r="64015" spans="191:191" x14ac:dyDescent="0.2">
      <c r="GI64015" s="422"/>
    </row>
    <row r="64016" spans="191:191" x14ac:dyDescent="0.2">
      <c r="GI64016" s="422"/>
    </row>
    <row r="64017" spans="191:191" x14ac:dyDescent="0.2">
      <c r="GI64017" s="422"/>
    </row>
    <row r="64018" spans="191:191" x14ac:dyDescent="0.2">
      <c r="GI64018" s="422"/>
    </row>
    <row r="64019" spans="191:191" x14ac:dyDescent="0.2">
      <c r="GI64019" s="422"/>
    </row>
    <row r="64020" spans="191:191" x14ac:dyDescent="0.2">
      <c r="GI64020" s="422"/>
    </row>
    <row r="64021" spans="191:191" x14ac:dyDescent="0.2">
      <c r="GI64021" s="422"/>
    </row>
    <row r="64022" spans="191:191" x14ac:dyDescent="0.2">
      <c r="GI64022" s="422"/>
    </row>
    <row r="64023" spans="191:191" x14ac:dyDescent="0.2">
      <c r="GI64023" s="422"/>
    </row>
    <row r="64024" spans="191:191" x14ac:dyDescent="0.2">
      <c r="GI64024" s="422"/>
    </row>
    <row r="64025" spans="191:191" x14ac:dyDescent="0.2">
      <c r="GI64025" s="422"/>
    </row>
    <row r="64026" spans="191:191" x14ac:dyDescent="0.2">
      <c r="GI64026" s="422"/>
    </row>
    <row r="64027" spans="191:191" x14ac:dyDescent="0.2">
      <c r="GI64027" s="422"/>
    </row>
    <row r="64028" spans="191:191" x14ac:dyDescent="0.2">
      <c r="GI64028" s="422"/>
    </row>
    <row r="64029" spans="191:191" x14ac:dyDescent="0.2">
      <c r="GI64029" s="422"/>
    </row>
    <row r="64030" spans="191:191" x14ac:dyDescent="0.2">
      <c r="GI64030" s="422"/>
    </row>
    <row r="64031" spans="191:191" x14ac:dyDescent="0.2">
      <c r="GI64031" s="422"/>
    </row>
    <row r="64032" spans="191:191" x14ac:dyDescent="0.2">
      <c r="GI64032" s="422"/>
    </row>
    <row r="64033" spans="191:191" x14ac:dyDescent="0.2">
      <c r="GI64033" s="422"/>
    </row>
    <row r="64034" spans="191:191" x14ac:dyDescent="0.2">
      <c r="GI64034" s="422"/>
    </row>
    <row r="64035" spans="191:191" x14ac:dyDescent="0.2">
      <c r="GI64035" s="422"/>
    </row>
    <row r="64036" spans="191:191" x14ac:dyDescent="0.2">
      <c r="GI64036" s="422"/>
    </row>
    <row r="64037" spans="191:191" x14ac:dyDescent="0.2">
      <c r="GI64037" s="422"/>
    </row>
    <row r="64038" spans="191:191" x14ac:dyDescent="0.2">
      <c r="GI64038" s="422"/>
    </row>
    <row r="64039" spans="191:191" x14ac:dyDescent="0.2">
      <c r="GI64039" s="422"/>
    </row>
    <row r="64040" spans="191:191" x14ac:dyDescent="0.2">
      <c r="GI64040" s="422"/>
    </row>
    <row r="64041" spans="191:191" x14ac:dyDescent="0.2">
      <c r="GI64041" s="422"/>
    </row>
    <row r="64042" spans="191:191" x14ac:dyDescent="0.2">
      <c r="GI64042" s="422"/>
    </row>
    <row r="64043" spans="191:191" x14ac:dyDescent="0.2">
      <c r="GI64043" s="422"/>
    </row>
    <row r="64044" spans="191:191" x14ac:dyDescent="0.2">
      <c r="GI64044" s="422"/>
    </row>
    <row r="64045" spans="191:191" x14ac:dyDescent="0.2">
      <c r="GI64045" s="422"/>
    </row>
    <row r="64046" spans="191:191" x14ac:dyDescent="0.2">
      <c r="GI64046" s="422"/>
    </row>
    <row r="64047" spans="191:191" x14ac:dyDescent="0.2">
      <c r="GI64047" s="422"/>
    </row>
    <row r="64048" spans="191:191" x14ac:dyDescent="0.2">
      <c r="GI64048" s="422"/>
    </row>
    <row r="64049" spans="191:191" x14ac:dyDescent="0.2">
      <c r="GI64049" s="422"/>
    </row>
    <row r="64050" spans="191:191" x14ac:dyDescent="0.2">
      <c r="GI64050" s="422"/>
    </row>
    <row r="64051" spans="191:191" x14ac:dyDescent="0.2">
      <c r="GI64051" s="422"/>
    </row>
    <row r="64052" spans="191:191" x14ac:dyDescent="0.2">
      <c r="GI64052" s="422"/>
    </row>
    <row r="64053" spans="191:191" x14ac:dyDescent="0.2">
      <c r="GI64053" s="422"/>
    </row>
    <row r="64054" spans="191:191" x14ac:dyDescent="0.2">
      <c r="GI64054" s="422"/>
    </row>
    <row r="64055" spans="191:191" x14ac:dyDescent="0.2">
      <c r="GI64055" s="422"/>
    </row>
    <row r="64056" spans="191:191" x14ac:dyDescent="0.2">
      <c r="GI64056" s="422"/>
    </row>
    <row r="64057" spans="191:191" x14ac:dyDescent="0.2">
      <c r="GI64057" s="422"/>
    </row>
    <row r="64058" spans="191:191" x14ac:dyDescent="0.2">
      <c r="GI64058" s="422"/>
    </row>
    <row r="64059" spans="191:191" x14ac:dyDescent="0.2">
      <c r="GI64059" s="422"/>
    </row>
    <row r="64060" spans="191:191" x14ac:dyDescent="0.2">
      <c r="GI64060" s="422"/>
    </row>
    <row r="64061" spans="191:191" x14ac:dyDescent="0.2">
      <c r="GI64061" s="422"/>
    </row>
    <row r="64062" spans="191:191" x14ac:dyDescent="0.2">
      <c r="GI64062" s="422"/>
    </row>
    <row r="64063" spans="191:191" x14ac:dyDescent="0.2">
      <c r="GI64063" s="422"/>
    </row>
    <row r="64064" spans="191:191" x14ac:dyDescent="0.2">
      <c r="GI64064" s="422"/>
    </row>
    <row r="64065" spans="191:191" x14ac:dyDescent="0.2">
      <c r="GI64065" s="422"/>
    </row>
    <row r="64066" spans="191:191" x14ac:dyDescent="0.2">
      <c r="GI64066" s="422"/>
    </row>
    <row r="64067" spans="191:191" x14ac:dyDescent="0.2">
      <c r="GI64067" s="422"/>
    </row>
    <row r="64068" spans="191:191" x14ac:dyDescent="0.2">
      <c r="GI64068" s="422"/>
    </row>
    <row r="64069" spans="191:191" x14ac:dyDescent="0.2">
      <c r="GI64069" s="422"/>
    </row>
    <row r="64070" spans="191:191" x14ac:dyDescent="0.2">
      <c r="GI64070" s="422"/>
    </row>
    <row r="64071" spans="191:191" x14ac:dyDescent="0.2">
      <c r="GI64071" s="422"/>
    </row>
    <row r="64072" spans="191:191" x14ac:dyDescent="0.2">
      <c r="GI64072" s="422"/>
    </row>
    <row r="64073" spans="191:191" x14ac:dyDescent="0.2">
      <c r="GI64073" s="422"/>
    </row>
    <row r="64074" spans="191:191" x14ac:dyDescent="0.2">
      <c r="GI64074" s="422"/>
    </row>
    <row r="64075" spans="191:191" x14ac:dyDescent="0.2">
      <c r="GI64075" s="422"/>
    </row>
    <row r="64076" spans="191:191" x14ac:dyDescent="0.2">
      <c r="GI64076" s="422"/>
    </row>
    <row r="64077" spans="191:191" x14ac:dyDescent="0.2">
      <c r="GI64077" s="422"/>
    </row>
    <row r="64078" spans="191:191" x14ac:dyDescent="0.2">
      <c r="GI64078" s="422"/>
    </row>
    <row r="64079" spans="191:191" x14ac:dyDescent="0.2">
      <c r="GI64079" s="422"/>
    </row>
    <row r="64080" spans="191:191" x14ac:dyDescent="0.2">
      <c r="GI64080" s="422"/>
    </row>
    <row r="64081" spans="191:191" x14ac:dyDescent="0.2">
      <c r="GI64081" s="422"/>
    </row>
    <row r="64082" spans="191:191" x14ac:dyDescent="0.2">
      <c r="GI64082" s="422"/>
    </row>
    <row r="64083" spans="191:191" x14ac:dyDescent="0.2">
      <c r="GI64083" s="422"/>
    </row>
    <row r="64084" spans="191:191" x14ac:dyDescent="0.2">
      <c r="GI64084" s="422"/>
    </row>
    <row r="64085" spans="191:191" x14ac:dyDescent="0.2">
      <c r="GI64085" s="422"/>
    </row>
    <row r="64086" spans="191:191" x14ac:dyDescent="0.2">
      <c r="GI64086" s="422"/>
    </row>
    <row r="64087" spans="191:191" x14ac:dyDescent="0.2">
      <c r="GI64087" s="422"/>
    </row>
    <row r="64088" spans="191:191" x14ac:dyDescent="0.2">
      <c r="GI64088" s="422"/>
    </row>
    <row r="64089" spans="191:191" x14ac:dyDescent="0.2">
      <c r="GI64089" s="422"/>
    </row>
    <row r="64090" spans="191:191" x14ac:dyDescent="0.2">
      <c r="GI64090" s="422"/>
    </row>
    <row r="64091" spans="191:191" x14ac:dyDescent="0.2">
      <c r="GI64091" s="422"/>
    </row>
    <row r="64092" spans="191:191" x14ac:dyDescent="0.2">
      <c r="GI64092" s="422"/>
    </row>
    <row r="64093" spans="191:191" x14ac:dyDescent="0.2">
      <c r="GI64093" s="422"/>
    </row>
    <row r="64094" spans="191:191" x14ac:dyDescent="0.2">
      <c r="GI64094" s="422"/>
    </row>
    <row r="64095" spans="191:191" x14ac:dyDescent="0.2">
      <c r="GI64095" s="422"/>
    </row>
    <row r="64096" spans="191:191" x14ac:dyDescent="0.2">
      <c r="GI64096" s="422"/>
    </row>
    <row r="64097" spans="191:191" x14ac:dyDescent="0.2">
      <c r="GI64097" s="422"/>
    </row>
    <row r="64098" spans="191:191" x14ac:dyDescent="0.2">
      <c r="GI64098" s="422"/>
    </row>
    <row r="64099" spans="191:191" x14ac:dyDescent="0.2">
      <c r="GI64099" s="422"/>
    </row>
    <row r="64100" spans="191:191" x14ac:dyDescent="0.2">
      <c r="GI64100" s="422"/>
    </row>
    <row r="64101" spans="191:191" x14ac:dyDescent="0.2">
      <c r="GI64101" s="422"/>
    </row>
    <row r="64102" spans="191:191" x14ac:dyDescent="0.2">
      <c r="GI64102" s="422"/>
    </row>
    <row r="64103" spans="191:191" x14ac:dyDescent="0.2">
      <c r="GI64103" s="422"/>
    </row>
    <row r="64104" spans="191:191" x14ac:dyDescent="0.2">
      <c r="GI64104" s="422"/>
    </row>
    <row r="64105" spans="191:191" x14ac:dyDescent="0.2">
      <c r="GI64105" s="422"/>
    </row>
    <row r="64106" spans="191:191" x14ac:dyDescent="0.2">
      <c r="GI64106" s="422"/>
    </row>
    <row r="64107" spans="191:191" x14ac:dyDescent="0.2">
      <c r="GI64107" s="422"/>
    </row>
    <row r="64108" spans="191:191" x14ac:dyDescent="0.2">
      <c r="GI64108" s="422"/>
    </row>
    <row r="64109" spans="191:191" x14ac:dyDescent="0.2">
      <c r="GI64109" s="422"/>
    </row>
    <row r="64110" spans="191:191" x14ac:dyDescent="0.2">
      <c r="GI64110" s="422"/>
    </row>
    <row r="64111" spans="191:191" x14ac:dyDescent="0.2">
      <c r="GI64111" s="422"/>
    </row>
    <row r="64112" spans="191:191" x14ac:dyDescent="0.2">
      <c r="GI64112" s="422"/>
    </row>
    <row r="64113" spans="191:191" x14ac:dyDescent="0.2">
      <c r="GI64113" s="422"/>
    </row>
    <row r="64114" spans="191:191" x14ac:dyDescent="0.2">
      <c r="GI64114" s="422"/>
    </row>
    <row r="64115" spans="191:191" x14ac:dyDescent="0.2">
      <c r="GI64115" s="422"/>
    </row>
    <row r="64116" spans="191:191" x14ac:dyDescent="0.2">
      <c r="GI64116" s="422"/>
    </row>
    <row r="64117" spans="191:191" x14ac:dyDescent="0.2">
      <c r="GI64117" s="422"/>
    </row>
    <row r="64118" spans="191:191" x14ac:dyDescent="0.2">
      <c r="GI64118" s="422"/>
    </row>
    <row r="64119" spans="191:191" x14ac:dyDescent="0.2">
      <c r="GI64119" s="422"/>
    </row>
    <row r="64120" spans="191:191" x14ac:dyDescent="0.2">
      <c r="GI64120" s="422"/>
    </row>
    <row r="64121" spans="191:191" x14ac:dyDescent="0.2">
      <c r="GI64121" s="422"/>
    </row>
    <row r="64122" spans="191:191" x14ac:dyDescent="0.2">
      <c r="GI64122" s="422"/>
    </row>
    <row r="64123" spans="191:191" x14ac:dyDescent="0.2">
      <c r="GI64123" s="422"/>
    </row>
    <row r="64124" spans="191:191" x14ac:dyDescent="0.2">
      <c r="GI64124" s="422"/>
    </row>
    <row r="64125" spans="191:191" x14ac:dyDescent="0.2">
      <c r="GI64125" s="422"/>
    </row>
    <row r="64126" spans="191:191" x14ac:dyDescent="0.2">
      <c r="GI64126" s="422"/>
    </row>
    <row r="64127" spans="191:191" x14ac:dyDescent="0.2">
      <c r="GI64127" s="422"/>
    </row>
    <row r="64128" spans="191:191" x14ac:dyDescent="0.2">
      <c r="GI64128" s="422"/>
    </row>
    <row r="64129" spans="191:191" x14ac:dyDescent="0.2">
      <c r="GI64129" s="422"/>
    </row>
    <row r="64130" spans="191:191" x14ac:dyDescent="0.2">
      <c r="GI64130" s="422"/>
    </row>
    <row r="64131" spans="191:191" x14ac:dyDescent="0.2">
      <c r="GI64131" s="422"/>
    </row>
    <row r="64132" spans="191:191" x14ac:dyDescent="0.2">
      <c r="GI64132" s="422"/>
    </row>
    <row r="64133" spans="191:191" x14ac:dyDescent="0.2">
      <c r="GI64133" s="422"/>
    </row>
    <row r="64134" spans="191:191" x14ac:dyDescent="0.2">
      <c r="GI64134" s="422"/>
    </row>
    <row r="64135" spans="191:191" x14ac:dyDescent="0.2">
      <c r="GI64135" s="422"/>
    </row>
    <row r="64136" spans="191:191" x14ac:dyDescent="0.2">
      <c r="GI64136" s="422"/>
    </row>
    <row r="64137" spans="191:191" x14ac:dyDescent="0.2">
      <c r="GI64137" s="422"/>
    </row>
    <row r="64138" spans="191:191" x14ac:dyDescent="0.2">
      <c r="GI64138" s="422"/>
    </row>
    <row r="64139" spans="191:191" x14ac:dyDescent="0.2">
      <c r="GI64139" s="422"/>
    </row>
    <row r="64140" spans="191:191" x14ac:dyDescent="0.2">
      <c r="GI64140" s="422"/>
    </row>
    <row r="64141" spans="191:191" x14ac:dyDescent="0.2">
      <c r="GI64141" s="422"/>
    </row>
    <row r="64142" spans="191:191" x14ac:dyDescent="0.2">
      <c r="GI64142" s="422"/>
    </row>
    <row r="64143" spans="191:191" x14ac:dyDescent="0.2">
      <c r="GI64143" s="422"/>
    </row>
    <row r="64144" spans="191:191" x14ac:dyDescent="0.2">
      <c r="GI64144" s="422"/>
    </row>
    <row r="64145" spans="191:191" x14ac:dyDescent="0.2">
      <c r="GI64145" s="422"/>
    </row>
    <row r="64146" spans="191:191" x14ac:dyDescent="0.2">
      <c r="GI64146" s="422"/>
    </row>
    <row r="64147" spans="191:191" x14ac:dyDescent="0.2">
      <c r="GI64147" s="422"/>
    </row>
    <row r="64148" spans="191:191" x14ac:dyDescent="0.2">
      <c r="GI64148" s="422"/>
    </row>
    <row r="64149" spans="191:191" x14ac:dyDescent="0.2">
      <c r="GI64149" s="422"/>
    </row>
    <row r="64150" spans="191:191" x14ac:dyDescent="0.2">
      <c r="GI64150" s="422"/>
    </row>
    <row r="64151" spans="191:191" x14ac:dyDescent="0.2">
      <c r="GI64151" s="422"/>
    </row>
    <row r="64152" spans="191:191" x14ac:dyDescent="0.2">
      <c r="GI64152" s="422"/>
    </row>
    <row r="64153" spans="191:191" x14ac:dyDescent="0.2">
      <c r="GI64153" s="422"/>
    </row>
    <row r="64154" spans="191:191" x14ac:dyDescent="0.2">
      <c r="GI64154" s="422"/>
    </row>
    <row r="64155" spans="191:191" x14ac:dyDescent="0.2">
      <c r="GI64155" s="422"/>
    </row>
    <row r="64156" spans="191:191" x14ac:dyDescent="0.2">
      <c r="GI64156" s="422"/>
    </row>
    <row r="64157" spans="191:191" x14ac:dyDescent="0.2">
      <c r="GI64157" s="422"/>
    </row>
    <row r="64158" spans="191:191" x14ac:dyDescent="0.2">
      <c r="GI64158" s="422"/>
    </row>
    <row r="64159" spans="191:191" x14ac:dyDescent="0.2">
      <c r="GI64159" s="422"/>
    </row>
    <row r="64160" spans="191:191" x14ac:dyDescent="0.2">
      <c r="GI64160" s="422"/>
    </row>
    <row r="64161" spans="191:191" x14ac:dyDescent="0.2">
      <c r="GI64161" s="422"/>
    </row>
    <row r="64162" spans="191:191" x14ac:dyDescent="0.2">
      <c r="GI64162" s="422"/>
    </row>
    <row r="64163" spans="191:191" x14ac:dyDescent="0.2">
      <c r="GI64163" s="422"/>
    </row>
    <row r="64164" spans="191:191" x14ac:dyDescent="0.2">
      <c r="GI64164" s="422"/>
    </row>
    <row r="64165" spans="191:191" x14ac:dyDescent="0.2">
      <c r="GI64165" s="422"/>
    </row>
    <row r="64166" spans="191:191" x14ac:dyDescent="0.2">
      <c r="GI64166" s="422"/>
    </row>
    <row r="64167" spans="191:191" x14ac:dyDescent="0.2">
      <c r="GI64167" s="422"/>
    </row>
    <row r="64168" spans="191:191" x14ac:dyDescent="0.2">
      <c r="GI64168" s="422"/>
    </row>
    <row r="64169" spans="191:191" x14ac:dyDescent="0.2">
      <c r="GI64169" s="422"/>
    </row>
    <row r="64170" spans="191:191" x14ac:dyDescent="0.2">
      <c r="GI64170" s="422"/>
    </row>
    <row r="64171" spans="191:191" x14ac:dyDescent="0.2">
      <c r="GI64171" s="422"/>
    </row>
    <row r="64172" spans="191:191" x14ac:dyDescent="0.2">
      <c r="GI64172" s="422"/>
    </row>
    <row r="64173" spans="191:191" x14ac:dyDescent="0.2">
      <c r="GI64173" s="422"/>
    </row>
    <row r="64174" spans="191:191" x14ac:dyDescent="0.2">
      <c r="GI64174" s="422"/>
    </row>
    <row r="64175" spans="191:191" x14ac:dyDescent="0.2">
      <c r="GI64175" s="422"/>
    </row>
    <row r="64176" spans="191:191" x14ac:dyDescent="0.2">
      <c r="GI64176" s="422"/>
    </row>
    <row r="64177" spans="191:191" x14ac:dyDescent="0.2">
      <c r="GI64177" s="422"/>
    </row>
    <row r="64178" spans="191:191" x14ac:dyDescent="0.2">
      <c r="GI64178" s="422"/>
    </row>
    <row r="64179" spans="191:191" x14ac:dyDescent="0.2">
      <c r="GI64179" s="422"/>
    </row>
    <row r="64180" spans="191:191" x14ac:dyDescent="0.2">
      <c r="GI64180" s="422"/>
    </row>
    <row r="64181" spans="191:191" x14ac:dyDescent="0.2">
      <c r="GI64181" s="422"/>
    </row>
    <row r="64182" spans="191:191" x14ac:dyDescent="0.2">
      <c r="GI64182" s="422"/>
    </row>
    <row r="64183" spans="191:191" x14ac:dyDescent="0.2">
      <c r="GI64183" s="422"/>
    </row>
    <row r="64184" spans="191:191" x14ac:dyDescent="0.2">
      <c r="GI64184" s="422"/>
    </row>
    <row r="64185" spans="191:191" x14ac:dyDescent="0.2">
      <c r="GI64185" s="422"/>
    </row>
    <row r="64186" spans="191:191" x14ac:dyDescent="0.2">
      <c r="GI64186" s="422"/>
    </row>
    <row r="64187" spans="191:191" x14ac:dyDescent="0.2">
      <c r="GI64187" s="422"/>
    </row>
    <row r="64188" spans="191:191" x14ac:dyDescent="0.2">
      <c r="GI64188" s="422"/>
    </row>
    <row r="64189" spans="191:191" x14ac:dyDescent="0.2">
      <c r="GI64189" s="422"/>
    </row>
    <row r="64190" spans="191:191" x14ac:dyDescent="0.2">
      <c r="GI64190" s="422"/>
    </row>
    <row r="64191" spans="191:191" x14ac:dyDescent="0.2">
      <c r="GI64191" s="422"/>
    </row>
    <row r="64192" spans="191:191" x14ac:dyDescent="0.2">
      <c r="GI64192" s="422"/>
    </row>
    <row r="64193" spans="191:191" x14ac:dyDescent="0.2">
      <c r="GI64193" s="422"/>
    </row>
    <row r="64194" spans="191:191" x14ac:dyDescent="0.2">
      <c r="GI64194" s="422"/>
    </row>
    <row r="64195" spans="191:191" x14ac:dyDescent="0.2">
      <c r="GI64195" s="422"/>
    </row>
    <row r="64196" spans="191:191" x14ac:dyDescent="0.2">
      <c r="GI64196" s="422"/>
    </row>
    <row r="64197" spans="191:191" x14ac:dyDescent="0.2">
      <c r="GI64197" s="422"/>
    </row>
    <row r="64198" spans="191:191" x14ac:dyDescent="0.2">
      <c r="GI64198" s="422"/>
    </row>
    <row r="64199" spans="191:191" x14ac:dyDescent="0.2">
      <c r="GI64199" s="422"/>
    </row>
    <row r="64200" spans="191:191" x14ac:dyDescent="0.2">
      <c r="GI64200" s="422"/>
    </row>
    <row r="64201" spans="191:191" x14ac:dyDescent="0.2">
      <c r="GI64201" s="422"/>
    </row>
    <row r="64202" spans="191:191" x14ac:dyDescent="0.2">
      <c r="GI64202" s="422"/>
    </row>
    <row r="64203" spans="191:191" x14ac:dyDescent="0.2">
      <c r="GI64203" s="422"/>
    </row>
    <row r="64204" spans="191:191" x14ac:dyDescent="0.2">
      <c r="GI64204" s="422"/>
    </row>
    <row r="64205" spans="191:191" x14ac:dyDescent="0.2">
      <c r="GI64205" s="422"/>
    </row>
    <row r="64206" spans="191:191" x14ac:dyDescent="0.2">
      <c r="GI64206" s="422"/>
    </row>
    <row r="64207" spans="191:191" x14ac:dyDescent="0.2">
      <c r="GI64207" s="422"/>
    </row>
    <row r="64208" spans="191:191" x14ac:dyDescent="0.2">
      <c r="GI64208" s="422"/>
    </row>
    <row r="64209" spans="191:191" x14ac:dyDescent="0.2">
      <c r="GI64209" s="422"/>
    </row>
    <row r="64210" spans="191:191" x14ac:dyDescent="0.2">
      <c r="GI64210" s="422"/>
    </row>
    <row r="64211" spans="191:191" x14ac:dyDescent="0.2">
      <c r="GI64211" s="422"/>
    </row>
    <row r="64212" spans="191:191" x14ac:dyDescent="0.2">
      <c r="GI64212" s="422"/>
    </row>
    <row r="64213" spans="191:191" x14ac:dyDescent="0.2">
      <c r="GI64213" s="422"/>
    </row>
    <row r="64214" spans="191:191" x14ac:dyDescent="0.2">
      <c r="GI64214" s="422"/>
    </row>
    <row r="64215" spans="191:191" x14ac:dyDescent="0.2">
      <c r="GI64215" s="422"/>
    </row>
    <row r="64216" spans="191:191" x14ac:dyDescent="0.2">
      <c r="GI64216" s="422"/>
    </row>
    <row r="64217" spans="191:191" x14ac:dyDescent="0.2">
      <c r="GI64217" s="422"/>
    </row>
    <row r="64218" spans="191:191" x14ac:dyDescent="0.2">
      <c r="GI64218" s="422"/>
    </row>
    <row r="64219" spans="191:191" x14ac:dyDescent="0.2">
      <c r="GI64219" s="422"/>
    </row>
    <row r="64220" spans="191:191" x14ac:dyDescent="0.2">
      <c r="GI64220" s="422"/>
    </row>
    <row r="64221" spans="191:191" x14ac:dyDescent="0.2">
      <c r="GI64221" s="422"/>
    </row>
    <row r="64222" spans="191:191" x14ac:dyDescent="0.2">
      <c r="GI64222" s="422"/>
    </row>
    <row r="64223" spans="191:191" x14ac:dyDescent="0.2">
      <c r="GI64223" s="422"/>
    </row>
    <row r="64224" spans="191:191" x14ac:dyDescent="0.2">
      <c r="GI64224" s="422"/>
    </row>
    <row r="64225" spans="191:191" x14ac:dyDescent="0.2">
      <c r="GI64225" s="422"/>
    </row>
    <row r="64226" spans="191:191" x14ac:dyDescent="0.2">
      <c r="GI64226" s="422"/>
    </row>
    <row r="64227" spans="191:191" x14ac:dyDescent="0.2">
      <c r="GI64227" s="422"/>
    </row>
    <row r="64228" spans="191:191" x14ac:dyDescent="0.2">
      <c r="GI64228" s="422"/>
    </row>
    <row r="64229" spans="191:191" x14ac:dyDescent="0.2">
      <c r="GI64229" s="422"/>
    </row>
    <row r="64230" spans="191:191" x14ac:dyDescent="0.2">
      <c r="GI64230" s="422"/>
    </row>
    <row r="64231" spans="191:191" x14ac:dyDescent="0.2">
      <c r="GI64231" s="422"/>
    </row>
    <row r="64232" spans="191:191" x14ac:dyDescent="0.2">
      <c r="GI64232" s="422"/>
    </row>
    <row r="64233" spans="191:191" x14ac:dyDescent="0.2">
      <c r="GI64233" s="422"/>
    </row>
    <row r="64234" spans="191:191" x14ac:dyDescent="0.2">
      <c r="GI64234" s="422"/>
    </row>
    <row r="64235" spans="191:191" x14ac:dyDescent="0.2">
      <c r="GI64235" s="422"/>
    </row>
    <row r="64236" spans="191:191" x14ac:dyDescent="0.2">
      <c r="GI64236" s="422"/>
    </row>
    <row r="64237" spans="191:191" x14ac:dyDescent="0.2">
      <c r="GI64237" s="422"/>
    </row>
    <row r="64238" spans="191:191" x14ac:dyDescent="0.2">
      <c r="GI64238" s="422"/>
    </row>
    <row r="64239" spans="191:191" x14ac:dyDescent="0.2">
      <c r="GI64239" s="422"/>
    </row>
    <row r="64240" spans="191:191" x14ac:dyDescent="0.2">
      <c r="GI64240" s="422"/>
    </row>
    <row r="64241" spans="191:191" x14ac:dyDescent="0.2">
      <c r="GI64241" s="422"/>
    </row>
    <row r="64242" spans="191:191" x14ac:dyDescent="0.2">
      <c r="GI64242" s="422"/>
    </row>
    <row r="64243" spans="191:191" x14ac:dyDescent="0.2">
      <c r="GI64243" s="422"/>
    </row>
    <row r="64244" spans="191:191" x14ac:dyDescent="0.2">
      <c r="GI64244" s="422"/>
    </row>
    <row r="64245" spans="191:191" x14ac:dyDescent="0.2">
      <c r="GI64245" s="422"/>
    </row>
    <row r="64246" spans="191:191" x14ac:dyDescent="0.2">
      <c r="GI64246" s="422"/>
    </row>
    <row r="64247" spans="191:191" x14ac:dyDescent="0.2">
      <c r="GI64247" s="422"/>
    </row>
    <row r="64248" spans="191:191" x14ac:dyDescent="0.2">
      <c r="GI64248" s="422"/>
    </row>
    <row r="64249" spans="191:191" x14ac:dyDescent="0.2">
      <c r="GI64249" s="422"/>
    </row>
    <row r="64250" spans="191:191" x14ac:dyDescent="0.2">
      <c r="GI64250" s="422"/>
    </row>
    <row r="64251" spans="191:191" x14ac:dyDescent="0.2">
      <c r="GI64251" s="422"/>
    </row>
    <row r="64252" spans="191:191" x14ac:dyDescent="0.2">
      <c r="GI64252" s="422"/>
    </row>
    <row r="64253" spans="191:191" x14ac:dyDescent="0.2">
      <c r="GI64253" s="422"/>
    </row>
    <row r="64254" spans="191:191" x14ac:dyDescent="0.2">
      <c r="GI64254" s="422"/>
    </row>
    <row r="64255" spans="191:191" x14ac:dyDescent="0.2">
      <c r="GI64255" s="422"/>
    </row>
    <row r="64256" spans="191:191" x14ac:dyDescent="0.2">
      <c r="GI64256" s="422"/>
    </row>
    <row r="64257" spans="191:191" x14ac:dyDescent="0.2">
      <c r="GI64257" s="422"/>
    </row>
    <row r="64258" spans="191:191" x14ac:dyDescent="0.2">
      <c r="GI64258" s="422"/>
    </row>
    <row r="64259" spans="191:191" x14ac:dyDescent="0.2">
      <c r="GI64259" s="422"/>
    </row>
    <row r="64260" spans="191:191" x14ac:dyDescent="0.2">
      <c r="GI64260" s="422"/>
    </row>
    <row r="64261" spans="191:191" x14ac:dyDescent="0.2">
      <c r="GI64261" s="422"/>
    </row>
    <row r="64262" spans="191:191" x14ac:dyDescent="0.2">
      <c r="GI64262" s="422"/>
    </row>
    <row r="64263" spans="191:191" x14ac:dyDescent="0.2">
      <c r="GI64263" s="422"/>
    </row>
    <row r="64264" spans="191:191" x14ac:dyDescent="0.2">
      <c r="GI64264" s="422"/>
    </row>
    <row r="64265" spans="191:191" x14ac:dyDescent="0.2">
      <c r="GI64265" s="422"/>
    </row>
    <row r="64266" spans="191:191" x14ac:dyDescent="0.2">
      <c r="GI64266" s="422"/>
    </row>
    <row r="64267" spans="191:191" x14ac:dyDescent="0.2">
      <c r="GI64267" s="422"/>
    </row>
    <row r="64268" spans="191:191" x14ac:dyDescent="0.2">
      <c r="GI64268" s="422"/>
    </row>
    <row r="64269" spans="191:191" x14ac:dyDescent="0.2">
      <c r="GI64269" s="422"/>
    </row>
    <row r="64270" spans="191:191" x14ac:dyDescent="0.2">
      <c r="GI64270" s="422"/>
    </row>
    <row r="64271" spans="191:191" x14ac:dyDescent="0.2">
      <c r="GI64271" s="422"/>
    </row>
    <row r="64272" spans="191:191" x14ac:dyDescent="0.2">
      <c r="GI64272" s="422"/>
    </row>
    <row r="64273" spans="191:191" x14ac:dyDescent="0.2">
      <c r="GI64273" s="422"/>
    </row>
    <row r="64274" spans="191:191" x14ac:dyDescent="0.2">
      <c r="GI64274" s="422"/>
    </row>
    <row r="64275" spans="191:191" x14ac:dyDescent="0.2">
      <c r="GI64275" s="422"/>
    </row>
    <row r="64276" spans="191:191" x14ac:dyDescent="0.2">
      <c r="GI64276" s="422"/>
    </row>
    <row r="64277" spans="191:191" x14ac:dyDescent="0.2">
      <c r="GI64277" s="422"/>
    </row>
    <row r="64278" spans="191:191" x14ac:dyDescent="0.2">
      <c r="GI64278" s="422"/>
    </row>
    <row r="64279" spans="191:191" x14ac:dyDescent="0.2">
      <c r="GI64279" s="422"/>
    </row>
    <row r="64280" spans="191:191" x14ac:dyDescent="0.2">
      <c r="GI64280" s="422"/>
    </row>
    <row r="64281" spans="191:191" x14ac:dyDescent="0.2">
      <c r="GI64281" s="422"/>
    </row>
    <row r="64282" spans="191:191" x14ac:dyDescent="0.2">
      <c r="GI64282" s="422"/>
    </row>
    <row r="64283" spans="191:191" x14ac:dyDescent="0.2">
      <c r="GI64283" s="422"/>
    </row>
    <row r="64284" spans="191:191" x14ac:dyDescent="0.2">
      <c r="GI64284" s="422"/>
    </row>
    <row r="64285" spans="191:191" x14ac:dyDescent="0.2">
      <c r="GI64285" s="422"/>
    </row>
    <row r="64286" spans="191:191" x14ac:dyDescent="0.2">
      <c r="GI64286" s="422"/>
    </row>
    <row r="64287" spans="191:191" x14ac:dyDescent="0.2">
      <c r="GI64287" s="422"/>
    </row>
    <row r="64288" spans="191:191" x14ac:dyDescent="0.2">
      <c r="GI64288" s="422"/>
    </row>
    <row r="64289" spans="191:191" x14ac:dyDescent="0.2">
      <c r="GI64289" s="422"/>
    </row>
    <row r="64290" spans="191:191" x14ac:dyDescent="0.2">
      <c r="GI64290" s="422"/>
    </row>
    <row r="64291" spans="191:191" x14ac:dyDescent="0.2">
      <c r="GI64291" s="422"/>
    </row>
    <row r="64292" spans="191:191" x14ac:dyDescent="0.2">
      <c r="GI64292" s="422"/>
    </row>
    <row r="64293" spans="191:191" x14ac:dyDescent="0.2">
      <c r="GI64293" s="422"/>
    </row>
    <row r="64294" spans="191:191" x14ac:dyDescent="0.2">
      <c r="GI64294" s="422"/>
    </row>
    <row r="64295" spans="191:191" x14ac:dyDescent="0.2">
      <c r="GI64295" s="422"/>
    </row>
    <row r="64296" spans="191:191" x14ac:dyDescent="0.2">
      <c r="GI64296" s="422"/>
    </row>
    <row r="64297" spans="191:191" x14ac:dyDescent="0.2">
      <c r="GI64297" s="422"/>
    </row>
    <row r="64298" spans="191:191" x14ac:dyDescent="0.2">
      <c r="GI64298" s="422"/>
    </row>
    <row r="64299" spans="191:191" x14ac:dyDescent="0.2">
      <c r="GI64299" s="422"/>
    </row>
    <row r="64300" spans="191:191" x14ac:dyDescent="0.2">
      <c r="GI64300" s="422"/>
    </row>
    <row r="64301" spans="191:191" x14ac:dyDescent="0.2">
      <c r="GI64301" s="422"/>
    </row>
    <row r="64302" spans="191:191" x14ac:dyDescent="0.2">
      <c r="GI64302" s="422"/>
    </row>
    <row r="64303" spans="191:191" x14ac:dyDescent="0.2">
      <c r="GI64303" s="422"/>
    </row>
    <row r="64304" spans="191:191" x14ac:dyDescent="0.2">
      <c r="GI64304" s="422"/>
    </row>
    <row r="64305" spans="191:191" x14ac:dyDescent="0.2">
      <c r="GI64305" s="422"/>
    </row>
    <row r="64306" spans="191:191" x14ac:dyDescent="0.2">
      <c r="GI64306" s="422"/>
    </row>
    <row r="64307" spans="191:191" x14ac:dyDescent="0.2">
      <c r="GI64307" s="422"/>
    </row>
    <row r="64308" spans="191:191" x14ac:dyDescent="0.2">
      <c r="GI64308" s="422"/>
    </row>
    <row r="64309" spans="191:191" x14ac:dyDescent="0.2">
      <c r="GI64309" s="422"/>
    </row>
    <row r="64310" spans="191:191" x14ac:dyDescent="0.2">
      <c r="GI64310" s="422"/>
    </row>
    <row r="64311" spans="191:191" x14ac:dyDescent="0.2">
      <c r="GI64311" s="422"/>
    </row>
    <row r="64312" spans="191:191" x14ac:dyDescent="0.2">
      <c r="GI64312" s="422"/>
    </row>
    <row r="64313" spans="191:191" x14ac:dyDescent="0.2">
      <c r="GI64313" s="422"/>
    </row>
    <row r="64314" spans="191:191" x14ac:dyDescent="0.2">
      <c r="GI64314" s="422"/>
    </row>
    <row r="64315" spans="191:191" x14ac:dyDescent="0.2">
      <c r="GI64315" s="422"/>
    </row>
    <row r="64316" spans="191:191" x14ac:dyDescent="0.2">
      <c r="GI64316" s="422"/>
    </row>
    <row r="64317" spans="191:191" x14ac:dyDescent="0.2">
      <c r="GI64317" s="422"/>
    </row>
    <row r="64318" spans="191:191" x14ac:dyDescent="0.2">
      <c r="GI64318" s="422"/>
    </row>
    <row r="64319" spans="191:191" x14ac:dyDescent="0.2">
      <c r="GI64319" s="422"/>
    </row>
    <row r="64320" spans="191:191" x14ac:dyDescent="0.2">
      <c r="GI64320" s="422"/>
    </row>
    <row r="64321" spans="191:191" x14ac:dyDescent="0.2">
      <c r="GI64321" s="422"/>
    </row>
    <row r="64322" spans="191:191" x14ac:dyDescent="0.2">
      <c r="GI64322" s="422"/>
    </row>
    <row r="64323" spans="191:191" x14ac:dyDescent="0.2">
      <c r="GI64323" s="422"/>
    </row>
    <row r="64324" spans="191:191" x14ac:dyDescent="0.2">
      <c r="GI64324" s="422"/>
    </row>
    <row r="64325" spans="191:191" x14ac:dyDescent="0.2">
      <c r="GI64325" s="422"/>
    </row>
    <row r="64326" spans="191:191" x14ac:dyDescent="0.2">
      <c r="GI64326" s="422"/>
    </row>
    <row r="64327" spans="191:191" x14ac:dyDescent="0.2">
      <c r="GI64327" s="422"/>
    </row>
    <row r="64328" spans="191:191" x14ac:dyDescent="0.2">
      <c r="GI64328" s="422"/>
    </row>
    <row r="64329" spans="191:191" x14ac:dyDescent="0.2">
      <c r="GI64329" s="422"/>
    </row>
    <row r="64330" spans="191:191" x14ac:dyDescent="0.2">
      <c r="GI64330" s="422"/>
    </row>
    <row r="64331" spans="191:191" x14ac:dyDescent="0.2">
      <c r="GI64331" s="422"/>
    </row>
    <row r="64332" spans="191:191" x14ac:dyDescent="0.2">
      <c r="GI64332" s="422"/>
    </row>
    <row r="64333" spans="191:191" x14ac:dyDescent="0.2">
      <c r="GI64333" s="422"/>
    </row>
    <row r="64334" spans="191:191" x14ac:dyDescent="0.2">
      <c r="GI64334" s="422"/>
    </row>
    <row r="64335" spans="191:191" x14ac:dyDescent="0.2">
      <c r="GI64335" s="422"/>
    </row>
    <row r="64336" spans="191:191" x14ac:dyDescent="0.2">
      <c r="GI64336" s="422"/>
    </row>
    <row r="64337" spans="191:191" x14ac:dyDescent="0.2">
      <c r="GI64337" s="422"/>
    </row>
    <row r="64338" spans="191:191" x14ac:dyDescent="0.2">
      <c r="GI64338" s="422"/>
    </row>
    <row r="64339" spans="191:191" x14ac:dyDescent="0.2">
      <c r="GI64339" s="422"/>
    </row>
    <row r="64340" spans="191:191" x14ac:dyDescent="0.2">
      <c r="GI64340" s="422"/>
    </row>
    <row r="64341" spans="191:191" x14ac:dyDescent="0.2">
      <c r="GI64341" s="422"/>
    </row>
    <row r="64342" spans="191:191" x14ac:dyDescent="0.2">
      <c r="GI64342" s="422"/>
    </row>
    <row r="64343" spans="191:191" x14ac:dyDescent="0.2">
      <c r="GI64343" s="422"/>
    </row>
    <row r="64344" spans="191:191" x14ac:dyDescent="0.2">
      <c r="GI64344" s="422"/>
    </row>
    <row r="64345" spans="191:191" x14ac:dyDescent="0.2">
      <c r="GI64345" s="422"/>
    </row>
    <row r="64346" spans="191:191" x14ac:dyDescent="0.2">
      <c r="GI64346" s="422"/>
    </row>
    <row r="64347" spans="191:191" x14ac:dyDescent="0.2">
      <c r="GI64347" s="422"/>
    </row>
    <row r="64348" spans="191:191" x14ac:dyDescent="0.2">
      <c r="GI64348" s="422"/>
    </row>
    <row r="64349" spans="191:191" x14ac:dyDescent="0.2">
      <c r="GI64349" s="422"/>
    </row>
    <row r="64350" spans="191:191" x14ac:dyDescent="0.2">
      <c r="GI64350" s="422"/>
    </row>
    <row r="64351" spans="191:191" x14ac:dyDescent="0.2">
      <c r="GI64351" s="422"/>
    </row>
    <row r="64352" spans="191:191" x14ac:dyDescent="0.2">
      <c r="GI64352" s="422"/>
    </row>
    <row r="64353" spans="191:191" x14ac:dyDescent="0.2">
      <c r="GI64353" s="422"/>
    </row>
    <row r="64354" spans="191:191" x14ac:dyDescent="0.2">
      <c r="GI64354" s="422"/>
    </row>
    <row r="64355" spans="191:191" x14ac:dyDescent="0.2">
      <c r="GI64355" s="422"/>
    </row>
    <row r="64356" spans="191:191" x14ac:dyDescent="0.2">
      <c r="GI64356" s="422"/>
    </row>
    <row r="64357" spans="191:191" x14ac:dyDescent="0.2">
      <c r="GI64357" s="422"/>
    </row>
    <row r="64358" spans="191:191" x14ac:dyDescent="0.2">
      <c r="GI64358" s="422"/>
    </row>
    <row r="64359" spans="191:191" x14ac:dyDescent="0.2">
      <c r="GI64359" s="422"/>
    </row>
    <row r="64360" spans="191:191" x14ac:dyDescent="0.2">
      <c r="GI64360" s="422"/>
    </row>
    <row r="64361" spans="191:191" x14ac:dyDescent="0.2">
      <c r="GI64361" s="422"/>
    </row>
    <row r="64362" spans="191:191" x14ac:dyDescent="0.2">
      <c r="GI64362" s="422"/>
    </row>
    <row r="64363" spans="191:191" x14ac:dyDescent="0.2">
      <c r="GI64363" s="422"/>
    </row>
    <row r="64364" spans="191:191" x14ac:dyDescent="0.2">
      <c r="GI64364" s="422"/>
    </row>
    <row r="64365" spans="191:191" x14ac:dyDescent="0.2">
      <c r="GI64365" s="422"/>
    </row>
    <row r="64366" spans="191:191" x14ac:dyDescent="0.2">
      <c r="GI64366" s="422"/>
    </row>
    <row r="64367" spans="191:191" x14ac:dyDescent="0.2">
      <c r="GI64367" s="422"/>
    </row>
    <row r="64368" spans="191:191" x14ac:dyDescent="0.2">
      <c r="GI64368" s="422"/>
    </row>
    <row r="64369" spans="191:191" x14ac:dyDescent="0.2">
      <c r="GI64369" s="422"/>
    </row>
    <row r="64370" spans="191:191" x14ac:dyDescent="0.2">
      <c r="GI64370" s="422"/>
    </row>
    <row r="64371" spans="191:191" x14ac:dyDescent="0.2">
      <c r="GI64371" s="422"/>
    </row>
    <row r="64372" spans="191:191" x14ac:dyDescent="0.2">
      <c r="GI64372" s="422"/>
    </row>
    <row r="64373" spans="191:191" x14ac:dyDescent="0.2">
      <c r="GI64373" s="422"/>
    </row>
    <row r="64374" spans="191:191" x14ac:dyDescent="0.2">
      <c r="GI64374" s="422"/>
    </row>
    <row r="64375" spans="191:191" x14ac:dyDescent="0.2">
      <c r="GI64375" s="422"/>
    </row>
    <row r="64376" spans="191:191" x14ac:dyDescent="0.2">
      <c r="GI64376" s="422"/>
    </row>
    <row r="64377" spans="191:191" x14ac:dyDescent="0.2">
      <c r="GI64377" s="422"/>
    </row>
    <row r="64378" spans="191:191" x14ac:dyDescent="0.2">
      <c r="GI64378" s="422"/>
    </row>
    <row r="64379" spans="191:191" x14ac:dyDescent="0.2">
      <c r="GI64379" s="422"/>
    </row>
    <row r="64380" spans="191:191" x14ac:dyDescent="0.2">
      <c r="GI64380" s="422"/>
    </row>
    <row r="64381" spans="191:191" x14ac:dyDescent="0.2">
      <c r="GI64381" s="422"/>
    </row>
    <row r="64382" spans="191:191" x14ac:dyDescent="0.2">
      <c r="GI64382" s="422"/>
    </row>
    <row r="64383" spans="191:191" x14ac:dyDescent="0.2">
      <c r="GI64383" s="422"/>
    </row>
    <row r="64384" spans="191:191" x14ac:dyDescent="0.2">
      <c r="GI64384" s="422"/>
    </row>
    <row r="64385" spans="191:191" x14ac:dyDescent="0.2">
      <c r="GI64385" s="422"/>
    </row>
    <row r="64386" spans="191:191" x14ac:dyDescent="0.2">
      <c r="GI64386" s="422"/>
    </row>
    <row r="64387" spans="191:191" x14ac:dyDescent="0.2">
      <c r="GI64387" s="422"/>
    </row>
    <row r="64388" spans="191:191" x14ac:dyDescent="0.2">
      <c r="GI64388" s="422"/>
    </row>
    <row r="64389" spans="191:191" x14ac:dyDescent="0.2">
      <c r="GI64389" s="422"/>
    </row>
    <row r="64390" spans="191:191" x14ac:dyDescent="0.2">
      <c r="GI64390" s="422"/>
    </row>
    <row r="64391" spans="191:191" x14ac:dyDescent="0.2">
      <c r="GI64391" s="422"/>
    </row>
    <row r="64392" spans="191:191" x14ac:dyDescent="0.2">
      <c r="GI64392" s="422"/>
    </row>
    <row r="64393" spans="191:191" x14ac:dyDescent="0.2">
      <c r="GI64393" s="422"/>
    </row>
    <row r="64394" spans="191:191" x14ac:dyDescent="0.2">
      <c r="GI64394" s="422"/>
    </row>
    <row r="64395" spans="191:191" x14ac:dyDescent="0.2">
      <c r="GI64395" s="422"/>
    </row>
    <row r="64396" spans="191:191" x14ac:dyDescent="0.2">
      <c r="GI64396" s="422"/>
    </row>
    <row r="64397" spans="191:191" x14ac:dyDescent="0.2">
      <c r="GI64397" s="422"/>
    </row>
    <row r="64398" spans="191:191" x14ac:dyDescent="0.2">
      <c r="GI64398" s="422"/>
    </row>
    <row r="64399" spans="191:191" x14ac:dyDescent="0.2">
      <c r="GI64399" s="422"/>
    </row>
    <row r="64400" spans="191:191" x14ac:dyDescent="0.2">
      <c r="GI64400" s="422"/>
    </row>
    <row r="64401" spans="191:191" x14ac:dyDescent="0.2">
      <c r="GI64401" s="422"/>
    </row>
    <row r="64402" spans="191:191" x14ac:dyDescent="0.2">
      <c r="GI64402" s="422"/>
    </row>
    <row r="64403" spans="191:191" x14ac:dyDescent="0.2">
      <c r="GI64403" s="422"/>
    </row>
    <row r="64404" spans="191:191" x14ac:dyDescent="0.2">
      <c r="GI64404" s="422"/>
    </row>
    <row r="64405" spans="191:191" x14ac:dyDescent="0.2">
      <c r="GI64405" s="422"/>
    </row>
    <row r="64406" spans="191:191" x14ac:dyDescent="0.2">
      <c r="GI64406" s="422"/>
    </row>
    <row r="64407" spans="191:191" x14ac:dyDescent="0.2">
      <c r="GI64407" s="422"/>
    </row>
    <row r="64408" spans="191:191" x14ac:dyDescent="0.2">
      <c r="GI64408" s="422"/>
    </row>
    <row r="64409" spans="191:191" x14ac:dyDescent="0.2">
      <c r="GI64409" s="422"/>
    </row>
    <row r="64410" spans="191:191" x14ac:dyDescent="0.2">
      <c r="GI64410" s="422"/>
    </row>
    <row r="64411" spans="191:191" x14ac:dyDescent="0.2">
      <c r="GI64411" s="422"/>
    </row>
    <row r="64412" spans="191:191" x14ac:dyDescent="0.2">
      <c r="GI64412" s="422"/>
    </row>
    <row r="64413" spans="191:191" x14ac:dyDescent="0.2">
      <c r="GI64413" s="422"/>
    </row>
    <row r="64414" spans="191:191" x14ac:dyDescent="0.2">
      <c r="GI64414" s="422"/>
    </row>
    <row r="64415" spans="191:191" x14ac:dyDescent="0.2">
      <c r="GI64415" s="422"/>
    </row>
    <row r="64416" spans="191:191" x14ac:dyDescent="0.2">
      <c r="GI64416" s="422"/>
    </row>
    <row r="64417" spans="191:191" x14ac:dyDescent="0.2">
      <c r="GI64417" s="422"/>
    </row>
    <row r="64418" spans="191:191" x14ac:dyDescent="0.2">
      <c r="GI64418" s="422"/>
    </row>
    <row r="64419" spans="191:191" x14ac:dyDescent="0.2">
      <c r="GI64419" s="422"/>
    </row>
    <row r="64420" spans="191:191" x14ac:dyDescent="0.2">
      <c r="GI64420" s="422"/>
    </row>
    <row r="64421" spans="191:191" x14ac:dyDescent="0.2">
      <c r="GI64421" s="422"/>
    </row>
    <row r="64422" spans="191:191" x14ac:dyDescent="0.2">
      <c r="GI64422" s="422"/>
    </row>
    <row r="64423" spans="191:191" x14ac:dyDescent="0.2">
      <c r="GI64423" s="422"/>
    </row>
    <row r="64424" spans="191:191" x14ac:dyDescent="0.2">
      <c r="GI64424" s="422"/>
    </row>
    <row r="64425" spans="191:191" x14ac:dyDescent="0.2">
      <c r="GI64425" s="422"/>
    </row>
    <row r="64426" spans="191:191" x14ac:dyDescent="0.2">
      <c r="GI64426" s="422"/>
    </row>
    <row r="64427" spans="191:191" x14ac:dyDescent="0.2">
      <c r="GI64427" s="422"/>
    </row>
    <row r="64428" spans="191:191" x14ac:dyDescent="0.2">
      <c r="GI64428" s="422"/>
    </row>
    <row r="64429" spans="191:191" x14ac:dyDescent="0.2">
      <c r="GI64429" s="422"/>
    </row>
    <row r="64430" spans="191:191" x14ac:dyDescent="0.2">
      <c r="GI64430" s="422"/>
    </row>
    <row r="64431" spans="191:191" x14ac:dyDescent="0.2">
      <c r="GI64431" s="422"/>
    </row>
    <row r="64432" spans="191:191" x14ac:dyDescent="0.2">
      <c r="GI64432" s="422"/>
    </row>
    <row r="64433" spans="191:191" x14ac:dyDescent="0.2">
      <c r="GI64433" s="422"/>
    </row>
    <row r="64434" spans="191:191" x14ac:dyDescent="0.2">
      <c r="GI64434" s="422"/>
    </row>
    <row r="64435" spans="191:191" x14ac:dyDescent="0.2">
      <c r="GI64435" s="422"/>
    </row>
    <row r="64436" spans="191:191" x14ac:dyDescent="0.2">
      <c r="GI64436" s="422"/>
    </row>
    <row r="64437" spans="191:191" x14ac:dyDescent="0.2">
      <c r="GI64437" s="422"/>
    </row>
    <row r="64438" spans="191:191" x14ac:dyDescent="0.2">
      <c r="GI64438" s="422"/>
    </row>
    <row r="64439" spans="191:191" x14ac:dyDescent="0.2">
      <c r="GI64439" s="422"/>
    </row>
    <row r="64440" spans="191:191" x14ac:dyDescent="0.2">
      <c r="GI64440" s="422"/>
    </row>
    <row r="64441" spans="191:191" x14ac:dyDescent="0.2">
      <c r="GI64441" s="422"/>
    </row>
    <row r="64442" spans="191:191" x14ac:dyDescent="0.2">
      <c r="GI64442" s="422"/>
    </row>
    <row r="64443" spans="191:191" x14ac:dyDescent="0.2">
      <c r="GI64443" s="422"/>
    </row>
    <row r="64444" spans="191:191" x14ac:dyDescent="0.2">
      <c r="GI64444" s="422"/>
    </row>
    <row r="64445" spans="191:191" x14ac:dyDescent="0.2">
      <c r="GI64445" s="422"/>
    </row>
    <row r="64446" spans="191:191" x14ac:dyDescent="0.2">
      <c r="GI64446" s="422"/>
    </row>
    <row r="64447" spans="191:191" x14ac:dyDescent="0.2">
      <c r="GI64447" s="422"/>
    </row>
    <row r="64448" spans="191:191" x14ac:dyDescent="0.2">
      <c r="GI64448" s="422"/>
    </row>
    <row r="64449" spans="191:191" x14ac:dyDescent="0.2">
      <c r="GI64449" s="422"/>
    </row>
    <row r="64450" spans="191:191" x14ac:dyDescent="0.2">
      <c r="GI64450" s="422"/>
    </row>
    <row r="64451" spans="191:191" x14ac:dyDescent="0.2">
      <c r="GI64451" s="422"/>
    </row>
    <row r="64452" spans="191:191" x14ac:dyDescent="0.2">
      <c r="GI64452" s="422"/>
    </row>
    <row r="64453" spans="191:191" x14ac:dyDescent="0.2">
      <c r="GI64453" s="422"/>
    </row>
    <row r="64454" spans="191:191" x14ac:dyDescent="0.2">
      <c r="GI64454" s="422"/>
    </row>
    <row r="64455" spans="191:191" x14ac:dyDescent="0.2">
      <c r="GI64455" s="422"/>
    </row>
    <row r="64456" spans="191:191" x14ac:dyDescent="0.2">
      <c r="GI64456" s="422"/>
    </row>
    <row r="64457" spans="191:191" x14ac:dyDescent="0.2">
      <c r="GI64457" s="422"/>
    </row>
    <row r="64458" spans="191:191" x14ac:dyDescent="0.2">
      <c r="GI64458" s="422"/>
    </row>
    <row r="64459" spans="191:191" x14ac:dyDescent="0.2">
      <c r="GI64459" s="422"/>
    </row>
    <row r="64460" spans="191:191" x14ac:dyDescent="0.2">
      <c r="GI64460" s="422"/>
    </row>
    <row r="64461" spans="191:191" x14ac:dyDescent="0.2">
      <c r="GI64461" s="422"/>
    </row>
    <row r="64462" spans="191:191" x14ac:dyDescent="0.2">
      <c r="GI64462" s="422"/>
    </row>
    <row r="64463" spans="191:191" x14ac:dyDescent="0.2">
      <c r="GI64463" s="422"/>
    </row>
    <row r="64464" spans="191:191" x14ac:dyDescent="0.2">
      <c r="GI64464" s="422"/>
    </row>
    <row r="64465" spans="191:191" x14ac:dyDescent="0.2">
      <c r="GI64465" s="422"/>
    </row>
    <row r="64466" spans="191:191" x14ac:dyDescent="0.2">
      <c r="GI64466" s="422"/>
    </row>
    <row r="64467" spans="191:191" x14ac:dyDescent="0.2">
      <c r="GI64467" s="422"/>
    </row>
    <row r="64468" spans="191:191" x14ac:dyDescent="0.2">
      <c r="GI64468" s="422"/>
    </row>
    <row r="64469" spans="191:191" x14ac:dyDescent="0.2">
      <c r="GI64469" s="422"/>
    </row>
    <row r="64470" spans="191:191" x14ac:dyDescent="0.2">
      <c r="GI64470" s="422"/>
    </row>
    <row r="64471" spans="191:191" x14ac:dyDescent="0.2">
      <c r="GI64471" s="422"/>
    </row>
    <row r="64472" spans="191:191" x14ac:dyDescent="0.2">
      <c r="GI64472" s="422"/>
    </row>
    <row r="64473" spans="191:191" x14ac:dyDescent="0.2">
      <c r="GI64473" s="422"/>
    </row>
    <row r="64474" spans="191:191" x14ac:dyDescent="0.2">
      <c r="GI64474" s="422"/>
    </row>
    <row r="64475" spans="191:191" x14ac:dyDescent="0.2">
      <c r="GI64475" s="422"/>
    </row>
    <row r="64476" spans="191:191" x14ac:dyDescent="0.2">
      <c r="GI64476" s="422"/>
    </row>
    <row r="64477" spans="191:191" x14ac:dyDescent="0.2">
      <c r="GI64477" s="422"/>
    </row>
    <row r="64478" spans="191:191" x14ac:dyDescent="0.2">
      <c r="GI64478" s="422"/>
    </row>
    <row r="64479" spans="191:191" x14ac:dyDescent="0.2">
      <c r="GI64479" s="422"/>
    </row>
    <row r="64480" spans="191:191" x14ac:dyDescent="0.2">
      <c r="GI64480" s="422"/>
    </row>
    <row r="64481" spans="191:191" x14ac:dyDescent="0.2">
      <c r="GI64481" s="422"/>
    </row>
    <row r="64482" spans="191:191" x14ac:dyDescent="0.2">
      <c r="GI64482" s="422"/>
    </row>
    <row r="64483" spans="191:191" x14ac:dyDescent="0.2">
      <c r="GI64483" s="422"/>
    </row>
    <row r="64484" spans="191:191" x14ac:dyDescent="0.2">
      <c r="GI64484" s="422"/>
    </row>
    <row r="64485" spans="191:191" x14ac:dyDescent="0.2">
      <c r="GI64485" s="422"/>
    </row>
    <row r="64486" spans="191:191" x14ac:dyDescent="0.2">
      <c r="GI64486" s="422"/>
    </row>
    <row r="64487" spans="191:191" x14ac:dyDescent="0.2">
      <c r="GI64487" s="422"/>
    </row>
    <row r="64488" spans="191:191" x14ac:dyDescent="0.2">
      <c r="GI64488" s="422"/>
    </row>
    <row r="64489" spans="191:191" x14ac:dyDescent="0.2">
      <c r="GI64489" s="422"/>
    </row>
    <row r="64490" spans="191:191" x14ac:dyDescent="0.2">
      <c r="GI64490" s="422"/>
    </row>
    <row r="64491" spans="191:191" x14ac:dyDescent="0.2">
      <c r="GI64491" s="422"/>
    </row>
    <row r="64492" spans="191:191" x14ac:dyDescent="0.2">
      <c r="GI64492" s="422"/>
    </row>
    <row r="64493" spans="191:191" x14ac:dyDescent="0.2">
      <c r="GI64493" s="422"/>
    </row>
    <row r="64494" spans="191:191" x14ac:dyDescent="0.2">
      <c r="GI64494" s="422"/>
    </row>
    <row r="64495" spans="191:191" x14ac:dyDescent="0.2">
      <c r="GI64495" s="422"/>
    </row>
    <row r="64496" spans="191:191" x14ac:dyDescent="0.2">
      <c r="GI64496" s="422"/>
    </row>
    <row r="64497" spans="191:191" x14ac:dyDescent="0.2">
      <c r="GI64497" s="422"/>
    </row>
    <row r="64498" spans="191:191" x14ac:dyDescent="0.2">
      <c r="GI64498" s="422"/>
    </row>
    <row r="64499" spans="191:191" x14ac:dyDescent="0.2">
      <c r="GI64499" s="422"/>
    </row>
    <row r="64500" spans="191:191" x14ac:dyDescent="0.2">
      <c r="GI64500" s="422"/>
    </row>
    <row r="64501" spans="191:191" x14ac:dyDescent="0.2">
      <c r="GI64501" s="422"/>
    </row>
    <row r="64502" spans="191:191" x14ac:dyDescent="0.2">
      <c r="GI64502" s="422"/>
    </row>
    <row r="64503" spans="191:191" x14ac:dyDescent="0.2">
      <c r="GI64503" s="422"/>
    </row>
    <row r="64504" spans="191:191" x14ac:dyDescent="0.2">
      <c r="GI64504" s="422"/>
    </row>
    <row r="64505" spans="191:191" x14ac:dyDescent="0.2">
      <c r="GI64505" s="422"/>
    </row>
    <row r="64506" spans="191:191" x14ac:dyDescent="0.2">
      <c r="GI64506" s="422"/>
    </row>
    <row r="64507" spans="191:191" x14ac:dyDescent="0.2">
      <c r="GI64507" s="422"/>
    </row>
    <row r="64508" spans="191:191" x14ac:dyDescent="0.2">
      <c r="GI64508" s="422"/>
    </row>
    <row r="64509" spans="191:191" x14ac:dyDescent="0.2">
      <c r="GI64509" s="422"/>
    </row>
    <row r="64510" spans="191:191" x14ac:dyDescent="0.2">
      <c r="GI64510" s="422"/>
    </row>
    <row r="64511" spans="191:191" x14ac:dyDescent="0.2">
      <c r="GI64511" s="422"/>
    </row>
    <row r="64512" spans="191:191" x14ac:dyDescent="0.2">
      <c r="GI64512" s="422"/>
    </row>
    <row r="64513" spans="191:191" x14ac:dyDescent="0.2">
      <c r="GI64513" s="422"/>
    </row>
    <row r="64514" spans="191:191" x14ac:dyDescent="0.2">
      <c r="GI64514" s="422"/>
    </row>
    <row r="64515" spans="191:191" x14ac:dyDescent="0.2">
      <c r="GI64515" s="422"/>
    </row>
    <row r="64516" spans="191:191" x14ac:dyDescent="0.2">
      <c r="GI64516" s="422"/>
    </row>
    <row r="64517" spans="191:191" x14ac:dyDescent="0.2">
      <c r="GI64517" s="422"/>
    </row>
    <row r="64518" spans="191:191" x14ac:dyDescent="0.2">
      <c r="GI64518" s="422"/>
    </row>
    <row r="64519" spans="191:191" x14ac:dyDescent="0.2">
      <c r="GI64519" s="422"/>
    </row>
    <row r="64520" spans="191:191" x14ac:dyDescent="0.2">
      <c r="GI64520" s="422"/>
    </row>
    <row r="64521" spans="191:191" x14ac:dyDescent="0.2">
      <c r="GI64521" s="422"/>
    </row>
    <row r="64522" spans="191:191" x14ac:dyDescent="0.2">
      <c r="GI64522" s="422"/>
    </row>
    <row r="64523" spans="191:191" x14ac:dyDescent="0.2">
      <c r="GI64523" s="422"/>
    </row>
    <row r="64524" spans="191:191" x14ac:dyDescent="0.2">
      <c r="GI64524" s="422"/>
    </row>
    <row r="64525" spans="191:191" x14ac:dyDescent="0.2">
      <c r="GI64525" s="422"/>
    </row>
    <row r="64526" spans="191:191" x14ac:dyDescent="0.2">
      <c r="GI64526" s="422"/>
    </row>
    <row r="64527" spans="191:191" x14ac:dyDescent="0.2">
      <c r="GI64527" s="422"/>
    </row>
    <row r="64528" spans="191:191" x14ac:dyDescent="0.2">
      <c r="GI64528" s="422"/>
    </row>
    <row r="64529" spans="191:191" x14ac:dyDescent="0.2">
      <c r="GI64529" s="422"/>
    </row>
    <row r="64530" spans="191:191" x14ac:dyDescent="0.2">
      <c r="GI64530" s="422"/>
    </row>
    <row r="64531" spans="191:191" x14ac:dyDescent="0.2">
      <c r="GI64531" s="422"/>
    </row>
    <row r="64532" spans="191:191" x14ac:dyDescent="0.2">
      <c r="GI64532" s="422"/>
    </row>
    <row r="64533" spans="191:191" x14ac:dyDescent="0.2">
      <c r="GI64533" s="422"/>
    </row>
    <row r="64534" spans="191:191" x14ac:dyDescent="0.2">
      <c r="GI64534" s="422"/>
    </row>
    <row r="64535" spans="191:191" x14ac:dyDescent="0.2">
      <c r="GI64535" s="422"/>
    </row>
    <row r="64536" spans="191:191" x14ac:dyDescent="0.2">
      <c r="GI64536" s="422"/>
    </row>
    <row r="64537" spans="191:191" x14ac:dyDescent="0.2">
      <c r="GI64537" s="422"/>
    </row>
    <row r="64538" spans="191:191" x14ac:dyDescent="0.2">
      <c r="GI64538" s="422"/>
    </row>
    <row r="64539" spans="191:191" x14ac:dyDescent="0.2">
      <c r="GI64539" s="422"/>
    </row>
    <row r="64540" spans="191:191" x14ac:dyDescent="0.2">
      <c r="GI64540" s="422"/>
    </row>
    <row r="64541" spans="191:191" x14ac:dyDescent="0.2">
      <c r="GI64541" s="422"/>
    </row>
    <row r="64542" spans="191:191" x14ac:dyDescent="0.2">
      <c r="GI64542" s="422"/>
    </row>
    <row r="64543" spans="191:191" x14ac:dyDescent="0.2">
      <c r="GI64543" s="422"/>
    </row>
    <row r="64544" spans="191:191" x14ac:dyDescent="0.2">
      <c r="GI64544" s="422"/>
    </row>
    <row r="64545" spans="191:191" x14ac:dyDescent="0.2">
      <c r="GI64545" s="422"/>
    </row>
    <row r="64546" spans="191:191" x14ac:dyDescent="0.2">
      <c r="GI64546" s="422"/>
    </row>
    <row r="64547" spans="191:191" x14ac:dyDescent="0.2">
      <c r="GI64547" s="422"/>
    </row>
    <row r="64548" spans="191:191" x14ac:dyDescent="0.2">
      <c r="GI64548" s="422"/>
    </row>
    <row r="64549" spans="191:191" x14ac:dyDescent="0.2">
      <c r="GI64549" s="422"/>
    </row>
    <row r="64550" spans="191:191" x14ac:dyDescent="0.2">
      <c r="GI64550" s="422"/>
    </row>
    <row r="64551" spans="191:191" x14ac:dyDescent="0.2">
      <c r="GI64551" s="422"/>
    </row>
    <row r="64552" spans="191:191" x14ac:dyDescent="0.2">
      <c r="GI64552" s="422"/>
    </row>
    <row r="64553" spans="191:191" x14ac:dyDescent="0.2">
      <c r="GI64553" s="422"/>
    </row>
    <row r="64554" spans="191:191" x14ac:dyDescent="0.2">
      <c r="GI64554" s="422"/>
    </row>
    <row r="64555" spans="191:191" x14ac:dyDescent="0.2">
      <c r="GI64555" s="422"/>
    </row>
    <row r="64556" spans="191:191" x14ac:dyDescent="0.2">
      <c r="GI64556" s="422"/>
    </row>
    <row r="64557" spans="191:191" x14ac:dyDescent="0.2">
      <c r="GI64557" s="422"/>
    </row>
    <row r="64558" spans="191:191" x14ac:dyDescent="0.2">
      <c r="GI64558" s="422"/>
    </row>
    <row r="64559" spans="191:191" x14ac:dyDescent="0.2">
      <c r="GI64559" s="422"/>
    </row>
    <row r="64560" spans="191:191" x14ac:dyDescent="0.2">
      <c r="GI64560" s="422"/>
    </row>
    <row r="64561" spans="191:191" x14ac:dyDescent="0.2">
      <c r="GI64561" s="422"/>
    </row>
    <row r="64562" spans="191:191" x14ac:dyDescent="0.2">
      <c r="GI64562" s="422"/>
    </row>
    <row r="64563" spans="191:191" x14ac:dyDescent="0.2">
      <c r="GI64563" s="422"/>
    </row>
    <row r="64564" spans="191:191" x14ac:dyDescent="0.2">
      <c r="GI64564" s="422"/>
    </row>
    <row r="64565" spans="191:191" x14ac:dyDescent="0.2">
      <c r="GI64565" s="422"/>
    </row>
    <row r="64566" spans="191:191" x14ac:dyDescent="0.2">
      <c r="GI64566" s="422"/>
    </row>
    <row r="64567" spans="191:191" x14ac:dyDescent="0.2">
      <c r="GI64567" s="422"/>
    </row>
    <row r="64568" spans="191:191" x14ac:dyDescent="0.2">
      <c r="GI64568" s="422"/>
    </row>
    <row r="64569" spans="191:191" x14ac:dyDescent="0.2">
      <c r="GI64569" s="422"/>
    </row>
    <row r="64570" spans="191:191" x14ac:dyDescent="0.2">
      <c r="GI64570" s="422"/>
    </row>
    <row r="64571" spans="191:191" x14ac:dyDescent="0.2">
      <c r="GI64571" s="422"/>
    </row>
    <row r="64572" spans="191:191" x14ac:dyDescent="0.2">
      <c r="GI64572" s="422"/>
    </row>
    <row r="64573" spans="191:191" x14ac:dyDescent="0.2">
      <c r="GI64573" s="422"/>
    </row>
    <row r="64574" spans="191:191" x14ac:dyDescent="0.2">
      <c r="GI64574" s="422"/>
    </row>
    <row r="64575" spans="191:191" x14ac:dyDescent="0.2">
      <c r="GI64575" s="422"/>
    </row>
    <row r="64576" spans="191:191" x14ac:dyDescent="0.2">
      <c r="GI64576" s="422"/>
    </row>
    <row r="64577" spans="191:191" x14ac:dyDescent="0.2">
      <c r="GI64577" s="422"/>
    </row>
    <row r="64578" spans="191:191" x14ac:dyDescent="0.2">
      <c r="GI64578" s="422"/>
    </row>
    <row r="64579" spans="191:191" x14ac:dyDescent="0.2">
      <c r="GI64579" s="422"/>
    </row>
    <row r="64580" spans="191:191" x14ac:dyDescent="0.2">
      <c r="GI64580" s="422"/>
    </row>
    <row r="64581" spans="191:191" x14ac:dyDescent="0.2">
      <c r="GI64581" s="422"/>
    </row>
    <row r="64582" spans="191:191" x14ac:dyDescent="0.2">
      <c r="GI64582" s="422"/>
    </row>
    <row r="64583" spans="191:191" x14ac:dyDescent="0.2">
      <c r="GI64583" s="422"/>
    </row>
    <row r="64584" spans="191:191" x14ac:dyDescent="0.2">
      <c r="GI64584" s="422"/>
    </row>
    <row r="64585" spans="191:191" x14ac:dyDescent="0.2">
      <c r="GI64585" s="422"/>
    </row>
    <row r="64586" spans="191:191" x14ac:dyDescent="0.2">
      <c r="GI64586" s="422"/>
    </row>
    <row r="64587" spans="191:191" x14ac:dyDescent="0.2">
      <c r="GI64587" s="422"/>
    </row>
    <row r="64588" spans="191:191" x14ac:dyDescent="0.2">
      <c r="GI64588" s="422"/>
    </row>
    <row r="64589" spans="191:191" x14ac:dyDescent="0.2">
      <c r="GI64589" s="422"/>
    </row>
    <row r="64590" spans="191:191" x14ac:dyDescent="0.2">
      <c r="GI64590" s="422"/>
    </row>
    <row r="64591" spans="191:191" x14ac:dyDescent="0.2">
      <c r="GI64591" s="422"/>
    </row>
    <row r="64592" spans="191:191" x14ac:dyDescent="0.2">
      <c r="GI64592" s="422"/>
    </row>
    <row r="64593" spans="191:191" x14ac:dyDescent="0.2">
      <c r="GI64593" s="422"/>
    </row>
    <row r="64594" spans="191:191" x14ac:dyDescent="0.2">
      <c r="GI64594" s="422"/>
    </row>
    <row r="64595" spans="191:191" x14ac:dyDescent="0.2">
      <c r="GI64595" s="422"/>
    </row>
    <row r="64596" spans="191:191" x14ac:dyDescent="0.2">
      <c r="GI64596" s="422"/>
    </row>
    <row r="64597" spans="191:191" x14ac:dyDescent="0.2">
      <c r="GI64597" s="422"/>
    </row>
    <row r="64598" spans="191:191" x14ac:dyDescent="0.2">
      <c r="GI64598" s="422"/>
    </row>
    <row r="64599" spans="191:191" x14ac:dyDescent="0.2">
      <c r="GI64599" s="422"/>
    </row>
    <row r="64600" spans="191:191" x14ac:dyDescent="0.2">
      <c r="GI64600" s="422"/>
    </row>
    <row r="64601" spans="191:191" x14ac:dyDescent="0.2">
      <c r="GI64601" s="422"/>
    </row>
    <row r="64602" spans="191:191" x14ac:dyDescent="0.2">
      <c r="GI64602" s="422"/>
    </row>
    <row r="64603" spans="191:191" x14ac:dyDescent="0.2">
      <c r="GI64603" s="422"/>
    </row>
    <row r="64604" spans="191:191" x14ac:dyDescent="0.2">
      <c r="GI64604" s="422"/>
    </row>
    <row r="64605" spans="191:191" x14ac:dyDescent="0.2">
      <c r="GI64605" s="422"/>
    </row>
    <row r="64606" spans="191:191" x14ac:dyDescent="0.2">
      <c r="GI64606" s="422"/>
    </row>
    <row r="64607" spans="191:191" x14ac:dyDescent="0.2">
      <c r="GI64607" s="422"/>
    </row>
    <row r="64608" spans="191:191" x14ac:dyDescent="0.2">
      <c r="GI64608" s="422"/>
    </row>
    <row r="64609" spans="191:191" x14ac:dyDescent="0.2">
      <c r="GI64609" s="422"/>
    </row>
    <row r="64610" spans="191:191" x14ac:dyDescent="0.2">
      <c r="GI64610" s="422"/>
    </row>
    <row r="64611" spans="191:191" x14ac:dyDescent="0.2">
      <c r="GI64611" s="422"/>
    </row>
    <row r="64612" spans="191:191" x14ac:dyDescent="0.2">
      <c r="GI64612" s="422"/>
    </row>
    <row r="64613" spans="191:191" x14ac:dyDescent="0.2">
      <c r="GI64613" s="422"/>
    </row>
    <row r="64614" spans="191:191" x14ac:dyDescent="0.2">
      <c r="GI64614" s="422"/>
    </row>
    <row r="64615" spans="191:191" x14ac:dyDescent="0.2">
      <c r="GI64615" s="422"/>
    </row>
    <row r="64616" spans="191:191" x14ac:dyDescent="0.2">
      <c r="GI64616" s="422"/>
    </row>
    <row r="64617" spans="191:191" x14ac:dyDescent="0.2">
      <c r="GI64617" s="422"/>
    </row>
    <row r="64618" spans="191:191" x14ac:dyDescent="0.2">
      <c r="GI64618" s="422"/>
    </row>
    <row r="64619" spans="191:191" x14ac:dyDescent="0.2">
      <c r="GI64619" s="422"/>
    </row>
    <row r="64620" spans="191:191" x14ac:dyDescent="0.2">
      <c r="GI64620" s="422"/>
    </row>
    <row r="64621" spans="191:191" x14ac:dyDescent="0.2">
      <c r="GI64621" s="422"/>
    </row>
    <row r="64622" spans="191:191" x14ac:dyDescent="0.2">
      <c r="GI64622" s="422"/>
    </row>
    <row r="64623" spans="191:191" x14ac:dyDescent="0.2">
      <c r="GI64623" s="422"/>
    </row>
    <row r="64624" spans="191:191" x14ac:dyDescent="0.2">
      <c r="GI64624" s="422"/>
    </row>
    <row r="64625" spans="191:191" x14ac:dyDescent="0.2">
      <c r="GI64625" s="422"/>
    </row>
    <row r="64626" spans="191:191" x14ac:dyDescent="0.2">
      <c r="GI64626" s="422"/>
    </row>
    <row r="64627" spans="191:191" x14ac:dyDescent="0.2">
      <c r="GI64627" s="422"/>
    </row>
    <row r="64628" spans="191:191" x14ac:dyDescent="0.2">
      <c r="GI64628" s="422"/>
    </row>
    <row r="64629" spans="191:191" x14ac:dyDescent="0.2">
      <c r="GI64629" s="422"/>
    </row>
    <row r="64630" spans="191:191" x14ac:dyDescent="0.2">
      <c r="GI64630" s="422"/>
    </row>
    <row r="64631" spans="191:191" x14ac:dyDescent="0.2">
      <c r="GI64631" s="422"/>
    </row>
    <row r="64632" spans="191:191" x14ac:dyDescent="0.2">
      <c r="GI64632" s="422"/>
    </row>
    <row r="64633" spans="191:191" x14ac:dyDescent="0.2">
      <c r="GI64633" s="422"/>
    </row>
    <row r="64634" spans="191:191" x14ac:dyDescent="0.2">
      <c r="GI64634" s="422"/>
    </row>
    <row r="64635" spans="191:191" x14ac:dyDescent="0.2">
      <c r="GI64635" s="422"/>
    </row>
    <row r="64636" spans="191:191" x14ac:dyDescent="0.2">
      <c r="GI64636" s="422"/>
    </row>
    <row r="64637" spans="191:191" x14ac:dyDescent="0.2">
      <c r="GI64637" s="422"/>
    </row>
    <row r="64638" spans="191:191" x14ac:dyDescent="0.2">
      <c r="GI64638" s="422"/>
    </row>
    <row r="64639" spans="191:191" x14ac:dyDescent="0.2">
      <c r="GI64639" s="422"/>
    </row>
    <row r="64640" spans="191:191" x14ac:dyDescent="0.2">
      <c r="GI64640" s="422"/>
    </row>
    <row r="64641" spans="191:191" x14ac:dyDescent="0.2">
      <c r="GI64641" s="422"/>
    </row>
    <row r="64642" spans="191:191" x14ac:dyDescent="0.2">
      <c r="GI64642" s="422"/>
    </row>
    <row r="64643" spans="191:191" x14ac:dyDescent="0.2">
      <c r="GI64643" s="422"/>
    </row>
    <row r="64644" spans="191:191" x14ac:dyDescent="0.2">
      <c r="GI64644" s="422"/>
    </row>
    <row r="64645" spans="191:191" x14ac:dyDescent="0.2">
      <c r="GI64645" s="422"/>
    </row>
    <row r="64646" spans="191:191" x14ac:dyDescent="0.2">
      <c r="GI64646" s="422"/>
    </row>
    <row r="64647" spans="191:191" x14ac:dyDescent="0.2">
      <c r="GI64647" s="422"/>
    </row>
    <row r="64648" spans="191:191" x14ac:dyDescent="0.2">
      <c r="GI64648" s="422"/>
    </row>
    <row r="64649" spans="191:191" x14ac:dyDescent="0.2">
      <c r="GI64649" s="422"/>
    </row>
    <row r="64650" spans="191:191" x14ac:dyDescent="0.2">
      <c r="GI64650" s="422"/>
    </row>
    <row r="64651" spans="191:191" x14ac:dyDescent="0.2">
      <c r="GI64651" s="422"/>
    </row>
    <row r="64652" spans="191:191" x14ac:dyDescent="0.2">
      <c r="GI64652" s="422"/>
    </row>
    <row r="64653" spans="191:191" x14ac:dyDescent="0.2">
      <c r="GI64653" s="422"/>
    </row>
    <row r="64654" spans="191:191" x14ac:dyDescent="0.2">
      <c r="GI64654" s="422"/>
    </row>
    <row r="64655" spans="191:191" x14ac:dyDescent="0.2">
      <c r="GI64655" s="422"/>
    </row>
    <row r="64656" spans="191:191" x14ac:dyDescent="0.2">
      <c r="GI64656" s="422"/>
    </row>
    <row r="64657" spans="191:191" x14ac:dyDescent="0.2">
      <c r="GI64657" s="422"/>
    </row>
    <row r="64658" spans="191:191" x14ac:dyDescent="0.2">
      <c r="GI64658" s="422"/>
    </row>
    <row r="64659" spans="191:191" x14ac:dyDescent="0.2">
      <c r="GI64659" s="422"/>
    </row>
    <row r="64660" spans="191:191" x14ac:dyDescent="0.2">
      <c r="GI64660" s="422"/>
    </row>
    <row r="64661" spans="191:191" x14ac:dyDescent="0.2">
      <c r="GI64661" s="422"/>
    </row>
    <row r="64662" spans="191:191" x14ac:dyDescent="0.2">
      <c r="GI64662" s="422"/>
    </row>
    <row r="64663" spans="191:191" x14ac:dyDescent="0.2">
      <c r="GI64663" s="422"/>
    </row>
    <row r="64664" spans="191:191" x14ac:dyDescent="0.2">
      <c r="GI64664" s="422"/>
    </row>
    <row r="64665" spans="191:191" x14ac:dyDescent="0.2">
      <c r="GI64665" s="422"/>
    </row>
    <row r="64666" spans="191:191" x14ac:dyDescent="0.2">
      <c r="GI64666" s="422"/>
    </row>
    <row r="64667" spans="191:191" x14ac:dyDescent="0.2">
      <c r="GI64667" s="422"/>
    </row>
    <row r="64668" spans="191:191" x14ac:dyDescent="0.2">
      <c r="GI64668" s="422"/>
    </row>
    <row r="64669" spans="191:191" x14ac:dyDescent="0.2">
      <c r="GI64669" s="422"/>
    </row>
    <row r="64670" spans="191:191" x14ac:dyDescent="0.2">
      <c r="GI64670" s="422"/>
    </row>
    <row r="64671" spans="191:191" x14ac:dyDescent="0.2">
      <c r="GI64671" s="422"/>
    </row>
    <row r="64672" spans="191:191" x14ac:dyDescent="0.2">
      <c r="GI64672" s="422"/>
    </row>
    <row r="64673" spans="191:191" x14ac:dyDescent="0.2">
      <c r="GI64673" s="422"/>
    </row>
    <row r="64674" spans="191:191" x14ac:dyDescent="0.2">
      <c r="GI64674" s="422"/>
    </row>
    <row r="64675" spans="191:191" x14ac:dyDescent="0.2">
      <c r="GI64675" s="422"/>
    </row>
    <row r="64676" spans="191:191" x14ac:dyDescent="0.2">
      <c r="GI64676" s="422"/>
    </row>
    <row r="64677" spans="191:191" x14ac:dyDescent="0.2">
      <c r="GI64677" s="422"/>
    </row>
    <row r="64678" spans="191:191" x14ac:dyDescent="0.2">
      <c r="GI64678" s="422"/>
    </row>
    <row r="64679" spans="191:191" x14ac:dyDescent="0.2">
      <c r="GI64679" s="422"/>
    </row>
    <row r="64680" spans="191:191" x14ac:dyDescent="0.2">
      <c r="GI64680" s="422"/>
    </row>
    <row r="64681" spans="191:191" x14ac:dyDescent="0.2">
      <c r="GI64681" s="422"/>
    </row>
    <row r="64682" spans="191:191" x14ac:dyDescent="0.2">
      <c r="GI64682" s="422"/>
    </row>
    <row r="64683" spans="191:191" x14ac:dyDescent="0.2">
      <c r="GI64683" s="422"/>
    </row>
    <row r="64684" spans="191:191" x14ac:dyDescent="0.2">
      <c r="GI64684" s="422"/>
    </row>
    <row r="64685" spans="191:191" x14ac:dyDescent="0.2">
      <c r="GI64685" s="422"/>
    </row>
    <row r="64686" spans="191:191" x14ac:dyDescent="0.2">
      <c r="GI64686" s="422"/>
    </row>
    <row r="64687" spans="191:191" x14ac:dyDescent="0.2">
      <c r="GI64687" s="422"/>
    </row>
    <row r="64688" spans="191:191" x14ac:dyDescent="0.2">
      <c r="GI64688" s="422"/>
    </row>
    <row r="64689" spans="191:191" x14ac:dyDescent="0.2">
      <c r="GI64689" s="422"/>
    </row>
    <row r="64690" spans="191:191" x14ac:dyDescent="0.2">
      <c r="GI64690" s="422"/>
    </row>
    <row r="64691" spans="191:191" x14ac:dyDescent="0.2">
      <c r="GI64691" s="422"/>
    </row>
    <row r="64692" spans="191:191" x14ac:dyDescent="0.2">
      <c r="GI64692" s="422"/>
    </row>
    <row r="64693" spans="191:191" x14ac:dyDescent="0.2">
      <c r="GI64693" s="422"/>
    </row>
    <row r="64694" spans="191:191" x14ac:dyDescent="0.2">
      <c r="GI64694" s="422"/>
    </row>
    <row r="64695" spans="191:191" x14ac:dyDescent="0.2">
      <c r="GI64695" s="422"/>
    </row>
    <row r="64696" spans="191:191" x14ac:dyDescent="0.2">
      <c r="GI64696" s="422"/>
    </row>
    <row r="64697" spans="191:191" x14ac:dyDescent="0.2">
      <c r="GI64697" s="422"/>
    </row>
    <row r="64698" spans="191:191" x14ac:dyDescent="0.2">
      <c r="GI64698" s="422"/>
    </row>
    <row r="64699" spans="191:191" x14ac:dyDescent="0.2">
      <c r="GI64699" s="422"/>
    </row>
    <row r="64700" spans="191:191" x14ac:dyDescent="0.2">
      <c r="GI64700" s="422"/>
    </row>
    <row r="64701" spans="191:191" x14ac:dyDescent="0.2">
      <c r="GI64701" s="422"/>
    </row>
    <row r="64702" spans="191:191" x14ac:dyDescent="0.2">
      <c r="GI64702" s="422"/>
    </row>
    <row r="64703" spans="191:191" x14ac:dyDescent="0.2">
      <c r="GI64703" s="422"/>
    </row>
    <row r="64704" spans="191:191" x14ac:dyDescent="0.2">
      <c r="GI64704" s="422"/>
    </row>
    <row r="64705" spans="191:191" x14ac:dyDescent="0.2">
      <c r="GI64705" s="422"/>
    </row>
    <row r="64706" spans="191:191" x14ac:dyDescent="0.2">
      <c r="GI64706" s="422"/>
    </row>
    <row r="64707" spans="191:191" x14ac:dyDescent="0.2">
      <c r="GI64707" s="422"/>
    </row>
    <row r="64708" spans="191:191" x14ac:dyDescent="0.2">
      <c r="GI64708" s="422"/>
    </row>
    <row r="64709" spans="191:191" x14ac:dyDescent="0.2">
      <c r="GI64709" s="422"/>
    </row>
    <row r="64710" spans="191:191" x14ac:dyDescent="0.2">
      <c r="GI64710" s="422"/>
    </row>
    <row r="64711" spans="191:191" x14ac:dyDescent="0.2">
      <c r="GI64711" s="422"/>
    </row>
    <row r="64712" spans="191:191" x14ac:dyDescent="0.2">
      <c r="GI64712" s="422"/>
    </row>
    <row r="64713" spans="191:191" x14ac:dyDescent="0.2">
      <c r="GI64713" s="422"/>
    </row>
    <row r="64714" spans="191:191" x14ac:dyDescent="0.2">
      <c r="GI64714" s="422"/>
    </row>
    <row r="64715" spans="191:191" x14ac:dyDescent="0.2">
      <c r="GI64715" s="422"/>
    </row>
    <row r="64716" spans="191:191" x14ac:dyDescent="0.2">
      <c r="GI64716" s="422"/>
    </row>
    <row r="64717" spans="191:191" x14ac:dyDescent="0.2">
      <c r="GI64717" s="422"/>
    </row>
    <row r="64718" spans="191:191" x14ac:dyDescent="0.2">
      <c r="GI64718" s="422"/>
    </row>
    <row r="64719" spans="191:191" x14ac:dyDescent="0.2">
      <c r="GI64719" s="422"/>
    </row>
    <row r="64720" spans="191:191" x14ac:dyDescent="0.2">
      <c r="GI64720" s="422"/>
    </row>
    <row r="64721" spans="191:191" x14ac:dyDescent="0.2">
      <c r="GI64721" s="422"/>
    </row>
    <row r="64722" spans="191:191" x14ac:dyDescent="0.2">
      <c r="GI64722" s="422"/>
    </row>
    <row r="64723" spans="191:191" x14ac:dyDescent="0.2">
      <c r="GI64723" s="422"/>
    </row>
    <row r="64724" spans="191:191" x14ac:dyDescent="0.2">
      <c r="GI64724" s="422"/>
    </row>
    <row r="64725" spans="191:191" x14ac:dyDescent="0.2">
      <c r="GI64725" s="422"/>
    </row>
    <row r="64726" spans="191:191" x14ac:dyDescent="0.2">
      <c r="GI64726" s="422"/>
    </row>
    <row r="64727" spans="191:191" x14ac:dyDescent="0.2">
      <c r="GI64727" s="422"/>
    </row>
    <row r="64728" spans="191:191" x14ac:dyDescent="0.2">
      <c r="GI64728" s="422"/>
    </row>
    <row r="64729" spans="191:191" x14ac:dyDescent="0.2">
      <c r="GI64729" s="422"/>
    </row>
    <row r="64730" spans="191:191" x14ac:dyDescent="0.2">
      <c r="GI64730" s="422"/>
    </row>
    <row r="64731" spans="191:191" x14ac:dyDescent="0.2">
      <c r="GI64731" s="422"/>
    </row>
    <row r="64732" spans="191:191" x14ac:dyDescent="0.2">
      <c r="GI64732" s="422"/>
    </row>
    <row r="64733" spans="191:191" x14ac:dyDescent="0.2">
      <c r="GI64733" s="422"/>
    </row>
    <row r="64734" spans="191:191" x14ac:dyDescent="0.2">
      <c r="GI64734" s="422"/>
    </row>
    <row r="64735" spans="191:191" x14ac:dyDescent="0.2">
      <c r="GI64735" s="422"/>
    </row>
    <row r="64736" spans="191:191" x14ac:dyDescent="0.2">
      <c r="GI64736" s="422"/>
    </row>
    <row r="64737" spans="191:191" x14ac:dyDescent="0.2">
      <c r="GI64737" s="422"/>
    </row>
    <row r="64738" spans="191:191" x14ac:dyDescent="0.2">
      <c r="GI64738" s="422"/>
    </row>
    <row r="64739" spans="191:191" x14ac:dyDescent="0.2">
      <c r="GI64739" s="422"/>
    </row>
    <row r="64740" spans="191:191" x14ac:dyDescent="0.2">
      <c r="GI64740" s="422"/>
    </row>
    <row r="64741" spans="191:191" x14ac:dyDescent="0.2">
      <c r="GI64741" s="422"/>
    </row>
    <row r="64742" spans="191:191" x14ac:dyDescent="0.2">
      <c r="GI64742" s="422"/>
    </row>
    <row r="64743" spans="191:191" x14ac:dyDescent="0.2">
      <c r="GI64743" s="422"/>
    </row>
    <row r="64744" spans="191:191" x14ac:dyDescent="0.2">
      <c r="GI64744" s="422"/>
    </row>
    <row r="64745" spans="191:191" x14ac:dyDescent="0.2">
      <c r="GI64745" s="422"/>
    </row>
    <row r="64746" spans="191:191" x14ac:dyDescent="0.2">
      <c r="GI64746" s="422"/>
    </row>
    <row r="64747" spans="191:191" x14ac:dyDescent="0.2">
      <c r="GI64747" s="422"/>
    </row>
    <row r="64748" spans="191:191" x14ac:dyDescent="0.2">
      <c r="GI64748" s="422"/>
    </row>
    <row r="64749" spans="191:191" x14ac:dyDescent="0.2">
      <c r="GI64749" s="422"/>
    </row>
    <row r="64750" spans="191:191" x14ac:dyDescent="0.2">
      <c r="GI64750" s="422"/>
    </row>
    <row r="64751" spans="191:191" x14ac:dyDescent="0.2">
      <c r="GI64751" s="422"/>
    </row>
    <row r="64752" spans="191:191" x14ac:dyDescent="0.2">
      <c r="GI64752" s="422"/>
    </row>
    <row r="64753" spans="191:191" x14ac:dyDescent="0.2">
      <c r="GI64753" s="422"/>
    </row>
    <row r="64754" spans="191:191" x14ac:dyDescent="0.2">
      <c r="GI64754" s="422"/>
    </row>
    <row r="64755" spans="191:191" x14ac:dyDescent="0.2">
      <c r="GI64755" s="422"/>
    </row>
    <row r="64756" spans="191:191" x14ac:dyDescent="0.2">
      <c r="GI64756" s="422"/>
    </row>
    <row r="64757" spans="191:191" x14ac:dyDescent="0.2">
      <c r="GI64757" s="422"/>
    </row>
    <row r="64758" spans="191:191" x14ac:dyDescent="0.2">
      <c r="GI64758" s="422"/>
    </row>
    <row r="64759" spans="191:191" x14ac:dyDescent="0.2">
      <c r="GI64759" s="422"/>
    </row>
    <row r="64760" spans="191:191" x14ac:dyDescent="0.2">
      <c r="GI64760" s="422"/>
    </row>
    <row r="64761" spans="191:191" x14ac:dyDescent="0.2">
      <c r="GI64761" s="422"/>
    </row>
    <row r="64762" spans="191:191" x14ac:dyDescent="0.2">
      <c r="GI64762" s="422"/>
    </row>
    <row r="64763" spans="191:191" x14ac:dyDescent="0.2">
      <c r="GI64763" s="422"/>
    </row>
    <row r="64764" spans="191:191" x14ac:dyDescent="0.2">
      <c r="GI64764" s="422"/>
    </row>
    <row r="64765" spans="191:191" x14ac:dyDescent="0.2">
      <c r="GI64765" s="422"/>
    </row>
    <row r="64766" spans="191:191" x14ac:dyDescent="0.2">
      <c r="GI64766" s="422"/>
    </row>
    <row r="64767" spans="191:191" x14ac:dyDescent="0.2">
      <c r="GI64767" s="422"/>
    </row>
    <row r="64768" spans="191:191" x14ac:dyDescent="0.2">
      <c r="GI64768" s="422"/>
    </row>
    <row r="64769" spans="191:191" x14ac:dyDescent="0.2">
      <c r="GI64769" s="422"/>
    </row>
    <row r="64770" spans="191:191" x14ac:dyDescent="0.2">
      <c r="GI64770" s="422"/>
    </row>
    <row r="64771" spans="191:191" x14ac:dyDescent="0.2">
      <c r="GI64771" s="422"/>
    </row>
    <row r="64772" spans="191:191" x14ac:dyDescent="0.2">
      <c r="GI64772" s="422"/>
    </row>
    <row r="64773" spans="191:191" x14ac:dyDescent="0.2">
      <c r="GI64773" s="422"/>
    </row>
    <row r="64774" spans="191:191" x14ac:dyDescent="0.2">
      <c r="GI64774" s="422"/>
    </row>
    <row r="64775" spans="191:191" x14ac:dyDescent="0.2">
      <c r="GI64775" s="422"/>
    </row>
    <row r="64776" spans="191:191" x14ac:dyDescent="0.2">
      <c r="GI64776" s="422"/>
    </row>
    <row r="64777" spans="191:191" x14ac:dyDescent="0.2">
      <c r="GI64777" s="422"/>
    </row>
    <row r="64778" spans="191:191" x14ac:dyDescent="0.2">
      <c r="GI64778" s="422"/>
    </row>
    <row r="64779" spans="191:191" x14ac:dyDescent="0.2">
      <c r="GI64779" s="422"/>
    </row>
    <row r="64780" spans="191:191" x14ac:dyDescent="0.2">
      <c r="GI64780" s="422"/>
    </row>
    <row r="64781" spans="191:191" x14ac:dyDescent="0.2">
      <c r="GI64781" s="422"/>
    </row>
    <row r="64782" spans="191:191" x14ac:dyDescent="0.2">
      <c r="GI64782" s="422"/>
    </row>
    <row r="64783" spans="191:191" x14ac:dyDescent="0.2">
      <c r="GI64783" s="422"/>
    </row>
    <row r="64784" spans="191:191" x14ac:dyDescent="0.2">
      <c r="GI64784" s="422"/>
    </row>
    <row r="64785" spans="191:191" x14ac:dyDescent="0.2">
      <c r="GI64785" s="422"/>
    </row>
    <row r="64786" spans="191:191" x14ac:dyDescent="0.2">
      <c r="GI64786" s="422"/>
    </row>
    <row r="64787" spans="191:191" x14ac:dyDescent="0.2">
      <c r="GI64787" s="422"/>
    </row>
    <row r="64788" spans="191:191" x14ac:dyDescent="0.2">
      <c r="GI64788" s="422"/>
    </row>
    <row r="64789" spans="191:191" x14ac:dyDescent="0.2">
      <c r="GI64789" s="422"/>
    </row>
    <row r="64790" spans="191:191" x14ac:dyDescent="0.2">
      <c r="GI64790" s="422"/>
    </row>
    <row r="64791" spans="191:191" x14ac:dyDescent="0.2">
      <c r="GI64791" s="422"/>
    </row>
    <row r="64792" spans="191:191" x14ac:dyDescent="0.2">
      <c r="GI64792" s="422"/>
    </row>
    <row r="64793" spans="191:191" x14ac:dyDescent="0.2">
      <c r="GI64793" s="422"/>
    </row>
    <row r="64794" spans="191:191" x14ac:dyDescent="0.2">
      <c r="GI64794" s="422"/>
    </row>
    <row r="64795" spans="191:191" x14ac:dyDescent="0.2">
      <c r="GI64795" s="422"/>
    </row>
    <row r="64796" spans="191:191" x14ac:dyDescent="0.2">
      <c r="GI64796" s="422"/>
    </row>
    <row r="64797" spans="191:191" x14ac:dyDescent="0.2">
      <c r="GI64797" s="422"/>
    </row>
    <row r="64798" spans="191:191" x14ac:dyDescent="0.2">
      <c r="GI64798" s="422"/>
    </row>
    <row r="64799" spans="191:191" x14ac:dyDescent="0.2">
      <c r="GI64799" s="422"/>
    </row>
    <row r="64800" spans="191:191" x14ac:dyDescent="0.2">
      <c r="GI64800" s="422"/>
    </row>
    <row r="64801" spans="191:191" x14ac:dyDescent="0.2">
      <c r="GI64801" s="422"/>
    </row>
    <row r="64802" spans="191:191" x14ac:dyDescent="0.2">
      <c r="GI64802" s="422"/>
    </row>
    <row r="64803" spans="191:191" x14ac:dyDescent="0.2">
      <c r="GI64803" s="422"/>
    </row>
    <row r="64804" spans="191:191" x14ac:dyDescent="0.2">
      <c r="GI64804" s="422"/>
    </row>
    <row r="64805" spans="191:191" x14ac:dyDescent="0.2">
      <c r="GI64805" s="422"/>
    </row>
    <row r="64806" spans="191:191" x14ac:dyDescent="0.2">
      <c r="GI64806" s="422"/>
    </row>
    <row r="64807" spans="191:191" x14ac:dyDescent="0.2">
      <c r="GI64807" s="422"/>
    </row>
    <row r="64808" spans="191:191" x14ac:dyDescent="0.2">
      <c r="GI64808" s="422"/>
    </row>
    <row r="64809" spans="191:191" x14ac:dyDescent="0.2">
      <c r="GI64809" s="422"/>
    </row>
    <row r="64810" spans="191:191" x14ac:dyDescent="0.2">
      <c r="GI64810" s="422"/>
    </row>
    <row r="64811" spans="191:191" x14ac:dyDescent="0.2">
      <c r="GI64811" s="422"/>
    </row>
    <row r="64812" spans="191:191" x14ac:dyDescent="0.2">
      <c r="GI64812" s="422"/>
    </row>
    <row r="64813" spans="191:191" x14ac:dyDescent="0.2">
      <c r="GI64813" s="422"/>
    </row>
    <row r="64814" spans="191:191" x14ac:dyDescent="0.2">
      <c r="GI64814" s="422"/>
    </row>
    <row r="64815" spans="191:191" x14ac:dyDescent="0.2">
      <c r="GI64815" s="422"/>
    </row>
    <row r="64816" spans="191:191" x14ac:dyDescent="0.2">
      <c r="GI64816" s="422"/>
    </row>
    <row r="64817" spans="191:191" x14ac:dyDescent="0.2">
      <c r="GI64817" s="422"/>
    </row>
    <row r="64818" spans="191:191" x14ac:dyDescent="0.2">
      <c r="GI64818" s="422"/>
    </row>
    <row r="64819" spans="191:191" x14ac:dyDescent="0.2">
      <c r="GI64819" s="422"/>
    </row>
    <row r="64820" spans="191:191" x14ac:dyDescent="0.2">
      <c r="GI64820" s="422"/>
    </row>
    <row r="64821" spans="191:191" x14ac:dyDescent="0.2">
      <c r="GI64821" s="422"/>
    </row>
    <row r="64822" spans="191:191" x14ac:dyDescent="0.2">
      <c r="GI64822" s="422"/>
    </row>
    <row r="64823" spans="191:191" x14ac:dyDescent="0.2">
      <c r="GI64823" s="422"/>
    </row>
    <row r="64824" spans="191:191" x14ac:dyDescent="0.2">
      <c r="GI64824" s="422"/>
    </row>
    <row r="64825" spans="191:191" x14ac:dyDescent="0.2">
      <c r="GI64825" s="422"/>
    </row>
    <row r="64826" spans="191:191" x14ac:dyDescent="0.2">
      <c r="GI64826" s="422"/>
    </row>
    <row r="64827" spans="191:191" x14ac:dyDescent="0.2">
      <c r="GI64827" s="422"/>
    </row>
    <row r="64828" spans="191:191" x14ac:dyDescent="0.2">
      <c r="GI64828" s="422"/>
    </row>
    <row r="64829" spans="191:191" x14ac:dyDescent="0.2">
      <c r="GI64829" s="422"/>
    </row>
    <row r="64830" spans="191:191" x14ac:dyDescent="0.2">
      <c r="GI64830" s="422"/>
    </row>
    <row r="64831" spans="191:191" x14ac:dyDescent="0.2">
      <c r="GI64831" s="422"/>
    </row>
    <row r="64832" spans="191:191" x14ac:dyDescent="0.2">
      <c r="GI64832" s="422"/>
    </row>
    <row r="64833" spans="191:191" x14ac:dyDescent="0.2">
      <c r="GI64833" s="422"/>
    </row>
    <row r="64834" spans="191:191" x14ac:dyDescent="0.2">
      <c r="GI64834" s="422"/>
    </row>
    <row r="64835" spans="191:191" x14ac:dyDescent="0.2">
      <c r="GI64835" s="422"/>
    </row>
    <row r="64836" spans="191:191" x14ac:dyDescent="0.2">
      <c r="GI64836" s="422"/>
    </row>
    <row r="64837" spans="191:191" x14ac:dyDescent="0.2">
      <c r="GI64837" s="422"/>
    </row>
    <row r="64838" spans="191:191" x14ac:dyDescent="0.2">
      <c r="GI64838" s="422"/>
    </row>
    <row r="64839" spans="191:191" x14ac:dyDescent="0.2">
      <c r="GI64839" s="422"/>
    </row>
    <row r="64840" spans="191:191" x14ac:dyDescent="0.2">
      <c r="GI64840" s="422"/>
    </row>
    <row r="64841" spans="191:191" x14ac:dyDescent="0.2">
      <c r="GI64841" s="422"/>
    </row>
    <row r="64842" spans="191:191" x14ac:dyDescent="0.2">
      <c r="GI64842" s="422"/>
    </row>
    <row r="64843" spans="191:191" x14ac:dyDescent="0.2">
      <c r="GI64843" s="422"/>
    </row>
    <row r="64844" spans="191:191" x14ac:dyDescent="0.2">
      <c r="GI64844" s="422"/>
    </row>
    <row r="64845" spans="191:191" x14ac:dyDescent="0.2">
      <c r="GI64845" s="422"/>
    </row>
    <row r="64846" spans="191:191" x14ac:dyDescent="0.2">
      <c r="GI64846" s="422"/>
    </row>
    <row r="64847" spans="191:191" x14ac:dyDescent="0.2">
      <c r="GI64847" s="422"/>
    </row>
    <row r="64848" spans="191:191" x14ac:dyDescent="0.2">
      <c r="GI64848" s="422"/>
    </row>
    <row r="64849" spans="191:191" x14ac:dyDescent="0.2">
      <c r="GI64849" s="422"/>
    </row>
    <row r="64850" spans="191:191" x14ac:dyDescent="0.2">
      <c r="GI64850" s="422"/>
    </row>
    <row r="64851" spans="191:191" x14ac:dyDescent="0.2">
      <c r="GI64851" s="422"/>
    </row>
    <row r="64852" spans="191:191" x14ac:dyDescent="0.2">
      <c r="GI64852" s="422"/>
    </row>
    <row r="64853" spans="191:191" x14ac:dyDescent="0.2">
      <c r="GI64853" s="422"/>
    </row>
    <row r="64854" spans="191:191" x14ac:dyDescent="0.2">
      <c r="GI64854" s="422"/>
    </row>
    <row r="64855" spans="191:191" x14ac:dyDescent="0.2">
      <c r="GI64855" s="422"/>
    </row>
    <row r="64856" spans="191:191" x14ac:dyDescent="0.2">
      <c r="GI64856" s="422"/>
    </row>
    <row r="64857" spans="191:191" x14ac:dyDescent="0.2">
      <c r="GI64857" s="422"/>
    </row>
    <row r="64858" spans="191:191" x14ac:dyDescent="0.2">
      <c r="GI64858" s="422"/>
    </row>
    <row r="64859" spans="191:191" x14ac:dyDescent="0.2">
      <c r="GI64859" s="422"/>
    </row>
    <row r="64860" spans="191:191" x14ac:dyDescent="0.2">
      <c r="GI64860" s="422"/>
    </row>
    <row r="64861" spans="191:191" x14ac:dyDescent="0.2">
      <c r="GI64861" s="422"/>
    </row>
    <row r="64862" spans="191:191" x14ac:dyDescent="0.2">
      <c r="GI64862" s="422"/>
    </row>
    <row r="64863" spans="191:191" x14ac:dyDescent="0.2">
      <c r="GI64863" s="422"/>
    </row>
    <row r="64864" spans="191:191" x14ac:dyDescent="0.2">
      <c r="GI64864" s="422"/>
    </row>
    <row r="64865" spans="191:191" x14ac:dyDescent="0.2">
      <c r="GI64865" s="422"/>
    </row>
    <row r="64866" spans="191:191" x14ac:dyDescent="0.2">
      <c r="GI64866" s="422"/>
    </row>
    <row r="64867" spans="191:191" x14ac:dyDescent="0.2">
      <c r="GI64867" s="422"/>
    </row>
    <row r="64868" spans="191:191" x14ac:dyDescent="0.2">
      <c r="GI64868" s="422"/>
    </row>
    <row r="64869" spans="191:191" x14ac:dyDescent="0.2">
      <c r="GI64869" s="422"/>
    </row>
    <row r="64870" spans="191:191" x14ac:dyDescent="0.2">
      <c r="GI64870" s="422"/>
    </row>
    <row r="64871" spans="191:191" x14ac:dyDescent="0.2">
      <c r="GI64871" s="422"/>
    </row>
    <row r="64872" spans="191:191" x14ac:dyDescent="0.2">
      <c r="GI64872" s="422"/>
    </row>
    <row r="64873" spans="191:191" x14ac:dyDescent="0.2">
      <c r="GI64873" s="422"/>
    </row>
    <row r="64874" spans="191:191" x14ac:dyDescent="0.2">
      <c r="GI64874" s="422"/>
    </row>
    <row r="64875" spans="191:191" x14ac:dyDescent="0.2">
      <c r="GI64875" s="422"/>
    </row>
    <row r="64876" spans="191:191" x14ac:dyDescent="0.2">
      <c r="GI64876" s="422"/>
    </row>
    <row r="64877" spans="191:191" x14ac:dyDescent="0.2">
      <c r="GI64877" s="422"/>
    </row>
    <row r="64878" spans="191:191" x14ac:dyDescent="0.2">
      <c r="GI64878" s="422"/>
    </row>
    <row r="64879" spans="191:191" x14ac:dyDescent="0.2">
      <c r="GI64879" s="422"/>
    </row>
    <row r="64880" spans="191:191" x14ac:dyDescent="0.2">
      <c r="GI64880" s="422"/>
    </row>
    <row r="64881" spans="191:191" x14ac:dyDescent="0.2">
      <c r="GI64881" s="422"/>
    </row>
    <row r="64882" spans="191:191" x14ac:dyDescent="0.2">
      <c r="GI64882" s="422"/>
    </row>
    <row r="64883" spans="191:191" x14ac:dyDescent="0.2">
      <c r="GI64883" s="422"/>
    </row>
    <row r="64884" spans="191:191" x14ac:dyDescent="0.2">
      <c r="GI64884" s="422"/>
    </row>
    <row r="64885" spans="191:191" x14ac:dyDescent="0.2">
      <c r="GI64885" s="422"/>
    </row>
    <row r="64886" spans="191:191" x14ac:dyDescent="0.2">
      <c r="GI64886" s="422"/>
    </row>
    <row r="64887" spans="191:191" x14ac:dyDescent="0.2">
      <c r="GI64887" s="422"/>
    </row>
    <row r="64888" spans="191:191" x14ac:dyDescent="0.2">
      <c r="GI64888" s="422"/>
    </row>
    <row r="64889" spans="191:191" x14ac:dyDescent="0.2">
      <c r="GI64889" s="422"/>
    </row>
    <row r="64890" spans="191:191" x14ac:dyDescent="0.2">
      <c r="GI64890" s="422"/>
    </row>
    <row r="64891" spans="191:191" x14ac:dyDescent="0.2">
      <c r="GI64891" s="422"/>
    </row>
    <row r="64892" spans="191:191" x14ac:dyDescent="0.2">
      <c r="GI64892" s="422"/>
    </row>
    <row r="64893" spans="191:191" x14ac:dyDescent="0.2">
      <c r="GI64893" s="422"/>
    </row>
    <row r="64894" spans="191:191" x14ac:dyDescent="0.2">
      <c r="GI64894" s="422"/>
    </row>
    <row r="64895" spans="191:191" x14ac:dyDescent="0.2">
      <c r="GI64895" s="422"/>
    </row>
    <row r="64896" spans="191:191" x14ac:dyDescent="0.2">
      <c r="GI64896" s="422"/>
    </row>
    <row r="64897" spans="191:191" x14ac:dyDescent="0.2">
      <c r="GI64897" s="422"/>
    </row>
    <row r="64898" spans="191:191" x14ac:dyDescent="0.2">
      <c r="GI64898" s="422"/>
    </row>
    <row r="64899" spans="191:191" x14ac:dyDescent="0.2">
      <c r="GI64899" s="422"/>
    </row>
    <row r="64900" spans="191:191" x14ac:dyDescent="0.2">
      <c r="GI64900" s="422"/>
    </row>
    <row r="64901" spans="191:191" x14ac:dyDescent="0.2">
      <c r="GI64901" s="422"/>
    </row>
    <row r="64902" spans="191:191" x14ac:dyDescent="0.2">
      <c r="GI64902" s="422"/>
    </row>
    <row r="64903" spans="191:191" x14ac:dyDescent="0.2">
      <c r="GI64903" s="422"/>
    </row>
    <row r="64904" spans="191:191" x14ac:dyDescent="0.2">
      <c r="GI64904" s="422"/>
    </row>
    <row r="64905" spans="191:191" x14ac:dyDescent="0.2">
      <c r="GI64905" s="422"/>
    </row>
    <row r="64906" spans="191:191" x14ac:dyDescent="0.2">
      <c r="GI64906" s="422"/>
    </row>
    <row r="64907" spans="191:191" x14ac:dyDescent="0.2">
      <c r="GI64907" s="422"/>
    </row>
    <row r="64908" spans="191:191" x14ac:dyDescent="0.2">
      <c r="GI64908" s="422"/>
    </row>
    <row r="64909" spans="191:191" x14ac:dyDescent="0.2">
      <c r="GI64909" s="422"/>
    </row>
    <row r="64910" spans="191:191" x14ac:dyDescent="0.2">
      <c r="GI64910" s="422"/>
    </row>
    <row r="64911" spans="191:191" x14ac:dyDescent="0.2">
      <c r="GI64911" s="422"/>
    </row>
    <row r="64912" spans="191:191" x14ac:dyDescent="0.2">
      <c r="GI64912" s="422"/>
    </row>
    <row r="64913" spans="191:191" x14ac:dyDescent="0.2">
      <c r="GI64913" s="422"/>
    </row>
    <row r="64914" spans="191:191" x14ac:dyDescent="0.2">
      <c r="GI64914" s="422"/>
    </row>
    <row r="64915" spans="191:191" x14ac:dyDescent="0.2">
      <c r="GI64915" s="422"/>
    </row>
    <row r="64916" spans="191:191" x14ac:dyDescent="0.2">
      <c r="GI64916" s="422"/>
    </row>
    <row r="64917" spans="191:191" x14ac:dyDescent="0.2">
      <c r="GI64917" s="422"/>
    </row>
    <row r="64918" spans="191:191" x14ac:dyDescent="0.2">
      <c r="GI64918" s="422"/>
    </row>
    <row r="64919" spans="191:191" x14ac:dyDescent="0.2">
      <c r="GI64919" s="422"/>
    </row>
    <row r="64920" spans="191:191" x14ac:dyDescent="0.2">
      <c r="GI64920" s="422"/>
    </row>
    <row r="64921" spans="191:191" x14ac:dyDescent="0.2">
      <c r="GI64921" s="422"/>
    </row>
    <row r="64922" spans="191:191" x14ac:dyDescent="0.2">
      <c r="GI64922" s="422"/>
    </row>
    <row r="64923" spans="191:191" x14ac:dyDescent="0.2">
      <c r="GI64923" s="422"/>
    </row>
    <row r="64924" spans="191:191" x14ac:dyDescent="0.2">
      <c r="GI64924" s="422"/>
    </row>
    <row r="64925" spans="191:191" x14ac:dyDescent="0.2">
      <c r="GI64925" s="422"/>
    </row>
    <row r="64926" spans="191:191" x14ac:dyDescent="0.2">
      <c r="GI64926" s="422"/>
    </row>
    <row r="64927" spans="191:191" x14ac:dyDescent="0.2">
      <c r="GI64927" s="422"/>
    </row>
    <row r="64928" spans="191:191" x14ac:dyDescent="0.2">
      <c r="GI64928" s="422"/>
    </row>
    <row r="64929" spans="191:191" x14ac:dyDescent="0.2">
      <c r="GI64929" s="422"/>
    </row>
    <row r="64930" spans="191:191" x14ac:dyDescent="0.2">
      <c r="GI64930" s="422"/>
    </row>
    <row r="64931" spans="191:191" x14ac:dyDescent="0.2">
      <c r="GI64931" s="422"/>
    </row>
    <row r="64932" spans="191:191" x14ac:dyDescent="0.2">
      <c r="GI64932" s="422"/>
    </row>
    <row r="64933" spans="191:191" x14ac:dyDescent="0.2">
      <c r="GI64933" s="422"/>
    </row>
    <row r="64934" spans="191:191" x14ac:dyDescent="0.2">
      <c r="GI64934" s="422"/>
    </row>
    <row r="64935" spans="191:191" x14ac:dyDescent="0.2">
      <c r="GI64935" s="422"/>
    </row>
    <row r="64936" spans="191:191" x14ac:dyDescent="0.2">
      <c r="GI64936" s="422"/>
    </row>
    <row r="64937" spans="191:191" x14ac:dyDescent="0.2">
      <c r="GI64937" s="422"/>
    </row>
    <row r="64938" spans="191:191" x14ac:dyDescent="0.2">
      <c r="GI64938" s="422"/>
    </row>
    <row r="64939" spans="191:191" x14ac:dyDescent="0.2">
      <c r="GI64939" s="422"/>
    </row>
    <row r="64940" spans="191:191" x14ac:dyDescent="0.2">
      <c r="GI64940" s="422"/>
    </row>
    <row r="64941" spans="191:191" x14ac:dyDescent="0.2">
      <c r="GI64941" s="422"/>
    </row>
    <row r="64942" spans="191:191" x14ac:dyDescent="0.2">
      <c r="GI64942" s="422"/>
    </row>
    <row r="64943" spans="191:191" x14ac:dyDescent="0.2">
      <c r="GI64943" s="422"/>
    </row>
    <row r="64944" spans="191:191" x14ac:dyDescent="0.2">
      <c r="GI64944" s="422"/>
    </row>
    <row r="64945" spans="191:191" x14ac:dyDescent="0.2">
      <c r="GI64945" s="422"/>
    </row>
    <row r="64946" spans="191:191" x14ac:dyDescent="0.2">
      <c r="GI64946" s="422"/>
    </row>
    <row r="64947" spans="191:191" x14ac:dyDescent="0.2">
      <c r="GI64947" s="422"/>
    </row>
    <row r="64948" spans="191:191" x14ac:dyDescent="0.2">
      <c r="GI64948" s="422"/>
    </row>
    <row r="64949" spans="191:191" x14ac:dyDescent="0.2">
      <c r="GI64949" s="422"/>
    </row>
    <row r="64950" spans="191:191" x14ac:dyDescent="0.2">
      <c r="GI64950" s="422"/>
    </row>
    <row r="64951" spans="191:191" x14ac:dyDescent="0.2">
      <c r="GI64951" s="422"/>
    </row>
    <row r="64952" spans="191:191" x14ac:dyDescent="0.2">
      <c r="GI64952" s="422"/>
    </row>
    <row r="64953" spans="191:191" x14ac:dyDescent="0.2">
      <c r="GI64953" s="422"/>
    </row>
    <row r="64954" spans="191:191" x14ac:dyDescent="0.2">
      <c r="GI64954" s="422"/>
    </row>
    <row r="64955" spans="191:191" x14ac:dyDescent="0.2">
      <c r="GI64955" s="422"/>
    </row>
    <row r="64956" spans="191:191" x14ac:dyDescent="0.2">
      <c r="GI64956" s="422"/>
    </row>
    <row r="64957" spans="191:191" x14ac:dyDescent="0.2">
      <c r="GI64957" s="422"/>
    </row>
    <row r="64958" spans="191:191" x14ac:dyDescent="0.2">
      <c r="GI64958" s="422"/>
    </row>
    <row r="64959" spans="191:191" x14ac:dyDescent="0.2">
      <c r="GI64959" s="422"/>
    </row>
    <row r="64960" spans="191:191" x14ac:dyDescent="0.2">
      <c r="GI64960" s="422"/>
    </row>
    <row r="64961" spans="191:191" x14ac:dyDescent="0.2">
      <c r="GI64961" s="422"/>
    </row>
    <row r="64962" spans="191:191" x14ac:dyDescent="0.2">
      <c r="GI64962" s="422"/>
    </row>
    <row r="64963" spans="191:191" x14ac:dyDescent="0.2">
      <c r="GI64963" s="422"/>
    </row>
    <row r="64964" spans="191:191" x14ac:dyDescent="0.2">
      <c r="GI64964" s="422"/>
    </row>
    <row r="64965" spans="191:191" x14ac:dyDescent="0.2">
      <c r="GI64965" s="422"/>
    </row>
    <row r="64966" spans="191:191" x14ac:dyDescent="0.2">
      <c r="GI64966" s="422"/>
    </row>
    <row r="64967" spans="191:191" x14ac:dyDescent="0.2">
      <c r="GI64967" s="422"/>
    </row>
    <row r="64968" spans="191:191" x14ac:dyDescent="0.2">
      <c r="GI64968" s="422"/>
    </row>
    <row r="64969" spans="191:191" x14ac:dyDescent="0.2">
      <c r="GI64969" s="422"/>
    </row>
    <row r="64970" spans="191:191" x14ac:dyDescent="0.2">
      <c r="GI64970" s="422"/>
    </row>
    <row r="64971" spans="191:191" x14ac:dyDescent="0.2">
      <c r="GI64971" s="422"/>
    </row>
    <row r="64972" spans="191:191" x14ac:dyDescent="0.2">
      <c r="GI64972" s="422"/>
    </row>
    <row r="64973" spans="191:191" x14ac:dyDescent="0.2">
      <c r="GI64973" s="422"/>
    </row>
    <row r="64974" spans="191:191" x14ac:dyDescent="0.2">
      <c r="GI64974" s="422"/>
    </row>
    <row r="64975" spans="191:191" x14ac:dyDescent="0.2">
      <c r="GI64975" s="422"/>
    </row>
    <row r="64976" spans="191:191" x14ac:dyDescent="0.2">
      <c r="GI64976" s="422"/>
    </row>
    <row r="64977" spans="191:191" x14ac:dyDescent="0.2">
      <c r="GI64977" s="422"/>
    </row>
    <row r="64978" spans="191:191" x14ac:dyDescent="0.2">
      <c r="GI64978" s="422"/>
    </row>
    <row r="64979" spans="191:191" x14ac:dyDescent="0.2">
      <c r="GI64979" s="422"/>
    </row>
    <row r="64980" spans="191:191" x14ac:dyDescent="0.2">
      <c r="GI64980" s="422"/>
    </row>
    <row r="64981" spans="191:191" x14ac:dyDescent="0.2">
      <c r="GI64981" s="422"/>
    </row>
    <row r="64982" spans="191:191" x14ac:dyDescent="0.2">
      <c r="GI64982" s="422"/>
    </row>
    <row r="64983" spans="191:191" x14ac:dyDescent="0.2">
      <c r="GI64983" s="422"/>
    </row>
    <row r="64984" spans="191:191" x14ac:dyDescent="0.2">
      <c r="GI64984" s="422"/>
    </row>
    <row r="64985" spans="191:191" x14ac:dyDescent="0.2">
      <c r="GI64985" s="422"/>
    </row>
    <row r="64986" spans="191:191" x14ac:dyDescent="0.2">
      <c r="GI64986" s="422"/>
    </row>
    <row r="64987" spans="191:191" x14ac:dyDescent="0.2">
      <c r="GI64987" s="422"/>
    </row>
    <row r="64988" spans="191:191" x14ac:dyDescent="0.2">
      <c r="GI64988" s="422"/>
    </row>
    <row r="64989" spans="191:191" x14ac:dyDescent="0.2">
      <c r="GI64989" s="422"/>
    </row>
    <row r="64990" spans="191:191" x14ac:dyDescent="0.2">
      <c r="GI64990" s="422"/>
    </row>
    <row r="64991" spans="191:191" x14ac:dyDescent="0.2">
      <c r="GI64991" s="422"/>
    </row>
    <row r="64992" spans="191:191" x14ac:dyDescent="0.2">
      <c r="GI64992" s="422"/>
    </row>
    <row r="64993" spans="191:191" x14ac:dyDescent="0.2">
      <c r="GI64993" s="422"/>
    </row>
    <row r="64994" spans="191:191" x14ac:dyDescent="0.2">
      <c r="GI64994" s="422"/>
    </row>
    <row r="64995" spans="191:191" x14ac:dyDescent="0.2">
      <c r="GI64995" s="422"/>
    </row>
    <row r="64996" spans="191:191" x14ac:dyDescent="0.2">
      <c r="GI64996" s="422"/>
    </row>
    <row r="64997" spans="191:191" x14ac:dyDescent="0.2">
      <c r="GI64997" s="422"/>
    </row>
    <row r="64998" spans="191:191" x14ac:dyDescent="0.2">
      <c r="GI64998" s="422"/>
    </row>
    <row r="64999" spans="191:191" x14ac:dyDescent="0.2">
      <c r="GI64999" s="422"/>
    </row>
    <row r="65000" spans="191:191" x14ac:dyDescent="0.2">
      <c r="GI65000" s="422"/>
    </row>
    <row r="65001" spans="191:191" x14ac:dyDescent="0.2">
      <c r="GI65001" s="422"/>
    </row>
    <row r="65002" spans="191:191" x14ac:dyDescent="0.2">
      <c r="GI65002" s="422"/>
    </row>
    <row r="65003" spans="191:191" x14ac:dyDescent="0.2">
      <c r="GI65003" s="422"/>
    </row>
    <row r="65004" spans="191:191" x14ac:dyDescent="0.2">
      <c r="GI65004" s="422"/>
    </row>
    <row r="65005" spans="191:191" x14ac:dyDescent="0.2">
      <c r="GI65005" s="422"/>
    </row>
    <row r="65006" spans="191:191" x14ac:dyDescent="0.2">
      <c r="GI65006" s="422"/>
    </row>
    <row r="65007" spans="191:191" x14ac:dyDescent="0.2">
      <c r="GI65007" s="422"/>
    </row>
    <row r="65008" spans="191:191" x14ac:dyDescent="0.2">
      <c r="GI65008" s="422"/>
    </row>
    <row r="65009" spans="191:191" x14ac:dyDescent="0.2">
      <c r="GI65009" s="422"/>
    </row>
    <row r="65010" spans="191:191" x14ac:dyDescent="0.2">
      <c r="GI65010" s="422"/>
    </row>
    <row r="65011" spans="191:191" x14ac:dyDescent="0.2">
      <c r="GI65011" s="422"/>
    </row>
    <row r="65012" spans="191:191" x14ac:dyDescent="0.2">
      <c r="GI65012" s="422"/>
    </row>
    <row r="65013" spans="191:191" x14ac:dyDescent="0.2">
      <c r="GI65013" s="422"/>
    </row>
    <row r="65014" spans="191:191" x14ac:dyDescent="0.2">
      <c r="GI65014" s="422"/>
    </row>
    <row r="65015" spans="191:191" x14ac:dyDescent="0.2">
      <c r="GI65015" s="422"/>
    </row>
    <row r="65016" spans="191:191" x14ac:dyDescent="0.2">
      <c r="GI65016" s="422"/>
    </row>
    <row r="65017" spans="191:191" x14ac:dyDescent="0.2">
      <c r="GI65017" s="422"/>
    </row>
    <row r="65018" spans="191:191" x14ac:dyDescent="0.2">
      <c r="GI65018" s="422"/>
    </row>
    <row r="65019" spans="191:191" x14ac:dyDescent="0.2">
      <c r="GI65019" s="422"/>
    </row>
    <row r="65020" spans="191:191" x14ac:dyDescent="0.2">
      <c r="GI65020" s="422"/>
    </row>
    <row r="65021" spans="191:191" x14ac:dyDescent="0.2">
      <c r="GI65021" s="422"/>
    </row>
    <row r="65022" spans="191:191" x14ac:dyDescent="0.2">
      <c r="GI65022" s="422"/>
    </row>
    <row r="65023" spans="191:191" x14ac:dyDescent="0.2">
      <c r="GI65023" s="422"/>
    </row>
    <row r="65024" spans="191:191" x14ac:dyDescent="0.2">
      <c r="GI65024" s="422"/>
    </row>
    <row r="65025" spans="191:191" x14ac:dyDescent="0.2">
      <c r="GI65025" s="422"/>
    </row>
    <row r="65026" spans="191:191" x14ac:dyDescent="0.2">
      <c r="GI65026" s="422"/>
    </row>
    <row r="65027" spans="191:191" x14ac:dyDescent="0.2">
      <c r="GI65027" s="422"/>
    </row>
    <row r="65028" spans="191:191" x14ac:dyDescent="0.2">
      <c r="GI65028" s="422"/>
    </row>
    <row r="65029" spans="191:191" x14ac:dyDescent="0.2">
      <c r="GI65029" s="422"/>
    </row>
    <row r="65030" spans="191:191" x14ac:dyDescent="0.2">
      <c r="GI65030" s="422"/>
    </row>
    <row r="65031" spans="191:191" x14ac:dyDescent="0.2">
      <c r="GI65031" s="422"/>
    </row>
    <row r="65032" spans="191:191" x14ac:dyDescent="0.2">
      <c r="GI65032" s="422"/>
    </row>
    <row r="65033" spans="191:191" x14ac:dyDescent="0.2">
      <c r="GI65033" s="422"/>
    </row>
    <row r="65034" spans="191:191" x14ac:dyDescent="0.2">
      <c r="GI65034" s="422"/>
    </row>
    <row r="65035" spans="191:191" x14ac:dyDescent="0.2">
      <c r="GI65035" s="422"/>
    </row>
    <row r="65036" spans="191:191" x14ac:dyDescent="0.2">
      <c r="GI65036" s="422"/>
    </row>
    <row r="65037" spans="191:191" x14ac:dyDescent="0.2">
      <c r="GI65037" s="422"/>
    </row>
    <row r="65038" spans="191:191" x14ac:dyDescent="0.2">
      <c r="GI65038" s="422"/>
    </row>
    <row r="65039" spans="191:191" x14ac:dyDescent="0.2">
      <c r="GI65039" s="422"/>
    </row>
    <row r="65040" spans="191:191" x14ac:dyDescent="0.2">
      <c r="GI65040" s="422"/>
    </row>
    <row r="65041" spans="191:191" x14ac:dyDescent="0.2">
      <c r="GI65041" s="422"/>
    </row>
    <row r="65042" spans="191:191" x14ac:dyDescent="0.2">
      <c r="GI65042" s="422"/>
    </row>
    <row r="65043" spans="191:191" x14ac:dyDescent="0.2">
      <c r="GI65043" s="422"/>
    </row>
    <row r="65044" spans="191:191" x14ac:dyDescent="0.2">
      <c r="GI65044" s="422"/>
    </row>
    <row r="65045" spans="191:191" x14ac:dyDescent="0.2">
      <c r="GI65045" s="422"/>
    </row>
    <row r="65046" spans="191:191" x14ac:dyDescent="0.2">
      <c r="GI65046" s="422"/>
    </row>
    <row r="65047" spans="191:191" x14ac:dyDescent="0.2">
      <c r="GI65047" s="422"/>
    </row>
    <row r="65048" spans="191:191" x14ac:dyDescent="0.2">
      <c r="GI65048" s="422"/>
    </row>
    <row r="65049" spans="191:191" x14ac:dyDescent="0.2">
      <c r="GI65049" s="422"/>
    </row>
    <row r="65050" spans="191:191" x14ac:dyDescent="0.2">
      <c r="GI65050" s="422"/>
    </row>
    <row r="65051" spans="191:191" x14ac:dyDescent="0.2">
      <c r="GI65051" s="422"/>
    </row>
    <row r="65052" spans="191:191" x14ac:dyDescent="0.2">
      <c r="GI65052" s="422"/>
    </row>
    <row r="65053" spans="191:191" x14ac:dyDescent="0.2">
      <c r="GI65053" s="422"/>
    </row>
    <row r="65054" spans="191:191" x14ac:dyDescent="0.2">
      <c r="GI65054" s="422"/>
    </row>
    <row r="65055" spans="191:191" x14ac:dyDescent="0.2">
      <c r="GI65055" s="422"/>
    </row>
    <row r="65056" spans="191:191" x14ac:dyDescent="0.2">
      <c r="GI65056" s="422"/>
    </row>
    <row r="65057" spans="191:191" x14ac:dyDescent="0.2">
      <c r="GI65057" s="422"/>
    </row>
    <row r="65058" spans="191:191" x14ac:dyDescent="0.2">
      <c r="GI65058" s="422"/>
    </row>
    <row r="65059" spans="191:191" x14ac:dyDescent="0.2">
      <c r="GI65059" s="422"/>
    </row>
    <row r="65060" spans="191:191" x14ac:dyDescent="0.2">
      <c r="GI65060" s="422"/>
    </row>
    <row r="65061" spans="191:191" x14ac:dyDescent="0.2">
      <c r="GI65061" s="422"/>
    </row>
    <row r="65062" spans="191:191" x14ac:dyDescent="0.2">
      <c r="GI65062" s="422"/>
    </row>
    <row r="65063" spans="191:191" x14ac:dyDescent="0.2">
      <c r="GI65063" s="422"/>
    </row>
    <row r="65064" spans="191:191" x14ac:dyDescent="0.2">
      <c r="GI65064" s="422"/>
    </row>
    <row r="65065" spans="191:191" x14ac:dyDescent="0.2">
      <c r="GI65065" s="422"/>
    </row>
    <row r="65066" spans="191:191" x14ac:dyDescent="0.2">
      <c r="GI65066" s="422"/>
    </row>
    <row r="65067" spans="191:191" x14ac:dyDescent="0.2">
      <c r="GI65067" s="422"/>
    </row>
    <row r="65068" spans="191:191" x14ac:dyDescent="0.2">
      <c r="GI65068" s="422"/>
    </row>
    <row r="65069" spans="191:191" x14ac:dyDescent="0.2">
      <c r="GI65069" s="422"/>
    </row>
    <row r="65070" spans="191:191" x14ac:dyDescent="0.2">
      <c r="GI65070" s="422"/>
    </row>
    <row r="65071" spans="191:191" x14ac:dyDescent="0.2">
      <c r="GI65071" s="422"/>
    </row>
    <row r="65072" spans="191:191" x14ac:dyDescent="0.2">
      <c r="GI65072" s="422"/>
    </row>
    <row r="65073" spans="191:191" x14ac:dyDescent="0.2">
      <c r="GI65073" s="422"/>
    </row>
    <row r="65074" spans="191:191" x14ac:dyDescent="0.2">
      <c r="GI65074" s="422"/>
    </row>
    <row r="65075" spans="191:191" x14ac:dyDescent="0.2">
      <c r="GI65075" s="422"/>
    </row>
    <row r="65076" spans="191:191" x14ac:dyDescent="0.2">
      <c r="GI65076" s="422"/>
    </row>
    <row r="65077" spans="191:191" x14ac:dyDescent="0.2">
      <c r="GI65077" s="422"/>
    </row>
    <row r="65078" spans="191:191" x14ac:dyDescent="0.2">
      <c r="GI65078" s="422"/>
    </row>
    <row r="65079" spans="191:191" x14ac:dyDescent="0.2">
      <c r="GI65079" s="422"/>
    </row>
    <row r="65080" spans="191:191" x14ac:dyDescent="0.2">
      <c r="GI65080" s="422"/>
    </row>
    <row r="65081" spans="191:191" x14ac:dyDescent="0.2">
      <c r="GI65081" s="422"/>
    </row>
    <row r="65082" spans="191:191" x14ac:dyDescent="0.2">
      <c r="GI65082" s="422"/>
    </row>
    <row r="65083" spans="191:191" x14ac:dyDescent="0.2">
      <c r="GI65083" s="422"/>
    </row>
    <row r="65084" spans="191:191" x14ac:dyDescent="0.2">
      <c r="GI65084" s="422"/>
    </row>
    <row r="65085" spans="191:191" x14ac:dyDescent="0.2">
      <c r="GI65085" s="422"/>
    </row>
    <row r="65086" spans="191:191" x14ac:dyDescent="0.2">
      <c r="GI65086" s="422"/>
    </row>
    <row r="65087" spans="191:191" x14ac:dyDescent="0.2">
      <c r="GI65087" s="422"/>
    </row>
    <row r="65088" spans="191:191" x14ac:dyDescent="0.2">
      <c r="GI65088" s="422"/>
    </row>
    <row r="65089" spans="191:191" x14ac:dyDescent="0.2">
      <c r="GI65089" s="422"/>
    </row>
    <row r="65090" spans="191:191" x14ac:dyDescent="0.2">
      <c r="GI65090" s="422"/>
    </row>
    <row r="65091" spans="191:191" x14ac:dyDescent="0.2">
      <c r="GI65091" s="422"/>
    </row>
    <row r="65092" spans="191:191" x14ac:dyDescent="0.2">
      <c r="GI65092" s="422"/>
    </row>
    <row r="65093" spans="191:191" x14ac:dyDescent="0.2">
      <c r="GI65093" s="422"/>
    </row>
    <row r="65094" spans="191:191" x14ac:dyDescent="0.2">
      <c r="GI65094" s="422"/>
    </row>
    <row r="65095" spans="191:191" x14ac:dyDescent="0.2">
      <c r="GI65095" s="422"/>
    </row>
    <row r="65096" spans="191:191" x14ac:dyDescent="0.2">
      <c r="GI65096" s="422"/>
    </row>
    <row r="65097" spans="191:191" x14ac:dyDescent="0.2">
      <c r="GI65097" s="422"/>
    </row>
    <row r="65098" spans="191:191" x14ac:dyDescent="0.2">
      <c r="GI65098" s="422"/>
    </row>
    <row r="65099" spans="191:191" x14ac:dyDescent="0.2">
      <c r="GI65099" s="422"/>
    </row>
    <row r="65100" spans="191:191" x14ac:dyDescent="0.2">
      <c r="GI65100" s="422"/>
    </row>
    <row r="65101" spans="191:191" x14ac:dyDescent="0.2">
      <c r="GI65101" s="422"/>
    </row>
    <row r="65102" spans="191:191" x14ac:dyDescent="0.2">
      <c r="GI65102" s="422"/>
    </row>
    <row r="65103" spans="191:191" x14ac:dyDescent="0.2">
      <c r="GI65103" s="422"/>
    </row>
    <row r="65104" spans="191:191" x14ac:dyDescent="0.2">
      <c r="GI65104" s="422"/>
    </row>
    <row r="65105" spans="191:191" x14ac:dyDescent="0.2">
      <c r="GI65105" s="422"/>
    </row>
    <row r="65106" spans="191:191" x14ac:dyDescent="0.2">
      <c r="GI65106" s="422"/>
    </row>
    <row r="65107" spans="191:191" x14ac:dyDescent="0.2">
      <c r="GI65107" s="422"/>
    </row>
    <row r="65108" spans="191:191" x14ac:dyDescent="0.2">
      <c r="GI65108" s="422"/>
    </row>
    <row r="65109" spans="191:191" x14ac:dyDescent="0.2">
      <c r="GI65109" s="422"/>
    </row>
    <row r="65110" spans="191:191" x14ac:dyDescent="0.2">
      <c r="GI65110" s="422"/>
    </row>
    <row r="65111" spans="191:191" x14ac:dyDescent="0.2">
      <c r="GI65111" s="422"/>
    </row>
    <row r="65112" spans="191:191" x14ac:dyDescent="0.2">
      <c r="GI65112" s="422"/>
    </row>
    <row r="65113" spans="191:191" x14ac:dyDescent="0.2">
      <c r="GI65113" s="422"/>
    </row>
    <row r="65114" spans="191:191" x14ac:dyDescent="0.2">
      <c r="GI65114" s="422"/>
    </row>
    <row r="65115" spans="191:191" x14ac:dyDescent="0.2">
      <c r="GI65115" s="422"/>
    </row>
    <row r="65116" spans="191:191" x14ac:dyDescent="0.2">
      <c r="GI65116" s="422"/>
    </row>
    <row r="65117" spans="191:191" x14ac:dyDescent="0.2">
      <c r="GI65117" s="422"/>
    </row>
    <row r="65118" spans="191:191" x14ac:dyDescent="0.2">
      <c r="GI65118" s="422"/>
    </row>
    <row r="65119" spans="191:191" x14ac:dyDescent="0.2">
      <c r="GI65119" s="422"/>
    </row>
    <row r="65120" spans="191:191" x14ac:dyDescent="0.2">
      <c r="GI65120" s="422"/>
    </row>
    <row r="65121" spans="191:191" x14ac:dyDescent="0.2">
      <c r="GI65121" s="422"/>
    </row>
    <row r="65122" spans="191:191" x14ac:dyDescent="0.2">
      <c r="GI65122" s="422"/>
    </row>
    <row r="65123" spans="191:191" x14ac:dyDescent="0.2">
      <c r="GI65123" s="422"/>
    </row>
    <row r="65124" spans="191:191" x14ac:dyDescent="0.2">
      <c r="GI65124" s="422"/>
    </row>
    <row r="65125" spans="191:191" x14ac:dyDescent="0.2">
      <c r="GI65125" s="422"/>
    </row>
    <row r="65126" spans="191:191" x14ac:dyDescent="0.2">
      <c r="GI65126" s="422"/>
    </row>
    <row r="65127" spans="191:191" x14ac:dyDescent="0.2">
      <c r="GI65127" s="422"/>
    </row>
    <row r="65128" spans="191:191" x14ac:dyDescent="0.2">
      <c r="GI65128" s="422"/>
    </row>
    <row r="65129" spans="191:191" x14ac:dyDescent="0.2">
      <c r="GI65129" s="422"/>
    </row>
    <row r="65130" spans="191:191" x14ac:dyDescent="0.2">
      <c r="GI65130" s="422"/>
    </row>
    <row r="65131" spans="191:191" x14ac:dyDescent="0.2">
      <c r="GI65131" s="422"/>
    </row>
    <row r="65132" spans="191:191" x14ac:dyDescent="0.2">
      <c r="GI65132" s="422"/>
    </row>
    <row r="65133" spans="191:191" x14ac:dyDescent="0.2">
      <c r="GI65133" s="422"/>
    </row>
    <row r="65134" spans="191:191" x14ac:dyDescent="0.2">
      <c r="GI65134" s="422"/>
    </row>
    <row r="65135" spans="191:191" x14ac:dyDescent="0.2">
      <c r="GI65135" s="422"/>
    </row>
    <row r="65136" spans="191:191" x14ac:dyDescent="0.2">
      <c r="GI65136" s="422"/>
    </row>
    <row r="65137" spans="191:191" x14ac:dyDescent="0.2">
      <c r="GI65137" s="422"/>
    </row>
    <row r="65138" spans="191:191" x14ac:dyDescent="0.2">
      <c r="GI65138" s="422"/>
    </row>
    <row r="65139" spans="191:191" x14ac:dyDescent="0.2">
      <c r="GI65139" s="422"/>
    </row>
    <row r="65140" spans="191:191" x14ac:dyDescent="0.2">
      <c r="GI65140" s="422"/>
    </row>
    <row r="65141" spans="191:191" x14ac:dyDescent="0.2">
      <c r="GI65141" s="422"/>
    </row>
    <row r="65142" spans="191:191" x14ac:dyDescent="0.2">
      <c r="GI65142" s="422"/>
    </row>
    <row r="65143" spans="191:191" x14ac:dyDescent="0.2">
      <c r="GI65143" s="422"/>
    </row>
    <row r="65144" spans="191:191" x14ac:dyDescent="0.2">
      <c r="GI65144" s="422"/>
    </row>
    <row r="65145" spans="191:191" x14ac:dyDescent="0.2">
      <c r="GI65145" s="422"/>
    </row>
    <row r="65146" spans="191:191" x14ac:dyDescent="0.2">
      <c r="GI65146" s="422"/>
    </row>
    <row r="65147" spans="191:191" x14ac:dyDescent="0.2">
      <c r="GI65147" s="422"/>
    </row>
    <row r="65148" spans="191:191" x14ac:dyDescent="0.2">
      <c r="GI65148" s="422"/>
    </row>
    <row r="65149" spans="191:191" x14ac:dyDescent="0.2">
      <c r="GI65149" s="422"/>
    </row>
    <row r="65150" spans="191:191" x14ac:dyDescent="0.2">
      <c r="GI65150" s="422"/>
    </row>
    <row r="65151" spans="191:191" x14ac:dyDescent="0.2">
      <c r="GI65151" s="422"/>
    </row>
    <row r="65152" spans="191:191" x14ac:dyDescent="0.2">
      <c r="GI65152" s="422"/>
    </row>
    <row r="65153" spans="191:191" x14ac:dyDescent="0.2">
      <c r="GI65153" s="422"/>
    </row>
    <row r="65154" spans="191:191" x14ac:dyDescent="0.2">
      <c r="GI65154" s="422"/>
    </row>
    <row r="65155" spans="191:191" x14ac:dyDescent="0.2">
      <c r="GI65155" s="422"/>
    </row>
    <row r="65156" spans="191:191" x14ac:dyDescent="0.2">
      <c r="GI65156" s="422"/>
    </row>
    <row r="65157" spans="191:191" x14ac:dyDescent="0.2">
      <c r="GI65157" s="422"/>
    </row>
    <row r="65158" spans="191:191" x14ac:dyDescent="0.2">
      <c r="GI65158" s="422"/>
    </row>
    <row r="65159" spans="191:191" x14ac:dyDescent="0.2">
      <c r="GI65159" s="422"/>
    </row>
    <row r="65160" spans="191:191" x14ac:dyDescent="0.2">
      <c r="GI65160" s="422"/>
    </row>
    <row r="65161" spans="191:191" x14ac:dyDescent="0.2">
      <c r="GI65161" s="422"/>
    </row>
    <row r="65162" spans="191:191" x14ac:dyDescent="0.2">
      <c r="GI65162" s="422"/>
    </row>
    <row r="65163" spans="191:191" x14ac:dyDescent="0.2">
      <c r="GI65163" s="422"/>
    </row>
    <row r="65164" spans="191:191" x14ac:dyDescent="0.2">
      <c r="GI65164" s="422"/>
    </row>
    <row r="65165" spans="191:191" x14ac:dyDescent="0.2">
      <c r="GI65165" s="422"/>
    </row>
    <row r="65166" spans="191:191" x14ac:dyDescent="0.2">
      <c r="GI65166" s="422"/>
    </row>
    <row r="65167" spans="191:191" x14ac:dyDescent="0.2">
      <c r="GI65167" s="422"/>
    </row>
    <row r="65168" spans="191:191" x14ac:dyDescent="0.2">
      <c r="GI65168" s="422"/>
    </row>
    <row r="65169" spans="191:191" x14ac:dyDescent="0.2">
      <c r="GI65169" s="422"/>
    </row>
    <row r="65170" spans="191:191" x14ac:dyDescent="0.2">
      <c r="GI65170" s="422"/>
    </row>
    <row r="65171" spans="191:191" x14ac:dyDescent="0.2">
      <c r="GI65171" s="422"/>
    </row>
    <row r="65172" spans="191:191" x14ac:dyDescent="0.2">
      <c r="GI65172" s="422"/>
    </row>
    <row r="65173" spans="191:191" x14ac:dyDescent="0.2">
      <c r="GI65173" s="422"/>
    </row>
    <row r="65174" spans="191:191" x14ac:dyDescent="0.2">
      <c r="GI65174" s="422"/>
    </row>
    <row r="65175" spans="191:191" x14ac:dyDescent="0.2">
      <c r="GI65175" s="422"/>
    </row>
    <row r="65176" spans="191:191" x14ac:dyDescent="0.2">
      <c r="GI65176" s="422"/>
    </row>
    <row r="65177" spans="191:191" x14ac:dyDescent="0.2">
      <c r="GI65177" s="422"/>
    </row>
    <row r="65178" spans="191:191" x14ac:dyDescent="0.2">
      <c r="GI65178" s="422"/>
    </row>
    <row r="65179" spans="191:191" x14ac:dyDescent="0.2">
      <c r="GI65179" s="422"/>
    </row>
    <row r="65180" spans="191:191" x14ac:dyDescent="0.2">
      <c r="GI65180" s="422"/>
    </row>
    <row r="65181" spans="191:191" x14ac:dyDescent="0.2">
      <c r="GI65181" s="422"/>
    </row>
    <row r="65182" spans="191:191" x14ac:dyDescent="0.2">
      <c r="GI65182" s="422"/>
    </row>
    <row r="65183" spans="191:191" x14ac:dyDescent="0.2">
      <c r="GI65183" s="422"/>
    </row>
    <row r="65184" spans="191:191" x14ac:dyDescent="0.2">
      <c r="GI65184" s="422"/>
    </row>
    <row r="65185" spans="191:191" x14ac:dyDescent="0.2">
      <c r="GI65185" s="422"/>
    </row>
    <row r="65186" spans="191:191" x14ac:dyDescent="0.2">
      <c r="GI65186" s="422"/>
    </row>
    <row r="65187" spans="191:191" x14ac:dyDescent="0.2">
      <c r="GI65187" s="422"/>
    </row>
    <row r="65188" spans="191:191" x14ac:dyDescent="0.2">
      <c r="GI65188" s="422"/>
    </row>
    <row r="65189" spans="191:191" x14ac:dyDescent="0.2">
      <c r="GI65189" s="422"/>
    </row>
    <row r="65190" spans="191:191" x14ac:dyDescent="0.2">
      <c r="GI65190" s="422"/>
    </row>
    <row r="65191" spans="191:191" x14ac:dyDescent="0.2">
      <c r="GI65191" s="422"/>
    </row>
    <row r="65192" spans="191:191" x14ac:dyDescent="0.2">
      <c r="GI65192" s="422"/>
    </row>
    <row r="65193" spans="191:191" x14ac:dyDescent="0.2">
      <c r="GI65193" s="422"/>
    </row>
    <row r="65194" spans="191:191" x14ac:dyDescent="0.2">
      <c r="GI65194" s="422"/>
    </row>
    <row r="65195" spans="191:191" x14ac:dyDescent="0.2">
      <c r="GI65195" s="422"/>
    </row>
    <row r="65196" spans="191:191" x14ac:dyDescent="0.2">
      <c r="GI65196" s="422"/>
    </row>
    <row r="65197" spans="191:191" x14ac:dyDescent="0.2">
      <c r="GI65197" s="422"/>
    </row>
    <row r="65198" spans="191:191" x14ac:dyDescent="0.2">
      <c r="GI65198" s="422"/>
    </row>
    <row r="65199" spans="191:191" x14ac:dyDescent="0.2">
      <c r="GI65199" s="422"/>
    </row>
    <row r="65200" spans="191:191" x14ac:dyDescent="0.2">
      <c r="GI65200" s="422"/>
    </row>
    <row r="65201" spans="191:191" x14ac:dyDescent="0.2">
      <c r="GI65201" s="422"/>
    </row>
    <row r="65202" spans="191:191" x14ac:dyDescent="0.2">
      <c r="GI65202" s="422"/>
    </row>
    <row r="65203" spans="191:191" x14ac:dyDescent="0.2">
      <c r="GI65203" s="422"/>
    </row>
    <row r="65204" spans="191:191" x14ac:dyDescent="0.2">
      <c r="GI65204" s="422"/>
    </row>
    <row r="65205" spans="191:191" x14ac:dyDescent="0.2">
      <c r="GI65205" s="422"/>
    </row>
    <row r="65206" spans="191:191" x14ac:dyDescent="0.2">
      <c r="GI65206" s="422"/>
    </row>
    <row r="65207" spans="191:191" x14ac:dyDescent="0.2">
      <c r="GI65207" s="422"/>
    </row>
    <row r="65208" spans="191:191" x14ac:dyDescent="0.2">
      <c r="GI65208" s="422"/>
    </row>
    <row r="65209" spans="191:191" x14ac:dyDescent="0.2">
      <c r="GI65209" s="422"/>
    </row>
    <row r="65210" spans="191:191" x14ac:dyDescent="0.2">
      <c r="GI65210" s="422"/>
    </row>
    <row r="65211" spans="191:191" x14ac:dyDescent="0.2">
      <c r="GI65211" s="422"/>
    </row>
    <row r="65212" spans="191:191" x14ac:dyDescent="0.2">
      <c r="GI65212" s="422"/>
    </row>
    <row r="65213" spans="191:191" x14ac:dyDescent="0.2">
      <c r="GI65213" s="422"/>
    </row>
    <row r="65214" spans="191:191" x14ac:dyDescent="0.2">
      <c r="GI65214" s="422"/>
    </row>
    <row r="65215" spans="191:191" x14ac:dyDescent="0.2">
      <c r="GI65215" s="422"/>
    </row>
    <row r="65216" spans="191:191" x14ac:dyDescent="0.2">
      <c r="GI65216" s="422"/>
    </row>
    <row r="65217" spans="191:191" x14ac:dyDescent="0.2">
      <c r="GI65217" s="422"/>
    </row>
    <row r="65218" spans="191:191" x14ac:dyDescent="0.2">
      <c r="GI65218" s="422"/>
    </row>
    <row r="65219" spans="191:191" x14ac:dyDescent="0.2">
      <c r="GI65219" s="422"/>
    </row>
    <row r="65220" spans="191:191" x14ac:dyDescent="0.2">
      <c r="GI65220" s="422"/>
    </row>
    <row r="65221" spans="191:191" x14ac:dyDescent="0.2">
      <c r="GI65221" s="422"/>
    </row>
    <row r="65222" spans="191:191" x14ac:dyDescent="0.2">
      <c r="GI65222" s="422"/>
    </row>
    <row r="65223" spans="191:191" x14ac:dyDescent="0.2">
      <c r="GI65223" s="422"/>
    </row>
    <row r="65224" spans="191:191" x14ac:dyDescent="0.2">
      <c r="GI65224" s="422"/>
    </row>
    <row r="65225" spans="191:191" x14ac:dyDescent="0.2">
      <c r="GI65225" s="422"/>
    </row>
    <row r="65226" spans="191:191" x14ac:dyDescent="0.2">
      <c r="GI65226" s="422"/>
    </row>
    <row r="65227" spans="191:191" x14ac:dyDescent="0.2">
      <c r="GI65227" s="422"/>
    </row>
    <row r="65228" spans="191:191" x14ac:dyDescent="0.2">
      <c r="GI65228" s="422"/>
    </row>
    <row r="65229" spans="191:191" x14ac:dyDescent="0.2">
      <c r="GI65229" s="422"/>
    </row>
    <row r="65230" spans="191:191" x14ac:dyDescent="0.2">
      <c r="GI65230" s="422"/>
    </row>
    <row r="65231" spans="191:191" x14ac:dyDescent="0.2">
      <c r="GI65231" s="422"/>
    </row>
    <row r="65232" spans="191:191" x14ac:dyDescent="0.2">
      <c r="GI65232" s="422"/>
    </row>
    <row r="65233" spans="191:191" x14ac:dyDescent="0.2">
      <c r="GI65233" s="422"/>
    </row>
    <row r="65234" spans="191:191" x14ac:dyDescent="0.2">
      <c r="GI65234" s="422"/>
    </row>
    <row r="65235" spans="191:191" x14ac:dyDescent="0.2">
      <c r="GI65235" s="422"/>
    </row>
    <row r="65236" spans="191:191" x14ac:dyDescent="0.2">
      <c r="GI65236" s="422"/>
    </row>
    <row r="65237" spans="191:191" x14ac:dyDescent="0.2">
      <c r="GI65237" s="422"/>
    </row>
    <row r="65238" spans="191:191" x14ac:dyDescent="0.2">
      <c r="GI65238" s="422"/>
    </row>
    <row r="65239" spans="191:191" x14ac:dyDescent="0.2">
      <c r="GI65239" s="422"/>
    </row>
    <row r="65240" spans="191:191" x14ac:dyDescent="0.2">
      <c r="GI65240" s="422"/>
    </row>
    <row r="65241" spans="191:191" x14ac:dyDescent="0.2">
      <c r="GI65241" s="422"/>
    </row>
    <row r="65242" spans="191:191" x14ac:dyDescent="0.2">
      <c r="GI65242" s="422"/>
    </row>
    <row r="65243" spans="191:191" x14ac:dyDescent="0.2">
      <c r="GI65243" s="422"/>
    </row>
    <row r="65244" spans="191:191" x14ac:dyDescent="0.2">
      <c r="GI65244" s="422"/>
    </row>
    <row r="65245" spans="191:191" x14ac:dyDescent="0.2">
      <c r="GI65245" s="422"/>
    </row>
    <row r="65246" spans="191:191" x14ac:dyDescent="0.2">
      <c r="GI65246" s="422"/>
    </row>
    <row r="65247" spans="191:191" x14ac:dyDescent="0.2">
      <c r="GI65247" s="422"/>
    </row>
    <row r="65248" spans="191:191" x14ac:dyDescent="0.2">
      <c r="GI65248" s="422"/>
    </row>
    <row r="65249" spans="191:191" x14ac:dyDescent="0.2">
      <c r="GI65249" s="422"/>
    </row>
    <row r="65250" spans="191:191" x14ac:dyDescent="0.2">
      <c r="GI65250" s="422"/>
    </row>
    <row r="65251" spans="191:191" x14ac:dyDescent="0.2">
      <c r="GI65251" s="422"/>
    </row>
    <row r="65252" spans="191:191" x14ac:dyDescent="0.2">
      <c r="GI65252" s="422"/>
    </row>
    <row r="65253" spans="191:191" x14ac:dyDescent="0.2">
      <c r="GI65253" s="422"/>
    </row>
    <row r="65254" spans="191:191" x14ac:dyDescent="0.2">
      <c r="GI65254" s="422"/>
    </row>
    <row r="65255" spans="191:191" x14ac:dyDescent="0.2">
      <c r="GI65255" s="422"/>
    </row>
    <row r="65256" spans="191:191" x14ac:dyDescent="0.2">
      <c r="GI65256" s="422"/>
    </row>
    <row r="65257" spans="191:191" x14ac:dyDescent="0.2">
      <c r="GI65257" s="422"/>
    </row>
    <row r="65258" spans="191:191" x14ac:dyDescent="0.2">
      <c r="GI65258" s="422"/>
    </row>
    <row r="65259" spans="191:191" x14ac:dyDescent="0.2">
      <c r="GI65259" s="422"/>
    </row>
    <row r="65260" spans="191:191" x14ac:dyDescent="0.2">
      <c r="GI65260" s="422"/>
    </row>
    <row r="65261" spans="191:191" x14ac:dyDescent="0.2">
      <c r="GI65261" s="422"/>
    </row>
    <row r="65262" spans="191:191" x14ac:dyDescent="0.2">
      <c r="GI65262" s="422"/>
    </row>
    <row r="65263" spans="191:191" x14ac:dyDescent="0.2">
      <c r="GI65263" s="422"/>
    </row>
    <row r="65264" spans="191:191" x14ac:dyDescent="0.2">
      <c r="GI65264" s="422"/>
    </row>
    <row r="65265" spans="191:191" x14ac:dyDescent="0.2">
      <c r="GI65265" s="422"/>
    </row>
    <row r="65266" spans="191:191" x14ac:dyDescent="0.2">
      <c r="GI65266" s="422"/>
    </row>
    <row r="65267" spans="191:191" x14ac:dyDescent="0.2">
      <c r="GI65267" s="422"/>
    </row>
    <row r="65268" spans="191:191" x14ac:dyDescent="0.2">
      <c r="GI65268" s="422"/>
    </row>
    <row r="65269" spans="191:191" x14ac:dyDescent="0.2">
      <c r="GI65269" s="422"/>
    </row>
    <row r="65270" spans="191:191" x14ac:dyDescent="0.2">
      <c r="GI65270" s="422"/>
    </row>
    <row r="65271" spans="191:191" x14ac:dyDescent="0.2">
      <c r="GI65271" s="422"/>
    </row>
    <row r="65272" spans="191:191" x14ac:dyDescent="0.2">
      <c r="GI65272" s="422"/>
    </row>
    <row r="65273" spans="191:191" x14ac:dyDescent="0.2">
      <c r="GI65273" s="422"/>
    </row>
    <row r="65274" spans="191:191" x14ac:dyDescent="0.2">
      <c r="GI65274" s="422"/>
    </row>
    <row r="65275" spans="191:191" x14ac:dyDescent="0.2">
      <c r="GI65275" s="422"/>
    </row>
    <row r="65276" spans="191:191" x14ac:dyDescent="0.2">
      <c r="GI65276" s="422"/>
    </row>
    <row r="65277" spans="191:191" x14ac:dyDescent="0.2">
      <c r="GI65277" s="422"/>
    </row>
    <row r="65278" spans="191:191" x14ac:dyDescent="0.2">
      <c r="GI65278" s="422"/>
    </row>
    <row r="65279" spans="191:191" x14ac:dyDescent="0.2">
      <c r="GI65279" s="422"/>
    </row>
    <row r="65280" spans="191:191" x14ac:dyDescent="0.2">
      <c r="GI65280" s="422"/>
    </row>
    <row r="65281" spans="191:191" x14ac:dyDescent="0.2">
      <c r="GI65281" s="422"/>
    </row>
    <row r="65282" spans="191:191" x14ac:dyDescent="0.2">
      <c r="GI65282" s="422"/>
    </row>
    <row r="65283" spans="191:191" x14ac:dyDescent="0.2">
      <c r="GI65283" s="422"/>
    </row>
    <row r="65284" spans="191:191" x14ac:dyDescent="0.2">
      <c r="GI65284" s="422"/>
    </row>
    <row r="65285" spans="191:191" x14ac:dyDescent="0.2">
      <c r="GI65285" s="422"/>
    </row>
    <row r="65286" spans="191:191" x14ac:dyDescent="0.2">
      <c r="GI65286" s="422"/>
    </row>
    <row r="65287" spans="191:191" x14ac:dyDescent="0.2">
      <c r="GI65287" s="422"/>
    </row>
    <row r="65288" spans="191:191" x14ac:dyDescent="0.2">
      <c r="GI65288" s="422"/>
    </row>
    <row r="65289" spans="191:191" x14ac:dyDescent="0.2">
      <c r="GI65289" s="422"/>
    </row>
    <row r="65290" spans="191:191" x14ac:dyDescent="0.2">
      <c r="GI65290" s="422"/>
    </row>
    <row r="65291" spans="191:191" x14ac:dyDescent="0.2">
      <c r="GI65291" s="422"/>
    </row>
    <row r="65292" spans="191:191" x14ac:dyDescent="0.2">
      <c r="GI65292" s="422"/>
    </row>
    <row r="65293" spans="191:191" x14ac:dyDescent="0.2">
      <c r="GI65293" s="422"/>
    </row>
    <row r="65294" spans="191:191" x14ac:dyDescent="0.2">
      <c r="GI65294" s="422"/>
    </row>
    <row r="65295" spans="191:191" x14ac:dyDescent="0.2">
      <c r="GI65295" s="422"/>
    </row>
    <row r="65296" spans="191:191" x14ac:dyDescent="0.2">
      <c r="GI65296" s="422"/>
    </row>
    <row r="65297" spans="191:191" x14ac:dyDescent="0.2">
      <c r="GI65297" s="422"/>
    </row>
    <row r="65298" spans="191:191" x14ac:dyDescent="0.2">
      <c r="GI65298" s="422"/>
    </row>
    <row r="65299" spans="191:191" x14ac:dyDescent="0.2">
      <c r="GI65299" s="422"/>
    </row>
    <row r="65300" spans="191:191" x14ac:dyDescent="0.2">
      <c r="GI65300" s="422"/>
    </row>
    <row r="65301" spans="191:191" x14ac:dyDescent="0.2">
      <c r="GI65301" s="422"/>
    </row>
    <row r="65302" spans="191:191" x14ac:dyDescent="0.2">
      <c r="GI65302" s="422"/>
    </row>
    <row r="65303" spans="191:191" x14ac:dyDescent="0.2">
      <c r="GI65303" s="422"/>
    </row>
    <row r="65304" spans="191:191" x14ac:dyDescent="0.2">
      <c r="GI65304" s="422"/>
    </row>
    <row r="65305" spans="191:191" x14ac:dyDescent="0.2">
      <c r="GI65305" s="422"/>
    </row>
    <row r="65306" spans="191:191" x14ac:dyDescent="0.2">
      <c r="GI65306" s="422"/>
    </row>
    <row r="65307" spans="191:191" x14ac:dyDescent="0.2">
      <c r="GI65307" s="422"/>
    </row>
    <row r="65308" spans="191:191" x14ac:dyDescent="0.2">
      <c r="GI65308" s="422"/>
    </row>
    <row r="65309" spans="191:191" x14ac:dyDescent="0.2">
      <c r="GI65309" s="422"/>
    </row>
    <row r="65310" spans="191:191" x14ac:dyDescent="0.2">
      <c r="GI65310" s="422"/>
    </row>
    <row r="65311" spans="191:191" x14ac:dyDescent="0.2">
      <c r="GI65311" s="422"/>
    </row>
    <row r="65312" spans="191:191" x14ac:dyDescent="0.2">
      <c r="GI65312" s="422"/>
    </row>
    <row r="65313" spans="191:191" x14ac:dyDescent="0.2">
      <c r="GI65313" s="422"/>
    </row>
    <row r="65314" spans="191:191" x14ac:dyDescent="0.2">
      <c r="GI65314" s="422"/>
    </row>
    <row r="65315" spans="191:191" x14ac:dyDescent="0.2">
      <c r="GI65315" s="422"/>
    </row>
    <row r="65316" spans="191:191" x14ac:dyDescent="0.2">
      <c r="GI65316" s="422"/>
    </row>
    <row r="65317" spans="191:191" x14ac:dyDescent="0.2">
      <c r="GI65317" s="422"/>
    </row>
    <row r="65318" spans="191:191" x14ac:dyDescent="0.2">
      <c r="GI65318" s="422"/>
    </row>
    <row r="65319" spans="191:191" x14ac:dyDescent="0.2">
      <c r="GI65319" s="422"/>
    </row>
    <row r="65320" spans="191:191" x14ac:dyDescent="0.2">
      <c r="GI65320" s="422"/>
    </row>
    <row r="65321" spans="191:191" x14ac:dyDescent="0.2">
      <c r="GI65321" s="422"/>
    </row>
    <row r="65322" spans="191:191" x14ac:dyDescent="0.2">
      <c r="GI65322" s="422"/>
    </row>
    <row r="65323" spans="191:191" x14ac:dyDescent="0.2">
      <c r="GI65323" s="422"/>
    </row>
    <row r="65324" spans="191:191" x14ac:dyDescent="0.2">
      <c r="GI65324" s="422"/>
    </row>
    <row r="65325" spans="191:191" x14ac:dyDescent="0.2">
      <c r="GI65325" s="422"/>
    </row>
    <row r="65326" spans="191:191" x14ac:dyDescent="0.2">
      <c r="GI65326" s="422"/>
    </row>
    <row r="65327" spans="191:191" x14ac:dyDescent="0.2">
      <c r="GI65327" s="422"/>
    </row>
    <row r="65328" spans="191:191" x14ac:dyDescent="0.2">
      <c r="GI65328" s="422"/>
    </row>
    <row r="65329" spans="191:191" x14ac:dyDescent="0.2">
      <c r="GI65329" s="422"/>
    </row>
    <row r="65330" spans="191:191" x14ac:dyDescent="0.2">
      <c r="GI65330" s="422"/>
    </row>
    <row r="65331" spans="191:191" x14ac:dyDescent="0.2">
      <c r="GI65331" s="422"/>
    </row>
    <row r="65332" spans="191:191" x14ac:dyDescent="0.2">
      <c r="GI65332" s="422"/>
    </row>
    <row r="65333" spans="191:191" x14ac:dyDescent="0.2">
      <c r="GI65333" s="422"/>
    </row>
    <row r="65334" spans="191:191" x14ac:dyDescent="0.2">
      <c r="GI65334" s="422"/>
    </row>
    <row r="65335" spans="191:191" x14ac:dyDescent="0.2">
      <c r="GI65335" s="422"/>
    </row>
    <row r="65336" spans="191:191" x14ac:dyDescent="0.2">
      <c r="GI65336" s="422"/>
    </row>
    <row r="65337" spans="191:191" x14ac:dyDescent="0.2">
      <c r="GI65337" s="422"/>
    </row>
    <row r="65338" spans="191:191" x14ac:dyDescent="0.2">
      <c r="GI65338" s="422"/>
    </row>
    <row r="65339" spans="191:191" x14ac:dyDescent="0.2">
      <c r="GI65339" s="422"/>
    </row>
    <row r="65340" spans="191:191" x14ac:dyDescent="0.2">
      <c r="GI65340" s="422"/>
    </row>
    <row r="65341" spans="191:191" x14ac:dyDescent="0.2">
      <c r="GI65341" s="422"/>
    </row>
    <row r="65342" spans="191:191" x14ac:dyDescent="0.2">
      <c r="GI65342" s="422"/>
    </row>
    <row r="65343" spans="191:191" x14ac:dyDescent="0.2">
      <c r="GI65343" s="422"/>
    </row>
    <row r="65344" spans="191:191" x14ac:dyDescent="0.2">
      <c r="GI65344" s="422"/>
    </row>
    <row r="65345" spans="191:191" x14ac:dyDescent="0.2">
      <c r="GI65345" s="422"/>
    </row>
    <row r="65346" spans="191:191" x14ac:dyDescent="0.2">
      <c r="GI65346" s="422"/>
    </row>
    <row r="65347" spans="191:191" x14ac:dyDescent="0.2">
      <c r="GI65347" s="422"/>
    </row>
    <row r="65348" spans="191:191" x14ac:dyDescent="0.2">
      <c r="GI65348" s="422"/>
    </row>
    <row r="65349" spans="191:191" x14ac:dyDescent="0.2">
      <c r="GI65349" s="422"/>
    </row>
    <row r="65350" spans="191:191" x14ac:dyDescent="0.2">
      <c r="GI65350" s="422"/>
    </row>
    <row r="65351" spans="191:191" x14ac:dyDescent="0.2">
      <c r="GI65351" s="422"/>
    </row>
    <row r="65352" spans="191:191" x14ac:dyDescent="0.2">
      <c r="GI65352" s="422"/>
    </row>
    <row r="65353" spans="191:191" x14ac:dyDescent="0.2">
      <c r="GI65353" s="422"/>
    </row>
    <row r="65354" spans="191:191" x14ac:dyDescent="0.2">
      <c r="GI65354" s="422"/>
    </row>
    <row r="65355" spans="191:191" x14ac:dyDescent="0.2">
      <c r="GI65355" s="422"/>
    </row>
    <row r="65356" spans="191:191" x14ac:dyDescent="0.2">
      <c r="GI65356" s="422"/>
    </row>
    <row r="65357" spans="191:191" x14ac:dyDescent="0.2">
      <c r="GI65357" s="422"/>
    </row>
    <row r="65358" spans="191:191" x14ac:dyDescent="0.2">
      <c r="GI65358" s="422"/>
    </row>
    <row r="65359" spans="191:191" x14ac:dyDescent="0.2">
      <c r="GI65359" s="422"/>
    </row>
    <row r="65360" spans="191:191" x14ac:dyDescent="0.2">
      <c r="GI65360" s="422"/>
    </row>
    <row r="65361" spans="191:191" x14ac:dyDescent="0.2">
      <c r="GI65361" s="422"/>
    </row>
    <row r="65362" spans="191:191" x14ac:dyDescent="0.2">
      <c r="GI65362" s="422"/>
    </row>
    <row r="65363" spans="191:191" x14ac:dyDescent="0.2">
      <c r="GI65363" s="422"/>
    </row>
    <row r="65364" spans="191:191" x14ac:dyDescent="0.2">
      <c r="GI65364" s="422"/>
    </row>
    <row r="65365" spans="191:191" x14ac:dyDescent="0.2">
      <c r="GI65365" s="422"/>
    </row>
    <row r="65366" spans="191:191" x14ac:dyDescent="0.2">
      <c r="GI65366" s="422"/>
    </row>
    <row r="65367" spans="191:191" x14ac:dyDescent="0.2">
      <c r="GI65367" s="422"/>
    </row>
    <row r="65368" spans="191:191" x14ac:dyDescent="0.2">
      <c r="GI65368" s="422"/>
    </row>
    <row r="65369" spans="191:191" x14ac:dyDescent="0.2">
      <c r="GI65369" s="422"/>
    </row>
    <row r="65370" spans="191:191" x14ac:dyDescent="0.2">
      <c r="GI65370" s="422"/>
    </row>
    <row r="65371" spans="191:191" x14ac:dyDescent="0.2">
      <c r="GI65371" s="422"/>
    </row>
    <row r="65372" spans="191:191" x14ac:dyDescent="0.2">
      <c r="GI65372" s="422"/>
    </row>
    <row r="65373" spans="191:191" x14ac:dyDescent="0.2">
      <c r="GI65373" s="422"/>
    </row>
    <row r="65374" spans="191:191" x14ac:dyDescent="0.2">
      <c r="GI65374" s="422"/>
    </row>
    <row r="65375" spans="191:191" x14ac:dyDescent="0.2">
      <c r="GI65375" s="422"/>
    </row>
    <row r="65376" spans="191:191" x14ac:dyDescent="0.2">
      <c r="GI65376" s="422"/>
    </row>
    <row r="65377" spans="191:191" x14ac:dyDescent="0.2">
      <c r="GI65377" s="422"/>
    </row>
    <row r="65378" spans="191:191" x14ac:dyDescent="0.2">
      <c r="GI65378" s="422"/>
    </row>
    <row r="65379" spans="191:191" x14ac:dyDescent="0.2">
      <c r="GI65379" s="422"/>
    </row>
    <row r="65380" spans="191:191" x14ac:dyDescent="0.2">
      <c r="GI65380" s="422"/>
    </row>
    <row r="65381" spans="191:191" x14ac:dyDescent="0.2">
      <c r="GI65381" s="422"/>
    </row>
    <row r="65382" spans="191:191" x14ac:dyDescent="0.2">
      <c r="GI65382" s="422"/>
    </row>
    <row r="65383" spans="191:191" x14ac:dyDescent="0.2">
      <c r="GI65383" s="422"/>
    </row>
    <row r="65384" spans="191:191" x14ac:dyDescent="0.2">
      <c r="GI65384" s="422"/>
    </row>
    <row r="65385" spans="191:191" x14ac:dyDescent="0.2">
      <c r="GI65385" s="422"/>
    </row>
    <row r="65386" spans="191:191" x14ac:dyDescent="0.2">
      <c r="GI65386" s="422"/>
    </row>
    <row r="65387" spans="191:191" x14ac:dyDescent="0.2">
      <c r="GI65387" s="422"/>
    </row>
    <row r="65388" spans="191:191" x14ac:dyDescent="0.2">
      <c r="GI65388" s="422"/>
    </row>
    <row r="65389" spans="191:191" x14ac:dyDescent="0.2">
      <c r="GI65389" s="422"/>
    </row>
    <row r="65390" spans="191:191" x14ac:dyDescent="0.2">
      <c r="GI65390" s="422"/>
    </row>
    <row r="65391" spans="191:191" x14ac:dyDescent="0.2">
      <c r="GI65391" s="422"/>
    </row>
    <row r="65392" spans="191:191" x14ac:dyDescent="0.2">
      <c r="GI65392" s="422"/>
    </row>
    <row r="65393" spans="191:191" x14ac:dyDescent="0.2">
      <c r="GI65393" s="422"/>
    </row>
    <row r="65394" spans="191:191" x14ac:dyDescent="0.2">
      <c r="GI65394" s="422"/>
    </row>
    <row r="65395" spans="191:191" x14ac:dyDescent="0.2">
      <c r="GI65395" s="422"/>
    </row>
    <row r="65396" spans="191:191" x14ac:dyDescent="0.2">
      <c r="GI65396" s="422"/>
    </row>
    <row r="65397" spans="191:191" x14ac:dyDescent="0.2">
      <c r="GI65397" s="422"/>
    </row>
    <row r="65398" spans="191:191" x14ac:dyDescent="0.2">
      <c r="GI65398" s="422"/>
    </row>
    <row r="65399" spans="191:191" x14ac:dyDescent="0.2">
      <c r="GI65399" s="422"/>
    </row>
    <row r="65400" spans="191:191" x14ac:dyDescent="0.2">
      <c r="GI65400" s="422"/>
    </row>
    <row r="65401" spans="191:191" x14ac:dyDescent="0.2">
      <c r="GI65401" s="422"/>
    </row>
    <row r="65402" spans="191:191" x14ac:dyDescent="0.2">
      <c r="GI65402" s="422"/>
    </row>
    <row r="65403" spans="191:191" x14ac:dyDescent="0.2">
      <c r="GI65403" s="422"/>
    </row>
    <row r="65404" spans="191:191" x14ac:dyDescent="0.2">
      <c r="GI65404" s="422"/>
    </row>
    <row r="65405" spans="191:191" x14ac:dyDescent="0.2">
      <c r="GI65405" s="422"/>
    </row>
    <row r="65406" spans="191:191" x14ac:dyDescent="0.2">
      <c r="GI65406" s="422"/>
    </row>
    <row r="65407" spans="191:191" x14ac:dyDescent="0.2">
      <c r="GI65407" s="422"/>
    </row>
    <row r="65408" spans="191:191" x14ac:dyDescent="0.2">
      <c r="GI65408" s="422"/>
    </row>
    <row r="65409" spans="191:191" x14ac:dyDescent="0.2">
      <c r="GI65409" s="422"/>
    </row>
    <row r="65410" spans="191:191" x14ac:dyDescent="0.2">
      <c r="GI65410" s="422"/>
    </row>
    <row r="65411" spans="191:191" x14ac:dyDescent="0.2">
      <c r="GI65411" s="422"/>
    </row>
    <row r="65412" spans="191:191" x14ac:dyDescent="0.2">
      <c r="GI65412" s="422"/>
    </row>
    <row r="65413" spans="191:191" x14ac:dyDescent="0.2">
      <c r="GI65413" s="422"/>
    </row>
    <row r="65414" spans="191:191" x14ac:dyDescent="0.2">
      <c r="GI65414" s="422"/>
    </row>
    <row r="65415" spans="191:191" x14ac:dyDescent="0.2">
      <c r="GI65415" s="422"/>
    </row>
    <row r="65416" spans="191:191" x14ac:dyDescent="0.2">
      <c r="GI65416" s="422"/>
    </row>
    <row r="65417" spans="191:191" x14ac:dyDescent="0.2">
      <c r="GI65417" s="422"/>
    </row>
    <row r="65418" spans="191:191" x14ac:dyDescent="0.2">
      <c r="GI65418" s="422"/>
    </row>
    <row r="65419" spans="191:191" x14ac:dyDescent="0.2">
      <c r="GI65419" s="422"/>
    </row>
    <row r="65420" spans="191:191" x14ac:dyDescent="0.2">
      <c r="GI65420" s="422"/>
    </row>
    <row r="65421" spans="191:191" x14ac:dyDescent="0.2">
      <c r="GI65421" s="422"/>
    </row>
    <row r="65422" spans="191:191" x14ac:dyDescent="0.2">
      <c r="GI65422" s="422"/>
    </row>
    <row r="65423" spans="191:191" x14ac:dyDescent="0.2">
      <c r="GI65423" s="422"/>
    </row>
    <row r="65424" spans="191:191" x14ac:dyDescent="0.2">
      <c r="GI65424" s="422"/>
    </row>
    <row r="65425" spans="191:191" x14ac:dyDescent="0.2">
      <c r="GI65425" s="422"/>
    </row>
    <row r="65426" spans="191:191" x14ac:dyDescent="0.2">
      <c r="GI65426" s="422"/>
    </row>
    <row r="65427" spans="191:191" x14ac:dyDescent="0.2">
      <c r="GI65427" s="422"/>
    </row>
    <row r="65428" spans="191:191" x14ac:dyDescent="0.2">
      <c r="GI65428" s="422"/>
    </row>
    <row r="65429" spans="191:191" x14ac:dyDescent="0.2">
      <c r="GI65429" s="422"/>
    </row>
    <row r="65430" spans="191:191" x14ac:dyDescent="0.2">
      <c r="GI65430" s="422"/>
    </row>
    <row r="65431" spans="191:191" x14ac:dyDescent="0.2">
      <c r="GI65431" s="422"/>
    </row>
    <row r="65432" spans="191:191" x14ac:dyDescent="0.2">
      <c r="GI65432" s="422"/>
    </row>
    <row r="65433" spans="191:191" x14ac:dyDescent="0.2">
      <c r="GI65433" s="422"/>
    </row>
    <row r="65434" spans="191:191" x14ac:dyDescent="0.2">
      <c r="GI65434" s="422"/>
    </row>
    <row r="65435" spans="191:191" x14ac:dyDescent="0.2">
      <c r="GI65435" s="422"/>
    </row>
    <row r="65436" spans="191:191" x14ac:dyDescent="0.2">
      <c r="GI65436" s="422"/>
    </row>
    <row r="65437" spans="191:191" x14ac:dyDescent="0.2">
      <c r="GI65437" s="422"/>
    </row>
    <row r="65438" spans="191:191" x14ac:dyDescent="0.2">
      <c r="GI65438" s="422"/>
    </row>
    <row r="65439" spans="191:191" x14ac:dyDescent="0.2">
      <c r="GI65439" s="422"/>
    </row>
    <row r="65440" spans="191:191" x14ac:dyDescent="0.2">
      <c r="GI65440" s="422"/>
    </row>
    <row r="65441" spans="191:191" x14ac:dyDescent="0.2">
      <c r="GI65441" s="422"/>
    </row>
    <row r="65442" spans="191:191" x14ac:dyDescent="0.2">
      <c r="GI65442" s="422"/>
    </row>
    <row r="65443" spans="191:191" x14ac:dyDescent="0.2">
      <c r="GI65443" s="422"/>
    </row>
    <row r="65444" spans="191:191" x14ac:dyDescent="0.2">
      <c r="GI65444" s="422"/>
    </row>
    <row r="65445" spans="191:191" x14ac:dyDescent="0.2">
      <c r="GI65445" s="422"/>
    </row>
    <row r="65446" spans="191:191" x14ac:dyDescent="0.2">
      <c r="GI65446" s="422"/>
    </row>
    <row r="65447" spans="191:191" x14ac:dyDescent="0.2">
      <c r="GI65447" s="422"/>
    </row>
    <row r="65448" spans="191:191" x14ac:dyDescent="0.2">
      <c r="GI65448" s="422"/>
    </row>
    <row r="65449" spans="191:191" x14ac:dyDescent="0.2">
      <c r="GI65449" s="422"/>
    </row>
    <row r="65450" spans="191:191" x14ac:dyDescent="0.2">
      <c r="GI65450" s="422"/>
    </row>
    <row r="65451" spans="191:191" x14ac:dyDescent="0.2">
      <c r="GI65451" s="422"/>
    </row>
    <row r="65452" spans="191:191" x14ac:dyDescent="0.2">
      <c r="GI65452" s="422"/>
    </row>
    <row r="65453" spans="191:191" x14ac:dyDescent="0.2">
      <c r="GI65453" s="422"/>
    </row>
    <row r="65454" spans="191:191" x14ac:dyDescent="0.2">
      <c r="GI65454" s="422"/>
    </row>
    <row r="65455" spans="191:191" x14ac:dyDescent="0.2">
      <c r="GI65455" s="422"/>
    </row>
    <row r="65456" spans="191:191" x14ac:dyDescent="0.2">
      <c r="GI65456" s="422"/>
    </row>
    <row r="65457" spans="191:191" x14ac:dyDescent="0.2">
      <c r="GI65457" s="422"/>
    </row>
    <row r="65458" spans="191:191" x14ac:dyDescent="0.2">
      <c r="GI65458" s="422"/>
    </row>
    <row r="65459" spans="191:191" x14ac:dyDescent="0.2">
      <c r="GI65459" s="422"/>
    </row>
    <row r="65460" spans="191:191" x14ac:dyDescent="0.2">
      <c r="GI65460" s="422"/>
    </row>
    <row r="65461" spans="191:191" x14ac:dyDescent="0.2">
      <c r="GI65461" s="422"/>
    </row>
    <row r="65462" spans="191:191" x14ac:dyDescent="0.2">
      <c r="GI65462" s="422"/>
    </row>
    <row r="65463" spans="191:191" x14ac:dyDescent="0.2">
      <c r="GI65463" s="422"/>
    </row>
    <row r="65464" spans="191:191" x14ac:dyDescent="0.2">
      <c r="GI65464" s="422"/>
    </row>
    <row r="65465" spans="191:191" x14ac:dyDescent="0.2">
      <c r="GI65465" s="422"/>
    </row>
    <row r="65466" spans="191:191" x14ac:dyDescent="0.2">
      <c r="GI65466" s="422"/>
    </row>
    <row r="65467" spans="191:191" x14ac:dyDescent="0.2">
      <c r="GI65467" s="422"/>
    </row>
    <row r="65468" spans="191:191" x14ac:dyDescent="0.2">
      <c r="GI65468" s="422"/>
    </row>
    <row r="65469" spans="191:191" x14ac:dyDescent="0.2">
      <c r="GI65469" s="422"/>
    </row>
    <row r="65470" spans="191:191" x14ac:dyDescent="0.2">
      <c r="GI65470" s="422"/>
    </row>
    <row r="65471" spans="191:191" x14ac:dyDescent="0.2">
      <c r="GI65471" s="422"/>
    </row>
    <row r="65472" spans="191:191" x14ac:dyDescent="0.2">
      <c r="GI65472" s="422"/>
    </row>
    <row r="65473" spans="191:191" x14ac:dyDescent="0.2">
      <c r="GI65473" s="422"/>
    </row>
    <row r="65474" spans="191:191" x14ac:dyDescent="0.2">
      <c r="GI65474" s="422"/>
    </row>
    <row r="65475" spans="191:191" x14ac:dyDescent="0.2">
      <c r="GI65475" s="422"/>
    </row>
    <row r="65476" spans="191:191" x14ac:dyDescent="0.2">
      <c r="GI65476" s="422"/>
    </row>
    <row r="65477" spans="191:191" x14ac:dyDescent="0.2">
      <c r="GI65477" s="422"/>
    </row>
    <row r="65478" spans="191:191" x14ac:dyDescent="0.2">
      <c r="GI65478" s="422"/>
    </row>
    <row r="65479" spans="191:191" x14ac:dyDescent="0.2">
      <c r="GI65479" s="422"/>
    </row>
    <row r="65480" spans="191:191" x14ac:dyDescent="0.2">
      <c r="GI65480" s="422"/>
    </row>
    <row r="65481" spans="191:191" x14ac:dyDescent="0.2">
      <c r="GI65481" s="422"/>
    </row>
    <row r="65482" spans="191:191" x14ac:dyDescent="0.2">
      <c r="GI65482" s="422"/>
    </row>
    <row r="65483" spans="191:191" x14ac:dyDescent="0.2">
      <c r="GI65483" s="422"/>
    </row>
    <row r="65484" spans="191:191" x14ac:dyDescent="0.2">
      <c r="GI65484" s="422"/>
    </row>
    <row r="65485" spans="191:191" x14ac:dyDescent="0.2">
      <c r="GI65485" s="422"/>
    </row>
    <row r="65486" spans="191:191" x14ac:dyDescent="0.2">
      <c r="GI65486" s="422"/>
    </row>
    <row r="65487" spans="191:191" x14ac:dyDescent="0.2">
      <c r="GI65487" s="422"/>
    </row>
    <row r="65488" spans="191:191" x14ac:dyDescent="0.2">
      <c r="GI65488" s="422"/>
    </row>
    <row r="65489" spans="191:191" x14ac:dyDescent="0.2">
      <c r="GI65489" s="422"/>
    </row>
    <row r="65490" spans="191:191" x14ac:dyDescent="0.2">
      <c r="GI65490" s="422"/>
    </row>
    <row r="65491" spans="191:191" x14ac:dyDescent="0.2">
      <c r="GI65491" s="422"/>
    </row>
    <row r="65492" spans="191:191" x14ac:dyDescent="0.2">
      <c r="GI65492" s="422"/>
    </row>
    <row r="65493" spans="191:191" x14ac:dyDescent="0.2">
      <c r="GI65493" s="422"/>
    </row>
    <row r="65494" spans="191:191" x14ac:dyDescent="0.2">
      <c r="GI65494" s="422"/>
    </row>
    <row r="65495" spans="191:191" x14ac:dyDescent="0.2">
      <c r="GI65495" s="422"/>
    </row>
    <row r="65496" spans="191:191" x14ac:dyDescent="0.2">
      <c r="GI65496" s="422"/>
    </row>
    <row r="65497" spans="191:191" x14ac:dyDescent="0.2">
      <c r="GI65497" s="422"/>
    </row>
    <row r="65498" spans="191:191" x14ac:dyDescent="0.2">
      <c r="GI65498" s="422"/>
    </row>
    <row r="65499" spans="191:191" x14ac:dyDescent="0.2">
      <c r="GI65499" s="422"/>
    </row>
    <row r="65500" spans="191:191" x14ac:dyDescent="0.2">
      <c r="GI65500" s="422"/>
    </row>
    <row r="65501" spans="191:191" x14ac:dyDescent="0.2">
      <c r="GI65501" s="422"/>
    </row>
    <row r="65502" spans="191:191" x14ac:dyDescent="0.2">
      <c r="GI65502" s="422"/>
    </row>
    <row r="65503" spans="191:191" x14ac:dyDescent="0.2">
      <c r="GI65503" s="422"/>
    </row>
    <row r="65504" spans="191:191" x14ac:dyDescent="0.2">
      <c r="GI65504" s="422"/>
    </row>
    <row r="65505" spans="191:191" x14ac:dyDescent="0.2">
      <c r="GI65505" s="422"/>
    </row>
    <row r="65506" spans="191:191" x14ac:dyDescent="0.2">
      <c r="GI65506" s="422"/>
    </row>
    <row r="65507" spans="191:191" x14ac:dyDescent="0.2">
      <c r="GI65507" s="422"/>
    </row>
    <row r="65508" spans="191:191" x14ac:dyDescent="0.2">
      <c r="GI65508" s="422"/>
    </row>
    <row r="65509" spans="191:191" x14ac:dyDescent="0.2">
      <c r="GI65509" s="422"/>
    </row>
    <row r="65510" spans="191:191" x14ac:dyDescent="0.2">
      <c r="GI65510" s="422"/>
    </row>
    <row r="65511" spans="191:191" x14ac:dyDescent="0.2">
      <c r="GI65511" s="422"/>
    </row>
    <row r="65512" spans="191:191" x14ac:dyDescent="0.2">
      <c r="GI65512" s="422"/>
    </row>
    <row r="65513" spans="191:191" x14ac:dyDescent="0.2">
      <c r="GI65513" s="422"/>
    </row>
    <row r="65514" spans="191:191" x14ac:dyDescent="0.2">
      <c r="GI65514" s="422"/>
    </row>
    <row r="65515" spans="191:191" x14ac:dyDescent="0.2">
      <c r="GI65515" s="422"/>
    </row>
    <row r="65516" spans="191:191" x14ac:dyDescent="0.2">
      <c r="GI65516" s="422"/>
    </row>
    <row r="65517" spans="191:191" x14ac:dyDescent="0.2">
      <c r="GI65517" s="422"/>
    </row>
    <row r="65518" spans="191:191" x14ac:dyDescent="0.2">
      <c r="GI65518" s="422"/>
    </row>
    <row r="65519" spans="191:191" x14ac:dyDescent="0.2">
      <c r="GI65519" s="422"/>
    </row>
    <row r="65520" spans="191:191" x14ac:dyDescent="0.2">
      <c r="GI65520" s="422"/>
    </row>
    <row r="65521" spans="191:191" x14ac:dyDescent="0.2">
      <c r="GI65521" s="422"/>
    </row>
    <row r="65522" spans="191:191" x14ac:dyDescent="0.2">
      <c r="GI65522" s="422"/>
    </row>
    <row r="65523" spans="191:191" x14ac:dyDescent="0.2">
      <c r="GI65523" s="422"/>
    </row>
    <row r="65524" spans="191:191" x14ac:dyDescent="0.2">
      <c r="GI65524" s="422"/>
    </row>
    <row r="65525" spans="191:191" x14ac:dyDescent="0.2">
      <c r="GI65525" s="422"/>
    </row>
    <row r="65526" spans="191:191" x14ac:dyDescent="0.2">
      <c r="GI65526" s="422"/>
    </row>
    <row r="65527" spans="191:191" x14ac:dyDescent="0.2">
      <c r="GI65527" s="422"/>
    </row>
    <row r="65528" spans="191:191" x14ac:dyDescent="0.2">
      <c r="GI65528" s="422"/>
    </row>
    <row r="65529" spans="191:191" x14ac:dyDescent="0.2">
      <c r="GI65529" s="422"/>
    </row>
    <row r="65530" spans="191:191" x14ac:dyDescent="0.2">
      <c r="GI65530" s="422"/>
    </row>
    <row r="65531" spans="191:191" x14ac:dyDescent="0.2">
      <c r="GI65531" s="422"/>
    </row>
    <row r="65532" spans="191:191" x14ac:dyDescent="0.2">
      <c r="GI65532" s="422"/>
    </row>
    <row r="65533" spans="191:191" x14ac:dyDescent="0.2">
      <c r="GI65533" s="422"/>
    </row>
    <row r="65534" spans="191:191" x14ac:dyDescent="0.2">
      <c r="GI65534" s="422"/>
    </row>
    <row r="65535" spans="191:191" x14ac:dyDescent="0.2">
      <c r="GI65535" s="422"/>
    </row>
    <row r="65536" spans="191:191" x14ac:dyDescent="0.2">
      <c r="GI65536" s="422"/>
    </row>
  </sheetData>
  <autoFilter ref="A6:GS339"/>
  <mergeCells count="70">
    <mergeCell ref="CG2:CK2"/>
    <mergeCell ref="CG3:CK3"/>
    <mergeCell ref="A5:A6"/>
    <mergeCell ref="B5:E5"/>
    <mergeCell ref="M5:O5"/>
    <mergeCell ref="P5:S5"/>
    <mergeCell ref="U5:Y5"/>
    <mergeCell ref="Z5:AB5"/>
    <mergeCell ref="AC5:AC6"/>
    <mergeCell ref="AD5:AD6"/>
    <mergeCell ref="AE5:AE6"/>
    <mergeCell ref="AF5:AF6"/>
    <mergeCell ref="AG5:AG6"/>
    <mergeCell ref="AH5:AH6"/>
    <mergeCell ref="AJ5:AJ6"/>
    <mergeCell ref="AK5:AL5"/>
    <mergeCell ref="AM5:AM6"/>
    <mergeCell ref="AQ5:AQ6"/>
    <mergeCell ref="AR5:AR6"/>
    <mergeCell ref="AS5:AS6"/>
    <mergeCell ref="AT5:AT6"/>
    <mergeCell ref="AU5:AU6"/>
    <mergeCell ref="AV5:AV6"/>
    <mergeCell ref="AW5:AW6"/>
    <mergeCell ref="AX5:AX6"/>
    <mergeCell ref="AY5:AY6"/>
    <mergeCell ref="AZ5:AZ6"/>
    <mergeCell ref="BC5:BC6"/>
    <mergeCell ref="BD5:BD6"/>
    <mergeCell ref="BE5:BE6"/>
    <mergeCell ref="BF5:BF6"/>
    <mergeCell ref="BG5:BG6"/>
    <mergeCell ref="BH5:BH6"/>
    <mergeCell ref="BI5:BI6"/>
    <mergeCell ref="BJ5:BJ6"/>
    <mergeCell ref="BK5:BL5"/>
    <mergeCell ref="BM5:BM6"/>
    <mergeCell ref="BN5:BN6"/>
    <mergeCell ref="BO5:BO6"/>
    <mergeCell ref="BP5:BP6"/>
    <mergeCell ref="BQ5:BQ6"/>
    <mergeCell ref="BR5:BR6"/>
    <mergeCell ref="BS5:BS6"/>
    <mergeCell ref="BT5:BT6"/>
    <mergeCell ref="BU5:BU6"/>
    <mergeCell ref="BV5:BV6"/>
    <mergeCell ref="BW5:CA5"/>
    <mergeCell ref="CC5:CI5"/>
    <mergeCell ref="CK5:CK6"/>
    <mergeCell ref="CL5:CQ5"/>
    <mergeCell ref="CR5:CW5"/>
    <mergeCell ref="CX5:DC5"/>
    <mergeCell ref="GD5:GF5"/>
    <mergeCell ref="GJ5:GJ6"/>
    <mergeCell ref="FA5:FF5"/>
    <mergeCell ref="FG5:FJ5"/>
    <mergeCell ref="FK5:FL5"/>
    <mergeCell ref="FM5:FN5"/>
    <mergeCell ref="FO5:FP5"/>
    <mergeCell ref="FQ5:FQ6"/>
    <mergeCell ref="GK5:GM5"/>
    <mergeCell ref="GN5:GP5"/>
    <mergeCell ref="GQ5:GS5"/>
    <mergeCell ref="EG319:EK319"/>
    <mergeCell ref="A323:CK323"/>
    <mergeCell ref="DB323:DC323"/>
    <mergeCell ref="FR5:FT5"/>
    <mergeCell ref="FU5:FV5"/>
    <mergeCell ref="FX5:FY5"/>
    <mergeCell ref="GA5:GC5"/>
  </mergeCells>
  <conditionalFormatting sqref="CJ327 CG1:CI1 CG326:CI65536">
    <cfRule type="cellIs" dxfId="4" priority="3" stopIfTrue="1" operator="greaterThan">
      <formula>5.75</formula>
    </cfRule>
  </conditionalFormatting>
  <conditionalFormatting sqref="CL1:DG4 CL332:DF341 CL343:DG65536 CL342:CN342 CR342:DG342 CO328 CV328 DD327:DF327 CK326:CK65536 CK1 CH326:CH65536 CH1 CL326:CW326">
    <cfRule type="cellIs" dxfId="3" priority="2" stopIfTrue="1" operator="greaterThan">
      <formula>2</formula>
    </cfRule>
  </conditionalFormatting>
  <conditionalFormatting sqref="GD5:GD318 GE6:GF318 GQ5:GS5 GN5:GN317 GO6:GS317">
    <cfRule type="cellIs" dxfId="2" priority="1" stopIfTrue="1" operator="lessThan">
      <formula>0</formula>
    </cfRule>
  </conditionalFormatting>
  <pageMargins left="0" right="0" top="0" bottom="0" header="0.31496062992125984" footer="0.31496062992125984"/>
  <pageSetup paperSize="9" scale="43" fitToHeight="1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0"/>
  <sheetViews>
    <sheetView tabSelected="1" topLeftCell="A5" zoomScaleNormal="100" workbookViewId="0">
      <pane xSplit="2" ySplit="3" topLeftCell="C8" activePane="bottomRight" state="frozen"/>
      <selection activeCell="AY331" sqref="AY331:AZ331"/>
      <selection pane="topRight" activeCell="AY331" sqref="AY331:AZ331"/>
      <selection pane="bottomLeft" activeCell="AY331" sqref="AY331:AZ331"/>
      <selection pane="bottomRight" activeCell="B28" sqref="B28"/>
    </sheetView>
  </sheetViews>
  <sheetFormatPr defaultRowHeight="12.75" x14ac:dyDescent="0.2"/>
  <cols>
    <col min="1" max="1" width="5.5703125" style="104" bestFit="1" customWidth="1"/>
    <col min="2" max="2" width="22.7109375" style="301" bestFit="1" customWidth="1"/>
    <col min="3" max="3" width="13.85546875" style="8" customWidth="1"/>
    <col min="4" max="16384" width="9.140625" style="8"/>
  </cols>
  <sheetData>
    <row r="1" spans="1:3" ht="12.75" hidden="1" customHeight="1" x14ac:dyDescent="0.2"/>
    <row r="2" spans="1:3" ht="60.75" hidden="1" customHeight="1" x14ac:dyDescent="0.2"/>
    <row r="3" spans="1:3" ht="12.75" hidden="1" customHeight="1" x14ac:dyDescent="0.2"/>
    <row r="4" spans="1:3" ht="12.75" hidden="1" customHeight="1" x14ac:dyDescent="0.2"/>
    <row r="5" spans="1:3" ht="12.75" customHeight="1" x14ac:dyDescent="0.2"/>
    <row r="6" spans="1:3" s="1" customFormat="1" ht="16.5" customHeight="1" x14ac:dyDescent="0.2">
      <c r="A6" s="508" t="s">
        <v>4</v>
      </c>
      <c r="B6" s="106"/>
      <c r="C6" s="509" t="s">
        <v>963</v>
      </c>
    </row>
    <row r="7" spans="1:3" s="1" customFormat="1" ht="59.25" customHeight="1" x14ac:dyDescent="0.2">
      <c r="A7" s="508"/>
      <c r="B7" s="305" t="s">
        <v>911</v>
      </c>
      <c r="C7" s="510"/>
    </row>
    <row r="8" spans="1:3" ht="12.75" customHeight="1" x14ac:dyDescent="0.2">
      <c r="A8" s="423">
        <v>1</v>
      </c>
      <c r="B8" s="388" t="s">
        <v>452</v>
      </c>
      <c r="C8" s="258">
        <v>27.78</v>
      </c>
    </row>
    <row r="9" spans="1:3" ht="12.75" hidden="1" customHeight="1" x14ac:dyDescent="0.2">
      <c r="A9" s="425"/>
      <c r="B9" s="426"/>
      <c r="C9" s="424"/>
    </row>
    <row r="10" spans="1:3" ht="12.75" customHeight="1" x14ac:dyDescent="0.2"/>
  </sheetData>
  <mergeCells count="2">
    <mergeCell ref="A6:A7"/>
    <mergeCell ref="C6:C7"/>
  </mergeCells>
  <conditionalFormatting sqref="B8:B9">
    <cfRule type="duplicateValues" dxfId="1" priority="8" stopIfTrue="1"/>
  </conditionalFormatting>
  <conditionalFormatting sqref="B8:B9">
    <cfRule type="duplicateValues" dxfId="0" priority="7" stopIfTrue="1"/>
  </conditionalFormatting>
  <pageMargins left="0.70866141732283472" right="0.70866141732283472" top="0" bottom="0" header="0.31496062992125984" footer="0.31496062992125984"/>
  <pageSetup paperSize="9" fitToHeight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2021</vt:lpstr>
      <vt:lpstr>2022</vt:lpstr>
      <vt:lpstr>С 01.06.2026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 Миронов</dc:creator>
  <cp:lastModifiedBy>Den</cp:lastModifiedBy>
  <cp:lastPrinted>2026-05-14T04:37:41Z</cp:lastPrinted>
  <dcterms:created xsi:type="dcterms:W3CDTF">2002-08-06T16:02:19Z</dcterms:created>
  <dcterms:modified xsi:type="dcterms:W3CDTF">2026-06-01T14:30:15Z</dcterms:modified>
</cp:coreProperties>
</file>